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trlProps/ctrlProp1.xml" ContentType="application/vnd.ms-excel.controlproperties+xml"/>
  <Override PartName="/xl/drawings/drawing9.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10.xml" ContentType="application/vnd.openxmlformats-officedocument.drawing+xml"/>
  <Override PartName="/xl/ctrlProps/ctrlProp4.xml" ContentType="application/vnd.ms-excel.controlproperties+xml"/>
  <Override PartName="/xl/drawings/drawing11.xml" ContentType="application/vnd.openxmlformats-officedocument.drawing+xml"/>
  <Override PartName="/xl/ctrlProps/ctrlProp5.xml" ContentType="application/vnd.ms-excel.controlproperties+xml"/>
  <Override PartName="/xl/drawings/drawing12.xml" ContentType="application/vnd.openxmlformats-officedocument.drawing+xml"/>
  <Override PartName="/xl/ctrlProps/ctrlProp6.xml" ContentType="application/vnd.ms-excel.controlproperties+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ctrlProps/ctrlProp7.xml" ContentType="application/vnd.ms-excel.controlproperties+xml"/>
  <Override PartName="/xl/drawings/drawing19.xml" ContentType="application/vnd.openxmlformats-officedocument.drawing+xml"/>
  <Override PartName="/xl/ctrlProps/ctrlProp8.xml" ContentType="application/vnd.ms-excel.controlproperties+xml"/>
  <Override PartName="/xl/drawings/drawing20.xml" ContentType="application/vnd.openxmlformats-officedocument.drawing+xml"/>
  <Override PartName="/xl/tables/tableSingleCells1.xml" ContentType="application/vnd.openxmlformats-officedocument.spreadsheetml.tableSingleCells+xml"/>
  <Override PartName="/xl/tables/table1.xml" ContentType="application/vnd.openxmlformats-officedocument.spreadsheetml.table+xml"/>
  <Override PartName="/xl/drawings/drawing2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1126" codeName="{22E68647-3C60-695B-3CA0-4895CD717B8A}"/>
  <workbookPr codeName="EstaPasta_de_trabalho" defaultThemeVersion="124226"/>
  <mc:AlternateContent xmlns:mc="http://schemas.openxmlformats.org/markup-compatibility/2006">
    <mc:Choice Requires="x15">
      <x15ac:absPath xmlns:x15ac="http://schemas.microsoft.com/office/spreadsheetml/2010/11/ac" url="C:\Users\Gopala\Downloads\GPlan2019R1\"/>
    </mc:Choice>
  </mc:AlternateContent>
  <xr:revisionPtr revIDLastSave="0" documentId="13_ncr:1_{E37BB776-9107-47F9-9F4A-8844B28B6DE7}" xr6:coauthVersionLast="40" xr6:coauthVersionMax="40" xr10:uidLastSave="{00000000-0000-0000-0000-000000000000}"/>
  <bookViews>
    <workbookView xWindow="0" yWindow="105" windowWidth="23895" windowHeight="12540" tabRatio="829" xr2:uid="{00000000-000D-0000-FFFF-FFFF00000000}"/>
  </bookViews>
  <sheets>
    <sheet name="Opções" sheetId="4" r:id="rId1"/>
    <sheet name="Cover" sheetId="46" r:id="rId2"/>
    <sheet name="Title" sheetId="38" r:id="rId3"/>
    <sheet name="Purpose 1" sheetId="39" r:id="rId4"/>
    <sheet name="Purpose 2" sheetId="40" r:id="rId5"/>
    <sheet name="GNU FDL License" sheetId="41" r:id="rId6"/>
    <sheet name="Personal Data" sheetId="10" r:id="rId7"/>
    <sheet name="Holidays" sheetId="11" r:id="rId8"/>
    <sheet name="Calendar" sheetId="12" r:id="rId9"/>
    <sheet name="Weekly-Left" sheetId="32" r:id="rId10"/>
    <sheet name="Weekly-Right" sheetId="33" r:id="rId11"/>
    <sheet name="Monthly-Left" sheetId="23" r:id="rId12"/>
    <sheet name="Monthly-Right" sheetId="24" r:id="rId13"/>
    <sheet name="Personalities" sheetId="700" r:id="rId14"/>
    <sheet name="Events" sheetId="701" r:id="rId15"/>
    <sheet name="Reunions" sheetId="968" r:id="rId16"/>
    <sheet name="Notes-Left" sheetId="44" r:id="rId17"/>
    <sheet name="Notes-Right" sheetId="45" r:id="rId18"/>
    <sheet name="Contact-Left" sheetId="42" r:id="rId19"/>
    <sheet name="Contact-Right" sheetId="43" r:id="rId20"/>
    <sheet name="Units" sheetId="970" r:id="rId21"/>
    <sheet name="Parameters" sheetId="5" r:id="rId22"/>
    <sheet name="GCal-XML" sheetId="975" r:id="rId23"/>
    <sheet name="GCal-Year" sheetId="16" r:id="rId24"/>
    <sheet name="GCal-Month" sheetId="34" r:id="rId25"/>
    <sheet name="GCal-Week" sheetId="18" r:id="rId26"/>
    <sheet name="Quotes" sheetId="35" r:id="rId27"/>
    <sheet name="Festivals" sheetId="13" r:id="rId28"/>
    <sheet name="Holidays Calc" sheetId="21" r:id="rId29"/>
    <sheet name="GCal-Translations" sheetId="6" r:id="rId30"/>
    <sheet name="GPlan-Translations" sheetId="7" r:id="rId31"/>
    <sheet name="Countries" sheetId="9" r:id="rId32"/>
    <sheet name="Cities" sheetId="8" r:id="rId33"/>
    <sheet name="Moon Calendar" sheetId="19" r:id="rId34"/>
  </sheets>
  <functionGroups builtInGroupCount="19"/>
  <definedNames>
    <definedName name="_xlnm.Print_Area" localSheetId="8">Calendar!$A$1:$AB$54</definedName>
    <definedName name="_xlnm.Print_Area" localSheetId="18">'Contact-Left'!$A$1:$E$45</definedName>
    <definedName name="_xlnm.Print_Area" localSheetId="19">'Contact-Right'!$A$1:$E$45</definedName>
    <definedName name="_xlnm.Print_Area" localSheetId="1">Cover!$B$1:$H$26</definedName>
    <definedName name="_xlnm.Print_Area" localSheetId="14">Events!$F$1:$F$120</definedName>
    <definedName name="_xlnm.Print_Area" localSheetId="5">'GNU FDL License'!$B$2:$B$138</definedName>
    <definedName name="_xlnm.Print_Area" localSheetId="7">Holidays!$B$1:$G$53</definedName>
    <definedName name="_xlnm.Print_Area" localSheetId="11">'Monthly-Left'!$E$1:$L$49</definedName>
    <definedName name="_xlnm.Print_Area" localSheetId="12">'Monthly-Right'!$A$1:$L$49</definedName>
    <definedName name="_xlnm.Print_Area" localSheetId="16">'Notes-Left'!$A$1:$E$45</definedName>
    <definedName name="_xlnm.Print_Area" localSheetId="17">'Notes-Right'!$A$1:$E$45</definedName>
    <definedName name="_xlnm.Print_Area" localSheetId="6">'Personal Data'!$A$1:$AF$39</definedName>
    <definedName name="_xlnm.Print_Area" localSheetId="13">Personalities!$F$1:$F$164</definedName>
    <definedName name="_xlnm.Print_Area" localSheetId="3">'Purpose 1'!$A$1:$L$60</definedName>
    <definedName name="_xlnm.Print_Area" localSheetId="4">'Purpose 2'!$A$1:$M$74</definedName>
    <definedName name="_xlnm.Print_Area" localSheetId="20">Units!$V$1:$AD$258</definedName>
    <definedName name="_xlnm.Print_Area" localSheetId="9">'Weekly-Left'!$A$1:$V$53</definedName>
    <definedName name="_xlnm.Print_Area" localSheetId="10">'Weekly-Right'!$A$1:$X$53</definedName>
    <definedName name="cbPersonalitiesLabel">Parameters!$C$66</definedName>
    <definedName name="cbReunionsLabel">Parameters!$C$70</definedName>
    <definedName name="cbUnitsConversionLabel">Parameters!$C$72</definedName>
    <definedName name="citiesList">OFFSET(Cities!$M$1,Parameters!$P$4,0,Parameters!$P$6,1)</definedName>
    <definedName name="CitiesSearch">Cities!$Q$2:INDEX(Cities!$Q$2:$Q$2388,MAX(Cities!$P$2:$P$2388),1)</definedName>
    <definedName name="CityCustomName">Opções!$R$16</definedName>
    <definedName name="countriesList">Countries!$C$2:$C$213</definedName>
    <definedName name="CountriesSearch">Countries!$G$2:INDEX(Countries!$G$2:$G$213,MAX(Countries!$F$2:$F$213),1)</definedName>
    <definedName name="EventsPrintArea">Parameters!$C$68</definedName>
    <definedName name="GCalPathName">Parameters!$C$36</definedName>
    <definedName name="HoursList">Opções!$T$2:$T$7</definedName>
    <definedName name="LanguagesList">OFFSET('GPlan-Translations'!$D$2,0,0,1,COUNTA('GPlan-Translations'!$2:$2)-3)</definedName>
    <definedName name="monthName" localSheetId="11">'Monthly-Left'!$X$12</definedName>
    <definedName name="monthName" localSheetId="12">'Monthly-Right'!$X$12</definedName>
    <definedName name="PersonalitiesPrintArea">Parameters!$C$67</definedName>
    <definedName name="section0" localSheetId="5">'GNU FDL License'!$B$10</definedName>
    <definedName name="section1" localSheetId="5">'GNU FDL License'!$B$18</definedName>
    <definedName name="section10" localSheetId="5">'GNU FDL License'!$B$122</definedName>
    <definedName name="section11" localSheetId="5">'GNU FDL License'!$B$128</definedName>
    <definedName name="section2" localSheetId="5">'GNU FDL License'!$B$42</definedName>
    <definedName name="section3" localSheetId="5">'GNU FDL License'!$B$48</definedName>
    <definedName name="section4" localSheetId="5">'GNU FDL License'!$B$58</definedName>
    <definedName name="section5" localSheetId="5">'GNU FDL License'!$B$86</definedName>
    <definedName name="section6" localSheetId="5">'GNU FDL License'!$B$94</definedName>
    <definedName name="section7" localSheetId="5">'GNU FDL License'!$B$100</definedName>
    <definedName name="section8" localSheetId="5">'GNU FDL License'!$B$106</definedName>
    <definedName name="section9" localSheetId="5">'GNU FDL License'!$B$112</definedName>
    <definedName name="selectedContact">Parameters!$C$61</definedName>
    <definedName name="selectedMonth">Parameters!$E$19</definedName>
    <definedName name="selectedPersonalities">Parameters!$C$65</definedName>
    <definedName name="selectedReunions">Parameters!$C$69</definedName>
    <definedName name="selectedUnitsConversion">Parameters!$C$71</definedName>
    <definedName name="selectedWeek">Parameters!$B$20</definedName>
    <definedName name="selectedYear">Parameters!$B$19</definedName>
    <definedName name="ShellCommandLine">Parameters!$C$34</definedName>
    <definedName name="_xlnm.Print_Titles" localSheetId="20">Units!$1:$2</definedName>
    <definedName name="UnitsConversionPrintArea">Parameters!$C$73</definedName>
    <definedName name="Year">Opções!$R$14</definedName>
    <definedName name="YearsLists">Opções!$V$2:$V$84</definedName>
  </definedNames>
  <calcPr calcId="181029"/>
</workbook>
</file>

<file path=xl/calcChain.xml><?xml version="1.0" encoding="utf-8"?>
<calcChain xmlns="http://schemas.openxmlformats.org/spreadsheetml/2006/main">
  <c r="D7" i="5" l="1"/>
  <c r="G49" i="39" s="1"/>
  <c r="V101" i="13" l="1"/>
  <c r="T101" i="13"/>
  <c r="D3" i="19"/>
  <c r="K2" i="19"/>
  <c r="J2" i="19"/>
  <c r="D4" i="19" l="1"/>
  <c r="J3" i="19"/>
  <c r="L2388" i="8"/>
  <c r="D2388" i="8"/>
  <c r="C2388" i="8"/>
  <c r="L2387" i="8"/>
  <c r="D2387" i="8"/>
  <c r="C2387" i="8"/>
  <c r="L2386" i="8"/>
  <c r="D2386" i="8"/>
  <c r="C2386" i="8"/>
  <c r="L2385" i="8"/>
  <c r="D2385" i="8"/>
  <c r="C2385" i="8"/>
  <c r="L2384" i="8"/>
  <c r="D2384" i="8"/>
  <c r="C2384" i="8"/>
  <c r="L2383" i="8"/>
  <c r="D2383" i="8"/>
  <c r="C2383" i="8"/>
  <c r="L2382" i="8"/>
  <c r="D2382" i="8"/>
  <c r="C2382" i="8"/>
  <c r="L2381" i="8"/>
  <c r="D2381" i="8"/>
  <c r="C2381" i="8"/>
  <c r="L2380" i="8"/>
  <c r="D2380" i="8"/>
  <c r="C2380" i="8"/>
  <c r="L2379" i="8"/>
  <c r="D2379" i="8"/>
  <c r="C2379" i="8"/>
  <c r="L2378" i="8"/>
  <c r="D2378" i="8"/>
  <c r="C2378" i="8"/>
  <c r="L2377" i="8"/>
  <c r="D2377" i="8"/>
  <c r="C2377" i="8"/>
  <c r="L2376" i="8"/>
  <c r="D2376" i="8"/>
  <c r="C2376" i="8"/>
  <c r="L2375" i="8"/>
  <c r="D2375" i="8"/>
  <c r="C2375" i="8"/>
  <c r="L2374" i="8"/>
  <c r="D2374" i="8"/>
  <c r="C2374" i="8"/>
  <c r="L2373" i="8"/>
  <c r="D2373" i="8"/>
  <c r="C2373" i="8"/>
  <c r="L2372" i="8"/>
  <c r="D2372" i="8"/>
  <c r="C2372" i="8"/>
  <c r="L2371" i="8"/>
  <c r="D2371" i="8"/>
  <c r="C2371" i="8"/>
  <c r="L2370" i="8"/>
  <c r="D2370" i="8"/>
  <c r="C2370" i="8"/>
  <c r="L2369" i="8"/>
  <c r="D2369" i="8"/>
  <c r="C2369" i="8"/>
  <c r="L2368" i="8"/>
  <c r="D2368" i="8"/>
  <c r="C2368" i="8"/>
  <c r="L2367" i="8"/>
  <c r="D2367" i="8"/>
  <c r="C2367" i="8"/>
  <c r="L2366" i="8"/>
  <c r="D2366" i="8"/>
  <c r="C2366" i="8"/>
  <c r="L2365" i="8"/>
  <c r="D2365" i="8"/>
  <c r="C2365" i="8"/>
  <c r="L2364" i="8"/>
  <c r="D2364" i="8"/>
  <c r="C2364" i="8"/>
  <c r="L2363" i="8"/>
  <c r="D2363" i="8"/>
  <c r="C2363" i="8"/>
  <c r="L2362" i="8"/>
  <c r="D2362" i="8"/>
  <c r="C2362" i="8"/>
  <c r="L2361" i="8"/>
  <c r="D2361" i="8"/>
  <c r="C2361" i="8"/>
  <c r="L2360" i="8"/>
  <c r="D2360" i="8"/>
  <c r="C2360" i="8"/>
  <c r="L2359" i="8"/>
  <c r="D2359" i="8"/>
  <c r="C2359" i="8"/>
  <c r="L2358" i="8"/>
  <c r="D2358" i="8"/>
  <c r="C2358" i="8"/>
  <c r="L2357" i="8"/>
  <c r="D2357" i="8"/>
  <c r="C2357" i="8"/>
  <c r="L2356" i="8"/>
  <c r="D2356" i="8"/>
  <c r="C2356" i="8"/>
  <c r="L2355" i="8"/>
  <c r="D2355" i="8"/>
  <c r="C2355" i="8"/>
  <c r="L2354" i="8"/>
  <c r="D2354" i="8"/>
  <c r="C2354" i="8"/>
  <c r="L2353" i="8"/>
  <c r="D2353" i="8"/>
  <c r="C2353" i="8"/>
  <c r="L2352" i="8"/>
  <c r="D2352" i="8"/>
  <c r="C2352" i="8"/>
  <c r="L2351" i="8"/>
  <c r="D2351" i="8"/>
  <c r="C2351" i="8"/>
  <c r="L2350" i="8"/>
  <c r="D2350" i="8"/>
  <c r="C2350" i="8"/>
  <c r="L2349" i="8"/>
  <c r="D2349" i="8"/>
  <c r="C2349" i="8"/>
  <c r="L2348" i="8"/>
  <c r="D2348" i="8"/>
  <c r="C2348" i="8"/>
  <c r="L2347" i="8"/>
  <c r="D2347" i="8"/>
  <c r="C2347" i="8"/>
  <c r="L2346" i="8"/>
  <c r="D2346" i="8"/>
  <c r="C2346" i="8"/>
  <c r="L2345" i="8"/>
  <c r="D2345" i="8"/>
  <c r="C2345" i="8"/>
  <c r="L2344" i="8"/>
  <c r="D2344" i="8"/>
  <c r="C2344" i="8"/>
  <c r="L2343" i="8"/>
  <c r="D2343" i="8"/>
  <c r="C2343" i="8"/>
  <c r="L2342" i="8"/>
  <c r="D2342" i="8"/>
  <c r="C2342" i="8"/>
  <c r="L2341" i="8"/>
  <c r="D2341" i="8"/>
  <c r="C2341" i="8"/>
  <c r="L2340" i="8"/>
  <c r="D2340" i="8"/>
  <c r="C2340" i="8"/>
  <c r="L2339" i="8"/>
  <c r="D2339" i="8"/>
  <c r="C2339" i="8"/>
  <c r="L2338" i="8"/>
  <c r="D2338" i="8"/>
  <c r="C2338" i="8"/>
  <c r="L2337" i="8"/>
  <c r="D2337" i="8"/>
  <c r="C2337" i="8"/>
  <c r="L2336" i="8"/>
  <c r="D2336" i="8"/>
  <c r="C2336" i="8"/>
  <c r="L2335" i="8"/>
  <c r="D2335" i="8"/>
  <c r="C2335" i="8"/>
  <c r="L2334" i="8"/>
  <c r="D2334" i="8"/>
  <c r="C2334" i="8"/>
  <c r="L2333" i="8"/>
  <c r="D2333" i="8"/>
  <c r="C2333" i="8"/>
  <c r="L2332" i="8"/>
  <c r="D2332" i="8"/>
  <c r="C2332" i="8"/>
  <c r="L2331" i="8"/>
  <c r="D2331" i="8"/>
  <c r="C2331" i="8"/>
  <c r="L2330" i="8"/>
  <c r="D2330" i="8"/>
  <c r="C2330" i="8"/>
  <c r="L2329" i="8"/>
  <c r="D2329" i="8"/>
  <c r="C2329" i="8"/>
  <c r="L2328" i="8"/>
  <c r="D2328" i="8"/>
  <c r="C2328" i="8"/>
  <c r="L2327" i="8"/>
  <c r="D2327" i="8"/>
  <c r="C2327" i="8"/>
  <c r="L2326" i="8"/>
  <c r="D2326" i="8"/>
  <c r="C2326" i="8"/>
  <c r="L2325" i="8"/>
  <c r="D2325" i="8"/>
  <c r="C2325" i="8"/>
  <c r="L2324" i="8"/>
  <c r="D2324" i="8"/>
  <c r="C2324" i="8"/>
  <c r="L2323" i="8"/>
  <c r="D2323" i="8"/>
  <c r="C2323" i="8"/>
  <c r="L2322" i="8"/>
  <c r="D2322" i="8"/>
  <c r="C2322" i="8"/>
  <c r="L2321" i="8"/>
  <c r="D2321" i="8"/>
  <c r="C2321" i="8"/>
  <c r="L2320" i="8"/>
  <c r="D2320" i="8"/>
  <c r="C2320" i="8"/>
  <c r="L2319" i="8"/>
  <c r="D2319" i="8"/>
  <c r="C2319" i="8"/>
  <c r="L2318" i="8"/>
  <c r="D2318" i="8"/>
  <c r="C2318" i="8"/>
  <c r="L2317" i="8"/>
  <c r="D2317" i="8"/>
  <c r="C2317" i="8"/>
  <c r="L2316" i="8"/>
  <c r="D2316" i="8"/>
  <c r="C2316" i="8"/>
  <c r="L2315" i="8"/>
  <c r="D2315" i="8"/>
  <c r="C2315" i="8"/>
  <c r="L2314" i="8"/>
  <c r="D2314" i="8"/>
  <c r="C2314" i="8"/>
  <c r="L2313" i="8"/>
  <c r="D2313" i="8"/>
  <c r="C2313" i="8"/>
  <c r="L2312" i="8"/>
  <c r="D2312" i="8"/>
  <c r="C2312" i="8"/>
  <c r="L2311" i="8"/>
  <c r="D2311" i="8"/>
  <c r="C2311" i="8"/>
  <c r="L2310" i="8"/>
  <c r="D2310" i="8"/>
  <c r="C2310" i="8"/>
  <c r="L2309" i="8"/>
  <c r="D2309" i="8"/>
  <c r="C2309" i="8"/>
  <c r="L2308" i="8"/>
  <c r="D2308" i="8"/>
  <c r="C2308" i="8"/>
  <c r="L2307" i="8"/>
  <c r="D2307" i="8"/>
  <c r="C2307" i="8"/>
  <c r="L2306" i="8"/>
  <c r="D2306" i="8"/>
  <c r="C2306" i="8"/>
  <c r="L2305" i="8"/>
  <c r="D2305" i="8"/>
  <c r="C2305" i="8"/>
  <c r="L2304" i="8"/>
  <c r="D2304" i="8"/>
  <c r="C2304" i="8"/>
  <c r="L2303" i="8"/>
  <c r="D2303" i="8"/>
  <c r="C2303" i="8"/>
  <c r="L2302" i="8"/>
  <c r="D2302" i="8"/>
  <c r="C2302" i="8"/>
  <c r="L2301" i="8"/>
  <c r="D2301" i="8"/>
  <c r="C2301" i="8"/>
  <c r="L2300" i="8"/>
  <c r="D2300" i="8"/>
  <c r="C2300" i="8"/>
  <c r="L2299" i="8"/>
  <c r="D2299" i="8"/>
  <c r="C2299" i="8"/>
  <c r="L2298" i="8"/>
  <c r="D2298" i="8"/>
  <c r="C2298" i="8"/>
  <c r="L2297" i="8"/>
  <c r="D2297" i="8"/>
  <c r="C2297" i="8"/>
  <c r="L2296" i="8"/>
  <c r="D2296" i="8"/>
  <c r="C2296" i="8"/>
  <c r="L2295" i="8"/>
  <c r="D2295" i="8"/>
  <c r="C2295" i="8"/>
  <c r="L2294" i="8"/>
  <c r="D2294" i="8"/>
  <c r="C2294" i="8"/>
  <c r="L2293" i="8"/>
  <c r="D2293" i="8"/>
  <c r="C2293" i="8"/>
  <c r="L2292" i="8"/>
  <c r="D2292" i="8"/>
  <c r="C2292" i="8"/>
  <c r="L2291" i="8"/>
  <c r="D2291" i="8"/>
  <c r="C2291" i="8"/>
  <c r="L2290" i="8"/>
  <c r="D2290" i="8"/>
  <c r="C2290" i="8"/>
  <c r="L2289" i="8"/>
  <c r="D2289" i="8"/>
  <c r="C2289" i="8"/>
  <c r="L2288" i="8"/>
  <c r="D2288" i="8"/>
  <c r="C2288" i="8"/>
  <c r="L2287" i="8"/>
  <c r="D2287" i="8"/>
  <c r="C2287" i="8"/>
  <c r="L2286" i="8"/>
  <c r="D2286" i="8"/>
  <c r="C2286" i="8"/>
  <c r="L2285" i="8"/>
  <c r="D2285" i="8"/>
  <c r="C2285" i="8"/>
  <c r="L2284" i="8"/>
  <c r="D2284" i="8"/>
  <c r="C2284" i="8"/>
  <c r="L2283" i="8"/>
  <c r="D2283" i="8"/>
  <c r="C2283" i="8"/>
  <c r="L2282" i="8"/>
  <c r="D2282" i="8"/>
  <c r="C2282" i="8"/>
  <c r="L2281" i="8"/>
  <c r="D2281" i="8"/>
  <c r="C2281" i="8"/>
  <c r="L2280" i="8"/>
  <c r="D2280" i="8"/>
  <c r="C2280" i="8"/>
  <c r="L2279" i="8"/>
  <c r="D2279" i="8"/>
  <c r="C2279" i="8"/>
  <c r="L2278" i="8"/>
  <c r="D2278" i="8"/>
  <c r="C2278" i="8"/>
  <c r="L2277" i="8"/>
  <c r="D2277" i="8"/>
  <c r="C2277" i="8"/>
  <c r="L2276" i="8"/>
  <c r="D2276" i="8"/>
  <c r="C2276" i="8"/>
  <c r="L2275" i="8"/>
  <c r="D2275" i="8"/>
  <c r="C2275" i="8"/>
  <c r="L2274" i="8"/>
  <c r="D2274" i="8"/>
  <c r="C2274" i="8"/>
  <c r="L2273" i="8"/>
  <c r="D2273" i="8"/>
  <c r="C2273" i="8"/>
  <c r="L2272" i="8"/>
  <c r="D2272" i="8"/>
  <c r="C2272" i="8"/>
  <c r="L2271" i="8"/>
  <c r="D2271" i="8"/>
  <c r="C2271" i="8"/>
  <c r="L2270" i="8"/>
  <c r="D2270" i="8"/>
  <c r="C2270" i="8"/>
  <c r="L2269" i="8"/>
  <c r="D2269" i="8"/>
  <c r="C2269" i="8"/>
  <c r="L2268" i="8"/>
  <c r="D2268" i="8"/>
  <c r="C2268" i="8"/>
  <c r="L2267" i="8"/>
  <c r="D2267" i="8"/>
  <c r="C2267" i="8"/>
  <c r="L2266" i="8"/>
  <c r="D2266" i="8"/>
  <c r="C2266" i="8"/>
  <c r="L2265" i="8"/>
  <c r="D2265" i="8"/>
  <c r="C2265" i="8"/>
  <c r="L2264" i="8"/>
  <c r="D2264" i="8"/>
  <c r="C2264" i="8"/>
  <c r="L2263" i="8"/>
  <c r="D2263" i="8"/>
  <c r="C2263" i="8"/>
  <c r="L2262" i="8"/>
  <c r="D2262" i="8"/>
  <c r="C2262" i="8"/>
  <c r="L2261" i="8"/>
  <c r="D2261" i="8"/>
  <c r="C2261" i="8"/>
  <c r="L2260" i="8"/>
  <c r="D2260" i="8"/>
  <c r="C2260" i="8"/>
  <c r="L2259" i="8"/>
  <c r="D2259" i="8"/>
  <c r="C2259" i="8"/>
  <c r="L2258" i="8"/>
  <c r="D2258" i="8"/>
  <c r="C2258" i="8"/>
  <c r="L2257" i="8"/>
  <c r="D2257" i="8"/>
  <c r="C2257" i="8"/>
  <c r="L2256" i="8"/>
  <c r="D2256" i="8"/>
  <c r="C2256" i="8"/>
  <c r="L2255" i="8"/>
  <c r="D2255" i="8"/>
  <c r="C2255" i="8"/>
  <c r="L2254" i="8"/>
  <c r="D2254" i="8"/>
  <c r="C2254" i="8"/>
  <c r="L2253" i="8"/>
  <c r="D2253" i="8"/>
  <c r="C2253" i="8"/>
  <c r="L2252" i="8"/>
  <c r="D2252" i="8"/>
  <c r="C2252" i="8"/>
  <c r="L2251" i="8"/>
  <c r="D2251" i="8"/>
  <c r="C2251" i="8"/>
  <c r="L2250" i="8"/>
  <c r="D2250" i="8"/>
  <c r="C2250" i="8"/>
  <c r="L2249" i="8"/>
  <c r="D2249" i="8"/>
  <c r="C2249" i="8"/>
  <c r="L2248" i="8"/>
  <c r="D2248" i="8"/>
  <c r="C2248" i="8"/>
  <c r="L2247" i="8"/>
  <c r="D2247" i="8"/>
  <c r="C2247" i="8"/>
  <c r="L2246" i="8"/>
  <c r="D2246" i="8"/>
  <c r="C2246" i="8"/>
  <c r="L2245" i="8"/>
  <c r="D2245" i="8"/>
  <c r="C2245" i="8"/>
  <c r="L2244" i="8"/>
  <c r="D2244" i="8"/>
  <c r="C2244" i="8"/>
  <c r="L2243" i="8"/>
  <c r="D2243" i="8"/>
  <c r="C2243" i="8"/>
  <c r="L2242" i="8"/>
  <c r="D2242" i="8"/>
  <c r="C2242" i="8"/>
  <c r="L2241" i="8"/>
  <c r="D2241" i="8"/>
  <c r="C2241" i="8"/>
  <c r="L2240" i="8"/>
  <c r="D2240" i="8"/>
  <c r="C2240" i="8"/>
  <c r="L2239" i="8"/>
  <c r="D2239" i="8"/>
  <c r="C2239" i="8"/>
  <c r="L2238" i="8"/>
  <c r="D2238" i="8"/>
  <c r="C2238" i="8"/>
  <c r="L2237" i="8"/>
  <c r="D2237" i="8"/>
  <c r="C2237" i="8"/>
  <c r="L2236" i="8"/>
  <c r="D2236" i="8"/>
  <c r="C2236" i="8"/>
  <c r="L2235" i="8"/>
  <c r="D2235" i="8"/>
  <c r="C2235" i="8"/>
  <c r="L2234" i="8"/>
  <c r="D2234" i="8"/>
  <c r="C2234" i="8"/>
  <c r="L2233" i="8"/>
  <c r="D2233" i="8"/>
  <c r="C2233" i="8"/>
  <c r="L2232" i="8"/>
  <c r="D2232" i="8"/>
  <c r="C2232" i="8"/>
  <c r="L2231" i="8"/>
  <c r="D2231" i="8"/>
  <c r="C2231" i="8"/>
  <c r="L2230" i="8"/>
  <c r="D2230" i="8"/>
  <c r="C2230" i="8"/>
  <c r="L2229" i="8"/>
  <c r="D2229" i="8"/>
  <c r="C2229" i="8"/>
  <c r="L2228" i="8"/>
  <c r="D2228" i="8"/>
  <c r="C2228" i="8"/>
  <c r="L2227" i="8"/>
  <c r="D2227" i="8"/>
  <c r="C2227" i="8"/>
  <c r="L2226" i="8"/>
  <c r="D2226" i="8"/>
  <c r="C2226" i="8"/>
  <c r="L2225" i="8"/>
  <c r="D2225" i="8"/>
  <c r="C2225" i="8"/>
  <c r="L2224" i="8"/>
  <c r="D2224" i="8"/>
  <c r="C2224" i="8"/>
  <c r="L2223" i="8"/>
  <c r="D2223" i="8"/>
  <c r="C2223" i="8"/>
  <c r="L2222" i="8"/>
  <c r="D2222" i="8"/>
  <c r="C2222" i="8"/>
  <c r="L2221" i="8"/>
  <c r="D2221" i="8"/>
  <c r="C2221" i="8"/>
  <c r="L2220" i="8"/>
  <c r="D2220" i="8"/>
  <c r="C2220" i="8"/>
  <c r="L2219" i="8"/>
  <c r="D2219" i="8"/>
  <c r="C2219" i="8"/>
  <c r="L2218" i="8"/>
  <c r="D2218" i="8"/>
  <c r="C2218" i="8"/>
  <c r="L2217" i="8"/>
  <c r="D2217" i="8"/>
  <c r="C2217" i="8"/>
  <c r="L2216" i="8"/>
  <c r="D2216" i="8"/>
  <c r="C2216" i="8"/>
  <c r="L2215" i="8"/>
  <c r="D2215" i="8"/>
  <c r="C2215" i="8"/>
  <c r="L2214" i="8"/>
  <c r="D2214" i="8"/>
  <c r="C2214" i="8"/>
  <c r="L2213" i="8"/>
  <c r="D2213" i="8"/>
  <c r="C2213" i="8"/>
  <c r="L2212" i="8"/>
  <c r="D2212" i="8"/>
  <c r="C2212" i="8"/>
  <c r="L2211" i="8"/>
  <c r="D2211" i="8"/>
  <c r="C2211" i="8"/>
  <c r="L2210" i="8"/>
  <c r="D2210" i="8"/>
  <c r="C2210" i="8"/>
  <c r="L2209" i="8"/>
  <c r="D2209" i="8"/>
  <c r="C2209" i="8"/>
  <c r="L2208" i="8"/>
  <c r="D2208" i="8"/>
  <c r="C2208" i="8"/>
  <c r="L2207" i="8"/>
  <c r="D2207" i="8"/>
  <c r="C2207" i="8"/>
  <c r="L2206" i="8"/>
  <c r="D2206" i="8"/>
  <c r="C2206" i="8"/>
  <c r="L2205" i="8"/>
  <c r="D2205" i="8"/>
  <c r="C2205" i="8"/>
  <c r="L2204" i="8"/>
  <c r="D2204" i="8"/>
  <c r="C2204" i="8"/>
  <c r="L2203" i="8"/>
  <c r="D2203" i="8"/>
  <c r="C2203" i="8"/>
  <c r="L2202" i="8"/>
  <c r="D2202" i="8"/>
  <c r="C2202" i="8"/>
  <c r="L2201" i="8"/>
  <c r="D2201" i="8"/>
  <c r="C2201" i="8"/>
  <c r="L2200" i="8"/>
  <c r="D2200" i="8"/>
  <c r="C2200" i="8"/>
  <c r="L2199" i="8"/>
  <c r="D2199" i="8"/>
  <c r="C2199" i="8"/>
  <c r="L2198" i="8"/>
  <c r="D2198" i="8"/>
  <c r="C2198" i="8"/>
  <c r="L2197" i="8"/>
  <c r="D2197" i="8"/>
  <c r="C2197" i="8"/>
  <c r="L2196" i="8"/>
  <c r="D2196" i="8"/>
  <c r="C2196" i="8"/>
  <c r="L2195" i="8"/>
  <c r="D2195" i="8"/>
  <c r="C2195" i="8"/>
  <c r="L2194" i="8"/>
  <c r="D2194" i="8"/>
  <c r="C2194" i="8"/>
  <c r="L2193" i="8"/>
  <c r="D2193" i="8"/>
  <c r="C2193" i="8"/>
  <c r="L2192" i="8"/>
  <c r="D2192" i="8"/>
  <c r="C2192" i="8"/>
  <c r="L2191" i="8"/>
  <c r="D2191" i="8"/>
  <c r="C2191" i="8"/>
  <c r="L2190" i="8"/>
  <c r="D2190" i="8"/>
  <c r="C2190" i="8"/>
  <c r="L2189" i="8"/>
  <c r="D2189" i="8"/>
  <c r="C2189" i="8"/>
  <c r="L2188" i="8"/>
  <c r="D2188" i="8"/>
  <c r="C2188" i="8"/>
  <c r="L2187" i="8"/>
  <c r="D2187" i="8"/>
  <c r="C2187" i="8"/>
  <c r="L2186" i="8"/>
  <c r="D2186" i="8"/>
  <c r="C2186" i="8"/>
  <c r="L2185" i="8"/>
  <c r="D2185" i="8"/>
  <c r="C2185" i="8"/>
  <c r="L2184" i="8"/>
  <c r="D2184" i="8"/>
  <c r="C2184" i="8"/>
  <c r="L2183" i="8"/>
  <c r="D2183" i="8"/>
  <c r="C2183" i="8"/>
  <c r="L2182" i="8"/>
  <c r="D2182" i="8"/>
  <c r="C2182" i="8"/>
  <c r="L2181" i="8"/>
  <c r="D2181" i="8"/>
  <c r="C2181" i="8"/>
  <c r="L2180" i="8"/>
  <c r="D2180" i="8"/>
  <c r="C2180" i="8"/>
  <c r="L2179" i="8"/>
  <c r="D2179" i="8"/>
  <c r="C2179" i="8"/>
  <c r="L2178" i="8"/>
  <c r="D2178" i="8"/>
  <c r="C2178" i="8"/>
  <c r="L2177" i="8"/>
  <c r="D2177" i="8"/>
  <c r="C2177" i="8"/>
  <c r="L2176" i="8"/>
  <c r="D2176" i="8"/>
  <c r="C2176" i="8"/>
  <c r="L2175" i="8"/>
  <c r="D2175" i="8"/>
  <c r="C2175" i="8"/>
  <c r="L2174" i="8"/>
  <c r="D2174" i="8"/>
  <c r="C2174" i="8"/>
  <c r="L2173" i="8"/>
  <c r="D2173" i="8"/>
  <c r="C2173" i="8"/>
  <c r="L2172" i="8"/>
  <c r="D2172" i="8"/>
  <c r="C2172" i="8"/>
  <c r="L2171" i="8"/>
  <c r="D2171" i="8"/>
  <c r="C2171" i="8"/>
  <c r="L2170" i="8"/>
  <c r="D2170" i="8"/>
  <c r="C2170" i="8"/>
  <c r="L2169" i="8"/>
  <c r="D2169" i="8"/>
  <c r="C2169" i="8"/>
  <c r="L2168" i="8"/>
  <c r="D2168" i="8"/>
  <c r="C2168" i="8"/>
  <c r="L2167" i="8"/>
  <c r="D2167" i="8"/>
  <c r="C2167" i="8"/>
  <c r="L2166" i="8"/>
  <c r="D2166" i="8"/>
  <c r="C2166" i="8"/>
  <c r="L2165" i="8"/>
  <c r="D2165" i="8"/>
  <c r="C2165" i="8"/>
  <c r="L2164" i="8"/>
  <c r="D2164" i="8"/>
  <c r="C2164" i="8"/>
  <c r="L2163" i="8"/>
  <c r="D2163" i="8"/>
  <c r="C2163" i="8"/>
  <c r="L2162" i="8"/>
  <c r="D2162" i="8"/>
  <c r="C2162" i="8"/>
  <c r="L2161" i="8"/>
  <c r="D2161" i="8"/>
  <c r="C2161" i="8"/>
  <c r="L2160" i="8"/>
  <c r="D2160" i="8"/>
  <c r="C2160" i="8"/>
  <c r="L2159" i="8"/>
  <c r="D2159" i="8"/>
  <c r="C2159" i="8"/>
  <c r="L2158" i="8"/>
  <c r="D2158" i="8"/>
  <c r="C2158" i="8"/>
  <c r="L2157" i="8"/>
  <c r="D2157" i="8"/>
  <c r="C2157" i="8"/>
  <c r="L2156" i="8"/>
  <c r="D2156" i="8"/>
  <c r="C2156" i="8"/>
  <c r="L2155" i="8"/>
  <c r="D2155" i="8"/>
  <c r="C2155" i="8"/>
  <c r="L2154" i="8"/>
  <c r="D2154" i="8"/>
  <c r="C2154" i="8"/>
  <c r="L2153" i="8"/>
  <c r="D2153" i="8"/>
  <c r="C2153" i="8"/>
  <c r="L2152" i="8"/>
  <c r="D2152" i="8"/>
  <c r="C2152" i="8"/>
  <c r="L2151" i="8"/>
  <c r="D2151" i="8"/>
  <c r="C2151" i="8"/>
  <c r="L2150" i="8"/>
  <c r="D2150" i="8"/>
  <c r="C2150" i="8"/>
  <c r="L2149" i="8"/>
  <c r="D2149" i="8"/>
  <c r="C2149" i="8"/>
  <c r="L2148" i="8"/>
  <c r="D2148" i="8"/>
  <c r="C2148" i="8"/>
  <c r="L2147" i="8"/>
  <c r="D2147" i="8"/>
  <c r="C2147" i="8"/>
  <c r="L2146" i="8"/>
  <c r="D2146" i="8"/>
  <c r="C2146" i="8"/>
  <c r="L2145" i="8"/>
  <c r="D2145" i="8"/>
  <c r="C2145" i="8"/>
  <c r="L2144" i="8"/>
  <c r="D2144" i="8"/>
  <c r="C2144" i="8"/>
  <c r="L2143" i="8"/>
  <c r="D2143" i="8"/>
  <c r="C2143" i="8"/>
  <c r="L2142" i="8"/>
  <c r="D2142" i="8"/>
  <c r="C2142" i="8"/>
  <c r="L2141" i="8"/>
  <c r="D2141" i="8"/>
  <c r="C2141" i="8"/>
  <c r="L2140" i="8"/>
  <c r="D2140" i="8"/>
  <c r="C2140" i="8"/>
  <c r="L2139" i="8"/>
  <c r="D2139" i="8"/>
  <c r="C2139" i="8"/>
  <c r="L2138" i="8"/>
  <c r="D2138" i="8"/>
  <c r="C2138" i="8"/>
  <c r="L2137" i="8"/>
  <c r="D2137" i="8"/>
  <c r="C2137" i="8"/>
  <c r="L2136" i="8"/>
  <c r="D2136" i="8"/>
  <c r="C2136" i="8"/>
  <c r="L2135" i="8"/>
  <c r="D2135" i="8"/>
  <c r="C2135" i="8"/>
  <c r="L2134" i="8"/>
  <c r="D2134" i="8"/>
  <c r="C2134" i="8"/>
  <c r="L2133" i="8"/>
  <c r="D2133" i="8"/>
  <c r="C2133" i="8"/>
  <c r="L2132" i="8"/>
  <c r="D2132" i="8"/>
  <c r="C2132" i="8"/>
  <c r="L2131" i="8"/>
  <c r="D2131" i="8"/>
  <c r="C2131" i="8"/>
  <c r="L2130" i="8"/>
  <c r="D2130" i="8"/>
  <c r="C2130" i="8"/>
  <c r="L2129" i="8"/>
  <c r="D2129" i="8"/>
  <c r="C2129" i="8"/>
  <c r="L2128" i="8"/>
  <c r="D2128" i="8"/>
  <c r="C2128" i="8"/>
  <c r="L2127" i="8"/>
  <c r="D2127" i="8"/>
  <c r="C2127" i="8"/>
  <c r="L2126" i="8"/>
  <c r="D2126" i="8"/>
  <c r="C2126" i="8"/>
  <c r="L2125" i="8"/>
  <c r="D2125" i="8"/>
  <c r="C2125" i="8"/>
  <c r="L2124" i="8"/>
  <c r="D2124" i="8"/>
  <c r="C2124" i="8"/>
  <c r="L2123" i="8"/>
  <c r="D2123" i="8"/>
  <c r="C2123" i="8"/>
  <c r="L2122" i="8"/>
  <c r="D2122" i="8"/>
  <c r="C2122" i="8"/>
  <c r="L2121" i="8"/>
  <c r="D2121" i="8"/>
  <c r="C2121" i="8"/>
  <c r="L2120" i="8"/>
  <c r="D2120" i="8"/>
  <c r="C2120" i="8"/>
  <c r="L2119" i="8"/>
  <c r="D2119" i="8"/>
  <c r="C2119" i="8"/>
  <c r="L2118" i="8"/>
  <c r="D2118" i="8"/>
  <c r="C2118" i="8"/>
  <c r="L2117" i="8"/>
  <c r="D2117" i="8"/>
  <c r="C2117" i="8"/>
  <c r="L2116" i="8"/>
  <c r="D2116" i="8"/>
  <c r="C2116" i="8"/>
  <c r="L2115" i="8"/>
  <c r="D2115" i="8"/>
  <c r="C2115" i="8"/>
  <c r="L2114" i="8"/>
  <c r="D2114" i="8"/>
  <c r="C2114" i="8"/>
  <c r="L2113" i="8"/>
  <c r="D2113" i="8"/>
  <c r="C2113" i="8"/>
  <c r="L2112" i="8"/>
  <c r="D2112" i="8"/>
  <c r="C2112" i="8"/>
  <c r="L2111" i="8"/>
  <c r="D2111" i="8"/>
  <c r="C2111" i="8"/>
  <c r="L2110" i="8"/>
  <c r="D2110" i="8"/>
  <c r="C2110" i="8"/>
  <c r="L2109" i="8"/>
  <c r="D2109" i="8"/>
  <c r="C2109" i="8"/>
  <c r="L2108" i="8"/>
  <c r="D2108" i="8"/>
  <c r="C2108" i="8"/>
  <c r="L2107" i="8"/>
  <c r="D2107" i="8"/>
  <c r="C2107" i="8"/>
  <c r="L2106" i="8"/>
  <c r="D2106" i="8"/>
  <c r="C2106" i="8"/>
  <c r="L2105" i="8"/>
  <c r="D2105" i="8"/>
  <c r="C2105" i="8"/>
  <c r="L2104" i="8"/>
  <c r="D2104" i="8"/>
  <c r="C2104" i="8"/>
  <c r="L2103" i="8"/>
  <c r="D2103" i="8"/>
  <c r="C2103" i="8"/>
  <c r="L2102" i="8"/>
  <c r="D2102" i="8"/>
  <c r="C2102" i="8"/>
  <c r="L2101" i="8"/>
  <c r="D2101" i="8"/>
  <c r="C2101" i="8"/>
  <c r="L2100" i="8"/>
  <c r="D2100" i="8"/>
  <c r="C2100" i="8"/>
  <c r="L2099" i="8"/>
  <c r="D2099" i="8"/>
  <c r="C2099" i="8"/>
  <c r="L2098" i="8"/>
  <c r="D2098" i="8"/>
  <c r="C2098" i="8"/>
  <c r="L2097" i="8"/>
  <c r="D2097" i="8"/>
  <c r="C2097" i="8"/>
  <c r="L2096" i="8"/>
  <c r="D2096" i="8"/>
  <c r="C2096" i="8"/>
  <c r="L2095" i="8"/>
  <c r="D2095" i="8"/>
  <c r="C2095" i="8"/>
  <c r="L2094" i="8"/>
  <c r="D2094" i="8"/>
  <c r="C2094" i="8"/>
  <c r="L2093" i="8"/>
  <c r="D2093" i="8"/>
  <c r="C2093" i="8"/>
  <c r="L2092" i="8"/>
  <c r="D2092" i="8"/>
  <c r="C2092" i="8"/>
  <c r="L2091" i="8"/>
  <c r="D2091" i="8"/>
  <c r="C2091" i="8"/>
  <c r="L2090" i="8"/>
  <c r="D2090" i="8"/>
  <c r="C2090" i="8"/>
  <c r="L2089" i="8"/>
  <c r="D2089" i="8"/>
  <c r="C2089" i="8"/>
  <c r="L2088" i="8"/>
  <c r="D2088" i="8"/>
  <c r="C2088" i="8"/>
  <c r="L2087" i="8"/>
  <c r="D2087" i="8"/>
  <c r="C2087" i="8"/>
  <c r="L2086" i="8"/>
  <c r="D2086" i="8"/>
  <c r="C2086" i="8"/>
  <c r="L2085" i="8"/>
  <c r="D2085" i="8"/>
  <c r="C2085" i="8"/>
  <c r="L2084" i="8"/>
  <c r="D2084" i="8"/>
  <c r="C2084" i="8"/>
  <c r="L2083" i="8"/>
  <c r="D2083" i="8"/>
  <c r="C2083" i="8"/>
  <c r="L2082" i="8"/>
  <c r="D2082" i="8"/>
  <c r="C2082" i="8"/>
  <c r="L2081" i="8"/>
  <c r="D2081" i="8"/>
  <c r="C2081" i="8"/>
  <c r="L2080" i="8"/>
  <c r="D2080" i="8"/>
  <c r="C2080" i="8"/>
  <c r="L2079" i="8"/>
  <c r="D2079" i="8"/>
  <c r="C2079" i="8"/>
  <c r="L2078" i="8"/>
  <c r="D2078" i="8"/>
  <c r="C2078" i="8"/>
  <c r="L2077" i="8"/>
  <c r="D2077" i="8"/>
  <c r="C2077" i="8"/>
  <c r="L2076" i="8"/>
  <c r="D2076" i="8"/>
  <c r="C2076" i="8"/>
  <c r="L2075" i="8"/>
  <c r="D2075" i="8"/>
  <c r="C2075" i="8"/>
  <c r="L2074" i="8"/>
  <c r="D2074" i="8"/>
  <c r="C2074" i="8"/>
  <c r="L2073" i="8"/>
  <c r="D2073" i="8"/>
  <c r="C2073" i="8"/>
  <c r="L2072" i="8"/>
  <c r="D2072" i="8"/>
  <c r="C2072" i="8"/>
  <c r="L2071" i="8"/>
  <c r="D2071" i="8"/>
  <c r="C2071" i="8"/>
  <c r="L2070" i="8"/>
  <c r="D2070" i="8"/>
  <c r="C2070" i="8"/>
  <c r="L2069" i="8"/>
  <c r="D2069" i="8"/>
  <c r="C2069" i="8"/>
  <c r="L2068" i="8"/>
  <c r="D2068" i="8"/>
  <c r="C2068" i="8"/>
  <c r="L2067" i="8"/>
  <c r="D2067" i="8"/>
  <c r="C2067" i="8"/>
  <c r="L2066" i="8"/>
  <c r="D2066" i="8"/>
  <c r="C2066" i="8"/>
  <c r="L2065" i="8"/>
  <c r="D2065" i="8"/>
  <c r="C2065" i="8"/>
  <c r="L2064" i="8"/>
  <c r="D2064" i="8"/>
  <c r="C2064" i="8"/>
  <c r="L2063" i="8"/>
  <c r="D2063" i="8"/>
  <c r="C2063" i="8"/>
  <c r="L2062" i="8"/>
  <c r="D2062" i="8"/>
  <c r="C2062" i="8"/>
  <c r="L2061" i="8"/>
  <c r="D2061" i="8"/>
  <c r="C2061" i="8"/>
  <c r="L2060" i="8"/>
  <c r="D2060" i="8"/>
  <c r="C2060" i="8"/>
  <c r="L2059" i="8"/>
  <c r="D2059" i="8"/>
  <c r="C2059" i="8"/>
  <c r="L2058" i="8"/>
  <c r="D2058" i="8"/>
  <c r="C2058" i="8"/>
  <c r="L2057" i="8"/>
  <c r="D2057" i="8"/>
  <c r="C2057" i="8"/>
  <c r="L2056" i="8"/>
  <c r="D2056" i="8"/>
  <c r="C2056" i="8"/>
  <c r="L2055" i="8"/>
  <c r="D2055" i="8"/>
  <c r="C2055" i="8"/>
  <c r="L2054" i="8"/>
  <c r="D2054" i="8"/>
  <c r="C2054" i="8"/>
  <c r="L2053" i="8"/>
  <c r="D2053" i="8"/>
  <c r="C2053" i="8"/>
  <c r="L2052" i="8"/>
  <c r="D2052" i="8"/>
  <c r="C2052" i="8"/>
  <c r="L2051" i="8"/>
  <c r="D2051" i="8"/>
  <c r="C2051" i="8"/>
  <c r="L2050" i="8"/>
  <c r="D2050" i="8"/>
  <c r="C2050" i="8"/>
  <c r="L2049" i="8"/>
  <c r="D2049" i="8"/>
  <c r="C2049" i="8"/>
  <c r="L2048" i="8"/>
  <c r="D2048" i="8"/>
  <c r="C2048" i="8"/>
  <c r="L2047" i="8"/>
  <c r="D2047" i="8"/>
  <c r="C2047" i="8"/>
  <c r="L2046" i="8"/>
  <c r="D2046" i="8"/>
  <c r="C2046" i="8"/>
  <c r="L2045" i="8"/>
  <c r="D2045" i="8"/>
  <c r="C2045" i="8"/>
  <c r="L2044" i="8"/>
  <c r="D2044" i="8"/>
  <c r="C2044" i="8"/>
  <c r="L2043" i="8"/>
  <c r="D2043" i="8"/>
  <c r="C2043" i="8"/>
  <c r="L2042" i="8"/>
  <c r="D2042" i="8"/>
  <c r="C2042" i="8"/>
  <c r="L2041" i="8"/>
  <c r="D2041" i="8"/>
  <c r="C2041" i="8"/>
  <c r="L2040" i="8"/>
  <c r="D2040" i="8"/>
  <c r="C2040" i="8"/>
  <c r="L2039" i="8"/>
  <c r="D2039" i="8"/>
  <c r="C2039" i="8"/>
  <c r="L2038" i="8"/>
  <c r="D2038" i="8"/>
  <c r="C2038" i="8"/>
  <c r="L2037" i="8"/>
  <c r="D2037" i="8"/>
  <c r="C2037" i="8"/>
  <c r="L2036" i="8"/>
  <c r="D2036" i="8"/>
  <c r="C2036" i="8"/>
  <c r="L2035" i="8"/>
  <c r="D2035" i="8"/>
  <c r="C2035" i="8"/>
  <c r="L2034" i="8"/>
  <c r="D2034" i="8"/>
  <c r="C2034" i="8"/>
  <c r="L2033" i="8"/>
  <c r="D2033" i="8"/>
  <c r="C2033" i="8"/>
  <c r="L2032" i="8"/>
  <c r="D2032" i="8"/>
  <c r="C2032" i="8"/>
  <c r="L2031" i="8"/>
  <c r="D2031" i="8"/>
  <c r="C2031" i="8"/>
  <c r="L2030" i="8"/>
  <c r="D2030" i="8"/>
  <c r="C2030" i="8"/>
  <c r="L2029" i="8"/>
  <c r="D2029" i="8"/>
  <c r="C2029" i="8"/>
  <c r="L2028" i="8"/>
  <c r="D2028" i="8"/>
  <c r="C2028" i="8"/>
  <c r="L2027" i="8"/>
  <c r="D2027" i="8"/>
  <c r="C2027" i="8"/>
  <c r="L2026" i="8"/>
  <c r="D2026" i="8"/>
  <c r="C2026" i="8"/>
  <c r="L2025" i="8"/>
  <c r="D2025" i="8"/>
  <c r="C2025" i="8"/>
  <c r="L2024" i="8"/>
  <c r="D2024" i="8"/>
  <c r="C2024" i="8"/>
  <c r="L2023" i="8"/>
  <c r="D2023" i="8"/>
  <c r="C2023" i="8"/>
  <c r="L2022" i="8"/>
  <c r="D2022" i="8"/>
  <c r="C2022" i="8"/>
  <c r="L2021" i="8"/>
  <c r="D2021" i="8"/>
  <c r="C2021" i="8"/>
  <c r="L2020" i="8"/>
  <c r="D2020" i="8"/>
  <c r="C2020" i="8"/>
  <c r="L2019" i="8"/>
  <c r="D2019" i="8"/>
  <c r="C2019" i="8"/>
  <c r="L2018" i="8"/>
  <c r="D2018" i="8"/>
  <c r="C2018" i="8"/>
  <c r="L2017" i="8"/>
  <c r="D2017" i="8"/>
  <c r="C2017" i="8"/>
  <c r="L2016" i="8"/>
  <c r="D2016" i="8"/>
  <c r="C2016" i="8"/>
  <c r="L2015" i="8"/>
  <c r="D2015" i="8"/>
  <c r="C2015" i="8"/>
  <c r="L2014" i="8"/>
  <c r="D2014" i="8"/>
  <c r="C2014" i="8"/>
  <c r="L2013" i="8"/>
  <c r="D2013" i="8"/>
  <c r="C2013" i="8"/>
  <c r="L2012" i="8"/>
  <c r="D2012" i="8"/>
  <c r="C2012" i="8"/>
  <c r="L2011" i="8"/>
  <c r="D2011" i="8"/>
  <c r="C2011" i="8"/>
  <c r="L2010" i="8"/>
  <c r="D2010" i="8"/>
  <c r="C2010" i="8"/>
  <c r="L2009" i="8"/>
  <c r="D2009" i="8"/>
  <c r="C2009" i="8"/>
  <c r="L2008" i="8"/>
  <c r="D2008" i="8"/>
  <c r="C2008" i="8"/>
  <c r="L2007" i="8"/>
  <c r="D2007" i="8"/>
  <c r="C2007" i="8"/>
  <c r="L2006" i="8"/>
  <c r="D2006" i="8"/>
  <c r="C2006" i="8"/>
  <c r="L2005" i="8"/>
  <c r="D2005" i="8"/>
  <c r="C2005" i="8"/>
  <c r="L2004" i="8"/>
  <c r="D2004" i="8"/>
  <c r="C2004" i="8"/>
  <c r="L2003" i="8"/>
  <c r="D2003" i="8"/>
  <c r="C2003" i="8"/>
  <c r="L2002" i="8"/>
  <c r="D2002" i="8"/>
  <c r="C2002" i="8"/>
  <c r="L2001" i="8"/>
  <c r="D2001" i="8"/>
  <c r="C2001" i="8"/>
  <c r="L2000" i="8"/>
  <c r="D2000" i="8"/>
  <c r="C2000" i="8"/>
  <c r="L1999" i="8"/>
  <c r="D1999" i="8"/>
  <c r="C1999" i="8"/>
  <c r="L1998" i="8"/>
  <c r="D1998" i="8"/>
  <c r="C1998" i="8"/>
  <c r="L1997" i="8"/>
  <c r="D1997" i="8"/>
  <c r="C1997" i="8"/>
  <c r="L1996" i="8"/>
  <c r="D1996" i="8"/>
  <c r="C1996" i="8"/>
  <c r="L1995" i="8"/>
  <c r="D1995" i="8"/>
  <c r="C1995" i="8"/>
  <c r="L1994" i="8"/>
  <c r="D1994" i="8"/>
  <c r="C1994" i="8"/>
  <c r="L1993" i="8"/>
  <c r="D1993" i="8"/>
  <c r="C1993" i="8"/>
  <c r="L1992" i="8"/>
  <c r="D1992" i="8"/>
  <c r="C1992" i="8"/>
  <c r="L1991" i="8"/>
  <c r="D1991" i="8"/>
  <c r="C1991" i="8"/>
  <c r="L1990" i="8"/>
  <c r="D1990" i="8"/>
  <c r="C1990" i="8"/>
  <c r="L1989" i="8"/>
  <c r="D1989" i="8"/>
  <c r="C1989" i="8"/>
  <c r="L1988" i="8"/>
  <c r="D1988" i="8"/>
  <c r="C1988" i="8"/>
  <c r="L1987" i="8"/>
  <c r="D1987" i="8"/>
  <c r="C1987" i="8"/>
  <c r="L1986" i="8"/>
  <c r="D1986" i="8"/>
  <c r="C1986" i="8"/>
  <c r="L1985" i="8"/>
  <c r="D1985" i="8"/>
  <c r="C1985" i="8"/>
  <c r="L1984" i="8"/>
  <c r="D1984" i="8"/>
  <c r="C1984" i="8"/>
  <c r="L1983" i="8"/>
  <c r="D1983" i="8"/>
  <c r="C1983" i="8"/>
  <c r="L1982" i="8"/>
  <c r="D1982" i="8"/>
  <c r="C1982" i="8"/>
  <c r="L1981" i="8"/>
  <c r="D1981" i="8"/>
  <c r="C1981" i="8"/>
  <c r="L1980" i="8"/>
  <c r="D1980" i="8"/>
  <c r="C1980" i="8"/>
  <c r="L1979" i="8"/>
  <c r="D1979" i="8"/>
  <c r="C1979" i="8"/>
  <c r="L1978" i="8"/>
  <c r="D1978" i="8"/>
  <c r="C1978" i="8"/>
  <c r="L1977" i="8"/>
  <c r="D1977" i="8"/>
  <c r="C1977" i="8"/>
  <c r="L1976" i="8"/>
  <c r="D1976" i="8"/>
  <c r="C1976" i="8"/>
  <c r="L1975" i="8"/>
  <c r="D1975" i="8"/>
  <c r="C1975" i="8"/>
  <c r="L1974" i="8"/>
  <c r="D1974" i="8"/>
  <c r="C1974" i="8"/>
  <c r="L1973" i="8"/>
  <c r="D1973" i="8"/>
  <c r="C1973" i="8"/>
  <c r="L1972" i="8"/>
  <c r="D1972" i="8"/>
  <c r="C1972" i="8"/>
  <c r="L1971" i="8"/>
  <c r="D1971" i="8"/>
  <c r="C1971" i="8"/>
  <c r="L1970" i="8"/>
  <c r="D1970" i="8"/>
  <c r="C1970" i="8"/>
  <c r="L1969" i="8"/>
  <c r="D1969" i="8"/>
  <c r="C1969" i="8"/>
  <c r="L1968" i="8"/>
  <c r="D1968" i="8"/>
  <c r="C1968" i="8"/>
  <c r="L1967" i="8"/>
  <c r="D1967" i="8"/>
  <c r="C1967" i="8"/>
  <c r="L1966" i="8"/>
  <c r="D1966" i="8"/>
  <c r="C1966" i="8"/>
  <c r="L1965" i="8"/>
  <c r="D1965" i="8"/>
  <c r="C1965" i="8"/>
  <c r="L1964" i="8"/>
  <c r="D1964" i="8"/>
  <c r="C1964" i="8"/>
  <c r="L1963" i="8"/>
  <c r="D1963" i="8"/>
  <c r="C1963" i="8"/>
  <c r="L1962" i="8"/>
  <c r="D1962" i="8"/>
  <c r="C1962" i="8"/>
  <c r="L1961" i="8"/>
  <c r="D1961" i="8"/>
  <c r="C1961" i="8"/>
  <c r="L1960" i="8"/>
  <c r="D1960" i="8"/>
  <c r="C1960" i="8"/>
  <c r="L1959" i="8"/>
  <c r="D1959" i="8"/>
  <c r="C1959" i="8"/>
  <c r="L1958" i="8"/>
  <c r="D1958" i="8"/>
  <c r="C1958" i="8"/>
  <c r="L1957" i="8"/>
  <c r="D1957" i="8"/>
  <c r="C1957" i="8"/>
  <c r="L1956" i="8"/>
  <c r="D1956" i="8"/>
  <c r="C1956" i="8"/>
  <c r="L1955" i="8"/>
  <c r="D1955" i="8"/>
  <c r="C1955" i="8"/>
  <c r="L1954" i="8"/>
  <c r="D1954" i="8"/>
  <c r="C1954" i="8"/>
  <c r="L1953" i="8"/>
  <c r="D1953" i="8"/>
  <c r="C1953" i="8"/>
  <c r="L1952" i="8"/>
  <c r="D1952" i="8"/>
  <c r="C1952" i="8"/>
  <c r="L1951" i="8"/>
  <c r="D1951" i="8"/>
  <c r="C1951" i="8"/>
  <c r="L1950" i="8"/>
  <c r="D1950" i="8"/>
  <c r="C1950" i="8"/>
  <c r="L1949" i="8"/>
  <c r="D1949" i="8"/>
  <c r="C1949" i="8"/>
  <c r="L1948" i="8"/>
  <c r="D1948" i="8"/>
  <c r="C1948" i="8"/>
  <c r="L1947" i="8"/>
  <c r="D1947" i="8"/>
  <c r="C1947" i="8"/>
  <c r="L1946" i="8"/>
  <c r="D1946" i="8"/>
  <c r="C1946" i="8"/>
  <c r="L1945" i="8"/>
  <c r="D1945" i="8"/>
  <c r="C1945" i="8"/>
  <c r="L1944" i="8"/>
  <c r="D1944" i="8"/>
  <c r="C1944" i="8"/>
  <c r="L1943" i="8"/>
  <c r="D1943" i="8"/>
  <c r="C1943" i="8"/>
  <c r="L1942" i="8"/>
  <c r="D1942" i="8"/>
  <c r="C1942" i="8"/>
  <c r="L1941" i="8"/>
  <c r="D1941" i="8"/>
  <c r="C1941" i="8"/>
  <c r="L1940" i="8"/>
  <c r="D1940" i="8"/>
  <c r="C1940" i="8"/>
  <c r="L1939" i="8"/>
  <c r="D1939" i="8"/>
  <c r="C1939" i="8"/>
  <c r="L1938" i="8"/>
  <c r="D1938" i="8"/>
  <c r="C1938" i="8"/>
  <c r="L1937" i="8"/>
  <c r="D1937" i="8"/>
  <c r="C1937" i="8"/>
  <c r="L1936" i="8"/>
  <c r="D1936" i="8"/>
  <c r="C1936" i="8"/>
  <c r="L1935" i="8"/>
  <c r="D1935" i="8"/>
  <c r="C1935" i="8"/>
  <c r="L1934" i="8"/>
  <c r="D1934" i="8"/>
  <c r="C1934" i="8"/>
  <c r="L1933" i="8"/>
  <c r="D1933" i="8"/>
  <c r="C1933" i="8"/>
  <c r="L1932" i="8"/>
  <c r="D1932" i="8"/>
  <c r="C1932" i="8"/>
  <c r="L1931" i="8"/>
  <c r="D1931" i="8"/>
  <c r="C1931" i="8"/>
  <c r="L1930" i="8"/>
  <c r="D1930" i="8"/>
  <c r="C1930" i="8"/>
  <c r="L1929" i="8"/>
  <c r="D1929" i="8"/>
  <c r="C1929" i="8"/>
  <c r="L1928" i="8"/>
  <c r="D1928" i="8"/>
  <c r="C1928" i="8"/>
  <c r="L1927" i="8"/>
  <c r="D1927" i="8"/>
  <c r="C1927" i="8"/>
  <c r="L1926" i="8"/>
  <c r="D1926" i="8"/>
  <c r="C1926" i="8"/>
  <c r="L1925" i="8"/>
  <c r="D1925" i="8"/>
  <c r="C1925" i="8"/>
  <c r="L1924" i="8"/>
  <c r="D1924" i="8"/>
  <c r="C1924" i="8"/>
  <c r="L1923" i="8"/>
  <c r="D1923" i="8"/>
  <c r="C1923" i="8"/>
  <c r="L1922" i="8"/>
  <c r="D1922" i="8"/>
  <c r="C1922" i="8"/>
  <c r="L1921" i="8"/>
  <c r="D1921" i="8"/>
  <c r="C1921" i="8"/>
  <c r="L1920" i="8"/>
  <c r="D1920" i="8"/>
  <c r="C1920" i="8"/>
  <c r="L1919" i="8"/>
  <c r="D1919" i="8"/>
  <c r="C1919" i="8"/>
  <c r="L1918" i="8"/>
  <c r="D1918" i="8"/>
  <c r="C1918" i="8"/>
  <c r="L1917" i="8"/>
  <c r="D1917" i="8"/>
  <c r="C1917" i="8"/>
  <c r="L1916" i="8"/>
  <c r="D1916" i="8"/>
  <c r="C1916" i="8"/>
  <c r="L1915" i="8"/>
  <c r="D1915" i="8"/>
  <c r="C1915" i="8"/>
  <c r="L1914" i="8"/>
  <c r="D1914" i="8"/>
  <c r="C1914" i="8"/>
  <c r="L1913" i="8"/>
  <c r="D1913" i="8"/>
  <c r="C1913" i="8"/>
  <c r="L1912" i="8"/>
  <c r="D1912" i="8"/>
  <c r="C1912" i="8"/>
  <c r="L1911" i="8"/>
  <c r="D1911" i="8"/>
  <c r="C1911" i="8"/>
  <c r="L1910" i="8"/>
  <c r="D1910" i="8"/>
  <c r="C1910" i="8"/>
  <c r="L1909" i="8"/>
  <c r="D1909" i="8"/>
  <c r="C1909" i="8"/>
  <c r="L1908" i="8"/>
  <c r="D1908" i="8"/>
  <c r="C1908" i="8"/>
  <c r="L1907" i="8"/>
  <c r="D1907" i="8"/>
  <c r="C1907" i="8"/>
  <c r="L1906" i="8"/>
  <c r="D1906" i="8"/>
  <c r="C1906" i="8"/>
  <c r="L1905" i="8"/>
  <c r="D1905" i="8"/>
  <c r="C1905" i="8"/>
  <c r="L1904" i="8"/>
  <c r="D1904" i="8"/>
  <c r="C1904" i="8"/>
  <c r="L1903" i="8"/>
  <c r="D1903" i="8"/>
  <c r="C1903" i="8"/>
  <c r="L1902" i="8"/>
  <c r="D1902" i="8"/>
  <c r="C1902" i="8"/>
  <c r="L1901" i="8"/>
  <c r="D1901" i="8"/>
  <c r="C1901" i="8"/>
  <c r="L1900" i="8"/>
  <c r="D1900" i="8"/>
  <c r="C1900" i="8"/>
  <c r="L1899" i="8"/>
  <c r="D1899" i="8"/>
  <c r="C1899" i="8"/>
  <c r="L1898" i="8"/>
  <c r="D1898" i="8"/>
  <c r="C1898" i="8"/>
  <c r="L1897" i="8"/>
  <c r="D1897" i="8"/>
  <c r="C1897" i="8"/>
  <c r="L1896" i="8"/>
  <c r="D1896" i="8"/>
  <c r="C1896" i="8"/>
  <c r="L1895" i="8"/>
  <c r="D1895" i="8"/>
  <c r="C1895" i="8"/>
  <c r="L1894" i="8"/>
  <c r="D1894" i="8"/>
  <c r="C1894" i="8"/>
  <c r="L1893" i="8"/>
  <c r="D1893" i="8"/>
  <c r="C1893" i="8"/>
  <c r="L1892" i="8"/>
  <c r="D1892" i="8"/>
  <c r="C1892" i="8"/>
  <c r="L1891" i="8"/>
  <c r="D1891" i="8"/>
  <c r="C1891" i="8"/>
  <c r="L1890" i="8"/>
  <c r="D1890" i="8"/>
  <c r="C1890" i="8"/>
  <c r="L1889" i="8"/>
  <c r="D1889" i="8"/>
  <c r="C1889" i="8"/>
  <c r="L1888" i="8"/>
  <c r="D1888" i="8"/>
  <c r="C1888" i="8"/>
  <c r="L1887" i="8"/>
  <c r="D1887" i="8"/>
  <c r="C1887" i="8"/>
  <c r="L1886" i="8"/>
  <c r="D1886" i="8"/>
  <c r="C1886" i="8"/>
  <c r="L1885" i="8"/>
  <c r="D1885" i="8"/>
  <c r="C1885" i="8"/>
  <c r="L1884" i="8"/>
  <c r="D1884" i="8"/>
  <c r="C1884" i="8"/>
  <c r="L1883" i="8"/>
  <c r="D1883" i="8"/>
  <c r="C1883" i="8"/>
  <c r="L1882" i="8"/>
  <c r="D1882" i="8"/>
  <c r="C1882" i="8"/>
  <c r="L1881" i="8"/>
  <c r="D1881" i="8"/>
  <c r="C1881" i="8"/>
  <c r="L1880" i="8"/>
  <c r="D1880" i="8"/>
  <c r="C1880" i="8"/>
  <c r="L1879" i="8"/>
  <c r="D1879" i="8"/>
  <c r="C1879" i="8"/>
  <c r="L1878" i="8"/>
  <c r="D1878" i="8"/>
  <c r="C1878" i="8"/>
  <c r="L1877" i="8"/>
  <c r="D1877" i="8"/>
  <c r="C1877" i="8"/>
  <c r="L1876" i="8"/>
  <c r="D1876" i="8"/>
  <c r="C1876" i="8"/>
  <c r="L1875" i="8"/>
  <c r="D1875" i="8"/>
  <c r="C1875" i="8"/>
  <c r="L1874" i="8"/>
  <c r="D1874" i="8"/>
  <c r="C1874" i="8"/>
  <c r="L1873" i="8"/>
  <c r="D1873" i="8"/>
  <c r="C1873" i="8"/>
  <c r="L1872" i="8"/>
  <c r="D1872" i="8"/>
  <c r="C1872" i="8"/>
  <c r="L1871" i="8"/>
  <c r="D1871" i="8"/>
  <c r="C1871" i="8"/>
  <c r="L1870" i="8"/>
  <c r="D1870" i="8"/>
  <c r="C1870" i="8"/>
  <c r="L1869" i="8"/>
  <c r="D1869" i="8"/>
  <c r="C1869" i="8"/>
  <c r="L1868" i="8"/>
  <c r="D1868" i="8"/>
  <c r="C1868" i="8"/>
  <c r="L1867" i="8"/>
  <c r="D1867" i="8"/>
  <c r="C1867" i="8"/>
  <c r="L1866" i="8"/>
  <c r="D1866" i="8"/>
  <c r="C1866" i="8"/>
  <c r="L1865" i="8"/>
  <c r="D1865" i="8"/>
  <c r="C1865" i="8"/>
  <c r="L1864" i="8"/>
  <c r="D1864" i="8"/>
  <c r="C1864" i="8"/>
  <c r="L1863" i="8"/>
  <c r="D1863" i="8"/>
  <c r="C1863" i="8"/>
  <c r="L1862" i="8"/>
  <c r="D1862" i="8"/>
  <c r="C1862" i="8"/>
  <c r="L1861" i="8"/>
  <c r="D1861" i="8"/>
  <c r="C1861" i="8"/>
  <c r="L1860" i="8"/>
  <c r="D1860" i="8"/>
  <c r="C1860" i="8"/>
  <c r="L1859" i="8"/>
  <c r="D1859" i="8"/>
  <c r="C1859" i="8"/>
  <c r="L1858" i="8"/>
  <c r="D1858" i="8"/>
  <c r="C1858" i="8"/>
  <c r="L1857" i="8"/>
  <c r="D1857" i="8"/>
  <c r="C1857" i="8"/>
  <c r="L1856" i="8"/>
  <c r="D1856" i="8"/>
  <c r="C1856" i="8"/>
  <c r="L1855" i="8"/>
  <c r="D1855" i="8"/>
  <c r="C1855" i="8"/>
  <c r="L1854" i="8"/>
  <c r="D1854" i="8"/>
  <c r="C1854" i="8"/>
  <c r="L1853" i="8"/>
  <c r="D1853" i="8"/>
  <c r="C1853" i="8"/>
  <c r="L1852" i="8"/>
  <c r="D1852" i="8"/>
  <c r="C1852" i="8"/>
  <c r="L1851" i="8"/>
  <c r="D1851" i="8"/>
  <c r="C1851" i="8"/>
  <c r="L1850" i="8"/>
  <c r="D1850" i="8"/>
  <c r="C1850" i="8"/>
  <c r="L1849" i="8"/>
  <c r="D1849" i="8"/>
  <c r="C1849" i="8"/>
  <c r="L1848" i="8"/>
  <c r="D1848" i="8"/>
  <c r="C1848" i="8"/>
  <c r="L1847" i="8"/>
  <c r="D1847" i="8"/>
  <c r="C1847" i="8"/>
  <c r="L1846" i="8"/>
  <c r="D1846" i="8"/>
  <c r="C1846" i="8"/>
  <c r="L1845" i="8"/>
  <c r="D1845" i="8"/>
  <c r="C1845" i="8"/>
  <c r="L1844" i="8"/>
  <c r="D1844" i="8"/>
  <c r="C1844" i="8"/>
  <c r="L1843" i="8"/>
  <c r="D1843" i="8"/>
  <c r="C1843" i="8"/>
  <c r="L1842" i="8"/>
  <c r="D1842" i="8"/>
  <c r="C1842" i="8"/>
  <c r="L1841" i="8"/>
  <c r="D1841" i="8"/>
  <c r="C1841" i="8"/>
  <c r="L1840" i="8"/>
  <c r="D1840" i="8"/>
  <c r="C1840" i="8"/>
  <c r="L1839" i="8"/>
  <c r="D1839" i="8"/>
  <c r="C1839" i="8"/>
  <c r="L1838" i="8"/>
  <c r="D1838" i="8"/>
  <c r="C1838" i="8"/>
  <c r="L1837" i="8"/>
  <c r="D1837" i="8"/>
  <c r="C1837" i="8"/>
  <c r="L1836" i="8"/>
  <c r="D1836" i="8"/>
  <c r="C1836" i="8"/>
  <c r="L1835" i="8"/>
  <c r="D1835" i="8"/>
  <c r="C1835" i="8"/>
  <c r="L1834" i="8"/>
  <c r="D1834" i="8"/>
  <c r="C1834" i="8"/>
  <c r="L1833" i="8"/>
  <c r="D1833" i="8"/>
  <c r="C1833" i="8"/>
  <c r="L1832" i="8"/>
  <c r="D1832" i="8"/>
  <c r="C1832" i="8"/>
  <c r="L1831" i="8"/>
  <c r="D1831" i="8"/>
  <c r="C1831" i="8"/>
  <c r="L1830" i="8"/>
  <c r="D1830" i="8"/>
  <c r="C1830" i="8"/>
  <c r="L1829" i="8"/>
  <c r="D1829" i="8"/>
  <c r="C1829" i="8"/>
  <c r="L1828" i="8"/>
  <c r="D1828" i="8"/>
  <c r="C1828" i="8"/>
  <c r="L1827" i="8"/>
  <c r="D1827" i="8"/>
  <c r="C1827" i="8"/>
  <c r="L1826" i="8"/>
  <c r="D1826" i="8"/>
  <c r="C1826" i="8"/>
  <c r="L1825" i="8"/>
  <c r="D1825" i="8"/>
  <c r="C1825" i="8"/>
  <c r="L1824" i="8"/>
  <c r="D1824" i="8"/>
  <c r="C1824" i="8"/>
  <c r="L1823" i="8"/>
  <c r="D1823" i="8"/>
  <c r="C1823" i="8"/>
  <c r="L1822" i="8"/>
  <c r="D1822" i="8"/>
  <c r="C1822" i="8"/>
  <c r="L1821" i="8"/>
  <c r="D1821" i="8"/>
  <c r="C1821" i="8"/>
  <c r="L1820" i="8"/>
  <c r="D1820" i="8"/>
  <c r="C1820" i="8"/>
  <c r="L1819" i="8"/>
  <c r="D1819" i="8"/>
  <c r="C1819" i="8"/>
  <c r="L1818" i="8"/>
  <c r="D1818" i="8"/>
  <c r="C1818" i="8"/>
  <c r="L1817" i="8"/>
  <c r="D1817" i="8"/>
  <c r="C1817" i="8"/>
  <c r="L1816" i="8"/>
  <c r="D1816" i="8"/>
  <c r="C1816" i="8"/>
  <c r="L1815" i="8"/>
  <c r="D1815" i="8"/>
  <c r="C1815" i="8"/>
  <c r="L1814" i="8"/>
  <c r="D1814" i="8"/>
  <c r="C1814" i="8"/>
  <c r="L1813" i="8"/>
  <c r="D1813" i="8"/>
  <c r="C1813" i="8"/>
  <c r="L1812" i="8"/>
  <c r="D1812" i="8"/>
  <c r="C1812" i="8"/>
  <c r="L1811" i="8"/>
  <c r="D1811" i="8"/>
  <c r="C1811" i="8"/>
  <c r="L1810" i="8"/>
  <c r="D1810" i="8"/>
  <c r="C1810" i="8"/>
  <c r="L1809" i="8"/>
  <c r="D1809" i="8"/>
  <c r="C1809" i="8"/>
  <c r="L1808" i="8"/>
  <c r="D1808" i="8"/>
  <c r="C1808" i="8"/>
  <c r="L1807" i="8"/>
  <c r="D1807" i="8"/>
  <c r="C1807" i="8"/>
  <c r="L1806" i="8"/>
  <c r="D1806" i="8"/>
  <c r="C1806" i="8"/>
  <c r="L1805" i="8"/>
  <c r="D1805" i="8"/>
  <c r="C1805" i="8"/>
  <c r="L1804" i="8"/>
  <c r="D1804" i="8"/>
  <c r="C1804" i="8"/>
  <c r="L1803" i="8"/>
  <c r="D1803" i="8"/>
  <c r="C1803" i="8"/>
  <c r="L1802" i="8"/>
  <c r="D1802" i="8"/>
  <c r="C1802" i="8"/>
  <c r="L1801" i="8"/>
  <c r="D1801" i="8"/>
  <c r="C1801" i="8"/>
  <c r="L1800" i="8"/>
  <c r="D1800" i="8"/>
  <c r="C1800" i="8"/>
  <c r="L1799" i="8"/>
  <c r="D1799" i="8"/>
  <c r="C1799" i="8"/>
  <c r="L1798" i="8"/>
  <c r="D1798" i="8"/>
  <c r="C1798" i="8"/>
  <c r="L1797" i="8"/>
  <c r="D1797" i="8"/>
  <c r="C1797" i="8"/>
  <c r="L1796" i="8"/>
  <c r="D1796" i="8"/>
  <c r="C1796" i="8"/>
  <c r="L1795" i="8"/>
  <c r="D1795" i="8"/>
  <c r="C1795" i="8"/>
  <c r="L1794" i="8"/>
  <c r="D1794" i="8"/>
  <c r="C1794" i="8"/>
  <c r="L1793" i="8"/>
  <c r="D1793" i="8"/>
  <c r="C1793" i="8"/>
  <c r="L1792" i="8"/>
  <c r="D1792" i="8"/>
  <c r="C1792" i="8"/>
  <c r="L1791" i="8"/>
  <c r="D1791" i="8"/>
  <c r="C1791" i="8"/>
  <c r="L1790" i="8"/>
  <c r="D1790" i="8"/>
  <c r="C1790" i="8"/>
  <c r="L1789" i="8"/>
  <c r="D1789" i="8"/>
  <c r="C1789" i="8"/>
  <c r="L1788" i="8"/>
  <c r="D1788" i="8"/>
  <c r="C1788" i="8"/>
  <c r="L1787" i="8"/>
  <c r="D1787" i="8"/>
  <c r="C1787" i="8"/>
  <c r="L1786" i="8"/>
  <c r="D1786" i="8"/>
  <c r="C1786" i="8"/>
  <c r="L1785" i="8"/>
  <c r="D1785" i="8"/>
  <c r="C1785" i="8"/>
  <c r="L1784" i="8"/>
  <c r="D1784" i="8"/>
  <c r="C1784" i="8"/>
  <c r="L1783" i="8"/>
  <c r="D1783" i="8"/>
  <c r="C1783" i="8"/>
  <c r="L1782" i="8"/>
  <c r="D1782" i="8"/>
  <c r="C1782" i="8"/>
  <c r="L1781" i="8"/>
  <c r="D1781" i="8"/>
  <c r="C1781" i="8"/>
  <c r="L1780" i="8"/>
  <c r="D1780" i="8"/>
  <c r="C1780" i="8"/>
  <c r="L1779" i="8"/>
  <c r="D1779" i="8"/>
  <c r="C1779" i="8"/>
  <c r="L1778" i="8"/>
  <c r="D1778" i="8"/>
  <c r="C1778" i="8"/>
  <c r="L1777" i="8"/>
  <c r="D1777" i="8"/>
  <c r="C1777" i="8"/>
  <c r="L1776" i="8"/>
  <c r="D1776" i="8"/>
  <c r="C1776" i="8"/>
  <c r="L1775" i="8"/>
  <c r="D1775" i="8"/>
  <c r="C1775" i="8"/>
  <c r="L1774" i="8"/>
  <c r="D1774" i="8"/>
  <c r="C1774" i="8"/>
  <c r="L1773" i="8"/>
  <c r="D1773" i="8"/>
  <c r="C1773" i="8"/>
  <c r="L1772" i="8"/>
  <c r="D1772" i="8"/>
  <c r="C1772" i="8"/>
  <c r="L1771" i="8"/>
  <c r="D1771" i="8"/>
  <c r="C1771" i="8"/>
  <c r="L1770" i="8"/>
  <c r="D1770" i="8"/>
  <c r="C1770" i="8"/>
  <c r="L1769" i="8"/>
  <c r="D1769" i="8"/>
  <c r="C1769" i="8"/>
  <c r="L1768" i="8"/>
  <c r="D1768" i="8"/>
  <c r="C1768" i="8"/>
  <c r="L1767" i="8"/>
  <c r="D1767" i="8"/>
  <c r="C1767" i="8"/>
  <c r="L1766" i="8"/>
  <c r="D1766" i="8"/>
  <c r="C1766" i="8"/>
  <c r="L1765" i="8"/>
  <c r="D1765" i="8"/>
  <c r="C1765" i="8"/>
  <c r="L1764" i="8"/>
  <c r="D1764" i="8"/>
  <c r="C1764" i="8"/>
  <c r="L1763" i="8"/>
  <c r="D1763" i="8"/>
  <c r="C1763" i="8"/>
  <c r="L1762" i="8"/>
  <c r="D1762" i="8"/>
  <c r="C1762" i="8"/>
  <c r="L1761" i="8"/>
  <c r="D1761" i="8"/>
  <c r="C1761" i="8"/>
  <c r="L1760" i="8"/>
  <c r="D1760" i="8"/>
  <c r="C1760" i="8"/>
  <c r="L1759" i="8"/>
  <c r="D1759" i="8"/>
  <c r="C1759" i="8"/>
  <c r="L1758" i="8"/>
  <c r="D1758" i="8"/>
  <c r="C1758" i="8"/>
  <c r="L1757" i="8"/>
  <c r="D1757" i="8"/>
  <c r="C1757" i="8"/>
  <c r="L1756" i="8"/>
  <c r="D1756" i="8"/>
  <c r="C1756" i="8"/>
  <c r="L1755" i="8"/>
  <c r="D1755" i="8"/>
  <c r="C1755" i="8"/>
  <c r="L1754" i="8"/>
  <c r="D1754" i="8"/>
  <c r="C1754" i="8"/>
  <c r="L1753" i="8"/>
  <c r="D1753" i="8"/>
  <c r="C1753" i="8"/>
  <c r="L1752" i="8"/>
  <c r="D1752" i="8"/>
  <c r="C1752" i="8"/>
  <c r="L1751" i="8"/>
  <c r="D1751" i="8"/>
  <c r="C1751" i="8"/>
  <c r="L1750" i="8"/>
  <c r="D1750" i="8"/>
  <c r="C1750" i="8"/>
  <c r="L1749" i="8"/>
  <c r="D1749" i="8"/>
  <c r="C1749" i="8"/>
  <c r="L1748" i="8"/>
  <c r="D1748" i="8"/>
  <c r="C1748" i="8"/>
  <c r="L1747" i="8"/>
  <c r="D1747" i="8"/>
  <c r="C1747" i="8"/>
  <c r="L1746" i="8"/>
  <c r="D1746" i="8"/>
  <c r="C1746" i="8"/>
  <c r="L1745" i="8"/>
  <c r="D1745" i="8"/>
  <c r="C1745" i="8"/>
  <c r="L1744" i="8"/>
  <c r="D1744" i="8"/>
  <c r="C1744" i="8"/>
  <c r="L1743" i="8"/>
  <c r="D1743" i="8"/>
  <c r="C1743" i="8"/>
  <c r="L1742" i="8"/>
  <c r="D1742" i="8"/>
  <c r="C1742" i="8"/>
  <c r="L1741" i="8"/>
  <c r="D1741" i="8"/>
  <c r="C1741" i="8"/>
  <c r="L1740" i="8"/>
  <c r="D1740" i="8"/>
  <c r="C1740" i="8"/>
  <c r="L1739" i="8"/>
  <c r="D1739" i="8"/>
  <c r="C1739" i="8"/>
  <c r="L1738" i="8"/>
  <c r="D1738" i="8"/>
  <c r="C1738" i="8"/>
  <c r="L1737" i="8"/>
  <c r="D1737" i="8"/>
  <c r="C1737" i="8"/>
  <c r="L1736" i="8"/>
  <c r="D1736" i="8"/>
  <c r="C1736" i="8"/>
  <c r="L1735" i="8"/>
  <c r="D1735" i="8"/>
  <c r="C1735" i="8"/>
  <c r="L1734" i="8"/>
  <c r="D1734" i="8"/>
  <c r="C1734" i="8"/>
  <c r="L1733" i="8"/>
  <c r="D1733" i="8"/>
  <c r="C1733" i="8"/>
  <c r="L1732" i="8"/>
  <c r="D1732" i="8"/>
  <c r="C1732" i="8"/>
  <c r="L1731" i="8"/>
  <c r="D1731" i="8"/>
  <c r="C1731" i="8"/>
  <c r="L1730" i="8"/>
  <c r="D1730" i="8"/>
  <c r="C1730" i="8"/>
  <c r="L1729" i="8"/>
  <c r="D1729" i="8"/>
  <c r="C1729" i="8"/>
  <c r="L1728" i="8"/>
  <c r="D1728" i="8"/>
  <c r="C1728" i="8"/>
  <c r="L1727" i="8"/>
  <c r="D1727" i="8"/>
  <c r="C1727" i="8"/>
  <c r="L1726" i="8"/>
  <c r="D1726" i="8"/>
  <c r="C1726" i="8"/>
  <c r="L1725" i="8"/>
  <c r="D1725" i="8"/>
  <c r="C1725" i="8"/>
  <c r="L1724" i="8"/>
  <c r="D1724" i="8"/>
  <c r="C1724" i="8"/>
  <c r="L1723" i="8"/>
  <c r="D1723" i="8"/>
  <c r="C1723" i="8"/>
  <c r="L1722" i="8"/>
  <c r="D1722" i="8"/>
  <c r="C1722" i="8"/>
  <c r="L1721" i="8"/>
  <c r="D1721" i="8"/>
  <c r="C1721" i="8"/>
  <c r="L1720" i="8"/>
  <c r="D1720" i="8"/>
  <c r="C1720" i="8"/>
  <c r="L1719" i="8"/>
  <c r="D1719" i="8"/>
  <c r="C1719" i="8"/>
  <c r="L1718" i="8"/>
  <c r="D1718" i="8"/>
  <c r="C1718" i="8"/>
  <c r="L1717" i="8"/>
  <c r="D1717" i="8"/>
  <c r="C1717" i="8"/>
  <c r="L1716" i="8"/>
  <c r="D1716" i="8"/>
  <c r="C1716" i="8"/>
  <c r="L1715" i="8"/>
  <c r="D1715" i="8"/>
  <c r="C1715" i="8"/>
  <c r="L1714" i="8"/>
  <c r="D1714" i="8"/>
  <c r="C1714" i="8"/>
  <c r="L1713" i="8"/>
  <c r="D1713" i="8"/>
  <c r="C1713" i="8"/>
  <c r="L1712" i="8"/>
  <c r="D1712" i="8"/>
  <c r="C1712" i="8"/>
  <c r="L1711" i="8"/>
  <c r="D1711" i="8"/>
  <c r="C1711" i="8"/>
  <c r="L1710" i="8"/>
  <c r="D1710" i="8"/>
  <c r="C1710" i="8"/>
  <c r="L1709" i="8"/>
  <c r="D1709" i="8"/>
  <c r="C1709" i="8"/>
  <c r="L1708" i="8"/>
  <c r="D1708" i="8"/>
  <c r="C1708" i="8"/>
  <c r="L1707" i="8"/>
  <c r="D1707" i="8"/>
  <c r="C1707" i="8"/>
  <c r="L1706" i="8"/>
  <c r="D1706" i="8"/>
  <c r="C1706" i="8"/>
  <c r="L1705" i="8"/>
  <c r="D1705" i="8"/>
  <c r="C1705" i="8"/>
  <c r="L1704" i="8"/>
  <c r="D1704" i="8"/>
  <c r="C1704" i="8"/>
  <c r="L1703" i="8"/>
  <c r="D1703" i="8"/>
  <c r="C1703" i="8"/>
  <c r="L1702" i="8"/>
  <c r="D1702" i="8"/>
  <c r="C1702" i="8"/>
  <c r="L1701" i="8"/>
  <c r="D1701" i="8"/>
  <c r="C1701" i="8"/>
  <c r="L1700" i="8"/>
  <c r="D1700" i="8"/>
  <c r="C1700" i="8"/>
  <c r="L1699" i="8"/>
  <c r="D1699" i="8"/>
  <c r="C1699" i="8"/>
  <c r="L1698" i="8"/>
  <c r="D1698" i="8"/>
  <c r="C1698" i="8"/>
  <c r="L1697" i="8"/>
  <c r="D1697" i="8"/>
  <c r="C1697" i="8"/>
  <c r="L1696" i="8"/>
  <c r="D1696" i="8"/>
  <c r="C1696" i="8"/>
  <c r="L1695" i="8"/>
  <c r="D1695" i="8"/>
  <c r="C1695" i="8"/>
  <c r="L1694" i="8"/>
  <c r="D1694" i="8"/>
  <c r="C1694" i="8"/>
  <c r="L1693" i="8"/>
  <c r="D1693" i="8"/>
  <c r="C1693" i="8"/>
  <c r="L1692" i="8"/>
  <c r="D1692" i="8"/>
  <c r="C1692" i="8"/>
  <c r="L1691" i="8"/>
  <c r="D1691" i="8"/>
  <c r="C1691" i="8"/>
  <c r="L1690" i="8"/>
  <c r="D1690" i="8"/>
  <c r="C1690" i="8"/>
  <c r="L1689" i="8"/>
  <c r="D1689" i="8"/>
  <c r="C1689" i="8"/>
  <c r="L1688" i="8"/>
  <c r="D1688" i="8"/>
  <c r="C1688" i="8"/>
  <c r="L1687" i="8"/>
  <c r="D1687" i="8"/>
  <c r="C1687" i="8"/>
  <c r="L1686" i="8"/>
  <c r="D1686" i="8"/>
  <c r="C1686" i="8"/>
  <c r="L1685" i="8"/>
  <c r="D1685" i="8"/>
  <c r="C1685" i="8"/>
  <c r="L1684" i="8"/>
  <c r="D1684" i="8"/>
  <c r="C1684" i="8"/>
  <c r="L1683" i="8"/>
  <c r="D1683" i="8"/>
  <c r="C1683" i="8"/>
  <c r="L1682" i="8"/>
  <c r="D1682" i="8"/>
  <c r="C1682" i="8"/>
  <c r="L1681" i="8"/>
  <c r="D1681" i="8"/>
  <c r="C1681" i="8"/>
  <c r="L1680" i="8"/>
  <c r="D1680" i="8"/>
  <c r="C1680" i="8"/>
  <c r="L1679" i="8"/>
  <c r="D1679" i="8"/>
  <c r="C1679" i="8"/>
  <c r="L1678" i="8"/>
  <c r="D1678" i="8"/>
  <c r="C1678" i="8"/>
  <c r="L1677" i="8"/>
  <c r="D1677" i="8"/>
  <c r="C1677" i="8"/>
  <c r="L1676" i="8"/>
  <c r="D1676" i="8"/>
  <c r="C1676" i="8"/>
  <c r="L1675" i="8"/>
  <c r="D1675" i="8"/>
  <c r="C1675" i="8"/>
  <c r="L1674" i="8"/>
  <c r="D1674" i="8"/>
  <c r="C1674" i="8"/>
  <c r="L1673" i="8"/>
  <c r="D1673" i="8"/>
  <c r="C1673" i="8"/>
  <c r="L1672" i="8"/>
  <c r="D1672" i="8"/>
  <c r="C1672" i="8"/>
  <c r="L1671" i="8"/>
  <c r="D1671" i="8"/>
  <c r="C1671" i="8"/>
  <c r="L1670" i="8"/>
  <c r="D1670" i="8"/>
  <c r="C1670" i="8"/>
  <c r="L1669" i="8"/>
  <c r="D1669" i="8"/>
  <c r="C1669" i="8"/>
  <c r="L1668" i="8"/>
  <c r="D1668" i="8"/>
  <c r="C1668" i="8"/>
  <c r="L1667" i="8"/>
  <c r="D1667" i="8"/>
  <c r="C1667" i="8"/>
  <c r="L1666" i="8"/>
  <c r="D1666" i="8"/>
  <c r="C1666" i="8"/>
  <c r="L1665" i="8"/>
  <c r="D1665" i="8"/>
  <c r="C1665" i="8"/>
  <c r="L1664" i="8"/>
  <c r="D1664" i="8"/>
  <c r="C1664" i="8"/>
  <c r="L1663" i="8"/>
  <c r="D1663" i="8"/>
  <c r="C1663" i="8"/>
  <c r="L1662" i="8"/>
  <c r="D1662" i="8"/>
  <c r="C1662" i="8"/>
  <c r="L1661" i="8"/>
  <c r="D1661" i="8"/>
  <c r="C1661" i="8"/>
  <c r="L1660" i="8"/>
  <c r="D1660" i="8"/>
  <c r="C1660" i="8"/>
  <c r="L1659" i="8"/>
  <c r="D1659" i="8"/>
  <c r="C1659" i="8"/>
  <c r="L1658" i="8"/>
  <c r="D1658" i="8"/>
  <c r="C1658" i="8"/>
  <c r="L1657" i="8"/>
  <c r="D1657" i="8"/>
  <c r="C1657" i="8"/>
  <c r="L1656" i="8"/>
  <c r="D1656" i="8"/>
  <c r="C1656" i="8"/>
  <c r="L1655" i="8"/>
  <c r="D1655" i="8"/>
  <c r="C1655" i="8"/>
  <c r="L1654" i="8"/>
  <c r="D1654" i="8"/>
  <c r="C1654" i="8"/>
  <c r="L1653" i="8"/>
  <c r="D1653" i="8"/>
  <c r="C1653" i="8"/>
  <c r="L1652" i="8"/>
  <c r="D1652" i="8"/>
  <c r="C1652" i="8"/>
  <c r="L1651" i="8"/>
  <c r="D1651" i="8"/>
  <c r="C1651" i="8"/>
  <c r="L1650" i="8"/>
  <c r="D1650" i="8"/>
  <c r="C1650" i="8"/>
  <c r="L1649" i="8"/>
  <c r="D1649" i="8"/>
  <c r="C1649" i="8"/>
  <c r="L1648" i="8"/>
  <c r="D1648" i="8"/>
  <c r="C1648" i="8"/>
  <c r="L1647" i="8"/>
  <c r="D1647" i="8"/>
  <c r="C1647" i="8"/>
  <c r="L1646" i="8"/>
  <c r="D1646" i="8"/>
  <c r="C1646" i="8"/>
  <c r="L1645" i="8"/>
  <c r="D1645" i="8"/>
  <c r="C1645" i="8"/>
  <c r="L1644" i="8"/>
  <c r="D1644" i="8"/>
  <c r="C1644" i="8"/>
  <c r="L1643" i="8"/>
  <c r="D1643" i="8"/>
  <c r="C1643" i="8"/>
  <c r="L1642" i="8"/>
  <c r="D1642" i="8"/>
  <c r="C1642" i="8"/>
  <c r="L1641" i="8"/>
  <c r="D1641" i="8"/>
  <c r="C1641" i="8"/>
  <c r="L1640" i="8"/>
  <c r="D1640" i="8"/>
  <c r="C1640" i="8"/>
  <c r="L1639" i="8"/>
  <c r="D1639" i="8"/>
  <c r="C1639" i="8"/>
  <c r="L1638" i="8"/>
  <c r="D1638" i="8"/>
  <c r="C1638" i="8"/>
  <c r="L1637" i="8"/>
  <c r="D1637" i="8"/>
  <c r="C1637" i="8"/>
  <c r="L1636" i="8"/>
  <c r="D1636" i="8"/>
  <c r="C1636" i="8"/>
  <c r="L1635" i="8"/>
  <c r="D1635" i="8"/>
  <c r="C1635" i="8"/>
  <c r="L1634" i="8"/>
  <c r="D1634" i="8"/>
  <c r="C1634" i="8"/>
  <c r="L1633" i="8"/>
  <c r="D1633" i="8"/>
  <c r="C1633" i="8"/>
  <c r="L1632" i="8"/>
  <c r="D1632" i="8"/>
  <c r="C1632" i="8"/>
  <c r="L1631" i="8"/>
  <c r="D1631" i="8"/>
  <c r="C1631" i="8"/>
  <c r="L1630" i="8"/>
  <c r="D1630" i="8"/>
  <c r="C1630" i="8"/>
  <c r="L1629" i="8"/>
  <c r="D1629" i="8"/>
  <c r="C1629" i="8"/>
  <c r="L1628" i="8"/>
  <c r="D1628" i="8"/>
  <c r="C1628" i="8"/>
  <c r="L1627" i="8"/>
  <c r="D1627" i="8"/>
  <c r="C1627" i="8"/>
  <c r="L1626" i="8"/>
  <c r="D1626" i="8"/>
  <c r="C1626" i="8"/>
  <c r="L1625" i="8"/>
  <c r="D1625" i="8"/>
  <c r="C1625" i="8"/>
  <c r="L1624" i="8"/>
  <c r="D1624" i="8"/>
  <c r="C1624" i="8"/>
  <c r="L1623" i="8"/>
  <c r="D1623" i="8"/>
  <c r="C1623" i="8"/>
  <c r="L1622" i="8"/>
  <c r="D1622" i="8"/>
  <c r="C1622" i="8"/>
  <c r="L1621" i="8"/>
  <c r="D1621" i="8"/>
  <c r="C1621" i="8"/>
  <c r="L1620" i="8"/>
  <c r="D1620" i="8"/>
  <c r="C1620" i="8"/>
  <c r="L1619" i="8"/>
  <c r="D1619" i="8"/>
  <c r="C1619" i="8"/>
  <c r="L1618" i="8"/>
  <c r="D1618" i="8"/>
  <c r="C1618" i="8"/>
  <c r="L1617" i="8"/>
  <c r="D1617" i="8"/>
  <c r="C1617" i="8"/>
  <c r="L1616" i="8"/>
  <c r="D1616" i="8"/>
  <c r="C1616" i="8"/>
  <c r="L1615" i="8"/>
  <c r="D1615" i="8"/>
  <c r="C1615" i="8"/>
  <c r="L1614" i="8"/>
  <c r="D1614" i="8"/>
  <c r="C1614" i="8"/>
  <c r="L1613" i="8"/>
  <c r="D1613" i="8"/>
  <c r="C1613" i="8"/>
  <c r="L1612" i="8"/>
  <c r="D1612" i="8"/>
  <c r="C1612" i="8"/>
  <c r="L1611" i="8"/>
  <c r="D1611" i="8"/>
  <c r="C1611" i="8"/>
  <c r="L1610" i="8"/>
  <c r="D1610" i="8"/>
  <c r="C1610" i="8"/>
  <c r="L1609" i="8"/>
  <c r="D1609" i="8"/>
  <c r="C1609" i="8"/>
  <c r="L1608" i="8"/>
  <c r="D1608" i="8"/>
  <c r="C1608" i="8"/>
  <c r="L1607" i="8"/>
  <c r="D1607" i="8"/>
  <c r="C1607" i="8"/>
  <c r="L1606" i="8"/>
  <c r="D1606" i="8"/>
  <c r="C1606" i="8"/>
  <c r="L1605" i="8"/>
  <c r="D1605" i="8"/>
  <c r="C1605" i="8"/>
  <c r="L1604" i="8"/>
  <c r="D1604" i="8"/>
  <c r="C1604" i="8"/>
  <c r="L1603" i="8"/>
  <c r="D1603" i="8"/>
  <c r="C1603" i="8"/>
  <c r="L1602" i="8"/>
  <c r="D1602" i="8"/>
  <c r="C1602" i="8"/>
  <c r="L1601" i="8"/>
  <c r="D1601" i="8"/>
  <c r="C1601" i="8"/>
  <c r="L1600" i="8"/>
  <c r="D1600" i="8"/>
  <c r="C1600" i="8"/>
  <c r="L1599" i="8"/>
  <c r="D1599" i="8"/>
  <c r="C1599" i="8"/>
  <c r="L1598" i="8"/>
  <c r="D1598" i="8"/>
  <c r="C1598" i="8"/>
  <c r="L1597" i="8"/>
  <c r="D1597" i="8"/>
  <c r="C1597" i="8"/>
  <c r="L1596" i="8"/>
  <c r="D1596" i="8"/>
  <c r="C1596" i="8"/>
  <c r="L1595" i="8"/>
  <c r="D1595" i="8"/>
  <c r="C1595" i="8"/>
  <c r="L1594" i="8"/>
  <c r="D1594" i="8"/>
  <c r="C1594" i="8"/>
  <c r="L1593" i="8"/>
  <c r="D1593" i="8"/>
  <c r="C1593" i="8"/>
  <c r="L1592" i="8"/>
  <c r="D1592" i="8"/>
  <c r="C1592" i="8"/>
  <c r="L1591" i="8"/>
  <c r="D1591" i="8"/>
  <c r="C1591" i="8"/>
  <c r="L1590" i="8"/>
  <c r="D1590" i="8"/>
  <c r="C1590" i="8"/>
  <c r="L1589" i="8"/>
  <c r="D1589" i="8"/>
  <c r="C1589" i="8"/>
  <c r="L1588" i="8"/>
  <c r="D1588" i="8"/>
  <c r="C1588" i="8"/>
  <c r="L1587" i="8"/>
  <c r="D1587" i="8"/>
  <c r="C1587" i="8"/>
  <c r="L1586" i="8"/>
  <c r="D1586" i="8"/>
  <c r="C1586" i="8"/>
  <c r="L1585" i="8"/>
  <c r="D1585" i="8"/>
  <c r="C1585" i="8"/>
  <c r="L1584" i="8"/>
  <c r="D1584" i="8"/>
  <c r="C1584" i="8"/>
  <c r="L1583" i="8"/>
  <c r="D1583" i="8"/>
  <c r="C1583" i="8"/>
  <c r="L1582" i="8"/>
  <c r="D1582" i="8"/>
  <c r="C1582" i="8"/>
  <c r="L1581" i="8"/>
  <c r="D1581" i="8"/>
  <c r="C1581" i="8"/>
  <c r="L1580" i="8"/>
  <c r="D1580" i="8"/>
  <c r="C1580" i="8"/>
  <c r="L1579" i="8"/>
  <c r="D1579" i="8"/>
  <c r="C1579" i="8"/>
  <c r="L1578" i="8"/>
  <c r="D1578" i="8"/>
  <c r="C1578" i="8"/>
  <c r="L1577" i="8"/>
  <c r="D1577" i="8"/>
  <c r="C1577" i="8"/>
  <c r="L1576" i="8"/>
  <c r="D1576" i="8"/>
  <c r="C1576" i="8"/>
  <c r="L1575" i="8"/>
  <c r="D1575" i="8"/>
  <c r="C1575" i="8"/>
  <c r="L1574" i="8"/>
  <c r="D1574" i="8"/>
  <c r="C1574" i="8"/>
  <c r="L1573" i="8"/>
  <c r="D1573" i="8"/>
  <c r="C1573" i="8"/>
  <c r="L1572" i="8"/>
  <c r="D1572" i="8"/>
  <c r="C1572" i="8"/>
  <c r="L1571" i="8"/>
  <c r="D1571" i="8"/>
  <c r="C1571" i="8"/>
  <c r="L1570" i="8"/>
  <c r="D1570" i="8"/>
  <c r="C1570" i="8"/>
  <c r="L1569" i="8"/>
  <c r="D1569" i="8"/>
  <c r="C1569" i="8"/>
  <c r="L1568" i="8"/>
  <c r="D1568" i="8"/>
  <c r="C1568" i="8"/>
  <c r="L1567" i="8"/>
  <c r="D1567" i="8"/>
  <c r="C1567" i="8"/>
  <c r="L1566" i="8"/>
  <c r="D1566" i="8"/>
  <c r="C1566" i="8"/>
  <c r="L1565" i="8"/>
  <c r="D1565" i="8"/>
  <c r="C1565" i="8"/>
  <c r="L1564" i="8"/>
  <c r="D1564" i="8"/>
  <c r="C1564" i="8"/>
  <c r="L1563" i="8"/>
  <c r="D1563" i="8"/>
  <c r="C1563" i="8"/>
  <c r="L1562" i="8"/>
  <c r="D1562" i="8"/>
  <c r="C1562" i="8"/>
  <c r="L1561" i="8"/>
  <c r="D1561" i="8"/>
  <c r="C1561" i="8"/>
  <c r="L1560" i="8"/>
  <c r="D1560" i="8"/>
  <c r="C1560" i="8"/>
  <c r="L1559" i="8"/>
  <c r="D1559" i="8"/>
  <c r="C1559" i="8"/>
  <c r="L1558" i="8"/>
  <c r="D1558" i="8"/>
  <c r="C1558" i="8"/>
  <c r="L1557" i="8"/>
  <c r="D1557" i="8"/>
  <c r="C1557" i="8"/>
  <c r="L1556" i="8"/>
  <c r="D1556" i="8"/>
  <c r="C1556" i="8"/>
  <c r="L1555" i="8"/>
  <c r="D1555" i="8"/>
  <c r="C1555" i="8"/>
  <c r="L1554" i="8"/>
  <c r="D1554" i="8"/>
  <c r="C1554" i="8"/>
  <c r="L1553" i="8"/>
  <c r="D1553" i="8"/>
  <c r="C1553" i="8"/>
  <c r="L1552" i="8"/>
  <c r="D1552" i="8"/>
  <c r="C1552" i="8"/>
  <c r="L1551" i="8"/>
  <c r="D1551" i="8"/>
  <c r="C1551" i="8"/>
  <c r="L1550" i="8"/>
  <c r="D1550" i="8"/>
  <c r="C1550" i="8"/>
  <c r="L1549" i="8"/>
  <c r="D1549" i="8"/>
  <c r="C1549" i="8"/>
  <c r="L1548" i="8"/>
  <c r="D1548" i="8"/>
  <c r="C1548" i="8"/>
  <c r="L1547" i="8"/>
  <c r="D1547" i="8"/>
  <c r="C1547" i="8"/>
  <c r="L1546" i="8"/>
  <c r="D1546" i="8"/>
  <c r="C1546" i="8"/>
  <c r="L1545" i="8"/>
  <c r="D1545" i="8"/>
  <c r="C1545" i="8"/>
  <c r="L1544" i="8"/>
  <c r="D1544" i="8"/>
  <c r="C1544" i="8"/>
  <c r="L1543" i="8"/>
  <c r="D1543" i="8"/>
  <c r="C1543" i="8"/>
  <c r="L1542" i="8"/>
  <c r="D1542" i="8"/>
  <c r="C1542" i="8"/>
  <c r="L1541" i="8"/>
  <c r="D1541" i="8"/>
  <c r="C1541" i="8"/>
  <c r="L1540" i="8"/>
  <c r="D1540" i="8"/>
  <c r="C1540" i="8"/>
  <c r="L1539" i="8"/>
  <c r="D1539" i="8"/>
  <c r="C1539" i="8"/>
  <c r="L1538" i="8"/>
  <c r="D1538" i="8"/>
  <c r="C1538" i="8"/>
  <c r="L1537" i="8"/>
  <c r="D1537" i="8"/>
  <c r="C1537" i="8"/>
  <c r="L1536" i="8"/>
  <c r="D1536" i="8"/>
  <c r="C1536" i="8"/>
  <c r="L1535" i="8"/>
  <c r="D1535" i="8"/>
  <c r="C1535" i="8"/>
  <c r="L1534" i="8"/>
  <c r="D1534" i="8"/>
  <c r="C1534" i="8"/>
  <c r="L1533" i="8"/>
  <c r="D1533" i="8"/>
  <c r="C1533" i="8"/>
  <c r="L1532" i="8"/>
  <c r="D1532" i="8"/>
  <c r="C1532" i="8"/>
  <c r="L1531" i="8"/>
  <c r="D1531" i="8"/>
  <c r="C1531" i="8"/>
  <c r="L1530" i="8"/>
  <c r="D1530" i="8"/>
  <c r="C1530" i="8"/>
  <c r="L1529" i="8"/>
  <c r="D1529" i="8"/>
  <c r="C1529" i="8"/>
  <c r="L1528" i="8"/>
  <c r="D1528" i="8"/>
  <c r="C1528" i="8"/>
  <c r="L1527" i="8"/>
  <c r="D1527" i="8"/>
  <c r="C1527" i="8"/>
  <c r="L1526" i="8"/>
  <c r="D1526" i="8"/>
  <c r="C1526" i="8"/>
  <c r="L1525" i="8"/>
  <c r="D1525" i="8"/>
  <c r="C1525" i="8"/>
  <c r="L1524" i="8"/>
  <c r="D1524" i="8"/>
  <c r="C1524" i="8"/>
  <c r="L1523" i="8"/>
  <c r="D1523" i="8"/>
  <c r="C1523" i="8"/>
  <c r="L1522" i="8"/>
  <c r="D1522" i="8"/>
  <c r="C1522" i="8"/>
  <c r="L1521" i="8"/>
  <c r="D1521" i="8"/>
  <c r="C1521" i="8"/>
  <c r="L1520" i="8"/>
  <c r="D1520" i="8"/>
  <c r="C1520" i="8"/>
  <c r="L1519" i="8"/>
  <c r="D1519" i="8"/>
  <c r="C1519" i="8"/>
  <c r="L1518" i="8"/>
  <c r="D1518" i="8"/>
  <c r="C1518" i="8"/>
  <c r="L1517" i="8"/>
  <c r="D1517" i="8"/>
  <c r="C1517" i="8"/>
  <c r="L1516" i="8"/>
  <c r="D1516" i="8"/>
  <c r="C1516" i="8"/>
  <c r="L1515" i="8"/>
  <c r="D1515" i="8"/>
  <c r="C1515" i="8"/>
  <c r="L1514" i="8"/>
  <c r="D1514" i="8"/>
  <c r="C1514" i="8"/>
  <c r="L1513" i="8"/>
  <c r="D1513" i="8"/>
  <c r="C1513" i="8"/>
  <c r="L1512" i="8"/>
  <c r="D1512" i="8"/>
  <c r="C1512" i="8"/>
  <c r="L1511" i="8"/>
  <c r="D1511" i="8"/>
  <c r="C1511" i="8"/>
  <c r="L1510" i="8"/>
  <c r="D1510" i="8"/>
  <c r="C1510" i="8"/>
  <c r="L1509" i="8"/>
  <c r="D1509" i="8"/>
  <c r="C1509" i="8"/>
  <c r="L1508" i="8"/>
  <c r="D1508" i="8"/>
  <c r="C1508" i="8"/>
  <c r="L1507" i="8"/>
  <c r="D1507" i="8"/>
  <c r="C1507" i="8"/>
  <c r="L1506" i="8"/>
  <c r="D1506" i="8"/>
  <c r="C1506" i="8"/>
  <c r="L1505" i="8"/>
  <c r="D1505" i="8"/>
  <c r="C1505" i="8"/>
  <c r="L1504" i="8"/>
  <c r="D1504" i="8"/>
  <c r="C1504" i="8"/>
  <c r="L1503" i="8"/>
  <c r="D1503" i="8"/>
  <c r="C1503" i="8"/>
  <c r="L1502" i="8"/>
  <c r="D1502" i="8"/>
  <c r="C1502" i="8"/>
  <c r="L1501" i="8"/>
  <c r="D1501" i="8"/>
  <c r="C1501" i="8"/>
  <c r="L1500" i="8"/>
  <c r="D1500" i="8"/>
  <c r="C1500" i="8"/>
  <c r="L1499" i="8"/>
  <c r="D1499" i="8"/>
  <c r="C1499" i="8"/>
  <c r="L1498" i="8"/>
  <c r="D1498" i="8"/>
  <c r="C1498" i="8"/>
  <c r="L1497" i="8"/>
  <c r="D1497" i="8"/>
  <c r="C1497" i="8"/>
  <c r="L1496" i="8"/>
  <c r="D1496" i="8"/>
  <c r="C1496" i="8"/>
  <c r="L1495" i="8"/>
  <c r="D1495" i="8"/>
  <c r="C1495" i="8"/>
  <c r="L1494" i="8"/>
  <c r="D1494" i="8"/>
  <c r="C1494" i="8"/>
  <c r="L1493" i="8"/>
  <c r="D1493" i="8"/>
  <c r="C1493" i="8"/>
  <c r="L1492" i="8"/>
  <c r="D1492" i="8"/>
  <c r="C1492" i="8"/>
  <c r="L1491" i="8"/>
  <c r="D1491" i="8"/>
  <c r="C1491" i="8"/>
  <c r="L1490" i="8"/>
  <c r="D1490" i="8"/>
  <c r="C1490" i="8"/>
  <c r="L1489" i="8"/>
  <c r="D1489" i="8"/>
  <c r="C1489" i="8"/>
  <c r="L1488" i="8"/>
  <c r="D1488" i="8"/>
  <c r="C1488" i="8"/>
  <c r="L1487" i="8"/>
  <c r="D1487" i="8"/>
  <c r="C1487" i="8"/>
  <c r="L1486" i="8"/>
  <c r="D1486" i="8"/>
  <c r="C1486" i="8"/>
  <c r="L1485" i="8"/>
  <c r="D1485" i="8"/>
  <c r="C1485" i="8"/>
  <c r="L1484" i="8"/>
  <c r="D1484" i="8"/>
  <c r="C1484" i="8"/>
  <c r="L1483" i="8"/>
  <c r="D1483" i="8"/>
  <c r="C1483" i="8"/>
  <c r="L1482" i="8"/>
  <c r="D1482" i="8"/>
  <c r="C1482" i="8"/>
  <c r="L1481" i="8"/>
  <c r="D1481" i="8"/>
  <c r="C1481" i="8"/>
  <c r="L1480" i="8"/>
  <c r="D1480" i="8"/>
  <c r="C1480" i="8"/>
  <c r="L1479" i="8"/>
  <c r="D1479" i="8"/>
  <c r="C1479" i="8"/>
  <c r="L1478" i="8"/>
  <c r="D1478" i="8"/>
  <c r="C1478" i="8"/>
  <c r="L1477" i="8"/>
  <c r="D1477" i="8"/>
  <c r="C1477" i="8"/>
  <c r="L1476" i="8"/>
  <c r="D1476" i="8"/>
  <c r="C1476" i="8"/>
  <c r="L1475" i="8"/>
  <c r="D1475" i="8"/>
  <c r="C1475" i="8"/>
  <c r="L1474" i="8"/>
  <c r="D1474" i="8"/>
  <c r="C1474" i="8"/>
  <c r="L1473" i="8"/>
  <c r="D1473" i="8"/>
  <c r="C1473" i="8"/>
  <c r="L1472" i="8"/>
  <c r="D1472" i="8"/>
  <c r="C1472" i="8"/>
  <c r="L1471" i="8"/>
  <c r="D1471" i="8"/>
  <c r="C1471" i="8"/>
  <c r="L1470" i="8"/>
  <c r="D1470" i="8"/>
  <c r="C1470" i="8"/>
  <c r="L1469" i="8"/>
  <c r="D1469" i="8"/>
  <c r="C1469" i="8"/>
  <c r="L1468" i="8"/>
  <c r="D1468" i="8"/>
  <c r="C1468" i="8"/>
  <c r="L1467" i="8"/>
  <c r="D1467" i="8"/>
  <c r="C1467" i="8"/>
  <c r="L1466" i="8"/>
  <c r="D1466" i="8"/>
  <c r="C1466" i="8"/>
  <c r="L1465" i="8"/>
  <c r="D1465" i="8"/>
  <c r="C1465" i="8"/>
  <c r="L1464" i="8"/>
  <c r="D1464" i="8"/>
  <c r="C1464" i="8"/>
  <c r="L1463" i="8"/>
  <c r="D1463" i="8"/>
  <c r="C1463" i="8"/>
  <c r="L1462" i="8"/>
  <c r="D1462" i="8"/>
  <c r="C1462" i="8"/>
  <c r="L1461" i="8"/>
  <c r="D1461" i="8"/>
  <c r="C1461" i="8"/>
  <c r="L1460" i="8"/>
  <c r="D1460" i="8"/>
  <c r="C1460" i="8"/>
  <c r="L1459" i="8"/>
  <c r="D1459" i="8"/>
  <c r="C1459" i="8"/>
  <c r="L1458" i="8"/>
  <c r="D1458" i="8"/>
  <c r="C1458" i="8"/>
  <c r="L1457" i="8"/>
  <c r="D1457" i="8"/>
  <c r="C1457" i="8"/>
  <c r="L1456" i="8"/>
  <c r="D1456" i="8"/>
  <c r="C1456" i="8"/>
  <c r="L1455" i="8"/>
  <c r="D1455" i="8"/>
  <c r="C1455" i="8"/>
  <c r="L1454" i="8"/>
  <c r="D1454" i="8"/>
  <c r="C1454" i="8"/>
  <c r="L1453" i="8"/>
  <c r="D1453" i="8"/>
  <c r="C1453" i="8"/>
  <c r="L1452" i="8"/>
  <c r="D1452" i="8"/>
  <c r="C1452" i="8"/>
  <c r="L1451" i="8"/>
  <c r="D1451" i="8"/>
  <c r="C1451" i="8"/>
  <c r="L1450" i="8"/>
  <c r="D1450" i="8"/>
  <c r="C1450" i="8"/>
  <c r="L1449" i="8"/>
  <c r="D1449" i="8"/>
  <c r="C1449" i="8"/>
  <c r="L1448" i="8"/>
  <c r="D1448" i="8"/>
  <c r="C1448" i="8"/>
  <c r="L1447" i="8"/>
  <c r="D1447" i="8"/>
  <c r="C1447" i="8"/>
  <c r="L1446" i="8"/>
  <c r="D1446" i="8"/>
  <c r="C1446" i="8"/>
  <c r="L1445" i="8"/>
  <c r="D1445" i="8"/>
  <c r="C1445" i="8"/>
  <c r="L1444" i="8"/>
  <c r="D1444" i="8"/>
  <c r="C1444" i="8"/>
  <c r="L1443" i="8"/>
  <c r="D1443" i="8"/>
  <c r="C1443" i="8"/>
  <c r="L1442" i="8"/>
  <c r="D1442" i="8"/>
  <c r="C1442" i="8"/>
  <c r="L1441" i="8"/>
  <c r="D1441" i="8"/>
  <c r="C1441" i="8"/>
  <c r="L1440" i="8"/>
  <c r="D1440" i="8"/>
  <c r="C1440" i="8"/>
  <c r="L1439" i="8"/>
  <c r="D1439" i="8"/>
  <c r="C1439" i="8"/>
  <c r="L1438" i="8"/>
  <c r="D1438" i="8"/>
  <c r="C1438" i="8"/>
  <c r="L1437" i="8"/>
  <c r="D1437" i="8"/>
  <c r="C1437" i="8"/>
  <c r="L1436" i="8"/>
  <c r="D1436" i="8"/>
  <c r="C1436" i="8"/>
  <c r="L1435" i="8"/>
  <c r="D1435" i="8"/>
  <c r="C1435" i="8"/>
  <c r="L1434" i="8"/>
  <c r="D1434" i="8"/>
  <c r="C1434" i="8"/>
  <c r="L1433" i="8"/>
  <c r="D1433" i="8"/>
  <c r="C1433" i="8"/>
  <c r="L1432" i="8"/>
  <c r="D1432" i="8"/>
  <c r="C1432" i="8"/>
  <c r="L1431" i="8"/>
  <c r="D1431" i="8"/>
  <c r="C1431" i="8"/>
  <c r="L1430" i="8"/>
  <c r="D1430" i="8"/>
  <c r="C1430" i="8"/>
  <c r="L1429" i="8"/>
  <c r="D1429" i="8"/>
  <c r="C1429" i="8"/>
  <c r="L1428" i="8"/>
  <c r="D1428" i="8"/>
  <c r="C1428" i="8"/>
  <c r="L1427" i="8"/>
  <c r="D1427" i="8"/>
  <c r="C1427" i="8"/>
  <c r="L1426" i="8"/>
  <c r="D1426" i="8"/>
  <c r="C1426" i="8"/>
  <c r="L1425" i="8"/>
  <c r="D1425" i="8"/>
  <c r="C1425" i="8"/>
  <c r="L1424" i="8"/>
  <c r="D1424" i="8"/>
  <c r="C1424" i="8"/>
  <c r="L1423" i="8"/>
  <c r="D1423" i="8"/>
  <c r="C1423" i="8"/>
  <c r="L1422" i="8"/>
  <c r="D1422" i="8"/>
  <c r="C1422" i="8"/>
  <c r="L1421" i="8"/>
  <c r="D1421" i="8"/>
  <c r="C1421" i="8"/>
  <c r="L1420" i="8"/>
  <c r="D1420" i="8"/>
  <c r="C1420" i="8"/>
  <c r="L1419" i="8"/>
  <c r="D1419" i="8"/>
  <c r="C1419" i="8"/>
  <c r="L1418" i="8"/>
  <c r="D1418" i="8"/>
  <c r="C1418" i="8"/>
  <c r="L1417" i="8"/>
  <c r="D1417" i="8"/>
  <c r="C1417" i="8"/>
  <c r="L1416" i="8"/>
  <c r="D1416" i="8"/>
  <c r="C1416" i="8"/>
  <c r="L1415" i="8"/>
  <c r="D1415" i="8"/>
  <c r="C1415" i="8"/>
  <c r="L1414" i="8"/>
  <c r="D1414" i="8"/>
  <c r="C1414" i="8"/>
  <c r="L1413" i="8"/>
  <c r="D1413" i="8"/>
  <c r="C1413" i="8"/>
  <c r="L1412" i="8"/>
  <c r="D1412" i="8"/>
  <c r="C1412" i="8"/>
  <c r="L1411" i="8"/>
  <c r="D1411" i="8"/>
  <c r="C1411" i="8"/>
  <c r="L1410" i="8"/>
  <c r="D1410" i="8"/>
  <c r="C1410" i="8"/>
  <c r="L1409" i="8"/>
  <c r="D1409" i="8"/>
  <c r="C1409" i="8"/>
  <c r="L1408" i="8"/>
  <c r="D1408" i="8"/>
  <c r="C1408" i="8"/>
  <c r="L1407" i="8"/>
  <c r="D1407" i="8"/>
  <c r="C1407" i="8"/>
  <c r="L1406" i="8"/>
  <c r="D1406" i="8"/>
  <c r="C1406" i="8"/>
  <c r="L1405" i="8"/>
  <c r="D1405" i="8"/>
  <c r="C1405" i="8"/>
  <c r="L1404" i="8"/>
  <c r="D1404" i="8"/>
  <c r="C1404" i="8"/>
  <c r="L1403" i="8"/>
  <c r="D1403" i="8"/>
  <c r="C1403" i="8"/>
  <c r="L1402" i="8"/>
  <c r="D1402" i="8"/>
  <c r="C1402" i="8"/>
  <c r="L1401" i="8"/>
  <c r="D1401" i="8"/>
  <c r="C1401" i="8"/>
  <c r="L1400" i="8"/>
  <c r="D1400" i="8"/>
  <c r="C1400" i="8"/>
  <c r="L1399" i="8"/>
  <c r="D1399" i="8"/>
  <c r="C1399" i="8"/>
  <c r="L1398" i="8"/>
  <c r="D1398" i="8"/>
  <c r="C1398" i="8"/>
  <c r="L1397" i="8"/>
  <c r="D1397" i="8"/>
  <c r="C1397" i="8"/>
  <c r="L1396" i="8"/>
  <c r="D1396" i="8"/>
  <c r="C1396" i="8"/>
  <c r="L1395" i="8"/>
  <c r="D1395" i="8"/>
  <c r="C1395" i="8"/>
  <c r="L1394" i="8"/>
  <c r="D1394" i="8"/>
  <c r="C1394" i="8"/>
  <c r="L1393" i="8"/>
  <c r="D1393" i="8"/>
  <c r="C1393" i="8"/>
  <c r="L1392" i="8"/>
  <c r="D1392" i="8"/>
  <c r="C1392" i="8"/>
  <c r="L1391" i="8"/>
  <c r="D1391" i="8"/>
  <c r="C1391" i="8"/>
  <c r="L1390" i="8"/>
  <c r="D1390" i="8"/>
  <c r="C1390" i="8"/>
  <c r="L1389" i="8"/>
  <c r="D1389" i="8"/>
  <c r="C1389" i="8"/>
  <c r="L1388" i="8"/>
  <c r="D1388" i="8"/>
  <c r="C1388" i="8"/>
  <c r="L1387" i="8"/>
  <c r="D1387" i="8"/>
  <c r="C1387" i="8"/>
  <c r="L1386" i="8"/>
  <c r="D1386" i="8"/>
  <c r="C1386" i="8"/>
  <c r="L1385" i="8"/>
  <c r="D1385" i="8"/>
  <c r="C1385" i="8"/>
  <c r="L1384" i="8"/>
  <c r="D1384" i="8"/>
  <c r="C1384" i="8"/>
  <c r="L1383" i="8"/>
  <c r="D1383" i="8"/>
  <c r="C1383" i="8"/>
  <c r="L1382" i="8"/>
  <c r="D1382" i="8"/>
  <c r="C1382" i="8"/>
  <c r="L1381" i="8"/>
  <c r="D1381" i="8"/>
  <c r="C1381" i="8"/>
  <c r="L1380" i="8"/>
  <c r="D1380" i="8"/>
  <c r="C1380" i="8"/>
  <c r="L1379" i="8"/>
  <c r="D1379" i="8"/>
  <c r="C1379" i="8"/>
  <c r="L1378" i="8"/>
  <c r="D1378" i="8"/>
  <c r="C1378" i="8"/>
  <c r="L1377" i="8"/>
  <c r="D1377" i="8"/>
  <c r="C1377" i="8"/>
  <c r="L1376" i="8"/>
  <c r="D1376" i="8"/>
  <c r="C1376" i="8"/>
  <c r="L1375" i="8"/>
  <c r="D1375" i="8"/>
  <c r="C1375" i="8"/>
  <c r="L1374" i="8"/>
  <c r="D1374" i="8"/>
  <c r="C1374" i="8"/>
  <c r="L1373" i="8"/>
  <c r="D1373" i="8"/>
  <c r="C1373" i="8"/>
  <c r="L1372" i="8"/>
  <c r="D1372" i="8"/>
  <c r="C1372" i="8"/>
  <c r="L1371" i="8"/>
  <c r="D1371" i="8"/>
  <c r="C1371" i="8"/>
  <c r="L1370" i="8"/>
  <c r="D1370" i="8"/>
  <c r="C1370" i="8"/>
  <c r="L1369" i="8"/>
  <c r="D1369" i="8"/>
  <c r="C1369" i="8"/>
  <c r="L1368" i="8"/>
  <c r="D1368" i="8"/>
  <c r="C1368" i="8"/>
  <c r="L1367" i="8"/>
  <c r="D1367" i="8"/>
  <c r="C1367" i="8"/>
  <c r="L1366" i="8"/>
  <c r="D1366" i="8"/>
  <c r="C1366" i="8"/>
  <c r="L1365" i="8"/>
  <c r="D1365" i="8"/>
  <c r="C1365" i="8"/>
  <c r="L1364" i="8"/>
  <c r="D1364" i="8"/>
  <c r="C1364" i="8"/>
  <c r="L1363" i="8"/>
  <c r="D1363" i="8"/>
  <c r="C1363" i="8"/>
  <c r="L1362" i="8"/>
  <c r="D1362" i="8"/>
  <c r="C1362" i="8"/>
  <c r="L1361" i="8"/>
  <c r="D1361" i="8"/>
  <c r="C1361" i="8"/>
  <c r="L1360" i="8"/>
  <c r="D1360" i="8"/>
  <c r="C1360" i="8"/>
  <c r="L1359" i="8"/>
  <c r="D1359" i="8"/>
  <c r="C1359" i="8"/>
  <c r="L1358" i="8"/>
  <c r="D1358" i="8"/>
  <c r="C1358" i="8"/>
  <c r="L1357" i="8"/>
  <c r="D1357" i="8"/>
  <c r="C1357" i="8"/>
  <c r="L1356" i="8"/>
  <c r="D1356" i="8"/>
  <c r="C1356" i="8"/>
  <c r="L1355" i="8"/>
  <c r="D1355" i="8"/>
  <c r="C1355" i="8"/>
  <c r="L1354" i="8"/>
  <c r="D1354" i="8"/>
  <c r="C1354" i="8"/>
  <c r="L1353" i="8"/>
  <c r="D1353" i="8"/>
  <c r="C1353" i="8"/>
  <c r="L1352" i="8"/>
  <c r="D1352" i="8"/>
  <c r="C1352" i="8"/>
  <c r="L1351" i="8"/>
  <c r="D1351" i="8"/>
  <c r="C1351" i="8"/>
  <c r="L1350" i="8"/>
  <c r="D1350" i="8"/>
  <c r="C1350" i="8"/>
  <c r="L1349" i="8"/>
  <c r="D1349" i="8"/>
  <c r="C1349" i="8"/>
  <c r="L1348" i="8"/>
  <c r="D1348" i="8"/>
  <c r="C1348" i="8"/>
  <c r="L1347" i="8"/>
  <c r="D1347" i="8"/>
  <c r="C1347" i="8"/>
  <c r="L1346" i="8"/>
  <c r="D1346" i="8"/>
  <c r="C1346" i="8"/>
  <c r="L1345" i="8"/>
  <c r="D1345" i="8"/>
  <c r="C1345" i="8"/>
  <c r="L1344" i="8"/>
  <c r="D1344" i="8"/>
  <c r="C1344" i="8"/>
  <c r="L1343" i="8"/>
  <c r="D1343" i="8"/>
  <c r="C1343" i="8"/>
  <c r="L1342" i="8"/>
  <c r="D1342" i="8"/>
  <c r="C1342" i="8"/>
  <c r="L1341" i="8"/>
  <c r="D1341" i="8"/>
  <c r="C1341" i="8"/>
  <c r="L1340" i="8"/>
  <c r="D1340" i="8"/>
  <c r="C1340" i="8"/>
  <c r="L1339" i="8"/>
  <c r="D1339" i="8"/>
  <c r="C1339" i="8"/>
  <c r="L1338" i="8"/>
  <c r="D1338" i="8"/>
  <c r="C1338" i="8"/>
  <c r="L1337" i="8"/>
  <c r="D1337" i="8"/>
  <c r="C1337" i="8"/>
  <c r="L1336" i="8"/>
  <c r="D1336" i="8"/>
  <c r="C1336" i="8"/>
  <c r="L1335" i="8"/>
  <c r="D1335" i="8"/>
  <c r="C1335" i="8"/>
  <c r="L1334" i="8"/>
  <c r="D1334" i="8"/>
  <c r="C1334" i="8"/>
  <c r="L1333" i="8"/>
  <c r="D1333" i="8"/>
  <c r="C1333" i="8"/>
  <c r="L1332" i="8"/>
  <c r="D1332" i="8"/>
  <c r="C1332" i="8"/>
  <c r="L1331" i="8"/>
  <c r="D1331" i="8"/>
  <c r="C1331" i="8"/>
  <c r="L1330" i="8"/>
  <c r="D1330" i="8"/>
  <c r="C1330" i="8"/>
  <c r="L1329" i="8"/>
  <c r="D1329" i="8"/>
  <c r="C1329" i="8"/>
  <c r="L1328" i="8"/>
  <c r="D1328" i="8"/>
  <c r="C1328" i="8"/>
  <c r="L1327" i="8"/>
  <c r="D1327" i="8"/>
  <c r="C1327" i="8"/>
  <c r="L1326" i="8"/>
  <c r="D1326" i="8"/>
  <c r="C1326" i="8"/>
  <c r="L1325" i="8"/>
  <c r="D1325" i="8"/>
  <c r="C1325" i="8"/>
  <c r="L1324" i="8"/>
  <c r="D1324" i="8"/>
  <c r="C1324" i="8"/>
  <c r="L1323" i="8"/>
  <c r="D1323" i="8"/>
  <c r="C1323" i="8"/>
  <c r="L1322" i="8"/>
  <c r="D1322" i="8"/>
  <c r="C1322" i="8"/>
  <c r="L1321" i="8"/>
  <c r="D1321" i="8"/>
  <c r="C1321" i="8"/>
  <c r="L1320" i="8"/>
  <c r="D1320" i="8"/>
  <c r="C1320" i="8"/>
  <c r="L1319" i="8"/>
  <c r="D1319" i="8"/>
  <c r="C1319" i="8"/>
  <c r="L1318" i="8"/>
  <c r="D1318" i="8"/>
  <c r="C1318" i="8"/>
  <c r="L1317" i="8"/>
  <c r="D1317" i="8"/>
  <c r="C1317" i="8"/>
  <c r="L1316" i="8"/>
  <c r="D1316" i="8"/>
  <c r="C1316" i="8"/>
  <c r="L1315" i="8"/>
  <c r="D1315" i="8"/>
  <c r="C1315" i="8"/>
  <c r="L1314" i="8"/>
  <c r="D1314" i="8"/>
  <c r="C1314" i="8"/>
  <c r="L1313" i="8"/>
  <c r="D1313" i="8"/>
  <c r="C1313" i="8"/>
  <c r="L1312" i="8"/>
  <c r="D1312" i="8"/>
  <c r="C1312" i="8"/>
  <c r="L1311" i="8"/>
  <c r="D1311" i="8"/>
  <c r="C1311" i="8"/>
  <c r="L1310" i="8"/>
  <c r="D1310" i="8"/>
  <c r="C1310" i="8"/>
  <c r="L1309" i="8"/>
  <c r="D1309" i="8"/>
  <c r="C1309" i="8"/>
  <c r="L1308" i="8"/>
  <c r="D1308" i="8"/>
  <c r="C1308" i="8"/>
  <c r="L1307" i="8"/>
  <c r="D1307" i="8"/>
  <c r="C1307" i="8"/>
  <c r="L1306" i="8"/>
  <c r="D1306" i="8"/>
  <c r="C1306" i="8"/>
  <c r="L1305" i="8"/>
  <c r="D1305" i="8"/>
  <c r="C1305" i="8"/>
  <c r="L1304" i="8"/>
  <c r="D1304" i="8"/>
  <c r="C1304" i="8"/>
  <c r="L1303" i="8"/>
  <c r="D1303" i="8"/>
  <c r="C1303" i="8"/>
  <c r="L1302" i="8"/>
  <c r="D1302" i="8"/>
  <c r="C1302" i="8"/>
  <c r="L1301" i="8"/>
  <c r="D1301" i="8"/>
  <c r="C1301" i="8"/>
  <c r="L1300" i="8"/>
  <c r="D1300" i="8"/>
  <c r="C1300" i="8"/>
  <c r="L1299" i="8"/>
  <c r="D1299" i="8"/>
  <c r="C1299" i="8"/>
  <c r="L1298" i="8"/>
  <c r="D1298" i="8"/>
  <c r="C1298" i="8"/>
  <c r="L1297" i="8"/>
  <c r="D1297" i="8"/>
  <c r="C1297" i="8"/>
  <c r="L1296" i="8"/>
  <c r="D1296" i="8"/>
  <c r="C1296" i="8"/>
  <c r="L1295" i="8"/>
  <c r="D1295" i="8"/>
  <c r="C1295" i="8"/>
  <c r="L1294" i="8"/>
  <c r="D1294" i="8"/>
  <c r="C1294" i="8"/>
  <c r="L1293" i="8"/>
  <c r="D1293" i="8"/>
  <c r="C1293" i="8"/>
  <c r="L1292" i="8"/>
  <c r="D1292" i="8"/>
  <c r="C1292" i="8"/>
  <c r="L1291" i="8"/>
  <c r="D1291" i="8"/>
  <c r="C1291" i="8"/>
  <c r="L1290" i="8"/>
  <c r="D1290" i="8"/>
  <c r="C1290" i="8"/>
  <c r="L1289" i="8"/>
  <c r="D1289" i="8"/>
  <c r="C1289" i="8"/>
  <c r="L1288" i="8"/>
  <c r="D1288" i="8"/>
  <c r="C1288" i="8"/>
  <c r="L1287" i="8"/>
  <c r="D1287" i="8"/>
  <c r="C1287" i="8"/>
  <c r="L1286" i="8"/>
  <c r="D1286" i="8"/>
  <c r="C1286" i="8"/>
  <c r="L1285" i="8"/>
  <c r="D1285" i="8"/>
  <c r="C1285" i="8"/>
  <c r="L1284" i="8"/>
  <c r="D1284" i="8"/>
  <c r="C1284" i="8"/>
  <c r="L1283" i="8"/>
  <c r="D1283" i="8"/>
  <c r="C1283" i="8"/>
  <c r="L1282" i="8"/>
  <c r="D1282" i="8"/>
  <c r="C1282" i="8"/>
  <c r="L1281" i="8"/>
  <c r="D1281" i="8"/>
  <c r="C1281" i="8"/>
  <c r="L1280" i="8"/>
  <c r="D1280" i="8"/>
  <c r="C1280" i="8"/>
  <c r="L1279" i="8"/>
  <c r="D1279" i="8"/>
  <c r="C1279" i="8"/>
  <c r="L1278" i="8"/>
  <c r="D1278" i="8"/>
  <c r="C1278" i="8"/>
  <c r="L1277" i="8"/>
  <c r="D1277" i="8"/>
  <c r="C1277" i="8"/>
  <c r="L1276" i="8"/>
  <c r="D1276" i="8"/>
  <c r="C1276" i="8"/>
  <c r="L1275" i="8"/>
  <c r="D1275" i="8"/>
  <c r="C1275" i="8"/>
  <c r="L1274" i="8"/>
  <c r="D1274" i="8"/>
  <c r="C1274" i="8"/>
  <c r="L1273" i="8"/>
  <c r="D1273" i="8"/>
  <c r="C1273" i="8"/>
  <c r="L1272" i="8"/>
  <c r="D1272" i="8"/>
  <c r="C1272" i="8"/>
  <c r="L1271" i="8"/>
  <c r="D1271" i="8"/>
  <c r="C1271" i="8"/>
  <c r="L1270" i="8"/>
  <c r="D1270" i="8"/>
  <c r="C1270" i="8"/>
  <c r="L1269" i="8"/>
  <c r="D1269" i="8"/>
  <c r="C1269" i="8"/>
  <c r="L1268" i="8"/>
  <c r="D1268" i="8"/>
  <c r="C1268" i="8"/>
  <c r="L1267" i="8"/>
  <c r="D1267" i="8"/>
  <c r="C1267" i="8"/>
  <c r="L1266" i="8"/>
  <c r="D1266" i="8"/>
  <c r="C1266" i="8"/>
  <c r="L1265" i="8"/>
  <c r="D1265" i="8"/>
  <c r="C1265" i="8"/>
  <c r="L1264" i="8"/>
  <c r="D1264" i="8"/>
  <c r="C1264" i="8"/>
  <c r="L1263" i="8"/>
  <c r="D1263" i="8"/>
  <c r="C1263" i="8"/>
  <c r="L1262" i="8"/>
  <c r="D1262" i="8"/>
  <c r="C1262" i="8"/>
  <c r="L1261" i="8"/>
  <c r="D1261" i="8"/>
  <c r="C1261" i="8"/>
  <c r="L1260" i="8"/>
  <c r="D1260" i="8"/>
  <c r="C1260" i="8"/>
  <c r="L1259" i="8"/>
  <c r="D1259" i="8"/>
  <c r="C1259" i="8"/>
  <c r="L1258" i="8"/>
  <c r="D1258" i="8"/>
  <c r="C1258" i="8"/>
  <c r="L1257" i="8"/>
  <c r="D1257" i="8"/>
  <c r="C1257" i="8"/>
  <c r="L1256" i="8"/>
  <c r="D1256" i="8"/>
  <c r="C1256" i="8"/>
  <c r="L1255" i="8"/>
  <c r="D1255" i="8"/>
  <c r="C1255" i="8"/>
  <c r="L1254" i="8"/>
  <c r="D1254" i="8"/>
  <c r="C1254" i="8"/>
  <c r="L1253" i="8"/>
  <c r="D1253" i="8"/>
  <c r="C1253" i="8"/>
  <c r="L1252" i="8"/>
  <c r="D1252" i="8"/>
  <c r="C1252" i="8"/>
  <c r="L1251" i="8"/>
  <c r="D1251" i="8"/>
  <c r="C1251" i="8"/>
  <c r="L1250" i="8"/>
  <c r="D1250" i="8"/>
  <c r="C1250" i="8"/>
  <c r="L1249" i="8"/>
  <c r="D1249" i="8"/>
  <c r="C1249" i="8"/>
  <c r="L1248" i="8"/>
  <c r="D1248" i="8"/>
  <c r="C1248" i="8"/>
  <c r="L1247" i="8"/>
  <c r="D1247" i="8"/>
  <c r="C1247" i="8"/>
  <c r="L1246" i="8"/>
  <c r="D1246" i="8"/>
  <c r="C1246" i="8"/>
  <c r="L1245" i="8"/>
  <c r="D1245" i="8"/>
  <c r="C1245" i="8"/>
  <c r="L1244" i="8"/>
  <c r="D1244" i="8"/>
  <c r="C1244" i="8"/>
  <c r="L1243" i="8"/>
  <c r="D1243" i="8"/>
  <c r="C1243" i="8"/>
  <c r="L1242" i="8"/>
  <c r="D1242" i="8"/>
  <c r="C1242" i="8"/>
  <c r="L1241" i="8"/>
  <c r="D1241" i="8"/>
  <c r="C1241" i="8"/>
  <c r="L1240" i="8"/>
  <c r="D1240" i="8"/>
  <c r="C1240" i="8"/>
  <c r="L1239" i="8"/>
  <c r="D1239" i="8"/>
  <c r="C1239" i="8"/>
  <c r="L1238" i="8"/>
  <c r="D1238" i="8"/>
  <c r="C1238" i="8"/>
  <c r="L1237" i="8"/>
  <c r="D1237" i="8"/>
  <c r="C1237" i="8"/>
  <c r="L1236" i="8"/>
  <c r="D1236" i="8"/>
  <c r="C1236" i="8"/>
  <c r="L1235" i="8"/>
  <c r="D1235" i="8"/>
  <c r="C1235" i="8"/>
  <c r="L1234" i="8"/>
  <c r="D1234" i="8"/>
  <c r="C1234" i="8"/>
  <c r="L1233" i="8"/>
  <c r="D1233" i="8"/>
  <c r="C1233" i="8"/>
  <c r="L1232" i="8"/>
  <c r="D1232" i="8"/>
  <c r="C1232" i="8"/>
  <c r="L1231" i="8"/>
  <c r="D1231" i="8"/>
  <c r="C1231" i="8"/>
  <c r="L1230" i="8"/>
  <c r="D1230" i="8"/>
  <c r="C1230" i="8"/>
  <c r="L1229" i="8"/>
  <c r="D1229" i="8"/>
  <c r="C1229" i="8"/>
  <c r="L1228" i="8"/>
  <c r="D1228" i="8"/>
  <c r="C1228" i="8"/>
  <c r="L1227" i="8"/>
  <c r="D1227" i="8"/>
  <c r="C1227" i="8"/>
  <c r="L1226" i="8"/>
  <c r="D1226" i="8"/>
  <c r="C1226" i="8"/>
  <c r="L1225" i="8"/>
  <c r="D1225" i="8"/>
  <c r="C1225" i="8"/>
  <c r="L1224" i="8"/>
  <c r="D1224" i="8"/>
  <c r="C1224" i="8"/>
  <c r="L1223" i="8"/>
  <c r="D1223" i="8"/>
  <c r="C1223" i="8"/>
  <c r="L1222" i="8"/>
  <c r="D1222" i="8"/>
  <c r="C1222" i="8"/>
  <c r="L1221" i="8"/>
  <c r="D1221" i="8"/>
  <c r="C1221" i="8"/>
  <c r="L1220" i="8"/>
  <c r="D1220" i="8"/>
  <c r="C1220" i="8"/>
  <c r="L1219" i="8"/>
  <c r="D1219" i="8"/>
  <c r="C1219" i="8"/>
  <c r="L1218" i="8"/>
  <c r="D1218" i="8"/>
  <c r="C1218" i="8"/>
  <c r="L1217" i="8"/>
  <c r="D1217" i="8"/>
  <c r="C1217" i="8"/>
  <c r="L1216" i="8"/>
  <c r="D1216" i="8"/>
  <c r="C1216" i="8"/>
  <c r="L1215" i="8"/>
  <c r="D1215" i="8"/>
  <c r="C1215" i="8"/>
  <c r="L1214" i="8"/>
  <c r="D1214" i="8"/>
  <c r="C1214" i="8"/>
  <c r="L1213" i="8"/>
  <c r="D1213" i="8"/>
  <c r="C1213" i="8"/>
  <c r="L1212" i="8"/>
  <c r="D1212" i="8"/>
  <c r="C1212" i="8"/>
  <c r="L1211" i="8"/>
  <c r="D1211" i="8"/>
  <c r="C1211" i="8"/>
  <c r="L1210" i="8"/>
  <c r="D1210" i="8"/>
  <c r="C1210" i="8"/>
  <c r="L1209" i="8"/>
  <c r="D1209" i="8"/>
  <c r="C1209" i="8"/>
  <c r="L1208" i="8"/>
  <c r="D1208" i="8"/>
  <c r="C1208" i="8"/>
  <c r="L1207" i="8"/>
  <c r="D1207" i="8"/>
  <c r="C1207" i="8"/>
  <c r="L1206" i="8"/>
  <c r="D1206" i="8"/>
  <c r="C1206" i="8"/>
  <c r="L1205" i="8"/>
  <c r="D1205" i="8"/>
  <c r="C1205" i="8"/>
  <c r="L1204" i="8"/>
  <c r="D1204" i="8"/>
  <c r="C1204" i="8"/>
  <c r="L1203" i="8"/>
  <c r="D1203" i="8"/>
  <c r="C1203" i="8"/>
  <c r="L1202" i="8"/>
  <c r="D1202" i="8"/>
  <c r="C1202" i="8"/>
  <c r="L1201" i="8"/>
  <c r="D1201" i="8"/>
  <c r="C1201" i="8"/>
  <c r="L1200" i="8"/>
  <c r="D1200" i="8"/>
  <c r="C1200" i="8"/>
  <c r="L1199" i="8"/>
  <c r="D1199" i="8"/>
  <c r="C1199" i="8"/>
  <c r="L1198" i="8"/>
  <c r="D1198" i="8"/>
  <c r="C1198" i="8"/>
  <c r="L1197" i="8"/>
  <c r="D1197" i="8"/>
  <c r="C1197" i="8"/>
  <c r="L1196" i="8"/>
  <c r="D1196" i="8"/>
  <c r="C1196" i="8"/>
  <c r="L1195" i="8"/>
  <c r="D1195" i="8"/>
  <c r="C1195" i="8"/>
  <c r="L1194" i="8"/>
  <c r="D1194" i="8"/>
  <c r="C1194" i="8"/>
  <c r="L1193" i="8"/>
  <c r="D1193" i="8"/>
  <c r="C1193" i="8"/>
  <c r="L1192" i="8"/>
  <c r="D1192" i="8"/>
  <c r="C1192" i="8"/>
  <c r="L1191" i="8"/>
  <c r="D1191" i="8"/>
  <c r="C1191" i="8"/>
  <c r="L1190" i="8"/>
  <c r="D1190" i="8"/>
  <c r="C1190" i="8"/>
  <c r="L1189" i="8"/>
  <c r="D1189" i="8"/>
  <c r="C1189" i="8"/>
  <c r="L1188" i="8"/>
  <c r="D1188" i="8"/>
  <c r="C1188" i="8"/>
  <c r="L1187" i="8"/>
  <c r="D1187" i="8"/>
  <c r="C1187" i="8"/>
  <c r="L1186" i="8"/>
  <c r="D1186" i="8"/>
  <c r="C1186" i="8"/>
  <c r="L1185" i="8"/>
  <c r="D1185" i="8"/>
  <c r="C1185" i="8"/>
  <c r="L1184" i="8"/>
  <c r="D1184" i="8"/>
  <c r="C1184" i="8"/>
  <c r="L1183" i="8"/>
  <c r="D1183" i="8"/>
  <c r="C1183" i="8"/>
  <c r="L1182" i="8"/>
  <c r="D1182" i="8"/>
  <c r="C1182" i="8"/>
  <c r="L1181" i="8"/>
  <c r="D1181" i="8"/>
  <c r="C1181" i="8"/>
  <c r="L1180" i="8"/>
  <c r="D1180" i="8"/>
  <c r="C1180" i="8"/>
  <c r="L1179" i="8"/>
  <c r="D1179" i="8"/>
  <c r="C1179" i="8"/>
  <c r="L1178" i="8"/>
  <c r="D1178" i="8"/>
  <c r="C1178" i="8"/>
  <c r="L1177" i="8"/>
  <c r="D1177" i="8"/>
  <c r="C1177" i="8"/>
  <c r="L1176" i="8"/>
  <c r="D1176" i="8"/>
  <c r="C1176" i="8"/>
  <c r="L1175" i="8"/>
  <c r="D1175" i="8"/>
  <c r="C1175" i="8"/>
  <c r="L1174" i="8"/>
  <c r="D1174" i="8"/>
  <c r="C1174" i="8"/>
  <c r="L1173" i="8"/>
  <c r="D1173" i="8"/>
  <c r="C1173" i="8"/>
  <c r="L1172" i="8"/>
  <c r="D1172" i="8"/>
  <c r="C1172" i="8"/>
  <c r="L1171" i="8"/>
  <c r="D1171" i="8"/>
  <c r="C1171" i="8"/>
  <c r="L1170" i="8"/>
  <c r="D1170" i="8"/>
  <c r="C1170" i="8"/>
  <c r="L1169" i="8"/>
  <c r="D1169" i="8"/>
  <c r="C1169" i="8"/>
  <c r="L1168" i="8"/>
  <c r="D1168" i="8"/>
  <c r="C1168" i="8"/>
  <c r="L1167" i="8"/>
  <c r="D1167" i="8"/>
  <c r="C1167" i="8"/>
  <c r="L1166" i="8"/>
  <c r="D1166" i="8"/>
  <c r="C1166" i="8"/>
  <c r="L1165" i="8"/>
  <c r="D1165" i="8"/>
  <c r="C1165" i="8"/>
  <c r="L1164" i="8"/>
  <c r="D1164" i="8"/>
  <c r="C1164" i="8"/>
  <c r="L1163" i="8"/>
  <c r="D1163" i="8"/>
  <c r="C1163" i="8"/>
  <c r="L1162" i="8"/>
  <c r="D1162" i="8"/>
  <c r="C1162" i="8"/>
  <c r="L1161" i="8"/>
  <c r="D1161" i="8"/>
  <c r="C1161" i="8"/>
  <c r="L1160" i="8"/>
  <c r="D1160" i="8"/>
  <c r="C1160" i="8"/>
  <c r="L1159" i="8"/>
  <c r="D1159" i="8"/>
  <c r="C1159" i="8"/>
  <c r="L1158" i="8"/>
  <c r="D1158" i="8"/>
  <c r="C1158" i="8"/>
  <c r="L1157" i="8"/>
  <c r="D1157" i="8"/>
  <c r="C1157" i="8"/>
  <c r="L1156" i="8"/>
  <c r="D1156" i="8"/>
  <c r="C1156" i="8"/>
  <c r="L1155" i="8"/>
  <c r="D1155" i="8"/>
  <c r="C1155" i="8"/>
  <c r="L1154" i="8"/>
  <c r="D1154" i="8"/>
  <c r="C1154" i="8"/>
  <c r="L1153" i="8"/>
  <c r="D1153" i="8"/>
  <c r="C1153" i="8"/>
  <c r="L1152" i="8"/>
  <c r="D1152" i="8"/>
  <c r="C1152" i="8"/>
  <c r="L1151" i="8"/>
  <c r="D1151" i="8"/>
  <c r="C1151" i="8"/>
  <c r="L1150" i="8"/>
  <c r="D1150" i="8"/>
  <c r="C1150" i="8"/>
  <c r="L1149" i="8"/>
  <c r="D1149" i="8"/>
  <c r="C1149" i="8"/>
  <c r="L1148" i="8"/>
  <c r="D1148" i="8"/>
  <c r="C1148" i="8"/>
  <c r="L1147" i="8"/>
  <c r="D1147" i="8"/>
  <c r="C1147" i="8"/>
  <c r="L1146" i="8"/>
  <c r="D1146" i="8"/>
  <c r="C1146" i="8"/>
  <c r="L1145" i="8"/>
  <c r="D1145" i="8"/>
  <c r="C1145" i="8"/>
  <c r="L1144" i="8"/>
  <c r="D1144" i="8"/>
  <c r="C1144" i="8"/>
  <c r="L1143" i="8"/>
  <c r="D1143" i="8"/>
  <c r="C1143" i="8"/>
  <c r="L1142" i="8"/>
  <c r="D1142" i="8"/>
  <c r="C1142" i="8"/>
  <c r="L1141" i="8"/>
  <c r="D1141" i="8"/>
  <c r="C1141" i="8"/>
  <c r="L1140" i="8"/>
  <c r="D1140" i="8"/>
  <c r="C1140" i="8"/>
  <c r="L1139" i="8"/>
  <c r="D1139" i="8"/>
  <c r="C1139" i="8"/>
  <c r="L1138" i="8"/>
  <c r="D1138" i="8"/>
  <c r="C1138" i="8"/>
  <c r="L1137" i="8"/>
  <c r="D1137" i="8"/>
  <c r="C1137" i="8"/>
  <c r="L1136" i="8"/>
  <c r="D1136" i="8"/>
  <c r="C1136" i="8"/>
  <c r="L1135" i="8"/>
  <c r="D1135" i="8"/>
  <c r="C1135" i="8"/>
  <c r="L1134" i="8"/>
  <c r="D1134" i="8"/>
  <c r="C1134" i="8"/>
  <c r="L1133" i="8"/>
  <c r="D1133" i="8"/>
  <c r="C1133" i="8"/>
  <c r="L1132" i="8"/>
  <c r="D1132" i="8"/>
  <c r="C1132" i="8"/>
  <c r="L1131" i="8"/>
  <c r="D1131" i="8"/>
  <c r="C1131" i="8"/>
  <c r="L1130" i="8"/>
  <c r="D1130" i="8"/>
  <c r="C1130" i="8"/>
  <c r="L1129" i="8"/>
  <c r="D1129" i="8"/>
  <c r="C1129" i="8"/>
  <c r="L1128" i="8"/>
  <c r="D1128" i="8"/>
  <c r="C1128" i="8"/>
  <c r="L1127" i="8"/>
  <c r="D1127" i="8"/>
  <c r="C1127" i="8"/>
  <c r="L1126" i="8"/>
  <c r="D1126" i="8"/>
  <c r="C1126" i="8"/>
  <c r="L1125" i="8"/>
  <c r="D1125" i="8"/>
  <c r="C1125" i="8"/>
  <c r="L1124" i="8"/>
  <c r="D1124" i="8"/>
  <c r="C1124" i="8"/>
  <c r="L1123" i="8"/>
  <c r="D1123" i="8"/>
  <c r="C1123" i="8"/>
  <c r="L1122" i="8"/>
  <c r="D1122" i="8"/>
  <c r="C1122" i="8"/>
  <c r="L1121" i="8"/>
  <c r="D1121" i="8"/>
  <c r="C1121" i="8"/>
  <c r="L1120" i="8"/>
  <c r="D1120" i="8"/>
  <c r="C1120" i="8"/>
  <c r="L1119" i="8"/>
  <c r="D1119" i="8"/>
  <c r="C1119" i="8"/>
  <c r="L1118" i="8"/>
  <c r="D1118" i="8"/>
  <c r="C1118" i="8"/>
  <c r="L1117" i="8"/>
  <c r="D1117" i="8"/>
  <c r="C1117" i="8"/>
  <c r="L1116" i="8"/>
  <c r="D1116" i="8"/>
  <c r="C1116" i="8"/>
  <c r="L1115" i="8"/>
  <c r="D1115" i="8"/>
  <c r="C1115" i="8"/>
  <c r="L1114" i="8"/>
  <c r="D1114" i="8"/>
  <c r="C1114" i="8"/>
  <c r="L1113" i="8"/>
  <c r="D1113" i="8"/>
  <c r="C1113" i="8"/>
  <c r="L1112" i="8"/>
  <c r="D1112" i="8"/>
  <c r="C1112" i="8"/>
  <c r="L1111" i="8"/>
  <c r="D1111" i="8"/>
  <c r="C1111" i="8"/>
  <c r="L1110" i="8"/>
  <c r="D1110" i="8"/>
  <c r="C1110" i="8"/>
  <c r="L1109" i="8"/>
  <c r="D1109" i="8"/>
  <c r="C1109" i="8"/>
  <c r="L1108" i="8"/>
  <c r="D1108" i="8"/>
  <c r="C1108" i="8"/>
  <c r="L1107" i="8"/>
  <c r="D1107" i="8"/>
  <c r="C1107" i="8"/>
  <c r="L1106" i="8"/>
  <c r="D1106" i="8"/>
  <c r="C1106" i="8"/>
  <c r="L1105" i="8"/>
  <c r="D1105" i="8"/>
  <c r="C1105" i="8"/>
  <c r="L1104" i="8"/>
  <c r="D1104" i="8"/>
  <c r="C1104" i="8"/>
  <c r="L1103" i="8"/>
  <c r="D1103" i="8"/>
  <c r="C1103" i="8"/>
  <c r="L1102" i="8"/>
  <c r="D1102" i="8"/>
  <c r="C1102" i="8"/>
  <c r="L1101" i="8"/>
  <c r="D1101" i="8"/>
  <c r="C1101" i="8"/>
  <c r="L1100" i="8"/>
  <c r="D1100" i="8"/>
  <c r="C1100" i="8"/>
  <c r="L1099" i="8"/>
  <c r="D1099" i="8"/>
  <c r="C1099" i="8"/>
  <c r="L1098" i="8"/>
  <c r="D1098" i="8"/>
  <c r="C1098" i="8"/>
  <c r="L1097" i="8"/>
  <c r="D1097" i="8"/>
  <c r="C1097" i="8"/>
  <c r="L1096" i="8"/>
  <c r="D1096" i="8"/>
  <c r="C1096" i="8"/>
  <c r="L1095" i="8"/>
  <c r="D1095" i="8"/>
  <c r="C1095" i="8"/>
  <c r="L1094" i="8"/>
  <c r="D1094" i="8"/>
  <c r="C1094" i="8"/>
  <c r="L1093" i="8"/>
  <c r="D1093" i="8"/>
  <c r="C1093" i="8"/>
  <c r="L1092" i="8"/>
  <c r="D1092" i="8"/>
  <c r="C1092" i="8"/>
  <c r="L1091" i="8"/>
  <c r="D1091" i="8"/>
  <c r="C1091" i="8"/>
  <c r="L1090" i="8"/>
  <c r="D1090" i="8"/>
  <c r="C1090" i="8"/>
  <c r="L1089" i="8"/>
  <c r="D1089" i="8"/>
  <c r="C1089" i="8"/>
  <c r="L1088" i="8"/>
  <c r="D1088" i="8"/>
  <c r="C1088" i="8"/>
  <c r="L1087" i="8"/>
  <c r="D1087" i="8"/>
  <c r="C1087" i="8"/>
  <c r="L1086" i="8"/>
  <c r="D1086" i="8"/>
  <c r="C1086" i="8"/>
  <c r="L1085" i="8"/>
  <c r="D1085" i="8"/>
  <c r="C1085" i="8"/>
  <c r="L1084" i="8"/>
  <c r="D1084" i="8"/>
  <c r="C1084" i="8"/>
  <c r="L1083" i="8"/>
  <c r="D1083" i="8"/>
  <c r="C1083" i="8"/>
  <c r="L1082" i="8"/>
  <c r="D1082" i="8"/>
  <c r="C1082" i="8"/>
  <c r="L1081" i="8"/>
  <c r="D1081" i="8"/>
  <c r="C1081" i="8"/>
  <c r="L1080" i="8"/>
  <c r="D1080" i="8"/>
  <c r="C1080" i="8"/>
  <c r="L1079" i="8"/>
  <c r="D1079" i="8"/>
  <c r="C1079" i="8"/>
  <c r="L1078" i="8"/>
  <c r="D1078" i="8"/>
  <c r="C1078" i="8"/>
  <c r="L1077" i="8"/>
  <c r="D1077" i="8"/>
  <c r="C1077" i="8"/>
  <c r="L1076" i="8"/>
  <c r="D1076" i="8"/>
  <c r="C1076" i="8"/>
  <c r="L1075" i="8"/>
  <c r="D1075" i="8"/>
  <c r="C1075" i="8"/>
  <c r="L1074" i="8"/>
  <c r="D1074" i="8"/>
  <c r="C1074" i="8"/>
  <c r="L1073" i="8"/>
  <c r="D1073" i="8"/>
  <c r="C1073" i="8"/>
  <c r="L1072" i="8"/>
  <c r="D1072" i="8"/>
  <c r="C1072" i="8"/>
  <c r="L1071" i="8"/>
  <c r="D1071" i="8"/>
  <c r="C1071" i="8"/>
  <c r="L1070" i="8"/>
  <c r="D1070" i="8"/>
  <c r="C1070" i="8"/>
  <c r="L1069" i="8"/>
  <c r="D1069" i="8"/>
  <c r="C1069" i="8"/>
  <c r="L1068" i="8"/>
  <c r="D1068" i="8"/>
  <c r="C1068" i="8"/>
  <c r="L1067" i="8"/>
  <c r="D1067" i="8"/>
  <c r="C1067" i="8"/>
  <c r="L1066" i="8"/>
  <c r="D1066" i="8"/>
  <c r="C1066" i="8"/>
  <c r="L1065" i="8"/>
  <c r="D1065" i="8"/>
  <c r="C1065" i="8"/>
  <c r="L1064" i="8"/>
  <c r="D1064" i="8"/>
  <c r="C1064" i="8"/>
  <c r="L1063" i="8"/>
  <c r="D1063" i="8"/>
  <c r="C1063" i="8"/>
  <c r="L1062" i="8"/>
  <c r="D1062" i="8"/>
  <c r="C1062" i="8"/>
  <c r="L1061" i="8"/>
  <c r="D1061" i="8"/>
  <c r="C1061" i="8"/>
  <c r="L1060" i="8"/>
  <c r="D1060" i="8"/>
  <c r="C1060" i="8"/>
  <c r="L1059" i="8"/>
  <c r="D1059" i="8"/>
  <c r="C1059" i="8"/>
  <c r="L1058" i="8"/>
  <c r="D1058" i="8"/>
  <c r="C1058" i="8"/>
  <c r="L1057" i="8"/>
  <c r="D1057" i="8"/>
  <c r="C1057" i="8"/>
  <c r="L1056" i="8"/>
  <c r="D1056" i="8"/>
  <c r="C1056" i="8"/>
  <c r="L1055" i="8"/>
  <c r="D1055" i="8"/>
  <c r="C1055" i="8"/>
  <c r="L1054" i="8"/>
  <c r="D1054" i="8"/>
  <c r="C1054" i="8"/>
  <c r="L1053" i="8"/>
  <c r="D1053" i="8"/>
  <c r="C1053" i="8"/>
  <c r="L1052" i="8"/>
  <c r="D1052" i="8"/>
  <c r="C1052" i="8"/>
  <c r="L1051" i="8"/>
  <c r="D1051" i="8"/>
  <c r="C1051" i="8"/>
  <c r="L1050" i="8"/>
  <c r="D1050" i="8"/>
  <c r="C1050" i="8"/>
  <c r="L1049" i="8"/>
  <c r="D1049" i="8"/>
  <c r="C1049" i="8"/>
  <c r="L1048" i="8"/>
  <c r="D1048" i="8"/>
  <c r="C1048" i="8"/>
  <c r="L1047" i="8"/>
  <c r="D1047" i="8"/>
  <c r="C1047" i="8"/>
  <c r="L1046" i="8"/>
  <c r="D1046" i="8"/>
  <c r="C1046" i="8"/>
  <c r="L1045" i="8"/>
  <c r="D1045" i="8"/>
  <c r="C1045" i="8"/>
  <c r="L1044" i="8"/>
  <c r="D1044" i="8"/>
  <c r="C1044" i="8"/>
  <c r="L1043" i="8"/>
  <c r="D1043" i="8"/>
  <c r="C1043" i="8"/>
  <c r="L1042" i="8"/>
  <c r="D1042" i="8"/>
  <c r="C1042" i="8"/>
  <c r="L1041" i="8"/>
  <c r="D1041" i="8"/>
  <c r="C1041" i="8"/>
  <c r="L1040" i="8"/>
  <c r="D1040" i="8"/>
  <c r="C1040" i="8"/>
  <c r="L1039" i="8"/>
  <c r="D1039" i="8"/>
  <c r="C1039" i="8"/>
  <c r="L1038" i="8"/>
  <c r="D1038" i="8"/>
  <c r="C1038" i="8"/>
  <c r="L1037" i="8"/>
  <c r="D1037" i="8"/>
  <c r="C1037" i="8"/>
  <c r="L1036" i="8"/>
  <c r="D1036" i="8"/>
  <c r="C1036" i="8"/>
  <c r="L1035" i="8"/>
  <c r="D1035" i="8"/>
  <c r="C1035" i="8"/>
  <c r="L1034" i="8"/>
  <c r="D1034" i="8"/>
  <c r="C1034" i="8"/>
  <c r="L1033" i="8"/>
  <c r="D1033" i="8"/>
  <c r="C1033" i="8"/>
  <c r="L1032" i="8"/>
  <c r="D1032" i="8"/>
  <c r="C1032" i="8"/>
  <c r="L1031" i="8"/>
  <c r="D1031" i="8"/>
  <c r="C1031" i="8"/>
  <c r="L1030" i="8"/>
  <c r="D1030" i="8"/>
  <c r="C1030" i="8"/>
  <c r="L1029" i="8"/>
  <c r="D1029" i="8"/>
  <c r="C1029" i="8"/>
  <c r="L1028" i="8"/>
  <c r="D1028" i="8"/>
  <c r="C1028" i="8"/>
  <c r="L1027" i="8"/>
  <c r="D1027" i="8"/>
  <c r="C1027" i="8"/>
  <c r="L1026" i="8"/>
  <c r="D1026" i="8"/>
  <c r="C1026" i="8"/>
  <c r="L1025" i="8"/>
  <c r="D1025" i="8"/>
  <c r="C1025" i="8"/>
  <c r="L1024" i="8"/>
  <c r="D1024" i="8"/>
  <c r="C1024" i="8"/>
  <c r="L1023" i="8"/>
  <c r="D1023" i="8"/>
  <c r="C1023" i="8"/>
  <c r="L1022" i="8"/>
  <c r="D1022" i="8"/>
  <c r="C1022" i="8"/>
  <c r="L1021" i="8"/>
  <c r="D1021" i="8"/>
  <c r="C1021" i="8"/>
  <c r="L1020" i="8"/>
  <c r="D1020" i="8"/>
  <c r="C1020" i="8"/>
  <c r="L1019" i="8"/>
  <c r="D1019" i="8"/>
  <c r="C1019" i="8"/>
  <c r="L1018" i="8"/>
  <c r="D1018" i="8"/>
  <c r="C1018" i="8"/>
  <c r="L1017" i="8"/>
  <c r="D1017" i="8"/>
  <c r="C1017" i="8"/>
  <c r="L1016" i="8"/>
  <c r="D1016" i="8"/>
  <c r="C1016" i="8"/>
  <c r="L1015" i="8"/>
  <c r="D1015" i="8"/>
  <c r="C1015" i="8"/>
  <c r="L1014" i="8"/>
  <c r="D1014" i="8"/>
  <c r="C1014" i="8"/>
  <c r="L1013" i="8"/>
  <c r="D1013" i="8"/>
  <c r="C1013" i="8"/>
  <c r="L1012" i="8"/>
  <c r="D1012" i="8"/>
  <c r="C1012" i="8"/>
  <c r="L1011" i="8"/>
  <c r="D1011" i="8"/>
  <c r="C1011" i="8"/>
  <c r="L1010" i="8"/>
  <c r="D1010" i="8"/>
  <c r="C1010" i="8"/>
  <c r="L1009" i="8"/>
  <c r="D1009" i="8"/>
  <c r="C1009" i="8"/>
  <c r="L1008" i="8"/>
  <c r="D1008" i="8"/>
  <c r="C1008" i="8"/>
  <c r="L1007" i="8"/>
  <c r="D1007" i="8"/>
  <c r="C1007" i="8"/>
  <c r="L1006" i="8"/>
  <c r="D1006" i="8"/>
  <c r="C1006" i="8"/>
  <c r="L1005" i="8"/>
  <c r="D1005" i="8"/>
  <c r="C1005" i="8"/>
  <c r="L1004" i="8"/>
  <c r="D1004" i="8"/>
  <c r="C1004" i="8"/>
  <c r="L1003" i="8"/>
  <c r="D1003" i="8"/>
  <c r="C1003" i="8"/>
  <c r="L1002" i="8"/>
  <c r="D1002" i="8"/>
  <c r="C1002" i="8"/>
  <c r="L1001" i="8"/>
  <c r="D1001" i="8"/>
  <c r="C1001" i="8"/>
  <c r="L1000" i="8"/>
  <c r="D1000" i="8"/>
  <c r="C1000" i="8"/>
  <c r="L999" i="8"/>
  <c r="D999" i="8"/>
  <c r="C999" i="8"/>
  <c r="L998" i="8"/>
  <c r="D998" i="8"/>
  <c r="C998" i="8"/>
  <c r="L997" i="8"/>
  <c r="D997" i="8"/>
  <c r="C997" i="8"/>
  <c r="L996" i="8"/>
  <c r="D996" i="8"/>
  <c r="C996" i="8"/>
  <c r="L995" i="8"/>
  <c r="D995" i="8"/>
  <c r="C995" i="8"/>
  <c r="L994" i="8"/>
  <c r="D994" i="8"/>
  <c r="C994" i="8"/>
  <c r="L993" i="8"/>
  <c r="D993" i="8"/>
  <c r="C993" i="8"/>
  <c r="L992" i="8"/>
  <c r="D992" i="8"/>
  <c r="C992" i="8"/>
  <c r="L991" i="8"/>
  <c r="D991" i="8"/>
  <c r="C991" i="8"/>
  <c r="L990" i="8"/>
  <c r="D990" i="8"/>
  <c r="C990" i="8"/>
  <c r="L989" i="8"/>
  <c r="D989" i="8"/>
  <c r="C989" i="8"/>
  <c r="L988" i="8"/>
  <c r="D988" i="8"/>
  <c r="C988" i="8"/>
  <c r="L987" i="8"/>
  <c r="D987" i="8"/>
  <c r="C987" i="8"/>
  <c r="L986" i="8"/>
  <c r="D986" i="8"/>
  <c r="C986" i="8"/>
  <c r="L985" i="8"/>
  <c r="D985" i="8"/>
  <c r="C985" i="8"/>
  <c r="L984" i="8"/>
  <c r="D984" i="8"/>
  <c r="C984" i="8"/>
  <c r="L983" i="8"/>
  <c r="D983" i="8"/>
  <c r="C983" i="8"/>
  <c r="L982" i="8"/>
  <c r="D982" i="8"/>
  <c r="C982" i="8"/>
  <c r="L981" i="8"/>
  <c r="D981" i="8"/>
  <c r="C981" i="8"/>
  <c r="L980" i="8"/>
  <c r="D980" i="8"/>
  <c r="C980" i="8"/>
  <c r="L979" i="8"/>
  <c r="D979" i="8"/>
  <c r="C979" i="8"/>
  <c r="L978" i="8"/>
  <c r="D978" i="8"/>
  <c r="C978" i="8"/>
  <c r="L977" i="8"/>
  <c r="D977" i="8"/>
  <c r="C977" i="8"/>
  <c r="L976" i="8"/>
  <c r="D976" i="8"/>
  <c r="C976" i="8"/>
  <c r="L975" i="8"/>
  <c r="D975" i="8"/>
  <c r="C975" i="8"/>
  <c r="L974" i="8"/>
  <c r="D974" i="8"/>
  <c r="C974" i="8"/>
  <c r="L973" i="8"/>
  <c r="D973" i="8"/>
  <c r="C973" i="8"/>
  <c r="L972" i="8"/>
  <c r="D972" i="8"/>
  <c r="C972" i="8"/>
  <c r="L971" i="8"/>
  <c r="D971" i="8"/>
  <c r="C971" i="8"/>
  <c r="L970" i="8"/>
  <c r="D970" i="8"/>
  <c r="C970" i="8"/>
  <c r="L969" i="8"/>
  <c r="D969" i="8"/>
  <c r="C969" i="8"/>
  <c r="L968" i="8"/>
  <c r="D968" i="8"/>
  <c r="C968" i="8"/>
  <c r="L967" i="8"/>
  <c r="D967" i="8"/>
  <c r="C967" i="8"/>
  <c r="L966" i="8"/>
  <c r="D966" i="8"/>
  <c r="C966" i="8"/>
  <c r="L965" i="8"/>
  <c r="D965" i="8"/>
  <c r="C965" i="8"/>
  <c r="L964" i="8"/>
  <c r="D964" i="8"/>
  <c r="C964" i="8"/>
  <c r="L963" i="8"/>
  <c r="D963" i="8"/>
  <c r="C963" i="8"/>
  <c r="L962" i="8"/>
  <c r="D962" i="8"/>
  <c r="C962" i="8"/>
  <c r="L961" i="8"/>
  <c r="D961" i="8"/>
  <c r="C961" i="8"/>
  <c r="L960" i="8"/>
  <c r="D960" i="8"/>
  <c r="C960" i="8"/>
  <c r="L959" i="8"/>
  <c r="D959" i="8"/>
  <c r="C959" i="8"/>
  <c r="L958" i="8"/>
  <c r="D958" i="8"/>
  <c r="C958" i="8"/>
  <c r="L957" i="8"/>
  <c r="D957" i="8"/>
  <c r="C957" i="8"/>
  <c r="L956" i="8"/>
  <c r="D956" i="8"/>
  <c r="C956" i="8"/>
  <c r="L955" i="8"/>
  <c r="D955" i="8"/>
  <c r="C955" i="8"/>
  <c r="L954" i="8"/>
  <c r="D954" i="8"/>
  <c r="C954" i="8"/>
  <c r="L953" i="8"/>
  <c r="D953" i="8"/>
  <c r="C953" i="8"/>
  <c r="L952" i="8"/>
  <c r="D952" i="8"/>
  <c r="C952" i="8"/>
  <c r="L951" i="8"/>
  <c r="D951" i="8"/>
  <c r="C951" i="8"/>
  <c r="L950" i="8"/>
  <c r="D950" i="8"/>
  <c r="C950" i="8"/>
  <c r="L949" i="8"/>
  <c r="D949" i="8"/>
  <c r="C949" i="8"/>
  <c r="L948" i="8"/>
  <c r="D948" i="8"/>
  <c r="C948" i="8"/>
  <c r="L947" i="8"/>
  <c r="D947" i="8"/>
  <c r="C947" i="8"/>
  <c r="L946" i="8"/>
  <c r="D946" i="8"/>
  <c r="C946" i="8"/>
  <c r="L945" i="8"/>
  <c r="D945" i="8"/>
  <c r="C945" i="8"/>
  <c r="L944" i="8"/>
  <c r="D944" i="8"/>
  <c r="C944" i="8"/>
  <c r="L943" i="8"/>
  <c r="D943" i="8"/>
  <c r="C943" i="8"/>
  <c r="L942" i="8"/>
  <c r="D942" i="8"/>
  <c r="C942" i="8"/>
  <c r="L941" i="8"/>
  <c r="D941" i="8"/>
  <c r="C941" i="8"/>
  <c r="L940" i="8"/>
  <c r="D940" i="8"/>
  <c r="C940" i="8"/>
  <c r="L939" i="8"/>
  <c r="D939" i="8"/>
  <c r="C939" i="8"/>
  <c r="L938" i="8"/>
  <c r="D938" i="8"/>
  <c r="C938" i="8"/>
  <c r="L937" i="8"/>
  <c r="D937" i="8"/>
  <c r="C937" i="8"/>
  <c r="L936" i="8"/>
  <c r="D936" i="8"/>
  <c r="C936" i="8"/>
  <c r="L935" i="8"/>
  <c r="D935" i="8"/>
  <c r="C935" i="8"/>
  <c r="L934" i="8"/>
  <c r="D934" i="8"/>
  <c r="C934" i="8"/>
  <c r="L933" i="8"/>
  <c r="D933" i="8"/>
  <c r="C933" i="8"/>
  <c r="L932" i="8"/>
  <c r="D932" i="8"/>
  <c r="C932" i="8"/>
  <c r="L931" i="8"/>
  <c r="D931" i="8"/>
  <c r="C931" i="8"/>
  <c r="L930" i="8"/>
  <c r="D930" i="8"/>
  <c r="C930" i="8"/>
  <c r="L929" i="8"/>
  <c r="D929" i="8"/>
  <c r="C929" i="8"/>
  <c r="L928" i="8"/>
  <c r="D928" i="8"/>
  <c r="C928" i="8"/>
  <c r="L927" i="8"/>
  <c r="D927" i="8"/>
  <c r="C927" i="8"/>
  <c r="L926" i="8"/>
  <c r="D926" i="8"/>
  <c r="C926" i="8"/>
  <c r="L925" i="8"/>
  <c r="D925" i="8"/>
  <c r="C925" i="8"/>
  <c r="L924" i="8"/>
  <c r="D924" i="8"/>
  <c r="C924" i="8"/>
  <c r="L923" i="8"/>
  <c r="D923" i="8"/>
  <c r="C923" i="8"/>
  <c r="L922" i="8"/>
  <c r="D922" i="8"/>
  <c r="C922" i="8"/>
  <c r="L921" i="8"/>
  <c r="D921" i="8"/>
  <c r="C921" i="8"/>
  <c r="L920" i="8"/>
  <c r="D920" i="8"/>
  <c r="C920" i="8"/>
  <c r="L919" i="8"/>
  <c r="D919" i="8"/>
  <c r="C919" i="8"/>
  <c r="L918" i="8"/>
  <c r="D918" i="8"/>
  <c r="C918" i="8"/>
  <c r="L917" i="8"/>
  <c r="D917" i="8"/>
  <c r="C917" i="8"/>
  <c r="L916" i="8"/>
  <c r="D916" i="8"/>
  <c r="C916" i="8"/>
  <c r="L915" i="8"/>
  <c r="D915" i="8"/>
  <c r="C915" i="8"/>
  <c r="L914" i="8"/>
  <c r="D914" i="8"/>
  <c r="C914" i="8"/>
  <c r="L913" i="8"/>
  <c r="D913" i="8"/>
  <c r="C913" i="8"/>
  <c r="L912" i="8"/>
  <c r="D912" i="8"/>
  <c r="C912" i="8"/>
  <c r="L911" i="8"/>
  <c r="D911" i="8"/>
  <c r="C911" i="8"/>
  <c r="L910" i="8"/>
  <c r="D910" i="8"/>
  <c r="C910" i="8"/>
  <c r="L909" i="8"/>
  <c r="D909" i="8"/>
  <c r="C909" i="8"/>
  <c r="L908" i="8"/>
  <c r="D908" i="8"/>
  <c r="C908" i="8"/>
  <c r="L907" i="8"/>
  <c r="D907" i="8"/>
  <c r="C907" i="8"/>
  <c r="L906" i="8"/>
  <c r="D906" i="8"/>
  <c r="C906" i="8"/>
  <c r="L905" i="8"/>
  <c r="D905" i="8"/>
  <c r="C905" i="8"/>
  <c r="L904" i="8"/>
  <c r="D904" i="8"/>
  <c r="C904" i="8"/>
  <c r="L903" i="8"/>
  <c r="D903" i="8"/>
  <c r="C903" i="8"/>
  <c r="L902" i="8"/>
  <c r="D902" i="8"/>
  <c r="C902" i="8"/>
  <c r="L901" i="8"/>
  <c r="D901" i="8"/>
  <c r="C901" i="8"/>
  <c r="L900" i="8"/>
  <c r="D900" i="8"/>
  <c r="C900" i="8"/>
  <c r="L899" i="8"/>
  <c r="D899" i="8"/>
  <c r="C899" i="8"/>
  <c r="L898" i="8"/>
  <c r="D898" i="8"/>
  <c r="C898" i="8"/>
  <c r="L897" i="8"/>
  <c r="D897" i="8"/>
  <c r="C897" i="8"/>
  <c r="L896" i="8"/>
  <c r="D896" i="8"/>
  <c r="C896" i="8"/>
  <c r="L895" i="8"/>
  <c r="D895" i="8"/>
  <c r="C895" i="8"/>
  <c r="L894" i="8"/>
  <c r="D894" i="8"/>
  <c r="C894" i="8"/>
  <c r="L893" i="8"/>
  <c r="D893" i="8"/>
  <c r="C893" i="8"/>
  <c r="L892" i="8"/>
  <c r="D892" i="8"/>
  <c r="C892" i="8"/>
  <c r="L891" i="8"/>
  <c r="D891" i="8"/>
  <c r="C891" i="8"/>
  <c r="L890" i="8"/>
  <c r="D890" i="8"/>
  <c r="C890" i="8"/>
  <c r="L889" i="8"/>
  <c r="D889" i="8"/>
  <c r="C889" i="8"/>
  <c r="L888" i="8"/>
  <c r="D888" i="8"/>
  <c r="C888" i="8"/>
  <c r="L887" i="8"/>
  <c r="D887" i="8"/>
  <c r="C887" i="8"/>
  <c r="L886" i="8"/>
  <c r="D886" i="8"/>
  <c r="C886" i="8"/>
  <c r="L885" i="8"/>
  <c r="D885" i="8"/>
  <c r="C885" i="8"/>
  <c r="L884" i="8"/>
  <c r="D884" i="8"/>
  <c r="C884" i="8"/>
  <c r="L883" i="8"/>
  <c r="D883" i="8"/>
  <c r="C883" i="8"/>
  <c r="L882" i="8"/>
  <c r="D882" i="8"/>
  <c r="C882" i="8"/>
  <c r="L881" i="8"/>
  <c r="D881" i="8"/>
  <c r="C881" i="8"/>
  <c r="L880" i="8"/>
  <c r="D880" i="8"/>
  <c r="C880" i="8"/>
  <c r="L879" i="8"/>
  <c r="D879" i="8"/>
  <c r="C879" i="8"/>
  <c r="L878" i="8"/>
  <c r="D878" i="8"/>
  <c r="C878" i="8"/>
  <c r="L877" i="8"/>
  <c r="D877" i="8"/>
  <c r="C877" i="8"/>
  <c r="L876" i="8"/>
  <c r="D876" i="8"/>
  <c r="C876" i="8"/>
  <c r="L875" i="8"/>
  <c r="D875" i="8"/>
  <c r="C875" i="8"/>
  <c r="L874" i="8"/>
  <c r="D874" i="8"/>
  <c r="C874" i="8"/>
  <c r="L873" i="8"/>
  <c r="D873" i="8"/>
  <c r="C873" i="8"/>
  <c r="L872" i="8"/>
  <c r="D872" i="8"/>
  <c r="C872" i="8"/>
  <c r="L871" i="8"/>
  <c r="D871" i="8"/>
  <c r="C871" i="8"/>
  <c r="L870" i="8"/>
  <c r="D870" i="8"/>
  <c r="C870" i="8"/>
  <c r="L869" i="8"/>
  <c r="D869" i="8"/>
  <c r="C869" i="8"/>
  <c r="L868" i="8"/>
  <c r="D868" i="8"/>
  <c r="C868" i="8"/>
  <c r="L867" i="8"/>
  <c r="D867" i="8"/>
  <c r="C867" i="8"/>
  <c r="L866" i="8"/>
  <c r="D866" i="8"/>
  <c r="C866" i="8"/>
  <c r="L865" i="8"/>
  <c r="D865" i="8"/>
  <c r="C865" i="8"/>
  <c r="L864" i="8"/>
  <c r="D864" i="8"/>
  <c r="C864" i="8"/>
  <c r="L863" i="8"/>
  <c r="D863" i="8"/>
  <c r="C863" i="8"/>
  <c r="L862" i="8"/>
  <c r="D862" i="8"/>
  <c r="C862" i="8"/>
  <c r="L861" i="8"/>
  <c r="D861" i="8"/>
  <c r="C861" i="8"/>
  <c r="L860" i="8"/>
  <c r="D860" i="8"/>
  <c r="C860" i="8"/>
  <c r="L859" i="8"/>
  <c r="D859" i="8"/>
  <c r="C859" i="8"/>
  <c r="L858" i="8"/>
  <c r="D858" i="8"/>
  <c r="C858" i="8"/>
  <c r="L857" i="8"/>
  <c r="D857" i="8"/>
  <c r="C857" i="8"/>
  <c r="L856" i="8"/>
  <c r="D856" i="8"/>
  <c r="C856" i="8"/>
  <c r="L855" i="8"/>
  <c r="D855" i="8"/>
  <c r="C855" i="8"/>
  <c r="L854" i="8"/>
  <c r="D854" i="8"/>
  <c r="C854" i="8"/>
  <c r="L853" i="8"/>
  <c r="D853" i="8"/>
  <c r="C853" i="8"/>
  <c r="L852" i="8"/>
  <c r="D852" i="8"/>
  <c r="C852" i="8"/>
  <c r="L851" i="8"/>
  <c r="D851" i="8"/>
  <c r="C851" i="8"/>
  <c r="L850" i="8"/>
  <c r="D850" i="8"/>
  <c r="C850" i="8"/>
  <c r="L849" i="8"/>
  <c r="D849" i="8"/>
  <c r="C849" i="8"/>
  <c r="L848" i="8"/>
  <c r="D848" i="8"/>
  <c r="C848" i="8"/>
  <c r="L847" i="8"/>
  <c r="D847" i="8"/>
  <c r="C847" i="8"/>
  <c r="L846" i="8"/>
  <c r="D846" i="8"/>
  <c r="C846" i="8"/>
  <c r="L845" i="8"/>
  <c r="D845" i="8"/>
  <c r="C845" i="8"/>
  <c r="L844" i="8"/>
  <c r="D844" i="8"/>
  <c r="C844" i="8"/>
  <c r="L843" i="8"/>
  <c r="D843" i="8"/>
  <c r="C843" i="8"/>
  <c r="L842" i="8"/>
  <c r="D842" i="8"/>
  <c r="C842" i="8"/>
  <c r="L841" i="8"/>
  <c r="D841" i="8"/>
  <c r="C841" i="8"/>
  <c r="L840" i="8"/>
  <c r="D840" i="8"/>
  <c r="C840" i="8"/>
  <c r="L839" i="8"/>
  <c r="D839" i="8"/>
  <c r="C839" i="8"/>
  <c r="L838" i="8"/>
  <c r="D838" i="8"/>
  <c r="C838" i="8"/>
  <c r="L837" i="8"/>
  <c r="D837" i="8"/>
  <c r="C837" i="8"/>
  <c r="L836" i="8"/>
  <c r="D836" i="8"/>
  <c r="C836" i="8"/>
  <c r="L835" i="8"/>
  <c r="D835" i="8"/>
  <c r="C835" i="8"/>
  <c r="L834" i="8"/>
  <c r="D834" i="8"/>
  <c r="C834" i="8"/>
  <c r="L833" i="8"/>
  <c r="D833" i="8"/>
  <c r="C833" i="8"/>
  <c r="L832" i="8"/>
  <c r="D832" i="8"/>
  <c r="C832" i="8"/>
  <c r="L831" i="8"/>
  <c r="D831" i="8"/>
  <c r="C831" i="8"/>
  <c r="L830" i="8"/>
  <c r="D830" i="8"/>
  <c r="C830" i="8"/>
  <c r="L829" i="8"/>
  <c r="D829" i="8"/>
  <c r="C829" i="8"/>
  <c r="L828" i="8"/>
  <c r="D828" i="8"/>
  <c r="C828" i="8"/>
  <c r="L827" i="8"/>
  <c r="D827" i="8"/>
  <c r="C827" i="8"/>
  <c r="L826" i="8"/>
  <c r="D826" i="8"/>
  <c r="C826" i="8"/>
  <c r="L825" i="8"/>
  <c r="D825" i="8"/>
  <c r="C825" i="8"/>
  <c r="L824" i="8"/>
  <c r="D824" i="8"/>
  <c r="C824" i="8"/>
  <c r="L823" i="8"/>
  <c r="D823" i="8"/>
  <c r="C823" i="8"/>
  <c r="L822" i="8"/>
  <c r="D822" i="8"/>
  <c r="C822" i="8"/>
  <c r="L821" i="8"/>
  <c r="D821" i="8"/>
  <c r="C821" i="8"/>
  <c r="L820" i="8"/>
  <c r="D820" i="8"/>
  <c r="C820" i="8"/>
  <c r="L819" i="8"/>
  <c r="D819" i="8"/>
  <c r="C819" i="8"/>
  <c r="L818" i="8"/>
  <c r="D818" i="8"/>
  <c r="C818" i="8"/>
  <c r="L817" i="8"/>
  <c r="D817" i="8"/>
  <c r="C817" i="8"/>
  <c r="L816" i="8"/>
  <c r="D816" i="8"/>
  <c r="C816" i="8"/>
  <c r="L815" i="8"/>
  <c r="D815" i="8"/>
  <c r="C815" i="8"/>
  <c r="L814" i="8"/>
  <c r="D814" i="8"/>
  <c r="C814" i="8"/>
  <c r="L813" i="8"/>
  <c r="D813" i="8"/>
  <c r="C813" i="8"/>
  <c r="L812" i="8"/>
  <c r="D812" i="8"/>
  <c r="C812" i="8"/>
  <c r="L811" i="8"/>
  <c r="D811" i="8"/>
  <c r="C811" i="8"/>
  <c r="L810" i="8"/>
  <c r="D810" i="8"/>
  <c r="C810" i="8"/>
  <c r="L809" i="8"/>
  <c r="D809" i="8"/>
  <c r="C809" i="8"/>
  <c r="L808" i="8"/>
  <c r="D808" i="8"/>
  <c r="C808" i="8"/>
  <c r="L807" i="8"/>
  <c r="D807" i="8"/>
  <c r="C807" i="8"/>
  <c r="L806" i="8"/>
  <c r="D806" i="8"/>
  <c r="C806" i="8"/>
  <c r="L805" i="8"/>
  <c r="D805" i="8"/>
  <c r="C805" i="8"/>
  <c r="L804" i="8"/>
  <c r="D804" i="8"/>
  <c r="C804" i="8"/>
  <c r="L803" i="8"/>
  <c r="D803" i="8"/>
  <c r="C803" i="8"/>
  <c r="L802" i="8"/>
  <c r="D802" i="8"/>
  <c r="C802" i="8"/>
  <c r="L801" i="8"/>
  <c r="D801" i="8"/>
  <c r="C801" i="8"/>
  <c r="L800" i="8"/>
  <c r="D800" i="8"/>
  <c r="C800" i="8"/>
  <c r="L799" i="8"/>
  <c r="D799" i="8"/>
  <c r="C799" i="8"/>
  <c r="L798" i="8"/>
  <c r="D798" i="8"/>
  <c r="C798" i="8"/>
  <c r="L797" i="8"/>
  <c r="D797" i="8"/>
  <c r="C797" i="8"/>
  <c r="L796" i="8"/>
  <c r="D796" i="8"/>
  <c r="C796" i="8"/>
  <c r="L795" i="8"/>
  <c r="D795" i="8"/>
  <c r="C795" i="8"/>
  <c r="L794" i="8"/>
  <c r="D794" i="8"/>
  <c r="C794" i="8"/>
  <c r="L793" i="8"/>
  <c r="D793" i="8"/>
  <c r="C793" i="8"/>
  <c r="L792" i="8"/>
  <c r="D792" i="8"/>
  <c r="C792" i="8"/>
  <c r="L791" i="8"/>
  <c r="D791" i="8"/>
  <c r="C791" i="8"/>
  <c r="L790" i="8"/>
  <c r="D790" i="8"/>
  <c r="C790" i="8"/>
  <c r="L789" i="8"/>
  <c r="D789" i="8"/>
  <c r="C789" i="8"/>
  <c r="L788" i="8"/>
  <c r="D788" i="8"/>
  <c r="C788" i="8"/>
  <c r="L787" i="8"/>
  <c r="D787" i="8"/>
  <c r="C787" i="8"/>
  <c r="L786" i="8"/>
  <c r="D786" i="8"/>
  <c r="C786" i="8"/>
  <c r="L785" i="8"/>
  <c r="D785" i="8"/>
  <c r="C785" i="8"/>
  <c r="L784" i="8"/>
  <c r="D784" i="8"/>
  <c r="C784" i="8"/>
  <c r="L783" i="8"/>
  <c r="D783" i="8"/>
  <c r="C783" i="8"/>
  <c r="L782" i="8"/>
  <c r="D782" i="8"/>
  <c r="C782" i="8"/>
  <c r="L781" i="8"/>
  <c r="D781" i="8"/>
  <c r="C781" i="8"/>
  <c r="L780" i="8"/>
  <c r="D780" i="8"/>
  <c r="C780" i="8"/>
  <c r="L779" i="8"/>
  <c r="D779" i="8"/>
  <c r="C779" i="8"/>
  <c r="L778" i="8"/>
  <c r="D778" i="8"/>
  <c r="C778" i="8"/>
  <c r="L777" i="8"/>
  <c r="D777" i="8"/>
  <c r="C777" i="8"/>
  <c r="L776" i="8"/>
  <c r="D776" i="8"/>
  <c r="C776" i="8"/>
  <c r="L775" i="8"/>
  <c r="D775" i="8"/>
  <c r="C775" i="8"/>
  <c r="L774" i="8"/>
  <c r="D774" i="8"/>
  <c r="C774" i="8"/>
  <c r="L773" i="8"/>
  <c r="D773" i="8"/>
  <c r="C773" i="8"/>
  <c r="L772" i="8"/>
  <c r="D772" i="8"/>
  <c r="C772" i="8"/>
  <c r="L771" i="8"/>
  <c r="D771" i="8"/>
  <c r="C771" i="8"/>
  <c r="L770" i="8"/>
  <c r="D770" i="8"/>
  <c r="C770" i="8"/>
  <c r="L769" i="8"/>
  <c r="D769" i="8"/>
  <c r="C769" i="8"/>
  <c r="L768" i="8"/>
  <c r="D768" i="8"/>
  <c r="C768" i="8"/>
  <c r="L767" i="8"/>
  <c r="D767" i="8"/>
  <c r="C767" i="8"/>
  <c r="L766" i="8"/>
  <c r="D766" i="8"/>
  <c r="C766" i="8"/>
  <c r="L765" i="8"/>
  <c r="D765" i="8"/>
  <c r="C765" i="8"/>
  <c r="L764" i="8"/>
  <c r="D764" i="8"/>
  <c r="C764" i="8"/>
  <c r="L763" i="8"/>
  <c r="D763" i="8"/>
  <c r="C763" i="8"/>
  <c r="L762" i="8"/>
  <c r="D762" i="8"/>
  <c r="C762" i="8"/>
  <c r="L761" i="8"/>
  <c r="D761" i="8"/>
  <c r="C761" i="8"/>
  <c r="L760" i="8"/>
  <c r="D760" i="8"/>
  <c r="C760" i="8"/>
  <c r="L759" i="8"/>
  <c r="D759" i="8"/>
  <c r="C759" i="8"/>
  <c r="L758" i="8"/>
  <c r="D758" i="8"/>
  <c r="C758" i="8"/>
  <c r="L757" i="8"/>
  <c r="D757" i="8"/>
  <c r="C757" i="8"/>
  <c r="L756" i="8"/>
  <c r="D756" i="8"/>
  <c r="C756" i="8"/>
  <c r="L755" i="8"/>
  <c r="D755" i="8"/>
  <c r="C755" i="8"/>
  <c r="L754" i="8"/>
  <c r="D754" i="8"/>
  <c r="C754" i="8"/>
  <c r="L753" i="8"/>
  <c r="D753" i="8"/>
  <c r="C753" i="8"/>
  <c r="L752" i="8"/>
  <c r="D752" i="8"/>
  <c r="C752" i="8"/>
  <c r="L751" i="8"/>
  <c r="D751" i="8"/>
  <c r="C751" i="8"/>
  <c r="L750" i="8"/>
  <c r="D750" i="8"/>
  <c r="C750" i="8"/>
  <c r="L749" i="8"/>
  <c r="D749" i="8"/>
  <c r="C749" i="8"/>
  <c r="L748" i="8"/>
  <c r="D748" i="8"/>
  <c r="C748" i="8"/>
  <c r="L747" i="8"/>
  <c r="D747" i="8"/>
  <c r="C747" i="8"/>
  <c r="L746" i="8"/>
  <c r="D746" i="8"/>
  <c r="C746" i="8"/>
  <c r="L745" i="8"/>
  <c r="D745" i="8"/>
  <c r="C745" i="8"/>
  <c r="L744" i="8"/>
  <c r="D744" i="8"/>
  <c r="C744" i="8"/>
  <c r="L743" i="8"/>
  <c r="D743" i="8"/>
  <c r="C743" i="8"/>
  <c r="L742" i="8"/>
  <c r="D742" i="8"/>
  <c r="C742" i="8"/>
  <c r="L741" i="8"/>
  <c r="D741" i="8"/>
  <c r="C741" i="8"/>
  <c r="L740" i="8"/>
  <c r="D740" i="8"/>
  <c r="C740" i="8"/>
  <c r="L739" i="8"/>
  <c r="D739" i="8"/>
  <c r="C739" i="8"/>
  <c r="L738" i="8"/>
  <c r="D738" i="8"/>
  <c r="C738" i="8"/>
  <c r="L737" i="8"/>
  <c r="D737" i="8"/>
  <c r="C737" i="8"/>
  <c r="L736" i="8"/>
  <c r="D736" i="8"/>
  <c r="C736" i="8"/>
  <c r="L735" i="8"/>
  <c r="D735" i="8"/>
  <c r="C735" i="8"/>
  <c r="L734" i="8"/>
  <c r="D734" i="8"/>
  <c r="C734" i="8"/>
  <c r="L733" i="8"/>
  <c r="D733" i="8"/>
  <c r="C733" i="8"/>
  <c r="L732" i="8"/>
  <c r="D732" i="8"/>
  <c r="C732" i="8"/>
  <c r="L731" i="8"/>
  <c r="D731" i="8"/>
  <c r="C731" i="8"/>
  <c r="L730" i="8"/>
  <c r="D730" i="8"/>
  <c r="C730" i="8"/>
  <c r="L729" i="8"/>
  <c r="D729" i="8"/>
  <c r="C729" i="8"/>
  <c r="L728" i="8"/>
  <c r="D728" i="8"/>
  <c r="C728" i="8"/>
  <c r="L727" i="8"/>
  <c r="D727" i="8"/>
  <c r="C727" i="8"/>
  <c r="L726" i="8"/>
  <c r="D726" i="8"/>
  <c r="C726" i="8"/>
  <c r="L725" i="8"/>
  <c r="D725" i="8"/>
  <c r="C725" i="8"/>
  <c r="L724" i="8"/>
  <c r="D724" i="8"/>
  <c r="C724" i="8"/>
  <c r="L723" i="8"/>
  <c r="D723" i="8"/>
  <c r="C723" i="8"/>
  <c r="L722" i="8"/>
  <c r="D722" i="8"/>
  <c r="C722" i="8"/>
  <c r="L721" i="8"/>
  <c r="D721" i="8"/>
  <c r="C721" i="8"/>
  <c r="L720" i="8"/>
  <c r="D720" i="8"/>
  <c r="C720" i="8"/>
  <c r="L719" i="8"/>
  <c r="D719" i="8"/>
  <c r="C719" i="8"/>
  <c r="L718" i="8"/>
  <c r="D718" i="8"/>
  <c r="C718" i="8"/>
  <c r="L717" i="8"/>
  <c r="D717" i="8"/>
  <c r="C717" i="8"/>
  <c r="L716" i="8"/>
  <c r="D716" i="8"/>
  <c r="C716" i="8"/>
  <c r="L715" i="8"/>
  <c r="D715" i="8"/>
  <c r="C715" i="8"/>
  <c r="L714" i="8"/>
  <c r="D714" i="8"/>
  <c r="C714" i="8"/>
  <c r="L713" i="8"/>
  <c r="D713" i="8"/>
  <c r="C713" i="8"/>
  <c r="L712" i="8"/>
  <c r="D712" i="8"/>
  <c r="C712" i="8"/>
  <c r="L711" i="8"/>
  <c r="D711" i="8"/>
  <c r="C711" i="8"/>
  <c r="L710" i="8"/>
  <c r="D710" i="8"/>
  <c r="C710" i="8"/>
  <c r="L709" i="8"/>
  <c r="D709" i="8"/>
  <c r="C709" i="8"/>
  <c r="L708" i="8"/>
  <c r="D708" i="8"/>
  <c r="C708" i="8"/>
  <c r="L707" i="8"/>
  <c r="D707" i="8"/>
  <c r="C707" i="8"/>
  <c r="L706" i="8"/>
  <c r="D706" i="8"/>
  <c r="C706" i="8"/>
  <c r="L705" i="8"/>
  <c r="D705" i="8"/>
  <c r="C705" i="8"/>
  <c r="L704" i="8"/>
  <c r="D704" i="8"/>
  <c r="C704" i="8"/>
  <c r="L703" i="8"/>
  <c r="D703" i="8"/>
  <c r="C703" i="8"/>
  <c r="L702" i="8"/>
  <c r="D702" i="8"/>
  <c r="C702" i="8"/>
  <c r="L701" i="8"/>
  <c r="D701" i="8"/>
  <c r="C701" i="8"/>
  <c r="L700" i="8"/>
  <c r="D700" i="8"/>
  <c r="C700" i="8"/>
  <c r="L699" i="8"/>
  <c r="D699" i="8"/>
  <c r="C699" i="8"/>
  <c r="L698" i="8"/>
  <c r="D698" i="8"/>
  <c r="C698" i="8"/>
  <c r="L697" i="8"/>
  <c r="D697" i="8"/>
  <c r="C697" i="8"/>
  <c r="L696" i="8"/>
  <c r="D696" i="8"/>
  <c r="C696" i="8"/>
  <c r="L695" i="8"/>
  <c r="D695" i="8"/>
  <c r="C695" i="8"/>
  <c r="L694" i="8"/>
  <c r="D694" i="8"/>
  <c r="C694" i="8"/>
  <c r="L693" i="8"/>
  <c r="D693" i="8"/>
  <c r="C693" i="8"/>
  <c r="L692" i="8"/>
  <c r="D692" i="8"/>
  <c r="C692" i="8"/>
  <c r="L691" i="8"/>
  <c r="D691" i="8"/>
  <c r="C691" i="8"/>
  <c r="L690" i="8"/>
  <c r="D690" i="8"/>
  <c r="C690" i="8"/>
  <c r="L689" i="8"/>
  <c r="D689" i="8"/>
  <c r="C689" i="8"/>
  <c r="L688" i="8"/>
  <c r="D688" i="8"/>
  <c r="C688" i="8"/>
  <c r="L687" i="8"/>
  <c r="D687" i="8"/>
  <c r="C687" i="8"/>
  <c r="L686" i="8"/>
  <c r="D686" i="8"/>
  <c r="C686" i="8"/>
  <c r="L685" i="8"/>
  <c r="D685" i="8"/>
  <c r="C685" i="8"/>
  <c r="L684" i="8"/>
  <c r="D684" i="8"/>
  <c r="C684" i="8"/>
  <c r="L683" i="8"/>
  <c r="D683" i="8"/>
  <c r="C683" i="8"/>
  <c r="L682" i="8"/>
  <c r="D682" i="8"/>
  <c r="C682" i="8"/>
  <c r="L681" i="8"/>
  <c r="D681" i="8"/>
  <c r="C681" i="8"/>
  <c r="L680" i="8"/>
  <c r="D680" i="8"/>
  <c r="C680" i="8"/>
  <c r="L679" i="8"/>
  <c r="D679" i="8"/>
  <c r="C679" i="8"/>
  <c r="L678" i="8"/>
  <c r="D678" i="8"/>
  <c r="C678" i="8"/>
  <c r="L677" i="8"/>
  <c r="D677" i="8"/>
  <c r="C677" i="8"/>
  <c r="L676" i="8"/>
  <c r="D676" i="8"/>
  <c r="C676" i="8"/>
  <c r="L675" i="8"/>
  <c r="D675" i="8"/>
  <c r="C675" i="8"/>
  <c r="L674" i="8"/>
  <c r="D674" i="8"/>
  <c r="C674" i="8"/>
  <c r="L673" i="8"/>
  <c r="D673" i="8"/>
  <c r="C673" i="8"/>
  <c r="L672" i="8"/>
  <c r="D672" i="8"/>
  <c r="C672" i="8"/>
  <c r="L671" i="8"/>
  <c r="D671" i="8"/>
  <c r="C671" i="8"/>
  <c r="L670" i="8"/>
  <c r="D670" i="8"/>
  <c r="C670" i="8"/>
  <c r="L669" i="8"/>
  <c r="D669" i="8"/>
  <c r="C669" i="8"/>
  <c r="L668" i="8"/>
  <c r="D668" i="8"/>
  <c r="C668" i="8"/>
  <c r="L667" i="8"/>
  <c r="D667" i="8"/>
  <c r="C667" i="8"/>
  <c r="L666" i="8"/>
  <c r="D666" i="8"/>
  <c r="C666" i="8"/>
  <c r="L665" i="8"/>
  <c r="D665" i="8"/>
  <c r="C665" i="8"/>
  <c r="L664" i="8"/>
  <c r="D664" i="8"/>
  <c r="C664" i="8"/>
  <c r="L663" i="8"/>
  <c r="D663" i="8"/>
  <c r="C663" i="8"/>
  <c r="L662" i="8"/>
  <c r="D662" i="8"/>
  <c r="C662" i="8"/>
  <c r="L661" i="8"/>
  <c r="D661" i="8"/>
  <c r="C661" i="8"/>
  <c r="L660" i="8"/>
  <c r="D660" i="8"/>
  <c r="C660" i="8"/>
  <c r="L659" i="8"/>
  <c r="D659" i="8"/>
  <c r="C659" i="8"/>
  <c r="L658" i="8"/>
  <c r="D658" i="8"/>
  <c r="C658" i="8"/>
  <c r="L657" i="8"/>
  <c r="D657" i="8"/>
  <c r="C657" i="8"/>
  <c r="L656" i="8"/>
  <c r="D656" i="8"/>
  <c r="C656" i="8"/>
  <c r="L655" i="8"/>
  <c r="D655" i="8"/>
  <c r="C655" i="8"/>
  <c r="L654" i="8"/>
  <c r="D654" i="8"/>
  <c r="C654" i="8"/>
  <c r="L653" i="8"/>
  <c r="D653" i="8"/>
  <c r="C653" i="8"/>
  <c r="L652" i="8"/>
  <c r="D652" i="8"/>
  <c r="C652" i="8"/>
  <c r="L651" i="8"/>
  <c r="D651" i="8"/>
  <c r="C651" i="8"/>
  <c r="L650" i="8"/>
  <c r="D650" i="8"/>
  <c r="C650" i="8"/>
  <c r="L649" i="8"/>
  <c r="D649" i="8"/>
  <c r="C649" i="8"/>
  <c r="L648" i="8"/>
  <c r="D648" i="8"/>
  <c r="C648" i="8"/>
  <c r="L647" i="8"/>
  <c r="D647" i="8"/>
  <c r="C647" i="8"/>
  <c r="L646" i="8"/>
  <c r="D646" i="8"/>
  <c r="C646" i="8"/>
  <c r="L645" i="8"/>
  <c r="D645" i="8"/>
  <c r="C645" i="8"/>
  <c r="L644" i="8"/>
  <c r="D644" i="8"/>
  <c r="C644" i="8"/>
  <c r="L643" i="8"/>
  <c r="D643" i="8"/>
  <c r="C643" i="8"/>
  <c r="L642" i="8"/>
  <c r="D642" i="8"/>
  <c r="C642" i="8"/>
  <c r="L641" i="8"/>
  <c r="D641" i="8"/>
  <c r="C641" i="8"/>
  <c r="L640" i="8"/>
  <c r="D640" i="8"/>
  <c r="C640" i="8"/>
  <c r="L639" i="8"/>
  <c r="D639" i="8"/>
  <c r="C639" i="8"/>
  <c r="L638" i="8"/>
  <c r="D638" i="8"/>
  <c r="C638" i="8"/>
  <c r="L637" i="8"/>
  <c r="D637" i="8"/>
  <c r="C637" i="8"/>
  <c r="L636" i="8"/>
  <c r="D636" i="8"/>
  <c r="C636" i="8"/>
  <c r="L635" i="8"/>
  <c r="D635" i="8"/>
  <c r="C635" i="8"/>
  <c r="L634" i="8"/>
  <c r="D634" i="8"/>
  <c r="C634" i="8"/>
  <c r="L633" i="8"/>
  <c r="D633" i="8"/>
  <c r="C633" i="8"/>
  <c r="L632" i="8"/>
  <c r="D632" i="8"/>
  <c r="C632" i="8"/>
  <c r="L631" i="8"/>
  <c r="D631" i="8"/>
  <c r="C631" i="8"/>
  <c r="L630" i="8"/>
  <c r="D630" i="8"/>
  <c r="C630" i="8"/>
  <c r="L629" i="8"/>
  <c r="D629" i="8"/>
  <c r="C629" i="8"/>
  <c r="L628" i="8"/>
  <c r="D628" i="8"/>
  <c r="C628" i="8"/>
  <c r="L627" i="8"/>
  <c r="D627" i="8"/>
  <c r="C627" i="8"/>
  <c r="L626" i="8"/>
  <c r="D626" i="8"/>
  <c r="C626" i="8"/>
  <c r="L625" i="8"/>
  <c r="D625" i="8"/>
  <c r="C625" i="8"/>
  <c r="L624" i="8"/>
  <c r="D624" i="8"/>
  <c r="C624" i="8"/>
  <c r="L623" i="8"/>
  <c r="D623" i="8"/>
  <c r="C623" i="8"/>
  <c r="L622" i="8"/>
  <c r="D622" i="8"/>
  <c r="C622" i="8"/>
  <c r="L621" i="8"/>
  <c r="D621" i="8"/>
  <c r="C621" i="8"/>
  <c r="L620" i="8"/>
  <c r="D620" i="8"/>
  <c r="C620" i="8"/>
  <c r="L619" i="8"/>
  <c r="D619" i="8"/>
  <c r="C619" i="8"/>
  <c r="L618" i="8"/>
  <c r="D618" i="8"/>
  <c r="C618" i="8"/>
  <c r="L617" i="8"/>
  <c r="D617" i="8"/>
  <c r="C617" i="8"/>
  <c r="L616" i="8"/>
  <c r="D616" i="8"/>
  <c r="C616" i="8"/>
  <c r="L615" i="8"/>
  <c r="D615" i="8"/>
  <c r="C615" i="8"/>
  <c r="L614" i="8"/>
  <c r="D614" i="8"/>
  <c r="C614" i="8"/>
  <c r="L613" i="8"/>
  <c r="D613" i="8"/>
  <c r="C613" i="8"/>
  <c r="L612" i="8"/>
  <c r="D612" i="8"/>
  <c r="C612" i="8"/>
  <c r="L611" i="8"/>
  <c r="D611" i="8"/>
  <c r="C611" i="8"/>
  <c r="L610" i="8"/>
  <c r="D610" i="8"/>
  <c r="C610" i="8"/>
  <c r="L609" i="8"/>
  <c r="D609" i="8"/>
  <c r="C609" i="8"/>
  <c r="L608" i="8"/>
  <c r="D608" i="8"/>
  <c r="C608" i="8"/>
  <c r="L607" i="8"/>
  <c r="D607" i="8"/>
  <c r="C607" i="8"/>
  <c r="L606" i="8"/>
  <c r="D606" i="8"/>
  <c r="C606" i="8"/>
  <c r="L605" i="8"/>
  <c r="D605" i="8"/>
  <c r="C605" i="8"/>
  <c r="L604" i="8"/>
  <c r="D604" i="8"/>
  <c r="C604" i="8"/>
  <c r="L603" i="8"/>
  <c r="D603" i="8"/>
  <c r="C603" i="8"/>
  <c r="L602" i="8"/>
  <c r="D602" i="8"/>
  <c r="C602" i="8"/>
  <c r="L601" i="8"/>
  <c r="D601" i="8"/>
  <c r="C601" i="8"/>
  <c r="L600" i="8"/>
  <c r="D600" i="8"/>
  <c r="C600" i="8"/>
  <c r="L599" i="8"/>
  <c r="D599" i="8"/>
  <c r="C599" i="8"/>
  <c r="L598" i="8"/>
  <c r="D598" i="8"/>
  <c r="C598" i="8"/>
  <c r="L597" i="8"/>
  <c r="D597" i="8"/>
  <c r="C597" i="8"/>
  <c r="L596" i="8"/>
  <c r="D596" i="8"/>
  <c r="C596" i="8"/>
  <c r="L595" i="8"/>
  <c r="D595" i="8"/>
  <c r="C595" i="8"/>
  <c r="L594" i="8"/>
  <c r="D594" i="8"/>
  <c r="C594" i="8"/>
  <c r="L593" i="8"/>
  <c r="D593" i="8"/>
  <c r="C593" i="8"/>
  <c r="L592" i="8"/>
  <c r="D592" i="8"/>
  <c r="C592" i="8"/>
  <c r="L591" i="8"/>
  <c r="D591" i="8"/>
  <c r="C591" i="8"/>
  <c r="L590" i="8"/>
  <c r="D590" i="8"/>
  <c r="C590" i="8"/>
  <c r="L589" i="8"/>
  <c r="D589" i="8"/>
  <c r="C589" i="8"/>
  <c r="L588" i="8"/>
  <c r="D588" i="8"/>
  <c r="C588" i="8"/>
  <c r="L587" i="8"/>
  <c r="D587" i="8"/>
  <c r="C587" i="8"/>
  <c r="L586" i="8"/>
  <c r="D586" i="8"/>
  <c r="C586" i="8"/>
  <c r="L585" i="8"/>
  <c r="D585" i="8"/>
  <c r="C585" i="8"/>
  <c r="L584" i="8"/>
  <c r="D584" i="8"/>
  <c r="C584" i="8"/>
  <c r="L583" i="8"/>
  <c r="D583" i="8"/>
  <c r="C583" i="8"/>
  <c r="L582" i="8"/>
  <c r="D582" i="8"/>
  <c r="C582" i="8"/>
  <c r="L581" i="8"/>
  <c r="D581" i="8"/>
  <c r="C581" i="8"/>
  <c r="L580" i="8"/>
  <c r="D580" i="8"/>
  <c r="C580" i="8"/>
  <c r="L579" i="8"/>
  <c r="D579" i="8"/>
  <c r="C579" i="8"/>
  <c r="L578" i="8"/>
  <c r="D578" i="8"/>
  <c r="C578" i="8"/>
  <c r="L577" i="8"/>
  <c r="D577" i="8"/>
  <c r="C577" i="8"/>
  <c r="L576" i="8"/>
  <c r="D576" i="8"/>
  <c r="C576" i="8"/>
  <c r="L575" i="8"/>
  <c r="D575" i="8"/>
  <c r="C575" i="8"/>
  <c r="L574" i="8"/>
  <c r="D574" i="8"/>
  <c r="C574" i="8"/>
  <c r="L573" i="8"/>
  <c r="D573" i="8"/>
  <c r="C573" i="8"/>
  <c r="L572" i="8"/>
  <c r="D572" i="8"/>
  <c r="C572" i="8"/>
  <c r="L571" i="8"/>
  <c r="D571" i="8"/>
  <c r="C571" i="8"/>
  <c r="L570" i="8"/>
  <c r="D570" i="8"/>
  <c r="C570" i="8"/>
  <c r="L569" i="8"/>
  <c r="D569" i="8"/>
  <c r="C569" i="8"/>
  <c r="L568" i="8"/>
  <c r="D568" i="8"/>
  <c r="C568" i="8"/>
  <c r="L567" i="8"/>
  <c r="D567" i="8"/>
  <c r="C567" i="8"/>
  <c r="L566" i="8"/>
  <c r="D566" i="8"/>
  <c r="C566" i="8"/>
  <c r="L565" i="8"/>
  <c r="D565" i="8"/>
  <c r="C565" i="8"/>
  <c r="L564" i="8"/>
  <c r="D564" i="8"/>
  <c r="C564" i="8"/>
  <c r="L563" i="8"/>
  <c r="D563" i="8"/>
  <c r="C563" i="8"/>
  <c r="L562" i="8"/>
  <c r="D562" i="8"/>
  <c r="C562" i="8"/>
  <c r="L561" i="8"/>
  <c r="D561" i="8"/>
  <c r="C561" i="8"/>
  <c r="L560" i="8"/>
  <c r="D560" i="8"/>
  <c r="C560" i="8"/>
  <c r="L559" i="8"/>
  <c r="D559" i="8"/>
  <c r="C559" i="8"/>
  <c r="L558" i="8"/>
  <c r="D558" i="8"/>
  <c r="C558" i="8"/>
  <c r="L557" i="8"/>
  <c r="D557" i="8"/>
  <c r="C557" i="8"/>
  <c r="L556" i="8"/>
  <c r="D556" i="8"/>
  <c r="C556" i="8"/>
  <c r="L555" i="8"/>
  <c r="D555" i="8"/>
  <c r="C555" i="8"/>
  <c r="L554" i="8"/>
  <c r="D554" i="8"/>
  <c r="C554" i="8"/>
  <c r="L553" i="8"/>
  <c r="D553" i="8"/>
  <c r="C553" i="8"/>
  <c r="L552" i="8"/>
  <c r="D552" i="8"/>
  <c r="C552" i="8"/>
  <c r="L551" i="8"/>
  <c r="D551" i="8"/>
  <c r="C551" i="8"/>
  <c r="L550" i="8"/>
  <c r="D550" i="8"/>
  <c r="C550" i="8"/>
  <c r="L549" i="8"/>
  <c r="D549" i="8"/>
  <c r="C549" i="8"/>
  <c r="L548" i="8"/>
  <c r="D548" i="8"/>
  <c r="C548" i="8"/>
  <c r="L547" i="8"/>
  <c r="D547" i="8"/>
  <c r="C547" i="8"/>
  <c r="L546" i="8"/>
  <c r="D546" i="8"/>
  <c r="C546" i="8"/>
  <c r="L545" i="8"/>
  <c r="D545" i="8"/>
  <c r="C545" i="8"/>
  <c r="L544" i="8"/>
  <c r="D544" i="8"/>
  <c r="C544" i="8"/>
  <c r="L543" i="8"/>
  <c r="D543" i="8"/>
  <c r="C543" i="8"/>
  <c r="L542" i="8"/>
  <c r="D542" i="8"/>
  <c r="C542" i="8"/>
  <c r="L541" i="8"/>
  <c r="D541" i="8"/>
  <c r="C541" i="8"/>
  <c r="L540" i="8"/>
  <c r="D540" i="8"/>
  <c r="C540" i="8"/>
  <c r="L539" i="8"/>
  <c r="D539" i="8"/>
  <c r="C539" i="8"/>
  <c r="L538" i="8"/>
  <c r="D538" i="8"/>
  <c r="C538" i="8"/>
  <c r="L537" i="8"/>
  <c r="D537" i="8"/>
  <c r="C537" i="8"/>
  <c r="L536" i="8"/>
  <c r="D536" i="8"/>
  <c r="C536" i="8"/>
  <c r="L535" i="8"/>
  <c r="D535" i="8"/>
  <c r="C535" i="8"/>
  <c r="L534" i="8"/>
  <c r="D534" i="8"/>
  <c r="C534" i="8"/>
  <c r="L533" i="8"/>
  <c r="D533" i="8"/>
  <c r="C533" i="8"/>
  <c r="L532" i="8"/>
  <c r="D532" i="8"/>
  <c r="C532" i="8"/>
  <c r="L531" i="8"/>
  <c r="D531" i="8"/>
  <c r="C531" i="8"/>
  <c r="L530" i="8"/>
  <c r="D530" i="8"/>
  <c r="C530" i="8"/>
  <c r="L529" i="8"/>
  <c r="D529" i="8"/>
  <c r="C529" i="8"/>
  <c r="L528" i="8"/>
  <c r="D528" i="8"/>
  <c r="C528" i="8"/>
  <c r="L527" i="8"/>
  <c r="D527" i="8"/>
  <c r="C527" i="8"/>
  <c r="L526" i="8"/>
  <c r="D526" i="8"/>
  <c r="C526" i="8"/>
  <c r="L525" i="8"/>
  <c r="D525" i="8"/>
  <c r="C525" i="8"/>
  <c r="L524" i="8"/>
  <c r="D524" i="8"/>
  <c r="C524" i="8"/>
  <c r="L523" i="8"/>
  <c r="D523" i="8"/>
  <c r="C523" i="8"/>
  <c r="L522" i="8"/>
  <c r="D522" i="8"/>
  <c r="C522" i="8"/>
  <c r="L521" i="8"/>
  <c r="D521" i="8"/>
  <c r="C521" i="8"/>
  <c r="L520" i="8"/>
  <c r="D520" i="8"/>
  <c r="C520" i="8"/>
  <c r="L519" i="8"/>
  <c r="D519" i="8"/>
  <c r="C519" i="8"/>
  <c r="L518" i="8"/>
  <c r="D518" i="8"/>
  <c r="C518" i="8"/>
  <c r="L517" i="8"/>
  <c r="D517" i="8"/>
  <c r="C517" i="8"/>
  <c r="L516" i="8"/>
  <c r="D516" i="8"/>
  <c r="C516" i="8"/>
  <c r="L515" i="8"/>
  <c r="D515" i="8"/>
  <c r="C515" i="8"/>
  <c r="L514" i="8"/>
  <c r="D514" i="8"/>
  <c r="C514" i="8"/>
  <c r="L513" i="8"/>
  <c r="D513" i="8"/>
  <c r="C513" i="8"/>
  <c r="L512" i="8"/>
  <c r="D512" i="8"/>
  <c r="C512" i="8"/>
  <c r="L511" i="8"/>
  <c r="D511" i="8"/>
  <c r="C511" i="8"/>
  <c r="L510" i="8"/>
  <c r="D510" i="8"/>
  <c r="C510" i="8"/>
  <c r="L509" i="8"/>
  <c r="D509" i="8"/>
  <c r="C509" i="8"/>
  <c r="L508" i="8"/>
  <c r="D508" i="8"/>
  <c r="C508" i="8"/>
  <c r="L507" i="8"/>
  <c r="D507" i="8"/>
  <c r="C507" i="8"/>
  <c r="L506" i="8"/>
  <c r="D506" i="8"/>
  <c r="C506" i="8"/>
  <c r="L505" i="8"/>
  <c r="D505" i="8"/>
  <c r="C505" i="8"/>
  <c r="L504" i="8"/>
  <c r="D504" i="8"/>
  <c r="C504" i="8"/>
  <c r="L503" i="8"/>
  <c r="D503" i="8"/>
  <c r="C503" i="8"/>
  <c r="L502" i="8"/>
  <c r="D502" i="8"/>
  <c r="C502" i="8"/>
  <c r="L501" i="8"/>
  <c r="D501" i="8"/>
  <c r="C501" i="8"/>
  <c r="L500" i="8"/>
  <c r="D500" i="8"/>
  <c r="C500" i="8"/>
  <c r="L499" i="8"/>
  <c r="D499" i="8"/>
  <c r="C499" i="8"/>
  <c r="L498" i="8"/>
  <c r="D498" i="8"/>
  <c r="C498" i="8"/>
  <c r="L497" i="8"/>
  <c r="D497" i="8"/>
  <c r="C497" i="8"/>
  <c r="L496" i="8"/>
  <c r="D496" i="8"/>
  <c r="C496" i="8"/>
  <c r="L495" i="8"/>
  <c r="D495" i="8"/>
  <c r="C495" i="8"/>
  <c r="L494" i="8"/>
  <c r="D494" i="8"/>
  <c r="C494" i="8"/>
  <c r="L493" i="8"/>
  <c r="D493" i="8"/>
  <c r="C493" i="8"/>
  <c r="L492" i="8"/>
  <c r="D492" i="8"/>
  <c r="C492" i="8"/>
  <c r="L491" i="8"/>
  <c r="D491" i="8"/>
  <c r="C491" i="8"/>
  <c r="L490" i="8"/>
  <c r="D490" i="8"/>
  <c r="C490" i="8"/>
  <c r="L489" i="8"/>
  <c r="D489" i="8"/>
  <c r="C489" i="8"/>
  <c r="L488" i="8"/>
  <c r="D488" i="8"/>
  <c r="C488" i="8"/>
  <c r="L487" i="8"/>
  <c r="D487" i="8"/>
  <c r="C487" i="8"/>
  <c r="L486" i="8"/>
  <c r="D486" i="8"/>
  <c r="C486" i="8"/>
  <c r="L485" i="8"/>
  <c r="D485" i="8"/>
  <c r="C485" i="8"/>
  <c r="L484" i="8"/>
  <c r="D484" i="8"/>
  <c r="C484" i="8"/>
  <c r="L483" i="8"/>
  <c r="D483" i="8"/>
  <c r="C483" i="8"/>
  <c r="L482" i="8"/>
  <c r="D482" i="8"/>
  <c r="C482" i="8"/>
  <c r="L481" i="8"/>
  <c r="D481" i="8"/>
  <c r="C481" i="8"/>
  <c r="L480" i="8"/>
  <c r="D480" i="8"/>
  <c r="C480" i="8"/>
  <c r="L479" i="8"/>
  <c r="D479" i="8"/>
  <c r="C479" i="8"/>
  <c r="L478" i="8"/>
  <c r="D478" i="8"/>
  <c r="C478" i="8"/>
  <c r="L477" i="8"/>
  <c r="D477" i="8"/>
  <c r="C477" i="8"/>
  <c r="L476" i="8"/>
  <c r="D476" i="8"/>
  <c r="C476" i="8"/>
  <c r="L475" i="8"/>
  <c r="D475" i="8"/>
  <c r="C475" i="8"/>
  <c r="L474" i="8"/>
  <c r="D474" i="8"/>
  <c r="C474" i="8"/>
  <c r="L473" i="8"/>
  <c r="D473" i="8"/>
  <c r="C473" i="8"/>
  <c r="L472" i="8"/>
  <c r="D472" i="8"/>
  <c r="C472" i="8"/>
  <c r="L471" i="8"/>
  <c r="D471" i="8"/>
  <c r="C471" i="8"/>
  <c r="L470" i="8"/>
  <c r="D470" i="8"/>
  <c r="C470" i="8"/>
  <c r="L469" i="8"/>
  <c r="D469" i="8"/>
  <c r="C469" i="8"/>
  <c r="L468" i="8"/>
  <c r="D468" i="8"/>
  <c r="C468" i="8"/>
  <c r="L467" i="8"/>
  <c r="D467" i="8"/>
  <c r="C467" i="8"/>
  <c r="L466" i="8"/>
  <c r="D466" i="8"/>
  <c r="C466" i="8"/>
  <c r="L465" i="8"/>
  <c r="D465" i="8"/>
  <c r="C465" i="8"/>
  <c r="L464" i="8"/>
  <c r="D464" i="8"/>
  <c r="C464" i="8"/>
  <c r="L463" i="8"/>
  <c r="D463" i="8"/>
  <c r="C463" i="8"/>
  <c r="L462" i="8"/>
  <c r="D462" i="8"/>
  <c r="C462" i="8"/>
  <c r="L461" i="8"/>
  <c r="D461" i="8"/>
  <c r="C461" i="8"/>
  <c r="L460" i="8"/>
  <c r="D460" i="8"/>
  <c r="C460" i="8"/>
  <c r="L459" i="8"/>
  <c r="D459" i="8"/>
  <c r="C459" i="8"/>
  <c r="L458" i="8"/>
  <c r="D458" i="8"/>
  <c r="C458" i="8"/>
  <c r="L457" i="8"/>
  <c r="D457" i="8"/>
  <c r="C457" i="8"/>
  <c r="L456" i="8"/>
  <c r="D456" i="8"/>
  <c r="C456" i="8"/>
  <c r="L455" i="8"/>
  <c r="D455" i="8"/>
  <c r="C455" i="8"/>
  <c r="L454" i="8"/>
  <c r="D454" i="8"/>
  <c r="C454" i="8"/>
  <c r="L453" i="8"/>
  <c r="D453" i="8"/>
  <c r="C453" i="8"/>
  <c r="L452" i="8"/>
  <c r="D452" i="8"/>
  <c r="C452" i="8"/>
  <c r="L451" i="8"/>
  <c r="D451" i="8"/>
  <c r="C451" i="8"/>
  <c r="L450" i="8"/>
  <c r="D450" i="8"/>
  <c r="C450" i="8"/>
  <c r="L449" i="8"/>
  <c r="D449" i="8"/>
  <c r="C449" i="8"/>
  <c r="L448" i="8"/>
  <c r="D448" i="8"/>
  <c r="C448" i="8"/>
  <c r="L447" i="8"/>
  <c r="D447" i="8"/>
  <c r="C447" i="8"/>
  <c r="L446" i="8"/>
  <c r="D446" i="8"/>
  <c r="C446" i="8"/>
  <c r="L445" i="8"/>
  <c r="D445" i="8"/>
  <c r="C445" i="8"/>
  <c r="L444" i="8"/>
  <c r="D444" i="8"/>
  <c r="C444" i="8"/>
  <c r="L443" i="8"/>
  <c r="D443" i="8"/>
  <c r="C443" i="8"/>
  <c r="L442" i="8"/>
  <c r="D442" i="8"/>
  <c r="C442" i="8"/>
  <c r="L441" i="8"/>
  <c r="D441" i="8"/>
  <c r="C441" i="8"/>
  <c r="L440" i="8"/>
  <c r="D440" i="8"/>
  <c r="C440" i="8"/>
  <c r="L439" i="8"/>
  <c r="D439" i="8"/>
  <c r="C439" i="8"/>
  <c r="L438" i="8"/>
  <c r="D438" i="8"/>
  <c r="C438" i="8"/>
  <c r="L437" i="8"/>
  <c r="D437" i="8"/>
  <c r="C437" i="8"/>
  <c r="L436" i="8"/>
  <c r="D436" i="8"/>
  <c r="C436" i="8"/>
  <c r="L435" i="8"/>
  <c r="D435" i="8"/>
  <c r="C435" i="8"/>
  <c r="L434" i="8"/>
  <c r="D434" i="8"/>
  <c r="C434" i="8"/>
  <c r="L433" i="8"/>
  <c r="D433" i="8"/>
  <c r="C433" i="8"/>
  <c r="L432" i="8"/>
  <c r="D432" i="8"/>
  <c r="C432" i="8"/>
  <c r="L431" i="8"/>
  <c r="D431" i="8"/>
  <c r="C431" i="8"/>
  <c r="L430" i="8"/>
  <c r="D430" i="8"/>
  <c r="C430" i="8"/>
  <c r="L429" i="8"/>
  <c r="D429" i="8"/>
  <c r="C429" i="8"/>
  <c r="L428" i="8"/>
  <c r="D428" i="8"/>
  <c r="C428" i="8"/>
  <c r="L427" i="8"/>
  <c r="D427" i="8"/>
  <c r="C427" i="8"/>
  <c r="L426" i="8"/>
  <c r="D426" i="8"/>
  <c r="C426" i="8"/>
  <c r="L425" i="8"/>
  <c r="D425" i="8"/>
  <c r="C425" i="8"/>
  <c r="L424" i="8"/>
  <c r="D424" i="8"/>
  <c r="C424" i="8"/>
  <c r="L423" i="8"/>
  <c r="D423" i="8"/>
  <c r="C423" i="8"/>
  <c r="L422" i="8"/>
  <c r="D422" i="8"/>
  <c r="C422" i="8"/>
  <c r="L421" i="8"/>
  <c r="D421" i="8"/>
  <c r="C421" i="8"/>
  <c r="L420" i="8"/>
  <c r="D420" i="8"/>
  <c r="C420" i="8"/>
  <c r="L419" i="8"/>
  <c r="D419" i="8"/>
  <c r="C419" i="8"/>
  <c r="L418" i="8"/>
  <c r="D418" i="8"/>
  <c r="C418" i="8"/>
  <c r="L417" i="8"/>
  <c r="D417" i="8"/>
  <c r="C417" i="8"/>
  <c r="L416" i="8"/>
  <c r="D416" i="8"/>
  <c r="C416" i="8"/>
  <c r="L415" i="8"/>
  <c r="D415" i="8"/>
  <c r="C415" i="8"/>
  <c r="L414" i="8"/>
  <c r="D414" i="8"/>
  <c r="C414" i="8"/>
  <c r="L413" i="8"/>
  <c r="D413" i="8"/>
  <c r="C413" i="8"/>
  <c r="L412" i="8"/>
  <c r="D412" i="8"/>
  <c r="C412" i="8"/>
  <c r="L411" i="8"/>
  <c r="D411" i="8"/>
  <c r="C411" i="8"/>
  <c r="L410" i="8"/>
  <c r="D410" i="8"/>
  <c r="C410" i="8"/>
  <c r="L409" i="8"/>
  <c r="D409" i="8"/>
  <c r="C409" i="8"/>
  <c r="L408" i="8"/>
  <c r="D408" i="8"/>
  <c r="C408" i="8"/>
  <c r="L407" i="8"/>
  <c r="D407" i="8"/>
  <c r="C407" i="8"/>
  <c r="L406" i="8"/>
  <c r="D406" i="8"/>
  <c r="C406" i="8"/>
  <c r="L405" i="8"/>
  <c r="D405" i="8"/>
  <c r="C405" i="8"/>
  <c r="L404" i="8"/>
  <c r="D404" i="8"/>
  <c r="C404" i="8"/>
  <c r="L403" i="8"/>
  <c r="D403" i="8"/>
  <c r="C403" i="8"/>
  <c r="L402" i="8"/>
  <c r="D402" i="8"/>
  <c r="C402" i="8"/>
  <c r="L401" i="8"/>
  <c r="D401" i="8"/>
  <c r="C401" i="8"/>
  <c r="L400" i="8"/>
  <c r="D400" i="8"/>
  <c r="C400" i="8"/>
  <c r="L399" i="8"/>
  <c r="D399" i="8"/>
  <c r="C399" i="8"/>
  <c r="L398" i="8"/>
  <c r="D398" i="8"/>
  <c r="C398" i="8"/>
  <c r="L397" i="8"/>
  <c r="D397" i="8"/>
  <c r="C397" i="8"/>
  <c r="L396" i="8"/>
  <c r="D396" i="8"/>
  <c r="C396" i="8"/>
  <c r="L395" i="8"/>
  <c r="D395" i="8"/>
  <c r="C395" i="8"/>
  <c r="L394" i="8"/>
  <c r="D394" i="8"/>
  <c r="C394" i="8"/>
  <c r="L393" i="8"/>
  <c r="D393" i="8"/>
  <c r="C393" i="8"/>
  <c r="L392" i="8"/>
  <c r="D392" i="8"/>
  <c r="C392" i="8"/>
  <c r="L391" i="8"/>
  <c r="D391" i="8"/>
  <c r="C391" i="8"/>
  <c r="L390" i="8"/>
  <c r="D390" i="8"/>
  <c r="C390" i="8"/>
  <c r="L389" i="8"/>
  <c r="D389" i="8"/>
  <c r="C389" i="8"/>
  <c r="L388" i="8"/>
  <c r="D388" i="8"/>
  <c r="C388" i="8"/>
  <c r="L387" i="8"/>
  <c r="D387" i="8"/>
  <c r="C387" i="8"/>
  <c r="L386" i="8"/>
  <c r="D386" i="8"/>
  <c r="C386" i="8"/>
  <c r="L385" i="8"/>
  <c r="D385" i="8"/>
  <c r="C385" i="8"/>
  <c r="L384" i="8"/>
  <c r="D384" i="8"/>
  <c r="C384" i="8"/>
  <c r="L383" i="8"/>
  <c r="D383" i="8"/>
  <c r="C383" i="8"/>
  <c r="L382" i="8"/>
  <c r="D382" i="8"/>
  <c r="C382" i="8"/>
  <c r="L381" i="8"/>
  <c r="D381" i="8"/>
  <c r="C381" i="8"/>
  <c r="L380" i="8"/>
  <c r="D380" i="8"/>
  <c r="C380" i="8"/>
  <c r="L379" i="8"/>
  <c r="D379" i="8"/>
  <c r="C379" i="8"/>
  <c r="L378" i="8"/>
  <c r="D378" i="8"/>
  <c r="C378" i="8"/>
  <c r="L377" i="8"/>
  <c r="D377" i="8"/>
  <c r="C377" i="8"/>
  <c r="L376" i="8"/>
  <c r="D376" i="8"/>
  <c r="C376" i="8"/>
  <c r="L375" i="8"/>
  <c r="D375" i="8"/>
  <c r="C375" i="8"/>
  <c r="L374" i="8"/>
  <c r="D374" i="8"/>
  <c r="C374" i="8"/>
  <c r="L373" i="8"/>
  <c r="D373" i="8"/>
  <c r="C373" i="8"/>
  <c r="L372" i="8"/>
  <c r="D372" i="8"/>
  <c r="C372" i="8"/>
  <c r="L371" i="8"/>
  <c r="D371" i="8"/>
  <c r="C371" i="8"/>
  <c r="L370" i="8"/>
  <c r="D370" i="8"/>
  <c r="C370" i="8"/>
  <c r="L369" i="8"/>
  <c r="D369" i="8"/>
  <c r="C369" i="8"/>
  <c r="L368" i="8"/>
  <c r="D368" i="8"/>
  <c r="C368" i="8"/>
  <c r="L367" i="8"/>
  <c r="D367" i="8"/>
  <c r="C367" i="8"/>
  <c r="L366" i="8"/>
  <c r="D366" i="8"/>
  <c r="C366" i="8"/>
  <c r="L365" i="8"/>
  <c r="D365" i="8"/>
  <c r="C365" i="8"/>
  <c r="L364" i="8"/>
  <c r="D364" i="8"/>
  <c r="C364" i="8"/>
  <c r="L363" i="8"/>
  <c r="D363" i="8"/>
  <c r="C363" i="8"/>
  <c r="L362" i="8"/>
  <c r="D362" i="8"/>
  <c r="C362" i="8"/>
  <c r="L361" i="8"/>
  <c r="D361" i="8"/>
  <c r="C361" i="8"/>
  <c r="L360" i="8"/>
  <c r="D360" i="8"/>
  <c r="C360" i="8"/>
  <c r="L359" i="8"/>
  <c r="D359" i="8"/>
  <c r="C359" i="8"/>
  <c r="L358" i="8"/>
  <c r="D358" i="8"/>
  <c r="C358" i="8"/>
  <c r="L357" i="8"/>
  <c r="D357" i="8"/>
  <c r="C357" i="8"/>
  <c r="L356" i="8"/>
  <c r="D356" i="8"/>
  <c r="C356" i="8"/>
  <c r="L355" i="8"/>
  <c r="D355" i="8"/>
  <c r="C355" i="8"/>
  <c r="L354" i="8"/>
  <c r="D354" i="8"/>
  <c r="C354" i="8"/>
  <c r="L353" i="8"/>
  <c r="D353" i="8"/>
  <c r="C353" i="8"/>
  <c r="L352" i="8"/>
  <c r="D352" i="8"/>
  <c r="C352" i="8"/>
  <c r="L351" i="8"/>
  <c r="D351" i="8"/>
  <c r="C351" i="8"/>
  <c r="L350" i="8"/>
  <c r="D350" i="8"/>
  <c r="C350" i="8"/>
  <c r="L349" i="8"/>
  <c r="D349" i="8"/>
  <c r="C349" i="8"/>
  <c r="L348" i="8"/>
  <c r="D348" i="8"/>
  <c r="C348" i="8"/>
  <c r="L347" i="8"/>
  <c r="D347" i="8"/>
  <c r="C347" i="8"/>
  <c r="L346" i="8"/>
  <c r="D346" i="8"/>
  <c r="C346" i="8"/>
  <c r="L345" i="8"/>
  <c r="D345" i="8"/>
  <c r="C345" i="8"/>
  <c r="L344" i="8"/>
  <c r="D344" i="8"/>
  <c r="C344" i="8"/>
  <c r="L343" i="8"/>
  <c r="D343" i="8"/>
  <c r="C343" i="8"/>
  <c r="L342" i="8"/>
  <c r="D342" i="8"/>
  <c r="C342" i="8"/>
  <c r="L341" i="8"/>
  <c r="D341" i="8"/>
  <c r="C341" i="8"/>
  <c r="L340" i="8"/>
  <c r="D340" i="8"/>
  <c r="C340" i="8"/>
  <c r="L339" i="8"/>
  <c r="D339" i="8"/>
  <c r="C339" i="8"/>
  <c r="L338" i="8"/>
  <c r="D338" i="8"/>
  <c r="C338" i="8"/>
  <c r="L337" i="8"/>
  <c r="D337" i="8"/>
  <c r="C337" i="8"/>
  <c r="L336" i="8"/>
  <c r="D336" i="8"/>
  <c r="C336" i="8"/>
  <c r="L335" i="8"/>
  <c r="D335" i="8"/>
  <c r="C335" i="8"/>
  <c r="L334" i="8"/>
  <c r="D334" i="8"/>
  <c r="C334" i="8"/>
  <c r="L333" i="8"/>
  <c r="D333" i="8"/>
  <c r="C333" i="8"/>
  <c r="L332" i="8"/>
  <c r="D332" i="8"/>
  <c r="C332" i="8"/>
  <c r="L331" i="8"/>
  <c r="D331" i="8"/>
  <c r="C331" i="8"/>
  <c r="L330" i="8"/>
  <c r="D330" i="8"/>
  <c r="C330" i="8"/>
  <c r="L329" i="8"/>
  <c r="D329" i="8"/>
  <c r="C329" i="8"/>
  <c r="L328" i="8"/>
  <c r="D328" i="8"/>
  <c r="C328" i="8"/>
  <c r="L327" i="8"/>
  <c r="D327" i="8"/>
  <c r="C327" i="8"/>
  <c r="L326" i="8"/>
  <c r="D326" i="8"/>
  <c r="C326" i="8"/>
  <c r="L325" i="8"/>
  <c r="D325" i="8"/>
  <c r="C325" i="8"/>
  <c r="L324" i="8"/>
  <c r="D324" i="8"/>
  <c r="C324" i="8"/>
  <c r="L323" i="8"/>
  <c r="D323" i="8"/>
  <c r="C323" i="8"/>
  <c r="L322" i="8"/>
  <c r="D322" i="8"/>
  <c r="C322" i="8"/>
  <c r="L321" i="8"/>
  <c r="D321" i="8"/>
  <c r="C321" i="8"/>
  <c r="L320" i="8"/>
  <c r="D320" i="8"/>
  <c r="C320" i="8"/>
  <c r="L319" i="8"/>
  <c r="D319" i="8"/>
  <c r="C319" i="8"/>
  <c r="L318" i="8"/>
  <c r="D318" i="8"/>
  <c r="C318" i="8"/>
  <c r="L317" i="8"/>
  <c r="D317" i="8"/>
  <c r="C317" i="8"/>
  <c r="L316" i="8"/>
  <c r="D316" i="8"/>
  <c r="C316" i="8"/>
  <c r="L315" i="8"/>
  <c r="D315" i="8"/>
  <c r="C315" i="8"/>
  <c r="L314" i="8"/>
  <c r="D314" i="8"/>
  <c r="C314" i="8"/>
  <c r="L313" i="8"/>
  <c r="D313" i="8"/>
  <c r="C313" i="8"/>
  <c r="L312" i="8"/>
  <c r="D312" i="8"/>
  <c r="C312" i="8"/>
  <c r="L311" i="8"/>
  <c r="D311" i="8"/>
  <c r="C311" i="8"/>
  <c r="L310" i="8"/>
  <c r="D310" i="8"/>
  <c r="C310" i="8"/>
  <c r="L309" i="8"/>
  <c r="D309" i="8"/>
  <c r="C309" i="8"/>
  <c r="L308" i="8"/>
  <c r="D308" i="8"/>
  <c r="C308" i="8"/>
  <c r="L307" i="8"/>
  <c r="D307" i="8"/>
  <c r="C307" i="8"/>
  <c r="L306" i="8"/>
  <c r="D306" i="8"/>
  <c r="C306" i="8"/>
  <c r="L305" i="8"/>
  <c r="D305" i="8"/>
  <c r="C305" i="8"/>
  <c r="L304" i="8"/>
  <c r="D304" i="8"/>
  <c r="C304" i="8"/>
  <c r="L303" i="8"/>
  <c r="D303" i="8"/>
  <c r="C303" i="8"/>
  <c r="L302" i="8"/>
  <c r="D302" i="8"/>
  <c r="C302" i="8"/>
  <c r="L301" i="8"/>
  <c r="D301" i="8"/>
  <c r="C301" i="8"/>
  <c r="L300" i="8"/>
  <c r="D300" i="8"/>
  <c r="C300" i="8"/>
  <c r="L299" i="8"/>
  <c r="D299" i="8"/>
  <c r="C299" i="8"/>
  <c r="L298" i="8"/>
  <c r="D298" i="8"/>
  <c r="C298" i="8"/>
  <c r="L297" i="8"/>
  <c r="D297" i="8"/>
  <c r="C297" i="8"/>
  <c r="L296" i="8"/>
  <c r="D296" i="8"/>
  <c r="C296" i="8"/>
  <c r="L295" i="8"/>
  <c r="D295" i="8"/>
  <c r="C295" i="8"/>
  <c r="L294" i="8"/>
  <c r="D294" i="8"/>
  <c r="C294" i="8"/>
  <c r="L293" i="8"/>
  <c r="D293" i="8"/>
  <c r="C293" i="8"/>
  <c r="L292" i="8"/>
  <c r="D292" i="8"/>
  <c r="C292" i="8"/>
  <c r="L291" i="8"/>
  <c r="D291" i="8"/>
  <c r="C291" i="8"/>
  <c r="L290" i="8"/>
  <c r="D290" i="8"/>
  <c r="C290" i="8"/>
  <c r="L289" i="8"/>
  <c r="D289" i="8"/>
  <c r="C289" i="8"/>
  <c r="L288" i="8"/>
  <c r="D288" i="8"/>
  <c r="C288" i="8"/>
  <c r="L287" i="8"/>
  <c r="D287" i="8"/>
  <c r="C287" i="8"/>
  <c r="L286" i="8"/>
  <c r="D286" i="8"/>
  <c r="C286" i="8"/>
  <c r="L285" i="8"/>
  <c r="D285" i="8"/>
  <c r="C285" i="8"/>
  <c r="L284" i="8"/>
  <c r="D284" i="8"/>
  <c r="C284" i="8"/>
  <c r="L283" i="8"/>
  <c r="D283" i="8"/>
  <c r="C283" i="8"/>
  <c r="L282" i="8"/>
  <c r="D282" i="8"/>
  <c r="C282" i="8"/>
  <c r="L281" i="8"/>
  <c r="D281" i="8"/>
  <c r="C281" i="8"/>
  <c r="L280" i="8"/>
  <c r="D280" i="8"/>
  <c r="C280" i="8"/>
  <c r="L279" i="8"/>
  <c r="D279" i="8"/>
  <c r="C279" i="8"/>
  <c r="L278" i="8"/>
  <c r="D278" i="8"/>
  <c r="C278" i="8"/>
  <c r="L277" i="8"/>
  <c r="D277" i="8"/>
  <c r="C277" i="8"/>
  <c r="L276" i="8"/>
  <c r="D276" i="8"/>
  <c r="C276" i="8"/>
  <c r="L275" i="8"/>
  <c r="D275" i="8"/>
  <c r="C275" i="8"/>
  <c r="L274" i="8"/>
  <c r="D274" i="8"/>
  <c r="C274" i="8"/>
  <c r="L273" i="8"/>
  <c r="D273" i="8"/>
  <c r="C273" i="8"/>
  <c r="L272" i="8"/>
  <c r="D272" i="8"/>
  <c r="C272" i="8"/>
  <c r="L271" i="8"/>
  <c r="D271" i="8"/>
  <c r="C271" i="8"/>
  <c r="L270" i="8"/>
  <c r="D270" i="8"/>
  <c r="C270" i="8"/>
  <c r="L269" i="8"/>
  <c r="D269" i="8"/>
  <c r="C269" i="8"/>
  <c r="L268" i="8"/>
  <c r="D268" i="8"/>
  <c r="C268" i="8"/>
  <c r="L267" i="8"/>
  <c r="D267" i="8"/>
  <c r="C267" i="8"/>
  <c r="L266" i="8"/>
  <c r="D266" i="8"/>
  <c r="C266" i="8"/>
  <c r="L265" i="8"/>
  <c r="D265" i="8"/>
  <c r="C265" i="8"/>
  <c r="L264" i="8"/>
  <c r="D264" i="8"/>
  <c r="C264" i="8"/>
  <c r="L263" i="8"/>
  <c r="D263" i="8"/>
  <c r="C263" i="8"/>
  <c r="L262" i="8"/>
  <c r="D262" i="8"/>
  <c r="C262" i="8"/>
  <c r="L261" i="8"/>
  <c r="D261" i="8"/>
  <c r="C261" i="8"/>
  <c r="L260" i="8"/>
  <c r="D260" i="8"/>
  <c r="C260" i="8"/>
  <c r="L259" i="8"/>
  <c r="D259" i="8"/>
  <c r="C259" i="8"/>
  <c r="L258" i="8"/>
  <c r="D258" i="8"/>
  <c r="C258" i="8"/>
  <c r="L257" i="8"/>
  <c r="D257" i="8"/>
  <c r="C257" i="8"/>
  <c r="L256" i="8"/>
  <c r="D256" i="8"/>
  <c r="C256" i="8"/>
  <c r="L255" i="8"/>
  <c r="D255" i="8"/>
  <c r="C255" i="8"/>
  <c r="L254" i="8"/>
  <c r="D254" i="8"/>
  <c r="C254" i="8"/>
  <c r="L253" i="8"/>
  <c r="D253" i="8"/>
  <c r="C253" i="8"/>
  <c r="L252" i="8"/>
  <c r="D252" i="8"/>
  <c r="C252" i="8"/>
  <c r="L251" i="8"/>
  <c r="D251" i="8"/>
  <c r="C251" i="8"/>
  <c r="L250" i="8"/>
  <c r="D250" i="8"/>
  <c r="C250" i="8"/>
  <c r="L249" i="8"/>
  <c r="D249" i="8"/>
  <c r="C249" i="8"/>
  <c r="L248" i="8"/>
  <c r="D248" i="8"/>
  <c r="C248" i="8"/>
  <c r="L247" i="8"/>
  <c r="D247" i="8"/>
  <c r="C247" i="8"/>
  <c r="L246" i="8"/>
  <c r="D246" i="8"/>
  <c r="C246" i="8"/>
  <c r="L245" i="8"/>
  <c r="D245" i="8"/>
  <c r="C245" i="8"/>
  <c r="L244" i="8"/>
  <c r="D244" i="8"/>
  <c r="C244" i="8"/>
  <c r="L243" i="8"/>
  <c r="D243" i="8"/>
  <c r="C243" i="8"/>
  <c r="L242" i="8"/>
  <c r="D242" i="8"/>
  <c r="C242" i="8"/>
  <c r="L241" i="8"/>
  <c r="D241" i="8"/>
  <c r="C241" i="8"/>
  <c r="L240" i="8"/>
  <c r="D240" i="8"/>
  <c r="C240" i="8"/>
  <c r="L239" i="8"/>
  <c r="D239" i="8"/>
  <c r="C239" i="8"/>
  <c r="L238" i="8"/>
  <c r="D238" i="8"/>
  <c r="C238" i="8"/>
  <c r="L237" i="8"/>
  <c r="D237" i="8"/>
  <c r="C237" i="8"/>
  <c r="L236" i="8"/>
  <c r="D236" i="8"/>
  <c r="C236" i="8"/>
  <c r="L235" i="8"/>
  <c r="D235" i="8"/>
  <c r="C235" i="8"/>
  <c r="L234" i="8"/>
  <c r="D234" i="8"/>
  <c r="C234" i="8"/>
  <c r="L233" i="8"/>
  <c r="D233" i="8"/>
  <c r="C233" i="8"/>
  <c r="L232" i="8"/>
  <c r="D232" i="8"/>
  <c r="C232" i="8"/>
  <c r="L231" i="8"/>
  <c r="D231" i="8"/>
  <c r="C231" i="8"/>
  <c r="L230" i="8"/>
  <c r="D230" i="8"/>
  <c r="C230" i="8"/>
  <c r="L229" i="8"/>
  <c r="D229" i="8"/>
  <c r="C229" i="8"/>
  <c r="L228" i="8"/>
  <c r="D228" i="8"/>
  <c r="C228" i="8"/>
  <c r="L227" i="8"/>
  <c r="D227" i="8"/>
  <c r="C227" i="8"/>
  <c r="L226" i="8"/>
  <c r="D226" i="8"/>
  <c r="C226" i="8"/>
  <c r="L225" i="8"/>
  <c r="D225" i="8"/>
  <c r="C225" i="8"/>
  <c r="L224" i="8"/>
  <c r="D224" i="8"/>
  <c r="C224" i="8"/>
  <c r="L223" i="8"/>
  <c r="D223" i="8"/>
  <c r="C223" i="8"/>
  <c r="L222" i="8"/>
  <c r="D222" i="8"/>
  <c r="C222" i="8"/>
  <c r="L221" i="8"/>
  <c r="D221" i="8"/>
  <c r="C221" i="8"/>
  <c r="L220" i="8"/>
  <c r="D220" i="8"/>
  <c r="C220" i="8"/>
  <c r="L219" i="8"/>
  <c r="D219" i="8"/>
  <c r="C219" i="8"/>
  <c r="L218" i="8"/>
  <c r="D218" i="8"/>
  <c r="C218" i="8"/>
  <c r="L217" i="8"/>
  <c r="D217" i="8"/>
  <c r="C217" i="8"/>
  <c r="L216" i="8"/>
  <c r="D216" i="8"/>
  <c r="C216" i="8"/>
  <c r="L215" i="8"/>
  <c r="D215" i="8"/>
  <c r="C215" i="8"/>
  <c r="L214" i="8"/>
  <c r="D214" i="8"/>
  <c r="C214" i="8"/>
  <c r="L213" i="8"/>
  <c r="D213" i="8"/>
  <c r="C213" i="8"/>
  <c r="L212" i="8"/>
  <c r="D212" i="8"/>
  <c r="C212" i="8"/>
  <c r="L211" i="8"/>
  <c r="D211" i="8"/>
  <c r="C211" i="8"/>
  <c r="L210" i="8"/>
  <c r="D210" i="8"/>
  <c r="C210" i="8"/>
  <c r="L209" i="8"/>
  <c r="D209" i="8"/>
  <c r="C209" i="8"/>
  <c r="L208" i="8"/>
  <c r="D208" i="8"/>
  <c r="C208" i="8"/>
  <c r="L207" i="8"/>
  <c r="D207" i="8"/>
  <c r="C207" i="8"/>
  <c r="L206" i="8"/>
  <c r="D206" i="8"/>
  <c r="C206" i="8"/>
  <c r="L205" i="8"/>
  <c r="D205" i="8"/>
  <c r="C205" i="8"/>
  <c r="L204" i="8"/>
  <c r="D204" i="8"/>
  <c r="C204" i="8"/>
  <c r="J4" i="19" l="1"/>
  <c r="K4" i="19"/>
  <c r="D5" i="19"/>
  <c r="L203" i="8"/>
  <c r="D203" i="8"/>
  <c r="C203" i="8"/>
  <c r="L202" i="8"/>
  <c r="D202" i="8"/>
  <c r="C202" i="8"/>
  <c r="L201" i="8"/>
  <c r="D201" i="8"/>
  <c r="C201" i="8"/>
  <c r="L200" i="8"/>
  <c r="D200" i="8"/>
  <c r="C200" i="8"/>
  <c r="L199" i="8"/>
  <c r="D199" i="8"/>
  <c r="C199" i="8"/>
  <c r="L198" i="8"/>
  <c r="D198" i="8"/>
  <c r="C198" i="8"/>
  <c r="L197" i="8"/>
  <c r="D197" i="8"/>
  <c r="C197" i="8"/>
  <c r="L196" i="8"/>
  <c r="D196" i="8"/>
  <c r="C196" i="8"/>
  <c r="L195" i="8"/>
  <c r="D195" i="8"/>
  <c r="C195" i="8"/>
  <c r="L194" i="8"/>
  <c r="D194" i="8"/>
  <c r="C194" i="8"/>
  <c r="L193" i="8"/>
  <c r="D193" i="8"/>
  <c r="C193" i="8"/>
  <c r="L192" i="8"/>
  <c r="D192" i="8"/>
  <c r="C192" i="8"/>
  <c r="L191" i="8"/>
  <c r="D191" i="8"/>
  <c r="C191" i="8"/>
  <c r="L190" i="8"/>
  <c r="D190" i="8"/>
  <c r="C190" i="8"/>
  <c r="L189" i="8"/>
  <c r="D189" i="8"/>
  <c r="C189" i="8"/>
  <c r="L188" i="8"/>
  <c r="D188" i="8"/>
  <c r="C188" i="8"/>
  <c r="L187" i="8"/>
  <c r="D187" i="8"/>
  <c r="C187" i="8"/>
  <c r="L186" i="8"/>
  <c r="D186" i="8"/>
  <c r="C186" i="8"/>
  <c r="L185" i="8"/>
  <c r="D185" i="8"/>
  <c r="C185" i="8"/>
  <c r="L184" i="8"/>
  <c r="D184" i="8"/>
  <c r="C184" i="8"/>
  <c r="L183" i="8"/>
  <c r="D183" i="8"/>
  <c r="C183" i="8"/>
  <c r="L182" i="8"/>
  <c r="D182" i="8"/>
  <c r="C182" i="8"/>
  <c r="L181" i="8"/>
  <c r="D181" i="8"/>
  <c r="C181" i="8"/>
  <c r="L180" i="8"/>
  <c r="D180" i="8"/>
  <c r="C180" i="8"/>
  <c r="L179" i="8"/>
  <c r="D179" i="8"/>
  <c r="C179" i="8"/>
  <c r="L178" i="8"/>
  <c r="D178" i="8"/>
  <c r="C178" i="8"/>
  <c r="L177" i="8"/>
  <c r="D177" i="8"/>
  <c r="C177" i="8"/>
  <c r="L176" i="8"/>
  <c r="D176" i="8"/>
  <c r="C176" i="8"/>
  <c r="L175" i="8"/>
  <c r="D175" i="8"/>
  <c r="C175" i="8"/>
  <c r="L174" i="8"/>
  <c r="D174" i="8"/>
  <c r="C174" i="8"/>
  <c r="L173" i="8"/>
  <c r="D173" i="8"/>
  <c r="C173" i="8"/>
  <c r="L172" i="8"/>
  <c r="D172" i="8"/>
  <c r="C172" i="8"/>
  <c r="L171" i="8"/>
  <c r="D171" i="8"/>
  <c r="C171" i="8"/>
  <c r="L170" i="8"/>
  <c r="D170" i="8"/>
  <c r="C170" i="8"/>
  <c r="L169" i="8"/>
  <c r="D169" i="8"/>
  <c r="C169" i="8"/>
  <c r="L168" i="8"/>
  <c r="D168" i="8"/>
  <c r="C168" i="8"/>
  <c r="L167" i="8"/>
  <c r="D167" i="8"/>
  <c r="C167" i="8"/>
  <c r="L166" i="8"/>
  <c r="D166" i="8"/>
  <c r="C166" i="8"/>
  <c r="L165" i="8"/>
  <c r="D165" i="8"/>
  <c r="C165" i="8"/>
  <c r="L164" i="8"/>
  <c r="D164" i="8"/>
  <c r="C164" i="8"/>
  <c r="L163" i="8"/>
  <c r="D163" i="8"/>
  <c r="C163" i="8"/>
  <c r="L162" i="8"/>
  <c r="D162" i="8"/>
  <c r="C162" i="8"/>
  <c r="L161" i="8"/>
  <c r="D161" i="8"/>
  <c r="C161" i="8"/>
  <c r="L160" i="8"/>
  <c r="D160" i="8"/>
  <c r="C160" i="8"/>
  <c r="L159" i="8"/>
  <c r="D159" i="8"/>
  <c r="C159" i="8"/>
  <c r="L158" i="8"/>
  <c r="D158" i="8"/>
  <c r="C158" i="8"/>
  <c r="L157" i="8"/>
  <c r="D157" i="8"/>
  <c r="C157" i="8"/>
  <c r="L156" i="8"/>
  <c r="D156" i="8"/>
  <c r="C156" i="8"/>
  <c r="L155" i="8"/>
  <c r="D155" i="8"/>
  <c r="C155" i="8"/>
  <c r="L154" i="8"/>
  <c r="D154" i="8"/>
  <c r="C154" i="8"/>
  <c r="L153" i="8"/>
  <c r="D153" i="8"/>
  <c r="C153" i="8"/>
  <c r="L152" i="8"/>
  <c r="D152" i="8"/>
  <c r="C152" i="8"/>
  <c r="L151" i="8"/>
  <c r="D151" i="8"/>
  <c r="C151" i="8"/>
  <c r="L150" i="8"/>
  <c r="D150" i="8"/>
  <c r="C150" i="8"/>
  <c r="L149" i="8"/>
  <c r="D149" i="8"/>
  <c r="C149" i="8"/>
  <c r="L148" i="8"/>
  <c r="D148" i="8"/>
  <c r="C148" i="8"/>
  <c r="L147" i="8"/>
  <c r="D147" i="8"/>
  <c r="C147" i="8"/>
  <c r="L146" i="8"/>
  <c r="D146" i="8"/>
  <c r="C146" i="8"/>
  <c r="L145" i="8"/>
  <c r="D145" i="8"/>
  <c r="C145" i="8"/>
  <c r="L144" i="8"/>
  <c r="D144" i="8"/>
  <c r="C144" i="8"/>
  <c r="L143" i="8"/>
  <c r="D143" i="8"/>
  <c r="C143" i="8"/>
  <c r="L142" i="8"/>
  <c r="D142" i="8"/>
  <c r="C142" i="8"/>
  <c r="L141" i="8"/>
  <c r="D141" i="8"/>
  <c r="C141" i="8"/>
  <c r="L140" i="8"/>
  <c r="D140" i="8"/>
  <c r="C140" i="8"/>
  <c r="L139" i="8"/>
  <c r="D139" i="8"/>
  <c r="C139" i="8"/>
  <c r="L138" i="8"/>
  <c r="D138" i="8"/>
  <c r="C138" i="8"/>
  <c r="L137" i="8"/>
  <c r="D137" i="8"/>
  <c r="C137" i="8"/>
  <c r="L136" i="8"/>
  <c r="D136" i="8"/>
  <c r="C136" i="8"/>
  <c r="L135" i="8"/>
  <c r="D135" i="8"/>
  <c r="C135" i="8"/>
  <c r="L134" i="8"/>
  <c r="D134" i="8"/>
  <c r="C134" i="8"/>
  <c r="L133" i="8"/>
  <c r="D133" i="8"/>
  <c r="C133" i="8"/>
  <c r="L132" i="8"/>
  <c r="D132" i="8"/>
  <c r="C132" i="8"/>
  <c r="L131" i="8"/>
  <c r="D131" i="8"/>
  <c r="C131" i="8"/>
  <c r="L130" i="8"/>
  <c r="D130" i="8"/>
  <c r="C130" i="8"/>
  <c r="L129" i="8"/>
  <c r="D129" i="8"/>
  <c r="C129" i="8"/>
  <c r="L128" i="8"/>
  <c r="D128" i="8"/>
  <c r="C128" i="8"/>
  <c r="L127" i="8"/>
  <c r="D127" i="8"/>
  <c r="C127" i="8"/>
  <c r="L126" i="8"/>
  <c r="D126" i="8"/>
  <c r="C126" i="8"/>
  <c r="L125" i="8"/>
  <c r="D125" i="8"/>
  <c r="C125" i="8"/>
  <c r="L124" i="8"/>
  <c r="D124" i="8"/>
  <c r="C124" i="8"/>
  <c r="L123" i="8"/>
  <c r="D123" i="8"/>
  <c r="C123" i="8"/>
  <c r="L122" i="8"/>
  <c r="D122" i="8"/>
  <c r="C122" i="8"/>
  <c r="L121" i="8"/>
  <c r="D121" i="8"/>
  <c r="C121" i="8"/>
  <c r="L120" i="8"/>
  <c r="D120" i="8"/>
  <c r="C120" i="8"/>
  <c r="L119" i="8"/>
  <c r="D119" i="8"/>
  <c r="C119" i="8"/>
  <c r="L118" i="8"/>
  <c r="D118" i="8"/>
  <c r="C118" i="8"/>
  <c r="L117" i="8"/>
  <c r="D117" i="8"/>
  <c r="C117" i="8"/>
  <c r="L116" i="8"/>
  <c r="D116" i="8"/>
  <c r="C116" i="8"/>
  <c r="L115" i="8"/>
  <c r="D115" i="8"/>
  <c r="C115" i="8"/>
  <c r="L114" i="8"/>
  <c r="D114" i="8"/>
  <c r="C114" i="8"/>
  <c r="L113" i="8"/>
  <c r="D113" i="8"/>
  <c r="C113" i="8"/>
  <c r="L112" i="8"/>
  <c r="D112" i="8"/>
  <c r="C112" i="8"/>
  <c r="L111" i="8"/>
  <c r="D111" i="8"/>
  <c r="C111" i="8"/>
  <c r="L110" i="8"/>
  <c r="D110" i="8"/>
  <c r="C110" i="8"/>
  <c r="L109" i="8"/>
  <c r="D109" i="8"/>
  <c r="C109" i="8"/>
  <c r="L108" i="8"/>
  <c r="D108" i="8"/>
  <c r="C108" i="8"/>
  <c r="L107" i="8"/>
  <c r="D107" i="8"/>
  <c r="C107" i="8"/>
  <c r="L106" i="8"/>
  <c r="D106" i="8"/>
  <c r="C106" i="8"/>
  <c r="L105" i="8"/>
  <c r="D105" i="8"/>
  <c r="C105" i="8"/>
  <c r="L104" i="8"/>
  <c r="D104" i="8"/>
  <c r="C104" i="8"/>
  <c r="L103" i="8"/>
  <c r="D103" i="8"/>
  <c r="C103" i="8"/>
  <c r="L102" i="8"/>
  <c r="D102" i="8"/>
  <c r="C102" i="8"/>
  <c r="L101" i="8"/>
  <c r="D101" i="8"/>
  <c r="C101" i="8"/>
  <c r="L100" i="8"/>
  <c r="D100" i="8"/>
  <c r="C100" i="8"/>
  <c r="L99" i="8"/>
  <c r="D99" i="8"/>
  <c r="C99" i="8"/>
  <c r="L98" i="8"/>
  <c r="D98" i="8"/>
  <c r="C98" i="8"/>
  <c r="L97" i="8"/>
  <c r="D97" i="8"/>
  <c r="C97" i="8"/>
  <c r="L96" i="8"/>
  <c r="D96" i="8"/>
  <c r="C96" i="8"/>
  <c r="L95" i="8"/>
  <c r="D95" i="8"/>
  <c r="C95" i="8"/>
  <c r="L94" i="8"/>
  <c r="D94" i="8"/>
  <c r="C94" i="8"/>
  <c r="L93" i="8"/>
  <c r="D93" i="8"/>
  <c r="C93" i="8"/>
  <c r="L92" i="8"/>
  <c r="D92" i="8"/>
  <c r="C92" i="8"/>
  <c r="L91" i="8"/>
  <c r="D91" i="8"/>
  <c r="C91" i="8"/>
  <c r="L90" i="8"/>
  <c r="D90" i="8"/>
  <c r="C90" i="8"/>
  <c r="L89" i="8"/>
  <c r="D89" i="8"/>
  <c r="C89" i="8"/>
  <c r="L88" i="8"/>
  <c r="D88" i="8"/>
  <c r="C88" i="8"/>
  <c r="L87" i="8"/>
  <c r="D87" i="8"/>
  <c r="C87" i="8"/>
  <c r="L86" i="8"/>
  <c r="D86" i="8"/>
  <c r="C86" i="8"/>
  <c r="L85" i="8"/>
  <c r="D85" i="8"/>
  <c r="C85" i="8"/>
  <c r="L84" i="8"/>
  <c r="D84" i="8"/>
  <c r="C84" i="8"/>
  <c r="L83" i="8"/>
  <c r="D83" i="8"/>
  <c r="C83" i="8"/>
  <c r="L82" i="8"/>
  <c r="D82" i="8"/>
  <c r="C82" i="8"/>
  <c r="L81" i="8"/>
  <c r="D81" i="8"/>
  <c r="C81" i="8"/>
  <c r="L80" i="8"/>
  <c r="D80" i="8"/>
  <c r="C80" i="8"/>
  <c r="L79" i="8"/>
  <c r="D79" i="8"/>
  <c r="C79" i="8"/>
  <c r="L78" i="8"/>
  <c r="D78" i="8"/>
  <c r="C78" i="8"/>
  <c r="L77" i="8"/>
  <c r="D77" i="8"/>
  <c r="C77" i="8"/>
  <c r="L76" i="8"/>
  <c r="D76" i="8"/>
  <c r="C76" i="8"/>
  <c r="L75" i="8"/>
  <c r="D75" i="8"/>
  <c r="C75" i="8"/>
  <c r="L74" i="8"/>
  <c r="D74" i="8"/>
  <c r="C74" i="8"/>
  <c r="L73" i="8"/>
  <c r="D73" i="8"/>
  <c r="C73" i="8"/>
  <c r="L72" i="8"/>
  <c r="D72" i="8"/>
  <c r="C72" i="8"/>
  <c r="L71" i="8"/>
  <c r="D71" i="8"/>
  <c r="C71" i="8"/>
  <c r="L70" i="8"/>
  <c r="D70" i="8"/>
  <c r="C70" i="8"/>
  <c r="L69" i="8"/>
  <c r="D69" i="8"/>
  <c r="C69" i="8"/>
  <c r="L68" i="8"/>
  <c r="D68" i="8"/>
  <c r="C68" i="8"/>
  <c r="L67" i="8"/>
  <c r="D67" i="8"/>
  <c r="C67" i="8"/>
  <c r="L66" i="8"/>
  <c r="D66" i="8"/>
  <c r="C66" i="8"/>
  <c r="L65" i="8"/>
  <c r="D65" i="8"/>
  <c r="C65" i="8"/>
  <c r="L64" i="8"/>
  <c r="D64" i="8"/>
  <c r="C64" i="8"/>
  <c r="L63" i="8"/>
  <c r="D63" i="8"/>
  <c r="C63" i="8"/>
  <c r="L62" i="8"/>
  <c r="D62" i="8"/>
  <c r="C62" i="8"/>
  <c r="L61" i="8"/>
  <c r="D61" i="8"/>
  <c r="C61" i="8"/>
  <c r="L60" i="8"/>
  <c r="D60" i="8"/>
  <c r="C60" i="8"/>
  <c r="L59" i="8"/>
  <c r="D59" i="8"/>
  <c r="C59" i="8"/>
  <c r="L58" i="8"/>
  <c r="D58" i="8"/>
  <c r="C58" i="8"/>
  <c r="L57" i="8"/>
  <c r="D57" i="8"/>
  <c r="C57" i="8"/>
  <c r="L56" i="8"/>
  <c r="D56" i="8"/>
  <c r="C56" i="8"/>
  <c r="L55" i="8"/>
  <c r="D55" i="8"/>
  <c r="C55" i="8"/>
  <c r="L54" i="8"/>
  <c r="D54" i="8"/>
  <c r="C54" i="8"/>
  <c r="L53" i="8"/>
  <c r="D53" i="8"/>
  <c r="C53" i="8"/>
  <c r="L52" i="8"/>
  <c r="D52" i="8"/>
  <c r="C52" i="8"/>
  <c r="L51" i="8"/>
  <c r="D51" i="8"/>
  <c r="C51" i="8"/>
  <c r="L50" i="8"/>
  <c r="D50" i="8"/>
  <c r="C50" i="8"/>
  <c r="L49" i="8"/>
  <c r="D49" i="8"/>
  <c r="C49" i="8"/>
  <c r="L48" i="8"/>
  <c r="D48" i="8"/>
  <c r="C48" i="8"/>
  <c r="L47" i="8"/>
  <c r="D47" i="8"/>
  <c r="C47" i="8"/>
  <c r="L46" i="8"/>
  <c r="D46" i="8"/>
  <c r="C46" i="8"/>
  <c r="L45" i="8"/>
  <c r="D45" i="8"/>
  <c r="C45" i="8"/>
  <c r="L44" i="8"/>
  <c r="D44" i="8"/>
  <c r="C44" i="8"/>
  <c r="L43" i="8"/>
  <c r="D43" i="8"/>
  <c r="C43" i="8"/>
  <c r="L42" i="8"/>
  <c r="D42" i="8"/>
  <c r="C42" i="8"/>
  <c r="L41" i="8"/>
  <c r="D41" i="8"/>
  <c r="C41" i="8"/>
  <c r="L40" i="8"/>
  <c r="D40" i="8"/>
  <c r="C40" i="8"/>
  <c r="L39" i="8"/>
  <c r="D39" i="8"/>
  <c r="C39" i="8"/>
  <c r="L38" i="8"/>
  <c r="D38" i="8"/>
  <c r="C38" i="8"/>
  <c r="L37" i="8"/>
  <c r="D37" i="8"/>
  <c r="C37" i="8"/>
  <c r="L36" i="8"/>
  <c r="D36" i="8"/>
  <c r="C36" i="8"/>
  <c r="L35" i="8"/>
  <c r="D35" i="8"/>
  <c r="C35" i="8"/>
  <c r="L34" i="8"/>
  <c r="D34" i="8"/>
  <c r="C34" i="8"/>
  <c r="L33" i="8"/>
  <c r="D33" i="8"/>
  <c r="C33" i="8"/>
  <c r="L32" i="8"/>
  <c r="D32" i="8"/>
  <c r="C32" i="8"/>
  <c r="L31" i="8"/>
  <c r="D31" i="8"/>
  <c r="C31" i="8"/>
  <c r="L30" i="8"/>
  <c r="D30" i="8"/>
  <c r="C30" i="8"/>
  <c r="L29" i="8"/>
  <c r="D29" i="8"/>
  <c r="C29" i="8"/>
  <c r="L28" i="8"/>
  <c r="D28" i="8"/>
  <c r="C28" i="8"/>
  <c r="L27" i="8"/>
  <c r="D27" i="8"/>
  <c r="C27" i="8"/>
  <c r="L26" i="8"/>
  <c r="D26" i="8"/>
  <c r="C26" i="8"/>
  <c r="L25" i="8"/>
  <c r="D25" i="8"/>
  <c r="C25" i="8"/>
  <c r="L24" i="8"/>
  <c r="D24" i="8"/>
  <c r="C24" i="8"/>
  <c r="L23" i="8"/>
  <c r="D23" i="8"/>
  <c r="C23" i="8"/>
  <c r="L22" i="8"/>
  <c r="D22" i="8"/>
  <c r="C22" i="8"/>
  <c r="L21" i="8"/>
  <c r="D21" i="8"/>
  <c r="C21" i="8"/>
  <c r="L20" i="8"/>
  <c r="D20" i="8"/>
  <c r="C20" i="8"/>
  <c r="L19" i="8"/>
  <c r="D19" i="8"/>
  <c r="C19" i="8"/>
  <c r="L18" i="8"/>
  <c r="D18" i="8"/>
  <c r="C18" i="8"/>
  <c r="L17" i="8"/>
  <c r="D17" i="8"/>
  <c r="C17" i="8"/>
  <c r="L16" i="8"/>
  <c r="D16" i="8"/>
  <c r="C16" i="8"/>
  <c r="L15" i="8"/>
  <c r="D15" i="8"/>
  <c r="C15" i="8"/>
  <c r="L14" i="8"/>
  <c r="D14" i="8"/>
  <c r="C14" i="8"/>
  <c r="L13" i="8"/>
  <c r="D13" i="8"/>
  <c r="C13" i="8"/>
  <c r="L12" i="8"/>
  <c r="D12" i="8"/>
  <c r="C12" i="8"/>
  <c r="L11" i="8"/>
  <c r="D11" i="8"/>
  <c r="C11" i="8"/>
  <c r="L10" i="8"/>
  <c r="D10" i="8"/>
  <c r="C10" i="8"/>
  <c r="L9" i="8"/>
  <c r="D9" i="8"/>
  <c r="C9" i="8"/>
  <c r="L8" i="8"/>
  <c r="D8" i="8"/>
  <c r="C8" i="8"/>
  <c r="L7" i="8"/>
  <c r="D7" i="8"/>
  <c r="C7" i="8"/>
  <c r="L6" i="8"/>
  <c r="D6" i="8"/>
  <c r="C6" i="8"/>
  <c r="L5" i="8"/>
  <c r="D5" i="8"/>
  <c r="C5" i="8"/>
  <c r="L4" i="8"/>
  <c r="D4" i="8"/>
  <c r="C4" i="8"/>
  <c r="L3" i="8"/>
  <c r="D3" i="8"/>
  <c r="C3" i="8"/>
  <c r="T2" i="8"/>
  <c r="L2" i="8"/>
  <c r="D2" i="8"/>
  <c r="C2" i="8"/>
  <c r="J5" i="19" l="1"/>
  <c r="D6" i="19"/>
  <c r="U2" i="8"/>
  <c r="I2" i="9"/>
  <c r="E153" i="9" s="1"/>
  <c r="K6" i="19" l="1"/>
  <c r="D7" i="19"/>
  <c r="J6" i="19"/>
  <c r="E17" i="9"/>
  <c r="E36" i="9"/>
  <c r="E52" i="9"/>
  <c r="E9" i="9"/>
  <c r="E28" i="9"/>
  <c r="E44" i="9"/>
  <c r="E5" i="9"/>
  <c r="E21" i="9"/>
  <c r="E40" i="9"/>
  <c r="E56" i="9"/>
  <c r="E13" i="9"/>
  <c r="E32" i="9"/>
  <c r="E48" i="9"/>
  <c r="E60" i="9"/>
  <c r="E64" i="9"/>
  <c r="E68" i="9"/>
  <c r="E72" i="9"/>
  <c r="E76" i="9"/>
  <c r="E80" i="9"/>
  <c r="E84" i="9"/>
  <c r="E88" i="9"/>
  <c r="E92" i="9"/>
  <c r="E95" i="9"/>
  <c r="E99" i="9"/>
  <c r="E103" i="9"/>
  <c r="E107" i="9"/>
  <c r="E111" i="9"/>
  <c r="E115" i="9"/>
  <c r="E119" i="9"/>
  <c r="E123" i="9"/>
  <c r="E127" i="9"/>
  <c r="E131" i="9"/>
  <c r="E135" i="9"/>
  <c r="E139" i="9"/>
  <c r="E143" i="9"/>
  <c r="E147" i="9"/>
  <c r="E151" i="9"/>
  <c r="E155" i="9"/>
  <c r="E6" i="9"/>
  <c r="E10" i="9"/>
  <c r="E14" i="9"/>
  <c r="E18" i="9"/>
  <c r="E22" i="9"/>
  <c r="E29" i="9"/>
  <c r="E33" i="9"/>
  <c r="E37" i="9"/>
  <c r="E41" i="9"/>
  <c r="E45" i="9"/>
  <c r="E49" i="9"/>
  <c r="E53" i="9"/>
  <c r="E57" i="9"/>
  <c r="E61" i="9"/>
  <c r="E65" i="9"/>
  <c r="E69" i="9"/>
  <c r="E73" i="9"/>
  <c r="E77" i="9"/>
  <c r="E81" i="9"/>
  <c r="E85" i="9"/>
  <c r="E89" i="9"/>
  <c r="E93" i="9"/>
  <c r="E96" i="9"/>
  <c r="E100" i="9"/>
  <c r="E104" i="9"/>
  <c r="E108" i="9"/>
  <c r="E112" i="9"/>
  <c r="E116" i="9"/>
  <c r="E120" i="9"/>
  <c r="E124" i="9"/>
  <c r="E128" i="9"/>
  <c r="E132" i="9"/>
  <c r="E136" i="9"/>
  <c r="E140" i="9"/>
  <c r="E144" i="9"/>
  <c r="E148" i="9"/>
  <c r="E152" i="9"/>
  <c r="E3" i="9"/>
  <c r="E7" i="9"/>
  <c r="E11" i="9"/>
  <c r="E15" i="9"/>
  <c r="E19" i="9"/>
  <c r="E23" i="9"/>
  <c r="E26" i="9"/>
  <c r="E30" i="9"/>
  <c r="E34" i="9"/>
  <c r="E38" i="9"/>
  <c r="E42" i="9"/>
  <c r="E46" i="9"/>
  <c r="E50" i="9"/>
  <c r="E54" i="9"/>
  <c r="E58" i="9"/>
  <c r="E62" i="9"/>
  <c r="E66" i="9"/>
  <c r="E70" i="9"/>
  <c r="E74" i="9"/>
  <c r="E78" i="9"/>
  <c r="E82" i="9"/>
  <c r="E86" i="9"/>
  <c r="E90" i="9"/>
  <c r="E97" i="9"/>
  <c r="E101" i="9"/>
  <c r="E105" i="9"/>
  <c r="E109" i="9"/>
  <c r="E113" i="9"/>
  <c r="E117" i="9"/>
  <c r="E121" i="9"/>
  <c r="E125" i="9"/>
  <c r="E129" i="9"/>
  <c r="E133" i="9"/>
  <c r="E137" i="9"/>
  <c r="E141" i="9"/>
  <c r="E145" i="9"/>
  <c r="E149" i="9"/>
  <c r="E212" i="9"/>
  <c r="E208" i="9"/>
  <c r="E204" i="9"/>
  <c r="E200" i="9"/>
  <c r="E196" i="9"/>
  <c r="E192" i="9"/>
  <c r="E188" i="9"/>
  <c r="E184" i="9"/>
  <c r="E180" i="9"/>
  <c r="E176" i="9"/>
  <c r="E172" i="9"/>
  <c r="E168" i="9"/>
  <c r="E164" i="9"/>
  <c r="E160" i="9"/>
  <c r="E156" i="9"/>
  <c r="E186" i="9"/>
  <c r="E170" i="9"/>
  <c r="E162" i="9"/>
  <c r="E209" i="9"/>
  <c r="E193" i="9"/>
  <c r="E189" i="9"/>
  <c r="E169" i="9"/>
  <c r="R2" i="8"/>
  <c r="E211" i="9"/>
  <c r="E207" i="9"/>
  <c r="E203" i="9"/>
  <c r="E199" i="9"/>
  <c r="E195" i="9"/>
  <c r="E191" i="9"/>
  <c r="E187" i="9"/>
  <c r="E183" i="9"/>
  <c r="E179" i="9"/>
  <c r="E175" i="9"/>
  <c r="E171" i="9"/>
  <c r="E167" i="9"/>
  <c r="E163" i="9"/>
  <c r="E159" i="9"/>
  <c r="E210" i="9"/>
  <c r="E198" i="9"/>
  <c r="E194" i="9"/>
  <c r="E190" i="9"/>
  <c r="E166" i="9"/>
  <c r="E213" i="9"/>
  <c r="E165" i="9"/>
  <c r="E161" i="9"/>
  <c r="E157" i="9"/>
  <c r="E206" i="9"/>
  <c r="E202" i="9"/>
  <c r="E182" i="9"/>
  <c r="E178" i="9"/>
  <c r="E174" i="9"/>
  <c r="E158" i="9"/>
  <c r="E205" i="9"/>
  <c r="E201" i="9"/>
  <c r="E197" i="9"/>
  <c r="E185" i="9"/>
  <c r="E181" i="9"/>
  <c r="E177" i="9"/>
  <c r="E173" i="9"/>
  <c r="E4" i="9"/>
  <c r="E8" i="9"/>
  <c r="E12" i="9"/>
  <c r="E16" i="9"/>
  <c r="E20" i="9"/>
  <c r="E24" i="9"/>
  <c r="E27" i="9"/>
  <c r="E31" i="9"/>
  <c r="E35" i="9"/>
  <c r="E39" i="9"/>
  <c r="E43" i="9"/>
  <c r="E47" i="9"/>
  <c r="E51" i="9"/>
  <c r="E55" i="9"/>
  <c r="E59" i="9"/>
  <c r="E63" i="9"/>
  <c r="E67" i="9"/>
  <c r="E71" i="9"/>
  <c r="E75" i="9"/>
  <c r="E79" i="9"/>
  <c r="E83" i="9"/>
  <c r="E87" i="9"/>
  <c r="E91" i="9"/>
  <c r="E94" i="9"/>
  <c r="E98" i="9"/>
  <c r="E102" i="9"/>
  <c r="E106" i="9"/>
  <c r="E110" i="9"/>
  <c r="E114" i="9"/>
  <c r="E118" i="9"/>
  <c r="E122" i="9"/>
  <c r="E126" i="9"/>
  <c r="E130" i="9"/>
  <c r="E134" i="9"/>
  <c r="E138" i="9"/>
  <c r="E142" i="9"/>
  <c r="E146" i="9"/>
  <c r="E150" i="9"/>
  <c r="E154" i="9"/>
  <c r="E2" i="9"/>
  <c r="F4" i="9" l="1"/>
  <c r="F10" i="9"/>
  <c r="F9" i="9"/>
  <c r="F6" i="9"/>
  <c r="F13" i="9"/>
  <c r="F5" i="9"/>
  <c r="F12" i="9"/>
  <c r="F24" i="9"/>
  <c r="F8" i="9"/>
  <c r="F7" i="9"/>
  <c r="F23" i="9"/>
  <c r="F19" i="9"/>
  <c r="F3" i="9"/>
  <c r="F21" i="9"/>
  <c r="F14" i="9"/>
  <c r="F17" i="9"/>
  <c r="F20" i="9"/>
  <c r="F16" i="9"/>
  <c r="F15" i="9"/>
  <c r="F22" i="9"/>
  <c r="F11" i="9"/>
  <c r="F18" i="9"/>
  <c r="J7" i="19"/>
  <c r="D8" i="19"/>
  <c r="N2388" i="8"/>
  <c r="N2387" i="8"/>
  <c r="N2386" i="8"/>
  <c r="N2385" i="8"/>
  <c r="N2384" i="8"/>
  <c r="N2383" i="8"/>
  <c r="N2382" i="8"/>
  <c r="N2381" i="8"/>
  <c r="N2380" i="8"/>
  <c r="N2379" i="8"/>
  <c r="N2378" i="8"/>
  <c r="N2377" i="8"/>
  <c r="N2376" i="8"/>
  <c r="N2375" i="8"/>
  <c r="N2374" i="8"/>
  <c r="N2373" i="8"/>
  <c r="N2372" i="8"/>
  <c r="N2371" i="8"/>
  <c r="N2370" i="8"/>
  <c r="N2369" i="8"/>
  <c r="N2368" i="8"/>
  <c r="N2367" i="8"/>
  <c r="N2366" i="8"/>
  <c r="N2365" i="8"/>
  <c r="N2364" i="8"/>
  <c r="N2363" i="8"/>
  <c r="N2362" i="8"/>
  <c r="N2361" i="8"/>
  <c r="N2360" i="8"/>
  <c r="N2359" i="8"/>
  <c r="N2358" i="8"/>
  <c r="N2357" i="8"/>
  <c r="N2356" i="8"/>
  <c r="N2355" i="8"/>
  <c r="N2354" i="8"/>
  <c r="N2353" i="8"/>
  <c r="N2352" i="8"/>
  <c r="N2351" i="8"/>
  <c r="N2350" i="8"/>
  <c r="N2349" i="8"/>
  <c r="N2348" i="8"/>
  <c r="N2347" i="8"/>
  <c r="N2346" i="8"/>
  <c r="N2345" i="8"/>
  <c r="N2344" i="8"/>
  <c r="N2343" i="8"/>
  <c r="N2342" i="8"/>
  <c r="N2341" i="8"/>
  <c r="N2340" i="8"/>
  <c r="N2339" i="8"/>
  <c r="N2338" i="8"/>
  <c r="N2337" i="8"/>
  <c r="N2336" i="8"/>
  <c r="N2335" i="8"/>
  <c r="N2334" i="8"/>
  <c r="N2333" i="8"/>
  <c r="N2332" i="8"/>
  <c r="N2331" i="8"/>
  <c r="N2330" i="8"/>
  <c r="N2329" i="8"/>
  <c r="N2328" i="8"/>
  <c r="N2327" i="8"/>
  <c r="N2326" i="8"/>
  <c r="N2325" i="8"/>
  <c r="N2324" i="8"/>
  <c r="N2323" i="8"/>
  <c r="N2322" i="8"/>
  <c r="N2321" i="8"/>
  <c r="N2320" i="8"/>
  <c r="N2319" i="8"/>
  <c r="N2318" i="8"/>
  <c r="N2317" i="8"/>
  <c r="N2316" i="8"/>
  <c r="N2315" i="8"/>
  <c r="N2314" i="8"/>
  <c r="N2313" i="8"/>
  <c r="N2312" i="8"/>
  <c r="N2311" i="8"/>
  <c r="N2310" i="8"/>
  <c r="N2309" i="8"/>
  <c r="N2308" i="8"/>
  <c r="N2307" i="8"/>
  <c r="N2306" i="8"/>
  <c r="N2305" i="8"/>
  <c r="N2304" i="8"/>
  <c r="N2303" i="8"/>
  <c r="N2302" i="8"/>
  <c r="N2301" i="8"/>
  <c r="N2300" i="8"/>
  <c r="N2299" i="8"/>
  <c r="N2298" i="8"/>
  <c r="N2297" i="8"/>
  <c r="N2296" i="8"/>
  <c r="N2295" i="8"/>
  <c r="N2294" i="8"/>
  <c r="N2293" i="8"/>
  <c r="N2292" i="8"/>
  <c r="N2291" i="8"/>
  <c r="N2290" i="8"/>
  <c r="N2289" i="8"/>
  <c r="N2288" i="8"/>
  <c r="N2287" i="8"/>
  <c r="N2286" i="8"/>
  <c r="N2285" i="8"/>
  <c r="N2284" i="8"/>
  <c r="N2283" i="8"/>
  <c r="N2282" i="8"/>
  <c r="N2281" i="8"/>
  <c r="N2280" i="8"/>
  <c r="N2279" i="8"/>
  <c r="N2278" i="8"/>
  <c r="N2277" i="8"/>
  <c r="N2276" i="8"/>
  <c r="N2275" i="8"/>
  <c r="N2274" i="8"/>
  <c r="N2273" i="8"/>
  <c r="N2272" i="8"/>
  <c r="N2271" i="8"/>
  <c r="N2270" i="8"/>
  <c r="N2269" i="8"/>
  <c r="N2268" i="8"/>
  <c r="N2267" i="8"/>
  <c r="N2266" i="8"/>
  <c r="N2265" i="8"/>
  <c r="N2264" i="8"/>
  <c r="N2263" i="8"/>
  <c r="N2262" i="8"/>
  <c r="N2261" i="8"/>
  <c r="N2260" i="8"/>
  <c r="N2259" i="8"/>
  <c r="N2258" i="8"/>
  <c r="N2257" i="8"/>
  <c r="N2256" i="8"/>
  <c r="N2255" i="8"/>
  <c r="N2254" i="8"/>
  <c r="N2253" i="8"/>
  <c r="N2252" i="8"/>
  <c r="N2251" i="8"/>
  <c r="N2250" i="8"/>
  <c r="N2249" i="8"/>
  <c r="N2248" i="8"/>
  <c r="N2247" i="8"/>
  <c r="N2246" i="8"/>
  <c r="N2245" i="8"/>
  <c r="N2244" i="8"/>
  <c r="N2243" i="8"/>
  <c r="N2242" i="8"/>
  <c r="N2241" i="8"/>
  <c r="N2240" i="8"/>
  <c r="N2239" i="8"/>
  <c r="N2238" i="8"/>
  <c r="N2237" i="8"/>
  <c r="N2236" i="8"/>
  <c r="N2235" i="8"/>
  <c r="N2234" i="8"/>
  <c r="N2233" i="8"/>
  <c r="N2232" i="8"/>
  <c r="N2231" i="8"/>
  <c r="N2230" i="8"/>
  <c r="N2229" i="8"/>
  <c r="N2228" i="8"/>
  <c r="N2227" i="8"/>
  <c r="N2226" i="8"/>
  <c r="N2225" i="8"/>
  <c r="N2224" i="8"/>
  <c r="N2223" i="8"/>
  <c r="N2222" i="8"/>
  <c r="N2221" i="8"/>
  <c r="N2220" i="8"/>
  <c r="N2219" i="8"/>
  <c r="N2218" i="8"/>
  <c r="N2217" i="8"/>
  <c r="N2216" i="8"/>
  <c r="N2215" i="8"/>
  <c r="N2214" i="8"/>
  <c r="N2213" i="8"/>
  <c r="N2212" i="8"/>
  <c r="N2211" i="8"/>
  <c r="N2210" i="8"/>
  <c r="N2209" i="8"/>
  <c r="N2208" i="8"/>
  <c r="N2207" i="8"/>
  <c r="N2206" i="8"/>
  <c r="N2205" i="8"/>
  <c r="N2204" i="8"/>
  <c r="N2203" i="8"/>
  <c r="N2202" i="8"/>
  <c r="N2201" i="8"/>
  <c r="N2200" i="8"/>
  <c r="N2199" i="8"/>
  <c r="N2198" i="8"/>
  <c r="N2197" i="8"/>
  <c r="N2196" i="8"/>
  <c r="N2195" i="8"/>
  <c r="N2194" i="8"/>
  <c r="N2193" i="8"/>
  <c r="N2192" i="8"/>
  <c r="N2191" i="8"/>
  <c r="N2190" i="8"/>
  <c r="N2189" i="8"/>
  <c r="N2188" i="8"/>
  <c r="N2187" i="8"/>
  <c r="N2186" i="8"/>
  <c r="N2185" i="8"/>
  <c r="N2184" i="8"/>
  <c r="N2183" i="8"/>
  <c r="N2182" i="8"/>
  <c r="N2181" i="8"/>
  <c r="N2180" i="8"/>
  <c r="N2179" i="8"/>
  <c r="N2178" i="8"/>
  <c r="N2177" i="8"/>
  <c r="N2176" i="8"/>
  <c r="N2175" i="8"/>
  <c r="N2174" i="8"/>
  <c r="N2173" i="8"/>
  <c r="N2172" i="8"/>
  <c r="N2171" i="8"/>
  <c r="N2170" i="8"/>
  <c r="N2169" i="8"/>
  <c r="N2168" i="8"/>
  <c r="N2167" i="8"/>
  <c r="N2166" i="8"/>
  <c r="N2165" i="8"/>
  <c r="N2164" i="8"/>
  <c r="N2163" i="8"/>
  <c r="N2162" i="8"/>
  <c r="N2161" i="8"/>
  <c r="N2160" i="8"/>
  <c r="N2159" i="8"/>
  <c r="N2158" i="8"/>
  <c r="N2157" i="8"/>
  <c r="N2156" i="8"/>
  <c r="N2155" i="8"/>
  <c r="N2154" i="8"/>
  <c r="N2153" i="8"/>
  <c r="N2152" i="8"/>
  <c r="N2151" i="8"/>
  <c r="N2150" i="8"/>
  <c r="N2149" i="8"/>
  <c r="N2148" i="8"/>
  <c r="N2147" i="8"/>
  <c r="N2146" i="8"/>
  <c r="N2145" i="8"/>
  <c r="N2144" i="8"/>
  <c r="N2143" i="8"/>
  <c r="N2142" i="8"/>
  <c r="N2141" i="8"/>
  <c r="N2140" i="8"/>
  <c r="N2139" i="8"/>
  <c r="N2138" i="8"/>
  <c r="N2137" i="8"/>
  <c r="N2136" i="8"/>
  <c r="N2135" i="8"/>
  <c r="N2134" i="8"/>
  <c r="N2133" i="8"/>
  <c r="N1239" i="8"/>
  <c r="O1239" i="8" s="1"/>
  <c r="P1239" i="8" s="1"/>
  <c r="N1238" i="8"/>
  <c r="N1237" i="8"/>
  <c r="N1236" i="8"/>
  <c r="N1235" i="8"/>
  <c r="N1234" i="8"/>
  <c r="N1233" i="8"/>
  <c r="N1232" i="8"/>
  <c r="N1231" i="8"/>
  <c r="N1230" i="8"/>
  <c r="N1229" i="8"/>
  <c r="N1228" i="8"/>
  <c r="N1227" i="8"/>
  <c r="N1226" i="8"/>
  <c r="N1225" i="8"/>
  <c r="N1224" i="8"/>
  <c r="N1223" i="8"/>
  <c r="N1222" i="8"/>
  <c r="N1221" i="8"/>
  <c r="N1220" i="8"/>
  <c r="N1219" i="8"/>
  <c r="N1218" i="8"/>
  <c r="N1217" i="8"/>
  <c r="N1216" i="8"/>
  <c r="N1215" i="8"/>
  <c r="N1214" i="8"/>
  <c r="N1213" i="8"/>
  <c r="N1212" i="8"/>
  <c r="N1211" i="8"/>
  <c r="N1210" i="8"/>
  <c r="N1209" i="8"/>
  <c r="N1208" i="8"/>
  <c r="N1207" i="8"/>
  <c r="N1206" i="8"/>
  <c r="N1205" i="8"/>
  <c r="N1204" i="8"/>
  <c r="N1203" i="8"/>
  <c r="N1202" i="8"/>
  <c r="N1201" i="8"/>
  <c r="N1200" i="8"/>
  <c r="N1199" i="8"/>
  <c r="N1198" i="8"/>
  <c r="N1197" i="8"/>
  <c r="N1196" i="8"/>
  <c r="N1195" i="8"/>
  <c r="N1194" i="8"/>
  <c r="N1193" i="8"/>
  <c r="N1192" i="8"/>
  <c r="N1191" i="8"/>
  <c r="N1190" i="8"/>
  <c r="N1189" i="8"/>
  <c r="N1188" i="8"/>
  <c r="N1187" i="8"/>
  <c r="N1186" i="8"/>
  <c r="N1185" i="8"/>
  <c r="N1184" i="8"/>
  <c r="N1183" i="8"/>
  <c r="N1182" i="8"/>
  <c r="N1181" i="8"/>
  <c r="N1180" i="8"/>
  <c r="N1179" i="8"/>
  <c r="N1178" i="8"/>
  <c r="N1177" i="8"/>
  <c r="N1176" i="8"/>
  <c r="N1175" i="8"/>
  <c r="N1174" i="8"/>
  <c r="N1173" i="8"/>
  <c r="N1172" i="8"/>
  <c r="N1171" i="8"/>
  <c r="N1170" i="8"/>
  <c r="N1169" i="8"/>
  <c r="N1168" i="8"/>
  <c r="N1167" i="8"/>
  <c r="N1166" i="8"/>
  <c r="N1165" i="8"/>
  <c r="N1164" i="8"/>
  <c r="N1163" i="8"/>
  <c r="N1162" i="8"/>
  <c r="N1161" i="8"/>
  <c r="N1160" i="8"/>
  <c r="N1159" i="8"/>
  <c r="N1158" i="8"/>
  <c r="N1157" i="8"/>
  <c r="N1156" i="8"/>
  <c r="N1155" i="8"/>
  <c r="N1154" i="8"/>
  <c r="N1153" i="8"/>
  <c r="N1152" i="8"/>
  <c r="N1151" i="8"/>
  <c r="N1150" i="8"/>
  <c r="N1149" i="8"/>
  <c r="N1148" i="8"/>
  <c r="N1147" i="8"/>
  <c r="N1146" i="8"/>
  <c r="N1145" i="8"/>
  <c r="N1144" i="8"/>
  <c r="N1143" i="8"/>
  <c r="N1142" i="8"/>
  <c r="N1141" i="8"/>
  <c r="N1140" i="8"/>
  <c r="N1139" i="8"/>
  <c r="N1138" i="8"/>
  <c r="N1137" i="8"/>
  <c r="N1136" i="8"/>
  <c r="N1135" i="8"/>
  <c r="N1134" i="8"/>
  <c r="N1133" i="8"/>
  <c r="N1132" i="8"/>
  <c r="N1131" i="8"/>
  <c r="N1130" i="8"/>
  <c r="N1129" i="8"/>
  <c r="N1128" i="8"/>
  <c r="N1127" i="8"/>
  <c r="N1126" i="8"/>
  <c r="N1125" i="8"/>
  <c r="N1124" i="8"/>
  <c r="N1123" i="8"/>
  <c r="N1122" i="8"/>
  <c r="N1121" i="8"/>
  <c r="N1120" i="8"/>
  <c r="N1119" i="8"/>
  <c r="N1118" i="8"/>
  <c r="N1117" i="8"/>
  <c r="N1116" i="8"/>
  <c r="N1115" i="8"/>
  <c r="N1114" i="8"/>
  <c r="N1113" i="8"/>
  <c r="N1112" i="8"/>
  <c r="N1111" i="8"/>
  <c r="N1110" i="8"/>
  <c r="N1109" i="8"/>
  <c r="N1108" i="8"/>
  <c r="N1107" i="8"/>
  <c r="N1106" i="8"/>
  <c r="N1105" i="8"/>
  <c r="N1104" i="8"/>
  <c r="N1103" i="8"/>
  <c r="N1102" i="8"/>
  <c r="N1101" i="8"/>
  <c r="N1100" i="8"/>
  <c r="N1099" i="8"/>
  <c r="N1098" i="8"/>
  <c r="N1097" i="8"/>
  <c r="N1096" i="8"/>
  <c r="N1095" i="8"/>
  <c r="N1094" i="8"/>
  <c r="N1093" i="8"/>
  <c r="N1092" i="8"/>
  <c r="N1091" i="8"/>
  <c r="N1090" i="8"/>
  <c r="N1089" i="8"/>
  <c r="N1088" i="8"/>
  <c r="N1087" i="8"/>
  <c r="N1086" i="8"/>
  <c r="N1085" i="8"/>
  <c r="N1084" i="8"/>
  <c r="N1083" i="8"/>
  <c r="N1082" i="8"/>
  <c r="N1081" i="8"/>
  <c r="N1080" i="8"/>
  <c r="N1079" i="8"/>
  <c r="N1078" i="8"/>
  <c r="N1077" i="8"/>
  <c r="N1076" i="8"/>
  <c r="N1075" i="8"/>
  <c r="N1074" i="8"/>
  <c r="N1073" i="8"/>
  <c r="N1072" i="8"/>
  <c r="N1071" i="8"/>
  <c r="N1070" i="8"/>
  <c r="N1069" i="8"/>
  <c r="N1068" i="8"/>
  <c r="N1067" i="8"/>
  <c r="N1066" i="8"/>
  <c r="N1065" i="8"/>
  <c r="N1064" i="8"/>
  <c r="N1063" i="8"/>
  <c r="N1062" i="8"/>
  <c r="N1061" i="8"/>
  <c r="N1060" i="8"/>
  <c r="N1059" i="8"/>
  <c r="N1058" i="8"/>
  <c r="N1057" i="8"/>
  <c r="N1056" i="8"/>
  <c r="N1055" i="8"/>
  <c r="N1054" i="8"/>
  <c r="N1053" i="8"/>
  <c r="N1052" i="8"/>
  <c r="N1051" i="8"/>
  <c r="N1050" i="8"/>
  <c r="N1049" i="8"/>
  <c r="N1048" i="8"/>
  <c r="N1047" i="8"/>
  <c r="N1046" i="8"/>
  <c r="N1045" i="8"/>
  <c r="N1044" i="8"/>
  <c r="N1043" i="8"/>
  <c r="N1042" i="8"/>
  <c r="N1041" i="8"/>
  <c r="N1040" i="8"/>
  <c r="N1039" i="8"/>
  <c r="N1038" i="8"/>
  <c r="N1037" i="8"/>
  <c r="N1036" i="8"/>
  <c r="N1035" i="8"/>
  <c r="N1034" i="8"/>
  <c r="N1033" i="8"/>
  <c r="N1032" i="8"/>
  <c r="N1031" i="8"/>
  <c r="N1030" i="8"/>
  <c r="N1029" i="8"/>
  <c r="N1028" i="8"/>
  <c r="N1027" i="8"/>
  <c r="N1026" i="8"/>
  <c r="N1025" i="8"/>
  <c r="N1024" i="8"/>
  <c r="N1023" i="8"/>
  <c r="N1022" i="8"/>
  <c r="N1021" i="8"/>
  <c r="N1020" i="8"/>
  <c r="N1019" i="8"/>
  <c r="N1018" i="8"/>
  <c r="N1017" i="8"/>
  <c r="N1016" i="8"/>
  <c r="N1015" i="8"/>
  <c r="N1014" i="8"/>
  <c r="N1013" i="8"/>
  <c r="N1012" i="8"/>
  <c r="N1011" i="8"/>
  <c r="N1010" i="8"/>
  <c r="N1009" i="8"/>
  <c r="N1008" i="8"/>
  <c r="N1007" i="8"/>
  <c r="N1006" i="8"/>
  <c r="N1005" i="8"/>
  <c r="N1004" i="8"/>
  <c r="N1003" i="8"/>
  <c r="N1002" i="8"/>
  <c r="N1001" i="8"/>
  <c r="N1000" i="8"/>
  <c r="N999" i="8"/>
  <c r="N998" i="8"/>
  <c r="N997" i="8"/>
  <c r="N996" i="8"/>
  <c r="N995" i="8"/>
  <c r="N994" i="8"/>
  <c r="N993" i="8"/>
  <c r="N992" i="8"/>
  <c r="N991" i="8"/>
  <c r="N990" i="8"/>
  <c r="N989" i="8"/>
  <c r="N988" i="8"/>
  <c r="N987" i="8"/>
  <c r="N986" i="8"/>
  <c r="N985" i="8"/>
  <c r="N984" i="8"/>
  <c r="N2132" i="8"/>
  <c r="N2131" i="8"/>
  <c r="N2130" i="8"/>
  <c r="N2129" i="8"/>
  <c r="N2128" i="8"/>
  <c r="N2127" i="8"/>
  <c r="N2126" i="8"/>
  <c r="N2125" i="8"/>
  <c r="N2124" i="8"/>
  <c r="N2123" i="8"/>
  <c r="N2122" i="8"/>
  <c r="N2121" i="8"/>
  <c r="N2120" i="8"/>
  <c r="N2119" i="8"/>
  <c r="N2118" i="8"/>
  <c r="N2117" i="8"/>
  <c r="N2116" i="8"/>
  <c r="N2115" i="8"/>
  <c r="N2114" i="8"/>
  <c r="N2113" i="8"/>
  <c r="N2112" i="8"/>
  <c r="N2111" i="8"/>
  <c r="N2110" i="8"/>
  <c r="N2109" i="8"/>
  <c r="N2108" i="8"/>
  <c r="N2107" i="8"/>
  <c r="N2106" i="8"/>
  <c r="N2105" i="8"/>
  <c r="N2104" i="8"/>
  <c r="N2103" i="8"/>
  <c r="N2102" i="8"/>
  <c r="N2101" i="8"/>
  <c r="N2100" i="8"/>
  <c r="N2099" i="8"/>
  <c r="N2098" i="8"/>
  <c r="N2097" i="8"/>
  <c r="N2096" i="8"/>
  <c r="N2095" i="8"/>
  <c r="N2094" i="8"/>
  <c r="N2093" i="8"/>
  <c r="N2092" i="8"/>
  <c r="N2091" i="8"/>
  <c r="N2090" i="8"/>
  <c r="N2089" i="8"/>
  <c r="N2088" i="8"/>
  <c r="N2087" i="8"/>
  <c r="N2086" i="8"/>
  <c r="N2085" i="8"/>
  <c r="N2084" i="8"/>
  <c r="N2083" i="8"/>
  <c r="N2082" i="8"/>
  <c r="N2081" i="8"/>
  <c r="N2080" i="8"/>
  <c r="N2079" i="8"/>
  <c r="N2078" i="8"/>
  <c r="N2077" i="8"/>
  <c r="N2076" i="8"/>
  <c r="N2075" i="8"/>
  <c r="N2074" i="8"/>
  <c r="N2073" i="8"/>
  <c r="N2072" i="8"/>
  <c r="N2071" i="8"/>
  <c r="N2070" i="8"/>
  <c r="N2069" i="8"/>
  <c r="N2068" i="8"/>
  <c r="N2067" i="8"/>
  <c r="N2066" i="8"/>
  <c r="N2065" i="8"/>
  <c r="N2064" i="8"/>
  <c r="N2063" i="8"/>
  <c r="N2062" i="8"/>
  <c r="N2061" i="8"/>
  <c r="N2060" i="8"/>
  <c r="N2059" i="8"/>
  <c r="N2058" i="8"/>
  <c r="N2057" i="8"/>
  <c r="N2056" i="8"/>
  <c r="N2055" i="8"/>
  <c r="N2054" i="8"/>
  <c r="N2053" i="8"/>
  <c r="N2052" i="8"/>
  <c r="N2051" i="8"/>
  <c r="N2050" i="8"/>
  <c r="N2049" i="8"/>
  <c r="N2048" i="8"/>
  <c r="N2047" i="8"/>
  <c r="N2046" i="8"/>
  <c r="N2045" i="8"/>
  <c r="N2044" i="8"/>
  <c r="N2043" i="8"/>
  <c r="N2042" i="8"/>
  <c r="N2041" i="8"/>
  <c r="N2040" i="8"/>
  <c r="N2039" i="8"/>
  <c r="N2038" i="8"/>
  <c r="N2037" i="8"/>
  <c r="N2036" i="8"/>
  <c r="N2035" i="8"/>
  <c r="N2034" i="8"/>
  <c r="N2033" i="8"/>
  <c r="N2032" i="8"/>
  <c r="N2031" i="8"/>
  <c r="N2030" i="8"/>
  <c r="N2029" i="8"/>
  <c r="N2028" i="8"/>
  <c r="N2027" i="8"/>
  <c r="N2026" i="8"/>
  <c r="N2025" i="8"/>
  <c r="N2024" i="8"/>
  <c r="N2023" i="8"/>
  <c r="N2022" i="8"/>
  <c r="N2021" i="8"/>
  <c r="N2020" i="8"/>
  <c r="N2019" i="8"/>
  <c r="N2018" i="8"/>
  <c r="N2017" i="8"/>
  <c r="N2016" i="8"/>
  <c r="N2015" i="8"/>
  <c r="N2014" i="8"/>
  <c r="N2013" i="8"/>
  <c r="N2012" i="8"/>
  <c r="N2011" i="8"/>
  <c r="N2010" i="8"/>
  <c r="N2009" i="8"/>
  <c r="N2008" i="8"/>
  <c r="N2007" i="8"/>
  <c r="N2006" i="8"/>
  <c r="N2005" i="8"/>
  <c r="N2004" i="8"/>
  <c r="N2003" i="8"/>
  <c r="N2002" i="8"/>
  <c r="N2001" i="8"/>
  <c r="N2000" i="8"/>
  <c r="N1999" i="8"/>
  <c r="N1998" i="8"/>
  <c r="N1997" i="8"/>
  <c r="N1996" i="8"/>
  <c r="N1995" i="8"/>
  <c r="N1994" i="8"/>
  <c r="N1993" i="8"/>
  <c r="N1992" i="8"/>
  <c r="N1991" i="8"/>
  <c r="N1990" i="8"/>
  <c r="N1989" i="8"/>
  <c r="N1988" i="8"/>
  <c r="N1987" i="8"/>
  <c r="N1986" i="8"/>
  <c r="N1985" i="8"/>
  <c r="N1984" i="8"/>
  <c r="N1983" i="8"/>
  <c r="N1982" i="8"/>
  <c r="N1981" i="8"/>
  <c r="N1980" i="8"/>
  <c r="N1979" i="8"/>
  <c r="N1978" i="8"/>
  <c r="N1977" i="8"/>
  <c r="N1976" i="8"/>
  <c r="N1975" i="8"/>
  <c r="N1974" i="8"/>
  <c r="N1973" i="8"/>
  <c r="N1972" i="8"/>
  <c r="N1971" i="8"/>
  <c r="N1970" i="8"/>
  <c r="N1969" i="8"/>
  <c r="N1968" i="8"/>
  <c r="N1967" i="8"/>
  <c r="N1966" i="8"/>
  <c r="N1965" i="8"/>
  <c r="N1964" i="8"/>
  <c r="N1963" i="8"/>
  <c r="N1962" i="8"/>
  <c r="N1961" i="8"/>
  <c r="N1960" i="8"/>
  <c r="N1959" i="8"/>
  <c r="N1958" i="8"/>
  <c r="N1957" i="8"/>
  <c r="N1956" i="8"/>
  <c r="N1955" i="8"/>
  <c r="N1954" i="8"/>
  <c r="N1953" i="8"/>
  <c r="N1952" i="8"/>
  <c r="N1951" i="8"/>
  <c r="N1950" i="8"/>
  <c r="N1949" i="8"/>
  <c r="N1948" i="8"/>
  <c r="N1947" i="8"/>
  <c r="N1946" i="8"/>
  <c r="N1945" i="8"/>
  <c r="N1944" i="8"/>
  <c r="N1943" i="8"/>
  <c r="N1942" i="8"/>
  <c r="N1941" i="8"/>
  <c r="N1940" i="8"/>
  <c r="N1939" i="8"/>
  <c r="N1938" i="8"/>
  <c r="N1937" i="8"/>
  <c r="N1936" i="8"/>
  <c r="N1935" i="8"/>
  <c r="N1934" i="8"/>
  <c r="N1933" i="8"/>
  <c r="N1932" i="8"/>
  <c r="N1931" i="8"/>
  <c r="N1930" i="8"/>
  <c r="N1929" i="8"/>
  <c r="N1928" i="8"/>
  <c r="N1927" i="8"/>
  <c r="N1926" i="8"/>
  <c r="N1925" i="8"/>
  <c r="N1924" i="8"/>
  <c r="N1923" i="8"/>
  <c r="N1922" i="8"/>
  <c r="N1921" i="8"/>
  <c r="N1920" i="8"/>
  <c r="N1919" i="8"/>
  <c r="N1918" i="8"/>
  <c r="N1917" i="8"/>
  <c r="N1916" i="8"/>
  <c r="N1915" i="8"/>
  <c r="N1914" i="8"/>
  <c r="N1913" i="8"/>
  <c r="N1912" i="8"/>
  <c r="N1911" i="8"/>
  <c r="N1910" i="8"/>
  <c r="N1909" i="8"/>
  <c r="N1908" i="8"/>
  <c r="N1907" i="8"/>
  <c r="N1906" i="8"/>
  <c r="N1905" i="8"/>
  <c r="N1904" i="8"/>
  <c r="N1903" i="8"/>
  <c r="N1902" i="8"/>
  <c r="N1901" i="8"/>
  <c r="N1900" i="8"/>
  <c r="N1899" i="8"/>
  <c r="N1898" i="8"/>
  <c r="N1897" i="8"/>
  <c r="N1896" i="8"/>
  <c r="N1895" i="8"/>
  <c r="N1894" i="8"/>
  <c r="N1893" i="8"/>
  <c r="N1892" i="8"/>
  <c r="N1891" i="8"/>
  <c r="N1890" i="8"/>
  <c r="N1889" i="8"/>
  <c r="N1888" i="8"/>
  <c r="N1887" i="8"/>
  <c r="N1886" i="8"/>
  <c r="N1885" i="8"/>
  <c r="N1884" i="8"/>
  <c r="N1883" i="8"/>
  <c r="N1882" i="8"/>
  <c r="N1881" i="8"/>
  <c r="N1880" i="8"/>
  <c r="N1879" i="8"/>
  <c r="N1878" i="8"/>
  <c r="N1877" i="8"/>
  <c r="N1876" i="8"/>
  <c r="N1875" i="8"/>
  <c r="N1874" i="8"/>
  <c r="N1873" i="8"/>
  <c r="N1872" i="8"/>
  <c r="N1871" i="8"/>
  <c r="N1870" i="8"/>
  <c r="N1869" i="8"/>
  <c r="N1868" i="8"/>
  <c r="N1867" i="8"/>
  <c r="N1866" i="8"/>
  <c r="N1865" i="8"/>
  <c r="N1864" i="8"/>
  <c r="N1863" i="8"/>
  <c r="N1862" i="8"/>
  <c r="N1861" i="8"/>
  <c r="N1860" i="8"/>
  <c r="N1859" i="8"/>
  <c r="N1858" i="8"/>
  <c r="N1857" i="8"/>
  <c r="N1856" i="8"/>
  <c r="N1855" i="8"/>
  <c r="N1854" i="8"/>
  <c r="N1853" i="8"/>
  <c r="N1852" i="8"/>
  <c r="N1851" i="8"/>
  <c r="N1850" i="8"/>
  <c r="N1849" i="8"/>
  <c r="N1848" i="8"/>
  <c r="N1847" i="8"/>
  <c r="N1846" i="8"/>
  <c r="N1845" i="8"/>
  <c r="N1844" i="8"/>
  <c r="N1843" i="8"/>
  <c r="N1842" i="8"/>
  <c r="N1841" i="8"/>
  <c r="N1840" i="8"/>
  <c r="N1839" i="8"/>
  <c r="N1838" i="8"/>
  <c r="N1837" i="8"/>
  <c r="N1836" i="8"/>
  <c r="N1835" i="8"/>
  <c r="N1834" i="8"/>
  <c r="N1833" i="8"/>
  <c r="N1832" i="8"/>
  <c r="N1831" i="8"/>
  <c r="N1830" i="8"/>
  <c r="N1829" i="8"/>
  <c r="N1828" i="8"/>
  <c r="N1827" i="8"/>
  <c r="N1826" i="8"/>
  <c r="N1825" i="8"/>
  <c r="N1824" i="8"/>
  <c r="N1823" i="8"/>
  <c r="N1822" i="8"/>
  <c r="N1821" i="8"/>
  <c r="N1820" i="8"/>
  <c r="N1819" i="8"/>
  <c r="N1818" i="8"/>
  <c r="N1817" i="8"/>
  <c r="N1816" i="8"/>
  <c r="N1815" i="8"/>
  <c r="N1814" i="8"/>
  <c r="N1813" i="8"/>
  <c r="N1812" i="8"/>
  <c r="N1811" i="8"/>
  <c r="N1810" i="8"/>
  <c r="N1809" i="8"/>
  <c r="N1808" i="8"/>
  <c r="N1807" i="8"/>
  <c r="N1806" i="8"/>
  <c r="N1805" i="8"/>
  <c r="N1804" i="8"/>
  <c r="N1803" i="8"/>
  <c r="N1802" i="8"/>
  <c r="N1801" i="8"/>
  <c r="N1800" i="8"/>
  <c r="N1799" i="8"/>
  <c r="N1798" i="8"/>
  <c r="N1797" i="8"/>
  <c r="N1796" i="8"/>
  <c r="N1795" i="8"/>
  <c r="N1794" i="8"/>
  <c r="N1793" i="8"/>
  <c r="N1792" i="8"/>
  <c r="N1791" i="8"/>
  <c r="N1790" i="8"/>
  <c r="N1789" i="8"/>
  <c r="N1788" i="8"/>
  <c r="N1787" i="8"/>
  <c r="N1786" i="8"/>
  <c r="N1785" i="8"/>
  <c r="N1784" i="8"/>
  <c r="N1783" i="8"/>
  <c r="N1782" i="8"/>
  <c r="N1781" i="8"/>
  <c r="N1780" i="8"/>
  <c r="N1779" i="8"/>
  <c r="N1778" i="8"/>
  <c r="N1777" i="8"/>
  <c r="N1776" i="8"/>
  <c r="N1775" i="8"/>
  <c r="N1774" i="8"/>
  <c r="N1773" i="8"/>
  <c r="N1772" i="8"/>
  <c r="N1771" i="8"/>
  <c r="N1770" i="8"/>
  <c r="N1769" i="8"/>
  <c r="N1768" i="8"/>
  <c r="N1767" i="8"/>
  <c r="N1766" i="8"/>
  <c r="N1765" i="8"/>
  <c r="N1764" i="8"/>
  <c r="N1763" i="8"/>
  <c r="N1762" i="8"/>
  <c r="N1761" i="8"/>
  <c r="N1760" i="8"/>
  <c r="N1759" i="8"/>
  <c r="N1758" i="8"/>
  <c r="N1757" i="8"/>
  <c r="N1756" i="8"/>
  <c r="N1755" i="8"/>
  <c r="N1754" i="8"/>
  <c r="N1753" i="8"/>
  <c r="N1752" i="8"/>
  <c r="N1751" i="8"/>
  <c r="N1750" i="8"/>
  <c r="N1749" i="8"/>
  <c r="N1748" i="8"/>
  <c r="N1747" i="8"/>
  <c r="N1746" i="8"/>
  <c r="N1745" i="8"/>
  <c r="N1744" i="8"/>
  <c r="N1743" i="8"/>
  <c r="N1742" i="8"/>
  <c r="N1741" i="8"/>
  <c r="N1740" i="8"/>
  <c r="N1739" i="8"/>
  <c r="N1738" i="8"/>
  <c r="N1737" i="8"/>
  <c r="N1736" i="8"/>
  <c r="N1735" i="8"/>
  <c r="N1734" i="8"/>
  <c r="N1733" i="8"/>
  <c r="N1732" i="8"/>
  <c r="N1731" i="8"/>
  <c r="N1730" i="8"/>
  <c r="N1729" i="8"/>
  <c r="N1728" i="8"/>
  <c r="N1727" i="8"/>
  <c r="N1726" i="8"/>
  <c r="N1725" i="8"/>
  <c r="N1724" i="8"/>
  <c r="N1723" i="8"/>
  <c r="N1722" i="8"/>
  <c r="N1721" i="8"/>
  <c r="N1720" i="8"/>
  <c r="N1719" i="8"/>
  <c r="N1718" i="8"/>
  <c r="N1717" i="8"/>
  <c r="N1716" i="8"/>
  <c r="N1715" i="8"/>
  <c r="N1714" i="8"/>
  <c r="N1713" i="8"/>
  <c r="N1712" i="8"/>
  <c r="N1711" i="8"/>
  <c r="N1710" i="8"/>
  <c r="N1709" i="8"/>
  <c r="N1708" i="8"/>
  <c r="N1707" i="8"/>
  <c r="N1706" i="8"/>
  <c r="N1705" i="8"/>
  <c r="N1704" i="8"/>
  <c r="N1703" i="8"/>
  <c r="N1702" i="8"/>
  <c r="N1701" i="8"/>
  <c r="N813" i="8"/>
  <c r="N712" i="8"/>
  <c r="N698" i="8"/>
  <c r="N694" i="8"/>
  <c r="N692" i="8"/>
  <c r="N691" i="8"/>
  <c r="N689" i="8"/>
  <c r="N687" i="8"/>
  <c r="N686" i="8"/>
  <c r="N684" i="8"/>
  <c r="N682" i="8"/>
  <c r="N681" i="8"/>
  <c r="N679" i="8"/>
  <c r="N677" i="8"/>
  <c r="N675" i="8"/>
  <c r="N673" i="8"/>
  <c r="N671" i="8"/>
  <c r="N669" i="8"/>
  <c r="N667" i="8"/>
  <c r="N665" i="8"/>
  <c r="N664" i="8"/>
  <c r="N662" i="8"/>
  <c r="N660" i="8"/>
  <c r="N659" i="8"/>
  <c r="N657" i="8"/>
  <c r="N655" i="8"/>
  <c r="N653" i="8"/>
  <c r="N651" i="8"/>
  <c r="N649" i="8"/>
  <c r="N647" i="8"/>
  <c r="N646" i="8"/>
  <c r="N644" i="8"/>
  <c r="N642" i="8"/>
  <c r="N640" i="8"/>
  <c r="N639" i="8"/>
  <c r="N637" i="8"/>
  <c r="N635" i="8"/>
  <c r="N633" i="8"/>
  <c r="N631" i="8"/>
  <c r="N629" i="8"/>
  <c r="N627" i="8"/>
  <c r="N625" i="8"/>
  <c r="N623" i="8"/>
  <c r="N621" i="8"/>
  <c r="N620" i="8"/>
  <c r="N618" i="8"/>
  <c r="N616" i="8"/>
  <c r="N614" i="8"/>
  <c r="N613" i="8"/>
  <c r="N611" i="8"/>
  <c r="N609" i="8"/>
  <c r="N608" i="8"/>
  <c r="N606" i="8"/>
  <c r="N604" i="8"/>
  <c r="N603" i="8"/>
  <c r="N601" i="8"/>
  <c r="N599" i="8"/>
  <c r="N597" i="8"/>
  <c r="N594" i="8"/>
  <c r="N592" i="8"/>
  <c r="N591" i="8"/>
  <c r="N589" i="8"/>
  <c r="N587" i="8"/>
  <c r="N585" i="8"/>
  <c r="N583" i="8"/>
  <c r="N581" i="8"/>
  <c r="N579" i="8"/>
  <c r="N577" i="8"/>
  <c r="N575" i="8"/>
  <c r="N573" i="8"/>
  <c r="N571" i="8"/>
  <c r="N569" i="8"/>
  <c r="N568" i="8"/>
  <c r="N566" i="8"/>
  <c r="N564" i="8"/>
  <c r="N562" i="8"/>
  <c r="N560" i="8"/>
  <c r="N558" i="8"/>
  <c r="N556" i="8"/>
  <c r="N554" i="8"/>
  <c r="N552" i="8"/>
  <c r="N551" i="8"/>
  <c r="N549" i="8"/>
  <c r="N548" i="8"/>
  <c r="N546" i="8"/>
  <c r="N544" i="8"/>
  <c r="N543" i="8"/>
  <c r="N541" i="8"/>
  <c r="N539" i="8"/>
  <c r="N538" i="8"/>
  <c r="N536" i="8"/>
  <c r="N534" i="8"/>
  <c r="N532" i="8"/>
  <c r="N531" i="8"/>
  <c r="N529" i="8"/>
  <c r="N527" i="8"/>
  <c r="N525" i="8"/>
  <c r="N523" i="8"/>
  <c r="N522" i="8"/>
  <c r="N520" i="8"/>
  <c r="N518" i="8"/>
  <c r="N517" i="8"/>
  <c r="N515" i="8"/>
  <c r="N513" i="8"/>
  <c r="N511" i="8"/>
  <c r="N510" i="8"/>
  <c r="N508" i="8"/>
  <c r="N507" i="8"/>
  <c r="N505" i="8"/>
  <c r="N503" i="8"/>
  <c r="N501" i="8"/>
  <c r="N500" i="8"/>
  <c r="N498" i="8"/>
  <c r="N497" i="8"/>
  <c r="N495" i="8"/>
  <c r="N493" i="8"/>
  <c r="N492" i="8"/>
  <c r="N490" i="8"/>
  <c r="N488" i="8"/>
  <c r="N486" i="8"/>
  <c r="N485" i="8"/>
  <c r="N483" i="8"/>
  <c r="N482" i="8"/>
  <c r="N480" i="8"/>
  <c r="N479" i="8"/>
  <c r="N477" i="8"/>
  <c r="N475" i="8"/>
  <c r="N473" i="8"/>
  <c r="N472" i="8"/>
  <c r="N470" i="8"/>
  <c r="N468" i="8"/>
  <c r="N466" i="8"/>
  <c r="N464" i="8"/>
  <c r="N462" i="8"/>
  <c r="N460" i="8"/>
  <c r="N458" i="8"/>
  <c r="N456" i="8"/>
  <c r="N454" i="8"/>
  <c r="N452" i="8"/>
  <c r="N450" i="8"/>
  <c r="N448" i="8"/>
  <c r="N447" i="8"/>
  <c r="N445" i="8"/>
  <c r="N444" i="8"/>
  <c r="N442" i="8"/>
  <c r="N440" i="8"/>
  <c r="N439" i="8"/>
  <c r="N437" i="8"/>
  <c r="N435" i="8"/>
  <c r="N433" i="8"/>
  <c r="N432" i="8"/>
  <c r="N430" i="8"/>
  <c r="N428" i="8"/>
  <c r="N426" i="8"/>
  <c r="N424" i="8"/>
  <c r="N422" i="8"/>
  <c r="N421" i="8"/>
  <c r="N419" i="8"/>
  <c r="N417" i="8"/>
  <c r="N415" i="8"/>
  <c r="N413" i="8"/>
  <c r="N412" i="8"/>
  <c r="N410" i="8"/>
  <c r="N409" i="8"/>
  <c r="N407" i="8"/>
  <c r="N405" i="8"/>
  <c r="N404" i="8"/>
  <c r="N402" i="8"/>
  <c r="N400" i="8"/>
  <c r="N398" i="8"/>
  <c r="N396" i="8"/>
  <c r="N395" i="8"/>
  <c r="N393" i="8"/>
  <c r="N391" i="8"/>
  <c r="N389" i="8"/>
  <c r="N387" i="8"/>
  <c r="N385" i="8"/>
  <c r="N383" i="8"/>
  <c r="N380" i="8"/>
  <c r="N378" i="8"/>
  <c r="N377" i="8"/>
  <c r="N375" i="8"/>
  <c r="N373" i="8"/>
  <c r="N371" i="8"/>
  <c r="N370" i="8"/>
  <c r="N368" i="8"/>
  <c r="N367" i="8"/>
  <c r="N365" i="8"/>
  <c r="N363" i="8"/>
  <c r="N361" i="8"/>
  <c r="N360" i="8"/>
  <c r="N358" i="8"/>
  <c r="N356" i="8"/>
  <c r="N355" i="8"/>
  <c r="N353" i="8"/>
  <c r="N351" i="8"/>
  <c r="N349" i="8"/>
  <c r="N347" i="8"/>
  <c r="N345" i="8"/>
  <c r="N344" i="8"/>
  <c r="N342" i="8"/>
  <c r="N340" i="8"/>
  <c r="N338" i="8"/>
  <c r="N336" i="8"/>
  <c r="N334" i="8"/>
  <c r="N333" i="8"/>
  <c r="N331" i="8"/>
  <c r="N330" i="8"/>
  <c r="N328" i="8"/>
  <c r="N327" i="8"/>
  <c r="N325" i="8"/>
  <c r="N324" i="8"/>
  <c r="N322" i="8"/>
  <c r="N320" i="8"/>
  <c r="N319" i="8"/>
  <c r="N317" i="8"/>
  <c r="N316" i="8"/>
  <c r="N314" i="8"/>
  <c r="N312" i="8"/>
  <c r="N310" i="8"/>
  <c r="N309" i="8"/>
  <c r="N307" i="8"/>
  <c r="N305" i="8"/>
  <c r="N304" i="8"/>
  <c r="N302" i="8"/>
  <c r="N301" i="8"/>
  <c r="N299" i="8"/>
  <c r="N297" i="8"/>
  <c r="N295" i="8"/>
  <c r="N294" i="8"/>
  <c r="N292" i="8"/>
  <c r="N290" i="8"/>
  <c r="N288" i="8"/>
  <c r="N286" i="8"/>
  <c r="N284" i="8"/>
  <c r="N283" i="8"/>
  <c r="N281" i="8"/>
  <c r="N279" i="8"/>
  <c r="N277" i="8"/>
  <c r="N275" i="8"/>
  <c r="N273" i="8"/>
  <c r="N271" i="8"/>
  <c r="N270" i="8"/>
  <c r="N268" i="8"/>
  <c r="N266" i="8"/>
  <c r="N264" i="8"/>
  <c r="N263" i="8"/>
  <c r="N261" i="8"/>
  <c r="N259" i="8"/>
  <c r="N258" i="8"/>
  <c r="N256" i="8"/>
  <c r="N255" i="8"/>
  <c r="N253" i="8"/>
  <c r="N251" i="8"/>
  <c r="N249" i="8"/>
  <c r="N247" i="8"/>
  <c r="N983" i="8"/>
  <c r="N982" i="8"/>
  <c r="N981" i="8"/>
  <c r="N980" i="8"/>
  <c r="N979" i="8"/>
  <c r="N978" i="8"/>
  <c r="N977" i="8"/>
  <c r="N976" i="8"/>
  <c r="N975" i="8"/>
  <c r="N974" i="8"/>
  <c r="N973" i="8"/>
  <c r="N972" i="8"/>
  <c r="N971" i="8"/>
  <c r="N970" i="8"/>
  <c r="N969" i="8"/>
  <c r="N968" i="8"/>
  <c r="N967" i="8"/>
  <c r="N966" i="8"/>
  <c r="N965" i="8"/>
  <c r="N964" i="8"/>
  <c r="N963" i="8"/>
  <c r="N962" i="8"/>
  <c r="N961" i="8"/>
  <c r="N960" i="8"/>
  <c r="N959" i="8"/>
  <c r="N958" i="8"/>
  <c r="N957" i="8"/>
  <c r="N956" i="8"/>
  <c r="N955" i="8"/>
  <c r="N954" i="8"/>
  <c r="N953" i="8"/>
  <c r="N952" i="8"/>
  <c r="N951" i="8"/>
  <c r="N950" i="8"/>
  <c r="N949" i="8"/>
  <c r="N948" i="8"/>
  <c r="N947" i="8"/>
  <c r="N946" i="8"/>
  <c r="N945" i="8"/>
  <c r="N944" i="8"/>
  <c r="N943" i="8"/>
  <c r="N942" i="8"/>
  <c r="N941" i="8"/>
  <c r="N940" i="8"/>
  <c r="N939" i="8"/>
  <c r="N938" i="8"/>
  <c r="N937" i="8"/>
  <c r="N936" i="8"/>
  <c r="N935" i="8"/>
  <c r="N934" i="8"/>
  <c r="N933" i="8"/>
  <c r="N932" i="8"/>
  <c r="N931" i="8"/>
  <c r="N930" i="8"/>
  <c r="N929" i="8"/>
  <c r="N928" i="8"/>
  <c r="N927" i="8"/>
  <c r="N926" i="8"/>
  <c r="N925" i="8"/>
  <c r="N924" i="8"/>
  <c r="N923" i="8"/>
  <c r="N922" i="8"/>
  <c r="N921" i="8"/>
  <c r="N920" i="8"/>
  <c r="N919" i="8"/>
  <c r="N918" i="8"/>
  <c r="N917" i="8"/>
  <c r="N916" i="8"/>
  <c r="N915" i="8"/>
  <c r="N914" i="8"/>
  <c r="N913" i="8"/>
  <c r="N912" i="8"/>
  <c r="N911" i="8"/>
  <c r="N910" i="8"/>
  <c r="N909" i="8"/>
  <c r="N908" i="8"/>
  <c r="N907" i="8"/>
  <c r="N906" i="8"/>
  <c r="N905" i="8"/>
  <c r="N904" i="8"/>
  <c r="N903" i="8"/>
  <c r="N902" i="8"/>
  <c r="N901" i="8"/>
  <c r="N900" i="8"/>
  <c r="N899" i="8"/>
  <c r="N898" i="8"/>
  <c r="N897" i="8"/>
  <c r="N896" i="8"/>
  <c r="N895" i="8"/>
  <c r="N894" i="8"/>
  <c r="N893" i="8"/>
  <c r="N892" i="8"/>
  <c r="N891" i="8"/>
  <c r="N890" i="8"/>
  <c r="N889" i="8"/>
  <c r="N888" i="8"/>
  <c r="N887" i="8"/>
  <c r="N886" i="8"/>
  <c r="N885" i="8"/>
  <c r="N884" i="8"/>
  <c r="N883" i="8"/>
  <c r="N882" i="8"/>
  <c r="N881" i="8"/>
  <c r="N880" i="8"/>
  <c r="N879" i="8"/>
  <c r="N878" i="8"/>
  <c r="N877" i="8"/>
  <c r="N876" i="8"/>
  <c r="N875" i="8"/>
  <c r="N874" i="8"/>
  <c r="N873" i="8"/>
  <c r="N872" i="8"/>
  <c r="N871" i="8"/>
  <c r="N870" i="8"/>
  <c r="N869" i="8"/>
  <c r="N868" i="8"/>
  <c r="N867" i="8"/>
  <c r="N866" i="8"/>
  <c r="N865" i="8"/>
  <c r="N864" i="8"/>
  <c r="N863" i="8"/>
  <c r="N862" i="8"/>
  <c r="N861" i="8"/>
  <c r="N860" i="8"/>
  <c r="N859" i="8"/>
  <c r="N858" i="8"/>
  <c r="N857" i="8"/>
  <c r="N856" i="8"/>
  <c r="N855" i="8"/>
  <c r="N854" i="8"/>
  <c r="N853" i="8"/>
  <c r="N852" i="8"/>
  <c r="N851" i="8"/>
  <c r="N850" i="8"/>
  <c r="N849" i="8"/>
  <c r="N848" i="8"/>
  <c r="N847" i="8"/>
  <c r="N846" i="8"/>
  <c r="N845" i="8"/>
  <c r="N844" i="8"/>
  <c r="N843" i="8"/>
  <c r="N842" i="8"/>
  <c r="N841" i="8"/>
  <c r="N840" i="8"/>
  <c r="N839" i="8"/>
  <c r="N838" i="8"/>
  <c r="N837" i="8"/>
  <c r="N836" i="8"/>
  <c r="N835" i="8"/>
  <c r="N834" i="8"/>
  <c r="N833" i="8"/>
  <c r="N832" i="8"/>
  <c r="N831" i="8"/>
  <c r="N830" i="8"/>
  <c r="N829" i="8"/>
  <c r="N828" i="8"/>
  <c r="N827" i="8"/>
  <c r="N826" i="8"/>
  <c r="N825" i="8"/>
  <c r="N824" i="8"/>
  <c r="N823" i="8"/>
  <c r="N822" i="8"/>
  <c r="N821" i="8"/>
  <c r="N820" i="8"/>
  <c r="N819" i="8"/>
  <c r="N818" i="8"/>
  <c r="N817" i="8"/>
  <c r="N816" i="8"/>
  <c r="N815" i="8"/>
  <c r="N814" i="8"/>
  <c r="N812" i="8"/>
  <c r="N811" i="8"/>
  <c r="N810" i="8"/>
  <c r="N809" i="8"/>
  <c r="N808" i="8"/>
  <c r="N807" i="8"/>
  <c r="N806" i="8"/>
  <c r="N805" i="8"/>
  <c r="N804" i="8"/>
  <c r="N803" i="8"/>
  <c r="N802" i="8"/>
  <c r="N801" i="8"/>
  <c r="N800" i="8"/>
  <c r="N799" i="8"/>
  <c r="N798" i="8"/>
  <c r="N797" i="8"/>
  <c r="N796" i="8"/>
  <c r="N795" i="8"/>
  <c r="N794" i="8"/>
  <c r="N793" i="8"/>
  <c r="N792" i="8"/>
  <c r="N791" i="8"/>
  <c r="N790" i="8"/>
  <c r="N789" i="8"/>
  <c r="N788" i="8"/>
  <c r="N787" i="8"/>
  <c r="N786" i="8"/>
  <c r="N785" i="8"/>
  <c r="N784" i="8"/>
  <c r="N783" i="8"/>
  <c r="N782" i="8"/>
  <c r="N781" i="8"/>
  <c r="N780" i="8"/>
  <c r="N779" i="8"/>
  <c r="N778" i="8"/>
  <c r="N777" i="8"/>
  <c r="N776" i="8"/>
  <c r="N775" i="8"/>
  <c r="N774" i="8"/>
  <c r="N773" i="8"/>
  <c r="N772" i="8"/>
  <c r="N771" i="8"/>
  <c r="N770" i="8"/>
  <c r="N769" i="8"/>
  <c r="N768" i="8"/>
  <c r="N767" i="8"/>
  <c r="N766" i="8"/>
  <c r="N765" i="8"/>
  <c r="N764" i="8"/>
  <c r="N763" i="8"/>
  <c r="N762" i="8"/>
  <c r="N761" i="8"/>
  <c r="N760" i="8"/>
  <c r="N759" i="8"/>
  <c r="N758" i="8"/>
  <c r="N757" i="8"/>
  <c r="N756" i="8"/>
  <c r="N755" i="8"/>
  <c r="N754" i="8"/>
  <c r="N753" i="8"/>
  <c r="N752" i="8"/>
  <c r="N751" i="8"/>
  <c r="N750" i="8"/>
  <c r="N749" i="8"/>
  <c r="N748" i="8"/>
  <c r="N747" i="8"/>
  <c r="N746" i="8"/>
  <c r="N745" i="8"/>
  <c r="N744" i="8"/>
  <c r="N743" i="8"/>
  <c r="N742" i="8"/>
  <c r="N741" i="8"/>
  <c r="N740" i="8"/>
  <c r="N739" i="8"/>
  <c r="N738" i="8"/>
  <c r="N737" i="8"/>
  <c r="N736" i="8"/>
  <c r="N735" i="8"/>
  <c r="N734" i="8"/>
  <c r="N733" i="8"/>
  <c r="N732" i="8"/>
  <c r="N731" i="8"/>
  <c r="N730" i="8"/>
  <c r="N729" i="8"/>
  <c r="N728" i="8"/>
  <c r="N727" i="8"/>
  <c r="N726" i="8"/>
  <c r="N725" i="8"/>
  <c r="N724" i="8"/>
  <c r="N723" i="8"/>
  <c r="N722" i="8"/>
  <c r="N721" i="8"/>
  <c r="N720" i="8"/>
  <c r="N719" i="8"/>
  <c r="N718" i="8"/>
  <c r="N717" i="8"/>
  <c r="N716" i="8"/>
  <c r="N715" i="8"/>
  <c r="N714" i="8"/>
  <c r="N713" i="8"/>
  <c r="N711" i="8"/>
  <c r="N710" i="8"/>
  <c r="N709" i="8"/>
  <c r="N708" i="8"/>
  <c r="N707" i="8"/>
  <c r="N706" i="8"/>
  <c r="N705" i="8"/>
  <c r="N704" i="8"/>
  <c r="N703" i="8"/>
  <c r="N702" i="8"/>
  <c r="N701" i="8"/>
  <c r="N700" i="8"/>
  <c r="N699" i="8"/>
  <c r="N697" i="8"/>
  <c r="N696" i="8"/>
  <c r="N695" i="8"/>
  <c r="N693" i="8"/>
  <c r="N690" i="8"/>
  <c r="N688" i="8"/>
  <c r="N685" i="8"/>
  <c r="N683" i="8"/>
  <c r="N680" i="8"/>
  <c r="N678" i="8"/>
  <c r="N676" i="8"/>
  <c r="N674" i="8"/>
  <c r="N672" i="8"/>
  <c r="N670" i="8"/>
  <c r="N668" i="8"/>
  <c r="N666" i="8"/>
  <c r="N663" i="8"/>
  <c r="N661" i="8"/>
  <c r="N658" i="8"/>
  <c r="N656" i="8"/>
  <c r="N654" i="8"/>
  <c r="N652" i="8"/>
  <c r="N650" i="8"/>
  <c r="N648" i="8"/>
  <c r="N645" i="8"/>
  <c r="N643" i="8"/>
  <c r="N641" i="8"/>
  <c r="N638" i="8"/>
  <c r="N636" i="8"/>
  <c r="N634" i="8"/>
  <c r="N632" i="8"/>
  <c r="N630" i="8"/>
  <c r="N628" i="8"/>
  <c r="N626" i="8"/>
  <c r="N624" i="8"/>
  <c r="N622" i="8"/>
  <c r="N619" i="8"/>
  <c r="N617" i="8"/>
  <c r="N615" i="8"/>
  <c r="N612" i="8"/>
  <c r="N610" i="8"/>
  <c r="N607" i="8"/>
  <c r="N605" i="8"/>
  <c r="N602" i="8"/>
  <c r="N600" i="8"/>
  <c r="N598" i="8"/>
  <c r="N596" i="8"/>
  <c r="N595" i="8"/>
  <c r="N593" i="8"/>
  <c r="N590" i="8"/>
  <c r="N588" i="8"/>
  <c r="N586" i="8"/>
  <c r="N584" i="8"/>
  <c r="N582" i="8"/>
  <c r="N580" i="8"/>
  <c r="N578" i="8"/>
  <c r="N576" i="8"/>
  <c r="N574" i="8"/>
  <c r="N572" i="8"/>
  <c r="N570" i="8"/>
  <c r="N567" i="8"/>
  <c r="N565" i="8"/>
  <c r="N563" i="8"/>
  <c r="N561" i="8"/>
  <c r="N559" i="8"/>
  <c r="N557" i="8"/>
  <c r="N555" i="8"/>
  <c r="N553" i="8"/>
  <c r="N550" i="8"/>
  <c r="N547" i="8"/>
  <c r="N545" i="8"/>
  <c r="N542" i="8"/>
  <c r="N540" i="8"/>
  <c r="N537" i="8"/>
  <c r="N535" i="8"/>
  <c r="N533" i="8"/>
  <c r="N530" i="8"/>
  <c r="N528" i="8"/>
  <c r="N526" i="8"/>
  <c r="N524" i="8"/>
  <c r="N521" i="8"/>
  <c r="N519" i="8"/>
  <c r="N516" i="8"/>
  <c r="N514" i="8"/>
  <c r="N512" i="8"/>
  <c r="N509" i="8"/>
  <c r="N506" i="8"/>
  <c r="N504" i="8"/>
  <c r="N502" i="8"/>
  <c r="N499" i="8"/>
  <c r="N496" i="8"/>
  <c r="N494" i="8"/>
  <c r="N491" i="8"/>
  <c r="N489" i="8"/>
  <c r="N487" i="8"/>
  <c r="N484" i="8"/>
  <c r="N481" i="8"/>
  <c r="N478" i="8"/>
  <c r="N476" i="8"/>
  <c r="N474" i="8"/>
  <c r="N471" i="8"/>
  <c r="N469" i="8"/>
  <c r="N467" i="8"/>
  <c r="N465" i="8"/>
  <c r="N463" i="8"/>
  <c r="N461" i="8"/>
  <c r="N459" i="8"/>
  <c r="N457" i="8"/>
  <c r="N455" i="8"/>
  <c r="N453" i="8"/>
  <c r="N451" i="8"/>
  <c r="N449" i="8"/>
  <c r="N446" i="8"/>
  <c r="N443" i="8"/>
  <c r="N441" i="8"/>
  <c r="N438" i="8"/>
  <c r="N436" i="8"/>
  <c r="N434" i="8"/>
  <c r="N431" i="8"/>
  <c r="N429" i="8"/>
  <c r="N427" i="8"/>
  <c r="N425" i="8"/>
  <c r="N423" i="8"/>
  <c r="N420" i="8"/>
  <c r="N418" i="8"/>
  <c r="N416" i="8"/>
  <c r="N414" i="8"/>
  <c r="N411" i="8"/>
  <c r="N408" i="8"/>
  <c r="N406" i="8"/>
  <c r="N403" i="8"/>
  <c r="N401" i="8"/>
  <c r="N399" i="8"/>
  <c r="N397" i="8"/>
  <c r="N394" i="8"/>
  <c r="N392" i="8"/>
  <c r="N390" i="8"/>
  <c r="N388" i="8"/>
  <c r="N386" i="8"/>
  <c r="N384" i="8"/>
  <c r="N382" i="8"/>
  <c r="N381" i="8"/>
  <c r="N379" i="8"/>
  <c r="N376" i="8"/>
  <c r="N374" i="8"/>
  <c r="N372" i="8"/>
  <c r="N369" i="8"/>
  <c r="N366" i="8"/>
  <c r="N364" i="8"/>
  <c r="N362" i="8"/>
  <c r="N359" i="8"/>
  <c r="N357" i="8"/>
  <c r="N354" i="8"/>
  <c r="N352" i="8"/>
  <c r="N350" i="8"/>
  <c r="N348" i="8"/>
  <c r="N346" i="8"/>
  <c r="N343" i="8"/>
  <c r="N341" i="8"/>
  <c r="N339" i="8"/>
  <c r="N337" i="8"/>
  <c r="N335" i="8"/>
  <c r="N332" i="8"/>
  <c r="N329" i="8"/>
  <c r="N326" i="8"/>
  <c r="N323" i="8"/>
  <c r="N321" i="8"/>
  <c r="N318" i="8"/>
  <c r="N315" i="8"/>
  <c r="N313" i="8"/>
  <c r="N311" i="8"/>
  <c r="N308" i="8"/>
  <c r="N306" i="8"/>
  <c r="N303" i="8"/>
  <c r="N300" i="8"/>
  <c r="N298" i="8"/>
  <c r="N296" i="8"/>
  <c r="N293" i="8"/>
  <c r="N291" i="8"/>
  <c r="N289" i="8"/>
  <c r="N287" i="8"/>
  <c r="N285" i="8"/>
  <c r="N282" i="8"/>
  <c r="N280" i="8"/>
  <c r="N278" i="8"/>
  <c r="N276" i="8"/>
  <c r="N274" i="8"/>
  <c r="N272" i="8"/>
  <c r="N269" i="8"/>
  <c r="N267" i="8"/>
  <c r="N265" i="8"/>
  <c r="N262" i="8"/>
  <c r="N260" i="8"/>
  <c r="N257" i="8"/>
  <c r="N254" i="8"/>
  <c r="N252" i="8"/>
  <c r="N250" i="8"/>
  <c r="N248" i="8"/>
  <c r="N246" i="8"/>
  <c r="N1700" i="8"/>
  <c r="N1699" i="8"/>
  <c r="N1698" i="8"/>
  <c r="N1697" i="8"/>
  <c r="N1696" i="8"/>
  <c r="N1695" i="8"/>
  <c r="N1694" i="8"/>
  <c r="N1693" i="8"/>
  <c r="N1692" i="8"/>
  <c r="N1691" i="8"/>
  <c r="N1690" i="8"/>
  <c r="N1689" i="8"/>
  <c r="N1688" i="8"/>
  <c r="N1687" i="8"/>
  <c r="N1686" i="8"/>
  <c r="N1685" i="8"/>
  <c r="N1684" i="8"/>
  <c r="N1683" i="8"/>
  <c r="N1682" i="8"/>
  <c r="N1681" i="8"/>
  <c r="N1680" i="8"/>
  <c r="N1679" i="8"/>
  <c r="N1678" i="8"/>
  <c r="N1677" i="8"/>
  <c r="N1676" i="8"/>
  <c r="N1675" i="8"/>
  <c r="N1674" i="8"/>
  <c r="N1673" i="8"/>
  <c r="N1672" i="8"/>
  <c r="N1671" i="8"/>
  <c r="N1670" i="8"/>
  <c r="N1669" i="8"/>
  <c r="N1668" i="8"/>
  <c r="N1667" i="8"/>
  <c r="N1666" i="8"/>
  <c r="N1665" i="8"/>
  <c r="N1664" i="8"/>
  <c r="N1663" i="8"/>
  <c r="N1662" i="8"/>
  <c r="N1661" i="8"/>
  <c r="N1660" i="8"/>
  <c r="N1659" i="8"/>
  <c r="N1658" i="8"/>
  <c r="N1657" i="8"/>
  <c r="N1656" i="8"/>
  <c r="N1655" i="8"/>
  <c r="N1654" i="8"/>
  <c r="N1653" i="8"/>
  <c r="N1652" i="8"/>
  <c r="N1651" i="8"/>
  <c r="N1650" i="8"/>
  <c r="N1649" i="8"/>
  <c r="N1648" i="8"/>
  <c r="N1647" i="8"/>
  <c r="N1646" i="8"/>
  <c r="N1645" i="8"/>
  <c r="N1644" i="8"/>
  <c r="N1643" i="8"/>
  <c r="N1642" i="8"/>
  <c r="N1641" i="8"/>
  <c r="N1640" i="8"/>
  <c r="N1639" i="8"/>
  <c r="N1638" i="8"/>
  <c r="N1637" i="8"/>
  <c r="N1636" i="8"/>
  <c r="N1635" i="8"/>
  <c r="N1634" i="8"/>
  <c r="N1633" i="8"/>
  <c r="N1632" i="8"/>
  <c r="N1631" i="8"/>
  <c r="N1630" i="8"/>
  <c r="N1629" i="8"/>
  <c r="N1628" i="8"/>
  <c r="N1627" i="8"/>
  <c r="N1626" i="8"/>
  <c r="N1625" i="8"/>
  <c r="N1624" i="8"/>
  <c r="N1623" i="8"/>
  <c r="N1622" i="8"/>
  <c r="N1621" i="8"/>
  <c r="N1620" i="8"/>
  <c r="N1619" i="8"/>
  <c r="N1618" i="8"/>
  <c r="N1617" i="8"/>
  <c r="N1616" i="8"/>
  <c r="N1615" i="8"/>
  <c r="N1614" i="8"/>
  <c r="N1613" i="8"/>
  <c r="N1612" i="8"/>
  <c r="N1611" i="8"/>
  <c r="N1610" i="8"/>
  <c r="N1609" i="8"/>
  <c r="N1608" i="8"/>
  <c r="N1607" i="8"/>
  <c r="N1606" i="8"/>
  <c r="N1605" i="8"/>
  <c r="N1604" i="8"/>
  <c r="N1603" i="8"/>
  <c r="N1602" i="8"/>
  <c r="N1601" i="8"/>
  <c r="N1600" i="8"/>
  <c r="N1599" i="8"/>
  <c r="N1598" i="8"/>
  <c r="N1597" i="8"/>
  <c r="N1596" i="8"/>
  <c r="N1595" i="8"/>
  <c r="N1594" i="8"/>
  <c r="N1593" i="8"/>
  <c r="N1592" i="8"/>
  <c r="N1591" i="8"/>
  <c r="N1590" i="8"/>
  <c r="N1589" i="8"/>
  <c r="N1588" i="8"/>
  <c r="N1587" i="8"/>
  <c r="N1586" i="8"/>
  <c r="N1585" i="8"/>
  <c r="N1584" i="8"/>
  <c r="N1583" i="8"/>
  <c r="N1582" i="8"/>
  <c r="N1581" i="8"/>
  <c r="N1580" i="8"/>
  <c r="N1579" i="8"/>
  <c r="N1578" i="8"/>
  <c r="N1577" i="8"/>
  <c r="N1576" i="8"/>
  <c r="N1575" i="8"/>
  <c r="N1574" i="8"/>
  <c r="N1573" i="8"/>
  <c r="N1572" i="8"/>
  <c r="N1571" i="8"/>
  <c r="N1570" i="8"/>
  <c r="N1569" i="8"/>
  <c r="N1568" i="8"/>
  <c r="N1567" i="8"/>
  <c r="N1566" i="8"/>
  <c r="N1565" i="8"/>
  <c r="N1564" i="8"/>
  <c r="N1563" i="8"/>
  <c r="N1562" i="8"/>
  <c r="N1561" i="8"/>
  <c r="N1560" i="8"/>
  <c r="N1559" i="8"/>
  <c r="N1558" i="8"/>
  <c r="N1557" i="8"/>
  <c r="N1556" i="8"/>
  <c r="N1555" i="8"/>
  <c r="N1554" i="8"/>
  <c r="N1553" i="8"/>
  <c r="N1552" i="8"/>
  <c r="N1551" i="8"/>
  <c r="N1550" i="8"/>
  <c r="N1549" i="8"/>
  <c r="N1548" i="8"/>
  <c r="N1547" i="8"/>
  <c r="N1546" i="8"/>
  <c r="N1545" i="8"/>
  <c r="N1544" i="8"/>
  <c r="N1543" i="8"/>
  <c r="N1542" i="8"/>
  <c r="N1541" i="8"/>
  <c r="N1540" i="8"/>
  <c r="N1539" i="8"/>
  <c r="N1538" i="8"/>
  <c r="N1537" i="8"/>
  <c r="N1536" i="8"/>
  <c r="N1535" i="8"/>
  <c r="N1534" i="8"/>
  <c r="N1533" i="8"/>
  <c r="N1532" i="8"/>
  <c r="N1531" i="8"/>
  <c r="N1530" i="8"/>
  <c r="N1529" i="8"/>
  <c r="N1528" i="8"/>
  <c r="N1527" i="8"/>
  <c r="N1526" i="8"/>
  <c r="N1525" i="8"/>
  <c r="N1524" i="8"/>
  <c r="N1523" i="8"/>
  <c r="N1522" i="8"/>
  <c r="N1521" i="8"/>
  <c r="N1520" i="8"/>
  <c r="N1519" i="8"/>
  <c r="N1518" i="8"/>
  <c r="N1517" i="8"/>
  <c r="N1516" i="8"/>
  <c r="N1515" i="8"/>
  <c r="N1514" i="8"/>
  <c r="N1513" i="8"/>
  <c r="N1512" i="8"/>
  <c r="N1511" i="8"/>
  <c r="N1510" i="8"/>
  <c r="N1509" i="8"/>
  <c r="N1508" i="8"/>
  <c r="N1507" i="8"/>
  <c r="N1506" i="8"/>
  <c r="N1505" i="8"/>
  <c r="N1504" i="8"/>
  <c r="N1503" i="8"/>
  <c r="N1502" i="8"/>
  <c r="N1501" i="8"/>
  <c r="N1500" i="8"/>
  <c r="N1499" i="8"/>
  <c r="N1498" i="8"/>
  <c r="N1497" i="8"/>
  <c r="N1496" i="8"/>
  <c r="N1495" i="8"/>
  <c r="N1494" i="8"/>
  <c r="N1493" i="8"/>
  <c r="N1492" i="8"/>
  <c r="N1491" i="8"/>
  <c r="N1490" i="8"/>
  <c r="N1489" i="8"/>
  <c r="N1488" i="8"/>
  <c r="N1487" i="8"/>
  <c r="N1486" i="8"/>
  <c r="N1485" i="8"/>
  <c r="N1484" i="8"/>
  <c r="N1483" i="8"/>
  <c r="N1482" i="8"/>
  <c r="N1481" i="8"/>
  <c r="N1480" i="8"/>
  <c r="N1479" i="8"/>
  <c r="N1478" i="8"/>
  <c r="N1477" i="8"/>
  <c r="N1476" i="8"/>
  <c r="N1475" i="8"/>
  <c r="N1474" i="8"/>
  <c r="N1473" i="8"/>
  <c r="N1472" i="8"/>
  <c r="N1471" i="8"/>
  <c r="N1470" i="8"/>
  <c r="N1469" i="8"/>
  <c r="N1468" i="8"/>
  <c r="N1467" i="8"/>
  <c r="N1466" i="8"/>
  <c r="N1465" i="8"/>
  <c r="N1464" i="8"/>
  <c r="N1463" i="8"/>
  <c r="N1462" i="8"/>
  <c r="N1461" i="8"/>
  <c r="N1460" i="8"/>
  <c r="N1459" i="8"/>
  <c r="N1458" i="8"/>
  <c r="N1457" i="8"/>
  <c r="N1456" i="8"/>
  <c r="N1455" i="8"/>
  <c r="N1454" i="8"/>
  <c r="N1453" i="8"/>
  <c r="N1452" i="8"/>
  <c r="N1451" i="8"/>
  <c r="N1450" i="8"/>
  <c r="N1449" i="8"/>
  <c r="N1448" i="8"/>
  <c r="N1447" i="8"/>
  <c r="N1446" i="8"/>
  <c r="N1445" i="8"/>
  <c r="N1444" i="8"/>
  <c r="N1443" i="8"/>
  <c r="N1442" i="8"/>
  <c r="N1441" i="8"/>
  <c r="N1440" i="8"/>
  <c r="N1439" i="8"/>
  <c r="N1438" i="8"/>
  <c r="N1437" i="8"/>
  <c r="N1436" i="8"/>
  <c r="N1435" i="8"/>
  <c r="N1434" i="8"/>
  <c r="N1433" i="8"/>
  <c r="N1432" i="8"/>
  <c r="N1431" i="8"/>
  <c r="N1430" i="8"/>
  <c r="N1429" i="8"/>
  <c r="N1428" i="8"/>
  <c r="N1427" i="8"/>
  <c r="N1426" i="8"/>
  <c r="N1425" i="8"/>
  <c r="N1424" i="8"/>
  <c r="N1423" i="8"/>
  <c r="N1422" i="8"/>
  <c r="N1421" i="8"/>
  <c r="N1420" i="8"/>
  <c r="N1419" i="8"/>
  <c r="N1418" i="8"/>
  <c r="N1417" i="8"/>
  <c r="N1416" i="8"/>
  <c r="N1415" i="8"/>
  <c r="N1414" i="8"/>
  <c r="N1413" i="8"/>
  <c r="N1412" i="8"/>
  <c r="N1411" i="8"/>
  <c r="N1410" i="8"/>
  <c r="N1409" i="8"/>
  <c r="N1408" i="8"/>
  <c r="N1407" i="8"/>
  <c r="N1406" i="8"/>
  <c r="N1405" i="8"/>
  <c r="N1404" i="8"/>
  <c r="N1403" i="8"/>
  <c r="N1402" i="8"/>
  <c r="N1401" i="8"/>
  <c r="N1400" i="8"/>
  <c r="N1399" i="8"/>
  <c r="N1398" i="8"/>
  <c r="N1397" i="8"/>
  <c r="N1396" i="8"/>
  <c r="N1395" i="8"/>
  <c r="N1394" i="8"/>
  <c r="N1393" i="8"/>
  <c r="N1392" i="8"/>
  <c r="N1391" i="8"/>
  <c r="N1390" i="8"/>
  <c r="N1389" i="8"/>
  <c r="N1388" i="8"/>
  <c r="N1387" i="8"/>
  <c r="N1386" i="8"/>
  <c r="N1385" i="8"/>
  <c r="N1384" i="8"/>
  <c r="N1383" i="8"/>
  <c r="N1382" i="8"/>
  <c r="N1381" i="8"/>
  <c r="N1380" i="8"/>
  <c r="N1379" i="8"/>
  <c r="N1378" i="8"/>
  <c r="N1377" i="8"/>
  <c r="N1376" i="8"/>
  <c r="N1375" i="8"/>
  <c r="N1374" i="8"/>
  <c r="N1373" i="8"/>
  <c r="N1372" i="8"/>
  <c r="N1371" i="8"/>
  <c r="N1370" i="8"/>
  <c r="N1369" i="8"/>
  <c r="N1368" i="8"/>
  <c r="N1367" i="8"/>
  <c r="N1366" i="8"/>
  <c r="N1365" i="8"/>
  <c r="N1364" i="8"/>
  <c r="N1363" i="8"/>
  <c r="N1362" i="8"/>
  <c r="N1361" i="8"/>
  <c r="N1360" i="8"/>
  <c r="N1359" i="8"/>
  <c r="N1358" i="8"/>
  <c r="N1357" i="8"/>
  <c r="N1356" i="8"/>
  <c r="N1355" i="8"/>
  <c r="N1354" i="8"/>
  <c r="N1353" i="8"/>
  <c r="N1352" i="8"/>
  <c r="N1351" i="8"/>
  <c r="N1350" i="8"/>
  <c r="N1349" i="8"/>
  <c r="N1348" i="8"/>
  <c r="N1347" i="8"/>
  <c r="N1346" i="8"/>
  <c r="N1345" i="8"/>
  <c r="N1344" i="8"/>
  <c r="N1343" i="8"/>
  <c r="N1342" i="8"/>
  <c r="N1341" i="8"/>
  <c r="N1340" i="8"/>
  <c r="N1339" i="8"/>
  <c r="N1338" i="8"/>
  <c r="N1337" i="8"/>
  <c r="N1336" i="8"/>
  <c r="N1335" i="8"/>
  <c r="N1334" i="8"/>
  <c r="N1333" i="8"/>
  <c r="N1332" i="8"/>
  <c r="N1331" i="8"/>
  <c r="N1330" i="8"/>
  <c r="N1329" i="8"/>
  <c r="N1328" i="8"/>
  <c r="N1327" i="8"/>
  <c r="N1326" i="8"/>
  <c r="N1325" i="8"/>
  <c r="N1324" i="8"/>
  <c r="N1323" i="8"/>
  <c r="N1322" i="8"/>
  <c r="N1321" i="8"/>
  <c r="N1320" i="8"/>
  <c r="N1319" i="8"/>
  <c r="N1318" i="8"/>
  <c r="N1317" i="8"/>
  <c r="N1316" i="8"/>
  <c r="N1315" i="8"/>
  <c r="N1314" i="8"/>
  <c r="N1313" i="8"/>
  <c r="N1312" i="8"/>
  <c r="N1311" i="8"/>
  <c r="N1310" i="8"/>
  <c r="N1309" i="8"/>
  <c r="N1308" i="8"/>
  <c r="N1307" i="8"/>
  <c r="N1306" i="8"/>
  <c r="N1305" i="8"/>
  <c r="N1304" i="8"/>
  <c r="N1303" i="8"/>
  <c r="N1302" i="8"/>
  <c r="N1301" i="8"/>
  <c r="N1300" i="8"/>
  <c r="N1299" i="8"/>
  <c r="N1298" i="8"/>
  <c r="N1297" i="8"/>
  <c r="N1296" i="8"/>
  <c r="N1295" i="8"/>
  <c r="N1294" i="8"/>
  <c r="N1293" i="8"/>
  <c r="N1292" i="8"/>
  <c r="N1291" i="8"/>
  <c r="N1290" i="8"/>
  <c r="N1289" i="8"/>
  <c r="N1288" i="8"/>
  <c r="N1287" i="8"/>
  <c r="N1286" i="8"/>
  <c r="N1285" i="8"/>
  <c r="N1284" i="8"/>
  <c r="N1283" i="8"/>
  <c r="N1282" i="8"/>
  <c r="N1281" i="8"/>
  <c r="N1280" i="8"/>
  <c r="N1279" i="8"/>
  <c r="N1278" i="8"/>
  <c r="N1277" i="8"/>
  <c r="N1276" i="8"/>
  <c r="N1275" i="8"/>
  <c r="N1274" i="8"/>
  <c r="N1273" i="8"/>
  <c r="N1272" i="8"/>
  <c r="N1271" i="8"/>
  <c r="N1270" i="8"/>
  <c r="N1269" i="8"/>
  <c r="N1268" i="8"/>
  <c r="N1267" i="8"/>
  <c r="N1266" i="8"/>
  <c r="N1265" i="8"/>
  <c r="N1264" i="8"/>
  <c r="N1263" i="8"/>
  <c r="N1262" i="8"/>
  <c r="N1261" i="8"/>
  <c r="N1260" i="8"/>
  <c r="N1259" i="8"/>
  <c r="N1258" i="8"/>
  <c r="N1257" i="8"/>
  <c r="N1256" i="8"/>
  <c r="N1255" i="8"/>
  <c r="N1254" i="8"/>
  <c r="N1253" i="8"/>
  <c r="N1252" i="8"/>
  <c r="N1251" i="8"/>
  <c r="N1250" i="8"/>
  <c r="N1249" i="8"/>
  <c r="N1248" i="8"/>
  <c r="N1247" i="8"/>
  <c r="N1246" i="8"/>
  <c r="N1245" i="8"/>
  <c r="N1244" i="8"/>
  <c r="N1243" i="8"/>
  <c r="N1242" i="8"/>
  <c r="N1241" i="8"/>
  <c r="N1240" i="8"/>
  <c r="N244" i="8"/>
  <c r="N216" i="8"/>
  <c r="N209" i="8"/>
  <c r="N205" i="8"/>
  <c r="N245" i="8"/>
  <c r="N243" i="8"/>
  <c r="N242" i="8"/>
  <c r="N241" i="8"/>
  <c r="N240" i="8"/>
  <c r="N239" i="8"/>
  <c r="N238" i="8"/>
  <c r="N237" i="8"/>
  <c r="N236" i="8"/>
  <c r="N235" i="8"/>
  <c r="N234" i="8"/>
  <c r="N233" i="8"/>
  <c r="N232" i="8"/>
  <c r="N231" i="8"/>
  <c r="N230" i="8"/>
  <c r="N229" i="8"/>
  <c r="N228" i="8"/>
  <c r="N227" i="8"/>
  <c r="N226" i="8"/>
  <c r="N225" i="8"/>
  <c r="N224" i="8"/>
  <c r="N223" i="8"/>
  <c r="N222" i="8"/>
  <c r="N221" i="8"/>
  <c r="N220" i="8"/>
  <c r="N219" i="8"/>
  <c r="N218" i="8"/>
  <c r="N217" i="8"/>
  <c r="N215" i="8"/>
  <c r="N214" i="8"/>
  <c r="N213" i="8"/>
  <c r="N212" i="8"/>
  <c r="N211" i="8"/>
  <c r="N210" i="8"/>
  <c r="N208" i="8"/>
  <c r="N207" i="8"/>
  <c r="N206" i="8"/>
  <c r="N204" i="8"/>
  <c r="N2" i="8"/>
  <c r="N203" i="8"/>
  <c r="N202" i="8"/>
  <c r="N201" i="8"/>
  <c r="N200" i="8"/>
  <c r="N199" i="8"/>
  <c r="N198" i="8"/>
  <c r="N197" i="8"/>
  <c r="N196" i="8"/>
  <c r="N195" i="8"/>
  <c r="N194" i="8"/>
  <c r="N193" i="8"/>
  <c r="N192" i="8"/>
  <c r="N191" i="8"/>
  <c r="N190" i="8"/>
  <c r="N189" i="8"/>
  <c r="N188" i="8"/>
  <c r="N187" i="8"/>
  <c r="N186" i="8"/>
  <c r="N185" i="8"/>
  <c r="N184" i="8"/>
  <c r="N183" i="8"/>
  <c r="N182" i="8"/>
  <c r="N181" i="8"/>
  <c r="N180" i="8"/>
  <c r="N179" i="8"/>
  <c r="N178" i="8"/>
  <c r="N177" i="8"/>
  <c r="N176" i="8"/>
  <c r="N175" i="8"/>
  <c r="N174" i="8"/>
  <c r="N173" i="8"/>
  <c r="N172" i="8"/>
  <c r="N171" i="8"/>
  <c r="N170" i="8"/>
  <c r="N169" i="8"/>
  <c r="N168" i="8"/>
  <c r="N167" i="8"/>
  <c r="N166" i="8"/>
  <c r="N165" i="8"/>
  <c r="N164" i="8"/>
  <c r="N163" i="8"/>
  <c r="N162" i="8"/>
  <c r="N161" i="8"/>
  <c r="N160" i="8"/>
  <c r="N159" i="8"/>
  <c r="N158" i="8"/>
  <c r="N157" i="8"/>
  <c r="N156" i="8"/>
  <c r="N155" i="8"/>
  <c r="N154" i="8"/>
  <c r="N153" i="8"/>
  <c r="N152" i="8"/>
  <c r="N151" i="8"/>
  <c r="N150" i="8"/>
  <c r="N149" i="8"/>
  <c r="N148" i="8"/>
  <c r="N147" i="8"/>
  <c r="N146" i="8"/>
  <c r="N145" i="8"/>
  <c r="N144" i="8"/>
  <c r="N143" i="8"/>
  <c r="N142" i="8"/>
  <c r="N141" i="8"/>
  <c r="N140" i="8"/>
  <c r="N139" i="8"/>
  <c r="N138" i="8"/>
  <c r="N137" i="8"/>
  <c r="N136" i="8"/>
  <c r="N135" i="8"/>
  <c r="N134" i="8"/>
  <c r="N133" i="8"/>
  <c r="N132" i="8"/>
  <c r="N131" i="8"/>
  <c r="N130" i="8"/>
  <c r="N129" i="8"/>
  <c r="N128" i="8"/>
  <c r="N127" i="8"/>
  <c r="N126" i="8"/>
  <c r="N125" i="8"/>
  <c r="N124" i="8"/>
  <c r="N123" i="8"/>
  <c r="N122" i="8"/>
  <c r="N121" i="8"/>
  <c r="N120" i="8"/>
  <c r="N119" i="8"/>
  <c r="N118" i="8"/>
  <c r="N117" i="8"/>
  <c r="N116" i="8"/>
  <c r="N115" i="8"/>
  <c r="N114" i="8"/>
  <c r="N113" i="8"/>
  <c r="N112" i="8"/>
  <c r="N111" i="8"/>
  <c r="N110" i="8"/>
  <c r="N109" i="8"/>
  <c r="N108" i="8"/>
  <c r="N107" i="8"/>
  <c r="N106" i="8"/>
  <c r="N105" i="8"/>
  <c r="N104" i="8"/>
  <c r="N103" i="8"/>
  <c r="N102" i="8"/>
  <c r="N101" i="8"/>
  <c r="N100" i="8"/>
  <c r="N99" i="8"/>
  <c r="N98" i="8"/>
  <c r="N97" i="8"/>
  <c r="N96" i="8"/>
  <c r="N95" i="8"/>
  <c r="N94" i="8"/>
  <c r="N93" i="8"/>
  <c r="N92" i="8"/>
  <c r="N91" i="8"/>
  <c r="N90" i="8"/>
  <c r="N89" i="8"/>
  <c r="N88" i="8"/>
  <c r="N87" i="8"/>
  <c r="N86" i="8"/>
  <c r="N85" i="8"/>
  <c r="N84" i="8"/>
  <c r="N83" i="8"/>
  <c r="N82" i="8"/>
  <c r="N81" i="8"/>
  <c r="N80" i="8"/>
  <c r="N79" i="8"/>
  <c r="N78" i="8"/>
  <c r="N77" i="8"/>
  <c r="N76" i="8"/>
  <c r="N75" i="8"/>
  <c r="N74" i="8"/>
  <c r="N73" i="8"/>
  <c r="N72" i="8"/>
  <c r="N71" i="8"/>
  <c r="N70" i="8"/>
  <c r="N69" i="8"/>
  <c r="N68" i="8"/>
  <c r="N67" i="8"/>
  <c r="N66" i="8"/>
  <c r="N65" i="8"/>
  <c r="N64" i="8"/>
  <c r="N63" i="8"/>
  <c r="N62" i="8"/>
  <c r="N61" i="8"/>
  <c r="N60" i="8"/>
  <c r="N59" i="8"/>
  <c r="N58" i="8"/>
  <c r="N57" i="8"/>
  <c r="N56" i="8"/>
  <c r="N55" i="8"/>
  <c r="N54" i="8"/>
  <c r="N53" i="8"/>
  <c r="N52" i="8"/>
  <c r="N51" i="8"/>
  <c r="N50" i="8"/>
  <c r="N49" i="8"/>
  <c r="N48" i="8"/>
  <c r="N47" i="8"/>
  <c r="N46" i="8"/>
  <c r="N45" i="8"/>
  <c r="N44" i="8"/>
  <c r="N43" i="8"/>
  <c r="N42" i="8"/>
  <c r="N41" i="8"/>
  <c r="N40" i="8"/>
  <c r="N39" i="8"/>
  <c r="N38" i="8"/>
  <c r="N37" i="8"/>
  <c r="N36" i="8"/>
  <c r="N35" i="8"/>
  <c r="N34" i="8"/>
  <c r="N33" i="8"/>
  <c r="N32" i="8"/>
  <c r="N31" i="8"/>
  <c r="N30" i="8"/>
  <c r="N29" i="8"/>
  <c r="N28" i="8"/>
  <c r="N27" i="8"/>
  <c r="N26" i="8"/>
  <c r="N25" i="8"/>
  <c r="N24" i="8"/>
  <c r="N23" i="8"/>
  <c r="N22" i="8"/>
  <c r="N21" i="8"/>
  <c r="N20" i="8"/>
  <c r="N19" i="8"/>
  <c r="N18" i="8"/>
  <c r="N17" i="8"/>
  <c r="N16" i="8"/>
  <c r="N15" i="8"/>
  <c r="N14" i="8"/>
  <c r="N13" i="8"/>
  <c r="N12" i="8"/>
  <c r="N11" i="8"/>
  <c r="N10" i="8"/>
  <c r="N9" i="8"/>
  <c r="N8" i="8"/>
  <c r="N7" i="8"/>
  <c r="N6" i="8"/>
  <c r="N5" i="8"/>
  <c r="N4" i="8"/>
  <c r="N3" i="8"/>
  <c r="F14" i="7"/>
  <c r="E14" i="7"/>
  <c r="A4" i="7"/>
  <c r="F1" i="7"/>
  <c r="J8" i="19" l="1"/>
  <c r="K8" i="19"/>
  <c r="D9" i="19"/>
  <c r="E229" i="21"/>
  <c r="F229" i="21" s="1"/>
  <c r="E222" i="21"/>
  <c r="F222" i="21" s="1"/>
  <c r="J9" i="19" l="1"/>
  <c r="D10" i="19"/>
  <c r="E208" i="21"/>
  <c r="F208" i="21" s="1"/>
  <c r="J10" i="19" l="1"/>
  <c r="K10" i="19"/>
  <c r="D11" i="19"/>
  <c r="E183" i="21"/>
  <c r="F183" i="21" s="1"/>
  <c r="B182" i="21"/>
  <c r="E182" i="21" s="1"/>
  <c r="F182" i="21" s="1"/>
  <c r="E181" i="21"/>
  <c r="F181" i="21" s="1"/>
  <c r="E180" i="21"/>
  <c r="F180" i="21" s="1"/>
  <c r="E179" i="21"/>
  <c r="F179" i="21" s="1"/>
  <c r="E178" i="21"/>
  <c r="F178" i="21" s="1"/>
  <c r="E177" i="21"/>
  <c r="F177" i="21" s="1"/>
  <c r="E176" i="21"/>
  <c r="F176" i="21" s="1"/>
  <c r="E175" i="21"/>
  <c r="F175" i="21" s="1"/>
  <c r="E174" i="21"/>
  <c r="F174" i="21" s="1"/>
  <c r="E169" i="21"/>
  <c r="F169" i="21" s="1"/>
  <c r="E162" i="21"/>
  <c r="F162" i="21" s="1"/>
  <c r="E148" i="21"/>
  <c r="F148" i="21" s="1"/>
  <c r="E123" i="21"/>
  <c r="F123" i="21" s="1"/>
  <c r="B122" i="21"/>
  <c r="E122" i="21" s="1"/>
  <c r="F122" i="21" s="1"/>
  <c r="E121" i="21"/>
  <c r="F121" i="21" s="1"/>
  <c r="E120" i="21"/>
  <c r="F120" i="21" s="1"/>
  <c r="E119" i="21"/>
  <c r="F119" i="21" s="1"/>
  <c r="E118" i="21"/>
  <c r="F118" i="21" s="1"/>
  <c r="E117" i="21"/>
  <c r="F117" i="21" s="1"/>
  <c r="E116" i="21"/>
  <c r="F116" i="21" s="1"/>
  <c r="E115" i="21"/>
  <c r="F115" i="21" s="1"/>
  <c r="E114" i="21"/>
  <c r="F114" i="21" s="1"/>
  <c r="J11" i="19" l="1"/>
  <c r="D12" i="19"/>
  <c r="E109" i="21"/>
  <c r="F109" i="21" s="1"/>
  <c r="E102" i="21"/>
  <c r="F102" i="21" s="1"/>
  <c r="E88" i="21"/>
  <c r="F88" i="21" s="1"/>
  <c r="E63" i="21"/>
  <c r="F63" i="21" s="1"/>
  <c r="E61" i="21"/>
  <c r="F61" i="21" s="1"/>
  <c r="E60" i="21"/>
  <c r="F60" i="21" s="1"/>
  <c r="E59" i="21"/>
  <c r="F59" i="21" s="1"/>
  <c r="E58" i="21"/>
  <c r="F58" i="21" s="1"/>
  <c r="E57" i="21"/>
  <c r="F57" i="21" s="1"/>
  <c r="E56" i="21"/>
  <c r="F56" i="21" s="1"/>
  <c r="E55" i="21"/>
  <c r="F55" i="21" s="1"/>
  <c r="E54" i="21"/>
  <c r="F54" i="21" s="1"/>
  <c r="E49" i="21"/>
  <c r="F49" i="21" s="1"/>
  <c r="C48" i="21"/>
  <c r="C47" i="21"/>
  <c r="C46" i="21"/>
  <c r="C45" i="21"/>
  <c r="C44" i="21"/>
  <c r="C43" i="21"/>
  <c r="E42" i="21"/>
  <c r="F42" i="21" s="1"/>
  <c r="C41" i="21"/>
  <c r="C101" i="21" s="1"/>
  <c r="C40" i="21"/>
  <c r="C100" i="21" s="1"/>
  <c r="C160" i="21" s="1"/>
  <c r="C220" i="21" s="1"/>
  <c r="C39" i="21"/>
  <c r="C99" i="21" s="1"/>
  <c r="C159" i="21" s="1"/>
  <c r="C219" i="21" s="1"/>
  <c r="C38" i="21"/>
  <c r="C98" i="21" s="1"/>
  <c r="C158" i="21" s="1"/>
  <c r="C218" i="21" s="1"/>
  <c r="C37" i="21"/>
  <c r="C97" i="21" s="1"/>
  <c r="C157" i="21" s="1"/>
  <c r="C217" i="21" s="1"/>
  <c r="C36" i="21"/>
  <c r="C96" i="21" s="1"/>
  <c r="C156" i="21" s="1"/>
  <c r="C216" i="21" s="1"/>
  <c r="C35" i="21"/>
  <c r="C95" i="21" s="1"/>
  <c r="C155" i="21" s="1"/>
  <c r="C34" i="21"/>
  <c r="C94" i="21" s="1"/>
  <c r="C154" i="21" s="1"/>
  <c r="C214" i="21" s="1"/>
  <c r="C33" i="21"/>
  <c r="C93" i="21" s="1"/>
  <c r="C153" i="21" s="1"/>
  <c r="C213" i="21" s="1"/>
  <c r="C32" i="21"/>
  <c r="C92" i="21" s="1"/>
  <c r="C152" i="21" s="1"/>
  <c r="C31" i="21"/>
  <c r="C91" i="21" s="1"/>
  <c r="C151" i="21" s="1"/>
  <c r="C30" i="21"/>
  <c r="C90" i="21" s="1"/>
  <c r="C150" i="21" s="1"/>
  <c r="C29" i="21"/>
  <c r="C89" i="21" s="1"/>
  <c r="C149" i="21" s="1"/>
  <c r="E28" i="21"/>
  <c r="F28" i="21" s="1"/>
  <c r="C27" i="21"/>
  <c r="C87" i="21" s="1"/>
  <c r="C147" i="21" s="1"/>
  <c r="C26" i="21"/>
  <c r="C25" i="21"/>
  <c r="C85" i="21" s="1"/>
  <c r="C145" i="21" s="1"/>
  <c r="C24" i="21"/>
  <c r="C23" i="21"/>
  <c r="C83" i="21" s="1"/>
  <c r="C143" i="21" s="1"/>
  <c r="C22" i="21"/>
  <c r="C21" i="21"/>
  <c r="C81" i="21" s="1"/>
  <c r="C20" i="21"/>
  <c r="C19" i="21"/>
  <c r="C79" i="21" s="1"/>
  <c r="C139" i="21" s="1"/>
  <c r="C18" i="21"/>
  <c r="C17" i="21"/>
  <c r="C77" i="21" s="1"/>
  <c r="C137" i="21" s="1"/>
  <c r="C16" i="21"/>
  <c r="C15" i="21"/>
  <c r="C75" i="21" s="1"/>
  <c r="C14" i="21"/>
  <c r="C13" i="21"/>
  <c r="C73" i="21" s="1"/>
  <c r="C12" i="21"/>
  <c r="C11" i="21"/>
  <c r="C71" i="21" s="1"/>
  <c r="C10" i="21"/>
  <c r="C9" i="21"/>
  <c r="C69" i="21" s="1"/>
  <c r="C129" i="21" s="1"/>
  <c r="C8" i="21"/>
  <c r="C7" i="21"/>
  <c r="C67" i="21" s="1"/>
  <c r="C6" i="21"/>
  <c r="C5" i="21"/>
  <c r="C65" i="21" s="1"/>
  <c r="C4" i="21"/>
  <c r="E3" i="21"/>
  <c r="F3" i="21" s="1"/>
  <c r="D2" i="21"/>
  <c r="D62" i="21" s="1"/>
  <c r="D122" i="21" s="1"/>
  <c r="D182" i="21" s="1"/>
  <c r="B2" i="21"/>
  <c r="E2" i="21" s="1"/>
  <c r="F2" i="21" s="1"/>
  <c r="J12" i="19" l="1"/>
  <c r="K12" i="19"/>
  <c r="D13" i="19"/>
  <c r="C125" i="21"/>
  <c r="C64" i="21"/>
  <c r="C124" i="21" s="1"/>
  <c r="C104" i="21"/>
  <c r="C164" i="21" s="1"/>
  <c r="C66" i="21"/>
  <c r="C126" i="21" s="1"/>
  <c r="C68" i="21"/>
  <c r="C128" i="21" s="1"/>
  <c r="C188" i="21" s="1"/>
  <c r="C70" i="21"/>
  <c r="C130" i="21" s="1"/>
  <c r="C190" i="21" s="1"/>
  <c r="C72" i="21"/>
  <c r="C132" i="21" s="1"/>
  <c r="C192" i="21" s="1"/>
  <c r="C74" i="21"/>
  <c r="C76" i="21"/>
  <c r="C136" i="21" s="1"/>
  <c r="C78" i="21"/>
  <c r="C138" i="21" s="1"/>
  <c r="C198" i="21" s="1"/>
  <c r="C80" i="21"/>
  <c r="C140" i="21" s="1"/>
  <c r="C82" i="21"/>
  <c r="C142" i="21" s="1"/>
  <c r="C202" i="21" s="1"/>
  <c r="C84" i="21"/>
  <c r="C86" i="21"/>
  <c r="C103" i="21"/>
  <c r="C163" i="21" s="1"/>
  <c r="C105" i="21"/>
  <c r="C165" i="21" s="1"/>
  <c r="C106" i="21"/>
  <c r="C166" i="21" s="1"/>
  <c r="C226" i="21" s="1"/>
  <c r="C107" i="21"/>
  <c r="C167" i="21" s="1"/>
  <c r="C108" i="21"/>
  <c r="C168" i="21" s="1"/>
  <c r="J13" i="19" l="1"/>
  <c r="D14" i="19"/>
  <c r="S180" i="13"/>
  <c r="S179" i="13"/>
  <c r="S178" i="13"/>
  <c r="S176" i="13"/>
  <c r="S175" i="13"/>
  <c r="N179" i="13"/>
  <c r="N177" i="13"/>
  <c r="O180" i="13"/>
  <c r="N175" i="13"/>
  <c r="O175" i="13"/>
  <c r="N178" i="13"/>
  <c r="N180" i="13"/>
  <c r="O179" i="13"/>
  <c r="M179" i="13"/>
  <c r="M176" i="13"/>
  <c r="M180" i="13"/>
  <c r="O177" i="13"/>
  <c r="M177" i="13"/>
  <c r="O178" i="13"/>
  <c r="O176" i="13"/>
  <c r="M175" i="13"/>
  <c r="N176" i="13"/>
  <c r="M178" i="13"/>
  <c r="F178" i="13"/>
  <c r="G178" i="13"/>
  <c r="G176" i="13"/>
  <c r="F179" i="13"/>
  <c r="H176" i="13"/>
  <c r="G179" i="13"/>
  <c r="G175" i="13"/>
  <c r="F176" i="13"/>
  <c r="H178" i="13"/>
  <c r="H179" i="13"/>
  <c r="F175" i="13"/>
  <c r="H175" i="13"/>
  <c r="J14" i="19" l="1"/>
  <c r="K14" i="19"/>
  <c r="D15" i="19"/>
  <c r="B177" i="13"/>
  <c r="B180" i="13"/>
  <c r="Q180" i="13" s="1"/>
  <c r="B175" i="13"/>
  <c r="Q175" i="13" s="1"/>
  <c r="S174" i="13"/>
  <c r="S173" i="13"/>
  <c r="S172" i="13"/>
  <c r="S171" i="13"/>
  <c r="S170" i="13"/>
  <c r="N173" i="13"/>
  <c r="O174" i="13"/>
  <c r="O171" i="13"/>
  <c r="N172" i="13"/>
  <c r="M174" i="13"/>
  <c r="O173" i="13"/>
  <c r="N171" i="13"/>
  <c r="O170" i="13"/>
  <c r="N170" i="13"/>
  <c r="M170" i="13"/>
  <c r="O172" i="13"/>
  <c r="N174" i="13"/>
  <c r="M171" i="13"/>
  <c r="M173" i="13"/>
  <c r="M172" i="13"/>
  <c r="H170" i="13"/>
  <c r="F172" i="13"/>
  <c r="H172" i="13"/>
  <c r="G171" i="13"/>
  <c r="G173" i="13"/>
  <c r="F170" i="13"/>
  <c r="G170" i="13"/>
  <c r="F171" i="13"/>
  <c r="H171" i="13"/>
  <c r="F173" i="13"/>
  <c r="G172" i="13"/>
  <c r="H173" i="13"/>
  <c r="J15" i="19" l="1"/>
  <c r="D16" i="19"/>
  <c r="Q177" i="13"/>
  <c r="B174" i="13"/>
  <c r="Q174" i="13" s="1"/>
  <c r="B176" i="13"/>
  <c r="S169" i="13"/>
  <c r="S168" i="13"/>
  <c r="S167" i="13"/>
  <c r="S166" i="13"/>
  <c r="O169" i="13"/>
  <c r="M168" i="13"/>
  <c r="M167" i="13"/>
  <c r="O167" i="13"/>
  <c r="N169" i="13"/>
  <c r="N168" i="13"/>
  <c r="M166" i="13"/>
  <c r="N167" i="13"/>
  <c r="O166" i="13"/>
  <c r="O168" i="13"/>
  <c r="N166" i="13"/>
  <c r="M169" i="13"/>
  <c r="H166" i="13"/>
  <c r="G166" i="13"/>
  <c r="F166" i="13"/>
  <c r="H169" i="13"/>
  <c r="G169" i="13"/>
  <c r="H167" i="13"/>
  <c r="G164" i="13"/>
  <c r="F169" i="13"/>
  <c r="H164" i="13"/>
  <c r="F167" i="13"/>
  <c r="G167" i="13"/>
  <c r="F164" i="13"/>
  <c r="Q176" i="13" l="1"/>
  <c r="B178" i="13"/>
  <c r="J16" i="19"/>
  <c r="K16" i="19"/>
  <c r="D17" i="19"/>
  <c r="B168" i="13"/>
  <c r="Q168" i="13" s="1"/>
  <c r="B170" i="13"/>
  <c r="B169" i="13"/>
  <c r="Q169" i="13" s="1"/>
  <c r="E162" i="13"/>
  <c r="E163" i="13" s="1"/>
  <c r="S160" i="13"/>
  <c r="S159" i="13"/>
  <c r="S158" i="13"/>
  <c r="S157" i="13"/>
  <c r="S156" i="13"/>
  <c r="S155" i="13"/>
  <c r="S154" i="13"/>
  <c r="S153" i="13"/>
  <c r="S152" i="13"/>
  <c r="S151" i="13"/>
  <c r="S150" i="13"/>
  <c r="F153" i="13"/>
  <c r="M155" i="13"/>
  <c r="M154" i="13"/>
  <c r="M151" i="13"/>
  <c r="O151" i="13"/>
  <c r="F155" i="13"/>
  <c r="F157" i="13"/>
  <c r="M152" i="13"/>
  <c r="F160" i="13"/>
  <c r="F156" i="13"/>
  <c r="F154" i="13"/>
  <c r="M153" i="13"/>
  <c r="F159" i="13"/>
  <c r="M150" i="13"/>
  <c r="O157" i="13"/>
  <c r="O160" i="13"/>
  <c r="N152" i="13"/>
  <c r="M160" i="13"/>
  <c r="N160" i="13"/>
  <c r="N151" i="13"/>
  <c r="O158" i="13"/>
  <c r="N153" i="13"/>
  <c r="O159" i="13"/>
  <c r="N158" i="13"/>
  <c r="O156" i="13"/>
  <c r="N157" i="13"/>
  <c r="N156" i="13"/>
  <c r="M157" i="13"/>
  <c r="O152" i="13"/>
  <c r="N150" i="13"/>
  <c r="O154" i="13"/>
  <c r="N159" i="13"/>
  <c r="F152" i="13"/>
  <c r="O150" i="13"/>
  <c r="M159" i="13"/>
  <c r="M158" i="13"/>
  <c r="M156" i="13"/>
  <c r="F158" i="13"/>
  <c r="O155" i="13"/>
  <c r="N154" i="13"/>
  <c r="N155" i="13"/>
  <c r="F151" i="13"/>
  <c r="O153" i="13"/>
  <c r="F162" i="13"/>
  <c r="F163" i="13"/>
  <c r="H162" i="13"/>
  <c r="H163" i="13"/>
  <c r="G162" i="13"/>
  <c r="G163" i="13"/>
  <c r="Q170" i="13" l="1"/>
  <c r="B171" i="13"/>
  <c r="Q178" i="13"/>
  <c r="B179" i="13"/>
  <c r="Q179" i="13" s="1"/>
  <c r="J17" i="19"/>
  <c r="D18" i="19"/>
  <c r="E178" i="13"/>
  <c r="D178" i="13" s="1"/>
  <c r="C178" i="13" s="1"/>
  <c r="E179" i="13"/>
  <c r="D179" i="13" s="1"/>
  <c r="C179" i="13" s="1"/>
  <c r="C180" i="13" s="1"/>
  <c r="E175" i="13"/>
  <c r="D175" i="13" s="1"/>
  <c r="C175" i="13" s="1"/>
  <c r="E176" i="13"/>
  <c r="D176" i="13" s="1"/>
  <c r="C176" i="13" s="1"/>
  <c r="C177" i="13" s="1"/>
  <c r="E173" i="13"/>
  <c r="D173" i="13" s="1"/>
  <c r="C173" i="13" s="1"/>
  <c r="C174" i="13" s="1"/>
  <c r="E171" i="13"/>
  <c r="D171" i="13" s="1"/>
  <c r="C171" i="13" s="1"/>
  <c r="E172" i="13"/>
  <c r="D172" i="13" s="1"/>
  <c r="C172" i="13" s="1"/>
  <c r="E170" i="13"/>
  <c r="D170" i="13" s="1"/>
  <c r="C170" i="13" s="1"/>
  <c r="E166" i="13"/>
  <c r="D166" i="13" s="1"/>
  <c r="C166" i="13" s="1"/>
  <c r="E164" i="13"/>
  <c r="D164" i="13" s="1"/>
  <c r="C164" i="13" s="1"/>
  <c r="E169" i="13"/>
  <c r="D169" i="13" s="1"/>
  <c r="C169" i="13" s="1"/>
  <c r="E167" i="13"/>
  <c r="D167" i="13" s="1"/>
  <c r="C167" i="13" s="1"/>
  <c r="C168" i="13" s="1"/>
  <c r="D163" i="13"/>
  <c r="C163" i="13" s="1"/>
  <c r="G151" i="13"/>
  <c r="D162" i="13"/>
  <c r="C162" i="13" s="1"/>
  <c r="T147" i="13"/>
  <c r="S147" i="13"/>
  <c r="V146" i="13"/>
  <c r="T146" i="13"/>
  <c r="T144" i="13"/>
  <c r="S144" i="13"/>
  <c r="V143" i="13"/>
  <c r="T143" i="13"/>
  <c r="S141" i="13"/>
  <c r="S140" i="13"/>
  <c r="S139" i="13"/>
  <c r="S138" i="13"/>
  <c r="S137" i="13"/>
  <c r="S136" i="13"/>
  <c r="S135" i="13"/>
  <c r="S134" i="13"/>
  <c r="S133" i="13"/>
  <c r="S132" i="13"/>
  <c r="S131" i="13"/>
  <c r="S130" i="13"/>
  <c r="S129" i="13"/>
  <c r="S128" i="13"/>
  <c r="S127" i="13"/>
  <c r="S126" i="13"/>
  <c r="S125" i="13"/>
  <c r="S124" i="13"/>
  <c r="S123" i="13"/>
  <c r="S122" i="13"/>
  <c r="S121" i="13"/>
  <c r="S120" i="13"/>
  <c r="S119" i="13"/>
  <c r="M134" i="13"/>
  <c r="F131" i="13"/>
  <c r="G158" i="13"/>
  <c r="O137" i="13"/>
  <c r="O147" i="13"/>
  <c r="N121" i="13"/>
  <c r="N134" i="13"/>
  <c r="M139" i="13"/>
  <c r="N140" i="13"/>
  <c r="F124" i="13"/>
  <c r="F126" i="13"/>
  <c r="N133" i="13"/>
  <c r="M137" i="13"/>
  <c r="O130" i="13"/>
  <c r="M133" i="13"/>
  <c r="O129" i="13"/>
  <c r="M141" i="13"/>
  <c r="M127" i="13"/>
  <c r="F123" i="13"/>
  <c r="G152" i="13"/>
  <c r="N131" i="13"/>
  <c r="F144" i="13"/>
  <c r="G157" i="13"/>
  <c r="O127" i="13"/>
  <c r="M124" i="13"/>
  <c r="F147" i="13"/>
  <c r="M136" i="13"/>
  <c r="F119" i="13"/>
  <c r="M131" i="13"/>
  <c r="G155" i="13"/>
  <c r="O128" i="13"/>
  <c r="F132" i="13"/>
  <c r="G160" i="13"/>
  <c r="F136" i="13"/>
  <c r="F139" i="13"/>
  <c r="F140" i="13"/>
  <c r="M135" i="13"/>
  <c r="N123" i="13"/>
  <c r="M125" i="13"/>
  <c r="M147" i="13"/>
  <c r="O133" i="13"/>
  <c r="F128" i="13"/>
  <c r="F122" i="13"/>
  <c r="F127" i="13"/>
  <c r="O135" i="13"/>
  <c r="O121" i="13"/>
  <c r="O126" i="13"/>
  <c r="M121" i="13"/>
  <c r="N128" i="13"/>
  <c r="O131" i="13"/>
  <c r="F150" i="13"/>
  <c r="M128" i="13"/>
  <c r="M130" i="13"/>
  <c r="N119" i="13"/>
  <c r="F121" i="13"/>
  <c r="O132" i="13"/>
  <c r="N124" i="13"/>
  <c r="N129" i="13"/>
  <c r="O141" i="13"/>
  <c r="M119" i="13"/>
  <c r="O124" i="13"/>
  <c r="N137" i="13"/>
  <c r="O120" i="13"/>
  <c r="M122" i="13"/>
  <c r="M138" i="13"/>
  <c r="M120" i="13"/>
  <c r="M140" i="13"/>
  <c r="O139" i="13"/>
  <c r="N147" i="13"/>
  <c r="F138" i="13"/>
  <c r="N144" i="13"/>
  <c r="G154" i="13"/>
  <c r="F137" i="13"/>
  <c r="N136" i="13"/>
  <c r="F130" i="13"/>
  <c r="M144" i="13"/>
  <c r="F141" i="13"/>
  <c r="O140" i="13"/>
  <c r="O134" i="13"/>
  <c r="G159" i="13"/>
  <c r="O136" i="13"/>
  <c r="F129" i="13"/>
  <c r="N135" i="13"/>
  <c r="N127" i="13"/>
  <c r="N130" i="13"/>
  <c r="N132" i="13"/>
  <c r="F120" i="13"/>
  <c r="N141" i="13"/>
  <c r="O125" i="13"/>
  <c r="O123" i="13"/>
  <c r="F133" i="13"/>
  <c r="N125" i="13"/>
  <c r="O119" i="13"/>
  <c r="N122" i="13"/>
  <c r="F134" i="13"/>
  <c r="F125" i="13"/>
  <c r="O144" i="13"/>
  <c r="M132" i="13"/>
  <c r="O138" i="13"/>
  <c r="N138" i="13"/>
  <c r="M126" i="13"/>
  <c r="N120" i="13"/>
  <c r="N139" i="13"/>
  <c r="M123" i="13"/>
  <c r="M129" i="13"/>
  <c r="N126" i="13"/>
  <c r="O122" i="13"/>
  <c r="F135" i="13"/>
  <c r="G153" i="13"/>
  <c r="G156" i="13"/>
  <c r="Q171" i="13" l="1"/>
  <c r="B172" i="13"/>
  <c r="J18" i="19"/>
  <c r="K18" i="19"/>
  <c r="D19" i="19"/>
  <c r="G150" i="13"/>
  <c r="G125" i="13"/>
  <c r="S118" i="13"/>
  <c r="G141" i="13"/>
  <c r="G134" i="13"/>
  <c r="M118" i="13"/>
  <c r="F118" i="13"/>
  <c r="G128" i="13"/>
  <c r="G120" i="13"/>
  <c r="O118" i="13"/>
  <c r="N118" i="13"/>
  <c r="G123" i="13"/>
  <c r="G133" i="13"/>
  <c r="G122" i="13"/>
  <c r="G144" i="13"/>
  <c r="G136" i="13"/>
  <c r="G124" i="13"/>
  <c r="G119" i="13"/>
  <c r="G140" i="13"/>
  <c r="G147" i="13"/>
  <c r="G129" i="13"/>
  <c r="G130" i="13"/>
  <c r="G126" i="13"/>
  <c r="G135" i="13"/>
  <c r="G138" i="13"/>
  <c r="G127" i="13"/>
  <c r="G137" i="13"/>
  <c r="G121" i="13"/>
  <c r="G132" i="13"/>
  <c r="G139" i="13"/>
  <c r="G131" i="13"/>
  <c r="Q172" i="13" l="1"/>
  <c r="B173" i="13"/>
  <c r="Q173" i="13" s="1"/>
  <c r="J19" i="19"/>
  <c r="D20" i="19"/>
  <c r="S117" i="13"/>
  <c r="S116" i="13"/>
  <c r="S115" i="13"/>
  <c r="S114" i="13"/>
  <c r="S113" i="13"/>
  <c r="S112" i="13"/>
  <c r="S111" i="13"/>
  <c r="S110" i="13"/>
  <c r="S109" i="13"/>
  <c r="S108" i="13"/>
  <c r="S107" i="13"/>
  <c r="S106" i="13"/>
  <c r="S105" i="13"/>
  <c r="S104" i="13"/>
  <c r="S102" i="13"/>
  <c r="S100" i="13"/>
  <c r="S99" i="13"/>
  <c r="S98" i="13"/>
  <c r="S97" i="13"/>
  <c r="S96" i="13"/>
  <c r="S95" i="13"/>
  <c r="S94" i="13"/>
  <c r="S93" i="13"/>
  <c r="S92" i="13"/>
  <c r="S91" i="13"/>
  <c r="S90" i="13"/>
  <c r="S89" i="13"/>
  <c r="S88" i="13"/>
  <c r="S87" i="13"/>
  <c r="S86" i="13"/>
  <c r="S85" i="13"/>
  <c r="S84" i="13"/>
  <c r="S83" i="13"/>
  <c r="S82" i="13"/>
  <c r="S81" i="13"/>
  <c r="S80" i="13"/>
  <c r="S79" i="13"/>
  <c r="S78" i="13"/>
  <c r="S77" i="13"/>
  <c r="S76" i="13"/>
  <c r="S75" i="13"/>
  <c r="S74" i="13"/>
  <c r="S73" i="13"/>
  <c r="S72" i="13"/>
  <c r="T69" i="13"/>
  <c r="S69" i="13"/>
  <c r="V68" i="13"/>
  <c r="T68" i="13"/>
  <c r="S67" i="13"/>
  <c r="T65" i="13"/>
  <c r="S65" i="13"/>
  <c r="V64" i="13"/>
  <c r="T64" i="13"/>
  <c r="S62" i="13"/>
  <c r="S61" i="13"/>
  <c r="S60" i="13"/>
  <c r="S59" i="13"/>
  <c r="S58" i="13"/>
  <c r="S57" i="13"/>
  <c r="S56" i="13"/>
  <c r="S55" i="13"/>
  <c r="J20" i="19" l="1"/>
  <c r="K20" i="19"/>
  <c r="D21" i="19"/>
  <c r="S54" i="13"/>
  <c r="S53" i="13"/>
  <c r="S52" i="13"/>
  <c r="S51" i="13"/>
  <c r="S50" i="13"/>
  <c r="S49" i="13"/>
  <c r="S48" i="13"/>
  <c r="S47" i="13"/>
  <c r="S46" i="13"/>
  <c r="S45" i="13"/>
  <c r="S44" i="13"/>
  <c r="S43" i="13"/>
  <c r="S42" i="13"/>
  <c r="S41" i="13"/>
  <c r="S40" i="13"/>
  <c r="S39" i="13"/>
  <c r="S38" i="13"/>
  <c r="S37" i="13"/>
  <c r="S36" i="13"/>
  <c r="S35" i="13"/>
  <c r="S34" i="13"/>
  <c r="O76" i="13"/>
  <c r="M42" i="13"/>
  <c r="N57" i="13"/>
  <c r="F88" i="13"/>
  <c r="O74" i="13"/>
  <c r="F117" i="13"/>
  <c r="N102" i="13"/>
  <c r="N114" i="13"/>
  <c r="N45" i="13"/>
  <c r="F90" i="13"/>
  <c r="N83" i="13"/>
  <c r="N109" i="13"/>
  <c r="O56" i="13"/>
  <c r="M34" i="13"/>
  <c r="N79" i="13"/>
  <c r="M84" i="13"/>
  <c r="F97" i="13"/>
  <c r="M60" i="13"/>
  <c r="M35" i="13"/>
  <c r="N54" i="13"/>
  <c r="N56" i="13"/>
  <c r="O45" i="13"/>
  <c r="N50" i="13"/>
  <c r="N93" i="13"/>
  <c r="F42" i="13"/>
  <c r="M52" i="13"/>
  <c r="O86" i="13"/>
  <c r="F110" i="13"/>
  <c r="N80" i="13"/>
  <c r="F40" i="13"/>
  <c r="M56" i="13"/>
  <c r="M89" i="13"/>
  <c r="O59" i="13"/>
  <c r="M78" i="13"/>
  <c r="N116" i="13"/>
  <c r="O91" i="13"/>
  <c r="F72" i="13"/>
  <c r="M50" i="13"/>
  <c r="O42" i="13"/>
  <c r="F77" i="13"/>
  <c r="N76" i="13"/>
  <c r="F75" i="13"/>
  <c r="F51" i="13"/>
  <c r="F76" i="13"/>
  <c r="M41" i="13"/>
  <c r="M116" i="13"/>
  <c r="F83" i="13"/>
  <c r="F87" i="13"/>
  <c r="N88" i="13"/>
  <c r="O65" i="13"/>
  <c r="O80" i="13"/>
  <c r="F116" i="13"/>
  <c r="O113" i="13"/>
  <c r="M36" i="13"/>
  <c r="F45" i="13"/>
  <c r="M39" i="13"/>
  <c r="O62" i="13"/>
  <c r="N86" i="13"/>
  <c r="N43" i="13"/>
  <c r="F91" i="13"/>
  <c r="O69" i="13"/>
  <c r="N99" i="13"/>
  <c r="F94" i="13"/>
  <c r="O94" i="13"/>
  <c r="M61" i="13"/>
  <c r="M58" i="13"/>
  <c r="M95" i="13"/>
  <c r="M47" i="13"/>
  <c r="F79" i="13"/>
  <c r="O95" i="13"/>
  <c r="F86" i="13"/>
  <c r="O77" i="13"/>
  <c r="M49" i="13"/>
  <c r="N95" i="13"/>
  <c r="M86" i="13"/>
  <c r="N73" i="13"/>
  <c r="O115" i="13"/>
  <c r="O117" i="13"/>
  <c r="N105" i="13"/>
  <c r="O85" i="13"/>
  <c r="O106" i="13"/>
  <c r="F73" i="13"/>
  <c r="M110" i="13"/>
  <c r="O50" i="13"/>
  <c r="O34" i="13"/>
  <c r="N91" i="13"/>
  <c r="N37" i="13"/>
  <c r="M102" i="13"/>
  <c r="N39" i="13"/>
  <c r="O40" i="13"/>
  <c r="M87" i="13"/>
  <c r="M53" i="13"/>
  <c r="F115" i="13"/>
  <c r="M44" i="13"/>
  <c r="M48" i="13"/>
  <c r="N53" i="13"/>
  <c r="N60" i="13"/>
  <c r="N75" i="13"/>
  <c r="O35" i="13"/>
  <c r="M40" i="13"/>
  <c r="O75" i="13"/>
  <c r="N52" i="13"/>
  <c r="F55" i="13"/>
  <c r="F107" i="13"/>
  <c r="N46" i="13"/>
  <c r="N89" i="13"/>
  <c r="N81" i="13"/>
  <c r="M82" i="13"/>
  <c r="O55" i="13"/>
  <c r="N117" i="13"/>
  <c r="M98" i="13"/>
  <c r="O88" i="13"/>
  <c r="N65" i="13"/>
  <c r="O79" i="13"/>
  <c r="O81" i="13"/>
  <c r="F108" i="13"/>
  <c r="F106" i="13"/>
  <c r="F58" i="13"/>
  <c r="F39" i="13"/>
  <c r="O51" i="13"/>
  <c r="N74" i="13"/>
  <c r="O43" i="13"/>
  <c r="F48" i="13"/>
  <c r="O47" i="13"/>
  <c r="O89" i="13"/>
  <c r="M113" i="13"/>
  <c r="O98" i="13"/>
  <c r="O108" i="13"/>
  <c r="F36" i="13"/>
  <c r="M111" i="13"/>
  <c r="N96" i="13"/>
  <c r="F56" i="13"/>
  <c r="O84" i="13"/>
  <c r="N47" i="13"/>
  <c r="N92" i="13"/>
  <c r="O54" i="13"/>
  <c r="N49" i="13"/>
  <c r="N110" i="13"/>
  <c r="N106" i="13"/>
  <c r="N59" i="13"/>
  <c r="N48" i="13"/>
  <c r="N62" i="13"/>
  <c r="F59" i="13"/>
  <c r="F105" i="13"/>
  <c r="F82" i="13"/>
  <c r="M109" i="13"/>
  <c r="N41" i="13"/>
  <c r="N40" i="13"/>
  <c r="N61" i="13"/>
  <c r="N97" i="13"/>
  <c r="O109" i="13"/>
  <c r="M51" i="13"/>
  <c r="F47" i="13"/>
  <c r="O53" i="13"/>
  <c r="O114" i="13"/>
  <c r="N100" i="13"/>
  <c r="M88" i="13"/>
  <c r="N77" i="13"/>
  <c r="M69" i="13"/>
  <c r="O92" i="13"/>
  <c r="F57" i="13"/>
  <c r="F113" i="13"/>
  <c r="F65" i="13"/>
  <c r="F74" i="13"/>
  <c r="M97" i="13"/>
  <c r="M80" i="13"/>
  <c r="M54" i="13"/>
  <c r="F38" i="13"/>
  <c r="F37" i="13"/>
  <c r="M90" i="13"/>
  <c r="O82" i="13"/>
  <c r="F95" i="13"/>
  <c r="O38" i="13"/>
  <c r="O37" i="13"/>
  <c r="M107" i="13"/>
  <c r="N87" i="13"/>
  <c r="M92" i="13"/>
  <c r="F49" i="13"/>
  <c r="F43" i="13"/>
  <c r="N78" i="13"/>
  <c r="F80" i="13"/>
  <c r="O61" i="13"/>
  <c r="O110" i="13"/>
  <c r="N107" i="13"/>
  <c r="F41" i="13"/>
  <c r="O90" i="13"/>
  <c r="M94" i="13"/>
  <c r="F60" i="13"/>
  <c r="M45" i="13"/>
  <c r="F81" i="13"/>
  <c r="O93" i="13"/>
  <c r="N108" i="13"/>
  <c r="M96" i="13"/>
  <c r="N85" i="13"/>
  <c r="M100" i="13"/>
  <c r="M67" i="13"/>
  <c r="O83" i="13"/>
  <c r="G118" i="13"/>
  <c r="O60" i="13"/>
  <c r="O97" i="13"/>
  <c r="N42" i="13"/>
  <c r="O99" i="13"/>
  <c r="F35" i="13"/>
  <c r="O102" i="13"/>
  <c r="N84" i="13"/>
  <c r="F100" i="13"/>
  <c r="M115" i="13"/>
  <c r="F44" i="13"/>
  <c r="M57" i="13"/>
  <c r="M73" i="13"/>
  <c r="F98" i="13"/>
  <c r="F53" i="13"/>
  <c r="F50" i="13"/>
  <c r="N51" i="13"/>
  <c r="F52" i="13"/>
  <c r="M74" i="13"/>
  <c r="M105" i="13"/>
  <c r="N104" i="13"/>
  <c r="M37" i="13"/>
  <c r="O87" i="13"/>
  <c r="M43" i="13"/>
  <c r="F99" i="13"/>
  <c r="N34" i="13"/>
  <c r="O72" i="13"/>
  <c r="M99" i="13"/>
  <c r="M59" i="13"/>
  <c r="M117" i="13"/>
  <c r="M81" i="13"/>
  <c r="O78" i="13"/>
  <c r="N35" i="13"/>
  <c r="N58" i="13"/>
  <c r="M114" i="13"/>
  <c r="O111" i="13"/>
  <c r="M38" i="13"/>
  <c r="O41" i="13"/>
  <c r="F62" i="13"/>
  <c r="F112" i="13"/>
  <c r="F114" i="13"/>
  <c r="M76" i="13"/>
  <c r="F89" i="13"/>
  <c r="O49" i="13"/>
  <c r="N98" i="13"/>
  <c r="M77" i="13"/>
  <c r="N55" i="13"/>
  <c r="F61" i="13"/>
  <c r="F92" i="13"/>
  <c r="M65" i="13"/>
  <c r="F102" i="13"/>
  <c r="N44" i="13"/>
  <c r="M91" i="13"/>
  <c r="O57" i="13"/>
  <c r="F104" i="13"/>
  <c r="N94" i="13"/>
  <c r="O36" i="13"/>
  <c r="O67" i="13"/>
  <c r="O39" i="13"/>
  <c r="M79" i="13"/>
  <c r="O96" i="13"/>
  <c r="O48" i="13"/>
  <c r="M85" i="13"/>
  <c r="F46" i="13"/>
  <c r="M104" i="13"/>
  <c r="N67" i="13"/>
  <c r="N38" i="13"/>
  <c r="M83" i="13"/>
  <c r="O58" i="13"/>
  <c r="F78" i="13"/>
  <c r="N36" i="13"/>
  <c r="F109" i="13"/>
  <c r="F54" i="13"/>
  <c r="F67" i="13"/>
  <c r="O105" i="13"/>
  <c r="M75" i="13"/>
  <c r="M106" i="13"/>
  <c r="M62" i="13"/>
  <c r="O46" i="13"/>
  <c r="O112" i="13"/>
  <c r="N82" i="13"/>
  <c r="N69" i="13"/>
  <c r="N112" i="13"/>
  <c r="O73" i="13"/>
  <c r="O52" i="13"/>
  <c r="O107" i="13"/>
  <c r="F69" i="13"/>
  <c r="F85" i="13"/>
  <c r="M112" i="13"/>
  <c r="N115" i="13"/>
  <c r="M72" i="13"/>
  <c r="M108" i="13"/>
  <c r="M93" i="13"/>
  <c r="N90" i="13"/>
  <c r="M55" i="13"/>
  <c r="F111" i="13"/>
  <c r="O100" i="13"/>
  <c r="M46" i="13"/>
  <c r="O116" i="13"/>
  <c r="O44" i="13"/>
  <c r="N111" i="13"/>
  <c r="N72" i="13"/>
  <c r="O104" i="13"/>
  <c r="F84" i="13"/>
  <c r="F96" i="13"/>
  <c r="F93" i="13"/>
  <c r="N113" i="13"/>
  <c r="G84" i="13" l="1"/>
  <c r="G74" i="13"/>
  <c r="G108" i="13"/>
  <c r="G115" i="13"/>
  <c r="G56" i="13"/>
  <c r="G83" i="13"/>
  <c r="G90" i="13"/>
  <c r="G75" i="13"/>
  <c r="G106" i="13"/>
  <c r="G85" i="13"/>
  <c r="G107" i="13"/>
  <c r="G57" i="13"/>
  <c r="J21" i="19"/>
  <c r="D22" i="19"/>
  <c r="G39" i="13"/>
  <c r="G41" i="13"/>
  <c r="G55" i="13"/>
  <c r="G45" i="13"/>
  <c r="G40" i="13"/>
  <c r="G35" i="13"/>
  <c r="G46" i="13"/>
  <c r="S33" i="13"/>
  <c r="S32" i="13"/>
  <c r="S31" i="13"/>
  <c r="S30" i="13"/>
  <c r="S29" i="13"/>
  <c r="S28" i="13"/>
  <c r="S27" i="13"/>
  <c r="S26" i="13"/>
  <c r="S25" i="13"/>
  <c r="S24" i="13"/>
  <c r="S23" i="13"/>
  <c r="G61" i="13"/>
  <c r="O31" i="13"/>
  <c r="O29" i="13"/>
  <c r="M29" i="13"/>
  <c r="G111" i="13"/>
  <c r="G59" i="13"/>
  <c r="G51" i="13"/>
  <c r="G80" i="13"/>
  <c r="G116" i="13"/>
  <c r="N31" i="13"/>
  <c r="G82" i="13"/>
  <c r="M25" i="13"/>
  <c r="G89" i="13"/>
  <c r="N27" i="13"/>
  <c r="G117" i="13"/>
  <c r="G60" i="13"/>
  <c r="G94" i="13"/>
  <c r="F33" i="13"/>
  <c r="G50" i="13"/>
  <c r="M23" i="13"/>
  <c r="N28" i="13"/>
  <c r="M26" i="13"/>
  <c r="N26" i="13"/>
  <c r="N23" i="13"/>
  <c r="F25" i="13"/>
  <c r="G53" i="13"/>
  <c r="F30" i="13"/>
  <c r="M27" i="13"/>
  <c r="G91" i="13"/>
  <c r="G47" i="13"/>
  <c r="G93" i="13"/>
  <c r="F27" i="13"/>
  <c r="G95" i="13"/>
  <c r="F28" i="13"/>
  <c r="G109" i="13"/>
  <c r="O23" i="13"/>
  <c r="G49" i="13"/>
  <c r="G86" i="13"/>
  <c r="O33" i="13"/>
  <c r="F29" i="13"/>
  <c r="G36" i="13"/>
  <c r="G52" i="13"/>
  <c r="G72" i="13"/>
  <c r="G54" i="13"/>
  <c r="O32" i="13"/>
  <c r="G112" i="13"/>
  <c r="N33" i="13"/>
  <c r="O25" i="13"/>
  <c r="N24" i="13"/>
  <c r="G97" i="13"/>
  <c r="G88" i="13"/>
  <c r="F26" i="13"/>
  <c r="M24" i="13"/>
  <c r="G58" i="13"/>
  <c r="O26" i="13"/>
  <c r="G104" i="13"/>
  <c r="O27" i="13"/>
  <c r="G44" i="13"/>
  <c r="G113" i="13"/>
  <c r="F32" i="13"/>
  <c r="G105" i="13"/>
  <c r="G102" i="13"/>
  <c r="M30" i="13"/>
  <c r="M31" i="13"/>
  <c r="F31" i="13"/>
  <c r="O28" i="13"/>
  <c r="G62" i="13"/>
  <c r="G73" i="13"/>
  <c r="G67" i="13"/>
  <c r="O30" i="13"/>
  <c r="G76" i="13"/>
  <c r="G87" i="13"/>
  <c r="F24" i="13"/>
  <c r="G69" i="13"/>
  <c r="G43" i="13"/>
  <c r="G78" i="13"/>
  <c r="G100" i="13"/>
  <c r="G65" i="13"/>
  <c r="M33" i="13"/>
  <c r="N32" i="13"/>
  <c r="G37" i="13"/>
  <c r="G48" i="13"/>
  <c r="G38" i="13"/>
  <c r="M32" i="13"/>
  <c r="N29" i="13"/>
  <c r="O24" i="13"/>
  <c r="N25" i="13"/>
  <c r="G96" i="13"/>
  <c r="G42" i="13"/>
  <c r="G114" i="13"/>
  <c r="G79" i="13"/>
  <c r="G110" i="13"/>
  <c r="M28" i="13"/>
  <c r="G92" i="13"/>
  <c r="G77" i="13"/>
  <c r="G99" i="13"/>
  <c r="G81" i="13"/>
  <c r="G98" i="13"/>
  <c r="F34" i="13"/>
  <c r="N30" i="13"/>
  <c r="J22" i="19" l="1"/>
  <c r="K22" i="19"/>
  <c r="D23" i="19"/>
  <c r="G24" i="13"/>
  <c r="G26" i="13"/>
  <c r="G33" i="13"/>
  <c r="G25" i="13"/>
  <c r="G34" i="13"/>
  <c r="S22" i="13"/>
  <c r="S21" i="13"/>
  <c r="S20" i="13"/>
  <c r="S19" i="13"/>
  <c r="S18" i="13"/>
  <c r="S17" i="13"/>
  <c r="S16" i="13"/>
  <c r="S15" i="13"/>
  <c r="S14" i="13"/>
  <c r="S13" i="13"/>
  <c r="S12" i="13"/>
  <c r="S11" i="13"/>
  <c r="S10" i="13"/>
  <c r="S9" i="13"/>
  <c r="S8" i="13"/>
  <c r="S7" i="13"/>
  <c r="S6" i="13"/>
  <c r="N16" i="13"/>
  <c r="M21" i="13"/>
  <c r="M20" i="13"/>
  <c r="F21" i="13"/>
  <c r="O11" i="13"/>
  <c r="M9" i="13"/>
  <c r="M14" i="13"/>
  <c r="N8" i="13"/>
  <c r="N20" i="13"/>
  <c r="O18" i="13"/>
  <c r="M16" i="13"/>
  <c r="M6" i="13"/>
  <c r="M7" i="13"/>
  <c r="M12" i="13"/>
  <c r="N17" i="13"/>
  <c r="G32" i="13"/>
  <c r="F9" i="13"/>
  <c r="O21" i="13"/>
  <c r="F7" i="13"/>
  <c r="F22" i="13"/>
  <c r="O19" i="13"/>
  <c r="O8" i="13"/>
  <c r="M17" i="13"/>
  <c r="N12" i="13"/>
  <c r="N18" i="13"/>
  <c r="N11" i="13"/>
  <c r="O17" i="13"/>
  <c r="O14" i="13"/>
  <c r="M13" i="13"/>
  <c r="M15" i="13"/>
  <c r="O22" i="13"/>
  <c r="F13" i="13"/>
  <c r="N10" i="13"/>
  <c r="N15" i="13"/>
  <c r="G28" i="13"/>
  <c r="N6" i="13"/>
  <c r="F20" i="13"/>
  <c r="O15" i="13"/>
  <c r="F23" i="13"/>
  <c r="N9" i="13"/>
  <c r="M18" i="13"/>
  <c r="N13" i="13"/>
  <c r="G27" i="13"/>
  <c r="N21" i="13"/>
  <c r="O7" i="13"/>
  <c r="G31" i="13"/>
  <c r="O16" i="13"/>
  <c r="O10" i="13"/>
  <c r="F12" i="13"/>
  <c r="F14" i="13"/>
  <c r="M19" i="13"/>
  <c r="O6" i="13"/>
  <c r="M8" i="13"/>
  <c r="O13" i="13"/>
  <c r="F16" i="13"/>
  <c r="M22" i="13"/>
  <c r="F17" i="13"/>
  <c r="M11" i="13"/>
  <c r="N14" i="13"/>
  <c r="F10" i="13"/>
  <c r="F11" i="13"/>
  <c r="O9" i="13"/>
  <c r="N7" i="13"/>
  <c r="G29" i="13"/>
  <c r="N22" i="13"/>
  <c r="F8" i="13"/>
  <c r="O20" i="13"/>
  <c r="F19" i="13"/>
  <c r="O12" i="13"/>
  <c r="F18" i="13"/>
  <c r="F15" i="13"/>
  <c r="M10" i="13"/>
  <c r="N19" i="13"/>
  <c r="G30" i="13"/>
  <c r="J23" i="19" l="1"/>
  <c r="D24" i="19"/>
  <c r="G23" i="13"/>
  <c r="G22" i="13"/>
  <c r="G9" i="13"/>
  <c r="G12" i="13"/>
  <c r="G7" i="13"/>
  <c r="G8" i="13"/>
  <c r="S5" i="13"/>
  <c r="S4" i="13"/>
  <c r="S3" i="13"/>
  <c r="S2" i="13"/>
  <c r="F2" i="13"/>
  <c r="G14" i="13"/>
  <c r="F6" i="13"/>
  <c r="G20" i="13"/>
  <c r="G15" i="13"/>
  <c r="G10" i="13"/>
  <c r="O3" i="13"/>
  <c r="O4" i="13"/>
  <c r="G18" i="13"/>
  <c r="G16" i="13"/>
  <c r="G19" i="13"/>
  <c r="F3" i="13"/>
  <c r="M4" i="13"/>
  <c r="F5" i="13"/>
  <c r="G17" i="13"/>
  <c r="M3" i="13"/>
  <c r="G13" i="13"/>
  <c r="N2" i="13"/>
  <c r="O2" i="13"/>
  <c r="N5" i="13"/>
  <c r="G21" i="13"/>
  <c r="G11" i="13"/>
  <c r="M5" i="13"/>
  <c r="N3" i="13"/>
  <c r="N4" i="13"/>
  <c r="M2" i="13"/>
  <c r="F4" i="13"/>
  <c r="O5" i="13"/>
  <c r="J24" i="19" l="1"/>
  <c r="K24" i="19"/>
  <c r="D25" i="19"/>
  <c r="G6" i="13"/>
  <c r="G5" i="13"/>
  <c r="G3" i="13"/>
  <c r="G2" i="13"/>
  <c r="G4" i="13"/>
  <c r="J25" i="19" l="1"/>
  <c r="D26" i="19"/>
  <c r="C71" i="5"/>
  <c r="C69" i="5"/>
  <c r="C65" i="5"/>
  <c r="C64" i="5"/>
  <c r="C45" i="5"/>
  <c r="B45" i="5" s="1"/>
  <c r="C44" i="5"/>
  <c r="B44" i="5" s="1"/>
  <c r="C43" i="5"/>
  <c r="B43" i="5" s="1"/>
  <c r="C33" i="5"/>
  <c r="B33" i="5"/>
  <c r="I29" i="5"/>
  <c r="I28" i="5"/>
  <c r="J26" i="19" l="1"/>
  <c r="K26" i="19"/>
  <c r="D27" i="19"/>
  <c r="B47" i="5"/>
  <c r="A51" i="5" s="1"/>
  <c r="B46" i="5"/>
  <c r="C46" i="5" s="1"/>
  <c r="C25" i="5"/>
  <c r="E21" i="5"/>
  <c r="J27" i="19" l="1"/>
  <c r="D28" i="19"/>
  <c r="C36" i="5"/>
  <c r="A46" i="5"/>
  <c r="C32" i="5"/>
  <c r="A49" i="5"/>
  <c r="A50" i="5"/>
  <c r="C47" i="5"/>
  <c r="C48" i="5" s="1"/>
  <c r="J16" i="5"/>
  <c r="J15" i="5"/>
  <c r="C15" i="5"/>
  <c r="C14" i="5" s="1"/>
  <c r="G51" i="39" s="1"/>
  <c r="J14" i="5"/>
  <c r="B14" i="5"/>
  <c r="B16" i="5" s="1"/>
  <c r="J13" i="5"/>
  <c r="J12" i="5"/>
  <c r="J11" i="5"/>
  <c r="J28" i="19" l="1"/>
  <c r="K28" i="19"/>
  <c r="D29" i="19"/>
  <c r="B15" i="5"/>
  <c r="B29" i="5" s="1"/>
  <c r="C29" i="5" s="1"/>
  <c r="D21" i="5"/>
  <c r="D14" i="5"/>
  <c r="C49" i="5"/>
  <c r="C50" i="5"/>
  <c r="J10" i="5"/>
  <c r="J9" i="5"/>
  <c r="J8" i="5"/>
  <c r="B5" i="5"/>
  <c r="AE4" i="5"/>
  <c r="C12" i="5" s="1"/>
  <c r="C11" i="5" s="1"/>
  <c r="G59" i="39" s="1"/>
  <c r="AD4" i="5"/>
  <c r="C18" i="5" s="1"/>
  <c r="AC4" i="5"/>
  <c r="AB4" i="5"/>
  <c r="C17" i="5" s="1"/>
  <c r="C16" i="5" s="1"/>
  <c r="AA4" i="5"/>
  <c r="D15" i="5" s="1"/>
  <c r="Z4" i="5"/>
  <c r="E11" i="5" s="1"/>
  <c r="Y4" i="5"/>
  <c r="X4" i="5"/>
  <c r="W4" i="5"/>
  <c r="C37" i="5" s="1"/>
  <c r="V4" i="5"/>
  <c r="J4" i="5"/>
  <c r="P3" i="5"/>
  <c r="P4" i="5" s="1"/>
  <c r="P2" i="5"/>
  <c r="L2" i="5"/>
  <c r="K2" i="5"/>
  <c r="J2" i="5"/>
  <c r="A3" i="35"/>
  <c r="P8" i="5"/>
  <c r="C10" i="5" l="1"/>
  <c r="K23" i="19" s="1"/>
  <c r="G55" i="39"/>
  <c r="C9" i="5"/>
  <c r="D9" i="5" s="1"/>
  <c r="G57" i="39"/>
  <c r="J29" i="19"/>
  <c r="D30" i="19"/>
  <c r="B17" i="5"/>
  <c r="D22" i="5"/>
  <c r="E14" i="5"/>
  <c r="D23" i="5" s="1"/>
  <c r="F21" i="5"/>
  <c r="G21" i="5" s="1"/>
  <c r="B6" i="5"/>
  <c r="C231" i="6" l="1"/>
  <c r="K13" i="19"/>
  <c r="D10" i="5"/>
  <c r="E10" i="5" s="1"/>
  <c r="K7" i="19"/>
  <c r="C24" i="5"/>
  <c r="K25" i="19"/>
  <c r="K9" i="19"/>
  <c r="K19" i="19"/>
  <c r="K3" i="19"/>
  <c r="K11" i="19"/>
  <c r="K21" i="19"/>
  <c r="C233" i="6"/>
  <c r="K5" i="19"/>
  <c r="K17" i="19"/>
  <c r="K29" i="19"/>
  <c r="K27" i="19"/>
  <c r="K15" i="19"/>
  <c r="E9" i="5"/>
  <c r="J30" i="19"/>
  <c r="K30" i="19"/>
  <c r="D31" i="19"/>
  <c r="I21" i="5"/>
  <c r="J21" i="5" s="1"/>
  <c r="F22" i="5"/>
  <c r="F23" i="5"/>
  <c r="G23" i="5" s="1"/>
  <c r="P5" i="5"/>
  <c r="P6" i="5" s="1"/>
  <c r="B12" i="5"/>
  <c r="B11" i="5"/>
  <c r="B10" i="5"/>
  <c r="B9" i="5"/>
  <c r="B7" i="5"/>
  <c r="B4" i="5"/>
  <c r="B8" i="5"/>
  <c r="D11" i="5" l="1"/>
  <c r="E8" i="5"/>
  <c r="D4" i="5" s="1"/>
  <c r="C4" i="5" s="1"/>
  <c r="J31" i="19"/>
  <c r="D32" i="19"/>
  <c r="K31" i="19"/>
  <c r="I23" i="5"/>
  <c r="J23" i="5" s="1"/>
  <c r="E22" i="5"/>
  <c r="G22" i="5"/>
  <c r="B32" i="5"/>
  <c r="I22" i="5"/>
  <c r="B27" i="5"/>
  <c r="B28" i="5"/>
  <c r="C28" i="5"/>
  <c r="C42" i="5"/>
  <c r="B26" i="5"/>
  <c r="C26" i="5" s="1"/>
  <c r="X9" i="24"/>
  <c r="D8" i="5" l="1"/>
  <c r="C8" i="5" s="1"/>
  <c r="J32" i="19"/>
  <c r="K32" i="19"/>
  <c r="D33" i="19"/>
  <c r="E23" i="5"/>
  <c r="C21" i="5"/>
  <c r="C27" i="5"/>
  <c r="W3" i="24"/>
  <c r="J22" i="5"/>
  <c r="C20" i="5" s="1"/>
  <c r="A3" i="18" s="1"/>
  <c r="C23" i="5" l="1"/>
  <c r="G53" i="39"/>
  <c r="C22" i="5"/>
  <c r="A29" i="18"/>
  <c r="A4" i="18"/>
  <c r="A2" i="18"/>
  <c r="A16" i="18"/>
  <c r="J33" i="19"/>
  <c r="D34" i="19"/>
  <c r="K33" i="19"/>
  <c r="AH29" i="18" l="1"/>
  <c r="N29" i="18"/>
  <c r="AG29" i="18"/>
  <c r="A5" i="18"/>
  <c r="A17" i="18"/>
  <c r="A30" i="18"/>
  <c r="A15" i="18"/>
  <c r="A28" i="18"/>
  <c r="J34" i="19"/>
  <c r="K34" i="19"/>
  <c r="D35" i="19"/>
  <c r="N28" i="18" l="1"/>
  <c r="AH28" i="18"/>
  <c r="AG28" i="18"/>
  <c r="A31" i="18"/>
  <c r="A6" i="18"/>
  <c r="A18" i="18"/>
  <c r="AH30" i="18"/>
  <c r="AG30" i="18"/>
  <c r="N30" i="18"/>
  <c r="J35" i="19"/>
  <c r="D36" i="19"/>
  <c r="K35" i="19"/>
  <c r="AG31" i="18" l="1"/>
  <c r="N31" i="18"/>
  <c r="AH31" i="18"/>
  <c r="A7" i="18"/>
  <c r="A19" i="18"/>
  <c r="A32" i="18"/>
  <c r="J36" i="19"/>
  <c r="K36" i="19"/>
  <c r="D37" i="19"/>
  <c r="N32" i="18" l="1"/>
  <c r="AH32" i="18"/>
  <c r="AG32" i="18"/>
  <c r="A20" i="18"/>
  <c r="A33" i="18"/>
  <c r="A8" i="18"/>
  <c r="J37" i="19"/>
  <c r="D38" i="19"/>
  <c r="K37" i="19"/>
  <c r="X9" i="23"/>
  <c r="W3" i="23" s="1"/>
  <c r="F53" i="33"/>
  <c r="AP43" i="33"/>
  <c r="K53" i="33" l="1"/>
  <c r="N33" i="18"/>
  <c r="AH33" i="18"/>
  <c r="AG33" i="18"/>
  <c r="A21" i="18"/>
  <c r="A34" i="18"/>
  <c r="A9" i="18"/>
  <c r="J38" i="19"/>
  <c r="K38" i="19"/>
  <c r="D39" i="19"/>
  <c r="A11" i="33"/>
  <c r="AA11" i="33" s="1"/>
  <c r="AG34" i="18" l="1"/>
  <c r="N34" i="18"/>
  <c r="AH34" i="18"/>
  <c r="A10" i="18"/>
  <c r="A35" i="18"/>
  <c r="A22" i="18"/>
  <c r="P53" i="33"/>
  <c r="J39" i="19"/>
  <c r="D40" i="19"/>
  <c r="K39" i="19"/>
  <c r="A13" i="33"/>
  <c r="AA13" i="33" s="1"/>
  <c r="AC9" i="33"/>
  <c r="AA12" i="33"/>
  <c r="U1" i="33"/>
  <c r="N1" i="33"/>
  <c r="I1" i="33"/>
  <c r="D1" i="33"/>
  <c r="AY5" i="33" s="1"/>
  <c r="T53" i="32"/>
  <c r="O53" i="32"/>
  <c r="AU11" i="32"/>
  <c r="J11" i="32"/>
  <c r="Z11" i="32" s="1"/>
  <c r="Y5" i="32"/>
  <c r="X15" i="33" l="1"/>
  <c r="A23" i="18"/>
  <c r="A36" i="18"/>
  <c r="AG35" i="18"/>
  <c r="U16" i="33"/>
  <c r="AY6" i="33" s="1"/>
  <c r="N35" i="18"/>
  <c r="AH35" i="18"/>
  <c r="J40" i="19"/>
  <c r="K40" i="19"/>
  <c r="D41" i="19"/>
  <c r="AB13" i="33"/>
  <c r="AA9" i="32"/>
  <c r="Y9" i="32" s="1"/>
  <c r="Y11" i="32"/>
  <c r="A15" i="33"/>
  <c r="AB15" i="33" s="1"/>
  <c r="AA15" i="33" s="1"/>
  <c r="J13" i="32"/>
  <c r="Z14" i="32" s="1"/>
  <c r="AB14" i="33"/>
  <c r="AA14" i="33" s="1"/>
  <c r="AZ5" i="33"/>
  <c r="BA5" i="33"/>
  <c r="BC5" i="33" s="1"/>
  <c r="AQ30" i="33" s="1"/>
  <c r="AA9" i="33"/>
  <c r="AB9" i="33"/>
  <c r="AB10" i="33"/>
  <c r="AA10" i="33" s="1"/>
  <c r="R1" i="32"/>
  <c r="M1" i="32"/>
  <c r="BA54" i="12"/>
  <c r="AR54" i="12"/>
  <c r="AI54" i="12"/>
  <c r="AE54" i="12" s="1"/>
  <c r="BA53" i="12"/>
  <c r="AR53" i="12"/>
  <c r="AN53" i="12" s="1"/>
  <c r="AI53" i="12"/>
  <c r="AE53" i="12" s="1"/>
  <c r="BA52" i="12"/>
  <c r="AR52" i="12"/>
  <c r="AN52" i="12" s="1"/>
  <c r="AI52" i="12"/>
  <c r="AE52" i="12" s="1"/>
  <c r="BA51" i="12"/>
  <c r="AR51" i="12"/>
  <c r="AI51" i="12"/>
  <c r="AE51" i="12" s="1"/>
  <c r="BA50" i="12"/>
  <c r="AR50" i="12"/>
  <c r="AI50" i="12"/>
  <c r="BA49" i="12"/>
  <c r="AR49" i="12"/>
  <c r="AN49" i="12" s="1"/>
  <c r="AI49" i="12"/>
  <c r="AE49" i="12" s="1"/>
  <c r="BA48" i="12"/>
  <c r="AR48" i="12"/>
  <c r="AN48" i="12" s="1"/>
  <c r="AI48" i="12"/>
  <c r="BA47" i="12"/>
  <c r="AR47" i="12"/>
  <c r="AN47" i="12" s="1"/>
  <c r="AI47" i="12"/>
  <c r="BA46" i="12"/>
  <c r="AR46" i="12"/>
  <c r="AN46" i="12" s="1"/>
  <c r="AI46" i="12"/>
  <c r="BA45" i="12"/>
  <c r="AR45" i="12"/>
  <c r="AN45" i="12" s="1"/>
  <c r="AI45" i="12"/>
  <c r="BA44" i="12"/>
  <c r="AR44" i="12"/>
  <c r="AN44" i="12" s="1"/>
  <c r="AI44" i="12"/>
  <c r="BA43" i="12"/>
  <c r="AR43" i="12"/>
  <c r="AI43" i="12"/>
  <c r="BA42" i="12"/>
  <c r="AR42" i="12"/>
  <c r="AI42" i="12"/>
  <c r="BA41" i="12"/>
  <c r="AR41" i="12"/>
  <c r="AN41" i="12" s="1"/>
  <c r="AI41" i="12"/>
  <c r="BA40" i="12"/>
  <c r="AR40" i="12"/>
  <c r="AI40" i="12"/>
  <c r="AN30" i="12"/>
  <c r="AM30" i="12" s="1"/>
  <c r="AM35" i="12" s="1"/>
  <c r="AD30" i="12"/>
  <c r="AD34" i="12" s="1"/>
  <c r="AN21" i="12"/>
  <c r="AM21" i="12" s="1"/>
  <c r="AM27" i="12" s="1"/>
  <c r="AD21" i="12"/>
  <c r="AD26" i="12" s="1"/>
  <c r="AG36" i="18" l="1"/>
  <c r="N36" i="18"/>
  <c r="AH36" i="18"/>
  <c r="X29" i="33"/>
  <c r="AZ6" i="33"/>
  <c r="BB6" i="33" s="1"/>
  <c r="BA6" i="33"/>
  <c r="BC6" i="33" s="1"/>
  <c r="AQ43" i="33" s="1"/>
  <c r="AD35" i="12"/>
  <c r="AW30" i="12"/>
  <c r="AV30" i="12" s="1"/>
  <c r="AV34" i="12" s="1"/>
  <c r="AM26" i="12"/>
  <c r="AD23" i="12"/>
  <c r="AD33" i="12"/>
  <c r="AD25" i="12"/>
  <c r="AM33" i="12"/>
  <c r="AW21" i="12"/>
  <c r="AV21" i="12" s="1"/>
  <c r="AV24" i="12" s="1"/>
  <c r="AD32" i="12"/>
  <c r="AD36" i="12"/>
  <c r="AM23" i="12"/>
  <c r="AD27" i="12"/>
  <c r="J41" i="19"/>
  <c r="D42" i="19"/>
  <c r="K41" i="19"/>
  <c r="AD24" i="12"/>
  <c r="AM32" i="12"/>
  <c r="AM34" i="12"/>
  <c r="AB16" i="33"/>
  <c r="AA16" i="33"/>
  <c r="A17" i="33"/>
  <c r="AB17" i="33" s="1"/>
  <c r="Y13" i="32"/>
  <c r="Y14" i="32"/>
  <c r="Z13" i="32"/>
  <c r="Z9" i="32"/>
  <c r="Y10" i="32"/>
  <c r="Z10" i="32"/>
  <c r="AA7" i="32"/>
  <c r="BB5" i="33"/>
  <c r="BD5" i="33" s="1"/>
  <c r="BF5" i="33" s="1"/>
  <c r="AM24" i="12"/>
  <c r="AM25" i="12"/>
  <c r="AM36" i="12"/>
  <c r="AT5" i="32"/>
  <c r="AU5" i="32"/>
  <c r="BD6" i="33" l="1"/>
  <c r="BE6" i="33" s="1"/>
  <c r="AV25" i="12"/>
  <c r="AV32" i="12"/>
  <c r="AA18" i="33"/>
  <c r="AV36" i="12"/>
  <c r="AV35" i="12"/>
  <c r="AV33" i="12"/>
  <c r="AV27" i="12"/>
  <c r="AV23" i="12"/>
  <c r="AV26" i="12"/>
  <c r="J42" i="19"/>
  <c r="K42" i="19"/>
  <c r="D43" i="19"/>
  <c r="A19" i="33"/>
  <c r="A21" i="33" s="1"/>
  <c r="AA17" i="33"/>
  <c r="AB18" i="33"/>
  <c r="Y7" i="32"/>
  <c r="Z8" i="32"/>
  <c r="Y8" i="32"/>
  <c r="Z7" i="32"/>
  <c r="AU6" i="32"/>
  <c r="AU7" i="32"/>
  <c r="AT7" i="32"/>
  <c r="AT6" i="32"/>
  <c r="AN33" i="33"/>
  <c r="AN12" i="12"/>
  <c r="AM12" i="12" s="1"/>
  <c r="AM14" i="12" s="1"/>
  <c r="AD12" i="12"/>
  <c r="AL11" i="12"/>
  <c r="AL20" i="12" s="1"/>
  <c r="AN3" i="12"/>
  <c r="AM3" i="12" s="1"/>
  <c r="AD3" i="12"/>
  <c r="AD9" i="12" s="1"/>
  <c r="D48" i="11"/>
  <c r="B108" i="21" s="1"/>
  <c r="E108" i="21" s="1"/>
  <c r="F108" i="21" s="1"/>
  <c r="D47" i="11"/>
  <c r="B107" i="21" s="1"/>
  <c r="E107" i="21" s="1"/>
  <c r="F107" i="21" s="1"/>
  <c r="D46" i="11"/>
  <c r="L46" i="11" s="1"/>
  <c r="B226" i="21" s="1"/>
  <c r="E226" i="21" s="1"/>
  <c r="F226" i="21" s="1"/>
  <c r="D45" i="11"/>
  <c r="B105" i="21" s="1"/>
  <c r="E105" i="21" s="1"/>
  <c r="F105" i="21" s="1"/>
  <c r="D27" i="11"/>
  <c r="B87" i="21" s="1"/>
  <c r="E87" i="21" s="1"/>
  <c r="F87" i="21" s="1"/>
  <c r="P10" i="11"/>
  <c r="P26" i="11" s="1"/>
  <c r="T5" i="11"/>
  <c r="T4" i="11"/>
  <c r="T3" i="11"/>
  <c r="T2" i="11"/>
  <c r="Q8" i="10"/>
  <c r="B25" i="46"/>
  <c r="B24" i="46"/>
  <c r="B21" i="46"/>
  <c r="B20" i="46"/>
  <c r="B9" i="46"/>
  <c r="B8" i="46"/>
  <c r="B6" i="46" s="1"/>
  <c r="O10" i="4"/>
  <c r="O9" i="4"/>
  <c r="O8" i="4" s="1"/>
  <c r="R1" i="4"/>
  <c r="BE5" i="33" l="1"/>
  <c r="BF6" i="33"/>
  <c r="AN47" i="33" s="1"/>
  <c r="AO47" i="33" s="1"/>
  <c r="AM6" i="12"/>
  <c r="AM9" i="12"/>
  <c r="AM5" i="12"/>
  <c r="AM8" i="12"/>
  <c r="AM7" i="12"/>
  <c r="AD6" i="12"/>
  <c r="AW12" i="12"/>
  <c r="AV12" i="12" s="1"/>
  <c r="AV18" i="12" s="1"/>
  <c r="AD7" i="12"/>
  <c r="J43" i="19"/>
  <c r="D44" i="19"/>
  <c r="K43" i="19"/>
  <c r="AD8" i="12"/>
  <c r="AD17" i="12"/>
  <c r="AD18" i="12"/>
  <c r="AD16" i="12"/>
  <c r="AD15" i="12"/>
  <c r="AD5" i="12"/>
  <c r="AD14" i="12"/>
  <c r="AA19" i="33"/>
  <c r="AB19" i="33"/>
  <c r="AB20" i="33"/>
  <c r="AA20" i="33"/>
  <c r="P27" i="11"/>
  <c r="P32" i="11"/>
  <c r="P31" i="11"/>
  <c r="P29" i="11"/>
  <c r="O10" i="11"/>
  <c r="P1" i="11" s="1"/>
  <c r="P28" i="11"/>
  <c r="P33" i="11"/>
  <c r="K46" i="11"/>
  <c r="B166" i="21" s="1"/>
  <c r="E166" i="21" s="1"/>
  <c r="F166" i="21" s="1"/>
  <c r="J27" i="11"/>
  <c r="B27" i="21" s="1"/>
  <c r="E27" i="21" s="1"/>
  <c r="F27" i="21" s="1"/>
  <c r="F27" i="11"/>
  <c r="L47" i="11"/>
  <c r="B227" i="21" s="1"/>
  <c r="E227" i="21" s="1"/>
  <c r="F227" i="21" s="1"/>
  <c r="L27" i="11"/>
  <c r="B207" i="21" s="1"/>
  <c r="E207" i="21" s="1"/>
  <c r="F207" i="21" s="1"/>
  <c r="P30" i="11"/>
  <c r="P34" i="11"/>
  <c r="L48" i="11"/>
  <c r="B228" i="21" s="1"/>
  <c r="E228" i="21" s="1"/>
  <c r="F228" i="21" s="1"/>
  <c r="A23" i="33"/>
  <c r="AA22" i="33"/>
  <c r="AA21" i="33"/>
  <c r="AB21" i="33"/>
  <c r="L45" i="11"/>
  <c r="B225" i="21" s="1"/>
  <c r="E225" i="21" s="1"/>
  <c r="F225" i="21" s="1"/>
  <c r="B106" i="21"/>
  <c r="E106" i="21" s="1"/>
  <c r="F106" i="21" s="1"/>
  <c r="R10" i="11"/>
  <c r="K47" i="11"/>
  <c r="K48" i="11"/>
  <c r="B168" i="21" s="1"/>
  <c r="E168" i="21" s="1"/>
  <c r="F168" i="21" s="1"/>
  <c r="BD11" i="12"/>
  <c r="J46" i="11"/>
  <c r="B46" i="21" s="1"/>
  <c r="E46" i="21" s="1"/>
  <c r="F46" i="21" s="1"/>
  <c r="K27" i="11"/>
  <c r="B147" i="21" s="1"/>
  <c r="E147" i="21" s="1"/>
  <c r="F147" i="21" s="1"/>
  <c r="P2" i="11"/>
  <c r="Q10" i="11"/>
  <c r="K45" i="11"/>
  <c r="B165" i="21" s="1"/>
  <c r="E165" i="21" s="1"/>
  <c r="F165" i="21" s="1"/>
  <c r="J48" i="11"/>
  <c r="B48" i="21" s="1"/>
  <c r="E48" i="21" s="1"/>
  <c r="F48" i="21" s="1"/>
  <c r="AU11" i="12"/>
  <c r="AL29" i="12"/>
  <c r="AU20" i="12"/>
  <c r="AM17" i="12"/>
  <c r="AM16" i="12"/>
  <c r="AM18" i="12"/>
  <c r="AM15" i="12"/>
  <c r="AS6" i="32"/>
  <c r="A1" i="32" s="1"/>
  <c r="AT11" i="32"/>
  <c r="P17" i="11"/>
  <c r="P23" i="11"/>
  <c r="J45" i="11"/>
  <c r="B45" i="21" s="1"/>
  <c r="E45" i="21" s="1"/>
  <c r="F45" i="21" s="1"/>
  <c r="AO33" i="33"/>
  <c r="C2" i="5"/>
  <c r="O33" i="11" l="1"/>
  <c r="AV15" i="12"/>
  <c r="O27" i="11"/>
  <c r="AV14" i="12"/>
  <c r="O31" i="11"/>
  <c r="AV16" i="12"/>
  <c r="AV17" i="12"/>
  <c r="O34" i="11"/>
  <c r="O26" i="11"/>
  <c r="O30" i="11"/>
  <c r="O29" i="11"/>
  <c r="O23" i="11"/>
  <c r="O32" i="11"/>
  <c r="O28" i="11"/>
  <c r="O17" i="11"/>
  <c r="O22" i="11" s="1"/>
  <c r="J44" i="19"/>
  <c r="K44" i="19"/>
  <c r="D45" i="19"/>
  <c r="J47" i="11"/>
  <c r="B47" i="21" s="1"/>
  <c r="E47" i="21" s="1"/>
  <c r="F47" i="21" s="1"/>
  <c r="B167" i="21"/>
  <c r="E167" i="21" s="1"/>
  <c r="F167" i="21" s="1"/>
  <c r="R35" i="11"/>
  <c r="R34" i="11"/>
  <c r="R33" i="11"/>
  <c r="R32" i="11"/>
  <c r="R31" i="11"/>
  <c r="R30" i="11"/>
  <c r="R29" i="11"/>
  <c r="R28" i="11"/>
  <c r="R27" i="11"/>
  <c r="R26" i="11"/>
  <c r="Q26" i="11" s="1"/>
  <c r="R23" i="11"/>
  <c r="R17" i="11"/>
  <c r="P22" i="11"/>
  <c r="P21" i="11"/>
  <c r="P20" i="11"/>
  <c r="P19" i="11"/>
  <c r="P18" i="11"/>
  <c r="P16" i="11"/>
  <c r="P15" i="11"/>
  <c r="P14" i="11"/>
  <c r="P13" i="11"/>
  <c r="P12" i="11"/>
  <c r="P11" i="11"/>
  <c r="T47" i="33"/>
  <c r="U47" i="33" s="1"/>
  <c r="V47" i="33" s="1"/>
  <c r="W47" i="33" s="1"/>
  <c r="X47" i="33" s="1"/>
  <c r="Q34" i="11"/>
  <c r="Q33" i="11"/>
  <c r="Q32" i="11"/>
  <c r="Q31" i="11"/>
  <c r="Q30" i="11"/>
  <c r="Q29" i="11"/>
  <c r="Q28" i="11"/>
  <c r="Q27" i="11"/>
  <c r="Q23" i="11"/>
  <c r="Q17" i="11"/>
  <c r="P3" i="11"/>
  <c r="Q35" i="11"/>
  <c r="P35" i="11" s="1"/>
  <c r="O35" i="11" s="1"/>
  <c r="T33" i="33"/>
  <c r="U33" i="33" s="1"/>
  <c r="V33" i="33" s="1"/>
  <c r="W33" i="33" s="1"/>
  <c r="X33" i="33" s="1"/>
  <c r="AL38" i="12"/>
  <c r="AU38" i="12" s="1"/>
  <c r="BD38" i="12" s="1"/>
  <c r="AU29" i="12"/>
  <c r="AB22" i="33"/>
  <c r="AB24" i="33"/>
  <c r="A25" i="33"/>
  <c r="AA23" i="33"/>
  <c r="AB23" i="33"/>
  <c r="AA24" i="33"/>
  <c r="P4" i="11"/>
  <c r="B1" i="6"/>
  <c r="C178" i="6" s="1"/>
  <c r="C1" i="7"/>
  <c r="C67" i="5"/>
  <c r="C73" i="5"/>
  <c r="C68" i="5"/>
  <c r="E1" i="35"/>
  <c r="O14" i="11" l="1"/>
  <c r="O12" i="11"/>
  <c r="O16" i="11"/>
  <c r="O11" i="11"/>
  <c r="O20" i="11"/>
  <c r="O18" i="11"/>
  <c r="O19" i="11"/>
  <c r="O15" i="11"/>
  <c r="O13" i="11"/>
  <c r="O21" i="11"/>
  <c r="D46" i="19"/>
  <c r="J45" i="19"/>
  <c r="K45" i="19"/>
  <c r="AP33" i="33"/>
  <c r="R35" i="33"/>
  <c r="S35" i="33" s="1"/>
  <c r="T35" i="33" s="1"/>
  <c r="U35" i="33" s="1"/>
  <c r="V35" i="33" s="1"/>
  <c r="W35" i="33" s="1"/>
  <c r="X35" i="33" s="1"/>
  <c r="Q22" i="11"/>
  <c r="Q21" i="11"/>
  <c r="Q20" i="11"/>
  <c r="Q19" i="11"/>
  <c r="Q18" i="11"/>
  <c r="Q16" i="11"/>
  <c r="Q15" i="11"/>
  <c r="Q14" i="11"/>
  <c r="Q13" i="11"/>
  <c r="Q12" i="11"/>
  <c r="Q11" i="11"/>
  <c r="AA26" i="33"/>
  <c r="AB26" i="33"/>
  <c r="AB25" i="33"/>
  <c r="A27" i="33"/>
  <c r="AA25" i="33"/>
  <c r="AP47" i="33"/>
  <c r="R49" i="33"/>
  <c r="S49" i="33" s="1"/>
  <c r="T49" i="33" s="1"/>
  <c r="U49" i="33" s="1"/>
  <c r="V49" i="33" s="1"/>
  <c r="W49" i="33" s="1"/>
  <c r="X49" i="33" s="1"/>
  <c r="R50" i="33" s="1"/>
  <c r="S50" i="33" s="1"/>
  <c r="T50" i="33" s="1"/>
  <c r="U50" i="33" s="1"/>
  <c r="V50" i="33" s="1"/>
  <c r="W50" i="33" s="1"/>
  <c r="X50" i="33" s="1"/>
  <c r="R51" i="33" s="1"/>
  <c r="S51" i="33" s="1"/>
  <c r="T51" i="33" s="1"/>
  <c r="U51" i="33" s="1"/>
  <c r="V51" i="33" s="1"/>
  <c r="W51" i="33" s="1"/>
  <c r="X51" i="33" s="1"/>
  <c r="R52" i="33" s="1"/>
  <c r="S52" i="33" s="1"/>
  <c r="T52" i="33" s="1"/>
  <c r="U52" i="33" s="1"/>
  <c r="V52" i="33" s="1"/>
  <c r="W52" i="33" s="1"/>
  <c r="X52" i="33" s="1"/>
  <c r="AN52" i="33" s="1"/>
  <c r="R22" i="11"/>
  <c r="R21" i="11"/>
  <c r="R20" i="11"/>
  <c r="R19" i="11"/>
  <c r="R18" i="11"/>
  <c r="R16" i="11"/>
  <c r="R15" i="11"/>
  <c r="R14" i="11"/>
  <c r="R13" i="11"/>
  <c r="R12" i="11"/>
  <c r="R11" i="11"/>
  <c r="C250" i="6"/>
  <c r="C246" i="6"/>
  <c r="C242" i="6"/>
  <c r="C238" i="6"/>
  <c r="C234" i="6"/>
  <c r="C226" i="6"/>
  <c r="C222" i="6"/>
  <c r="C218" i="6"/>
  <c r="C214" i="6"/>
  <c r="C210" i="6"/>
  <c r="C206" i="6"/>
  <c r="C202" i="6"/>
  <c r="C198" i="6"/>
  <c r="C194" i="6"/>
  <c r="C190" i="6"/>
  <c r="C186" i="6"/>
  <c r="C182" i="6"/>
  <c r="C177" i="6"/>
  <c r="C173" i="6"/>
  <c r="C169" i="6"/>
  <c r="C165" i="6"/>
  <c r="C161" i="6"/>
  <c r="C157" i="6"/>
  <c r="C153" i="6"/>
  <c r="C149" i="6"/>
  <c r="C145" i="6"/>
  <c r="C141" i="6"/>
  <c r="C137" i="6"/>
  <c r="C133" i="6"/>
  <c r="C129" i="6"/>
  <c r="C125" i="6"/>
  <c r="C121" i="6"/>
  <c r="C117" i="6"/>
  <c r="C113" i="6"/>
  <c r="C109" i="6"/>
  <c r="C105" i="6"/>
  <c r="C101" i="6"/>
  <c r="C97" i="6"/>
  <c r="C93" i="6"/>
  <c r="C89" i="6"/>
  <c r="C85" i="6"/>
  <c r="C81" i="6"/>
  <c r="C77" i="6"/>
  <c r="C73" i="6"/>
  <c r="C69" i="6"/>
  <c r="C65" i="6"/>
  <c r="C61" i="6"/>
  <c r="C57" i="6"/>
  <c r="C53" i="6"/>
  <c r="C49" i="6"/>
  <c r="C45" i="6"/>
  <c r="C41" i="6"/>
  <c r="C37" i="6"/>
  <c r="C33" i="6"/>
  <c r="C29" i="6"/>
  <c r="C25" i="6"/>
  <c r="C21" i="6"/>
  <c r="C17" i="6"/>
  <c r="C13" i="6"/>
  <c r="C9" i="6"/>
  <c r="C5" i="6"/>
  <c r="C46" i="6"/>
  <c r="C26" i="6"/>
  <c r="C18" i="6"/>
  <c r="C10" i="6"/>
  <c r="C249" i="6"/>
  <c r="C241" i="6"/>
  <c r="C229" i="6"/>
  <c r="C221" i="6"/>
  <c r="C213" i="6"/>
  <c r="C209" i="6"/>
  <c r="C201" i="6"/>
  <c r="C193" i="6"/>
  <c r="C185" i="6"/>
  <c r="C176" i="6"/>
  <c r="C168" i="6"/>
  <c r="C160" i="6"/>
  <c r="C152" i="6"/>
  <c r="C144" i="6"/>
  <c r="C136" i="6"/>
  <c r="C128" i="6"/>
  <c r="C120" i="6"/>
  <c r="C108" i="6"/>
  <c r="C100" i="6"/>
  <c r="C92" i="6"/>
  <c r="C84" i="6"/>
  <c r="C76" i="6"/>
  <c r="C68" i="6"/>
  <c r="C60" i="6"/>
  <c r="C52" i="6"/>
  <c r="C44" i="6"/>
  <c r="C36" i="6"/>
  <c r="C28" i="6"/>
  <c r="C20" i="6"/>
  <c r="C8" i="6"/>
  <c r="C247" i="6"/>
  <c r="C243" i="6"/>
  <c r="C239" i="6"/>
  <c r="C235" i="6"/>
  <c r="C227" i="6"/>
  <c r="B231" i="6" s="1"/>
  <c r="C223" i="6"/>
  <c r="C219" i="6"/>
  <c r="C215" i="6"/>
  <c r="C211" i="6"/>
  <c r="C207" i="6"/>
  <c r="C203" i="6"/>
  <c r="C199" i="6"/>
  <c r="C195" i="6"/>
  <c r="C191" i="6"/>
  <c r="C187" i="6"/>
  <c r="C183" i="6"/>
  <c r="C179" i="6"/>
  <c r="C174" i="6"/>
  <c r="C170" i="6"/>
  <c r="C166" i="6"/>
  <c r="C162" i="6"/>
  <c r="C158" i="6"/>
  <c r="C154" i="6"/>
  <c r="C150" i="6"/>
  <c r="C146" i="6"/>
  <c r="C142" i="6"/>
  <c r="C138" i="6"/>
  <c r="C134" i="6"/>
  <c r="C130" i="6"/>
  <c r="C126" i="6"/>
  <c r="C122" i="6"/>
  <c r="C118" i="6"/>
  <c r="C114" i="6"/>
  <c r="C110" i="6"/>
  <c r="C106" i="6"/>
  <c r="C102" i="6"/>
  <c r="C98" i="6"/>
  <c r="C94" i="6"/>
  <c r="C90" i="6"/>
  <c r="C86" i="6"/>
  <c r="C82" i="6"/>
  <c r="C78" i="6"/>
  <c r="C74" i="6"/>
  <c r="C70" i="6"/>
  <c r="C66" i="6"/>
  <c r="C62" i="6"/>
  <c r="C58" i="6"/>
  <c r="C54" i="6"/>
  <c r="C50" i="6"/>
  <c r="C42" i="6"/>
  <c r="C38" i="6"/>
  <c r="C34" i="6"/>
  <c r="C30" i="6"/>
  <c r="C22" i="6"/>
  <c r="C14" i="6"/>
  <c r="C6" i="6"/>
  <c r="C245" i="6"/>
  <c r="C237" i="6"/>
  <c r="C225" i="6"/>
  <c r="C217" i="6"/>
  <c r="C205" i="6"/>
  <c r="C197" i="6"/>
  <c r="C189" i="6"/>
  <c r="C181" i="6"/>
  <c r="C172" i="6"/>
  <c r="C164" i="6"/>
  <c r="C156" i="6"/>
  <c r="C148" i="6"/>
  <c r="C140" i="6"/>
  <c r="C132" i="6"/>
  <c r="C124" i="6"/>
  <c r="C116" i="6"/>
  <c r="C112" i="6"/>
  <c r="C104" i="6"/>
  <c r="C96" i="6"/>
  <c r="C88" i="6"/>
  <c r="C80" i="6"/>
  <c r="C72" i="6"/>
  <c r="C64" i="6"/>
  <c r="C56" i="6"/>
  <c r="C48" i="6"/>
  <c r="C40" i="6"/>
  <c r="C32" i="6"/>
  <c r="C24" i="6"/>
  <c r="C16" i="6"/>
  <c r="C12" i="6"/>
  <c r="C4" i="6"/>
  <c r="C248" i="6"/>
  <c r="C244" i="6"/>
  <c r="C240" i="6"/>
  <c r="C236" i="6"/>
  <c r="C228" i="6"/>
  <c r="C224" i="6"/>
  <c r="C220" i="6"/>
  <c r="C216" i="6"/>
  <c r="C212" i="6"/>
  <c r="C208" i="6"/>
  <c r="C204" i="6"/>
  <c r="C200" i="6"/>
  <c r="C196" i="6"/>
  <c r="C192" i="6"/>
  <c r="C188" i="6"/>
  <c r="C184" i="6"/>
  <c r="C180" i="6"/>
  <c r="C175" i="6"/>
  <c r="C171" i="6"/>
  <c r="C167" i="6"/>
  <c r="C163" i="6"/>
  <c r="C159" i="6"/>
  <c r="C155" i="6"/>
  <c r="C151" i="6"/>
  <c r="C147" i="6"/>
  <c r="C143" i="6"/>
  <c r="C139" i="6"/>
  <c r="C135" i="6"/>
  <c r="C131" i="6"/>
  <c r="C127" i="6"/>
  <c r="C123" i="6"/>
  <c r="C119" i="6"/>
  <c r="C115" i="6"/>
  <c r="C111" i="6"/>
  <c r="C107" i="6"/>
  <c r="C103" i="6"/>
  <c r="C99" i="6"/>
  <c r="C95" i="6"/>
  <c r="C91" i="6"/>
  <c r="C87" i="6"/>
  <c r="C83" i="6"/>
  <c r="C79" i="6"/>
  <c r="C75" i="6"/>
  <c r="C71" i="6"/>
  <c r="C67" i="6"/>
  <c r="C63" i="6"/>
  <c r="C59" i="6"/>
  <c r="C55" i="6"/>
  <c r="C51" i="6"/>
  <c r="C47" i="6"/>
  <c r="C43" i="6"/>
  <c r="C39" i="6"/>
  <c r="C35" i="6"/>
  <c r="C31" i="6"/>
  <c r="C27" i="6"/>
  <c r="C23" i="6"/>
  <c r="C19" i="6"/>
  <c r="C15" i="6"/>
  <c r="C11" i="6"/>
  <c r="C7" i="6"/>
  <c r="B2" i="6"/>
  <c r="D54" i="35"/>
  <c r="D50" i="35"/>
  <c r="D46" i="35"/>
  <c r="D40" i="35"/>
  <c r="D36" i="35"/>
  <c r="D32" i="35"/>
  <c r="D28" i="35"/>
  <c r="D24" i="35"/>
  <c r="D20" i="35"/>
  <c r="D16" i="35"/>
  <c r="D12" i="35"/>
  <c r="D8" i="35"/>
  <c r="D4" i="35"/>
  <c r="D53" i="35"/>
  <c r="D45" i="35"/>
  <c r="D39" i="35"/>
  <c r="D27" i="35"/>
  <c r="D19" i="35"/>
  <c r="D11" i="35"/>
  <c r="D3" i="35"/>
  <c r="D51" i="35"/>
  <c r="D47" i="35"/>
  <c r="D44" i="35"/>
  <c r="D41" i="35"/>
  <c r="D37" i="35"/>
  <c r="D33" i="35"/>
  <c r="D29" i="35"/>
  <c r="D25" i="35"/>
  <c r="D21" i="35"/>
  <c r="D17" i="35"/>
  <c r="D13" i="35"/>
  <c r="D9" i="35"/>
  <c r="D5" i="35"/>
  <c r="D2" i="35"/>
  <c r="D49" i="35"/>
  <c r="D43" i="35"/>
  <c r="D31" i="35"/>
  <c r="D23" i="35"/>
  <c r="D15" i="35"/>
  <c r="D52" i="35"/>
  <c r="D48" i="35"/>
  <c r="D42" i="35"/>
  <c r="D38" i="35"/>
  <c r="D34" i="35"/>
  <c r="D30" i="35"/>
  <c r="D26" i="35"/>
  <c r="D22" i="35"/>
  <c r="D18" i="35"/>
  <c r="D14" i="35"/>
  <c r="D10" i="35"/>
  <c r="D6" i="35"/>
  <c r="D35" i="35"/>
  <c r="D7" i="35"/>
  <c r="C370" i="7"/>
  <c r="C366" i="7"/>
  <c r="C362" i="7"/>
  <c r="C358" i="7"/>
  <c r="C354" i="7"/>
  <c r="C350" i="7"/>
  <c r="C346" i="7"/>
  <c r="C342" i="7"/>
  <c r="C338" i="7"/>
  <c r="C334" i="7"/>
  <c r="C330" i="7"/>
  <c r="C326" i="7"/>
  <c r="C322" i="7"/>
  <c r="C318" i="7"/>
  <c r="C314" i="7"/>
  <c r="C310" i="7"/>
  <c r="C306" i="7"/>
  <c r="C302" i="7"/>
  <c r="C298" i="7"/>
  <c r="C294" i="7"/>
  <c r="C290" i="7"/>
  <c r="C286" i="7"/>
  <c r="C282" i="7"/>
  <c r="C278" i="7"/>
  <c r="C274" i="7"/>
  <c r="C270" i="7"/>
  <c r="C266" i="7"/>
  <c r="C262" i="7"/>
  <c r="C258" i="7"/>
  <c r="C254" i="7"/>
  <c r="C250" i="7"/>
  <c r="C246" i="7"/>
  <c r="C242" i="7"/>
  <c r="C238" i="7"/>
  <c r="C365" i="7"/>
  <c r="C309" i="7"/>
  <c r="C297" i="7"/>
  <c r="C281" i="7"/>
  <c r="C269" i="7"/>
  <c r="C257" i="7"/>
  <c r="C241" i="7"/>
  <c r="C233" i="7"/>
  <c r="C371" i="7"/>
  <c r="C367" i="7"/>
  <c r="C363" i="7"/>
  <c r="C359" i="7"/>
  <c r="C355" i="7"/>
  <c r="C351" i="7"/>
  <c r="C347" i="7"/>
  <c r="C343" i="7"/>
  <c r="C339" i="7"/>
  <c r="C335" i="7"/>
  <c r="C331" i="7"/>
  <c r="C327" i="7"/>
  <c r="C323" i="7"/>
  <c r="C319" i="7"/>
  <c r="C315" i="7"/>
  <c r="C311" i="7"/>
  <c r="C307" i="7"/>
  <c r="C303" i="7"/>
  <c r="C299" i="7"/>
  <c r="C295" i="7"/>
  <c r="C291" i="7"/>
  <c r="C287" i="7"/>
  <c r="C283" i="7"/>
  <c r="C279" i="7"/>
  <c r="C275" i="7"/>
  <c r="C271" i="7"/>
  <c r="C267" i="7"/>
  <c r="C263" i="7"/>
  <c r="C259" i="7"/>
  <c r="C255" i="7"/>
  <c r="C251" i="7"/>
  <c r="C247" i="7"/>
  <c r="C243" i="7"/>
  <c r="C239" i="7"/>
  <c r="C236" i="7"/>
  <c r="C234" i="7"/>
  <c r="C232" i="7"/>
  <c r="C230" i="7"/>
  <c r="C228" i="7"/>
  <c r="C369" i="7"/>
  <c r="C317" i="7"/>
  <c r="C293" i="7"/>
  <c r="C277" i="7"/>
  <c r="C261" i="7"/>
  <c r="C249" i="7"/>
  <c r="C245" i="7"/>
  <c r="C235" i="7"/>
  <c r="C229" i="7"/>
  <c r="C372" i="7"/>
  <c r="C368" i="7"/>
  <c r="C364" i="7"/>
  <c r="C360" i="7"/>
  <c r="C356" i="7"/>
  <c r="C352" i="7"/>
  <c r="C348" i="7"/>
  <c r="C344" i="7"/>
  <c r="C340" i="7"/>
  <c r="C336" i="7"/>
  <c r="C332" i="7"/>
  <c r="C328" i="7"/>
  <c r="C324" i="7"/>
  <c r="C320" i="7"/>
  <c r="C316" i="7"/>
  <c r="C312" i="7"/>
  <c r="C308" i="7"/>
  <c r="C304" i="7"/>
  <c r="C300" i="7"/>
  <c r="C296" i="7"/>
  <c r="C292" i="7"/>
  <c r="C288" i="7"/>
  <c r="C284" i="7"/>
  <c r="C280" i="7"/>
  <c r="C276" i="7"/>
  <c r="C272" i="7"/>
  <c r="C268" i="7"/>
  <c r="C264" i="7"/>
  <c r="C260" i="7"/>
  <c r="C256" i="7"/>
  <c r="C252" i="7"/>
  <c r="C248" i="7"/>
  <c r="C244" i="7"/>
  <c r="C240" i="7"/>
  <c r="C227" i="7"/>
  <c r="C361" i="7"/>
  <c r="C357" i="7"/>
  <c r="C353" i="7"/>
  <c r="C349" i="7"/>
  <c r="C345" i="7"/>
  <c r="C341" i="7"/>
  <c r="C337" i="7"/>
  <c r="C333" i="7"/>
  <c r="C329" i="7"/>
  <c r="C325" i="7"/>
  <c r="C321" i="7"/>
  <c r="C313" i="7"/>
  <c r="C305" i="7"/>
  <c r="C301" i="7"/>
  <c r="C289" i="7"/>
  <c r="C285" i="7"/>
  <c r="C273" i="7"/>
  <c r="C265" i="7"/>
  <c r="C253" i="7"/>
  <c r="C237" i="7"/>
  <c r="C231" i="7"/>
  <c r="C226" i="7"/>
  <c r="C224" i="7"/>
  <c r="C221" i="7"/>
  <c r="C219" i="7"/>
  <c r="C217" i="7"/>
  <c r="C215" i="7"/>
  <c r="C213" i="7"/>
  <c r="C211" i="7"/>
  <c r="C209" i="7"/>
  <c r="C207" i="7"/>
  <c r="C205" i="7"/>
  <c r="C203" i="7"/>
  <c r="C201" i="7"/>
  <c r="C199" i="7"/>
  <c r="C197" i="7"/>
  <c r="C195" i="7"/>
  <c r="C193" i="7"/>
  <c r="C191" i="7"/>
  <c r="C189" i="7"/>
  <c r="C187" i="7"/>
  <c r="C172" i="7"/>
  <c r="C139" i="7"/>
  <c r="C118" i="7"/>
  <c r="C105" i="7"/>
  <c r="C101" i="7"/>
  <c r="C97" i="7"/>
  <c r="C93" i="7"/>
  <c r="C89" i="7"/>
  <c r="C85" i="7"/>
  <c r="C81" i="7"/>
  <c r="C77" i="7"/>
  <c r="C71" i="7"/>
  <c r="C17" i="4" s="1"/>
  <c r="C68" i="7"/>
  <c r="C64" i="7"/>
  <c r="C60" i="7"/>
  <c r="C56" i="7"/>
  <c r="C52" i="7"/>
  <c r="C48" i="7"/>
  <c r="C42" i="7"/>
  <c r="C72" i="5" s="1"/>
  <c r="C40" i="7"/>
  <c r="C66" i="5" s="1"/>
  <c r="C38" i="7"/>
  <c r="C35" i="7"/>
  <c r="C30" i="7"/>
  <c r="D8" i="4" s="1"/>
  <c r="C28" i="7"/>
  <c r="C25" i="7"/>
  <c r="C22" i="7"/>
  <c r="C20" i="7"/>
  <c r="C18" i="7"/>
  <c r="C13" i="7"/>
  <c r="C11" i="7"/>
  <c r="C8" i="7"/>
  <c r="C6" i="7"/>
  <c r="B3" i="5" s="1"/>
  <c r="C180" i="7"/>
  <c r="C171" i="7"/>
  <c r="C167" i="7"/>
  <c r="C163" i="7"/>
  <c r="C159" i="7"/>
  <c r="C155" i="7"/>
  <c r="C151" i="7"/>
  <c r="C145" i="7"/>
  <c r="C141" i="7"/>
  <c r="C136" i="7"/>
  <c r="C130" i="7"/>
  <c r="C124" i="7"/>
  <c r="C113" i="7"/>
  <c r="C107" i="7"/>
  <c r="C100" i="7"/>
  <c r="C84" i="7"/>
  <c r="C73" i="7"/>
  <c r="C63" i="7"/>
  <c r="C47" i="7"/>
  <c r="C37" i="7"/>
  <c r="C27" i="7"/>
  <c r="D3" i="4" s="1"/>
  <c r="C185" i="7"/>
  <c r="C183" i="7"/>
  <c r="C181" i="7"/>
  <c r="C179" i="7"/>
  <c r="C177" i="7"/>
  <c r="C175" i="7"/>
  <c r="C173" i="7"/>
  <c r="C170" i="7"/>
  <c r="C168" i="7"/>
  <c r="C166" i="7"/>
  <c r="C164" i="7"/>
  <c r="C162" i="7"/>
  <c r="C160" i="7"/>
  <c r="C158" i="7"/>
  <c r="C156" i="7"/>
  <c r="C154" i="7"/>
  <c r="C152" i="7"/>
  <c r="C150" i="7"/>
  <c r="C148" i="7"/>
  <c r="C146" i="7"/>
  <c r="C144" i="7"/>
  <c r="C142" i="7"/>
  <c r="C137" i="7"/>
  <c r="C135" i="7"/>
  <c r="C133" i="7"/>
  <c r="C131" i="7"/>
  <c r="C129" i="7"/>
  <c r="C127" i="7"/>
  <c r="C125" i="7"/>
  <c r="C123" i="7"/>
  <c r="C121" i="7"/>
  <c r="C116" i="7"/>
  <c r="C114" i="7"/>
  <c r="C112" i="7"/>
  <c r="C110" i="7"/>
  <c r="C108" i="7"/>
  <c r="C106" i="7"/>
  <c r="C102" i="7"/>
  <c r="C98" i="7"/>
  <c r="C94" i="7"/>
  <c r="C90" i="7"/>
  <c r="C86" i="7"/>
  <c r="C82" i="7"/>
  <c r="C78" i="7"/>
  <c r="C74" i="7"/>
  <c r="L7" i="4" s="1"/>
  <c r="C69" i="7"/>
  <c r="C65" i="7"/>
  <c r="C61" i="7"/>
  <c r="C57" i="7"/>
  <c r="C53" i="7"/>
  <c r="C49" i="7"/>
  <c r="C45" i="7"/>
  <c r="N6" i="4" s="1"/>
  <c r="C43" i="7"/>
  <c r="C33" i="7"/>
  <c r="C15" i="4" s="1"/>
  <c r="C26" i="7"/>
  <c r="C4" i="7"/>
  <c r="C147" i="7"/>
  <c r="C126" i="7"/>
  <c r="C111" i="7"/>
  <c r="C96" i="7"/>
  <c r="C88" i="7"/>
  <c r="C76" i="7"/>
  <c r="C67" i="7"/>
  <c r="C51" i="7"/>
  <c r="C34" i="7"/>
  <c r="C19" i="4" s="1"/>
  <c r="C24" i="7"/>
  <c r="C225" i="7"/>
  <c r="C222" i="7"/>
  <c r="C220" i="7"/>
  <c r="C218" i="7"/>
  <c r="C216" i="7"/>
  <c r="C214" i="7"/>
  <c r="C212" i="7"/>
  <c r="C210" i="7"/>
  <c r="C208" i="7"/>
  <c r="C206" i="7"/>
  <c r="C204" i="7"/>
  <c r="C202" i="7"/>
  <c r="C200" i="7"/>
  <c r="C198" i="7"/>
  <c r="C196" i="7"/>
  <c r="C194" i="7"/>
  <c r="C192" i="7"/>
  <c r="C190" i="7"/>
  <c r="C188" i="7"/>
  <c r="C186" i="7"/>
  <c r="C140" i="7"/>
  <c r="C138" i="7"/>
  <c r="C119" i="7"/>
  <c r="C117" i="7"/>
  <c r="C103" i="7"/>
  <c r="C99" i="7"/>
  <c r="C95" i="7"/>
  <c r="C91" i="7"/>
  <c r="C87" i="7"/>
  <c r="C83" i="7"/>
  <c r="C79" i="7"/>
  <c r="C75" i="7"/>
  <c r="C72" i="7"/>
  <c r="P1" i="4" s="1"/>
  <c r="C70" i="7"/>
  <c r="C66" i="7"/>
  <c r="C62" i="7"/>
  <c r="C58" i="7"/>
  <c r="C54" i="7"/>
  <c r="C50" i="7"/>
  <c r="C46" i="7"/>
  <c r="C41" i="7"/>
  <c r="C70" i="5" s="1"/>
  <c r="C39" i="7"/>
  <c r="E18" i="4" s="1"/>
  <c r="C36" i="7"/>
  <c r="A63" i="5" s="1"/>
  <c r="C31" i="7"/>
  <c r="D10" i="4" s="1"/>
  <c r="C29" i="7"/>
  <c r="D6" i="4" s="1"/>
  <c r="C23" i="7"/>
  <c r="C21" i="7"/>
  <c r="C19" i="7"/>
  <c r="C17" i="7"/>
  <c r="C15" i="7"/>
  <c r="C14" i="7"/>
  <c r="C12" i="7"/>
  <c r="C9" i="7"/>
  <c r="C7" i="7"/>
  <c r="C5" i="7"/>
  <c r="A5" i="7" s="1"/>
  <c r="A6" i="7" s="1"/>
  <c r="A7" i="7" s="1"/>
  <c r="A8" i="7" s="1"/>
  <c r="A9" i="7" s="1"/>
  <c r="D1" i="7"/>
  <c r="B2" i="5" s="1"/>
  <c r="C223" i="7"/>
  <c r="C184" i="7"/>
  <c r="C182" i="7"/>
  <c r="C178" i="7"/>
  <c r="C176" i="7"/>
  <c r="C174" i="7"/>
  <c r="C169" i="7"/>
  <c r="C165" i="7"/>
  <c r="C161" i="7"/>
  <c r="C157" i="7"/>
  <c r="C153" i="7"/>
  <c r="C149" i="7"/>
  <c r="C143" i="7"/>
  <c r="C134" i="7"/>
  <c r="C132" i="7"/>
  <c r="C128" i="7"/>
  <c r="C122" i="7"/>
  <c r="C120" i="7"/>
  <c r="C115" i="7"/>
  <c r="C109" i="7"/>
  <c r="C104" i="7"/>
  <c r="C92" i="7"/>
  <c r="C80" i="7"/>
  <c r="C59" i="7"/>
  <c r="C55" i="7"/>
  <c r="C44" i="7"/>
  <c r="C32" i="7"/>
  <c r="C10" i="7"/>
  <c r="B60" i="38" l="1"/>
  <c r="A10" i="7"/>
  <c r="A11" i="7" s="1"/>
  <c r="A12" i="7" s="1"/>
  <c r="A13" i="7" s="1"/>
  <c r="A14" i="7" s="1"/>
  <c r="A15" i="7" s="1"/>
  <c r="A16" i="7" s="1"/>
  <c r="A17" i="7" s="1"/>
  <c r="B52" i="38"/>
  <c r="D47" i="19"/>
  <c r="J46" i="19"/>
  <c r="K46" i="19"/>
  <c r="L46" i="19" s="1"/>
  <c r="A4" i="35"/>
  <c r="A5" i="35" s="1"/>
  <c r="A6" i="35" s="1"/>
  <c r="A7" i="35" s="1"/>
  <c r="AN61" i="32"/>
  <c r="AN58" i="32"/>
  <c r="AN60" i="32"/>
  <c r="AN59" i="32"/>
  <c r="S11" i="11"/>
  <c r="S20" i="11"/>
  <c r="G2" i="11"/>
  <c r="S12" i="11"/>
  <c r="S21" i="11"/>
  <c r="B1" i="11"/>
  <c r="A1" i="21" s="1"/>
  <c r="A61" i="21" s="1"/>
  <c r="A121" i="21" s="1"/>
  <c r="A181" i="21" s="1"/>
  <c r="B3" i="11"/>
  <c r="A3" i="21" s="1"/>
  <c r="A63" i="21" s="1"/>
  <c r="A123" i="21" s="1"/>
  <c r="A183" i="21" s="1"/>
  <c r="S18" i="11"/>
  <c r="S13" i="11"/>
  <c r="S19" i="11"/>
  <c r="S16" i="11"/>
  <c r="S17" i="11"/>
  <c r="S23" i="11"/>
  <c r="S14" i="11"/>
  <c r="S22" i="11"/>
  <c r="S15" i="11"/>
  <c r="AP35" i="33"/>
  <c r="R37" i="33"/>
  <c r="S37" i="33" s="1"/>
  <c r="T37" i="33" s="1"/>
  <c r="U37" i="33" s="1"/>
  <c r="V37" i="33" s="1"/>
  <c r="W37" i="33" s="1"/>
  <c r="X37" i="33" s="1"/>
  <c r="V42" i="12"/>
  <c r="M47" i="12"/>
  <c r="D49" i="12"/>
  <c r="M45" i="12"/>
  <c r="V40" i="12"/>
  <c r="V51" i="12"/>
  <c r="C1" i="12"/>
  <c r="M51" i="12"/>
  <c r="D52" i="12"/>
  <c r="D53" i="12"/>
  <c r="V50" i="12"/>
  <c r="D43" i="12"/>
  <c r="V43" i="12"/>
  <c r="M44" i="12"/>
  <c r="V41" i="12"/>
  <c r="V54" i="12"/>
  <c r="D47" i="12"/>
  <c r="M48" i="12"/>
  <c r="M52" i="12"/>
  <c r="M49" i="12"/>
  <c r="V47" i="12"/>
  <c r="D42" i="12"/>
  <c r="V45" i="12"/>
  <c r="D41" i="12"/>
  <c r="B8" i="10"/>
  <c r="B7" i="10" s="1"/>
  <c r="B22" i="46"/>
  <c r="G17" i="46"/>
  <c r="B1" i="46"/>
  <c r="B13" i="46"/>
  <c r="Q6" i="10"/>
  <c r="AB27" i="33"/>
  <c r="A29" i="33"/>
  <c r="AA28" i="33"/>
  <c r="AA27" i="33"/>
  <c r="AB28" i="33"/>
  <c r="AO52" i="33"/>
  <c r="S47" i="33" s="1"/>
  <c r="R47" i="33"/>
  <c r="B21" i="10"/>
  <c r="X20" i="10" s="1"/>
  <c r="Q20" i="10" s="1"/>
  <c r="B6" i="10"/>
  <c r="X5" i="10" s="1"/>
  <c r="Q5" i="10" s="1"/>
  <c r="H1" i="24"/>
  <c r="V8" i="11"/>
  <c r="AF8" i="11"/>
  <c r="E50" i="11"/>
  <c r="X10" i="12"/>
  <c r="B237" i="7"/>
  <c r="X26" i="24"/>
  <c r="X26" i="23"/>
  <c r="AQ17" i="33"/>
  <c r="AI19" i="32"/>
  <c r="U30" i="12"/>
  <c r="X31" i="33"/>
  <c r="AW31" i="33" s="1"/>
  <c r="X45" i="33"/>
  <c r="AW45" i="33" s="1"/>
  <c r="R31" i="12"/>
  <c r="I31" i="12"/>
  <c r="I22" i="12"/>
  <c r="AA31" i="12"/>
  <c r="BC31" i="12" s="1"/>
  <c r="AA22" i="12"/>
  <c r="BC22" i="12" s="1"/>
  <c r="R22" i="12"/>
  <c r="AA13" i="12"/>
  <c r="BC13" i="12" s="1"/>
  <c r="I4" i="12"/>
  <c r="R13" i="12"/>
  <c r="I13" i="12"/>
  <c r="AA4" i="12"/>
  <c r="BC4" i="12" s="1"/>
  <c r="R4" i="12"/>
  <c r="B227" i="7"/>
  <c r="X16" i="24"/>
  <c r="X16" i="23"/>
  <c r="AQ7" i="33"/>
  <c r="AC7" i="33" s="1"/>
  <c r="AI9" i="32"/>
  <c r="L3" i="12"/>
  <c r="B3" i="43"/>
  <c r="D1" i="35"/>
  <c r="A1" i="35" s="1"/>
  <c r="A3" i="968"/>
  <c r="B235" i="7"/>
  <c r="X24" i="24"/>
  <c r="X24" i="23"/>
  <c r="AQ15" i="33"/>
  <c r="AI17" i="32"/>
  <c r="C30" i="12"/>
  <c r="BD29" i="12" s="1"/>
  <c r="B228" i="7"/>
  <c r="X17" i="24"/>
  <c r="X17" i="23"/>
  <c r="AQ8" i="33"/>
  <c r="AI10" i="32"/>
  <c r="U3" i="12"/>
  <c r="B236" i="7"/>
  <c r="X25" i="24"/>
  <c r="X25" i="23"/>
  <c r="AQ16" i="33"/>
  <c r="AI18" i="32"/>
  <c r="L30" i="12"/>
  <c r="E1" i="43"/>
  <c r="C1" i="43" s="1"/>
  <c r="A2" i="968"/>
  <c r="E1" i="23"/>
  <c r="A10" i="32"/>
  <c r="V31" i="33"/>
  <c r="V45" i="33"/>
  <c r="Y31" i="12"/>
  <c r="Y22" i="12"/>
  <c r="P22" i="12"/>
  <c r="P31" i="12"/>
  <c r="G31" i="12"/>
  <c r="G22" i="12"/>
  <c r="G13" i="12"/>
  <c r="Y4" i="12"/>
  <c r="P4" i="12"/>
  <c r="Y13" i="12"/>
  <c r="G4" i="12"/>
  <c r="P13" i="12"/>
  <c r="G16" i="968"/>
  <c r="L45" i="19"/>
  <c r="L41" i="19"/>
  <c r="L37" i="19"/>
  <c r="L33" i="19"/>
  <c r="L29" i="19"/>
  <c r="L25" i="19"/>
  <c r="L21" i="19"/>
  <c r="L17" i="19"/>
  <c r="L13" i="19"/>
  <c r="L9" i="19"/>
  <c r="L5" i="19"/>
  <c r="B35" i="18"/>
  <c r="B28" i="18"/>
  <c r="L42" i="19"/>
  <c r="L38" i="19"/>
  <c r="L34" i="19"/>
  <c r="L30" i="19"/>
  <c r="L26" i="19"/>
  <c r="L22" i="19"/>
  <c r="L18" i="19"/>
  <c r="L14" i="19"/>
  <c r="L10" i="19"/>
  <c r="L6" i="19"/>
  <c r="L2" i="19"/>
  <c r="D1" i="24"/>
  <c r="V6" i="11"/>
  <c r="T6" i="11" s="1"/>
  <c r="AF6" i="11"/>
  <c r="B20" i="10"/>
  <c r="B19" i="10" s="1"/>
  <c r="B18" i="10" s="1"/>
  <c r="B17" i="10" s="1"/>
  <c r="Q15" i="10" s="1"/>
  <c r="B15" i="10" s="1"/>
  <c r="Q14" i="10" s="1"/>
  <c r="B14" i="10" s="1"/>
  <c r="X13" i="10" s="1"/>
  <c r="B13" i="10" s="1"/>
  <c r="Q12" i="10" s="1"/>
  <c r="B12" i="10" s="1"/>
  <c r="Q11" i="10" s="1"/>
  <c r="B11" i="10" s="1"/>
  <c r="W10" i="10" s="1"/>
  <c r="B10" i="10" s="1"/>
  <c r="X9" i="10" s="1"/>
  <c r="Q9" i="10" s="1"/>
  <c r="B9" i="10" s="1"/>
  <c r="B5" i="10"/>
  <c r="B4" i="10" s="1"/>
  <c r="B3" i="10" s="1"/>
  <c r="B2" i="10" s="1"/>
  <c r="F1" i="24"/>
  <c r="V7" i="11"/>
  <c r="O7" i="11" s="1"/>
  <c r="AF7" i="11"/>
  <c r="B231" i="7"/>
  <c r="X20" i="24"/>
  <c r="X20" i="23"/>
  <c r="AQ11" i="33"/>
  <c r="AB11" i="33" s="1"/>
  <c r="AI13" i="32"/>
  <c r="U12" i="12"/>
  <c r="D2" i="45"/>
  <c r="B229" i="7"/>
  <c r="X18" i="24"/>
  <c r="X18" i="23"/>
  <c r="AQ9" i="33"/>
  <c r="AI11" i="32"/>
  <c r="C12" i="12"/>
  <c r="D11" i="32"/>
  <c r="A16" i="968"/>
  <c r="B234" i="7"/>
  <c r="X23" i="24"/>
  <c r="X23" i="23"/>
  <c r="AQ14" i="33"/>
  <c r="AI16" i="32"/>
  <c r="U21" i="12"/>
  <c r="C3" i="42"/>
  <c r="B233" i="7"/>
  <c r="X22" i="24"/>
  <c r="X22" i="23"/>
  <c r="AQ13" i="33"/>
  <c r="AI15" i="32"/>
  <c r="L21" i="12"/>
  <c r="A6" i="32"/>
  <c r="R31" i="33"/>
  <c r="R45" i="33"/>
  <c r="U31" i="12"/>
  <c r="U22" i="12"/>
  <c r="L22" i="12"/>
  <c r="L31" i="12"/>
  <c r="C31" i="12"/>
  <c r="C22" i="12"/>
  <c r="C13" i="12"/>
  <c r="U4" i="12"/>
  <c r="L4" i="12"/>
  <c r="U13" i="12"/>
  <c r="C4" i="12"/>
  <c r="L13" i="12"/>
  <c r="A2" i="44"/>
  <c r="D3" i="43"/>
  <c r="I4" i="968"/>
  <c r="L44" i="19"/>
  <c r="L40" i="19"/>
  <c r="L36" i="19"/>
  <c r="L32" i="19"/>
  <c r="L28" i="19"/>
  <c r="L24" i="19"/>
  <c r="L20" i="19"/>
  <c r="L16" i="19"/>
  <c r="L12" i="19"/>
  <c r="L8" i="19"/>
  <c r="L4" i="19"/>
  <c r="B230" i="6"/>
  <c r="F2" i="11"/>
  <c r="E2" i="11" s="1"/>
  <c r="H1" i="23"/>
  <c r="V4" i="11"/>
  <c r="AF4" i="11"/>
  <c r="X37" i="12"/>
  <c r="E53" i="11"/>
  <c r="B1" i="4"/>
  <c r="J1" i="23"/>
  <c r="V5" i="11"/>
  <c r="AF5" i="11"/>
  <c r="B226" i="7"/>
  <c r="X15" i="24"/>
  <c r="X15" i="23"/>
  <c r="AQ6" i="33"/>
  <c r="AI8" i="32"/>
  <c r="C3" i="12"/>
  <c r="A11" i="32"/>
  <c r="A1" i="42"/>
  <c r="N16" i="968"/>
  <c r="B232" i="7"/>
  <c r="X21" i="24"/>
  <c r="X21" i="23"/>
  <c r="AQ12" i="33"/>
  <c r="AB12" i="33" s="1"/>
  <c r="AI14" i="32"/>
  <c r="C21" i="12"/>
  <c r="BD20" i="12" s="1"/>
  <c r="J3" i="32"/>
  <c r="W31" i="33"/>
  <c r="W45" i="33"/>
  <c r="H31" i="12"/>
  <c r="Z22" i="12"/>
  <c r="Z31" i="12"/>
  <c r="Q31" i="12"/>
  <c r="Q22" i="12"/>
  <c r="H22" i="12"/>
  <c r="Q13" i="12"/>
  <c r="H13" i="12"/>
  <c r="Z4" i="12"/>
  <c r="Q4" i="12"/>
  <c r="Z13" i="12"/>
  <c r="H4" i="12"/>
  <c r="L16" i="968"/>
  <c r="A4" i="968"/>
  <c r="F1" i="968"/>
  <c r="B36" i="18"/>
  <c r="B29" i="18"/>
  <c r="L43" i="19"/>
  <c r="L39" i="19"/>
  <c r="L35" i="19"/>
  <c r="L31" i="19"/>
  <c r="L27" i="19"/>
  <c r="L23" i="19"/>
  <c r="L19" i="19"/>
  <c r="L15" i="19"/>
  <c r="L11" i="19"/>
  <c r="L7" i="19"/>
  <c r="L3" i="19"/>
  <c r="Q39" i="10"/>
  <c r="B39" i="10" s="1"/>
  <c r="Q38" i="10" s="1"/>
  <c r="B38" i="10" s="1"/>
  <c r="B37" i="10" s="1"/>
  <c r="Q36" i="10" s="1"/>
  <c r="E36" i="10" s="1"/>
  <c r="Q35" i="10" s="1"/>
  <c r="E35" i="10" s="1"/>
  <c r="B34" i="10" s="1"/>
  <c r="AA33" i="10" s="1"/>
  <c r="Q33" i="10" s="1"/>
  <c r="B33" i="10" s="1"/>
  <c r="B32" i="10" s="1"/>
  <c r="B31" i="10" s="1"/>
  <c r="Q30" i="10" s="1"/>
  <c r="B30" i="10" s="1"/>
  <c r="Q29" i="10" s="1"/>
  <c r="B29" i="10" s="1"/>
  <c r="Q28" i="10" s="1"/>
  <c r="B28" i="10" s="1"/>
  <c r="Q27" i="10" s="1"/>
  <c r="B27" i="10" s="1"/>
  <c r="B26" i="10" s="1"/>
  <c r="X24" i="10" s="1"/>
  <c r="N24" i="10" s="1"/>
  <c r="B24" i="10" s="1"/>
  <c r="B23" i="10" s="1"/>
  <c r="Q22" i="10" s="1"/>
  <c r="B22" i="10" s="1"/>
  <c r="Q21" i="10" s="1"/>
  <c r="J1" i="24"/>
  <c r="AF2" i="11"/>
  <c r="V2" i="11"/>
  <c r="X19" i="12"/>
  <c r="E51" i="11"/>
  <c r="A62" i="5"/>
  <c r="C60" i="5" s="1"/>
  <c r="C58" i="5" s="1"/>
  <c r="C57" i="5" s="1"/>
  <c r="C56" i="5" s="1"/>
  <c r="C55" i="5" s="1"/>
  <c r="C54" i="5" s="1"/>
  <c r="C53" i="5" s="1"/>
  <c r="C52" i="5" s="1"/>
  <c r="C51" i="5" s="1"/>
  <c r="C21" i="4" s="1"/>
  <c r="C20" i="4" s="1"/>
  <c r="F1" i="23"/>
  <c r="V3" i="11"/>
  <c r="AF3" i="11"/>
  <c r="X28" i="12"/>
  <c r="E52" i="11"/>
  <c r="AS11" i="32"/>
  <c r="G1" i="32" s="1"/>
  <c r="U45" i="33"/>
  <c r="U31" i="33"/>
  <c r="X31" i="12"/>
  <c r="O31" i="12"/>
  <c r="O22" i="12"/>
  <c r="F22" i="12"/>
  <c r="F31" i="12"/>
  <c r="X22" i="12"/>
  <c r="O4" i="12"/>
  <c r="X13" i="12"/>
  <c r="F4" i="12"/>
  <c r="O13" i="12"/>
  <c r="F13" i="12"/>
  <c r="X4" i="12"/>
  <c r="L26" i="24"/>
  <c r="D26" i="23"/>
  <c r="A8" i="32"/>
  <c r="T31" i="33"/>
  <c r="T45" i="33"/>
  <c r="N31" i="12"/>
  <c r="E31" i="12"/>
  <c r="E22" i="12"/>
  <c r="W31" i="12"/>
  <c r="W22" i="12"/>
  <c r="N22" i="12"/>
  <c r="W13" i="12"/>
  <c r="E4" i="12"/>
  <c r="N13" i="12"/>
  <c r="E13" i="12"/>
  <c r="W4" i="12"/>
  <c r="N4" i="12"/>
  <c r="A9" i="968"/>
  <c r="B230" i="7"/>
  <c r="X19" i="24"/>
  <c r="X19" i="23"/>
  <c r="AQ10" i="33"/>
  <c r="AI12" i="32"/>
  <c r="Z12" i="32" s="1"/>
  <c r="Y12" i="32" s="1"/>
  <c r="L12" i="12"/>
  <c r="A7" i="32"/>
  <c r="S31" i="33"/>
  <c r="S45" i="33"/>
  <c r="D31" i="12"/>
  <c r="V22" i="12"/>
  <c r="D22" i="12"/>
  <c r="V31" i="12"/>
  <c r="M31" i="12"/>
  <c r="M22" i="12"/>
  <c r="M13" i="12"/>
  <c r="D13" i="12"/>
  <c r="V4" i="12"/>
  <c r="M4" i="12"/>
  <c r="V13" i="12"/>
  <c r="D4" i="12"/>
  <c r="D3" i="42"/>
  <c r="E3" i="43"/>
  <c r="A5" i="968"/>
  <c r="A9" i="32"/>
  <c r="A3" i="42"/>
  <c r="B1" i="42" s="1"/>
  <c r="C3" i="43"/>
  <c r="B3" i="42"/>
  <c r="B233" i="6"/>
  <c r="B232" i="6" s="1"/>
  <c r="B51" i="38"/>
  <c r="B41" i="38" s="1"/>
  <c r="B33" i="38" s="1"/>
  <c r="B32" i="38" s="1"/>
  <c r="B21" i="38" s="1"/>
  <c r="C39" i="5"/>
  <c r="C41" i="5"/>
  <c r="C40" i="5"/>
  <c r="X12" i="24" l="1"/>
  <c r="L1" i="24" s="1"/>
  <c r="X12" i="23"/>
  <c r="D1" i="23" s="1"/>
  <c r="A8" i="35"/>
  <c r="A9" i="35" s="1"/>
  <c r="A10" i="35" s="1"/>
  <c r="A11" i="35" s="1"/>
  <c r="A12" i="35" s="1"/>
  <c r="A13" i="35" s="1"/>
  <c r="A14" i="35" s="1"/>
  <c r="A15" i="35" s="1"/>
  <c r="A16" i="35" s="1"/>
  <c r="A17" i="35" s="1"/>
  <c r="A18" i="35" s="1"/>
  <c r="A19" i="35" s="1"/>
  <c r="A20" i="35" s="1"/>
  <c r="A21" i="35" s="1"/>
  <c r="A22" i="35" s="1"/>
  <c r="A23" i="35" s="1"/>
  <c r="A24" i="35" s="1"/>
  <c r="A25" i="35" s="1"/>
  <c r="A26" i="35" s="1"/>
  <c r="A27" i="35" s="1"/>
  <c r="A28" i="35" s="1"/>
  <c r="A29" i="35" s="1"/>
  <c r="A30" i="35" s="1"/>
  <c r="A31" i="35" s="1"/>
  <c r="A32" i="35" s="1"/>
  <c r="A33" i="35" s="1"/>
  <c r="A34" i="35" s="1"/>
  <c r="A35" i="35" s="1"/>
  <c r="A36" i="35" s="1"/>
  <c r="A37" i="35" s="1"/>
  <c r="A38" i="35" s="1"/>
  <c r="A39" i="35" s="1"/>
  <c r="A40" i="35" s="1"/>
  <c r="A41" i="35" s="1"/>
  <c r="A42" i="35" s="1"/>
  <c r="A43" i="35" s="1"/>
  <c r="A44" i="35" s="1"/>
  <c r="A45" i="35" s="1"/>
  <c r="A46" i="35" s="1"/>
  <c r="A47" i="35" s="1"/>
  <c r="A48" i="35" s="1"/>
  <c r="A49" i="35" s="1"/>
  <c r="A50" i="35" s="1"/>
  <c r="A51" i="35" s="1"/>
  <c r="A52" i="35" s="1"/>
  <c r="A53" i="35" s="1"/>
  <c r="A54" i="35" s="1"/>
  <c r="D48" i="19"/>
  <c r="J47" i="19"/>
  <c r="K47" i="19"/>
  <c r="L47" i="19" s="1"/>
  <c r="F16" i="7"/>
  <c r="A18" i="7"/>
  <c r="A19" i="7" s="1"/>
  <c r="A20" i="7" s="1"/>
  <c r="A21" i="7" s="1"/>
  <c r="A22" i="7" s="1"/>
  <c r="A23" i="7" s="1"/>
  <c r="A24" i="7" s="1"/>
  <c r="A25" i="7" s="1"/>
  <c r="A26" i="7" s="1"/>
  <c r="A27" i="7" s="1"/>
  <c r="A28" i="7" s="1"/>
  <c r="A29" i="7" s="1"/>
  <c r="A30" i="7" s="1"/>
  <c r="A31" i="7" s="1"/>
  <c r="A32" i="7" s="1"/>
  <c r="A33" i="7" s="1"/>
  <c r="A34" i="7" s="1"/>
  <c r="A35" i="7" s="1"/>
  <c r="A36" i="7" s="1"/>
  <c r="A37" i="7" s="1"/>
  <c r="A38" i="7" s="1"/>
  <c r="A39" i="7" s="1"/>
  <c r="A40" i="7" s="1"/>
  <c r="A41" i="7" s="1"/>
  <c r="A42" i="7" s="1"/>
  <c r="A43" i="7" s="1"/>
  <c r="A44" i="7" s="1"/>
  <c r="A45" i="7" s="1"/>
  <c r="A46" i="7" s="1"/>
  <c r="A47" i="7" s="1"/>
  <c r="A48" i="7" s="1"/>
  <c r="A49" i="7" s="1"/>
  <c r="A50" i="7" s="1"/>
  <c r="A51" i="7" s="1"/>
  <c r="A52" i="7" s="1"/>
  <c r="A53" i="7" s="1"/>
  <c r="A54" i="7" s="1"/>
  <c r="A55" i="7" s="1"/>
  <c r="A56" i="7" s="1"/>
  <c r="A57" i="7" s="1"/>
  <c r="A58" i="7" s="1"/>
  <c r="A59" i="7" s="1"/>
  <c r="A60" i="7" s="1"/>
  <c r="A61" i="7" s="1"/>
  <c r="A62" i="7" s="1"/>
  <c r="A63" i="7" s="1"/>
  <c r="A64" i="7" s="1"/>
  <c r="A65" i="7" s="1"/>
  <c r="A66" i="7" s="1"/>
  <c r="A67" i="7" s="1"/>
  <c r="A68" i="7" s="1"/>
  <c r="A69" i="7" s="1"/>
  <c r="A70" i="7" s="1"/>
  <c r="A71" i="7" s="1"/>
  <c r="A72" i="7" s="1"/>
  <c r="A73" i="7" s="1"/>
  <c r="A74" i="7" s="1"/>
  <c r="A75" i="7" s="1"/>
  <c r="A76" i="7" s="1"/>
  <c r="A77" i="7" s="1"/>
  <c r="A78" i="7" s="1"/>
  <c r="A79" i="7" s="1"/>
  <c r="A80" i="7" s="1"/>
  <c r="A81" i="7" s="1"/>
  <c r="A82" i="7" s="1"/>
  <c r="A83" i="7" s="1"/>
  <c r="A84" i="7" s="1"/>
  <c r="A85" i="7" s="1"/>
  <c r="A86" i="7" s="1"/>
  <c r="A87" i="7" s="1"/>
  <c r="A88" i="7" s="1"/>
  <c r="A89" i="7" s="1"/>
  <c r="A90" i="7" s="1"/>
  <c r="A91" i="7" s="1"/>
  <c r="A92" i="7" s="1"/>
  <c r="A93" i="7" s="1"/>
  <c r="A94" i="7" s="1"/>
  <c r="A95" i="7" s="1"/>
  <c r="A96" i="7" s="1"/>
  <c r="A97" i="7" s="1"/>
  <c r="A98" i="7" s="1"/>
  <c r="A99" i="7" s="1"/>
  <c r="A100" i="7" s="1"/>
  <c r="A101" i="7" s="1"/>
  <c r="A102" i="7" s="1"/>
  <c r="A103" i="7" s="1"/>
  <c r="A104" i="7" s="1"/>
  <c r="A105" i="7" s="1"/>
  <c r="A106" i="7" s="1"/>
  <c r="A107" i="7" s="1"/>
  <c r="A108" i="7" s="1"/>
  <c r="A109" i="7" s="1"/>
  <c r="A110" i="7" s="1"/>
  <c r="A111" i="7" s="1"/>
  <c r="A112" i="7" s="1"/>
  <c r="A113" i="7" s="1"/>
  <c r="A114" i="7" s="1"/>
  <c r="A115" i="7" s="1"/>
  <c r="A116" i="7" s="1"/>
  <c r="A117" i="7" s="1"/>
  <c r="A118" i="7" s="1"/>
  <c r="A119" i="7" s="1"/>
  <c r="A120" i="7" s="1"/>
  <c r="A121" i="7" s="1"/>
  <c r="A122" i="7" s="1"/>
  <c r="A123" i="7" s="1"/>
  <c r="A124" i="7" s="1"/>
  <c r="A125" i="7" s="1"/>
  <c r="A126" i="7" s="1"/>
  <c r="A127" i="7" s="1"/>
  <c r="A128" i="7" s="1"/>
  <c r="A129" i="7" s="1"/>
  <c r="A130" i="7" s="1"/>
  <c r="A131" i="7" s="1"/>
  <c r="A132" i="7" s="1"/>
  <c r="A133" i="7" s="1"/>
  <c r="A134" i="7" s="1"/>
  <c r="A135" i="7" s="1"/>
  <c r="A136" i="7" s="1"/>
  <c r="A137" i="7" s="1"/>
  <c r="A138" i="7" s="1"/>
  <c r="A139" i="7" s="1"/>
  <c r="A140" i="7" s="1"/>
  <c r="A141" i="7" s="1"/>
  <c r="A142" i="7" s="1"/>
  <c r="A143" i="7" s="1"/>
  <c r="A144" i="7" s="1"/>
  <c r="A145" i="7" s="1"/>
  <c r="A146" i="7" s="1"/>
  <c r="A147" i="7" s="1"/>
  <c r="A148" i="7" s="1"/>
  <c r="A149" i="7" s="1"/>
  <c r="A150" i="7" s="1"/>
  <c r="A151" i="7" s="1"/>
  <c r="A152" i="7" s="1"/>
  <c r="A153" i="7" s="1"/>
  <c r="A154" i="7" s="1"/>
  <c r="A155" i="7" s="1"/>
  <c r="A156" i="7" s="1"/>
  <c r="A157" i="7" s="1"/>
  <c r="A158" i="7" s="1"/>
  <c r="A159" i="7" s="1"/>
  <c r="A160" i="7" s="1"/>
  <c r="A161" i="7" s="1"/>
  <c r="A162" i="7" s="1"/>
  <c r="A163" i="7" s="1"/>
  <c r="A164" i="7" s="1"/>
  <c r="A165" i="7" s="1"/>
  <c r="A166" i="7" s="1"/>
  <c r="A167" i="7" s="1"/>
  <c r="A168" i="7" s="1"/>
  <c r="A169" i="7" s="1"/>
  <c r="A170" i="7" s="1"/>
  <c r="A171" i="7" s="1"/>
  <c r="A172" i="7" s="1"/>
  <c r="A173" i="7" s="1"/>
  <c r="A174" i="7" s="1"/>
  <c r="A175" i="7" s="1"/>
  <c r="A176" i="7" s="1"/>
  <c r="A177" i="7" s="1"/>
  <c r="A178" i="7" s="1"/>
  <c r="A179" i="7" s="1"/>
  <c r="A180" i="7" s="1"/>
  <c r="A181" i="7" s="1"/>
  <c r="A182" i="7" s="1"/>
  <c r="A183" i="7" s="1"/>
  <c r="A184" i="7" s="1"/>
  <c r="A185" i="7" s="1"/>
  <c r="A186" i="7" s="1"/>
  <c r="A187" i="7" s="1"/>
  <c r="A188" i="7" s="1"/>
  <c r="A189" i="7" s="1"/>
  <c r="A190" i="7" s="1"/>
  <c r="A191" i="7" s="1"/>
  <c r="A192" i="7" s="1"/>
  <c r="A193" i="7" s="1"/>
  <c r="A194" i="7" s="1"/>
  <c r="A195" i="7" s="1"/>
  <c r="A196" i="7" s="1"/>
  <c r="A197" i="7" s="1"/>
  <c r="A198" i="7" s="1"/>
  <c r="A199" i="7" s="1"/>
  <c r="A200" i="7" s="1"/>
  <c r="A201" i="7" s="1"/>
  <c r="A202" i="7" s="1"/>
  <c r="A203" i="7" s="1"/>
  <c r="A204" i="7" s="1"/>
  <c r="A205" i="7" s="1"/>
  <c r="A206" i="7" s="1"/>
  <c r="A207" i="7" s="1"/>
  <c r="A208" i="7" s="1"/>
  <c r="A209" i="7" s="1"/>
  <c r="A210" i="7" s="1"/>
  <c r="A211" i="7" s="1"/>
  <c r="A212" i="7" s="1"/>
  <c r="A213" i="7" s="1"/>
  <c r="A214" i="7" s="1"/>
  <c r="A215" i="7" s="1"/>
  <c r="A216" i="7" s="1"/>
  <c r="A217" i="7" s="1"/>
  <c r="A218" i="7" s="1"/>
  <c r="A219" i="7" s="1"/>
  <c r="A220" i="7" s="1"/>
  <c r="A221" i="7" s="1"/>
  <c r="A222" i="7" s="1"/>
  <c r="A223" i="7" s="1"/>
  <c r="A224" i="7" s="1"/>
  <c r="A225" i="7" s="1"/>
  <c r="A226" i="7" s="1"/>
  <c r="A227" i="7" s="1"/>
  <c r="A228" i="7" s="1"/>
  <c r="A229" i="7" s="1"/>
  <c r="A230" i="7" s="1"/>
  <c r="A231" i="7" s="1"/>
  <c r="A232" i="7" s="1"/>
  <c r="A233" i="7" s="1"/>
  <c r="A234" i="7" s="1"/>
  <c r="A235" i="7" s="1"/>
  <c r="A236" i="7" s="1"/>
  <c r="A237" i="7" s="1"/>
  <c r="A238" i="7" s="1"/>
  <c r="A239" i="7" s="1"/>
  <c r="A240" i="7" s="1"/>
  <c r="A241" i="7" s="1"/>
  <c r="A242" i="7" s="1"/>
  <c r="A243" i="7" s="1"/>
  <c r="A244" i="7" s="1"/>
  <c r="A245" i="7" s="1"/>
  <c r="A246" i="7" s="1"/>
  <c r="A247" i="7" s="1"/>
  <c r="A248" i="7" s="1"/>
  <c r="A249" i="7" s="1"/>
  <c r="A250" i="7" s="1"/>
  <c r="A251" i="7" s="1"/>
  <c r="A252" i="7" s="1"/>
  <c r="A253" i="7" s="1"/>
  <c r="A254" i="7" s="1"/>
  <c r="A255" i="7" s="1"/>
  <c r="A256" i="7" s="1"/>
  <c r="A257" i="7" s="1"/>
  <c r="A258" i="7" s="1"/>
  <c r="A259" i="7" s="1"/>
  <c r="A260" i="7" s="1"/>
  <c r="A261" i="7" s="1"/>
  <c r="A262" i="7" s="1"/>
  <c r="A263" i="7" s="1"/>
  <c r="A264" i="7" s="1"/>
  <c r="A265" i="7" s="1"/>
  <c r="A266" i="7" s="1"/>
  <c r="A267" i="7" s="1"/>
  <c r="A268" i="7" s="1"/>
  <c r="A269" i="7" s="1"/>
  <c r="A270" i="7" s="1"/>
  <c r="A271" i="7" s="1"/>
  <c r="A272" i="7" s="1"/>
  <c r="A273" i="7" s="1"/>
  <c r="A274" i="7" s="1"/>
  <c r="A275" i="7" s="1"/>
  <c r="A276" i="7" s="1"/>
  <c r="A277" i="7" s="1"/>
  <c r="A278" i="7" s="1"/>
  <c r="A279" i="7" s="1"/>
  <c r="A280" i="7" s="1"/>
  <c r="A281" i="7" s="1"/>
  <c r="A282" i="7" s="1"/>
  <c r="A283" i="7" s="1"/>
  <c r="A284" i="7" s="1"/>
  <c r="A285" i="7" s="1"/>
  <c r="A286" i="7" s="1"/>
  <c r="A287" i="7" s="1"/>
  <c r="A288" i="7" s="1"/>
  <c r="A289" i="7" s="1"/>
  <c r="A290" i="7" s="1"/>
  <c r="A291" i="7" s="1"/>
  <c r="A292" i="7" s="1"/>
  <c r="A293" i="7" s="1"/>
  <c r="A294" i="7" s="1"/>
  <c r="A295" i="7" s="1"/>
  <c r="A296" i="7" s="1"/>
  <c r="A297" i="7" s="1"/>
  <c r="A298" i="7" s="1"/>
  <c r="A299" i="7" s="1"/>
  <c r="A300" i="7" s="1"/>
  <c r="A301" i="7" s="1"/>
  <c r="A302" i="7" s="1"/>
  <c r="A303" i="7" s="1"/>
  <c r="A304" i="7" s="1"/>
  <c r="A305" i="7" s="1"/>
  <c r="A306" i="7" s="1"/>
  <c r="A307" i="7" s="1"/>
  <c r="A308" i="7" s="1"/>
  <c r="A309" i="7" s="1"/>
  <c r="A310" i="7" s="1"/>
  <c r="A311" i="7" s="1"/>
  <c r="A312" i="7" s="1"/>
  <c r="A313" i="7" s="1"/>
  <c r="A314" i="7" s="1"/>
  <c r="A315" i="7" s="1"/>
  <c r="A316" i="7" s="1"/>
  <c r="A317" i="7" s="1"/>
  <c r="A318" i="7" s="1"/>
  <c r="A319" i="7" s="1"/>
  <c r="A320" i="7" s="1"/>
  <c r="A321" i="7" s="1"/>
  <c r="A322" i="7" s="1"/>
  <c r="A323" i="7" s="1"/>
  <c r="A324" i="7" s="1"/>
  <c r="A325" i="7" s="1"/>
  <c r="A326" i="7" s="1"/>
  <c r="A327" i="7" s="1"/>
  <c r="A328" i="7" s="1"/>
  <c r="A329" i="7" s="1"/>
  <c r="A330" i="7" s="1"/>
  <c r="A331" i="7" s="1"/>
  <c r="A332" i="7" s="1"/>
  <c r="A333" i="7" s="1"/>
  <c r="A334" i="7" s="1"/>
  <c r="A335" i="7" s="1"/>
  <c r="A336" i="7" s="1"/>
  <c r="A337" i="7" s="1"/>
  <c r="A338" i="7" s="1"/>
  <c r="A339" i="7" s="1"/>
  <c r="A340" i="7" s="1"/>
  <c r="A341" i="7" s="1"/>
  <c r="A342" i="7" s="1"/>
  <c r="A343" i="7" s="1"/>
  <c r="A344" i="7" s="1"/>
  <c r="A345" i="7" s="1"/>
  <c r="A346" i="7" s="1"/>
  <c r="A347" i="7" s="1"/>
  <c r="A348" i="7" s="1"/>
  <c r="A349" i="7" s="1"/>
  <c r="A350" i="7" s="1"/>
  <c r="A351" i="7" s="1"/>
  <c r="A352" i="7" s="1"/>
  <c r="A353" i="7" s="1"/>
  <c r="A354" i="7" s="1"/>
  <c r="A355" i="7" s="1"/>
  <c r="A356" i="7" s="1"/>
  <c r="A357" i="7" s="1"/>
  <c r="A358" i="7" s="1"/>
  <c r="A359" i="7" s="1"/>
  <c r="A360" i="7" s="1"/>
  <c r="A361" i="7" s="1"/>
  <c r="A362" i="7" s="1"/>
  <c r="A363" i="7" s="1"/>
  <c r="A364" i="7" s="1"/>
  <c r="A365" i="7" s="1"/>
  <c r="A366" i="7" s="1"/>
  <c r="A367" i="7" s="1"/>
  <c r="A368" i="7" s="1"/>
  <c r="A369" i="7" s="1"/>
  <c r="A370" i="7" s="1"/>
  <c r="A371" i="7" s="1"/>
  <c r="A372" i="7" s="1"/>
  <c r="R43" i="33"/>
  <c r="R30" i="33"/>
  <c r="R16" i="33"/>
  <c r="AT17" i="33" s="1"/>
  <c r="L1" i="32"/>
  <c r="AL2" i="32" s="1"/>
  <c r="M38" i="11"/>
  <c r="M36" i="11"/>
  <c r="M30" i="11"/>
  <c r="M29" i="11"/>
  <c r="M32" i="11"/>
  <c r="M35" i="11"/>
  <c r="M37" i="11"/>
  <c r="M41" i="11"/>
  <c r="M40" i="11"/>
  <c r="M39" i="11"/>
  <c r="M31" i="11"/>
  <c r="M34" i="11"/>
  <c r="M33" i="11"/>
  <c r="R39" i="33"/>
  <c r="S39" i="33" s="1"/>
  <c r="T39" i="33" s="1"/>
  <c r="U39" i="33" s="1"/>
  <c r="V39" i="33" s="1"/>
  <c r="W39" i="33" s="1"/>
  <c r="X39" i="33" s="1"/>
  <c r="AP37" i="33"/>
  <c r="AA7" i="33"/>
  <c r="AB7" i="33"/>
  <c r="AA8" i="33"/>
  <c r="AB8" i="33"/>
  <c r="AA53" i="33"/>
  <c r="AB30" i="33"/>
  <c r="AB53" i="33"/>
  <c r="AA29" i="33"/>
  <c r="A31" i="33"/>
  <c r="AB29" i="33"/>
  <c r="AA30" i="33"/>
  <c r="AU8" i="32"/>
  <c r="AT8" i="32" s="1"/>
  <c r="AS8" i="32" s="1"/>
  <c r="C14" i="4"/>
  <c r="C13" i="4"/>
  <c r="C52" i="21"/>
  <c r="C51" i="21"/>
  <c r="BB22" i="12"/>
  <c r="BA22" i="12" s="1"/>
  <c r="AZ22" i="12" s="1"/>
  <c r="AY22" i="12" s="1"/>
  <c r="AX22" i="12" s="1"/>
  <c r="AW22" i="12" s="1"/>
  <c r="AT22" i="12" s="1"/>
  <c r="AS22" i="12" s="1"/>
  <c r="AR22" i="12" s="1"/>
  <c r="AQ22" i="12" s="1"/>
  <c r="AP22" i="12" s="1"/>
  <c r="AO22" i="12" s="1"/>
  <c r="AN22" i="12" s="1"/>
  <c r="AK22" i="12" s="1"/>
  <c r="AJ22" i="12" s="1"/>
  <c r="AI22" i="12" s="1"/>
  <c r="AH22" i="12" s="1"/>
  <c r="AG22" i="12" s="1"/>
  <c r="AF22" i="12" s="1"/>
  <c r="AE22" i="12" s="1"/>
  <c r="D2" i="11"/>
  <c r="C2" i="21"/>
  <c r="C62" i="21" s="1"/>
  <c r="C122" i="21" s="1"/>
  <c r="C182" i="21" s="1"/>
  <c r="C50" i="21"/>
  <c r="C53" i="21"/>
  <c r="BB4" i="12"/>
  <c r="BA4" i="12" s="1"/>
  <c r="AZ4" i="12" s="1"/>
  <c r="AY4" i="12" s="1"/>
  <c r="AX4" i="12" s="1"/>
  <c r="AW4" i="12" s="1"/>
  <c r="AT4" i="12" s="1"/>
  <c r="AS4" i="12" s="1"/>
  <c r="AR4" i="12" s="1"/>
  <c r="AQ4" i="12" s="1"/>
  <c r="AP4" i="12" s="1"/>
  <c r="AO4" i="12" s="1"/>
  <c r="AN4" i="12" s="1"/>
  <c r="AK4" i="12" s="1"/>
  <c r="AJ4" i="12" s="1"/>
  <c r="AI4" i="12" s="1"/>
  <c r="AH4" i="12" s="1"/>
  <c r="AG4" i="12" s="1"/>
  <c r="AF4" i="12" s="1"/>
  <c r="AE4" i="12" s="1"/>
  <c r="BB13" i="12"/>
  <c r="BA13" i="12" s="1"/>
  <c r="AZ13" i="12" s="1"/>
  <c r="AY13" i="12" s="1"/>
  <c r="AX13" i="12" s="1"/>
  <c r="AW13" i="12" s="1"/>
  <c r="AT13" i="12" s="1"/>
  <c r="AS13" i="12" s="1"/>
  <c r="AR13" i="12" s="1"/>
  <c r="AQ13" i="12" s="1"/>
  <c r="AP13" i="12" s="1"/>
  <c r="AO13" i="12" s="1"/>
  <c r="AN13" i="12" s="1"/>
  <c r="AK13" i="12" s="1"/>
  <c r="AJ13" i="12" s="1"/>
  <c r="AI13" i="12" s="1"/>
  <c r="AH13" i="12" s="1"/>
  <c r="AG13" i="12" s="1"/>
  <c r="AF13" i="12" s="1"/>
  <c r="AE13" i="12" s="1"/>
  <c r="AV31" i="33"/>
  <c r="AU31" i="33" s="1"/>
  <c r="AT31" i="33" s="1"/>
  <c r="AS31" i="33" s="1"/>
  <c r="AR31" i="33" s="1"/>
  <c r="AQ31" i="33" s="1"/>
  <c r="BB31" i="12"/>
  <c r="BA31" i="12" s="1"/>
  <c r="AZ31" i="12" s="1"/>
  <c r="AY31" i="12" s="1"/>
  <c r="AX31" i="12" s="1"/>
  <c r="AW31" i="12" s="1"/>
  <c r="AT31" i="12" s="1"/>
  <c r="AS31" i="12" s="1"/>
  <c r="AR31" i="12" s="1"/>
  <c r="AQ31" i="12" s="1"/>
  <c r="AP31" i="12" s="1"/>
  <c r="AO31" i="12" s="1"/>
  <c r="AN31" i="12" s="1"/>
  <c r="AK31" i="12" s="1"/>
  <c r="AJ31" i="12" s="1"/>
  <c r="AI31" i="12" s="1"/>
  <c r="AH31" i="12" s="1"/>
  <c r="AG31" i="12" s="1"/>
  <c r="AF31" i="12" s="1"/>
  <c r="AE31" i="12" s="1"/>
  <c r="AV45" i="33"/>
  <c r="AU45" i="33" s="1"/>
  <c r="AT45" i="33" s="1"/>
  <c r="AS45" i="33" s="1"/>
  <c r="AR45" i="33" s="1"/>
  <c r="AQ45" i="33" s="1"/>
  <c r="A39" i="32" l="1"/>
  <c r="AK56" i="32"/>
  <c r="E16" i="7"/>
  <c r="C16" i="7"/>
  <c r="D49" i="19"/>
  <c r="J48" i="19"/>
  <c r="K48" i="19"/>
  <c r="L48" i="19" s="1"/>
  <c r="AP39" i="33"/>
  <c r="R41" i="33"/>
  <c r="S41" i="33" s="1"/>
  <c r="T41" i="33" s="1"/>
  <c r="U41" i="33" s="1"/>
  <c r="V41" i="33" s="1"/>
  <c r="W41" i="33" s="1"/>
  <c r="X41" i="33" s="1"/>
  <c r="AA33" i="33"/>
  <c r="AB31" i="33"/>
  <c r="A35" i="33"/>
  <c r="AB33" i="33"/>
  <c r="AA31" i="33"/>
  <c r="C2" i="11"/>
  <c r="B2" i="11" s="1"/>
  <c r="V1" i="11" s="1"/>
  <c r="B62" i="21"/>
  <c r="B30" i="18"/>
  <c r="B20" i="38" l="1"/>
  <c r="B11" i="38" s="1"/>
  <c r="B10" i="38" s="1"/>
  <c r="B5" i="38" s="1"/>
  <c r="B3" i="38" s="1"/>
  <c r="B26" i="46" s="1"/>
  <c r="D50" i="19"/>
  <c r="J49" i="19"/>
  <c r="K49" i="19"/>
  <c r="L49" i="19" s="1"/>
  <c r="Q1" i="32"/>
  <c r="AQ2" i="32" s="1"/>
  <c r="AN41" i="33"/>
  <c r="AP41" i="33"/>
  <c r="AB37" i="33"/>
  <c r="AA37" i="33"/>
  <c r="AA35" i="33"/>
  <c r="A39" i="33"/>
  <c r="AB35" i="33"/>
  <c r="E62" i="21"/>
  <c r="F62" i="21" s="1"/>
  <c r="Z2" i="11"/>
  <c r="Z3" i="11"/>
  <c r="B42" i="11"/>
  <c r="A42" i="21" s="1"/>
  <c r="A102" i="21" s="1"/>
  <c r="A162" i="21" s="1"/>
  <c r="A222" i="21" s="1"/>
  <c r="B49" i="11"/>
  <c r="A49" i="21" s="1"/>
  <c r="A109" i="21" s="1"/>
  <c r="A169" i="21" s="1"/>
  <c r="A229" i="21" s="1"/>
  <c r="B28" i="11"/>
  <c r="A28" i="21" s="1"/>
  <c r="A88" i="21" s="1"/>
  <c r="A148" i="21" s="1"/>
  <c r="A208" i="21" s="1"/>
  <c r="B33" i="18"/>
  <c r="B31" i="18"/>
  <c r="B34" i="18"/>
  <c r="B32" i="18"/>
  <c r="C110" i="21"/>
  <c r="C170" i="21" s="1"/>
  <c r="C230" i="21" s="1"/>
  <c r="C111" i="21"/>
  <c r="C171" i="21" s="1"/>
  <c r="C231" i="21" s="1"/>
  <c r="C112" i="21"/>
  <c r="C172" i="21" s="1"/>
  <c r="C232" i="21" s="1"/>
  <c r="C113" i="21"/>
  <c r="C173" i="21" s="1"/>
  <c r="C233" i="21" s="1"/>
  <c r="S27" i="11"/>
  <c r="C186" i="21"/>
  <c r="C189" i="21"/>
  <c r="C185" i="21"/>
  <c r="C127" i="21"/>
  <c r="C187" i="21" s="1"/>
  <c r="C134" i="21"/>
  <c r="C194" i="21" s="1"/>
  <c r="C135" i="21"/>
  <c r="C195" i="21" s="1"/>
  <c r="C131" i="21"/>
  <c r="C191" i="21" s="1"/>
  <c r="C133" i="21"/>
  <c r="C193" i="21" s="1"/>
  <c r="C184" i="21"/>
  <c r="C197" i="21"/>
  <c r="C199" i="21"/>
  <c r="C141" i="21"/>
  <c r="C201" i="21" s="1"/>
  <c r="C146" i="21"/>
  <c r="C206" i="21" s="1"/>
  <c r="C207" i="21"/>
  <c r="C203" i="21"/>
  <c r="C196" i="21"/>
  <c r="C144" i="21"/>
  <c r="C204" i="21" s="1"/>
  <c r="C200" i="21"/>
  <c r="C205" i="21"/>
  <c r="C227" i="21"/>
  <c r="C223" i="21"/>
  <c r="C224" i="21"/>
  <c r="C215" i="21"/>
  <c r="C228" i="21"/>
  <c r="C211" i="21"/>
  <c r="C161" i="21"/>
  <c r="C221" i="21" s="1"/>
  <c r="C210" i="21"/>
  <c r="C212" i="21"/>
  <c r="C209" i="21"/>
  <c r="C225" i="21"/>
  <c r="J50" i="19" l="1"/>
  <c r="K50" i="19"/>
  <c r="L50" i="19" s="1"/>
  <c r="D51" i="19"/>
  <c r="R1" i="33"/>
  <c r="AT2" i="33" s="1"/>
  <c r="H1" i="33"/>
  <c r="AH2" i="33" s="1"/>
  <c r="M1" i="33"/>
  <c r="AM2" i="33" s="1"/>
  <c r="C1" i="33"/>
  <c r="AC2" i="33" s="1"/>
  <c r="AO41" i="33"/>
  <c r="S33" i="33" s="1"/>
  <c r="R33" i="33"/>
  <c r="I6" i="11"/>
  <c r="D6" i="21" s="1"/>
  <c r="D66" i="21" s="1"/>
  <c r="D126" i="21" s="1"/>
  <c r="D186" i="21" s="1"/>
  <c r="AA41" i="33"/>
  <c r="AB39" i="33"/>
  <c r="A43" i="33"/>
  <c r="AB41" i="33"/>
  <c r="AA39" i="33"/>
  <c r="I12" i="11"/>
  <c r="D12" i="21" s="1"/>
  <c r="D72" i="21" s="1"/>
  <c r="D132" i="21" s="1"/>
  <c r="D192" i="21" s="1"/>
  <c r="I22" i="11"/>
  <c r="D22" i="21" s="1"/>
  <c r="D82" i="21" s="1"/>
  <c r="D142" i="21" s="1"/>
  <c r="D202" i="21" s="1"/>
  <c r="I49" i="11"/>
  <c r="I42" i="11"/>
  <c r="I5" i="11"/>
  <c r="D5" i="21" s="1"/>
  <c r="D65" i="21" s="1"/>
  <c r="D125" i="21" s="1"/>
  <c r="D185" i="21" s="1"/>
  <c r="I26" i="11"/>
  <c r="D26" i="21" s="1"/>
  <c r="D86" i="21" s="1"/>
  <c r="D146" i="21" s="1"/>
  <c r="D206" i="21" s="1"/>
  <c r="I23" i="11"/>
  <c r="D23" i="21" s="1"/>
  <c r="D83" i="21" s="1"/>
  <c r="D143" i="21" s="1"/>
  <c r="D203" i="21" s="1"/>
  <c r="I52" i="11"/>
  <c r="D52" i="21" s="1"/>
  <c r="D112" i="21" s="1"/>
  <c r="D172" i="21" s="1"/>
  <c r="D232" i="21" s="1"/>
  <c r="I14" i="11"/>
  <c r="D14" i="21" s="1"/>
  <c r="D74" i="21" s="1"/>
  <c r="D134" i="21" s="1"/>
  <c r="D194" i="21" s="1"/>
  <c r="I9" i="11"/>
  <c r="D9" i="21" s="1"/>
  <c r="D69" i="21" s="1"/>
  <c r="D129" i="21" s="1"/>
  <c r="D189" i="21" s="1"/>
  <c r="I32" i="11"/>
  <c r="D32" i="21" s="1"/>
  <c r="D92" i="21" s="1"/>
  <c r="D152" i="21" s="1"/>
  <c r="D212" i="21" s="1"/>
  <c r="I4" i="11"/>
  <c r="D4" i="21" s="1"/>
  <c r="D64" i="21" s="1"/>
  <c r="D124" i="21" s="1"/>
  <c r="D184" i="21" s="1"/>
  <c r="I17" i="11"/>
  <c r="D17" i="21" s="1"/>
  <c r="D77" i="21" s="1"/>
  <c r="D137" i="21" s="1"/>
  <c r="D197" i="21" s="1"/>
  <c r="I8" i="11"/>
  <c r="D8" i="21" s="1"/>
  <c r="D68" i="21" s="1"/>
  <c r="D128" i="21" s="1"/>
  <c r="D188" i="21" s="1"/>
  <c r="AB2" i="11"/>
  <c r="I45" i="11"/>
  <c r="D45" i="21" s="1"/>
  <c r="D105" i="21" s="1"/>
  <c r="D165" i="21" s="1"/>
  <c r="D225" i="21" s="1"/>
  <c r="I24" i="11"/>
  <c r="D24" i="21" s="1"/>
  <c r="D84" i="21" s="1"/>
  <c r="D144" i="21" s="1"/>
  <c r="D204" i="21" s="1"/>
  <c r="I44" i="11"/>
  <c r="D44" i="21" s="1"/>
  <c r="D104" i="21" s="1"/>
  <c r="D164" i="21" s="1"/>
  <c r="D224" i="21" s="1"/>
  <c r="I10" i="11"/>
  <c r="D10" i="21" s="1"/>
  <c r="D70" i="21" s="1"/>
  <c r="D130" i="21" s="1"/>
  <c r="D190" i="21" s="1"/>
  <c r="I34" i="11"/>
  <c r="D34" i="21" s="1"/>
  <c r="D94" i="21" s="1"/>
  <c r="D154" i="21" s="1"/>
  <c r="D214" i="21" s="1"/>
  <c r="I29" i="11"/>
  <c r="D29" i="21" s="1"/>
  <c r="D89" i="21" s="1"/>
  <c r="D149" i="21" s="1"/>
  <c r="D209" i="21" s="1"/>
  <c r="I28" i="11"/>
  <c r="I46" i="11"/>
  <c r="D46" i="21" s="1"/>
  <c r="D106" i="21" s="1"/>
  <c r="D166" i="21" s="1"/>
  <c r="D226" i="21" s="1"/>
  <c r="I39" i="11"/>
  <c r="D39" i="21" s="1"/>
  <c r="D99" i="21" s="1"/>
  <c r="D159" i="21" s="1"/>
  <c r="D219" i="21" s="1"/>
  <c r="I25" i="11"/>
  <c r="D25" i="21" s="1"/>
  <c r="D85" i="21" s="1"/>
  <c r="D145" i="21" s="1"/>
  <c r="D205" i="21" s="1"/>
  <c r="I19" i="11"/>
  <c r="D19" i="21" s="1"/>
  <c r="D79" i="21" s="1"/>
  <c r="D139" i="21" s="1"/>
  <c r="D199" i="21" s="1"/>
  <c r="I15" i="11"/>
  <c r="D15" i="21" s="1"/>
  <c r="D75" i="21" s="1"/>
  <c r="D135" i="21" s="1"/>
  <c r="D195" i="21" s="1"/>
  <c r="I35" i="11"/>
  <c r="D35" i="21" s="1"/>
  <c r="D95" i="21" s="1"/>
  <c r="D155" i="21" s="1"/>
  <c r="D215" i="21" s="1"/>
  <c r="I30" i="11"/>
  <c r="D30" i="21" s="1"/>
  <c r="D90" i="21" s="1"/>
  <c r="D150" i="21" s="1"/>
  <c r="D210" i="21" s="1"/>
  <c r="I27" i="11"/>
  <c r="D27" i="21" s="1"/>
  <c r="D87" i="21" s="1"/>
  <c r="D147" i="21" s="1"/>
  <c r="D207" i="21" s="1"/>
  <c r="I47" i="11"/>
  <c r="D47" i="21" s="1"/>
  <c r="D107" i="21" s="1"/>
  <c r="D167" i="21" s="1"/>
  <c r="D227" i="21" s="1"/>
  <c r="I37" i="11"/>
  <c r="D37" i="21" s="1"/>
  <c r="D97" i="21" s="1"/>
  <c r="D157" i="21" s="1"/>
  <c r="D217" i="21" s="1"/>
  <c r="I20" i="11"/>
  <c r="D20" i="21" s="1"/>
  <c r="D80" i="21" s="1"/>
  <c r="D140" i="21" s="1"/>
  <c r="D200" i="21" s="1"/>
  <c r="I16" i="11"/>
  <c r="D16" i="21" s="1"/>
  <c r="D76" i="21" s="1"/>
  <c r="D136" i="21" s="1"/>
  <c r="D196" i="21" s="1"/>
  <c r="I50" i="11"/>
  <c r="D50" i="21" s="1"/>
  <c r="D110" i="21" s="1"/>
  <c r="D170" i="21" s="1"/>
  <c r="D230" i="21" s="1"/>
  <c r="I38" i="11"/>
  <c r="D38" i="21" s="1"/>
  <c r="D98" i="21" s="1"/>
  <c r="D158" i="21" s="1"/>
  <c r="D218" i="21" s="1"/>
  <c r="I40" i="11"/>
  <c r="D40" i="21" s="1"/>
  <c r="D100" i="21" s="1"/>
  <c r="D160" i="21" s="1"/>
  <c r="D220" i="21" s="1"/>
  <c r="I48" i="11"/>
  <c r="D48" i="21" s="1"/>
  <c r="D108" i="21" s="1"/>
  <c r="D168" i="21" s="1"/>
  <c r="D228" i="21" s="1"/>
  <c r="I41" i="11"/>
  <c r="D41" i="21" s="1"/>
  <c r="D101" i="21" s="1"/>
  <c r="D161" i="21" s="1"/>
  <c r="D221" i="21" s="1"/>
  <c r="AB3" i="11"/>
  <c r="I21" i="11"/>
  <c r="D21" i="21" s="1"/>
  <c r="D81" i="21" s="1"/>
  <c r="D141" i="21" s="1"/>
  <c r="D201" i="21" s="1"/>
  <c r="I13" i="11"/>
  <c r="D13" i="21" s="1"/>
  <c r="D73" i="21" s="1"/>
  <c r="D133" i="21" s="1"/>
  <c r="D193" i="21" s="1"/>
  <c r="I43" i="11"/>
  <c r="D43" i="21" s="1"/>
  <c r="D103" i="21" s="1"/>
  <c r="D163" i="21" s="1"/>
  <c r="D223" i="21" s="1"/>
  <c r="I33" i="11"/>
  <c r="D33" i="21" s="1"/>
  <c r="D93" i="21" s="1"/>
  <c r="D153" i="21" s="1"/>
  <c r="D213" i="21" s="1"/>
  <c r="I31" i="11"/>
  <c r="D31" i="21" s="1"/>
  <c r="D91" i="21" s="1"/>
  <c r="D151" i="21" s="1"/>
  <c r="D211" i="21" s="1"/>
  <c r="I36" i="11"/>
  <c r="D36" i="21" s="1"/>
  <c r="D96" i="21" s="1"/>
  <c r="D156" i="21" s="1"/>
  <c r="D216" i="21" s="1"/>
  <c r="I53" i="11"/>
  <c r="D53" i="21" s="1"/>
  <c r="D113" i="21" s="1"/>
  <c r="D173" i="21" s="1"/>
  <c r="D233" i="21" s="1"/>
  <c r="I18" i="11"/>
  <c r="D18" i="21" s="1"/>
  <c r="D78" i="21" s="1"/>
  <c r="D138" i="21" s="1"/>
  <c r="D198" i="21" s="1"/>
  <c r="I51" i="11"/>
  <c r="D51" i="21" s="1"/>
  <c r="D111" i="21" s="1"/>
  <c r="D171" i="21" s="1"/>
  <c r="D231" i="21" s="1"/>
  <c r="I11" i="11"/>
  <c r="D11" i="21" s="1"/>
  <c r="D71" i="21" s="1"/>
  <c r="D131" i="21" s="1"/>
  <c r="D191" i="21" s="1"/>
  <c r="I7" i="11"/>
  <c r="D7" i="21" s="1"/>
  <c r="D67" i="21" s="1"/>
  <c r="D127" i="21" s="1"/>
  <c r="D187" i="21" s="1"/>
  <c r="D52" i="19" l="1"/>
  <c r="J51" i="19"/>
  <c r="K51" i="19"/>
  <c r="L51" i="19" s="1"/>
  <c r="A47" i="33"/>
  <c r="AB45" i="33"/>
  <c r="AA45" i="33"/>
  <c r="AA43" i="33"/>
  <c r="AB43" i="33"/>
  <c r="D53" i="19" l="1"/>
  <c r="J52" i="19"/>
  <c r="K52" i="19"/>
  <c r="L52" i="19" s="1"/>
  <c r="AA49" i="33"/>
  <c r="AA47" i="33"/>
  <c r="AB49" i="33"/>
  <c r="AB47" i="33"/>
  <c r="A50" i="33"/>
  <c r="D54" i="19" l="1"/>
  <c r="J53" i="19"/>
  <c r="K53" i="19"/>
  <c r="L53" i="19" s="1"/>
  <c r="AB51" i="33"/>
  <c r="AA51" i="33"/>
  <c r="A52" i="33"/>
  <c r="AB50" i="33"/>
  <c r="AA50" i="33"/>
  <c r="D55" i="19" l="1"/>
  <c r="J54" i="19"/>
  <c r="K54" i="19"/>
  <c r="L54" i="19" s="1"/>
  <c r="AA52" i="33"/>
  <c r="AB52" i="33"/>
  <c r="D56" i="19" l="1"/>
  <c r="J55" i="19"/>
  <c r="K55" i="19"/>
  <c r="L55" i="19" s="1"/>
  <c r="B31" i="5"/>
  <c r="C31" i="5" s="1"/>
  <c r="D33" i="5"/>
  <c r="O11" i="8"/>
  <c r="P11" i="8" s="1"/>
  <c r="O20" i="8"/>
  <c r="P20" i="8" s="1"/>
  <c r="O36" i="8"/>
  <c r="P36" i="8" s="1"/>
  <c r="O52" i="8"/>
  <c r="P52" i="8" s="1"/>
  <c r="O68" i="8"/>
  <c r="P68" i="8" s="1"/>
  <c r="O84" i="8"/>
  <c r="P84" i="8" s="1"/>
  <c r="O100" i="8"/>
  <c r="P100" i="8" s="1"/>
  <c r="O116" i="8"/>
  <c r="P116" i="8" s="1"/>
  <c r="O132" i="8"/>
  <c r="P132" i="8" s="1"/>
  <c r="O148" i="8"/>
  <c r="P148" i="8" s="1"/>
  <c r="O7" i="8"/>
  <c r="P7" i="8" s="1"/>
  <c r="O16" i="8"/>
  <c r="P16" i="8" s="1"/>
  <c r="O32" i="8"/>
  <c r="P32" i="8" s="1"/>
  <c r="O48" i="8"/>
  <c r="P48" i="8" s="1"/>
  <c r="O64" i="8"/>
  <c r="P64" i="8" s="1"/>
  <c r="O80" i="8"/>
  <c r="P80" i="8" s="1"/>
  <c r="O96" i="8"/>
  <c r="P96" i="8" s="1"/>
  <c r="O112" i="8"/>
  <c r="P112" i="8" s="1"/>
  <c r="O128" i="8"/>
  <c r="P128" i="8" s="1"/>
  <c r="O144" i="8"/>
  <c r="P144" i="8" s="1"/>
  <c r="O153" i="8"/>
  <c r="O2" i="8"/>
  <c r="P2" i="8" s="1"/>
  <c r="O3" i="8"/>
  <c r="P3" i="8" s="1"/>
  <c r="O4" i="8"/>
  <c r="P4" i="8" s="1"/>
  <c r="O5" i="8"/>
  <c r="P5" i="8" s="1"/>
  <c r="O6" i="8"/>
  <c r="P6" i="8" s="1"/>
  <c r="O8" i="8"/>
  <c r="P8" i="8" s="1"/>
  <c r="O9" i="8"/>
  <c r="P9" i="8" s="1"/>
  <c r="O10" i="8"/>
  <c r="P10" i="8" s="1"/>
  <c r="O12" i="8"/>
  <c r="P12" i="8" s="1"/>
  <c r="O13" i="8"/>
  <c r="P13" i="8" s="1"/>
  <c r="O14" i="8"/>
  <c r="P14" i="8" s="1"/>
  <c r="O15" i="8"/>
  <c r="P15" i="8" s="1"/>
  <c r="O17" i="8"/>
  <c r="P17" i="8" s="1"/>
  <c r="O18" i="8"/>
  <c r="P18" i="8" s="1"/>
  <c r="O19" i="8"/>
  <c r="P19" i="8" s="1"/>
  <c r="O21" i="8"/>
  <c r="P21" i="8" s="1"/>
  <c r="O22" i="8"/>
  <c r="P22" i="8" s="1"/>
  <c r="O23" i="8"/>
  <c r="P23" i="8" s="1"/>
  <c r="O24" i="8"/>
  <c r="P24" i="8" s="1"/>
  <c r="O25" i="8"/>
  <c r="P25" i="8" s="1"/>
  <c r="O26" i="8"/>
  <c r="P26" i="8" s="1"/>
  <c r="O27" i="8"/>
  <c r="P27" i="8" s="1"/>
  <c r="O28" i="8"/>
  <c r="P28" i="8" s="1"/>
  <c r="O29" i="8"/>
  <c r="P29" i="8" s="1"/>
  <c r="O30" i="8"/>
  <c r="P30" i="8" s="1"/>
  <c r="O31" i="8"/>
  <c r="P31" i="8" s="1"/>
  <c r="O33" i="8"/>
  <c r="P33" i="8" s="1"/>
  <c r="O34" i="8"/>
  <c r="P34" i="8" s="1"/>
  <c r="O35" i="8"/>
  <c r="P35" i="8" s="1"/>
  <c r="O37" i="8"/>
  <c r="P37" i="8" s="1"/>
  <c r="O38" i="8"/>
  <c r="P38" i="8" s="1"/>
  <c r="O39" i="8"/>
  <c r="P39" i="8" s="1"/>
  <c r="O40" i="8"/>
  <c r="P40" i="8" s="1"/>
  <c r="O41" i="8"/>
  <c r="P41" i="8" s="1"/>
  <c r="O42" i="8"/>
  <c r="P42" i="8" s="1"/>
  <c r="O43" i="8"/>
  <c r="P43" i="8" s="1"/>
  <c r="O44" i="8"/>
  <c r="P44" i="8" s="1"/>
  <c r="O45" i="8"/>
  <c r="P45" i="8" s="1"/>
  <c r="O46" i="8"/>
  <c r="P46" i="8" s="1"/>
  <c r="O47" i="8"/>
  <c r="P47" i="8" s="1"/>
  <c r="O49" i="8"/>
  <c r="P49" i="8" s="1"/>
  <c r="O50" i="8"/>
  <c r="P50" i="8" s="1"/>
  <c r="O51" i="8"/>
  <c r="P51" i="8" s="1"/>
  <c r="O53" i="8"/>
  <c r="P53" i="8" s="1"/>
  <c r="O54" i="8"/>
  <c r="P54" i="8" s="1"/>
  <c r="O55" i="8"/>
  <c r="P55" i="8" s="1"/>
  <c r="O56" i="8"/>
  <c r="P56" i="8" s="1"/>
  <c r="O57" i="8"/>
  <c r="P57" i="8" s="1"/>
  <c r="O58" i="8"/>
  <c r="P58" i="8" s="1"/>
  <c r="O59" i="8"/>
  <c r="P59" i="8" s="1"/>
  <c r="O60" i="8"/>
  <c r="P60" i="8" s="1"/>
  <c r="O61" i="8"/>
  <c r="P61" i="8" s="1"/>
  <c r="O62" i="8"/>
  <c r="P62" i="8" s="1"/>
  <c r="O63" i="8"/>
  <c r="P63" i="8" s="1"/>
  <c r="O65" i="8"/>
  <c r="P65" i="8" s="1"/>
  <c r="O66" i="8"/>
  <c r="P66" i="8" s="1"/>
  <c r="O67" i="8"/>
  <c r="P67" i="8" s="1"/>
  <c r="O69" i="8"/>
  <c r="P69" i="8" s="1"/>
  <c r="O70" i="8"/>
  <c r="P70" i="8" s="1"/>
  <c r="O71" i="8"/>
  <c r="P71" i="8" s="1"/>
  <c r="O72" i="8"/>
  <c r="P72" i="8" s="1"/>
  <c r="O73" i="8"/>
  <c r="P73" i="8" s="1"/>
  <c r="O74" i="8"/>
  <c r="P74" i="8" s="1"/>
  <c r="O75" i="8"/>
  <c r="P75" i="8" s="1"/>
  <c r="O76" i="8"/>
  <c r="P76" i="8" s="1"/>
  <c r="O77" i="8"/>
  <c r="P77" i="8" s="1"/>
  <c r="O78" i="8"/>
  <c r="P78" i="8" s="1"/>
  <c r="O79" i="8"/>
  <c r="P79" i="8" s="1"/>
  <c r="O81" i="8"/>
  <c r="P81" i="8" s="1"/>
  <c r="O82" i="8"/>
  <c r="P82" i="8" s="1"/>
  <c r="O83" i="8"/>
  <c r="P83" i="8" s="1"/>
  <c r="O85" i="8"/>
  <c r="P85" i="8" s="1"/>
  <c r="O86" i="8"/>
  <c r="P86" i="8" s="1"/>
  <c r="O87" i="8"/>
  <c r="P87" i="8" s="1"/>
  <c r="O88" i="8"/>
  <c r="P88" i="8" s="1"/>
  <c r="O89" i="8"/>
  <c r="P89" i="8" s="1"/>
  <c r="O90" i="8"/>
  <c r="P90" i="8" s="1"/>
  <c r="O91" i="8"/>
  <c r="P91" i="8" s="1"/>
  <c r="O92" i="8"/>
  <c r="P92" i="8" s="1"/>
  <c r="O93" i="8"/>
  <c r="P93" i="8" s="1"/>
  <c r="O94" i="8"/>
  <c r="P94" i="8" s="1"/>
  <c r="O95" i="8"/>
  <c r="P95" i="8" s="1"/>
  <c r="O97" i="8"/>
  <c r="P97" i="8" s="1"/>
  <c r="O98" i="8"/>
  <c r="P98" i="8" s="1"/>
  <c r="O99" i="8"/>
  <c r="P99" i="8" s="1"/>
  <c r="O101" i="8"/>
  <c r="P101" i="8" s="1"/>
  <c r="O102" i="8"/>
  <c r="P102" i="8" s="1"/>
  <c r="O103" i="8"/>
  <c r="P103" i="8" s="1"/>
  <c r="O104" i="8"/>
  <c r="P104" i="8" s="1"/>
  <c r="O105" i="8"/>
  <c r="P105" i="8" s="1"/>
  <c r="O106" i="8"/>
  <c r="P106" i="8" s="1"/>
  <c r="O107" i="8"/>
  <c r="P107" i="8" s="1"/>
  <c r="O108" i="8"/>
  <c r="P108" i="8" s="1"/>
  <c r="O109" i="8"/>
  <c r="P109" i="8" s="1"/>
  <c r="O110" i="8"/>
  <c r="P110" i="8" s="1"/>
  <c r="O111" i="8"/>
  <c r="P111" i="8" s="1"/>
  <c r="O113" i="8"/>
  <c r="P113" i="8" s="1"/>
  <c r="O114" i="8"/>
  <c r="P114" i="8" s="1"/>
  <c r="O115" i="8"/>
  <c r="P115" i="8" s="1"/>
  <c r="O117" i="8"/>
  <c r="P117" i="8" s="1"/>
  <c r="O118" i="8"/>
  <c r="P118" i="8" s="1"/>
  <c r="O119" i="8"/>
  <c r="P119" i="8" s="1"/>
  <c r="O120" i="8"/>
  <c r="P120" i="8" s="1"/>
  <c r="O121" i="8"/>
  <c r="P121" i="8" s="1"/>
  <c r="O122" i="8"/>
  <c r="P122" i="8" s="1"/>
  <c r="O123" i="8"/>
  <c r="P123" i="8" s="1"/>
  <c r="O124" i="8"/>
  <c r="P124" i="8" s="1"/>
  <c r="O125" i="8"/>
  <c r="P125" i="8" s="1"/>
  <c r="O126" i="8"/>
  <c r="P126" i="8" s="1"/>
  <c r="O127" i="8"/>
  <c r="P127" i="8" s="1"/>
  <c r="O129" i="8"/>
  <c r="P129" i="8" s="1"/>
  <c r="O130" i="8"/>
  <c r="P130" i="8" s="1"/>
  <c r="O131" i="8"/>
  <c r="P131" i="8" s="1"/>
  <c r="O133" i="8"/>
  <c r="P133" i="8" s="1"/>
  <c r="O134" i="8"/>
  <c r="P134" i="8" s="1"/>
  <c r="O135" i="8"/>
  <c r="P135" i="8" s="1"/>
  <c r="O136" i="8"/>
  <c r="P136" i="8" s="1"/>
  <c r="O137" i="8"/>
  <c r="P137" i="8" s="1"/>
  <c r="O138" i="8"/>
  <c r="P138" i="8" s="1"/>
  <c r="O139" i="8"/>
  <c r="P139" i="8" s="1"/>
  <c r="O140" i="8"/>
  <c r="P140" i="8" s="1"/>
  <c r="O141" i="8"/>
  <c r="P141" i="8" s="1"/>
  <c r="O142" i="8"/>
  <c r="P142" i="8" s="1"/>
  <c r="O143" i="8"/>
  <c r="P143" i="8" s="1"/>
  <c r="O145" i="8"/>
  <c r="P145" i="8" s="1"/>
  <c r="O146" i="8"/>
  <c r="P146" i="8" s="1"/>
  <c r="O147" i="8"/>
  <c r="P147" i="8" s="1"/>
  <c r="O149" i="8"/>
  <c r="P149" i="8" s="1"/>
  <c r="O150" i="8"/>
  <c r="P150" i="8" s="1"/>
  <c r="O151" i="8"/>
  <c r="P151" i="8" s="1"/>
  <c r="O152" i="8"/>
  <c r="P152" i="8" s="1"/>
  <c r="O155" i="8"/>
  <c r="O154" i="8"/>
  <c r="O157" i="8"/>
  <c r="O156" i="8"/>
  <c r="O159" i="8"/>
  <c r="O158" i="8"/>
  <c r="O161" i="8"/>
  <c r="O160" i="8"/>
  <c r="O163" i="8"/>
  <c r="O162" i="8"/>
  <c r="O165" i="8"/>
  <c r="O164" i="8"/>
  <c r="O167" i="8"/>
  <c r="O166" i="8"/>
  <c r="O169" i="8"/>
  <c r="O168" i="8"/>
  <c r="O171" i="8"/>
  <c r="O170" i="8"/>
  <c r="O173" i="8"/>
  <c r="O172" i="8"/>
  <c r="O175" i="8"/>
  <c r="O174" i="8"/>
  <c r="O177" i="8"/>
  <c r="O176" i="8"/>
  <c r="O179" i="8"/>
  <c r="O178" i="8"/>
  <c r="O181" i="8"/>
  <c r="O180" i="8"/>
  <c r="O183" i="8"/>
  <c r="O182" i="8"/>
  <c r="O185" i="8"/>
  <c r="O184" i="8"/>
  <c r="O187" i="8"/>
  <c r="O186" i="8"/>
  <c r="O189" i="8"/>
  <c r="O188" i="8"/>
  <c r="O191" i="8"/>
  <c r="O190" i="8"/>
  <c r="O193" i="8"/>
  <c r="O192" i="8"/>
  <c r="O195" i="8"/>
  <c r="O194" i="8"/>
  <c r="O197" i="8"/>
  <c r="O196" i="8"/>
  <c r="O199" i="8"/>
  <c r="O198" i="8"/>
  <c r="O201" i="8"/>
  <c r="O200" i="8"/>
  <c r="O203" i="8"/>
  <c r="O202" i="8"/>
  <c r="O204" i="8"/>
  <c r="O206" i="8"/>
  <c r="O205" i="8"/>
  <c r="O208" i="8"/>
  <c r="O207" i="8"/>
  <c r="O210" i="8"/>
  <c r="O209" i="8"/>
  <c r="O212" i="8"/>
  <c r="O211" i="8"/>
  <c r="O214" i="8"/>
  <c r="O213" i="8"/>
  <c r="O216" i="8"/>
  <c r="O215" i="8"/>
  <c r="O218" i="8"/>
  <c r="O217" i="8"/>
  <c r="O220" i="8"/>
  <c r="O219" i="8"/>
  <c r="O222" i="8"/>
  <c r="O221" i="8"/>
  <c r="O224" i="8"/>
  <c r="O223" i="8"/>
  <c r="O226" i="8"/>
  <c r="O225" i="8"/>
  <c r="O228" i="8"/>
  <c r="O227" i="8"/>
  <c r="O230" i="8"/>
  <c r="O229" i="8"/>
  <c r="O232" i="8"/>
  <c r="O231" i="8"/>
  <c r="O234" i="8"/>
  <c r="O233" i="8"/>
  <c r="O236" i="8"/>
  <c r="O235" i="8"/>
  <c r="O238" i="8"/>
  <c r="O237" i="8"/>
  <c r="O240" i="8"/>
  <c r="O239" i="8"/>
  <c r="O242" i="8"/>
  <c r="O241" i="8"/>
  <c r="O244" i="8"/>
  <c r="O243" i="8"/>
  <c r="O246" i="8"/>
  <c r="O245" i="8"/>
  <c r="O248" i="8"/>
  <c r="O247" i="8"/>
  <c r="O250" i="8"/>
  <c r="O249" i="8"/>
  <c r="O252" i="8"/>
  <c r="O251" i="8"/>
  <c r="O254" i="8"/>
  <c r="O253" i="8"/>
  <c r="O256" i="8"/>
  <c r="O255" i="8"/>
  <c r="O258" i="8"/>
  <c r="O257" i="8"/>
  <c r="O260" i="8"/>
  <c r="O259" i="8"/>
  <c r="O262" i="8"/>
  <c r="O261" i="8"/>
  <c r="O264" i="8"/>
  <c r="O263" i="8"/>
  <c r="O266" i="8"/>
  <c r="O265" i="8"/>
  <c r="O268" i="8"/>
  <c r="O267" i="8"/>
  <c r="O277" i="8"/>
  <c r="P277" i="8" s="1"/>
  <c r="O293" i="8"/>
  <c r="P293" i="8" s="1"/>
  <c r="O309" i="8"/>
  <c r="P309" i="8" s="1"/>
  <c r="O325" i="8"/>
  <c r="P325" i="8" s="1"/>
  <c r="O341" i="8"/>
  <c r="P341" i="8" s="1"/>
  <c r="O357" i="8"/>
  <c r="P357" i="8" s="1"/>
  <c r="O373" i="8"/>
  <c r="P373" i="8" s="1"/>
  <c r="O389" i="8"/>
  <c r="P389" i="8" s="1"/>
  <c r="O405" i="8"/>
  <c r="P405" i="8" s="1"/>
  <c r="O421" i="8"/>
  <c r="P421" i="8" s="1"/>
  <c r="O437" i="8"/>
  <c r="P437" i="8" s="1"/>
  <c r="O453" i="8"/>
  <c r="P453" i="8" s="1"/>
  <c r="O469" i="8"/>
  <c r="P469" i="8" s="1"/>
  <c r="O485" i="8"/>
  <c r="P485" i="8" s="1"/>
  <c r="O501" i="8"/>
  <c r="P501" i="8" s="1"/>
  <c r="O517" i="8"/>
  <c r="P517" i="8" s="1"/>
  <c r="O533" i="8"/>
  <c r="P533" i="8" s="1"/>
  <c r="O549" i="8"/>
  <c r="P549" i="8" s="1"/>
  <c r="O565" i="8"/>
  <c r="P565" i="8" s="1"/>
  <c r="O581" i="8"/>
  <c r="P581" i="8" s="1"/>
  <c r="O597" i="8"/>
  <c r="P597" i="8" s="1"/>
  <c r="O613" i="8"/>
  <c r="P613" i="8" s="1"/>
  <c r="O629" i="8"/>
  <c r="P629" i="8" s="1"/>
  <c r="O645" i="8"/>
  <c r="P645" i="8" s="1"/>
  <c r="O661" i="8"/>
  <c r="P661" i="8" s="1"/>
  <c r="O677" i="8"/>
  <c r="P677" i="8" s="1"/>
  <c r="O693" i="8"/>
  <c r="P693" i="8" s="1"/>
  <c r="O709" i="8"/>
  <c r="P709" i="8" s="1"/>
  <c r="O725" i="8"/>
  <c r="P725" i="8" s="1"/>
  <c r="O741" i="8"/>
  <c r="P741" i="8" s="1"/>
  <c r="O757" i="8"/>
  <c r="P757" i="8" s="1"/>
  <c r="O773" i="8"/>
  <c r="P773" i="8" s="1"/>
  <c r="O789" i="8"/>
  <c r="P789" i="8" s="1"/>
  <c r="O805" i="8"/>
  <c r="P805" i="8" s="1"/>
  <c r="O821" i="8"/>
  <c r="P821" i="8" s="1"/>
  <c r="O837" i="8"/>
  <c r="P837" i="8" s="1"/>
  <c r="O853" i="8"/>
  <c r="P853" i="8" s="1"/>
  <c r="O869" i="8"/>
  <c r="P869" i="8" s="1"/>
  <c r="O885" i="8"/>
  <c r="P885" i="8" s="1"/>
  <c r="O901" i="8"/>
  <c r="P901" i="8" s="1"/>
  <c r="O917" i="8"/>
  <c r="P917" i="8" s="1"/>
  <c r="O933" i="8"/>
  <c r="P933" i="8" s="1"/>
  <c r="O949" i="8"/>
  <c r="P949" i="8" s="1"/>
  <c r="O965" i="8"/>
  <c r="P965" i="8" s="1"/>
  <c r="O981" i="8"/>
  <c r="P981" i="8" s="1"/>
  <c r="O997" i="8"/>
  <c r="P997" i="8" s="1"/>
  <c r="O1013" i="8"/>
  <c r="P1013" i="8" s="1"/>
  <c r="O1029" i="8"/>
  <c r="P1029" i="8" s="1"/>
  <c r="O1045" i="8"/>
  <c r="P1045" i="8" s="1"/>
  <c r="O1061" i="8"/>
  <c r="P1061" i="8" s="1"/>
  <c r="O273" i="8"/>
  <c r="P273" i="8" s="1"/>
  <c r="O289" i="8"/>
  <c r="P289" i="8" s="1"/>
  <c r="O305" i="8"/>
  <c r="P305" i="8" s="1"/>
  <c r="O321" i="8"/>
  <c r="P321" i="8" s="1"/>
  <c r="O337" i="8"/>
  <c r="P337" i="8" s="1"/>
  <c r="O353" i="8"/>
  <c r="P353" i="8" s="1"/>
  <c r="O369" i="8"/>
  <c r="P369" i="8" s="1"/>
  <c r="O385" i="8"/>
  <c r="P385" i="8" s="1"/>
  <c r="O401" i="8"/>
  <c r="P401" i="8" s="1"/>
  <c r="O417" i="8"/>
  <c r="P417" i="8" s="1"/>
  <c r="O433" i="8"/>
  <c r="P433" i="8" s="1"/>
  <c r="O449" i="8"/>
  <c r="P449" i="8" s="1"/>
  <c r="O465" i="8"/>
  <c r="P465" i="8" s="1"/>
  <c r="O481" i="8"/>
  <c r="P481" i="8" s="1"/>
  <c r="O497" i="8"/>
  <c r="P497" i="8" s="1"/>
  <c r="O513" i="8"/>
  <c r="P513" i="8" s="1"/>
  <c r="O529" i="8"/>
  <c r="P529" i="8" s="1"/>
  <c r="O545" i="8"/>
  <c r="P545" i="8" s="1"/>
  <c r="O561" i="8"/>
  <c r="P561" i="8" s="1"/>
  <c r="O577" i="8"/>
  <c r="P577" i="8" s="1"/>
  <c r="O593" i="8"/>
  <c r="P593" i="8" s="1"/>
  <c r="O609" i="8"/>
  <c r="P609" i="8" s="1"/>
  <c r="O625" i="8"/>
  <c r="P625" i="8" s="1"/>
  <c r="O641" i="8"/>
  <c r="P641" i="8" s="1"/>
  <c r="O657" i="8"/>
  <c r="P657" i="8" s="1"/>
  <c r="O673" i="8"/>
  <c r="P673" i="8" s="1"/>
  <c r="O689" i="8"/>
  <c r="P689" i="8" s="1"/>
  <c r="O705" i="8"/>
  <c r="P705" i="8" s="1"/>
  <c r="O721" i="8"/>
  <c r="P721" i="8" s="1"/>
  <c r="O737" i="8"/>
  <c r="P737" i="8" s="1"/>
  <c r="O753" i="8"/>
  <c r="P753" i="8" s="1"/>
  <c r="O769" i="8"/>
  <c r="P769" i="8" s="1"/>
  <c r="O785" i="8"/>
  <c r="P785" i="8" s="1"/>
  <c r="O801" i="8"/>
  <c r="P801" i="8" s="1"/>
  <c r="O817" i="8"/>
  <c r="P817" i="8" s="1"/>
  <c r="O833" i="8"/>
  <c r="P833" i="8" s="1"/>
  <c r="O849" i="8"/>
  <c r="P849" i="8" s="1"/>
  <c r="O865" i="8"/>
  <c r="P865" i="8" s="1"/>
  <c r="O881" i="8"/>
  <c r="P881" i="8" s="1"/>
  <c r="O897" i="8"/>
  <c r="P897" i="8" s="1"/>
  <c r="O913" i="8"/>
  <c r="P913" i="8" s="1"/>
  <c r="O929" i="8"/>
  <c r="P929" i="8" s="1"/>
  <c r="O945" i="8"/>
  <c r="P945" i="8" s="1"/>
  <c r="O961" i="8"/>
  <c r="P961" i="8" s="1"/>
  <c r="O977" i="8"/>
  <c r="P977" i="8" s="1"/>
  <c r="O993" i="8"/>
  <c r="P993" i="8" s="1"/>
  <c r="O1009" i="8"/>
  <c r="P1009" i="8" s="1"/>
  <c r="O1025" i="8"/>
  <c r="P1025" i="8" s="1"/>
  <c r="O1041" i="8"/>
  <c r="P1041" i="8" s="1"/>
  <c r="O1057" i="8"/>
  <c r="P1057" i="8" s="1"/>
  <c r="O1073" i="8"/>
  <c r="P1073" i="8" s="1"/>
  <c r="O269" i="8"/>
  <c r="O285" i="8"/>
  <c r="P285" i="8" s="1"/>
  <c r="O301" i="8"/>
  <c r="P301" i="8" s="1"/>
  <c r="O317" i="8"/>
  <c r="P317" i="8" s="1"/>
  <c r="O333" i="8"/>
  <c r="P333" i="8" s="1"/>
  <c r="O349" i="8"/>
  <c r="P349" i="8" s="1"/>
  <c r="O365" i="8"/>
  <c r="P365" i="8" s="1"/>
  <c r="O381" i="8"/>
  <c r="P381" i="8" s="1"/>
  <c r="O397" i="8"/>
  <c r="P397" i="8" s="1"/>
  <c r="O413" i="8"/>
  <c r="P413" i="8" s="1"/>
  <c r="O429" i="8"/>
  <c r="P429" i="8" s="1"/>
  <c r="O445" i="8"/>
  <c r="P445" i="8" s="1"/>
  <c r="O461" i="8"/>
  <c r="P461" i="8" s="1"/>
  <c r="O477" i="8"/>
  <c r="P477" i="8" s="1"/>
  <c r="O493" i="8"/>
  <c r="P493" i="8" s="1"/>
  <c r="O509" i="8"/>
  <c r="P509" i="8" s="1"/>
  <c r="O525" i="8"/>
  <c r="P525" i="8" s="1"/>
  <c r="O541" i="8"/>
  <c r="P541" i="8" s="1"/>
  <c r="O557" i="8"/>
  <c r="P557" i="8" s="1"/>
  <c r="O573" i="8"/>
  <c r="P573" i="8" s="1"/>
  <c r="O589" i="8"/>
  <c r="P589" i="8" s="1"/>
  <c r="O605" i="8"/>
  <c r="P605" i="8" s="1"/>
  <c r="O621" i="8"/>
  <c r="P621" i="8" s="1"/>
  <c r="O637" i="8"/>
  <c r="P637" i="8" s="1"/>
  <c r="O653" i="8"/>
  <c r="P653" i="8" s="1"/>
  <c r="O669" i="8"/>
  <c r="P669" i="8" s="1"/>
  <c r="O685" i="8"/>
  <c r="P685" i="8" s="1"/>
  <c r="O701" i="8"/>
  <c r="P701" i="8" s="1"/>
  <c r="O717" i="8"/>
  <c r="P717" i="8" s="1"/>
  <c r="O733" i="8"/>
  <c r="P733" i="8" s="1"/>
  <c r="O749" i="8"/>
  <c r="P749" i="8" s="1"/>
  <c r="O765" i="8"/>
  <c r="P765" i="8" s="1"/>
  <c r="O781" i="8"/>
  <c r="P781" i="8" s="1"/>
  <c r="O797" i="8"/>
  <c r="P797" i="8" s="1"/>
  <c r="O813" i="8"/>
  <c r="P813" i="8" s="1"/>
  <c r="O829" i="8"/>
  <c r="P829" i="8" s="1"/>
  <c r="O845" i="8"/>
  <c r="P845" i="8" s="1"/>
  <c r="O861" i="8"/>
  <c r="P861" i="8" s="1"/>
  <c r="O877" i="8"/>
  <c r="P877" i="8" s="1"/>
  <c r="O893" i="8"/>
  <c r="P893" i="8" s="1"/>
  <c r="O909" i="8"/>
  <c r="P909" i="8" s="1"/>
  <c r="O925" i="8"/>
  <c r="P925" i="8" s="1"/>
  <c r="O941" i="8"/>
  <c r="P941" i="8" s="1"/>
  <c r="O957" i="8"/>
  <c r="P957" i="8" s="1"/>
  <c r="O973" i="8"/>
  <c r="P973" i="8" s="1"/>
  <c r="O989" i="8"/>
  <c r="P989" i="8" s="1"/>
  <c r="O1005" i="8"/>
  <c r="P1005" i="8" s="1"/>
  <c r="O1021" i="8"/>
  <c r="P1021" i="8" s="1"/>
  <c r="O1037" i="8"/>
  <c r="P1037" i="8" s="1"/>
  <c r="O1053" i="8"/>
  <c r="P1053" i="8" s="1"/>
  <c r="O1069" i="8"/>
  <c r="P1069" i="8" s="1"/>
  <c r="O281" i="8"/>
  <c r="P281" i="8" s="1"/>
  <c r="O297" i="8"/>
  <c r="P297" i="8" s="1"/>
  <c r="O313" i="8"/>
  <c r="P313" i="8" s="1"/>
  <c r="O329" i="8"/>
  <c r="P329" i="8" s="1"/>
  <c r="O345" i="8"/>
  <c r="P345" i="8" s="1"/>
  <c r="O361" i="8"/>
  <c r="P361" i="8" s="1"/>
  <c r="O377" i="8"/>
  <c r="P377" i="8" s="1"/>
  <c r="O393" i="8"/>
  <c r="P393" i="8" s="1"/>
  <c r="O409" i="8"/>
  <c r="P409" i="8" s="1"/>
  <c r="O425" i="8"/>
  <c r="P425" i="8" s="1"/>
  <c r="O441" i="8"/>
  <c r="P441" i="8" s="1"/>
  <c r="O457" i="8"/>
  <c r="P457" i="8" s="1"/>
  <c r="O473" i="8"/>
  <c r="P473" i="8" s="1"/>
  <c r="O489" i="8"/>
  <c r="P489" i="8" s="1"/>
  <c r="O505" i="8"/>
  <c r="P505" i="8" s="1"/>
  <c r="O521" i="8"/>
  <c r="P521" i="8" s="1"/>
  <c r="O537" i="8"/>
  <c r="P537" i="8" s="1"/>
  <c r="O553" i="8"/>
  <c r="P553" i="8" s="1"/>
  <c r="O569" i="8"/>
  <c r="P569" i="8" s="1"/>
  <c r="O585" i="8"/>
  <c r="P585" i="8" s="1"/>
  <c r="O601" i="8"/>
  <c r="P601" i="8" s="1"/>
  <c r="O617" i="8"/>
  <c r="P617" i="8" s="1"/>
  <c r="O633" i="8"/>
  <c r="P633" i="8" s="1"/>
  <c r="O649" i="8"/>
  <c r="P649" i="8" s="1"/>
  <c r="O665" i="8"/>
  <c r="P665" i="8" s="1"/>
  <c r="O681" i="8"/>
  <c r="P681" i="8" s="1"/>
  <c r="O697" i="8"/>
  <c r="P697" i="8" s="1"/>
  <c r="O713" i="8"/>
  <c r="P713" i="8" s="1"/>
  <c r="O729" i="8"/>
  <c r="P729" i="8" s="1"/>
  <c r="O745" i="8"/>
  <c r="P745" i="8" s="1"/>
  <c r="O761" i="8"/>
  <c r="P761" i="8" s="1"/>
  <c r="O777" i="8"/>
  <c r="P777" i="8" s="1"/>
  <c r="O793" i="8"/>
  <c r="P793" i="8" s="1"/>
  <c r="O809" i="8"/>
  <c r="P809" i="8" s="1"/>
  <c r="O825" i="8"/>
  <c r="P825" i="8" s="1"/>
  <c r="O841" i="8"/>
  <c r="P841" i="8" s="1"/>
  <c r="O857" i="8"/>
  <c r="P857" i="8" s="1"/>
  <c r="O873" i="8"/>
  <c r="P873" i="8" s="1"/>
  <c r="O889" i="8"/>
  <c r="P889" i="8" s="1"/>
  <c r="O905" i="8"/>
  <c r="P905" i="8" s="1"/>
  <c r="O921" i="8"/>
  <c r="P921" i="8" s="1"/>
  <c r="O937" i="8"/>
  <c r="P937" i="8" s="1"/>
  <c r="O953" i="8"/>
  <c r="P953" i="8" s="1"/>
  <c r="O969" i="8"/>
  <c r="P969" i="8" s="1"/>
  <c r="O985" i="8"/>
  <c r="P985" i="8" s="1"/>
  <c r="O1001" i="8"/>
  <c r="P1001" i="8" s="1"/>
  <c r="O1017" i="8"/>
  <c r="P1017" i="8" s="1"/>
  <c r="O1033" i="8"/>
  <c r="P1033" i="8" s="1"/>
  <c r="O1049" i="8"/>
  <c r="P1049" i="8" s="1"/>
  <c r="O1065" i="8"/>
  <c r="P1065" i="8" s="1"/>
  <c r="O1077" i="8"/>
  <c r="P1077" i="8" s="1"/>
  <c r="O1093" i="8"/>
  <c r="P1093" i="8" s="1"/>
  <c r="O1109" i="8"/>
  <c r="P1109" i="8" s="1"/>
  <c r="O1241" i="8"/>
  <c r="P1241" i="8" s="1"/>
  <c r="O1244" i="8"/>
  <c r="P1244" i="8" s="1"/>
  <c r="O1269" i="8"/>
  <c r="P1269" i="8" s="1"/>
  <c r="O1272" i="8"/>
  <c r="P1272" i="8" s="1"/>
  <c r="O1277" i="8"/>
  <c r="P1277" i="8" s="1"/>
  <c r="O1280" i="8"/>
  <c r="P1280" i="8" s="1"/>
  <c r="O1332" i="8"/>
  <c r="P1332" i="8" s="1"/>
  <c r="O1337" i="8"/>
  <c r="P1337" i="8" s="1"/>
  <c r="O1340" i="8"/>
  <c r="P1340" i="8" s="1"/>
  <c r="O1397" i="8"/>
  <c r="P1397" i="8" s="1"/>
  <c r="O1400" i="8"/>
  <c r="P1400" i="8" s="1"/>
  <c r="O1405" i="8"/>
  <c r="P1405" i="8" s="1"/>
  <c r="O1408" i="8"/>
  <c r="P1408" i="8" s="1"/>
  <c r="O1460" i="8"/>
  <c r="P1460" i="8" s="1"/>
  <c r="O1465" i="8"/>
  <c r="P1465" i="8" s="1"/>
  <c r="O1468" i="8"/>
  <c r="P1468" i="8" s="1"/>
  <c r="O1525" i="8"/>
  <c r="P1525" i="8" s="1"/>
  <c r="O1528" i="8"/>
  <c r="P1528" i="8" s="1"/>
  <c r="O1533" i="8"/>
  <c r="P1533" i="8" s="1"/>
  <c r="O1536" i="8"/>
  <c r="P1536" i="8" s="1"/>
  <c r="O1547" i="8"/>
  <c r="P1547" i="8" s="1"/>
  <c r="O1554" i="8"/>
  <c r="P1554" i="8" s="1"/>
  <c r="O1559" i="8"/>
  <c r="P1559" i="8" s="1"/>
  <c r="O1562" i="8"/>
  <c r="P1562" i="8" s="1"/>
  <c r="O1567" i="8"/>
  <c r="P1567" i="8" s="1"/>
  <c r="O1570" i="8"/>
  <c r="P1570" i="8" s="1"/>
  <c r="O1575" i="8"/>
  <c r="P1575" i="8" s="1"/>
  <c r="O1578" i="8"/>
  <c r="P1578" i="8" s="1"/>
  <c r="O1583" i="8"/>
  <c r="P1583" i="8" s="1"/>
  <c r="O1586" i="8"/>
  <c r="P1586" i="8" s="1"/>
  <c r="O1611" i="8"/>
  <c r="P1611" i="8" s="1"/>
  <c r="O1614" i="8"/>
  <c r="P1614" i="8" s="1"/>
  <c r="O1619" i="8"/>
  <c r="P1619" i="8" s="1"/>
  <c r="O1622" i="8"/>
  <c r="P1622" i="8" s="1"/>
  <c r="O1627" i="8"/>
  <c r="P1627" i="8" s="1"/>
  <c r="O1630" i="8"/>
  <c r="P1630" i="8" s="1"/>
  <c r="O1635" i="8"/>
  <c r="P1635" i="8" s="1"/>
  <c r="O1638" i="8"/>
  <c r="P1638" i="8" s="1"/>
  <c r="O1643" i="8"/>
  <c r="P1643" i="8" s="1"/>
  <c r="O1646" i="8"/>
  <c r="P1646" i="8" s="1"/>
  <c r="O1651" i="8"/>
  <c r="P1651" i="8" s="1"/>
  <c r="O1654" i="8"/>
  <c r="P1654" i="8" s="1"/>
  <c r="O1674" i="8"/>
  <c r="P1674" i="8" s="1"/>
  <c r="O1679" i="8"/>
  <c r="P1679" i="8" s="1"/>
  <c r="O1682" i="8"/>
  <c r="P1682" i="8" s="1"/>
  <c r="O1687" i="8"/>
  <c r="P1687" i="8" s="1"/>
  <c r="O1690" i="8"/>
  <c r="P1690" i="8" s="1"/>
  <c r="O1695" i="8"/>
  <c r="P1695" i="8" s="1"/>
  <c r="O1698" i="8"/>
  <c r="P1698" i="8" s="1"/>
  <c r="O1703" i="8"/>
  <c r="P1703" i="8" s="1"/>
  <c r="O1706" i="8"/>
  <c r="P1706" i="8" s="1"/>
  <c r="O1711" i="8"/>
  <c r="P1711" i="8" s="1"/>
  <c r="O1714" i="8"/>
  <c r="P1714" i="8" s="1"/>
  <c r="O1739" i="8"/>
  <c r="P1739" i="8" s="1"/>
  <c r="O1742" i="8"/>
  <c r="P1742" i="8" s="1"/>
  <c r="O1747" i="8"/>
  <c r="P1747" i="8" s="1"/>
  <c r="O1750" i="8"/>
  <c r="P1750" i="8" s="1"/>
  <c r="O1755" i="8"/>
  <c r="P1755" i="8" s="1"/>
  <c r="O1758" i="8"/>
  <c r="P1758" i="8" s="1"/>
  <c r="O1763" i="8"/>
  <c r="P1763" i="8" s="1"/>
  <c r="O1766" i="8"/>
  <c r="P1766" i="8" s="1"/>
  <c r="O1771" i="8"/>
  <c r="P1771" i="8" s="1"/>
  <c r="O1774" i="8"/>
  <c r="P1774" i="8" s="1"/>
  <c r="O1779" i="8"/>
  <c r="P1779" i="8" s="1"/>
  <c r="O1782" i="8"/>
  <c r="P1782" i="8" s="1"/>
  <c r="O1802" i="8"/>
  <c r="P1802" i="8" s="1"/>
  <c r="O1807" i="8"/>
  <c r="P1807" i="8" s="1"/>
  <c r="O1810" i="8"/>
  <c r="P1810" i="8" s="1"/>
  <c r="O1815" i="8"/>
  <c r="P1815" i="8" s="1"/>
  <c r="O1089" i="8"/>
  <c r="P1089" i="8" s="1"/>
  <c r="O1105" i="8"/>
  <c r="P1105" i="8" s="1"/>
  <c r="O1252" i="8"/>
  <c r="P1252" i="8" s="1"/>
  <c r="O1257" i="8"/>
  <c r="P1257" i="8" s="1"/>
  <c r="O1260" i="8"/>
  <c r="P1260" i="8" s="1"/>
  <c r="O1285" i="8"/>
  <c r="P1285" i="8" s="1"/>
  <c r="O1288" i="8"/>
  <c r="P1288" i="8" s="1"/>
  <c r="O1293" i="8"/>
  <c r="P1293" i="8" s="1"/>
  <c r="O1296" i="8"/>
  <c r="P1296" i="8" s="1"/>
  <c r="O1301" i="8"/>
  <c r="P1301" i="8" s="1"/>
  <c r="O1304" i="8"/>
  <c r="P1304" i="8" s="1"/>
  <c r="O1309" i="8"/>
  <c r="P1309" i="8" s="1"/>
  <c r="O1312" i="8"/>
  <c r="P1312" i="8" s="1"/>
  <c r="O1317" i="8"/>
  <c r="P1317" i="8" s="1"/>
  <c r="O1320" i="8"/>
  <c r="P1320" i="8" s="1"/>
  <c r="O1325" i="8"/>
  <c r="P1325" i="8" s="1"/>
  <c r="O1328" i="8"/>
  <c r="P1328" i="8" s="1"/>
  <c r="O1348" i="8"/>
  <c r="P1348" i="8" s="1"/>
  <c r="O1353" i="8"/>
  <c r="P1353" i="8" s="1"/>
  <c r="O1356" i="8"/>
  <c r="P1356" i="8" s="1"/>
  <c r="O1361" i="8"/>
  <c r="P1361" i="8" s="1"/>
  <c r="O1364" i="8"/>
  <c r="P1364" i="8" s="1"/>
  <c r="O1369" i="8"/>
  <c r="P1369" i="8" s="1"/>
  <c r="O1372" i="8"/>
  <c r="P1372" i="8" s="1"/>
  <c r="O1377" i="8"/>
  <c r="P1377" i="8" s="1"/>
  <c r="O1380" i="8"/>
  <c r="P1380" i="8" s="1"/>
  <c r="O1385" i="8"/>
  <c r="P1385" i="8" s="1"/>
  <c r="O1388" i="8"/>
  <c r="P1388" i="8" s="1"/>
  <c r="O1413" i="8"/>
  <c r="P1413" i="8" s="1"/>
  <c r="O1416" i="8"/>
  <c r="P1416" i="8" s="1"/>
  <c r="O1421" i="8"/>
  <c r="P1421" i="8" s="1"/>
  <c r="O1424" i="8"/>
  <c r="P1424" i="8" s="1"/>
  <c r="O1429" i="8"/>
  <c r="P1429" i="8" s="1"/>
  <c r="O1432" i="8"/>
  <c r="P1432" i="8" s="1"/>
  <c r="O1437" i="8"/>
  <c r="P1437" i="8" s="1"/>
  <c r="O1440" i="8"/>
  <c r="P1440" i="8" s="1"/>
  <c r="O1445" i="8"/>
  <c r="P1445" i="8" s="1"/>
  <c r="O1448" i="8"/>
  <c r="P1448" i="8" s="1"/>
  <c r="O1453" i="8"/>
  <c r="P1453" i="8" s="1"/>
  <c r="O1456" i="8"/>
  <c r="P1456" i="8" s="1"/>
  <c r="O1476" i="8"/>
  <c r="P1476" i="8" s="1"/>
  <c r="O1481" i="8"/>
  <c r="P1481" i="8" s="1"/>
  <c r="O1484" i="8"/>
  <c r="P1484" i="8" s="1"/>
  <c r="O1489" i="8"/>
  <c r="P1489" i="8" s="1"/>
  <c r="O1492" i="8"/>
  <c r="P1492" i="8" s="1"/>
  <c r="O1497" i="8"/>
  <c r="P1497" i="8" s="1"/>
  <c r="O1500" i="8"/>
  <c r="P1500" i="8" s="1"/>
  <c r="O1505" i="8"/>
  <c r="P1505" i="8" s="1"/>
  <c r="O1508" i="8"/>
  <c r="P1508" i="8" s="1"/>
  <c r="O1513" i="8"/>
  <c r="P1513" i="8" s="1"/>
  <c r="O1516" i="8"/>
  <c r="P1516" i="8" s="1"/>
  <c r="O1541" i="8"/>
  <c r="P1541" i="8" s="1"/>
  <c r="O1544" i="8"/>
  <c r="P1544" i="8" s="1"/>
  <c r="O1549" i="8"/>
  <c r="P1549" i="8" s="1"/>
  <c r="O1551" i="8"/>
  <c r="P1551" i="8" s="1"/>
  <c r="O1594" i="8"/>
  <c r="P1594" i="8" s="1"/>
  <c r="O1599" i="8"/>
  <c r="P1599" i="8" s="1"/>
  <c r="O1602" i="8"/>
  <c r="P1602" i="8" s="1"/>
  <c r="O1659" i="8"/>
  <c r="P1659" i="8" s="1"/>
  <c r="O1662" i="8"/>
  <c r="P1662" i="8" s="1"/>
  <c r="O1667" i="8"/>
  <c r="P1667" i="8" s="1"/>
  <c r="O1670" i="8"/>
  <c r="P1670" i="8" s="1"/>
  <c r="O1722" i="8"/>
  <c r="P1722" i="8" s="1"/>
  <c r="O1727" i="8"/>
  <c r="P1727" i="8" s="1"/>
  <c r="O1730" i="8"/>
  <c r="P1730" i="8" s="1"/>
  <c r="O1787" i="8"/>
  <c r="P1787" i="8" s="1"/>
  <c r="O1790" i="8"/>
  <c r="P1790" i="8" s="1"/>
  <c r="O1795" i="8"/>
  <c r="P1795" i="8" s="1"/>
  <c r="O1798" i="8"/>
  <c r="P1798" i="8" s="1"/>
  <c r="O1085" i="8"/>
  <c r="P1085" i="8" s="1"/>
  <c r="O1101" i="8"/>
  <c r="P1101" i="8" s="1"/>
  <c r="O1240" i="8"/>
  <c r="P1240" i="8" s="1"/>
  <c r="O1245" i="8"/>
  <c r="P1245" i="8" s="1"/>
  <c r="O1248" i="8"/>
  <c r="P1248" i="8" s="1"/>
  <c r="O1268" i="8"/>
  <c r="P1268" i="8" s="1"/>
  <c r="O1273" i="8"/>
  <c r="P1273" i="8" s="1"/>
  <c r="O1276" i="8"/>
  <c r="P1276" i="8" s="1"/>
  <c r="O1333" i="8"/>
  <c r="P1333" i="8" s="1"/>
  <c r="O1336" i="8"/>
  <c r="P1336" i="8" s="1"/>
  <c r="O1341" i="8"/>
  <c r="P1341" i="8" s="1"/>
  <c r="O1344" i="8"/>
  <c r="P1344" i="8" s="1"/>
  <c r="O1396" i="8"/>
  <c r="P1396" i="8" s="1"/>
  <c r="O1401" i="8"/>
  <c r="P1401" i="8" s="1"/>
  <c r="O1404" i="8"/>
  <c r="P1404" i="8" s="1"/>
  <c r="O1461" i="8"/>
  <c r="P1461" i="8" s="1"/>
  <c r="O1464" i="8"/>
  <c r="P1464" i="8" s="1"/>
  <c r="O1469" i="8"/>
  <c r="P1469" i="8" s="1"/>
  <c r="O1472" i="8"/>
  <c r="P1472" i="8" s="1"/>
  <c r="O1524" i="8"/>
  <c r="P1524" i="8" s="1"/>
  <c r="O1529" i="8"/>
  <c r="P1529" i="8" s="1"/>
  <c r="O1532" i="8"/>
  <c r="P1532" i="8" s="1"/>
  <c r="O1555" i="8"/>
  <c r="P1555" i="8" s="1"/>
  <c r="O1558" i="8"/>
  <c r="P1558" i="8" s="1"/>
  <c r="O1563" i="8"/>
  <c r="P1563" i="8" s="1"/>
  <c r="O1566" i="8"/>
  <c r="P1566" i="8" s="1"/>
  <c r="O1571" i="8"/>
  <c r="P1571" i="8" s="1"/>
  <c r="O1574" i="8"/>
  <c r="P1574" i="8" s="1"/>
  <c r="O1579" i="8"/>
  <c r="P1579" i="8" s="1"/>
  <c r="O1582" i="8"/>
  <c r="P1582" i="8" s="1"/>
  <c r="O1587" i="8"/>
  <c r="P1587" i="8" s="1"/>
  <c r="O1590" i="8"/>
  <c r="P1590" i="8" s="1"/>
  <c r="O1610" i="8"/>
  <c r="P1610" i="8" s="1"/>
  <c r="O1615" i="8"/>
  <c r="P1615" i="8" s="1"/>
  <c r="O1618" i="8"/>
  <c r="P1618" i="8" s="1"/>
  <c r="O1623" i="8"/>
  <c r="P1623" i="8" s="1"/>
  <c r="O1626" i="8"/>
  <c r="P1626" i="8" s="1"/>
  <c r="O1631" i="8"/>
  <c r="P1631" i="8" s="1"/>
  <c r="O1634" i="8"/>
  <c r="P1634" i="8" s="1"/>
  <c r="O1639" i="8"/>
  <c r="P1639" i="8" s="1"/>
  <c r="O1642" i="8"/>
  <c r="P1642" i="8" s="1"/>
  <c r="O1647" i="8"/>
  <c r="P1647" i="8" s="1"/>
  <c r="O1650" i="8"/>
  <c r="P1650" i="8" s="1"/>
  <c r="O1675" i="8"/>
  <c r="P1675" i="8" s="1"/>
  <c r="O1678" i="8"/>
  <c r="P1678" i="8" s="1"/>
  <c r="O1683" i="8"/>
  <c r="P1683" i="8" s="1"/>
  <c r="O1686" i="8"/>
  <c r="P1686" i="8" s="1"/>
  <c r="O1691" i="8"/>
  <c r="P1691" i="8" s="1"/>
  <c r="O1694" i="8"/>
  <c r="P1694" i="8" s="1"/>
  <c r="O1699" i="8"/>
  <c r="P1699" i="8" s="1"/>
  <c r="O1702" i="8"/>
  <c r="P1702" i="8" s="1"/>
  <c r="O1707" i="8"/>
  <c r="P1707" i="8" s="1"/>
  <c r="O1710" i="8"/>
  <c r="P1710" i="8" s="1"/>
  <c r="O1715" i="8"/>
  <c r="P1715" i="8" s="1"/>
  <c r="O1718" i="8"/>
  <c r="P1718" i="8" s="1"/>
  <c r="O1738" i="8"/>
  <c r="P1738" i="8" s="1"/>
  <c r="O1743" i="8"/>
  <c r="P1743" i="8" s="1"/>
  <c r="O1746" i="8"/>
  <c r="P1746" i="8" s="1"/>
  <c r="O1751" i="8"/>
  <c r="P1751" i="8" s="1"/>
  <c r="O1754" i="8"/>
  <c r="P1754" i="8" s="1"/>
  <c r="O1759" i="8"/>
  <c r="P1759" i="8" s="1"/>
  <c r="O1762" i="8"/>
  <c r="P1762" i="8" s="1"/>
  <c r="O1767" i="8"/>
  <c r="P1767" i="8" s="1"/>
  <c r="O1770" i="8"/>
  <c r="P1770" i="8" s="1"/>
  <c r="O1775" i="8"/>
  <c r="P1775" i="8" s="1"/>
  <c r="O1778" i="8"/>
  <c r="P1778" i="8" s="1"/>
  <c r="O1803" i="8"/>
  <c r="P1803" i="8" s="1"/>
  <c r="O1806" i="8"/>
  <c r="P1806" i="8" s="1"/>
  <c r="O1811" i="8"/>
  <c r="P1811" i="8" s="1"/>
  <c r="O1814" i="8"/>
  <c r="P1814" i="8" s="1"/>
  <c r="O1081" i="8"/>
  <c r="P1081" i="8" s="1"/>
  <c r="O1097" i="8"/>
  <c r="P1097" i="8" s="1"/>
  <c r="O1253" i="8"/>
  <c r="P1253" i="8" s="1"/>
  <c r="O1256" i="8"/>
  <c r="P1256" i="8" s="1"/>
  <c r="O1261" i="8"/>
  <c r="P1261" i="8" s="1"/>
  <c r="O1264" i="8"/>
  <c r="P1264" i="8" s="1"/>
  <c r="O1284" i="8"/>
  <c r="P1284" i="8" s="1"/>
  <c r="O1289" i="8"/>
  <c r="P1289" i="8" s="1"/>
  <c r="O1292" i="8"/>
  <c r="P1292" i="8" s="1"/>
  <c r="O1297" i="8"/>
  <c r="P1297" i="8" s="1"/>
  <c r="O1300" i="8"/>
  <c r="P1300" i="8" s="1"/>
  <c r="O1305" i="8"/>
  <c r="P1305" i="8" s="1"/>
  <c r="O1308" i="8"/>
  <c r="P1308" i="8" s="1"/>
  <c r="O1313" i="8"/>
  <c r="P1313" i="8" s="1"/>
  <c r="O1316" i="8"/>
  <c r="P1316" i="8" s="1"/>
  <c r="O1321" i="8"/>
  <c r="P1321" i="8" s="1"/>
  <c r="O1324" i="8"/>
  <c r="P1324" i="8" s="1"/>
  <c r="O1349" i="8"/>
  <c r="P1349" i="8" s="1"/>
  <c r="O1352" i="8"/>
  <c r="P1352" i="8" s="1"/>
  <c r="O1357" i="8"/>
  <c r="P1357" i="8" s="1"/>
  <c r="O1360" i="8"/>
  <c r="P1360" i="8" s="1"/>
  <c r="O1365" i="8"/>
  <c r="P1365" i="8" s="1"/>
  <c r="O1368" i="8"/>
  <c r="P1368" i="8" s="1"/>
  <c r="O1373" i="8"/>
  <c r="P1373" i="8" s="1"/>
  <c r="O1376" i="8"/>
  <c r="P1376" i="8" s="1"/>
  <c r="O1381" i="8"/>
  <c r="P1381" i="8" s="1"/>
  <c r="O1384" i="8"/>
  <c r="P1384" i="8" s="1"/>
  <c r="O1389" i="8"/>
  <c r="P1389" i="8" s="1"/>
  <c r="O1392" i="8"/>
  <c r="P1392" i="8" s="1"/>
  <c r="O1412" i="8"/>
  <c r="P1412" i="8" s="1"/>
  <c r="O1417" i="8"/>
  <c r="P1417" i="8" s="1"/>
  <c r="O1420" i="8"/>
  <c r="P1420" i="8" s="1"/>
  <c r="O1425" i="8"/>
  <c r="P1425" i="8" s="1"/>
  <c r="O1428" i="8"/>
  <c r="P1428" i="8" s="1"/>
  <c r="O1433" i="8"/>
  <c r="P1433" i="8" s="1"/>
  <c r="O1436" i="8"/>
  <c r="P1436" i="8" s="1"/>
  <c r="O1441" i="8"/>
  <c r="P1441" i="8" s="1"/>
  <c r="O1444" i="8"/>
  <c r="P1444" i="8" s="1"/>
  <c r="O1449" i="8"/>
  <c r="P1449" i="8" s="1"/>
  <c r="O1452" i="8"/>
  <c r="P1452" i="8" s="1"/>
  <c r="O1477" i="8"/>
  <c r="P1477" i="8" s="1"/>
  <c r="O1480" i="8"/>
  <c r="P1480" i="8" s="1"/>
  <c r="O1485" i="8"/>
  <c r="P1485" i="8" s="1"/>
  <c r="O1488" i="8"/>
  <c r="P1488" i="8" s="1"/>
  <c r="O1493" i="8"/>
  <c r="P1493" i="8" s="1"/>
  <c r="O1496" i="8"/>
  <c r="P1496" i="8" s="1"/>
  <c r="O1501" i="8"/>
  <c r="P1501" i="8" s="1"/>
  <c r="O1504" i="8"/>
  <c r="P1504" i="8" s="1"/>
  <c r="O1509" i="8"/>
  <c r="P1509" i="8" s="1"/>
  <c r="O1512" i="8"/>
  <c r="P1512" i="8" s="1"/>
  <c r="O1517" i="8"/>
  <c r="P1517" i="8" s="1"/>
  <c r="O1520" i="8"/>
  <c r="P1520" i="8" s="1"/>
  <c r="O1540" i="8"/>
  <c r="P1540" i="8" s="1"/>
  <c r="O1545" i="8"/>
  <c r="P1545" i="8" s="1"/>
  <c r="O1550" i="8"/>
  <c r="P1550" i="8" s="1"/>
  <c r="O1552" i="8"/>
  <c r="P1552" i="8" s="1"/>
  <c r="O1595" i="8"/>
  <c r="P1595" i="8" s="1"/>
  <c r="O1598" i="8"/>
  <c r="P1598" i="8" s="1"/>
  <c r="O1603" i="8"/>
  <c r="P1603" i="8" s="1"/>
  <c r="O1606" i="8"/>
  <c r="P1606" i="8" s="1"/>
  <c r="O1658" i="8"/>
  <c r="P1658" i="8" s="1"/>
  <c r="O1663" i="8"/>
  <c r="P1663" i="8" s="1"/>
  <c r="O1666" i="8"/>
  <c r="P1666" i="8" s="1"/>
  <c r="O1723" i="8"/>
  <c r="P1723" i="8" s="1"/>
  <c r="O1726" i="8"/>
  <c r="P1726" i="8" s="1"/>
  <c r="O1731" i="8"/>
  <c r="P1731" i="8" s="1"/>
  <c r="O1734" i="8"/>
  <c r="P1734" i="8" s="1"/>
  <c r="O1786" i="8"/>
  <c r="P1786" i="8" s="1"/>
  <c r="O1791" i="8"/>
  <c r="P1791" i="8" s="1"/>
  <c r="O1794" i="8"/>
  <c r="P1794" i="8" s="1"/>
  <c r="O1819" i="8"/>
  <c r="P1819" i="8" s="1"/>
  <c r="O1822" i="8"/>
  <c r="P1822" i="8" s="1"/>
  <c r="O1827" i="8"/>
  <c r="P1827" i="8" s="1"/>
  <c r="O1830" i="8"/>
  <c r="P1830" i="8" s="1"/>
  <c r="O1835" i="8"/>
  <c r="P1835" i="8" s="1"/>
  <c r="O1838" i="8"/>
  <c r="P1838" i="8" s="1"/>
  <c r="O1843" i="8"/>
  <c r="P1843" i="8" s="1"/>
  <c r="O1846" i="8"/>
  <c r="P1846" i="8" s="1"/>
  <c r="O1851" i="8"/>
  <c r="P1851" i="8" s="1"/>
  <c r="O1854" i="8"/>
  <c r="P1854" i="8" s="1"/>
  <c r="O1859" i="8"/>
  <c r="P1859" i="8" s="1"/>
  <c r="O1862" i="8"/>
  <c r="P1862" i="8" s="1"/>
  <c r="O1930" i="8"/>
  <c r="P1930" i="8" s="1"/>
  <c r="O1935" i="8"/>
  <c r="P1935" i="8" s="1"/>
  <c r="O1937" i="8"/>
  <c r="P1937" i="8" s="1"/>
  <c r="O1939" i="8"/>
  <c r="P1939" i="8" s="1"/>
  <c r="O1941" i="8"/>
  <c r="P1941" i="8" s="1"/>
  <c r="O1943" i="8"/>
  <c r="P1943" i="8" s="1"/>
  <c r="O1945" i="8"/>
  <c r="P1945" i="8" s="1"/>
  <c r="O1947" i="8"/>
  <c r="P1947" i="8" s="1"/>
  <c r="O1974" i="8"/>
  <c r="P1974" i="8" s="1"/>
  <c r="O1976" i="8"/>
  <c r="P1976" i="8" s="1"/>
  <c r="O1978" i="8"/>
  <c r="P1978" i="8" s="1"/>
  <c r="O1980" i="8"/>
  <c r="P1980" i="8" s="1"/>
  <c r="O1982" i="8"/>
  <c r="P1982" i="8" s="1"/>
  <c r="O1984" i="8"/>
  <c r="P1984" i="8" s="1"/>
  <c r="O2007" i="8"/>
  <c r="P2007" i="8" s="1"/>
  <c r="O2009" i="8"/>
  <c r="P2009" i="8" s="1"/>
  <c r="O2011" i="8"/>
  <c r="P2011" i="8" s="1"/>
  <c r="O2013" i="8"/>
  <c r="P2013" i="8" s="1"/>
  <c r="O2015" i="8"/>
  <c r="P2015" i="8" s="1"/>
  <c r="O2038" i="8"/>
  <c r="P2038" i="8" s="1"/>
  <c r="O2040" i="8"/>
  <c r="P2040" i="8" s="1"/>
  <c r="O2042" i="8"/>
  <c r="P2042" i="8" s="1"/>
  <c r="O2044" i="8"/>
  <c r="P2044" i="8" s="1"/>
  <c r="O2046" i="8"/>
  <c r="P2046" i="8" s="1"/>
  <c r="O2048" i="8"/>
  <c r="P2048" i="8" s="1"/>
  <c r="O2071" i="8"/>
  <c r="P2071" i="8" s="1"/>
  <c r="O2073" i="8"/>
  <c r="P2073" i="8" s="1"/>
  <c r="O2075" i="8"/>
  <c r="P2075" i="8" s="1"/>
  <c r="O2077" i="8"/>
  <c r="P2077" i="8" s="1"/>
  <c r="O2079" i="8"/>
  <c r="P2079" i="8" s="1"/>
  <c r="O2102" i="8"/>
  <c r="P2102" i="8" s="1"/>
  <c r="O2104" i="8"/>
  <c r="P2104" i="8" s="1"/>
  <c r="O2106" i="8"/>
  <c r="P2106" i="8" s="1"/>
  <c r="O2108" i="8"/>
  <c r="P2108" i="8" s="1"/>
  <c r="O2119" i="8"/>
  <c r="P2119" i="8" s="1"/>
  <c r="O2121" i="8"/>
  <c r="P2121" i="8" s="1"/>
  <c r="O2123" i="8"/>
  <c r="P2123" i="8" s="1"/>
  <c r="O2125" i="8"/>
  <c r="P2125" i="8" s="1"/>
  <c r="O2127" i="8"/>
  <c r="P2127" i="8" s="1"/>
  <c r="O2129" i="8"/>
  <c r="P2129" i="8" s="1"/>
  <c r="O2131" i="8"/>
  <c r="P2131" i="8" s="1"/>
  <c r="O2142" i="8"/>
  <c r="P2142" i="8" s="1"/>
  <c r="O2144" i="8"/>
  <c r="P2144" i="8" s="1"/>
  <c r="O2146" i="8"/>
  <c r="P2146" i="8" s="1"/>
  <c r="O2148" i="8"/>
  <c r="P2148" i="8" s="1"/>
  <c r="O2163" i="8"/>
  <c r="P2163" i="8" s="1"/>
  <c r="O2170" i="8"/>
  <c r="P2170" i="8" s="1"/>
  <c r="O2172" i="8"/>
  <c r="P2172" i="8" s="1"/>
  <c r="O2174" i="8"/>
  <c r="P2174" i="8" s="1"/>
  <c r="O2176" i="8"/>
  <c r="P2176" i="8" s="1"/>
  <c r="O2183" i="8"/>
  <c r="P2183" i="8" s="1"/>
  <c r="O2194" i="8"/>
  <c r="P2194" i="8" s="1"/>
  <c r="O2196" i="8"/>
  <c r="P2196" i="8" s="1"/>
  <c r="O2203" i="8"/>
  <c r="P2203" i="8" s="1"/>
  <c r="O2205" i="8"/>
  <c r="P2205" i="8" s="1"/>
  <c r="O2207" i="8"/>
  <c r="P2207" i="8" s="1"/>
  <c r="O2214" i="8"/>
  <c r="O2216" i="8"/>
  <c r="O2227" i="8"/>
  <c r="O2234" i="8"/>
  <c r="O2236" i="8"/>
  <c r="O2238" i="8"/>
  <c r="O2240" i="8"/>
  <c r="O2247" i="8"/>
  <c r="O2258" i="8"/>
  <c r="O2260" i="8"/>
  <c r="O2267" i="8"/>
  <c r="O2269" i="8"/>
  <c r="O2271" i="8"/>
  <c r="O2278" i="8"/>
  <c r="O2280" i="8"/>
  <c r="O2291" i="8"/>
  <c r="O2298" i="8"/>
  <c r="O2300" i="8"/>
  <c r="O2302" i="8"/>
  <c r="O2304" i="8"/>
  <c r="O2311" i="8"/>
  <c r="O2322" i="8"/>
  <c r="P2322" i="8" s="1"/>
  <c r="O2324" i="8"/>
  <c r="P2324" i="8" s="1"/>
  <c r="O2331" i="8"/>
  <c r="P2331" i="8" s="1"/>
  <c r="O2333" i="8"/>
  <c r="P2333" i="8" s="1"/>
  <c r="O2335" i="8"/>
  <c r="P2335" i="8" s="1"/>
  <c r="O2342" i="8"/>
  <c r="P2342" i="8" s="1"/>
  <c r="O2344" i="8"/>
  <c r="P2344" i="8" s="1"/>
  <c r="O2355" i="8"/>
  <c r="P2355" i="8" s="1"/>
  <c r="O2362" i="8"/>
  <c r="P2362" i="8" s="1"/>
  <c r="O2364" i="8"/>
  <c r="P2364" i="8" s="1"/>
  <c r="O2366" i="8"/>
  <c r="P2366" i="8" s="1"/>
  <c r="O2368" i="8"/>
  <c r="P2368" i="8" s="1"/>
  <c r="O2375" i="8"/>
  <c r="P2375" i="8" s="1"/>
  <c r="O2386" i="8"/>
  <c r="P2386" i="8" s="1"/>
  <c r="O1867" i="8"/>
  <c r="P1867" i="8" s="1"/>
  <c r="O1870" i="8"/>
  <c r="P1870" i="8" s="1"/>
  <c r="O1875" i="8"/>
  <c r="P1875" i="8" s="1"/>
  <c r="O1878" i="8"/>
  <c r="P1878" i="8" s="1"/>
  <c r="O1883" i="8"/>
  <c r="P1883" i="8" s="1"/>
  <c r="O1886" i="8"/>
  <c r="P1886" i="8" s="1"/>
  <c r="O1891" i="8"/>
  <c r="P1891" i="8" s="1"/>
  <c r="O1894" i="8"/>
  <c r="P1894" i="8" s="1"/>
  <c r="O1899" i="8"/>
  <c r="P1899" i="8" s="1"/>
  <c r="O1902" i="8"/>
  <c r="P1902" i="8" s="1"/>
  <c r="O1907" i="8"/>
  <c r="P1907" i="8" s="1"/>
  <c r="O1910" i="8"/>
  <c r="P1910" i="8" s="1"/>
  <c r="O1915" i="8"/>
  <c r="P1915" i="8" s="1"/>
  <c r="O1918" i="8"/>
  <c r="P1918" i="8" s="1"/>
  <c r="O1923" i="8"/>
  <c r="P1923" i="8" s="1"/>
  <c r="O1926" i="8"/>
  <c r="P1926" i="8" s="1"/>
  <c r="O1949" i="8"/>
  <c r="P1949" i="8" s="1"/>
  <c r="O1951" i="8"/>
  <c r="P1951" i="8" s="1"/>
  <c r="O1953" i="8"/>
  <c r="P1953" i="8" s="1"/>
  <c r="O1955" i="8"/>
  <c r="P1955" i="8" s="1"/>
  <c r="O1957" i="8"/>
  <c r="P1957" i="8" s="1"/>
  <c r="O1959" i="8"/>
  <c r="P1959" i="8" s="1"/>
  <c r="O1961" i="8"/>
  <c r="P1961" i="8" s="1"/>
  <c r="O1963" i="8"/>
  <c r="P1963" i="8" s="1"/>
  <c r="O1965" i="8"/>
  <c r="P1965" i="8" s="1"/>
  <c r="O1967" i="8"/>
  <c r="P1967" i="8" s="1"/>
  <c r="O1969" i="8"/>
  <c r="P1969" i="8" s="1"/>
  <c r="O1971" i="8"/>
  <c r="P1971" i="8" s="1"/>
  <c r="O1986" i="8"/>
  <c r="P1986" i="8" s="1"/>
  <c r="O1988" i="8"/>
  <c r="P1988" i="8" s="1"/>
  <c r="O1990" i="8"/>
  <c r="P1990" i="8" s="1"/>
  <c r="O1992" i="8"/>
  <c r="P1992" i="8" s="1"/>
  <c r="O1994" i="8"/>
  <c r="P1994" i="8" s="1"/>
  <c r="O1996" i="8"/>
  <c r="P1996" i="8" s="1"/>
  <c r="O1998" i="8"/>
  <c r="P1998" i="8" s="1"/>
  <c r="O2000" i="8"/>
  <c r="P2000" i="8" s="1"/>
  <c r="O2002" i="8"/>
  <c r="P2002" i="8" s="1"/>
  <c r="O2004" i="8"/>
  <c r="P2004" i="8" s="1"/>
  <c r="O2019" i="8"/>
  <c r="P2019" i="8" s="1"/>
  <c r="O2021" i="8"/>
  <c r="P2021" i="8" s="1"/>
  <c r="O2023" i="8"/>
  <c r="P2023" i="8" s="1"/>
  <c r="O2025" i="8"/>
  <c r="P2025" i="8" s="1"/>
  <c r="O2027" i="8"/>
  <c r="P2027" i="8" s="1"/>
  <c r="O2029" i="8"/>
  <c r="P2029" i="8" s="1"/>
  <c r="O2031" i="8"/>
  <c r="P2031" i="8" s="1"/>
  <c r="O2033" i="8"/>
  <c r="P2033" i="8" s="1"/>
  <c r="O2035" i="8"/>
  <c r="P2035" i="8" s="1"/>
  <c r="O2050" i="8"/>
  <c r="P2050" i="8" s="1"/>
  <c r="O2052" i="8"/>
  <c r="P2052" i="8" s="1"/>
  <c r="O2054" i="8"/>
  <c r="P2054" i="8" s="1"/>
  <c r="O2056" i="8"/>
  <c r="P2056" i="8" s="1"/>
  <c r="O2058" i="8"/>
  <c r="P2058" i="8" s="1"/>
  <c r="O2060" i="8"/>
  <c r="P2060" i="8" s="1"/>
  <c r="O2062" i="8"/>
  <c r="P2062" i="8" s="1"/>
  <c r="O2064" i="8"/>
  <c r="P2064" i="8" s="1"/>
  <c r="O2066" i="8"/>
  <c r="P2066" i="8" s="1"/>
  <c r="O2068" i="8"/>
  <c r="P2068" i="8" s="1"/>
  <c r="O2083" i="8"/>
  <c r="P2083" i="8" s="1"/>
  <c r="O2085" i="8"/>
  <c r="P2085" i="8" s="1"/>
  <c r="O2087" i="8"/>
  <c r="P2087" i="8" s="1"/>
  <c r="O2089" i="8"/>
  <c r="P2089" i="8" s="1"/>
  <c r="O2091" i="8"/>
  <c r="P2091" i="8" s="1"/>
  <c r="O2093" i="8"/>
  <c r="P2093" i="8" s="1"/>
  <c r="O2095" i="8"/>
  <c r="P2095" i="8" s="1"/>
  <c r="O2097" i="8"/>
  <c r="P2097" i="8" s="1"/>
  <c r="O2099" i="8"/>
  <c r="P2099" i="8" s="1"/>
  <c r="O2110" i="8"/>
  <c r="P2110" i="8" s="1"/>
  <c r="O2112" i="8"/>
  <c r="P2112" i="8" s="1"/>
  <c r="O2114" i="8"/>
  <c r="P2114" i="8" s="1"/>
  <c r="O2116" i="8"/>
  <c r="P2116" i="8" s="1"/>
  <c r="O2135" i="8"/>
  <c r="P2135" i="8" s="1"/>
  <c r="O2137" i="8"/>
  <c r="P2137" i="8" s="1"/>
  <c r="O2139" i="8"/>
  <c r="P2139" i="8" s="1"/>
  <c r="O2150" i="8"/>
  <c r="P2150" i="8" s="1"/>
  <c r="O2152" i="8"/>
  <c r="P2152" i="8" s="1"/>
  <c r="O2154" i="8"/>
  <c r="P2154" i="8" s="1"/>
  <c r="O2156" i="8"/>
  <c r="P2156" i="8" s="1"/>
  <c r="O2158" i="8"/>
  <c r="P2158" i="8" s="1"/>
  <c r="O2160" i="8"/>
  <c r="P2160" i="8" s="1"/>
  <c r="O2167" i="8"/>
  <c r="P2167" i="8" s="1"/>
  <c r="O2178" i="8"/>
  <c r="P2178" i="8" s="1"/>
  <c r="O2180" i="8"/>
  <c r="P2180" i="8" s="1"/>
  <c r="O2187" i="8"/>
  <c r="P2187" i="8" s="1"/>
  <c r="O2189" i="8"/>
  <c r="P2189" i="8" s="1"/>
  <c r="O2191" i="8"/>
  <c r="P2191" i="8" s="1"/>
  <c r="O2198" i="8"/>
  <c r="P2198" i="8" s="1"/>
  <c r="O2200" i="8"/>
  <c r="P2200" i="8" s="1"/>
  <c r="O2211" i="8"/>
  <c r="P2211" i="8" s="1"/>
  <c r="O2218" i="8"/>
  <c r="O2220" i="8"/>
  <c r="O2222" i="8"/>
  <c r="O2224" i="8"/>
  <c r="O2231" i="8"/>
  <c r="O2242" i="8"/>
  <c r="O2244" i="8"/>
  <c r="O2251" i="8"/>
  <c r="O2253" i="8"/>
  <c r="O2255" i="8"/>
  <c r="O2262" i="8"/>
  <c r="O2264" i="8"/>
  <c r="O2275" i="8"/>
  <c r="O2282" i="8"/>
  <c r="O2284" i="8"/>
  <c r="O2286" i="8"/>
  <c r="O2288" i="8"/>
  <c r="O2295" i="8"/>
  <c r="O2306" i="8"/>
  <c r="O2308" i="8"/>
  <c r="O2315" i="8"/>
  <c r="O2317" i="8"/>
  <c r="O2319" i="8"/>
  <c r="O2326" i="8"/>
  <c r="P2326" i="8" s="1"/>
  <c r="O2328" i="8"/>
  <c r="P2328" i="8" s="1"/>
  <c r="O2339" i="8"/>
  <c r="P2339" i="8" s="1"/>
  <c r="O2346" i="8"/>
  <c r="P2346" i="8" s="1"/>
  <c r="O2348" i="8"/>
  <c r="P2348" i="8" s="1"/>
  <c r="O2350" i="8"/>
  <c r="P2350" i="8" s="1"/>
  <c r="O2352" i="8"/>
  <c r="P2352" i="8" s="1"/>
  <c r="O2359" i="8"/>
  <c r="P2359" i="8" s="1"/>
  <c r="O2370" i="8"/>
  <c r="P2370" i="8" s="1"/>
  <c r="O2372" i="8"/>
  <c r="P2372" i="8" s="1"/>
  <c r="O2379" i="8"/>
  <c r="P2379" i="8" s="1"/>
  <c r="O2381" i="8"/>
  <c r="P2381" i="8" s="1"/>
  <c r="O2383" i="8"/>
  <c r="P2383" i="8" s="1"/>
  <c r="O1818" i="8"/>
  <c r="P1818" i="8" s="1"/>
  <c r="O1823" i="8"/>
  <c r="P1823" i="8" s="1"/>
  <c r="O1826" i="8"/>
  <c r="P1826" i="8" s="1"/>
  <c r="O1831" i="8"/>
  <c r="P1831" i="8" s="1"/>
  <c r="O1834" i="8"/>
  <c r="P1834" i="8" s="1"/>
  <c r="O1839" i="8"/>
  <c r="P1839" i="8" s="1"/>
  <c r="O1842" i="8"/>
  <c r="P1842" i="8" s="1"/>
  <c r="O1847" i="8"/>
  <c r="P1847" i="8" s="1"/>
  <c r="O1850" i="8"/>
  <c r="P1850" i="8" s="1"/>
  <c r="O1855" i="8"/>
  <c r="P1855" i="8" s="1"/>
  <c r="O1858" i="8"/>
  <c r="P1858" i="8" s="1"/>
  <c r="O1931" i="8"/>
  <c r="P1931" i="8" s="1"/>
  <c r="O1936" i="8"/>
  <c r="P1936" i="8" s="1"/>
  <c r="O1938" i="8"/>
  <c r="P1938" i="8" s="1"/>
  <c r="O1940" i="8"/>
  <c r="P1940" i="8" s="1"/>
  <c r="O1942" i="8"/>
  <c r="P1942" i="8" s="1"/>
  <c r="O1944" i="8"/>
  <c r="P1944" i="8" s="1"/>
  <c r="O1946" i="8"/>
  <c r="P1946" i="8" s="1"/>
  <c r="O1975" i="8"/>
  <c r="P1975" i="8" s="1"/>
  <c r="O1977" i="8"/>
  <c r="P1977" i="8" s="1"/>
  <c r="O1979" i="8"/>
  <c r="P1979" i="8" s="1"/>
  <c r="O1981" i="8"/>
  <c r="P1981" i="8" s="1"/>
  <c r="O1983" i="8"/>
  <c r="P1983" i="8" s="1"/>
  <c r="O2006" i="8"/>
  <c r="P2006" i="8" s="1"/>
  <c r="O2008" i="8"/>
  <c r="P2008" i="8" s="1"/>
  <c r="O2010" i="8"/>
  <c r="P2010" i="8" s="1"/>
  <c r="O2012" i="8"/>
  <c r="P2012" i="8" s="1"/>
  <c r="O2014" i="8"/>
  <c r="P2014" i="8" s="1"/>
  <c r="O2016" i="8"/>
  <c r="P2016" i="8" s="1"/>
  <c r="O2039" i="8"/>
  <c r="P2039" i="8" s="1"/>
  <c r="O2041" i="8"/>
  <c r="P2041" i="8" s="1"/>
  <c r="O2043" i="8"/>
  <c r="P2043" i="8" s="1"/>
  <c r="O2045" i="8"/>
  <c r="P2045" i="8" s="1"/>
  <c r="O2047" i="8"/>
  <c r="P2047" i="8" s="1"/>
  <c r="O2070" i="8"/>
  <c r="P2070" i="8" s="1"/>
  <c r="O2072" i="8"/>
  <c r="P2072" i="8" s="1"/>
  <c r="O2074" i="8"/>
  <c r="P2074" i="8" s="1"/>
  <c r="O2076" i="8"/>
  <c r="P2076" i="8" s="1"/>
  <c r="O2078" i="8"/>
  <c r="P2078" i="8" s="1"/>
  <c r="O2080" i="8"/>
  <c r="P2080" i="8" s="1"/>
  <c r="O2103" i="8"/>
  <c r="P2103" i="8" s="1"/>
  <c r="O2105" i="8"/>
  <c r="P2105" i="8" s="1"/>
  <c r="O2107" i="8"/>
  <c r="P2107" i="8" s="1"/>
  <c r="O2118" i="8"/>
  <c r="P2118" i="8" s="1"/>
  <c r="O2120" i="8"/>
  <c r="P2120" i="8" s="1"/>
  <c r="O2122" i="8"/>
  <c r="P2122" i="8" s="1"/>
  <c r="O2124" i="8"/>
  <c r="P2124" i="8" s="1"/>
  <c r="O2126" i="8"/>
  <c r="P2126" i="8" s="1"/>
  <c r="O2128" i="8"/>
  <c r="P2128" i="8" s="1"/>
  <c r="O2130" i="8"/>
  <c r="P2130" i="8" s="1"/>
  <c r="O2132" i="8"/>
  <c r="P2132" i="8" s="1"/>
  <c r="O2143" i="8"/>
  <c r="P2143" i="8" s="1"/>
  <c r="O2145" i="8"/>
  <c r="P2145" i="8" s="1"/>
  <c r="O2147" i="8"/>
  <c r="P2147" i="8" s="1"/>
  <c r="O2162" i="8"/>
  <c r="P2162" i="8" s="1"/>
  <c r="O2164" i="8"/>
  <c r="P2164" i="8" s="1"/>
  <c r="O2171" i="8"/>
  <c r="P2171" i="8" s="1"/>
  <c r="O2173" i="8"/>
  <c r="P2173" i="8" s="1"/>
  <c r="O2175" i="8"/>
  <c r="P2175" i="8" s="1"/>
  <c r="O2182" i="8"/>
  <c r="P2182" i="8" s="1"/>
  <c r="O2184" i="8"/>
  <c r="P2184" i="8" s="1"/>
  <c r="O2195" i="8"/>
  <c r="P2195" i="8" s="1"/>
  <c r="O2202" i="8"/>
  <c r="P2202" i="8" s="1"/>
  <c r="O2204" i="8"/>
  <c r="P2204" i="8" s="1"/>
  <c r="O2206" i="8"/>
  <c r="P2206" i="8" s="1"/>
  <c r="O2208" i="8"/>
  <c r="P2208" i="8" s="1"/>
  <c r="O2215" i="8"/>
  <c r="O2226" i="8"/>
  <c r="O2228" i="8"/>
  <c r="O2235" i="8"/>
  <c r="O2237" i="8"/>
  <c r="O2239" i="8"/>
  <c r="O2246" i="8"/>
  <c r="O2248" i="8"/>
  <c r="O2259" i="8"/>
  <c r="O2266" i="8"/>
  <c r="O2268" i="8"/>
  <c r="O2270" i="8"/>
  <c r="O2272" i="8"/>
  <c r="O2279" i="8"/>
  <c r="O2290" i="8"/>
  <c r="O2292" i="8"/>
  <c r="O2299" i="8"/>
  <c r="O2301" i="8"/>
  <c r="O2303" i="8"/>
  <c r="O2310" i="8"/>
  <c r="O2312" i="8"/>
  <c r="O2323" i="8"/>
  <c r="P2323" i="8" s="1"/>
  <c r="O2330" i="8"/>
  <c r="P2330" i="8" s="1"/>
  <c r="O2332" i="8"/>
  <c r="P2332" i="8" s="1"/>
  <c r="O2334" i="8"/>
  <c r="P2334" i="8" s="1"/>
  <c r="O2336" i="8"/>
  <c r="P2336" i="8" s="1"/>
  <c r="O2343" i="8"/>
  <c r="P2343" i="8" s="1"/>
  <c r="O2354" i="8"/>
  <c r="P2354" i="8" s="1"/>
  <c r="O2356" i="8"/>
  <c r="P2356" i="8" s="1"/>
  <c r="O2363" i="8"/>
  <c r="P2363" i="8" s="1"/>
  <c r="O2365" i="8"/>
  <c r="P2365" i="8" s="1"/>
  <c r="O2367" i="8"/>
  <c r="P2367" i="8" s="1"/>
  <c r="O2374" i="8"/>
  <c r="P2374" i="8" s="1"/>
  <c r="O2376" i="8"/>
  <c r="P2376" i="8" s="1"/>
  <c r="O2387" i="8"/>
  <c r="P2387" i="8" s="1"/>
  <c r="O1866" i="8"/>
  <c r="P1866" i="8" s="1"/>
  <c r="O1871" i="8"/>
  <c r="P1871" i="8" s="1"/>
  <c r="O1874" i="8"/>
  <c r="P1874" i="8" s="1"/>
  <c r="O1879" i="8"/>
  <c r="P1879" i="8" s="1"/>
  <c r="O1882" i="8"/>
  <c r="P1882" i="8" s="1"/>
  <c r="O1887" i="8"/>
  <c r="P1887" i="8" s="1"/>
  <c r="O1890" i="8"/>
  <c r="P1890" i="8" s="1"/>
  <c r="O1895" i="8"/>
  <c r="P1895" i="8" s="1"/>
  <c r="O1898" i="8"/>
  <c r="P1898" i="8" s="1"/>
  <c r="O1903" i="8"/>
  <c r="P1903" i="8" s="1"/>
  <c r="O1906" i="8"/>
  <c r="P1906" i="8" s="1"/>
  <c r="O1911" i="8"/>
  <c r="P1911" i="8" s="1"/>
  <c r="O1914" i="8"/>
  <c r="P1914" i="8" s="1"/>
  <c r="O1919" i="8"/>
  <c r="P1919" i="8" s="1"/>
  <c r="O1922" i="8"/>
  <c r="P1922" i="8" s="1"/>
  <c r="O1933" i="8"/>
  <c r="P1933" i="8" s="1"/>
  <c r="O1950" i="8"/>
  <c r="P1950" i="8" s="1"/>
  <c r="O1952" i="8"/>
  <c r="P1952" i="8" s="1"/>
  <c r="O1954" i="8"/>
  <c r="P1954" i="8" s="1"/>
  <c r="O1956" i="8"/>
  <c r="P1956" i="8" s="1"/>
  <c r="O1958" i="8"/>
  <c r="P1958" i="8" s="1"/>
  <c r="O1960" i="8"/>
  <c r="P1960" i="8" s="1"/>
  <c r="O1962" i="8"/>
  <c r="P1962" i="8" s="1"/>
  <c r="O1964" i="8"/>
  <c r="P1964" i="8" s="1"/>
  <c r="O1966" i="8"/>
  <c r="P1966" i="8" s="1"/>
  <c r="O1968" i="8"/>
  <c r="P1968" i="8" s="1"/>
  <c r="O1970" i="8"/>
  <c r="P1970" i="8" s="1"/>
  <c r="O1972" i="8"/>
  <c r="P1972" i="8" s="1"/>
  <c r="O1987" i="8"/>
  <c r="P1987" i="8" s="1"/>
  <c r="O1989" i="8"/>
  <c r="P1989" i="8" s="1"/>
  <c r="O1991" i="8"/>
  <c r="P1991" i="8" s="1"/>
  <c r="O1993" i="8"/>
  <c r="P1993" i="8" s="1"/>
  <c r="O1995" i="8"/>
  <c r="P1995" i="8" s="1"/>
  <c r="O1997" i="8"/>
  <c r="P1997" i="8" s="1"/>
  <c r="O1999" i="8"/>
  <c r="P1999" i="8" s="1"/>
  <c r="O2001" i="8"/>
  <c r="P2001" i="8" s="1"/>
  <c r="O2003" i="8"/>
  <c r="P2003" i="8" s="1"/>
  <c r="O2018" i="8"/>
  <c r="P2018" i="8" s="1"/>
  <c r="O2020" i="8"/>
  <c r="P2020" i="8" s="1"/>
  <c r="O2022" i="8"/>
  <c r="P2022" i="8" s="1"/>
  <c r="O2024" i="8"/>
  <c r="P2024" i="8" s="1"/>
  <c r="O2026" i="8"/>
  <c r="P2026" i="8" s="1"/>
  <c r="O2028" i="8"/>
  <c r="P2028" i="8" s="1"/>
  <c r="O2030" i="8"/>
  <c r="P2030" i="8" s="1"/>
  <c r="O2032" i="8"/>
  <c r="P2032" i="8" s="1"/>
  <c r="O2034" i="8"/>
  <c r="P2034" i="8" s="1"/>
  <c r="O2036" i="8"/>
  <c r="P2036" i="8" s="1"/>
  <c r="O2051" i="8"/>
  <c r="P2051" i="8" s="1"/>
  <c r="O2053" i="8"/>
  <c r="P2053" i="8" s="1"/>
  <c r="O2055" i="8"/>
  <c r="P2055" i="8" s="1"/>
  <c r="O2057" i="8"/>
  <c r="P2057" i="8" s="1"/>
  <c r="O2059" i="8"/>
  <c r="P2059" i="8" s="1"/>
  <c r="O2061" i="8"/>
  <c r="P2061" i="8" s="1"/>
  <c r="O2063" i="8"/>
  <c r="P2063" i="8" s="1"/>
  <c r="O2065" i="8"/>
  <c r="P2065" i="8" s="1"/>
  <c r="O2067" i="8"/>
  <c r="P2067" i="8" s="1"/>
  <c r="O2082" i="8"/>
  <c r="P2082" i="8" s="1"/>
  <c r="O2084" i="8"/>
  <c r="P2084" i="8" s="1"/>
  <c r="O2086" i="8"/>
  <c r="P2086" i="8" s="1"/>
  <c r="O2088" i="8"/>
  <c r="P2088" i="8" s="1"/>
  <c r="O2090" i="8"/>
  <c r="P2090" i="8" s="1"/>
  <c r="O2092" i="8"/>
  <c r="P2092" i="8" s="1"/>
  <c r="O2094" i="8"/>
  <c r="P2094" i="8" s="1"/>
  <c r="O2096" i="8"/>
  <c r="P2096" i="8" s="1"/>
  <c r="O2098" i="8"/>
  <c r="P2098" i="8" s="1"/>
  <c r="O2100" i="8"/>
  <c r="P2100" i="8" s="1"/>
  <c r="O2111" i="8"/>
  <c r="P2111" i="8" s="1"/>
  <c r="O2113" i="8"/>
  <c r="P2113" i="8" s="1"/>
  <c r="O2115" i="8"/>
  <c r="P2115" i="8" s="1"/>
  <c r="O2134" i="8"/>
  <c r="P2134" i="8" s="1"/>
  <c r="O2136" i="8"/>
  <c r="P2136" i="8" s="1"/>
  <c r="O2138" i="8"/>
  <c r="P2138" i="8" s="1"/>
  <c r="O2140" i="8"/>
  <c r="P2140" i="8" s="1"/>
  <c r="O2151" i="8"/>
  <c r="P2151" i="8" s="1"/>
  <c r="O2153" i="8"/>
  <c r="P2153" i="8" s="1"/>
  <c r="O2155" i="8"/>
  <c r="P2155" i="8" s="1"/>
  <c r="O2157" i="8"/>
  <c r="P2157" i="8" s="1"/>
  <c r="O2159" i="8"/>
  <c r="P2159" i="8" s="1"/>
  <c r="O2166" i="8"/>
  <c r="P2166" i="8" s="1"/>
  <c r="O2168" i="8"/>
  <c r="P2168" i="8" s="1"/>
  <c r="O2179" i="8"/>
  <c r="P2179" i="8" s="1"/>
  <c r="O2186" i="8"/>
  <c r="P2186" i="8" s="1"/>
  <c r="O2188" i="8"/>
  <c r="P2188" i="8" s="1"/>
  <c r="O2190" i="8"/>
  <c r="P2190" i="8" s="1"/>
  <c r="O2192" i="8"/>
  <c r="P2192" i="8" s="1"/>
  <c r="O2199" i="8"/>
  <c r="P2199" i="8" s="1"/>
  <c r="O2210" i="8"/>
  <c r="P2210" i="8" s="1"/>
  <c r="O2212" i="8"/>
  <c r="P2212" i="8" s="1"/>
  <c r="O2219" i="8"/>
  <c r="O2221" i="8"/>
  <c r="O2223" i="8"/>
  <c r="O2230" i="8"/>
  <c r="O2232" i="8"/>
  <c r="O2243" i="8"/>
  <c r="O2250" i="8"/>
  <c r="O2252" i="8"/>
  <c r="O2254" i="8"/>
  <c r="O2256" i="8"/>
  <c r="O2263" i="8"/>
  <c r="O2274" i="8"/>
  <c r="O2276" i="8"/>
  <c r="O2283" i="8"/>
  <c r="O2285" i="8"/>
  <c r="O2287" i="8"/>
  <c r="O2294" i="8"/>
  <c r="O2296" i="8"/>
  <c r="O2307" i="8"/>
  <c r="O2314" i="8"/>
  <c r="O2316" i="8"/>
  <c r="O2318" i="8"/>
  <c r="O2320" i="8"/>
  <c r="O2327" i="8"/>
  <c r="P2327" i="8" s="1"/>
  <c r="O2338" i="8"/>
  <c r="P2338" i="8" s="1"/>
  <c r="O2340" i="8"/>
  <c r="P2340" i="8" s="1"/>
  <c r="O2347" i="8"/>
  <c r="P2347" i="8" s="1"/>
  <c r="O2349" i="8"/>
  <c r="P2349" i="8" s="1"/>
  <c r="O2351" i="8"/>
  <c r="P2351" i="8" s="1"/>
  <c r="O2358" i="8"/>
  <c r="P2358" i="8" s="1"/>
  <c r="O2360" i="8"/>
  <c r="P2360" i="8" s="1"/>
  <c r="O2371" i="8"/>
  <c r="P2371" i="8" s="1"/>
  <c r="O2378" i="8"/>
  <c r="P2378" i="8" s="1"/>
  <c r="O2380" i="8"/>
  <c r="P2380" i="8" s="1"/>
  <c r="O2382" i="8"/>
  <c r="P2382" i="8" s="1"/>
  <c r="O2384" i="8"/>
  <c r="P2384" i="8" s="1"/>
  <c r="O270" i="8"/>
  <c r="P270" i="8" s="1"/>
  <c r="O271" i="8"/>
  <c r="P271" i="8" s="1"/>
  <c r="O272" i="8"/>
  <c r="P272" i="8" s="1"/>
  <c r="O274" i="8"/>
  <c r="P274" i="8" s="1"/>
  <c r="O275" i="8"/>
  <c r="P275" i="8" s="1"/>
  <c r="O276" i="8"/>
  <c r="P276" i="8" s="1"/>
  <c r="O278" i="8"/>
  <c r="P278" i="8" s="1"/>
  <c r="O279" i="8"/>
  <c r="P279" i="8" s="1"/>
  <c r="O280" i="8"/>
  <c r="P280" i="8" s="1"/>
  <c r="O282" i="8"/>
  <c r="P282" i="8" s="1"/>
  <c r="O283" i="8"/>
  <c r="P283" i="8" s="1"/>
  <c r="O284" i="8"/>
  <c r="P284" i="8" s="1"/>
  <c r="O286" i="8"/>
  <c r="P286" i="8" s="1"/>
  <c r="O287" i="8"/>
  <c r="P287" i="8" s="1"/>
  <c r="O288" i="8"/>
  <c r="P288" i="8" s="1"/>
  <c r="O290" i="8"/>
  <c r="P290" i="8" s="1"/>
  <c r="O291" i="8"/>
  <c r="P291" i="8" s="1"/>
  <c r="O292" i="8"/>
  <c r="P292" i="8" s="1"/>
  <c r="O294" i="8"/>
  <c r="P294" i="8" s="1"/>
  <c r="O295" i="8"/>
  <c r="P295" i="8" s="1"/>
  <c r="O296" i="8"/>
  <c r="P296" i="8" s="1"/>
  <c r="O298" i="8"/>
  <c r="P298" i="8" s="1"/>
  <c r="O299" i="8"/>
  <c r="P299" i="8" s="1"/>
  <c r="O300" i="8"/>
  <c r="P300" i="8" s="1"/>
  <c r="O302" i="8"/>
  <c r="P302" i="8" s="1"/>
  <c r="O303" i="8"/>
  <c r="P303" i="8" s="1"/>
  <c r="O304" i="8"/>
  <c r="P304" i="8" s="1"/>
  <c r="O306" i="8"/>
  <c r="P306" i="8" s="1"/>
  <c r="O307" i="8"/>
  <c r="P307" i="8" s="1"/>
  <c r="O308" i="8"/>
  <c r="P308" i="8" s="1"/>
  <c r="O310" i="8"/>
  <c r="P310" i="8" s="1"/>
  <c r="O311" i="8"/>
  <c r="P311" i="8" s="1"/>
  <c r="O312" i="8"/>
  <c r="P312" i="8" s="1"/>
  <c r="O314" i="8"/>
  <c r="P314" i="8" s="1"/>
  <c r="O315" i="8"/>
  <c r="P315" i="8" s="1"/>
  <c r="O316" i="8"/>
  <c r="P316" i="8" s="1"/>
  <c r="O318" i="8"/>
  <c r="P318" i="8" s="1"/>
  <c r="O319" i="8"/>
  <c r="P319" i="8" s="1"/>
  <c r="O320" i="8"/>
  <c r="P320" i="8" s="1"/>
  <c r="O322" i="8"/>
  <c r="P322" i="8" s="1"/>
  <c r="O323" i="8"/>
  <c r="P323" i="8" s="1"/>
  <c r="O324" i="8"/>
  <c r="P324" i="8" s="1"/>
  <c r="O326" i="8"/>
  <c r="P326" i="8" s="1"/>
  <c r="O327" i="8"/>
  <c r="P327" i="8" s="1"/>
  <c r="O328" i="8"/>
  <c r="P328" i="8" s="1"/>
  <c r="O330" i="8"/>
  <c r="P330" i="8" s="1"/>
  <c r="O331" i="8"/>
  <c r="P331" i="8" s="1"/>
  <c r="O332" i="8"/>
  <c r="P332" i="8" s="1"/>
  <c r="O334" i="8"/>
  <c r="P334" i="8" s="1"/>
  <c r="O335" i="8"/>
  <c r="P335" i="8" s="1"/>
  <c r="O336" i="8"/>
  <c r="P336" i="8" s="1"/>
  <c r="O338" i="8"/>
  <c r="P338" i="8" s="1"/>
  <c r="O339" i="8"/>
  <c r="P339" i="8" s="1"/>
  <c r="O340" i="8"/>
  <c r="P340" i="8" s="1"/>
  <c r="O342" i="8"/>
  <c r="P342" i="8" s="1"/>
  <c r="O343" i="8"/>
  <c r="P343" i="8" s="1"/>
  <c r="O344" i="8"/>
  <c r="P344" i="8" s="1"/>
  <c r="O346" i="8"/>
  <c r="P346" i="8" s="1"/>
  <c r="O347" i="8"/>
  <c r="P347" i="8" s="1"/>
  <c r="O348" i="8"/>
  <c r="P348" i="8" s="1"/>
  <c r="O350" i="8"/>
  <c r="P350" i="8" s="1"/>
  <c r="O351" i="8"/>
  <c r="P351" i="8" s="1"/>
  <c r="O352" i="8"/>
  <c r="P352" i="8" s="1"/>
  <c r="O354" i="8"/>
  <c r="P354" i="8" s="1"/>
  <c r="O355" i="8"/>
  <c r="P355" i="8" s="1"/>
  <c r="O356" i="8"/>
  <c r="P356" i="8" s="1"/>
  <c r="O358" i="8"/>
  <c r="P358" i="8" s="1"/>
  <c r="O359" i="8"/>
  <c r="P359" i="8" s="1"/>
  <c r="O360" i="8"/>
  <c r="P360" i="8" s="1"/>
  <c r="O362" i="8"/>
  <c r="P362" i="8" s="1"/>
  <c r="O363" i="8"/>
  <c r="P363" i="8" s="1"/>
  <c r="O364" i="8"/>
  <c r="P364" i="8" s="1"/>
  <c r="O366" i="8"/>
  <c r="P366" i="8" s="1"/>
  <c r="O367" i="8"/>
  <c r="P367" i="8" s="1"/>
  <c r="O368" i="8"/>
  <c r="P368" i="8" s="1"/>
  <c r="O370" i="8"/>
  <c r="P370" i="8" s="1"/>
  <c r="O371" i="8"/>
  <c r="P371" i="8" s="1"/>
  <c r="O372" i="8"/>
  <c r="P372" i="8" s="1"/>
  <c r="O374" i="8"/>
  <c r="P374" i="8" s="1"/>
  <c r="O375" i="8"/>
  <c r="P375" i="8" s="1"/>
  <c r="O376" i="8"/>
  <c r="P376" i="8" s="1"/>
  <c r="O378" i="8"/>
  <c r="P378" i="8" s="1"/>
  <c r="O379" i="8"/>
  <c r="P379" i="8" s="1"/>
  <c r="O380" i="8"/>
  <c r="P380" i="8" s="1"/>
  <c r="O382" i="8"/>
  <c r="P382" i="8" s="1"/>
  <c r="O383" i="8"/>
  <c r="P383" i="8" s="1"/>
  <c r="O384" i="8"/>
  <c r="P384" i="8" s="1"/>
  <c r="O386" i="8"/>
  <c r="P386" i="8" s="1"/>
  <c r="O387" i="8"/>
  <c r="P387" i="8" s="1"/>
  <c r="O388" i="8"/>
  <c r="P388" i="8" s="1"/>
  <c r="O390" i="8"/>
  <c r="P390" i="8" s="1"/>
  <c r="O391" i="8"/>
  <c r="P391" i="8" s="1"/>
  <c r="O392" i="8"/>
  <c r="P392" i="8" s="1"/>
  <c r="O394" i="8"/>
  <c r="P394" i="8" s="1"/>
  <c r="O395" i="8"/>
  <c r="P395" i="8" s="1"/>
  <c r="O396" i="8"/>
  <c r="P396" i="8" s="1"/>
  <c r="O398" i="8"/>
  <c r="P398" i="8" s="1"/>
  <c r="O399" i="8"/>
  <c r="P399" i="8" s="1"/>
  <c r="O400" i="8"/>
  <c r="P400" i="8" s="1"/>
  <c r="O402" i="8"/>
  <c r="P402" i="8" s="1"/>
  <c r="O403" i="8"/>
  <c r="P403" i="8" s="1"/>
  <c r="O404" i="8"/>
  <c r="P404" i="8" s="1"/>
  <c r="O406" i="8"/>
  <c r="P406" i="8" s="1"/>
  <c r="O407" i="8"/>
  <c r="P407" i="8" s="1"/>
  <c r="O408" i="8"/>
  <c r="P408" i="8" s="1"/>
  <c r="O410" i="8"/>
  <c r="P410" i="8" s="1"/>
  <c r="O411" i="8"/>
  <c r="P411" i="8" s="1"/>
  <c r="O412" i="8"/>
  <c r="P412" i="8" s="1"/>
  <c r="O414" i="8"/>
  <c r="P414" i="8" s="1"/>
  <c r="O415" i="8"/>
  <c r="P415" i="8" s="1"/>
  <c r="O416" i="8"/>
  <c r="P416" i="8" s="1"/>
  <c r="O418" i="8"/>
  <c r="P418" i="8" s="1"/>
  <c r="O419" i="8"/>
  <c r="P419" i="8" s="1"/>
  <c r="O420" i="8"/>
  <c r="P420" i="8" s="1"/>
  <c r="O422" i="8"/>
  <c r="P422" i="8" s="1"/>
  <c r="O423" i="8"/>
  <c r="P423" i="8" s="1"/>
  <c r="O424" i="8"/>
  <c r="P424" i="8" s="1"/>
  <c r="O426" i="8"/>
  <c r="P426" i="8" s="1"/>
  <c r="O427" i="8"/>
  <c r="P427" i="8" s="1"/>
  <c r="O428" i="8"/>
  <c r="P428" i="8" s="1"/>
  <c r="O430" i="8"/>
  <c r="P430" i="8" s="1"/>
  <c r="O431" i="8"/>
  <c r="P431" i="8" s="1"/>
  <c r="O432" i="8"/>
  <c r="P432" i="8" s="1"/>
  <c r="O434" i="8"/>
  <c r="P434" i="8" s="1"/>
  <c r="O435" i="8"/>
  <c r="P435" i="8" s="1"/>
  <c r="O436" i="8"/>
  <c r="P436" i="8" s="1"/>
  <c r="O438" i="8"/>
  <c r="P438" i="8" s="1"/>
  <c r="O439" i="8"/>
  <c r="P439" i="8" s="1"/>
  <c r="O440" i="8"/>
  <c r="P440" i="8" s="1"/>
  <c r="O442" i="8"/>
  <c r="P442" i="8" s="1"/>
  <c r="O443" i="8"/>
  <c r="P443" i="8" s="1"/>
  <c r="O444" i="8"/>
  <c r="P444" i="8" s="1"/>
  <c r="O446" i="8"/>
  <c r="P446" i="8" s="1"/>
  <c r="O447" i="8"/>
  <c r="P447" i="8" s="1"/>
  <c r="O448" i="8"/>
  <c r="P448" i="8" s="1"/>
  <c r="O450" i="8"/>
  <c r="P450" i="8" s="1"/>
  <c r="O451" i="8"/>
  <c r="P451" i="8" s="1"/>
  <c r="O452" i="8"/>
  <c r="P452" i="8" s="1"/>
  <c r="O454" i="8"/>
  <c r="P454" i="8" s="1"/>
  <c r="O455" i="8"/>
  <c r="P455" i="8" s="1"/>
  <c r="O456" i="8"/>
  <c r="P456" i="8" s="1"/>
  <c r="O458" i="8"/>
  <c r="P458" i="8" s="1"/>
  <c r="O459" i="8"/>
  <c r="P459" i="8" s="1"/>
  <c r="O460" i="8"/>
  <c r="P460" i="8" s="1"/>
  <c r="O462" i="8"/>
  <c r="P462" i="8" s="1"/>
  <c r="O463" i="8"/>
  <c r="P463" i="8" s="1"/>
  <c r="O464" i="8"/>
  <c r="P464" i="8" s="1"/>
  <c r="O466" i="8"/>
  <c r="P466" i="8" s="1"/>
  <c r="O467" i="8"/>
  <c r="P467" i="8" s="1"/>
  <c r="O468" i="8"/>
  <c r="P468" i="8" s="1"/>
  <c r="O470" i="8"/>
  <c r="P470" i="8" s="1"/>
  <c r="O471" i="8"/>
  <c r="P471" i="8" s="1"/>
  <c r="O472" i="8"/>
  <c r="P472" i="8" s="1"/>
  <c r="O474" i="8"/>
  <c r="P474" i="8" s="1"/>
  <c r="O475" i="8"/>
  <c r="P475" i="8" s="1"/>
  <c r="O476" i="8"/>
  <c r="P476" i="8" s="1"/>
  <c r="O478" i="8"/>
  <c r="P478" i="8" s="1"/>
  <c r="O479" i="8"/>
  <c r="P479" i="8" s="1"/>
  <c r="O480" i="8"/>
  <c r="P480" i="8" s="1"/>
  <c r="O482" i="8"/>
  <c r="P482" i="8" s="1"/>
  <c r="O483" i="8"/>
  <c r="P483" i="8" s="1"/>
  <c r="O484" i="8"/>
  <c r="P484" i="8" s="1"/>
  <c r="O486" i="8"/>
  <c r="P486" i="8" s="1"/>
  <c r="O487" i="8"/>
  <c r="P487" i="8" s="1"/>
  <c r="O488" i="8"/>
  <c r="P488" i="8" s="1"/>
  <c r="O490" i="8"/>
  <c r="P490" i="8" s="1"/>
  <c r="O491" i="8"/>
  <c r="P491" i="8" s="1"/>
  <c r="O492" i="8"/>
  <c r="P492" i="8" s="1"/>
  <c r="O494" i="8"/>
  <c r="P494" i="8" s="1"/>
  <c r="O495" i="8"/>
  <c r="P495" i="8" s="1"/>
  <c r="O496" i="8"/>
  <c r="P496" i="8" s="1"/>
  <c r="O498" i="8"/>
  <c r="P498" i="8" s="1"/>
  <c r="O499" i="8"/>
  <c r="P499" i="8" s="1"/>
  <c r="O500" i="8"/>
  <c r="P500" i="8" s="1"/>
  <c r="O502" i="8"/>
  <c r="P502" i="8" s="1"/>
  <c r="O503" i="8"/>
  <c r="P503" i="8" s="1"/>
  <c r="O504" i="8"/>
  <c r="P504" i="8" s="1"/>
  <c r="O506" i="8"/>
  <c r="P506" i="8" s="1"/>
  <c r="O507" i="8"/>
  <c r="P507" i="8" s="1"/>
  <c r="O508" i="8"/>
  <c r="P508" i="8" s="1"/>
  <c r="O510" i="8"/>
  <c r="P510" i="8" s="1"/>
  <c r="O511" i="8"/>
  <c r="P511" i="8" s="1"/>
  <c r="O512" i="8"/>
  <c r="P512" i="8" s="1"/>
  <c r="O514" i="8"/>
  <c r="P514" i="8" s="1"/>
  <c r="O515" i="8"/>
  <c r="P515" i="8" s="1"/>
  <c r="O516" i="8"/>
  <c r="P516" i="8" s="1"/>
  <c r="O518" i="8"/>
  <c r="P518" i="8" s="1"/>
  <c r="O519" i="8"/>
  <c r="P519" i="8" s="1"/>
  <c r="O520" i="8"/>
  <c r="P520" i="8" s="1"/>
  <c r="O522" i="8"/>
  <c r="P522" i="8" s="1"/>
  <c r="O523" i="8"/>
  <c r="P523" i="8" s="1"/>
  <c r="O524" i="8"/>
  <c r="P524" i="8" s="1"/>
  <c r="O526" i="8"/>
  <c r="P526" i="8" s="1"/>
  <c r="O527" i="8"/>
  <c r="P527" i="8" s="1"/>
  <c r="O528" i="8"/>
  <c r="P528" i="8" s="1"/>
  <c r="O530" i="8"/>
  <c r="P530" i="8" s="1"/>
  <c r="O531" i="8"/>
  <c r="P531" i="8" s="1"/>
  <c r="O532" i="8"/>
  <c r="P532" i="8" s="1"/>
  <c r="O534" i="8"/>
  <c r="P534" i="8" s="1"/>
  <c r="O535" i="8"/>
  <c r="P535" i="8" s="1"/>
  <c r="O536" i="8"/>
  <c r="P536" i="8" s="1"/>
  <c r="O538" i="8"/>
  <c r="P538" i="8" s="1"/>
  <c r="O539" i="8"/>
  <c r="P539" i="8" s="1"/>
  <c r="O540" i="8"/>
  <c r="P540" i="8" s="1"/>
  <c r="O542" i="8"/>
  <c r="P542" i="8" s="1"/>
  <c r="O543" i="8"/>
  <c r="P543" i="8" s="1"/>
  <c r="O544" i="8"/>
  <c r="P544" i="8" s="1"/>
  <c r="O546" i="8"/>
  <c r="P546" i="8" s="1"/>
  <c r="O547" i="8"/>
  <c r="P547" i="8" s="1"/>
  <c r="O548" i="8"/>
  <c r="P548" i="8" s="1"/>
  <c r="O550" i="8"/>
  <c r="P550" i="8" s="1"/>
  <c r="O551" i="8"/>
  <c r="P551" i="8" s="1"/>
  <c r="O552" i="8"/>
  <c r="P552" i="8" s="1"/>
  <c r="O554" i="8"/>
  <c r="P554" i="8" s="1"/>
  <c r="O555" i="8"/>
  <c r="P555" i="8" s="1"/>
  <c r="O556" i="8"/>
  <c r="P556" i="8" s="1"/>
  <c r="O558" i="8"/>
  <c r="P558" i="8" s="1"/>
  <c r="O559" i="8"/>
  <c r="P559" i="8" s="1"/>
  <c r="O560" i="8"/>
  <c r="P560" i="8" s="1"/>
  <c r="O562" i="8"/>
  <c r="P562" i="8" s="1"/>
  <c r="O563" i="8"/>
  <c r="P563" i="8" s="1"/>
  <c r="O564" i="8"/>
  <c r="P564" i="8" s="1"/>
  <c r="O566" i="8"/>
  <c r="P566" i="8" s="1"/>
  <c r="O567" i="8"/>
  <c r="P567" i="8" s="1"/>
  <c r="O568" i="8"/>
  <c r="P568" i="8" s="1"/>
  <c r="O570" i="8"/>
  <c r="P570" i="8" s="1"/>
  <c r="O571" i="8"/>
  <c r="P571" i="8" s="1"/>
  <c r="O572" i="8"/>
  <c r="P572" i="8" s="1"/>
  <c r="O574" i="8"/>
  <c r="P574" i="8" s="1"/>
  <c r="O575" i="8"/>
  <c r="P575" i="8" s="1"/>
  <c r="O576" i="8"/>
  <c r="P576" i="8" s="1"/>
  <c r="O578" i="8"/>
  <c r="P578" i="8" s="1"/>
  <c r="O579" i="8"/>
  <c r="P579" i="8" s="1"/>
  <c r="O580" i="8"/>
  <c r="P580" i="8" s="1"/>
  <c r="O582" i="8"/>
  <c r="P582" i="8" s="1"/>
  <c r="O583" i="8"/>
  <c r="P583" i="8" s="1"/>
  <c r="O584" i="8"/>
  <c r="P584" i="8" s="1"/>
  <c r="O586" i="8"/>
  <c r="P586" i="8" s="1"/>
  <c r="O587" i="8"/>
  <c r="P587" i="8" s="1"/>
  <c r="O588" i="8"/>
  <c r="P588" i="8" s="1"/>
  <c r="O590" i="8"/>
  <c r="P590" i="8" s="1"/>
  <c r="O591" i="8"/>
  <c r="P591" i="8" s="1"/>
  <c r="O592" i="8"/>
  <c r="P592" i="8" s="1"/>
  <c r="O594" i="8"/>
  <c r="P594" i="8" s="1"/>
  <c r="O595" i="8"/>
  <c r="P595" i="8" s="1"/>
  <c r="O596" i="8"/>
  <c r="P596" i="8" s="1"/>
  <c r="O598" i="8"/>
  <c r="P598" i="8" s="1"/>
  <c r="O599" i="8"/>
  <c r="P599" i="8" s="1"/>
  <c r="O600" i="8"/>
  <c r="P600" i="8" s="1"/>
  <c r="O602" i="8"/>
  <c r="P602" i="8" s="1"/>
  <c r="O603" i="8"/>
  <c r="P603" i="8" s="1"/>
  <c r="O604" i="8"/>
  <c r="P604" i="8" s="1"/>
  <c r="O606" i="8"/>
  <c r="P606" i="8" s="1"/>
  <c r="O607" i="8"/>
  <c r="P607" i="8" s="1"/>
  <c r="O608" i="8"/>
  <c r="P608" i="8" s="1"/>
  <c r="O610" i="8"/>
  <c r="P610" i="8" s="1"/>
  <c r="O611" i="8"/>
  <c r="P611" i="8" s="1"/>
  <c r="O612" i="8"/>
  <c r="P612" i="8" s="1"/>
  <c r="O614" i="8"/>
  <c r="P614" i="8" s="1"/>
  <c r="O615" i="8"/>
  <c r="P615" i="8" s="1"/>
  <c r="O616" i="8"/>
  <c r="P616" i="8" s="1"/>
  <c r="O618" i="8"/>
  <c r="P618" i="8" s="1"/>
  <c r="O619" i="8"/>
  <c r="P619" i="8" s="1"/>
  <c r="O620" i="8"/>
  <c r="P620" i="8" s="1"/>
  <c r="O622" i="8"/>
  <c r="P622" i="8" s="1"/>
  <c r="O623" i="8"/>
  <c r="P623" i="8" s="1"/>
  <c r="O624" i="8"/>
  <c r="P624" i="8" s="1"/>
  <c r="O626" i="8"/>
  <c r="P626" i="8" s="1"/>
  <c r="O627" i="8"/>
  <c r="P627" i="8" s="1"/>
  <c r="O628" i="8"/>
  <c r="P628" i="8" s="1"/>
  <c r="O630" i="8"/>
  <c r="P630" i="8" s="1"/>
  <c r="O631" i="8"/>
  <c r="P631" i="8" s="1"/>
  <c r="O632" i="8"/>
  <c r="P632" i="8" s="1"/>
  <c r="O634" i="8"/>
  <c r="P634" i="8" s="1"/>
  <c r="O635" i="8"/>
  <c r="P635" i="8" s="1"/>
  <c r="O636" i="8"/>
  <c r="P636" i="8" s="1"/>
  <c r="O638" i="8"/>
  <c r="P638" i="8" s="1"/>
  <c r="O639" i="8"/>
  <c r="P639" i="8" s="1"/>
  <c r="O640" i="8"/>
  <c r="P640" i="8" s="1"/>
  <c r="O642" i="8"/>
  <c r="P642" i="8" s="1"/>
  <c r="O643" i="8"/>
  <c r="P643" i="8" s="1"/>
  <c r="O644" i="8"/>
  <c r="P644" i="8" s="1"/>
  <c r="O646" i="8"/>
  <c r="P646" i="8" s="1"/>
  <c r="O647" i="8"/>
  <c r="P647" i="8" s="1"/>
  <c r="O648" i="8"/>
  <c r="P648" i="8" s="1"/>
  <c r="O650" i="8"/>
  <c r="P650" i="8" s="1"/>
  <c r="O651" i="8"/>
  <c r="P651" i="8" s="1"/>
  <c r="O652" i="8"/>
  <c r="P652" i="8" s="1"/>
  <c r="O654" i="8"/>
  <c r="P654" i="8" s="1"/>
  <c r="O655" i="8"/>
  <c r="P655" i="8" s="1"/>
  <c r="O656" i="8"/>
  <c r="P656" i="8" s="1"/>
  <c r="O658" i="8"/>
  <c r="P658" i="8" s="1"/>
  <c r="O659" i="8"/>
  <c r="P659" i="8" s="1"/>
  <c r="O660" i="8"/>
  <c r="P660" i="8" s="1"/>
  <c r="O662" i="8"/>
  <c r="P662" i="8" s="1"/>
  <c r="O663" i="8"/>
  <c r="P663" i="8" s="1"/>
  <c r="O664" i="8"/>
  <c r="P664" i="8" s="1"/>
  <c r="O666" i="8"/>
  <c r="P666" i="8" s="1"/>
  <c r="O667" i="8"/>
  <c r="P667" i="8" s="1"/>
  <c r="O668" i="8"/>
  <c r="P668" i="8" s="1"/>
  <c r="O670" i="8"/>
  <c r="P670" i="8" s="1"/>
  <c r="O671" i="8"/>
  <c r="P671" i="8" s="1"/>
  <c r="O672" i="8"/>
  <c r="P672" i="8" s="1"/>
  <c r="O674" i="8"/>
  <c r="P674" i="8" s="1"/>
  <c r="O675" i="8"/>
  <c r="P675" i="8" s="1"/>
  <c r="O676" i="8"/>
  <c r="P676" i="8" s="1"/>
  <c r="O678" i="8"/>
  <c r="P678" i="8" s="1"/>
  <c r="O679" i="8"/>
  <c r="P679" i="8" s="1"/>
  <c r="O680" i="8"/>
  <c r="P680" i="8" s="1"/>
  <c r="O682" i="8"/>
  <c r="P682" i="8" s="1"/>
  <c r="O683" i="8"/>
  <c r="P683" i="8" s="1"/>
  <c r="O684" i="8"/>
  <c r="P684" i="8" s="1"/>
  <c r="O686" i="8"/>
  <c r="P686" i="8" s="1"/>
  <c r="O687" i="8"/>
  <c r="P687" i="8" s="1"/>
  <c r="O688" i="8"/>
  <c r="P688" i="8" s="1"/>
  <c r="O690" i="8"/>
  <c r="P690" i="8" s="1"/>
  <c r="O691" i="8"/>
  <c r="P691" i="8" s="1"/>
  <c r="O692" i="8"/>
  <c r="P692" i="8" s="1"/>
  <c r="O694" i="8"/>
  <c r="P694" i="8" s="1"/>
  <c r="O695" i="8"/>
  <c r="P695" i="8" s="1"/>
  <c r="O696" i="8"/>
  <c r="P696" i="8" s="1"/>
  <c r="O698" i="8"/>
  <c r="P698" i="8" s="1"/>
  <c r="O699" i="8"/>
  <c r="P699" i="8" s="1"/>
  <c r="O700" i="8"/>
  <c r="P700" i="8" s="1"/>
  <c r="O702" i="8"/>
  <c r="P702" i="8" s="1"/>
  <c r="O703" i="8"/>
  <c r="P703" i="8" s="1"/>
  <c r="O704" i="8"/>
  <c r="P704" i="8" s="1"/>
  <c r="O706" i="8"/>
  <c r="P706" i="8" s="1"/>
  <c r="O707" i="8"/>
  <c r="P707" i="8" s="1"/>
  <c r="O708" i="8"/>
  <c r="P708" i="8" s="1"/>
  <c r="O710" i="8"/>
  <c r="P710" i="8" s="1"/>
  <c r="O711" i="8"/>
  <c r="P711" i="8" s="1"/>
  <c r="O712" i="8"/>
  <c r="P712" i="8" s="1"/>
  <c r="O714" i="8"/>
  <c r="P714" i="8" s="1"/>
  <c r="O715" i="8"/>
  <c r="P715" i="8" s="1"/>
  <c r="O716" i="8"/>
  <c r="P716" i="8" s="1"/>
  <c r="O718" i="8"/>
  <c r="P718" i="8" s="1"/>
  <c r="O719" i="8"/>
  <c r="P719" i="8" s="1"/>
  <c r="O720" i="8"/>
  <c r="P720" i="8" s="1"/>
  <c r="O722" i="8"/>
  <c r="P722" i="8" s="1"/>
  <c r="O723" i="8"/>
  <c r="P723" i="8" s="1"/>
  <c r="O724" i="8"/>
  <c r="P724" i="8" s="1"/>
  <c r="O726" i="8"/>
  <c r="P726" i="8" s="1"/>
  <c r="O727" i="8"/>
  <c r="P727" i="8" s="1"/>
  <c r="O728" i="8"/>
  <c r="P728" i="8" s="1"/>
  <c r="O730" i="8"/>
  <c r="P730" i="8" s="1"/>
  <c r="O731" i="8"/>
  <c r="P731" i="8" s="1"/>
  <c r="O732" i="8"/>
  <c r="P732" i="8" s="1"/>
  <c r="O734" i="8"/>
  <c r="P734" i="8" s="1"/>
  <c r="O735" i="8"/>
  <c r="P735" i="8" s="1"/>
  <c r="O736" i="8"/>
  <c r="P736" i="8" s="1"/>
  <c r="O738" i="8"/>
  <c r="P738" i="8" s="1"/>
  <c r="O739" i="8"/>
  <c r="P739" i="8" s="1"/>
  <c r="O740" i="8"/>
  <c r="P740" i="8" s="1"/>
  <c r="O742" i="8"/>
  <c r="P742" i="8" s="1"/>
  <c r="O743" i="8"/>
  <c r="P743" i="8" s="1"/>
  <c r="O744" i="8"/>
  <c r="P744" i="8" s="1"/>
  <c r="O746" i="8"/>
  <c r="P746" i="8" s="1"/>
  <c r="O747" i="8"/>
  <c r="P747" i="8" s="1"/>
  <c r="O748" i="8"/>
  <c r="P748" i="8" s="1"/>
  <c r="O750" i="8"/>
  <c r="P750" i="8" s="1"/>
  <c r="O751" i="8"/>
  <c r="P751" i="8" s="1"/>
  <c r="O752" i="8"/>
  <c r="P752" i="8" s="1"/>
  <c r="O754" i="8"/>
  <c r="P754" i="8" s="1"/>
  <c r="O755" i="8"/>
  <c r="P755" i="8" s="1"/>
  <c r="O756" i="8"/>
  <c r="P756" i="8" s="1"/>
  <c r="O758" i="8"/>
  <c r="P758" i="8" s="1"/>
  <c r="O759" i="8"/>
  <c r="P759" i="8" s="1"/>
  <c r="O760" i="8"/>
  <c r="P760" i="8" s="1"/>
  <c r="O762" i="8"/>
  <c r="P762" i="8" s="1"/>
  <c r="O763" i="8"/>
  <c r="P763" i="8" s="1"/>
  <c r="O764" i="8"/>
  <c r="P764" i="8" s="1"/>
  <c r="O766" i="8"/>
  <c r="P766" i="8" s="1"/>
  <c r="O767" i="8"/>
  <c r="P767" i="8" s="1"/>
  <c r="O768" i="8"/>
  <c r="P768" i="8" s="1"/>
  <c r="O770" i="8"/>
  <c r="P770" i="8" s="1"/>
  <c r="O771" i="8"/>
  <c r="P771" i="8" s="1"/>
  <c r="O772" i="8"/>
  <c r="P772" i="8" s="1"/>
  <c r="O774" i="8"/>
  <c r="P774" i="8" s="1"/>
  <c r="O775" i="8"/>
  <c r="P775" i="8" s="1"/>
  <c r="O776" i="8"/>
  <c r="P776" i="8" s="1"/>
  <c r="O778" i="8"/>
  <c r="P778" i="8" s="1"/>
  <c r="O779" i="8"/>
  <c r="P779" i="8" s="1"/>
  <c r="O780" i="8"/>
  <c r="P780" i="8" s="1"/>
  <c r="O782" i="8"/>
  <c r="P782" i="8" s="1"/>
  <c r="O783" i="8"/>
  <c r="P783" i="8" s="1"/>
  <c r="O784" i="8"/>
  <c r="P784" i="8" s="1"/>
  <c r="O786" i="8"/>
  <c r="P786" i="8" s="1"/>
  <c r="O787" i="8"/>
  <c r="P787" i="8" s="1"/>
  <c r="O788" i="8"/>
  <c r="P788" i="8" s="1"/>
  <c r="O790" i="8"/>
  <c r="P790" i="8" s="1"/>
  <c r="O791" i="8"/>
  <c r="P791" i="8" s="1"/>
  <c r="O792" i="8"/>
  <c r="P792" i="8" s="1"/>
  <c r="O794" i="8"/>
  <c r="P794" i="8" s="1"/>
  <c r="O795" i="8"/>
  <c r="P795" i="8" s="1"/>
  <c r="O796" i="8"/>
  <c r="P796" i="8" s="1"/>
  <c r="O798" i="8"/>
  <c r="P798" i="8" s="1"/>
  <c r="O799" i="8"/>
  <c r="P799" i="8" s="1"/>
  <c r="O800" i="8"/>
  <c r="P800" i="8" s="1"/>
  <c r="O802" i="8"/>
  <c r="P802" i="8" s="1"/>
  <c r="O803" i="8"/>
  <c r="P803" i="8" s="1"/>
  <c r="O804" i="8"/>
  <c r="P804" i="8" s="1"/>
  <c r="O806" i="8"/>
  <c r="P806" i="8" s="1"/>
  <c r="O807" i="8"/>
  <c r="P807" i="8" s="1"/>
  <c r="O808" i="8"/>
  <c r="P808" i="8" s="1"/>
  <c r="O810" i="8"/>
  <c r="P810" i="8" s="1"/>
  <c r="O811" i="8"/>
  <c r="P811" i="8" s="1"/>
  <c r="O812" i="8"/>
  <c r="P812" i="8" s="1"/>
  <c r="O814" i="8"/>
  <c r="P814" i="8" s="1"/>
  <c r="O815" i="8"/>
  <c r="P815" i="8" s="1"/>
  <c r="O816" i="8"/>
  <c r="P816" i="8" s="1"/>
  <c r="O818" i="8"/>
  <c r="P818" i="8" s="1"/>
  <c r="O819" i="8"/>
  <c r="P819" i="8" s="1"/>
  <c r="O820" i="8"/>
  <c r="P820" i="8" s="1"/>
  <c r="O822" i="8"/>
  <c r="P822" i="8" s="1"/>
  <c r="O823" i="8"/>
  <c r="P823" i="8" s="1"/>
  <c r="O824" i="8"/>
  <c r="P824" i="8" s="1"/>
  <c r="O826" i="8"/>
  <c r="P826" i="8" s="1"/>
  <c r="O827" i="8"/>
  <c r="P827" i="8" s="1"/>
  <c r="O828" i="8"/>
  <c r="P828" i="8" s="1"/>
  <c r="O830" i="8"/>
  <c r="P830" i="8" s="1"/>
  <c r="O831" i="8"/>
  <c r="P831" i="8" s="1"/>
  <c r="O832" i="8"/>
  <c r="P832" i="8" s="1"/>
  <c r="O834" i="8"/>
  <c r="P834" i="8" s="1"/>
  <c r="O835" i="8"/>
  <c r="P835" i="8" s="1"/>
  <c r="O836" i="8"/>
  <c r="P836" i="8" s="1"/>
  <c r="O838" i="8"/>
  <c r="P838" i="8" s="1"/>
  <c r="O839" i="8"/>
  <c r="P839" i="8" s="1"/>
  <c r="O840" i="8"/>
  <c r="P840" i="8" s="1"/>
  <c r="O842" i="8"/>
  <c r="P842" i="8" s="1"/>
  <c r="O843" i="8"/>
  <c r="P843" i="8" s="1"/>
  <c r="O844" i="8"/>
  <c r="P844" i="8" s="1"/>
  <c r="O846" i="8"/>
  <c r="P846" i="8" s="1"/>
  <c r="O847" i="8"/>
  <c r="P847" i="8" s="1"/>
  <c r="O848" i="8"/>
  <c r="P848" i="8" s="1"/>
  <c r="O850" i="8"/>
  <c r="P850" i="8" s="1"/>
  <c r="O851" i="8"/>
  <c r="P851" i="8" s="1"/>
  <c r="O852" i="8"/>
  <c r="P852" i="8" s="1"/>
  <c r="O854" i="8"/>
  <c r="P854" i="8" s="1"/>
  <c r="O855" i="8"/>
  <c r="P855" i="8" s="1"/>
  <c r="O856" i="8"/>
  <c r="P856" i="8" s="1"/>
  <c r="O858" i="8"/>
  <c r="P858" i="8" s="1"/>
  <c r="O859" i="8"/>
  <c r="P859" i="8" s="1"/>
  <c r="O860" i="8"/>
  <c r="P860" i="8" s="1"/>
  <c r="O862" i="8"/>
  <c r="P862" i="8" s="1"/>
  <c r="O863" i="8"/>
  <c r="P863" i="8" s="1"/>
  <c r="O864" i="8"/>
  <c r="P864" i="8" s="1"/>
  <c r="O866" i="8"/>
  <c r="P866" i="8" s="1"/>
  <c r="O867" i="8"/>
  <c r="P867" i="8" s="1"/>
  <c r="O868" i="8"/>
  <c r="P868" i="8" s="1"/>
  <c r="O870" i="8"/>
  <c r="P870" i="8" s="1"/>
  <c r="O871" i="8"/>
  <c r="P871" i="8" s="1"/>
  <c r="O872" i="8"/>
  <c r="P872" i="8" s="1"/>
  <c r="O874" i="8"/>
  <c r="P874" i="8" s="1"/>
  <c r="O875" i="8"/>
  <c r="P875" i="8" s="1"/>
  <c r="O876" i="8"/>
  <c r="P876" i="8" s="1"/>
  <c r="O878" i="8"/>
  <c r="P878" i="8" s="1"/>
  <c r="O879" i="8"/>
  <c r="P879" i="8" s="1"/>
  <c r="O880" i="8"/>
  <c r="P880" i="8" s="1"/>
  <c r="O882" i="8"/>
  <c r="P882" i="8" s="1"/>
  <c r="O883" i="8"/>
  <c r="P883" i="8" s="1"/>
  <c r="O884" i="8"/>
  <c r="P884" i="8" s="1"/>
  <c r="O886" i="8"/>
  <c r="P886" i="8" s="1"/>
  <c r="O887" i="8"/>
  <c r="P887" i="8" s="1"/>
  <c r="O888" i="8"/>
  <c r="P888" i="8" s="1"/>
  <c r="O890" i="8"/>
  <c r="P890" i="8" s="1"/>
  <c r="O891" i="8"/>
  <c r="P891" i="8" s="1"/>
  <c r="O892" i="8"/>
  <c r="P892" i="8" s="1"/>
  <c r="O894" i="8"/>
  <c r="P894" i="8" s="1"/>
  <c r="O895" i="8"/>
  <c r="P895" i="8" s="1"/>
  <c r="O896" i="8"/>
  <c r="P896" i="8" s="1"/>
  <c r="O898" i="8"/>
  <c r="P898" i="8" s="1"/>
  <c r="O899" i="8"/>
  <c r="P899" i="8" s="1"/>
  <c r="O900" i="8"/>
  <c r="P900" i="8" s="1"/>
  <c r="O902" i="8"/>
  <c r="P902" i="8" s="1"/>
  <c r="O903" i="8"/>
  <c r="P903" i="8" s="1"/>
  <c r="O904" i="8"/>
  <c r="P904" i="8" s="1"/>
  <c r="O906" i="8"/>
  <c r="P906" i="8" s="1"/>
  <c r="O907" i="8"/>
  <c r="P907" i="8" s="1"/>
  <c r="O908" i="8"/>
  <c r="P908" i="8" s="1"/>
  <c r="O910" i="8"/>
  <c r="P910" i="8" s="1"/>
  <c r="O911" i="8"/>
  <c r="P911" i="8" s="1"/>
  <c r="O912" i="8"/>
  <c r="P912" i="8" s="1"/>
  <c r="O914" i="8"/>
  <c r="P914" i="8" s="1"/>
  <c r="O915" i="8"/>
  <c r="P915" i="8" s="1"/>
  <c r="O916" i="8"/>
  <c r="P916" i="8" s="1"/>
  <c r="O918" i="8"/>
  <c r="P918" i="8" s="1"/>
  <c r="O919" i="8"/>
  <c r="P919" i="8" s="1"/>
  <c r="O920" i="8"/>
  <c r="P920" i="8" s="1"/>
  <c r="O922" i="8"/>
  <c r="P922" i="8" s="1"/>
  <c r="O923" i="8"/>
  <c r="P923" i="8" s="1"/>
  <c r="O924" i="8"/>
  <c r="P924" i="8" s="1"/>
  <c r="O926" i="8"/>
  <c r="P926" i="8" s="1"/>
  <c r="O927" i="8"/>
  <c r="P927" i="8" s="1"/>
  <c r="O928" i="8"/>
  <c r="P928" i="8" s="1"/>
  <c r="O930" i="8"/>
  <c r="P930" i="8" s="1"/>
  <c r="O931" i="8"/>
  <c r="P931" i="8" s="1"/>
  <c r="O932" i="8"/>
  <c r="P932" i="8" s="1"/>
  <c r="O934" i="8"/>
  <c r="P934" i="8" s="1"/>
  <c r="O935" i="8"/>
  <c r="P935" i="8" s="1"/>
  <c r="O936" i="8"/>
  <c r="P936" i="8" s="1"/>
  <c r="O938" i="8"/>
  <c r="P938" i="8" s="1"/>
  <c r="O939" i="8"/>
  <c r="P939" i="8" s="1"/>
  <c r="O940" i="8"/>
  <c r="P940" i="8" s="1"/>
  <c r="O942" i="8"/>
  <c r="P942" i="8" s="1"/>
  <c r="O943" i="8"/>
  <c r="P943" i="8" s="1"/>
  <c r="O944" i="8"/>
  <c r="P944" i="8" s="1"/>
  <c r="O946" i="8"/>
  <c r="P946" i="8" s="1"/>
  <c r="O947" i="8"/>
  <c r="P947" i="8" s="1"/>
  <c r="O948" i="8"/>
  <c r="P948" i="8" s="1"/>
  <c r="O950" i="8"/>
  <c r="P950" i="8" s="1"/>
  <c r="O951" i="8"/>
  <c r="P951" i="8" s="1"/>
  <c r="O952" i="8"/>
  <c r="P952" i="8" s="1"/>
  <c r="O954" i="8"/>
  <c r="P954" i="8" s="1"/>
  <c r="O955" i="8"/>
  <c r="P955" i="8" s="1"/>
  <c r="O956" i="8"/>
  <c r="P956" i="8" s="1"/>
  <c r="O958" i="8"/>
  <c r="P958" i="8" s="1"/>
  <c r="O959" i="8"/>
  <c r="P959" i="8" s="1"/>
  <c r="O960" i="8"/>
  <c r="P960" i="8" s="1"/>
  <c r="O962" i="8"/>
  <c r="P962" i="8" s="1"/>
  <c r="O963" i="8"/>
  <c r="P963" i="8" s="1"/>
  <c r="O964" i="8"/>
  <c r="P964" i="8" s="1"/>
  <c r="O966" i="8"/>
  <c r="P966" i="8" s="1"/>
  <c r="O967" i="8"/>
  <c r="P967" i="8" s="1"/>
  <c r="O968" i="8"/>
  <c r="P968" i="8" s="1"/>
  <c r="O970" i="8"/>
  <c r="P970" i="8" s="1"/>
  <c r="O971" i="8"/>
  <c r="P971" i="8" s="1"/>
  <c r="O972" i="8"/>
  <c r="P972" i="8" s="1"/>
  <c r="O974" i="8"/>
  <c r="P974" i="8" s="1"/>
  <c r="O975" i="8"/>
  <c r="P975" i="8" s="1"/>
  <c r="O976" i="8"/>
  <c r="P976" i="8" s="1"/>
  <c r="O978" i="8"/>
  <c r="P978" i="8" s="1"/>
  <c r="O979" i="8"/>
  <c r="P979" i="8" s="1"/>
  <c r="O980" i="8"/>
  <c r="P980" i="8" s="1"/>
  <c r="O982" i="8"/>
  <c r="P982" i="8" s="1"/>
  <c r="O983" i="8"/>
  <c r="P983" i="8" s="1"/>
  <c r="O984" i="8"/>
  <c r="P984" i="8" s="1"/>
  <c r="O986" i="8"/>
  <c r="P986" i="8" s="1"/>
  <c r="O987" i="8"/>
  <c r="P987" i="8" s="1"/>
  <c r="O988" i="8"/>
  <c r="P988" i="8" s="1"/>
  <c r="O990" i="8"/>
  <c r="P990" i="8" s="1"/>
  <c r="O991" i="8"/>
  <c r="P991" i="8" s="1"/>
  <c r="O992" i="8"/>
  <c r="P992" i="8" s="1"/>
  <c r="O994" i="8"/>
  <c r="P994" i="8" s="1"/>
  <c r="O995" i="8"/>
  <c r="P995" i="8" s="1"/>
  <c r="O996" i="8"/>
  <c r="P996" i="8" s="1"/>
  <c r="O998" i="8"/>
  <c r="P998" i="8" s="1"/>
  <c r="O999" i="8"/>
  <c r="P999" i="8" s="1"/>
  <c r="O1000" i="8"/>
  <c r="P1000" i="8" s="1"/>
  <c r="O1002" i="8"/>
  <c r="P1002" i="8" s="1"/>
  <c r="O1003" i="8"/>
  <c r="P1003" i="8" s="1"/>
  <c r="O1004" i="8"/>
  <c r="P1004" i="8" s="1"/>
  <c r="O1006" i="8"/>
  <c r="P1006" i="8" s="1"/>
  <c r="O1007" i="8"/>
  <c r="P1007" i="8" s="1"/>
  <c r="O1008" i="8"/>
  <c r="P1008" i="8" s="1"/>
  <c r="O1010" i="8"/>
  <c r="P1010" i="8" s="1"/>
  <c r="O1011" i="8"/>
  <c r="P1011" i="8" s="1"/>
  <c r="O1012" i="8"/>
  <c r="P1012" i="8" s="1"/>
  <c r="O1014" i="8"/>
  <c r="P1014" i="8" s="1"/>
  <c r="O1015" i="8"/>
  <c r="P1015" i="8" s="1"/>
  <c r="O1016" i="8"/>
  <c r="P1016" i="8" s="1"/>
  <c r="O1018" i="8"/>
  <c r="P1018" i="8" s="1"/>
  <c r="O1019" i="8"/>
  <c r="P1019" i="8" s="1"/>
  <c r="O1020" i="8"/>
  <c r="P1020" i="8" s="1"/>
  <c r="O1022" i="8"/>
  <c r="P1022" i="8" s="1"/>
  <c r="O1023" i="8"/>
  <c r="P1023" i="8" s="1"/>
  <c r="O1024" i="8"/>
  <c r="P1024" i="8" s="1"/>
  <c r="O1026" i="8"/>
  <c r="P1026" i="8" s="1"/>
  <c r="O1027" i="8"/>
  <c r="P1027" i="8" s="1"/>
  <c r="O1028" i="8"/>
  <c r="P1028" i="8" s="1"/>
  <c r="O1030" i="8"/>
  <c r="P1030" i="8" s="1"/>
  <c r="O1031" i="8"/>
  <c r="P1031" i="8" s="1"/>
  <c r="O1032" i="8"/>
  <c r="P1032" i="8" s="1"/>
  <c r="O1034" i="8"/>
  <c r="P1034" i="8" s="1"/>
  <c r="O1035" i="8"/>
  <c r="P1035" i="8" s="1"/>
  <c r="O1036" i="8"/>
  <c r="P1036" i="8" s="1"/>
  <c r="O1038" i="8"/>
  <c r="P1038" i="8" s="1"/>
  <c r="O1039" i="8"/>
  <c r="P1039" i="8" s="1"/>
  <c r="O1040" i="8"/>
  <c r="P1040" i="8" s="1"/>
  <c r="O1042" i="8"/>
  <c r="P1042" i="8" s="1"/>
  <c r="O1043" i="8"/>
  <c r="P1043" i="8" s="1"/>
  <c r="O1044" i="8"/>
  <c r="P1044" i="8" s="1"/>
  <c r="O1046" i="8"/>
  <c r="P1046" i="8" s="1"/>
  <c r="O1047" i="8"/>
  <c r="P1047" i="8" s="1"/>
  <c r="O1048" i="8"/>
  <c r="P1048" i="8" s="1"/>
  <c r="O1050" i="8"/>
  <c r="P1050" i="8" s="1"/>
  <c r="O1051" i="8"/>
  <c r="P1051" i="8" s="1"/>
  <c r="O1052" i="8"/>
  <c r="P1052" i="8" s="1"/>
  <c r="O1054" i="8"/>
  <c r="P1054" i="8" s="1"/>
  <c r="O1055" i="8"/>
  <c r="P1055" i="8" s="1"/>
  <c r="O1056" i="8"/>
  <c r="P1056" i="8" s="1"/>
  <c r="O1058" i="8"/>
  <c r="P1058" i="8" s="1"/>
  <c r="O1059" i="8"/>
  <c r="P1059" i="8" s="1"/>
  <c r="O1060" i="8"/>
  <c r="P1060" i="8" s="1"/>
  <c r="O1062" i="8"/>
  <c r="P1062" i="8" s="1"/>
  <c r="O1063" i="8"/>
  <c r="P1063" i="8" s="1"/>
  <c r="O1064" i="8"/>
  <c r="P1064" i="8" s="1"/>
  <c r="O1066" i="8"/>
  <c r="P1066" i="8" s="1"/>
  <c r="O1067" i="8"/>
  <c r="P1067" i="8" s="1"/>
  <c r="O1068" i="8"/>
  <c r="P1068" i="8" s="1"/>
  <c r="O1070" i="8"/>
  <c r="P1070" i="8" s="1"/>
  <c r="O1071" i="8"/>
  <c r="P1071" i="8" s="1"/>
  <c r="O1072" i="8"/>
  <c r="P1072" i="8" s="1"/>
  <c r="O1074" i="8"/>
  <c r="P1074" i="8" s="1"/>
  <c r="O1075" i="8"/>
  <c r="P1075" i="8" s="1"/>
  <c r="O1076" i="8"/>
  <c r="P1076" i="8" s="1"/>
  <c r="O1078" i="8"/>
  <c r="P1078" i="8" s="1"/>
  <c r="O1079" i="8"/>
  <c r="P1079" i="8" s="1"/>
  <c r="O1080" i="8"/>
  <c r="P1080" i="8" s="1"/>
  <c r="O1082" i="8"/>
  <c r="P1082" i="8" s="1"/>
  <c r="O1083" i="8"/>
  <c r="P1083" i="8" s="1"/>
  <c r="O1084" i="8"/>
  <c r="P1084" i="8" s="1"/>
  <c r="O1086" i="8"/>
  <c r="P1086" i="8" s="1"/>
  <c r="O1087" i="8"/>
  <c r="P1087" i="8" s="1"/>
  <c r="O1088" i="8"/>
  <c r="P1088" i="8" s="1"/>
  <c r="O1090" i="8"/>
  <c r="P1090" i="8" s="1"/>
  <c r="O1091" i="8"/>
  <c r="P1091" i="8" s="1"/>
  <c r="O1092" i="8"/>
  <c r="P1092" i="8" s="1"/>
  <c r="O1094" i="8"/>
  <c r="P1094" i="8" s="1"/>
  <c r="O1095" i="8"/>
  <c r="P1095" i="8" s="1"/>
  <c r="O1096" i="8"/>
  <c r="P1096" i="8" s="1"/>
  <c r="O1098" i="8"/>
  <c r="P1098" i="8" s="1"/>
  <c r="O1099" i="8"/>
  <c r="P1099" i="8" s="1"/>
  <c r="O1100" i="8"/>
  <c r="P1100" i="8" s="1"/>
  <c r="O1102" i="8"/>
  <c r="P1102" i="8" s="1"/>
  <c r="O1103" i="8"/>
  <c r="P1103" i="8" s="1"/>
  <c r="O1104" i="8"/>
  <c r="P1104" i="8" s="1"/>
  <c r="O1106" i="8"/>
  <c r="P1106" i="8" s="1"/>
  <c r="O1107" i="8"/>
  <c r="P1107" i="8" s="1"/>
  <c r="O1108" i="8"/>
  <c r="P1108" i="8" s="1"/>
  <c r="O1110" i="8"/>
  <c r="P1110" i="8" s="1"/>
  <c r="O1111" i="8"/>
  <c r="P1111" i="8" s="1"/>
  <c r="O1112" i="8"/>
  <c r="P1112" i="8" s="1"/>
  <c r="O1113" i="8"/>
  <c r="P1113" i="8" s="1"/>
  <c r="O1114" i="8"/>
  <c r="P1114" i="8" s="1"/>
  <c r="O1115" i="8"/>
  <c r="P1115" i="8" s="1"/>
  <c r="O1116" i="8"/>
  <c r="P1116" i="8" s="1"/>
  <c r="O1117" i="8"/>
  <c r="P1117" i="8" s="1"/>
  <c r="O1118" i="8"/>
  <c r="P1118" i="8" s="1"/>
  <c r="O1119" i="8"/>
  <c r="P1119" i="8" s="1"/>
  <c r="O1120" i="8"/>
  <c r="P1120" i="8" s="1"/>
  <c r="O1121" i="8"/>
  <c r="P1121" i="8" s="1"/>
  <c r="O1122" i="8"/>
  <c r="P1122" i="8" s="1"/>
  <c r="O1123" i="8"/>
  <c r="P1123" i="8" s="1"/>
  <c r="O1124" i="8"/>
  <c r="P1124" i="8" s="1"/>
  <c r="O1125" i="8"/>
  <c r="P1125" i="8" s="1"/>
  <c r="O1126" i="8"/>
  <c r="P1126" i="8" s="1"/>
  <c r="O1127" i="8"/>
  <c r="P1127" i="8" s="1"/>
  <c r="O1128" i="8"/>
  <c r="P1128" i="8" s="1"/>
  <c r="O1129" i="8"/>
  <c r="P1129" i="8" s="1"/>
  <c r="O1130" i="8"/>
  <c r="P1130" i="8" s="1"/>
  <c r="O1131" i="8"/>
  <c r="P1131" i="8" s="1"/>
  <c r="O1132" i="8"/>
  <c r="P1132" i="8" s="1"/>
  <c r="O1133" i="8"/>
  <c r="P1133" i="8" s="1"/>
  <c r="O1134" i="8"/>
  <c r="P1134" i="8" s="1"/>
  <c r="O1135" i="8"/>
  <c r="P1135" i="8" s="1"/>
  <c r="O1136" i="8"/>
  <c r="P1136" i="8" s="1"/>
  <c r="O1137" i="8"/>
  <c r="P1137" i="8" s="1"/>
  <c r="O1138" i="8"/>
  <c r="P1138" i="8" s="1"/>
  <c r="O1139" i="8"/>
  <c r="P1139" i="8" s="1"/>
  <c r="O1140" i="8"/>
  <c r="P1140" i="8" s="1"/>
  <c r="O1141" i="8"/>
  <c r="P1141" i="8" s="1"/>
  <c r="O1142" i="8"/>
  <c r="P1142" i="8" s="1"/>
  <c r="O1143" i="8"/>
  <c r="P1143" i="8" s="1"/>
  <c r="O1144" i="8"/>
  <c r="P1144" i="8" s="1"/>
  <c r="O1145" i="8"/>
  <c r="P1145" i="8" s="1"/>
  <c r="O1146" i="8"/>
  <c r="P1146" i="8" s="1"/>
  <c r="O1147" i="8"/>
  <c r="P1147" i="8" s="1"/>
  <c r="O1148" i="8"/>
  <c r="P1148" i="8" s="1"/>
  <c r="O1149" i="8"/>
  <c r="P1149" i="8" s="1"/>
  <c r="O1150" i="8"/>
  <c r="P1150" i="8" s="1"/>
  <c r="O1151" i="8"/>
  <c r="P1151" i="8" s="1"/>
  <c r="O1152" i="8"/>
  <c r="P1152" i="8" s="1"/>
  <c r="O1153" i="8"/>
  <c r="P1153" i="8" s="1"/>
  <c r="O1154" i="8"/>
  <c r="P1154" i="8" s="1"/>
  <c r="O1155" i="8"/>
  <c r="P1155" i="8" s="1"/>
  <c r="O1156" i="8"/>
  <c r="P1156" i="8" s="1"/>
  <c r="O1157" i="8"/>
  <c r="P1157" i="8" s="1"/>
  <c r="O1158" i="8"/>
  <c r="P1158" i="8" s="1"/>
  <c r="O1159" i="8"/>
  <c r="P1159" i="8" s="1"/>
  <c r="O1160" i="8"/>
  <c r="P1160" i="8" s="1"/>
  <c r="O1161" i="8"/>
  <c r="P1161" i="8" s="1"/>
  <c r="O1162" i="8"/>
  <c r="P1162" i="8" s="1"/>
  <c r="O1163" i="8"/>
  <c r="P1163" i="8" s="1"/>
  <c r="O1164" i="8"/>
  <c r="P1164" i="8" s="1"/>
  <c r="O1165" i="8"/>
  <c r="P1165" i="8" s="1"/>
  <c r="O1166" i="8"/>
  <c r="P1166" i="8" s="1"/>
  <c r="O1167" i="8"/>
  <c r="P1167" i="8" s="1"/>
  <c r="O1168" i="8"/>
  <c r="P1168" i="8" s="1"/>
  <c r="O1169" i="8"/>
  <c r="P1169" i="8" s="1"/>
  <c r="O1170" i="8"/>
  <c r="P1170" i="8" s="1"/>
  <c r="O1171" i="8"/>
  <c r="P1171" i="8" s="1"/>
  <c r="O1172" i="8"/>
  <c r="P1172" i="8" s="1"/>
  <c r="O1173" i="8"/>
  <c r="P1173" i="8" s="1"/>
  <c r="O1174" i="8"/>
  <c r="P1174" i="8" s="1"/>
  <c r="O1175" i="8"/>
  <c r="P1175" i="8" s="1"/>
  <c r="O1176" i="8"/>
  <c r="P1176" i="8" s="1"/>
  <c r="O1177" i="8"/>
  <c r="P1177" i="8" s="1"/>
  <c r="O1178" i="8"/>
  <c r="P1178" i="8" s="1"/>
  <c r="O1179" i="8"/>
  <c r="P1179" i="8" s="1"/>
  <c r="O1180" i="8"/>
  <c r="P1180" i="8" s="1"/>
  <c r="O1181" i="8"/>
  <c r="P1181" i="8" s="1"/>
  <c r="O1182" i="8"/>
  <c r="P1182" i="8" s="1"/>
  <c r="O1183" i="8"/>
  <c r="P1183" i="8" s="1"/>
  <c r="O1184" i="8"/>
  <c r="P1184" i="8" s="1"/>
  <c r="O1185" i="8"/>
  <c r="P1185" i="8" s="1"/>
  <c r="O1186" i="8"/>
  <c r="P1186" i="8" s="1"/>
  <c r="O1187" i="8"/>
  <c r="P1187" i="8" s="1"/>
  <c r="O1188" i="8"/>
  <c r="P1188" i="8" s="1"/>
  <c r="O1189" i="8"/>
  <c r="P1189" i="8" s="1"/>
  <c r="O1190" i="8"/>
  <c r="P1190" i="8" s="1"/>
  <c r="O1191" i="8"/>
  <c r="P1191" i="8" s="1"/>
  <c r="O1192" i="8"/>
  <c r="P1192" i="8" s="1"/>
  <c r="O1193" i="8"/>
  <c r="P1193" i="8" s="1"/>
  <c r="O1194" i="8"/>
  <c r="P1194" i="8" s="1"/>
  <c r="O1195" i="8"/>
  <c r="P1195" i="8" s="1"/>
  <c r="O1196" i="8"/>
  <c r="P1196" i="8" s="1"/>
  <c r="O1197" i="8"/>
  <c r="P1197" i="8" s="1"/>
  <c r="O1198" i="8"/>
  <c r="P1198" i="8" s="1"/>
  <c r="O1199" i="8"/>
  <c r="P1199" i="8" s="1"/>
  <c r="O1200" i="8"/>
  <c r="P1200" i="8" s="1"/>
  <c r="O1201" i="8"/>
  <c r="P1201" i="8" s="1"/>
  <c r="O1202" i="8"/>
  <c r="P1202" i="8" s="1"/>
  <c r="O1203" i="8"/>
  <c r="P1203" i="8" s="1"/>
  <c r="O1204" i="8"/>
  <c r="P1204" i="8" s="1"/>
  <c r="O1205" i="8"/>
  <c r="P1205" i="8" s="1"/>
  <c r="O1206" i="8"/>
  <c r="P1206" i="8" s="1"/>
  <c r="O1207" i="8"/>
  <c r="P1207" i="8" s="1"/>
  <c r="O1208" i="8"/>
  <c r="P1208" i="8" s="1"/>
  <c r="O1209" i="8"/>
  <c r="P1209" i="8" s="1"/>
  <c r="O1210" i="8"/>
  <c r="P1210" i="8" s="1"/>
  <c r="O1211" i="8"/>
  <c r="P1211" i="8" s="1"/>
  <c r="O1212" i="8"/>
  <c r="P1212" i="8" s="1"/>
  <c r="O1213" i="8"/>
  <c r="P1213" i="8" s="1"/>
  <c r="O1214" i="8"/>
  <c r="P1214" i="8" s="1"/>
  <c r="O1215" i="8"/>
  <c r="P1215" i="8" s="1"/>
  <c r="O1216" i="8"/>
  <c r="P1216" i="8" s="1"/>
  <c r="O1217" i="8"/>
  <c r="P1217" i="8" s="1"/>
  <c r="O1218" i="8"/>
  <c r="P1218" i="8" s="1"/>
  <c r="O1219" i="8"/>
  <c r="P1219" i="8" s="1"/>
  <c r="O1220" i="8"/>
  <c r="P1220" i="8" s="1"/>
  <c r="O1221" i="8"/>
  <c r="P1221" i="8" s="1"/>
  <c r="O1222" i="8"/>
  <c r="P1222" i="8" s="1"/>
  <c r="O1223" i="8"/>
  <c r="P1223" i="8" s="1"/>
  <c r="O1224" i="8"/>
  <c r="P1224" i="8" s="1"/>
  <c r="O1225" i="8"/>
  <c r="P1225" i="8" s="1"/>
  <c r="O1226" i="8"/>
  <c r="P1226" i="8" s="1"/>
  <c r="O1227" i="8"/>
  <c r="P1227" i="8" s="1"/>
  <c r="O1228" i="8"/>
  <c r="P1228" i="8" s="1"/>
  <c r="O1229" i="8"/>
  <c r="P1229" i="8" s="1"/>
  <c r="O1230" i="8"/>
  <c r="P1230" i="8" s="1"/>
  <c r="O1231" i="8"/>
  <c r="P1231" i="8" s="1"/>
  <c r="O1232" i="8"/>
  <c r="P1232" i="8" s="1"/>
  <c r="O1233" i="8"/>
  <c r="P1233" i="8" s="1"/>
  <c r="O1234" i="8"/>
  <c r="P1234" i="8" s="1"/>
  <c r="O1235" i="8"/>
  <c r="P1235" i="8" s="1"/>
  <c r="O1236" i="8"/>
  <c r="P1236" i="8" s="1"/>
  <c r="O1237" i="8"/>
  <c r="P1237" i="8" s="1"/>
  <c r="O1238" i="8"/>
  <c r="P1238" i="8" s="1"/>
  <c r="O1242" i="8"/>
  <c r="P1242" i="8" s="1"/>
  <c r="O1243" i="8"/>
  <c r="P1243" i="8" s="1"/>
  <c r="O1246" i="8"/>
  <c r="P1246" i="8" s="1"/>
  <c r="O1247" i="8"/>
  <c r="P1247" i="8" s="1"/>
  <c r="O1249" i="8"/>
  <c r="P1249" i="8" s="1"/>
  <c r="O1250" i="8"/>
  <c r="P1250" i="8" s="1"/>
  <c r="O1251" i="8"/>
  <c r="P1251" i="8" s="1"/>
  <c r="O1254" i="8"/>
  <c r="P1254" i="8" s="1"/>
  <c r="O1255" i="8"/>
  <c r="P1255" i="8" s="1"/>
  <c r="O1258" i="8"/>
  <c r="P1258" i="8" s="1"/>
  <c r="O1259" i="8"/>
  <c r="P1259" i="8" s="1"/>
  <c r="O1262" i="8"/>
  <c r="P1262" i="8" s="1"/>
  <c r="O1263" i="8"/>
  <c r="P1263" i="8" s="1"/>
  <c r="O1265" i="8"/>
  <c r="P1265" i="8" s="1"/>
  <c r="O1266" i="8"/>
  <c r="P1266" i="8" s="1"/>
  <c r="O1267" i="8"/>
  <c r="P1267" i="8" s="1"/>
  <c r="O1270" i="8"/>
  <c r="P1270" i="8" s="1"/>
  <c r="O1271" i="8"/>
  <c r="P1271" i="8" s="1"/>
  <c r="O1274" i="8"/>
  <c r="P1274" i="8" s="1"/>
  <c r="O1275" i="8"/>
  <c r="P1275" i="8" s="1"/>
  <c r="O1278" i="8"/>
  <c r="P1278" i="8" s="1"/>
  <c r="O1279" i="8"/>
  <c r="P1279" i="8" s="1"/>
  <c r="O1281" i="8"/>
  <c r="P1281" i="8" s="1"/>
  <c r="O1282" i="8"/>
  <c r="P1282" i="8" s="1"/>
  <c r="O1283" i="8"/>
  <c r="P1283" i="8" s="1"/>
  <c r="O1286" i="8"/>
  <c r="P1286" i="8" s="1"/>
  <c r="O1287" i="8"/>
  <c r="P1287" i="8" s="1"/>
  <c r="O1290" i="8"/>
  <c r="P1290" i="8" s="1"/>
  <c r="O1291" i="8"/>
  <c r="P1291" i="8" s="1"/>
  <c r="O1294" i="8"/>
  <c r="P1294" i="8" s="1"/>
  <c r="O1295" i="8"/>
  <c r="P1295" i="8" s="1"/>
  <c r="O1298" i="8"/>
  <c r="P1298" i="8" s="1"/>
  <c r="O1299" i="8"/>
  <c r="P1299" i="8" s="1"/>
  <c r="O1302" i="8"/>
  <c r="P1302" i="8" s="1"/>
  <c r="O1303" i="8"/>
  <c r="P1303" i="8" s="1"/>
  <c r="O1306" i="8"/>
  <c r="P1306" i="8" s="1"/>
  <c r="O1307" i="8"/>
  <c r="P1307" i="8" s="1"/>
  <c r="O1310" i="8"/>
  <c r="P1310" i="8" s="1"/>
  <c r="O1311" i="8"/>
  <c r="P1311" i="8" s="1"/>
  <c r="O1314" i="8"/>
  <c r="P1314" i="8" s="1"/>
  <c r="O1315" i="8"/>
  <c r="P1315" i="8" s="1"/>
  <c r="O1318" i="8"/>
  <c r="P1318" i="8" s="1"/>
  <c r="O1319" i="8"/>
  <c r="P1319" i="8" s="1"/>
  <c r="O1322" i="8"/>
  <c r="P1322" i="8" s="1"/>
  <c r="O1323" i="8"/>
  <c r="P1323" i="8" s="1"/>
  <c r="O1326" i="8"/>
  <c r="P1326" i="8" s="1"/>
  <c r="O1327" i="8"/>
  <c r="P1327" i="8" s="1"/>
  <c r="O1329" i="8"/>
  <c r="P1329" i="8" s="1"/>
  <c r="O1330" i="8"/>
  <c r="P1330" i="8" s="1"/>
  <c r="O1331" i="8"/>
  <c r="P1331" i="8" s="1"/>
  <c r="O1334" i="8"/>
  <c r="P1334" i="8" s="1"/>
  <c r="O1335" i="8"/>
  <c r="P1335" i="8" s="1"/>
  <c r="O1338" i="8"/>
  <c r="P1338" i="8" s="1"/>
  <c r="O1339" i="8"/>
  <c r="P1339" i="8" s="1"/>
  <c r="O1342" i="8"/>
  <c r="P1342" i="8" s="1"/>
  <c r="O1343" i="8"/>
  <c r="P1343" i="8" s="1"/>
  <c r="O1345" i="8"/>
  <c r="P1345" i="8" s="1"/>
  <c r="O1346" i="8"/>
  <c r="P1346" i="8" s="1"/>
  <c r="O1347" i="8"/>
  <c r="P1347" i="8" s="1"/>
  <c r="O1350" i="8"/>
  <c r="P1350" i="8" s="1"/>
  <c r="O1351" i="8"/>
  <c r="P1351" i="8" s="1"/>
  <c r="O1354" i="8"/>
  <c r="P1354" i="8" s="1"/>
  <c r="O1355" i="8"/>
  <c r="P1355" i="8" s="1"/>
  <c r="O1358" i="8"/>
  <c r="P1358" i="8" s="1"/>
  <c r="O1359" i="8"/>
  <c r="P1359" i="8" s="1"/>
  <c r="O1362" i="8"/>
  <c r="P1362" i="8" s="1"/>
  <c r="O1363" i="8"/>
  <c r="P1363" i="8" s="1"/>
  <c r="O1366" i="8"/>
  <c r="P1366" i="8" s="1"/>
  <c r="O1367" i="8"/>
  <c r="P1367" i="8" s="1"/>
  <c r="O1370" i="8"/>
  <c r="P1370" i="8" s="1"/>
  <c r="O1371" i="8"/>
  <c r="P1371" i="8" s="1"/>
  <c r="O1374" i="8"/>
  <c r="P1374" i="8" s="1"/>
  <c r="O1375" i="8"/>
  <c r="P1375" i="8" s="1"/>
  <c r="O1378" i="8"/>
  <c r="P1378" i="8" s="1"/>
  <c r="O1379" i="8"/>
  <c r="P1379" i="8" s="1"/>
  <c r="O1382" i="8"/>
  <c r="P1382" i="8" s="1"/>
  <c r="O1383" i="8"/>
  <c r="P1383" i="8" s="1"/>
  <c r="O1386" i="8"/>
  <c r="P1386" i="8" s="1"/>
  <c r="O1387" i="8"/>
  <c r="P1387" i="8" s="1"/>
  <c r="O1390" i="8"/>
  <c r="P1390" i="8" s="1"/>
  <c r="O1391" i="8"/>
  <c r="P1391" i="8" s="1"/>
  <c r="O1393" i="8"/>
  <c r="P1393" i="8" s="1"/>
  <c r="O1394" i="8"/>
  <c r="P1394" i="8" s="1"/>
  <c r="O1395" i="8"/>
  <c r="P1395" i="8" s="1"/>
  <c r="O1398" i="8"/>
  <c r="P1398" i="8" s="1"/>
  <c r="O1399" i="8"/>
  <c r="P1399" i="8" s="1"/>
  <c r="O1402" i="8"/>
  <c r="P1402" i="8" s="1"/>
  <c r="O1403" i="8"/>
  <c r="P1403" i="8" s="1"/>
  <c r="O1406" i="8"/>
  <c r="P1406" i="8" s="1"/>
  <c r="O1407" i="8"/>
  <c r="P1407" i="8" s="1"/>
  <c r="O1409" i="8"/>
  <c r="P1409" i="8" s="1"/>
  <c r="O1410" i="8"/>
  <c r="P1410" i="8" s="1"/>
  <c r="O1411" i="8"/>
  <c r="P1411" i="8" s="1"/>
  <c r="O1414" i="8"/>
  <c r="P1414" i="8" s="1"/>
  <c r="O1415" i="8"/>
  <c r="P1415" i="8" s="1"/>
  <c r="O1418" i="8"/>
  <c r="P1418" i="8" s="1"/>
  <c r="O1419" i="8"/>
  <c r="P1419" i="8" s="1"/>
  <c r="O1422" i="8"/>
  <c r="P1422" i="8" s="1"/>
  <c r="O1423" i="8"/>
  <c r="P1423" i="8" s="1"/>
  <c r="O1426" i="8"/>
  <c r="P1426" i="8" s="1"/>
  <c r="O1427" i="8"/>
  <c r="P1427" i="8" s="1"/>
  <c r="O1430" i="8"/>
  <c r="P1430" i="8" s="1"/>
  <c r="O1431" i="8"/>
  <c r="P1431" i="8" s="1"/>
  <c r="O1434" i="8"/>
  <c r="P1434" i="8" s="1"/>
  <c r="O1435" i="8"/>
  <c r="P1435" i="8" s="1"/>
  <c r="O1438" i="8"/>
  <c r="P1438" i="8" s="1"/>
  <c r="O1439" i="8"/>
  <c r="P1439" i="8" s="1"/>
  <c r="O1442" i="8"/>
  <c r="P1442" i="8" s="1"/>
  <c r="O1443" i="8"/>
  <c r="P1443" i="8" s="1"/>
  <c r="O1446" i="8"/>
  <c r="P1446" i="8" s="1"/>
  <c r="O1447" i="8"/>
  <c r="P1447" i="8" s="1"/>
  <c r="O1450" i="8"/>
  <c r="P1450" i="8" s="1"/>
  <c r="O1451" i="8"/>
  <c r="P1451" i="8" s="1"/>
  <c r="O1454" i="8"/>
  <c r="P1454" i="8" s="1"/>
  <c r="O1455" i="8"/>
  <c r="P1455" i="8" s="1"/>
  <c r="O1457" i="8"/>
  <c r="P1457" i="8" s="1"/>
  <c r="O1458" i="8"/>
  <c r="P1458" i="8" s="1"/>
  <c r="O1459" i="8"/>
  <c r="P1459" i="8" s="1"/>
  <c r="O1462" i="8"/>
  <c r="P1462" i="8" s="1"/>
  <c r="O1463" i="8"/>
  <c r="P1463" i="8" s="1"/>
  <c r="O1466" i="8"/>
  <c r="P1466" i="8" s="1"/>
  <c r="O1467" i="8"/>
  <c r="P1467" i="8" s="1"/>
  <c r="O1470" i="8"/>
  <c r="P1470" i="8" s="1"/>
  <c r="O1471" i="8"/>
  <c r="P1471" i="8" s="1"/>
  <c r="O1473" i="8"/>
  <c r="P1473" i="8" s="1"/>
  <c r="O1474" i="8"/>
  <c r="P1474" i="8" s="1"/>
  <c r="O1475" i="8"/>
  <c r="P1475" i="8" s="1"/>
  <c r="O1478" i="8"/>
  <c r="P1478" i="8" s="1"/>
  <c r="O1479" i="8"/>
  <c r="P1479" i="8" s="1"/>
  <c r="O1482" i="8"/>
  <c r="P1482" i="8" s="1"/>
  <c r="O1483" i="8"/>
  <c r="P1483" i="8" s="1"/>
  <c r="O1486" i="8"/>
  <c r="P1486" i="8" s="1"/>
  <c r="O1487" i="8"/>
  <c r="P1487" i="8" s="1"/>
  <c r="O1490" i="8"/>
  <c r="P1490" i="8" s="1"/>
  <c r="O1491" i="8"/>
  <c r="P1491" i="8" s="1"/>
  <c r="O1494" i="8"/>
  <c r="P1494" i="8" s="1"/>
  <c r="O1495" i="8"/>
  <c r="P1495" i="8" s="1"/>
  <c r="O1498" i="8"/>
  <c r="P1498" i="8" s="1"/>
  <c r="O1499" i="8"/>
  <c r="P1499" i="8" s="1"/>
  <c r="O1502" i="8"/>
  <c r="P1502" i="8" s="1"/>
  <c r="O1503" i="8"/>
  <c r="P1503" i="8" s="1"/>
  <c r="O1506" i="8"/>
  <c r="P1506" i="8" s="1"/>
  <c r="O1507" i="8"/>
  <c r="P1507" i="8" s="1"/>
  <c r="O1510" i="8"/>
  <c r="P1510" i="8" s="1"/>
  <c r="O1511" i="8"/>
  <c r="P1511" i="8" s="1"/>
  <c r="O1514" i="8"/>
  <c r="P1514" i="8" s="1"/>
  <c r="O1515" i="8"/>
  <c r="P1515" i="8" s="1"/>
  <c r="O1518" i="8"/>
  <c r="P1518" i="8" s="1"/>
  <c r="O1519" i="8"/>
  <c r="P1519" i="8" s="1"/>
  <c r="O1521" i="8"/>
  <c r="P1521" i="8" s="1"/>
  <c r="O1522" i="8"/>
  <c r="P1522" i="8" s="1"/>
  <c r="O1523" i="8"/>
  <c r="P1523" i="8" s="1"/>
  <c r="O1526" i="8"/>
  <c r="P1526" i="8" s="1"/>
  <c r="O1527" i="8"/>
  <c r="P1527" i="8" s="1"/>
  <c r="O1530" i="8"/>
  <c r="P1530" i="8" s="1"/>
  <c r="O1531" i="8"/>
  <c r="P1531" i="8" s="1"/>
  <c r="O1534" i="8"/>
  <c r="P1534" i="8" s="1"/>
  <c r="O1535" i="8"/>
  <c r="P1535" i="8" s="1"/>
  <c r="O1537" i="8"/>
  <c r="P1537" i="8" s="1"/>
  <c r="O1538" i="8"/>
  <c r="P1538" i="8" s="1"/>
  <c r="O1539" i="8"/>
  <c r="P1539" i="8" s="1"/>
  <c r="O1542" i="8"/>
  <c r="P1542" i="8" s="1"/>
  <c r="O1543" i="8"/>
  <c r="P1543" i="8" s="1"/>
  <c r="O1546" i="8"/>
  <c r="P1546" i="8" s="1"/>
  <c r="O1548" i="8"/>
  <c r="P1548" i="8" s="1"/>
  <c r="O1553" i="8"/>
  <c r="P1553" i="8" s="1"/>
  <c r="O1556" i="8"/>
  <c r="P1556" i="8" s="1"/>
  <c r="O1557" i="8"/>
  <c r="P1557" i="8" s="1"/>
  <c r="O1560" i="8"/>
  <c r="P1560" i="8" s="1"/>
  <c r="O1561" i="8"/>
  <c r="P1561" i="8" s="1"/>
  <c r="O1564" i="8"/>
  <c r="P1564" i="8" s="1"/>
  <c r="O1565" i="8"/>
  <c r="P1565" i="8" s="1"/>
  <c r="O1568" i="8"/>
  <c r="P1568" i="8" s="1"/>
  <c r="O1569" i="8"/>
  <c r="P1569" i="8" s="1"/>
  <c r="O1572" i="8"/>
  <c r="P1572" i="8" s="1"/>
  <c r="O1573" i="8"/>
  <c r="P1573" i="8" s="1"/>
  <c r="O1576" i="8"/>
  <c r="P1576" i="8" s="1"/>
  <c r="O1577" i="8"/>
  <c r="P1577" i="8" s="1"/>
  <c r="O1580" i="8"/>
  <c r="P1580" i="8" s="1"/>
  <c r="O1581" i="8"/>
  <c r="P1581" i="8" s="1"/>
  <c r="O1584" i="8"/>
  <c r="P1584" i="8" s="1"/>
  <c r="O1585" i="8"/>
  <c r="P1585" i="8" s="1"/>
  <c r="O1588" i="8"/>
  <c r="P1588" i="8" s="1"/>
  <c r="O1589" i="8"/>
  <c r="P1589" i="8" s="1"/>
  <c r="O1591" i="8"/>
  <c r="P1591" i="8" s="1"/>
  <c r="O1592" i="8"/>
  <c r="P1592" i="8" s="1"/>
  <c r="O1593" i="8"/>
  <c r="P1593" i="8" s="1"/>
  <c r="O1596" i="8"/>
  <c r="P1596" i="8" s="1"/>
  <c r="O1597" i="8"/>
  <c r="P1597" i="8" s="1"/>
  <c r="O1600" i="8"/>
  <c r="P1600" i="8" s="1"/>
  <c r="O1601" i="8"/>
  <c r="P1601" i="8" s="1"/>
  <c r="O1604" i="8"/>
  <c r="P1604" i="8" s="1"/>
  <c r="O1605" i="8"/>
  <c r="P1605" i="8" s="1"/>
  <c r="O1607" i="8"/>
  <c r="P1607" i="8" s="1"/>
  <c r="O1608" i="8"/>
  <c r="P1608" i="8" s="1"/>
  <c r="O1609" i="8"/>
  <c r="P1609" i="8" s="1"/>
  <c r="O1612" i="8"/>
  <c r="P1612" i="8" s="1"/>
  <c r="O1613" i="8"/>
  <c r="P1613" i="8" s="1"/>
  <c r="O1616" i="8"/>
  <c r="P1616" i="8" s="1"/>
  <c r="O1617" i="8"/>
  <c r="P1617" i="8" s="1"/>
  <c r="O1620" i="8"/>
  <c r="P1620" i="8" s="1"/>
  <c r="O1621" i="8"/>
  <c r="P1621" i="8" s="1"/>
  <c r="O1624" i="8"/>
  <c r="P1624" i="8" s="1"/>
  <c r="O1625" i="8"/>
  <c r="P1625" i="8" s="1"/>
  <c r="O1628" i="8"/>
  <c r="P1628" i="8" s="1"/>
  <c r="O1629" i="8"/>
  <c r="P1629" i="8" s="1"/>
  <c r="O1632" i="8"/>
  <c r="P1632" i="8" s="1"/>
  <c r="O1633" i="8"/>
  <c r="P1633" i="8" s="1"/>
  <c r="O1636" i="8"/>
  <c r="P1636" i="8" s="1"/>
  <c r="O1637" i="8"/>
  <c r="P1637" i="8" s="1"/>
  <c r="O1640" i="8"/>
  <c r="P1640" i="8" s="1"/>
  <c r="O1641" i="8"/>
  <c r="P1641" i="8" s="1"/>
  <c r="O1644" i="8"/>
  <c r="P1644" i="8" s="1"/>
  <c r="O1645" i="8"/>
  <c r="P1645" i="8" s="1"/>
  <c r="O1648" i="8"/>
  <c r="P1648" i="8" s="1"/>
  <c r="O1649" i="8"/>
  <c r="P1649" i="8" s="1"/>
  <c r="O1652" i="8"/>
  <c r="P1652" i="8" s="1"/>
  <c r="O1653" i="8"/>
  <c r="P1653" i="8" s="1"/>
  <c r="O1655" i="8"/>
  <c r="P1655" i="8" s="1"/>
  <c r="O1656" i="8"/>
  <c r="P1656" i="8" s="1"/>
  <c r="O1657" i="8"/>
  <c r="P1657" i="8" s="1"/>
  <c r="O1660" i="8"/>
  <c r="P1660" i="8" s="1"/>
  <c r="O1661" i="8"/>
  <c r="P1661" i="8" s="1"/>
  <c r="O1664" i="8"/>
  <c r="P1664" i="8" s="1"/>
  <c r="O1665" i="8"/>
  <c r="P1665" i="8" s="1"/>
  <c r="O1668" i="8"/>
  <c r="P1668" i="8" s="1"/>
  <c r="O1669" i="8"/>
  <c r="P1669" i="8" s="1"/>
  <c r="O1671" i="8"/>
  <c r="P1671" i="8" s="1"/>
  <c r="O1672" i="8"/>
  <c r="P1672" i="8" s="1"/>
  <c r="O1673" i="8"/>
  <c r="P1673" i="8" s="1"/>
  <c r="O1676" i="8"/>
  <c r="P1676" i="8" s="1"/>
  <c r="O1677" i="8"/>
  <c r="P1677" i="8" s="1"/>
  <c r="O1680" i="8"/>
  <c r="P1680" i="8" s="1"/>
  <c r="O1681" i="8"/>
  <c r="P1681" i="8" s="1"/>
  <c r="O1684" i="8"/>
  <c r="P1684" i="8" s="1"/>
  <c r="O1685" i="8"/>
  <c r="P1685" i="8" s="1"/>
  <c r="O1688" i="8"/>
  <c r="P1688" i="8" s="1"/>
  <c r="O1689" i="8"/>
  <c r="P1689" i="8" s="1"/>
  <c r="O1692" i="8"/>
  <c r="P1692" i="8" s="1"/>
  <c r="O1693" i="8"/>
  <c r="P1693" i="8" s="1"/>
  <c r="O1696" i="8"/>
  <c r="P1696" i="8" s="1"/>
  <c r="O1697" i="8"/>
  <c r="P1697" i="8" s="1"/>
  <c r="O1700" i="8"/>
  <c r="P1700" i="8" s="1"/>
  <c r="O1701" i="8"/>
  <c r="P1701" i="8" s="1"/>
  <c r="O1704" i="8"/>
  <c r="P1704" i="8" s="1"/>
  <c r="O1705" i="8"/>
  <c r="P1705" i="8" s="1"/>
  <c r="O1708" i="8"/>
  <c r="P1708" i="8" s="1"/>
  <c r="O1709" i="8"/>
  <c r="P1709" i="8" s="1"/>
  <c r="O1712" i="8"/>
  <c r="P1712" i="8" s="1"/>
  <c r="O1713" i="8"/>
  <c r="P1713" i="8" s="1"/>
  <c r="O1716" i="8"/>
  <c r="P1716" i="8" s="1"/>
  <c r="O1717" i="8"/>
  <c r="P1717" i="8" s="1"/>
  <c r="O1719" i="8"/>
  <c r="P1719" i="8" s="1"/>
  <c r="O1720" i="8"/>
  <c r="P1720" i="8" s="1"/>
  <c r="O1721" i="8"/>
  <c r="P1721" i="8" s="1"/>
  <c r="O1724" i="8"/>
  <c r="P1724" i="8" s="1"/>
  <c r="O1725" i="8"/>
  <c r="P1725" i="8" s="1"/>
  <c r="O1728" i="8"/>
  <c r="P1728" i="8" s="1"/>
  <c r="O1729" i="8"/>
  <c r="P1729" i="8" s="1"/>
  <c r="O1732" i="8"/>
  <c r="P1732" i="8" s="1"/>
  <c r="O1733" i="8"/>
  <c r="P1733" i="8" s="1"/>
  <c r="O1735" i="8"/>
  <c r="P1735" i="8" s="1"/>
  <c r="O1736" i="8"/>
  <c r="P1736" i="8" s="1"/>
  <c r="O1737" i="8"/>
  <c r="P1737" i="8" s="1"/>
  <c r="O1740" i="8"/>
  <c r="P1740" i="8" s="1"/>
  <c r="O1741" i="8"/>
  <c r="P1741" i="8" s="1"/>
  <c r="O1744" i="8"/>
  <c r="P1744" i="8" s="1"/>
  <c r="O1745" i="8"/>
  <c r="P1745" i="8" s="1"/>
  <c r="O1748" i="8"/>
  <c r="P1748" i="8" s="1"/>
  <c r="O1749" i="8"/>
  <c r="P1749" i="8" s="1"/>
  <c r="O1752" i="8"/>
  <c r="P1752" i="8" s="1"/>
  <c r="O1753" i="8"/>
  <c r="P1753" i="8" s="1"/>
  <c r="O1756" i="8"/>
  <c r="P1756" i="8" s="1"/>
  <c r="O1757" i="8"/>
  <c r="P1757" i="8" s="1"/>
  <c r="O1760" i="8"/>
  <c r="P1760" i="8" s="1"/>
  <c r="O1761" i="8"/>
  <c r="P1761" i="8" s="1"/>
  <c r="O1764" i="8"/>
  <c r="P1764" i="8" s="1"/>
  <c r="O1765" i="8"/>
  <c r="P1765" i="8" s="1"/>
  <c r="O1768" i="8"/>
  <c r="P1768" i="8" s="1"/>
  <c r="O1769" i="8"/>
  <c r="P1769" i="8" s="1"/>
  <c r="O1772" i="8"/>
  <c r="P1772" i="8" s="1"/>
  <c r="O1773" i="8"/>
  <c r="P1773" i="8" s="1"/>
  <c r="O1776" i="8"/>
  <c r="P1776" i="8" s="1"/>
  <c r="O1777" i="8"/>
  <c r="P1777" i="8" s="1"/>
  <c r="O1780" i="8"/>
  <c r="P1780" i="8" s="1"/>
  <c r="O1781" i="8"/>
  <c r="P1781" i="8" s="1"/>
  <c r="O1783" i="8"/>
  <c r="P1783" i="8" s="1"/>
  <c r="O1784" i="8"/>
  <c r="P1784" i="8" s="1"/>
  <c r="O1785" i="8"/>
  <c r="P1785" i="8" s="1"/>
  <c r="O1788" i="8"/>
  <c r="P1788" i="8" s="1"/>
  <c r="O1789" i="8"/>
  <c r="P1789" i="8" s="1"/>
  <c r="O1792" i="8"/>
  <c r="P1792" i="8" s="1"/>
  <c r="O1793" i="8"/>
  <c r="P1793" i="8" s="1"/>
  <c r="O1796" i="8"/>
  <c r="P1796" i="8" s="1"/>
  <c r="O1797" i="8"/>
  <c r="P1797" i="8" s="1"/>
  <c r="O1799" i="8"/>
  <c r="P1799" i="8" s="1"/>
  <c r="O1800" i="8"/>
  <c r="P1800" i="8" s="1"/>
  <c r="O1801" i="8"/>
  <c r="P1801" i="8" s="1"/>
  <c r="O1804" i="8"/>
  <c r="P1804" i="8" s="1"/>
  <c r="O1805" i="8"/>
  <c r="P1805" i="8" s="1"/>
  <c r="O1808" i="8"/>
  <c r="P1808" i="8" s="1"/>
  <c r="O1809" i="8"/>
  <c r="P1809" i="8" s="1"/>
  <c r="O1812" i="8"/>
  <c r="P1812" i="8" s="1"/>
  <c r="O1813" i="8"/>
  <c r="P1813" i="8" s="1"/>
  <c r="O1816" i="8"/>
  <c r="P1816" i="8" s="1"/>
  <c r="O1817" i="8"/>
  <c r="P1817" i="8" s="1"/>
  <c r="O1820" i="8"/>
  <c r="P1820" i="8" s="1"/>
  <c r="O1821" i="8"/>
  <c r="P1821" i="8" s="1"/>
  <c r="O1824" i="8"/>
  <c r="P1824" i="8" s="1"/>
  <c r="O1825" i="8"/>
  <c r="P1825" i="8" s="1"/>
  <c r="O1828" i="8"/>
  <c r="P1828" i="8" s="1"/>
  <c r="O1829" i="8"/>
  <c r="P1829" i="8" s="1"/>
  <c r="O1832" i="8"/>
  <c r="P1832" i="8" s="1"/>
  <c r="O1833" i="8"/>
  <c r="P1833" i="8" s="1"/>
  <c r="O1836" i="8"/>
  <c r="P1836" i="8" s="1"/>
  <c r="O1837" i="8"/>
  <c r="P1837" i="8" s="1"/>
  <c r="O1840" i="8"/>
  <c r="P1840" i="8" s="1"/>
  <c r="O1841" i="8"/>
  <c r="P1841" i="8" s="1"/>
  <c r="O1844" i="8"/>
  <c r="P1844" i="8" s="1"/>
  <c r="O1845" i="8"/>
  <c r="P1845" i="8" s="1"/>
  <c r="O1848" i="8"/>
  <c r="P1848" i="8" s="1"/>
  <c r="O1849" i="8"/>
  <c r="P1849" i="8" s="1"/>
  <c r="O1852" i="8"/>
  <c r="P1852" i="8" s="1"/>
  <c r="O1853" i="8"/>
  <c r="P1853" i="8" s="1"/>
  <c r="O1856" i="8"/>
  <c r="P1856" i="8" s="1"/>
  <c r="O1857" i="8"/>
  <c r="P1857" i="8" s="1"/>
  <c r="O1860" i="8"/>
  <c r="P1860" i="8" s="1"/>
  <c r="O1861" i="8"/>
  <c r="P1861" i="8" s="1"/>
  <c r="O1863" i="8"/>
  <c r="P1863" i="8" s="1"/>
  <c r="O1864" i="8"/>
  <c r="P1864" i="8" s="1"/>
  <c r="O1865" i="8"/>
  <c r="P1865" i="8" s="1"/>
  <c r="O1868" i="8"/>
  <c r="P1868" i="8" s="1"/>
  <c r="O1869" i="8"/>
  <c r="P1869" i="8" s="1"/>
  <c r="O1872" i="8"/>
  <c r="P1872" i="8" s="1"/>
  <c r="O1873" i="8"/>
  <c r="P1873" i="8" s="1"/>
  <c r="O1876" i="8"/>
  <c r="P1876" i="8" s="1"/>
  <c r="O1877" i="8"/>
  <c r="P1877" i="8" s="1"/>
  <c r="O1880" i="8"/>
  <c r="P1880" i="8" s="1"/>
  <c r="O1881" i="8"/>
  <c r="P1881" i="8" s="1"/>
  <c r="O1884" i="8"/>
  <c r="P1884" i="8" s="1"/>
  <c r="O1885" i="8"/>
  <c r="P1885" i="8" s="1"/>
  <c r="O1888" i="8"/>
  <c r="P1888" i="8" s="1"/>
  <c r="O1889" i="8"/>
  <c r="P1889" i="8" s="1"/>
  <c r="O1892" i="8"/>
  <c r="P1892" i="8" s="1"/>
  <c r="O1893" i="8"/>
  <c r="P1893" i="8" s="1"/>
  <c r="O1896" i="8"/>
  <c r="P1896" i="8" s="1"/>
  <c r="O1897" i="8"/>
  <c r="P1897" i="8" s="1"/>
  <c r="O1900" i="8"/>
  <c r="P1900" i="8" s="1"/>
  <c r="O1901" i="8"/>
  <c r="P1901" i="8" s="1"/>
  <c r="O1904" i="8"/>
  <c r="P1904" i="8" s="1"/>
  <c r="O1905" i="8"/>
  <c r="P1905" i="8" s="1"/>
  <c r="O1908" i="8"/>
  <c r="P1908" i="8" s="1"/>
  <c r="O1909" i="8"/>
  <c r="P1909" i="8" s="1"/>
  <c r="O1912" i="8"/>
  <c r="P1912" i="8" s="1"/>
  <c r="O1913" i="8"/>
  <c r="P1913" i="8" s="1"/>
  <c r="O1916" i="8"/>
  <c r="P1916" i="8" s="1"/>
  <c r="O1917" i="8"/>
  <c r="P1917" i="8" s="1"/>
  <c r="O1920" i="8"/>
  <c r="P1920" i="8" s="1"/>
  <c r="O1921" i="8"/>
  <c r="P1921" i="8" s="1"/>
  <c r="O1924" i="8"/>
  <c r="P1924" i="8" s="1"/>
  <c r="O1925" i="8"/>
  <c r="P1925" i="8" s="1"/>
  <c r="O1927" i="8"/>
  <c r="P1927" i="8" s="1"/>
  <c r="O1928" i="8"/>
  <c r="P1928" i="8" s="1"/>
  <c r="O1929" i="8"/>
  <c r="P1929" i="8" s="1"/>
  <c r="O1932" i="8"/>
  <c r="P1932" i="8" s="1"/>
  <c r="O1934" i="8"/>
  <c r="P1934" i="8" s="1"/>
  <c r="O1948" i="8"/>
  <c r="P1948" i="8" s="1"/>
  <c r="O1973" i="8"/>
  <c r="P1973" i="8" s="1"/>
  <c r="O1985" i="8"/>
  <c r="P1985" i="8" s="1"/>
  <c r="O2005" i="8"/>
  <c r="P2005" i="8" s="1"/>
  <c r="O2017" i="8"/>
  <c r="P2017" i="8" s="1"/>
  <c r="O2037" i="8"/>
  <c r="P2037" i="8" s="1"/>
  <c r="O2049" i="8"/>
  <c r="P2049" i="8" s="1"/>
  <c r="O2069" i="8"/>
  <c r="P2069" i="8" s="1"/>
  <c r="O2081" i="8"/>
  <c r="P2081" i="8" s="1"/>
  <c r="O2101" i="8"/>
  <c r="P2101" i="8" s="1"/>
  <c r="O2109" i="8"/>
  <c r="P2109" i="8" s="1"/>
  <c r="O2117" i="8"/>
  <c r="P2117" i="8" s="1"/>
  <c r="O2133" i="8"/>
  <c r="P2133" i="8" s="1"/>
  <c r="O2141" i="8"/>
  <c r="P2141" i="8" s="1"/>
  <c r="O2149" i="8"/>
  <c r="P2149" i="8" s="1"/>
  <c r="O2161" i="8"/>
  <c r="P2161" i="8" s="1"/>
  <c r="O2165" i="8"/>
  <c r="P2165" i="8" s="1"/>
  <c r="O2169" i="8"/>
  <c r="P2169" i="8" s="1"/>
  <c r="O2177" i="8"/>
  <c r="P2177" i="8" s="1"/>
  <c r="O2181" i="8"/>
  <c r="P2181" i="8" s="1"/>
  <c r="O2185" i="8"/>
  <c r="P2185" i="8" s="1"/>
  <c r="O2193" i="8"/>
  <c r="P2193" i="8" s="1"/>
  <c r="O2197" i="8"/>
  <c r="P2197" i="8" s="1"/>
  <c r="O2201" i="8"/>
  <c r="P2201" i="8" s="1"/>
  <c r="O2209" i="8"/>
  <c r="P2209" i="8" s="1"/>
  <c r="O2213" i="8"/>
  <c r="O2217" i="8"/>
  <c r="O2225" i="8"/>
  <c r="O2229" i="8"/>
  <c r="O2233" i="8"/>
  <c r="O2241" i="8"/>
  <c r="O2245" i="8"/>
  <c r="O2249" i="8"/>
  <c r="O2257" i="8"/>
  <c r="O2261" i="8"/>
  <c r="O2265" i="8"/>
  <c r="O2273" i="8"/>
  <c r="O2277" i="8"/>
  <c r="O2281" i="8"/>
  <c r="O2289" i="8"/>
  <c r="O2293" i="8"/>
  <c r="O2297" i="8"/>
  <c r="O2305" i="8"/>
  <c r="O2309" i="8"/>
  <c r="O2313" i="8"/>
  <c r="O2321" i="8"/>
  <c r="P2321" i="8" s="1"/>
  <c r="O2325" i="8"/>
  <c r="P2325" i="8" s="1"/>
  <c r="O2329" i="8"/>
  <c r="P2329" i="8" s="1"/>
  <c r="O2337" i="8"/>
  <c r="P2337" i="8" s="1"/>
  <c r="O2341" i="8"/>
  <c r="P2341" i="8" s="1"/>
  <c r="O2345" i="8"/>
  <c r="P2345" i="8" s="1"/>
  <c r="O2353" i="8"/>
  <c r="P2353" i="8" s="1"/>
  <c r="O2357" i="8"/>
  <c r="P2357" i="8" s="1"/>
  <c r="O2361" i="8"/>
  <c r="P2361" i="8" s="1"/>
  <c r="O2369" i="8"/>
  <c r="P2369" i="8" s="1"/>
  <c r="O2373" i="8"/>
  <c r="P2373" i="8" s="1"/>
  <c r="O2377" i="8"/>
  <c r="P2377" i="8" s="1"/>
  <c r="O2385" i="8"/>
  <c r="P2385" i="8" s="1"/>
  <c r="O2388" i="8"/>
  <c r="P2388" i="8" s="1"/>
  <c r="P2305" i="8" l="1"/>
  <c r="P2261" i="8"/>
  <c r="P2217" i="8"/>
  <c r="P2281" i="8"/>
  <c r="P2241" i="8"/>
  <c r="P267" i="8"/>
  <c r="P263" i="8"/>
  <c r="P259" i="8"/>
  <c r="P255" i="8"/>
  <c r="P251" i="8"/>
  <c r="P247" i="8"/>
  <c r="P243" i="8"/>
  <c r="P239" i="8"/>
  <c r="P235" i="8"/>
  <c r="P231" i="8"/>
  <c r="P227" i="8"/>
  <c r="P223" i="8"/>
  <c r="P219" i="8"/>
  <c r="P215" i="8"/>
  <c r="P211" i="8"/>
  <c r="P207" i="8"/>
  <c r="P204" i="8"/>
  <c r="P201" i="8"/>
  <c r="P197" i="8"/>
  <c r="P193" i="8"/>
  <c r="P189" i="8"/>
  <c r="P185" i="8"/>
  <c r="P181" i="8"/>
  <c r="P177" i="8"/>
  <c r="P173" i="8"/>
  <c r="P169" i="8"/>
  <c r="P165" i="8"/>
  <c r="P161" i="8"/>
  <c r="P157" i="8"/>
  <c r="P268" i="8"/>
  <c r="P264" i="8"/>
  <c r="P260" i="8"/>
  <c r="P256" i="8"/>
  <c r="P252" i="8"/>
  <c r="P248" i="8"/>
  <c r="P244" i="8"/>
  <c r="P240" i="8"/>
  <c r="P236" i="8"/>
  <c r="P228" i="8"/>
  <c r="P224" i="8"/>
  <c r="P220" i="8"/>
  <c r="P216" i="8"/>
  <c r="P212" i="8"/>
  <c r="P208" i="8"/>
  <c r="P202" i="8"/>
  <c r="P198" i="8"/>
  <c r="P194" i="8"/>
  <c r="P190" i="8"/>
  <c r="P186" i="8"/>
  <c r="P182" i="8"/>
  <c r="P178" i="8"/>
  <c r="P174" i="8"/>
  <c r="P170" i="8"/>
  <c r="P166" i="8"/>
  <c r="P162" i="8"/>
  <c r="P158" i="8"/>
  <c r="P154" i="8"/>
  <c r="P269" i="8"/>
  <c r="P265" i="8"/>
  <c r="P261" i="8"/>
  <c r="P257" i="8"/>
  <c r="P253" i="8"/>
  <c r="P249" i="8"/>
  <c r="P245" i="8"/>
  <c r="P241" i="8"/>
  <c r="P237" i="8"/>
  <c r="P233" i="8"/>
  <c r="P229" i="8"/>
  <c r="P225" i="8"/>
  <c r="P221" i="8"/>
  <c r="P217" i="8"/>
  <c r="P213" i="8"/>
  <c r="P209" i="8"/>
  <c r="P205" i="8"/>
  <c r="P203" i="8"/>
  <c r="P199" i="8"/>
  <c r="P195" i="8"/>
  <c r="P191" i="8"/>
  <c r="P187" i="8"/>
  <c r="P183" i="8"/>
  <c r="P179" i="8"/>
  <c r="P175" i="8"/>
  <c r="P171" i="8"/>
  <c r="P167" i="8"/>
  <c r="P163" i="8"/>
  <c r="P159" i="8"/>
  <c r="P155" i="8"/>
  <c r="P153" i="8"/>
  <c r="P266" i="8"/>
  <c r="P262" i="8"/>
  <c r="P254" i="8"/>
  <c r="P250" i="8"/>
  <c r="P246" i="8"/>
  <c r="P242" i="8"/>
  <c r="P238" i="8"/>
  <c r="P230" i="8"/>
  <c r="P226" i="8"/>
  <c r="P222" i="8"/>
  <c r="P218" i="8"/>
  <c r="P214" i="8"/>
  <c r="P210" i="8"/>
  <c r="P206" i="8"/>
  <c r="P196" i="8"/>
  <c r="P192" i="8"/>
  <c r="P188" i="8"/>
  <c r="P184" i="8"/>
  <c r="P180" i="8"/>
  <c r="P176" i="8"/>
  <c r="P172" i="8"/>
  <c r="P168" i="8"/>
  <c r="P164" i="8"/>
  <c r="P160" i="8"/>
  <c r="P156" i="8"/>
  <c r="P2294" i="8"/>
  <c r="P2232" i="8"/>
  <c r="P2310" i="8"/>
  <c r="P2270" i="8"/>
  <c r="P2248" i="8"/>
  <c r="P2317" i="8"/>
  <c r="P2295" i="8"/>
  <c r="P2255" i="8"/>
  <c r="P2242" i="8"/>
  <c r="P2298" i="8"/>
  <c r="P2258" i="8"/>
  <c r="P2214" i="8"/>
  <c r="P2297" i="8"/>
  <c r="P2277" i="8"/>
  <c r="P2257" i="8"/>
  <c r="P2233" i="8"/>
  <c r="P2213" i="8"/>
  <c r="P2314" i="8"/>
  <c r="P2287" i="8"/>
  <c r="P2274" i="8"/>
  <c r="P2252" i="8"/>
  <c r="P2230" i="8"/>
  <c r="P2303" i="8"/>
  <c r="P2290" i="8"/>
  <c r="P2268" i="8"/>
  <c r="P2246" i="8"/>
  <c r="P2228" i="8"/>
  <c r="P2315" i="8"/>
  <c r="P2288" i="8"/>
  <c r="P2275" i="8"/>
  <c r="P2253" i="8"/>
  <c r="P2231" i="8"/>
  <c r="P2218" i="8"/>
  <c r="P2304" i="8"/>
  <c r="P2291" i="8"/>
  <c r="P2269" i="8"/>
  <c r="P2247" i="8"/>
  <c r="P2234" i="8"/>
  <c r="P2254" i="8"/>
  <c r="P2320" i="8"/>
  <c r="P2307" i="8"/>
  <c r="P2285" i="8"/>
  <c r="P2263" i="8"/>
  <c r="P2250" i="8"/>
  <c r="P2223" i="8"/>
  <c r="P2301" i="8"/>
  <c r="P2279" i="8"/>
  <c r="P2266" i="8"/>
  <c r="P2239" i="8"/>
  <c r="P2226" i="8"/>
  <c r="P2308" i="8"/>
  <c r="P2286" i="8"/>
  <c r="P2264" i="8"/>
  <c r="P2251" i="8"/>
  <c r="P2224" i="8"/>
  <c r="P2302" i="8"/>
  <c r="P2280" i="8"/>
  <c r="P2267" i="8"/>
  <c r="P2240" i="8"/>
  <c r="P2227" i="8"/>
  <c r="P2316" i="8"/>
  <c r="P2276" i="8"/>
  <c r="P2219" i="8"/>
  <c r="P2292" i="8"/>
  <c r="P2235" i="8"/>
  <c r="P2282" i="8"/>
  <c r="P2220" i="8"/>
  <c r="P2311" i="8"/>
  <c r="P2271" i="8"/>
  <c r="P2236" i="8"/>
  <c r="P2313" i="8"/>
  <c r="P2293" i="8"/>
  <c r="P2273" i="8"/>
  <c r="P2249" i="8"/>
  <c r="P2229" i="8"/>
  <c r="P2309" i="8"/>
  <c r="P2289" i="8"/>
  <c r="P2265" i="8"/>
  <c r="P2245" i="8"/>
  <c r="P2225" i="8"/>
  <c r="P2318" i="8"/>
  <c r="P2296" i="8"/>
  <c r="P2283" i="8"/>
  <c r="P2256" i="8"/>
  <c r="P2243" i="8"/>
  <c r="P2221" i="8"/>
  <c r="P2312" i="8"/>
  <c r="P2299" i="8"/>
  <c r="P2272" i="8"/>
  <c r="P2259" i="8"/>
  <c r="P2237" i="8"/>
  <c r="P2215" i="8"/>
  <c r="P2319" i="8"/>
  <c r="P2306" i="8"/>
  <c r="P2284" i="8"/>
  <c r="P2262" i="8"/>
  <c r="P2244" i="8"/>
  <c r="P2222" i="8"/>
  <c r="P2300" i="8"/>
  <c r="P2278" i="8"/>
  <c r="P2260" i="8"/>
  <c r="P2238" i="8"/>
  <c r="P2216" i="8"/>
  <c r="J56" i="19"/>
  <c r="K56" i="19"/>
  <c r="L56" i="19" s="1"/>
  <c r="D57" i="19"/>
  <c r="P232" i="8"/>
  <c r="P234" i="8"/>
  <c r="P258" i="8"/>
  <c r="P200" i="8"/>
  <c r="D58" i="19" l="1"/>
  <c r="J57" i="19"/>
  <c r="K57" i="19"/>
  <c r="L57" i="19" s="1"/>
  <c r="Q2" i="8"/>
  <c r="Q13" i="8"/>
  <c r="Q29" i="8"/>
  <c r="Q45" i="8"/>
  <c r="Q61" i="8"/>
  <c r="Q77" i="8"/>
  <c r="Q93" i="8"/>
  <c r="Q109" i="8"/>
  <c r="Q125" i="8"/>
  <c r="Q141" i="8"/>
  <c r="Q155" i="8"/>
  <c r="Q163" i="8"/>
  <c r="Q171" i="8"/>
  <c r="Q179" i="8"/>
  <c r="Q187" i="8"/>
  <c r="Q195" i="8"/>
  <c r="Q3" i="8"/>
  <c r="Q22" i="8"/>
  <c r="Q38" i="8"/>
  <c r="Q54" i="8"/>
  <c r="Q70" i="8"/>
  <c r="Q86" i="8"/>
  <c r="Q102" i="8"/>
  <c r="Q118" i="8"/>
  <c r="Q134" i="8"/>
  <c r="Q150" i="8"/>
  <c r="Q21" i="8"/>
  <c r="Q37" i="8"/>
  <c r="Q53" i="8"/>
  <c r="Q69" i="8"/>
  <c r="Q85" i="8"/>
  <c r="Q101" i="8"/>
  <c r="Q117" i="8"/>
  <c r="Q133" i="8"/>
  <c r="Q149" i="8"/>
  <c r="Q158" i="8"/>
  <c r="Q166" i="8"/>
  <c r="Q174" i="8"/>
  <c r="Q182" i="8"/>
  <c r="Q190" i="8"/>
  <c r="Q198" i="8"/>
  <c r="Q8" i="8"/>
  <c r="Q20" i="8"/>
  <c r="Q36" i="8"/>
  <c r="Q52" i="8"/>
  <c r="Q68" i="8"/>
  <c r="Q84" i="8"/>
  <c r="Q100" i="8"/>
  <c r="Q116" i="8"/>
  <c r="Q132" i="8"/>
  <c r="Q148" i="8"/>
  <c r="Q216" i="8"/>
  <c r="Q273" i="8"/>
  <c r="Q289" i="8"/>
  <c r="Q305" i="8"/>
  <c r="Q7" i="8"/>
  <c r="Q26" i="8"/>
  <c r="Q42" i="8"/>
  <c r="Q58" i="8"/>
  <c r="Q74" i="8"/>
  <c r="Q90" i="8"/>
  <c r="Q106" i="8"/>
  <c r="Q122" i="8"/>
  <c r="Q138" i="8"/>
  <c r="Q153" i="8"/>
  <c r="Q161" i="8"/>
  <c r="Q169" i="8"/>
  <c r="Q177" i="8"/>
  <c r="Q185" i="8"/>
  <c r="Q193" i="8"/>
  <c r="Q201" i="8"/>
  <c r="Q19" i="8"/>
  <c r="Q35" i="8"/>
  <c r="Q51" i="8"/>
  <c r="Q67" i="8"/>
  <c r="Q83" i="8"/>
  <c r="Q99" i="8"/>
  <c r="Q115" i="8"/>
  <c r="Q131" i="8"/>
  <c r="Q147" i="8"/>
  <c r="Q15" i="8"/>
  <c r="Q34" i="8"/>
  <c r="Q50" i="8"/>
  <c r="Q66" i="8"/>
  <c r="Q82" i="8"/>
  <c r="Q98" i="8"/>
  <c r="Q114" i="8"/>
  <c r="Q130" i="8"/>
  <c r="Q146" i="8"/>
  <c r="Q156" i="8"/>
  <c r="Q164" i="8"/>
  <c r="Q172" i="8"/>
  <c r="Q180" i="8"/>
  <c r="Q188" i="8"/>
  <c r="Q196" i="8"/>
  <c r="Q5" i="8"/>
  <c r="Q17" i="8"/>
  <c r="Q33" i="8"/>
  <c r="Q49" i="8"/>
  <c r="Q65" i="8"/>
  <c r="Q81" i="8"/>
  <c r="Q97" i="8"/>
  <c r="Q113" i="8"/>
  <c r="Q129" i="8"/>
  <c r="Q145" i="8"/>
  <c r="Q210" i="8"/>
  <c r="Q270" i="8"/>
  <c r="Q286" i="8"/>
  <c r="Q302" i="8"/>
  <c r="Q318" i="8"/>
  <c r="Q334" i="8"/>
  <c r="Q350" i="8"/>
  <c r="Q366" i="8"/>
  <c r="Q382" i="8"/>
  <c r="Q398" i="8"/>
  <c r="Q414" i="8"/>
  <c r="Q430" i="8"/>
  <c r="Q446" i="8"/>
  <c r="Q462" i="8"/>
  <c r="Q478" i="8"/>
  <c r="Q494" i="8"/>
  <c r="Q510" i="8"/>
  <c r="Q526" i="8"/>
  <c r="Q542" i="8"/>
  <c r="Q558" i="8"/>
  <c r="Q574" i="8"/>
  <c r="Q590" i="8"/>
  <c r="Q606" i="8"/>
  <c r="Q18" i="8"/>
  <c r="Q4" i="8"/>
  <c r="Q23" i="8"/>
  <c r="Q39" i="8"/>
  <c r="Q55" i="8"/>
  <c r="Q71" i="8"/>
  <c r="Q87" i="8"/>
  <c r="Q103" i="8"/>
  <c r="Q119" i="8"/>
  <c r="Q135" i="8"/>
  <c r="Q151" i="8"/>
  <c r="Q159" i="8"/>
  <c r="Q167" i="8"/>
  <c r="Q175" i="8"/>
  <c r="Q183" i="8"/>
  <c r="Q191" i="8"/>
  <c r="Q199" i="8"/>
  <c r="Q12" i="8"/>
  <c r="Q28" i="8"/>
  <c r="Q44" i="8"/>
  <c r="Q60" i="8"/>
  <c r="Q76" i="8"/>
  <c r="Q92" i="8"/>
  <c r="Q108" i="8"/>
  <c r="Q124" i="8"/>
  <c r="Q140" i="8"/>
  <c r="Q9" i="8"/>
  <c r="Q31" i="8"/>
  <c r="Q47" i="8"/>
  <c r="Q63" i="8"/>
  <c r="Q79" i="8"/>
  <c r="Q95" i="8"/>
  <c r="Q111" i="8"/>
  <c r="Q127" i="8"/>
  <c r="Q143" i="8"/>
  <c r="Q154" i="8"/>
  <c r="Q162" i="8"/>
  <c r="Q170" i="8"/>
  <c r="Q178" i="8"/>
  <c r="Q186" i="8"/>
  <c r="Q194" i="8"/>
  <c r="Q202" i="8"/>
  <c r="Q14" i="8"/>
  <c r="Q30" i="8"/>
  <c r="Q46" i="8"/>
  <c r="Q62" i="8"/>
  <c r="Q78" i="8"/>
  <c r="Q94" i="8"/>
  <c r="Q110" i="8"/>
  <c r="Q126" i="8"/>
  <c r="Q142" i="8"/>
  <c r="Q208" i="8"/>
  <c r="Q224" i="8"/>
  <c r="Q283" i="8"/>
  <c r="Q16" i="8"/>
  <c r="Q32" i="8"/>
  <c r="Q48" i="8"/>
  <c r="Q64" i="8"/>
  <c r="Q80" i="8"/>
  <c r="Q96" i="8"/>
  <c r="Q112" i="8"/>
  <c r="Q128" i="8"/>
  <c r="Q144" i="8"/>
  <c r="Q157" i="8"/>
  <c r="Q165" i="8"/>
  <c r="Q173" i="8"/>
  <c r="Q181" i="8"/>
  <c r="Q189" i="8"/>
  <c r="Q197" i="8"/>
  <c r="Q10" i="8"/>
  <c r="Q25" i="8"/>
  <c r="Q41" i="8"/>
  <c r="Q57" i="8"/>
  <c r="Q73" i="8"/>
  <c r="Q89" i="8"/>
  <c r="Q105" i="8"/>
  <c r="Q121" i="8"/>
  <c r="Q137" i="8"/>
  <c r="Q6" i="8"/>
  <c r="Q24" i="8"/>
  <c r="Q40" i="8"/>
  <c r="Q56" i="8"/>
  <c r="Q72" i="8"/>
  <c r="Q88" i="8"/>
  <c r="Q104" i="8"/>
  <c r="Q120" i="8"/>
  <c r="Q136" i="8"/>
  <c r="Q152" i="8"/>
  <c r="Q160" i="8"/>
  <c r="Q168" i="8"/>
  <c r="Q176" i="8"/>
  <c r="Q184" i="8"/>
  <c r="Q192" i="8"/>
  <c r="Q200" i="8"/>
  <c r="Q11" i="8"/>
  <c r="Q27" i="8"/>
  <c r="Q43" i="8"/>
  <c r="Q59" i="8"/>
  <c r="Q75" i="8"/>
  <c r="Q91" i="8"/>
  <c r="Q107" i="8"/>
  <c r="Q123" i="8"/>
  <c r="Q139" i="8"/>
  <c r="Q204" i="8"/>
  <c r="Q220" i="8"/>
  <c r="Q280" i="8"/>
  <c r="Q296" i="8"/>
  <c r="Q312" i="8"/>
  <c r="Q328" i="8"/>
  <c r="Q344" i="8"/>
  <c r="Q360" i="8"/>
  <c r="Q376" i="8"/>
  <c r="Q392" i="8"/>
  <c r="Q408" i="8"/>
  <c r="Q424" i="8"/>
  <c r="Q440" i="8"/>
  <c r="Q456" i="8"/>
  <c r="Q472" i="8"/>
  <c r="Q488" i="8"/>
  <c r="Q504" i="8"/>
  <c r="Q520" i="8"/>
  <c r="Q536" i="8"/>
  <c r="Q552" i="8"/>
  <c r="Q568" i="8"/>
  <c r="Q584" i="8"/>
  <c r="Q600" i="8"/>
  <c r="Q616" i="8"/>
  <c r="Q321" i="8"/>
  <c r="Q353" i="8"/>
  <c r="Q385" i="8"/>
  <c r="Q417" i="8"/>
  <c r="Q449" i="8"/>
  <c r="Q481" i="8"/>
  <c r="Q513" i="8"/>
  <c r="Q545" i="8"/>
  <c r="Q577" i="8"/>
  <c r="Q609" i="8"/>
  <c r="Q632" i="8"/>
  <c r="Q648" i="8"/>
  <c r="Q664" i="8"/>
  <c r="Q680" i="8"/>
  <c r="Q696" i="8"/>
  <c r="Q712" i="8"/>
  <c r="Q728" i="8"/>
  <c r="Q744" i="8"/>
  <c r="Q760" i="8"/>
  <c r="Q776" i="8"/>
  <c r="Q792" i="8"/>
  <c r="Q808" i="8"/>
  <c r="Q824" i="8"/>
  <c r="Q840" i="8"/>
  <c r="Q856" i="8"/>
  <c r="Q872" i="8"/>
  <c r="Q888" i="8"/>
  <c r="Q904" i="8"/>
  <c r="Q920" i="8"/>
  <c r="Q936" i="8"/>
  <c r="Q952" i="8"/>
  <c r="Q968" i="8"/>
  <c r="Q984" i="8"/>
  <c r="Q1000" i="8"/>
  <c r="Q1016" i="8"/>
  <c r="Q1032" i="8"/>
  <c r="Q1048" i="8"/>
  <c r="Q1064" i="8"/>
  <c r="Q205" i="8"/>
  <c r="Q223" i="8"/>
  <c r="Q233" i="8"/>
  <c r="Q241" i="8"/>
  <c r="Q249" i="8"/>
  <c r="Q257" i="8"/>
  <c r="Q265" i="8"/>
  <c r="Q279" i="8"/>
  <c r="Q295" i="8"/>
  <c r="Q311" i="8"/>
  <c r="Q327" i="8"/>
  <c r="Q343" i="8"/>
  <c r="Q359" i="8"/>
  <c r="Q375" i="8"/>
  <c r="Q391" i="8"/>
  <c r="Q407" i="8"/>
  <c r="Q423" i="8"/>
  <c r="Q439" i="8"/>
  <c r="Q455" i="8"/>
  <c r="Q471" i="8"/>
  <c r="Q487" i="8"/>
  <c r="Q503" i="8"/>
  <c r="Q519" i="8"/>
  <c r="Q535" i="8"/>
  <c r="Q551" i="8"/>
  <c r="Q567" i="8"/>
  <c r="Q583" i="8"/>
  <c r="Q599" i="8"/>
  <c r="Q615" i="8"/>
  <c r="Q631" i="8"/>
  <c r="Q647" i="8"/>
  <c r="Q663" i="8"/>
  <c r="Q679" i="8"/>
  <c r="Q695" i="8"/>
  <c r="Q711" i="8"/>
  <c r="Q727" i="8"/>
  <c r="Q743" i="8"/>
  <c r="Q759" i="8"/>
  <c r="Q775" i="8"/>
  <c r="Q791" i="8"/>
  <c r="Q807" i="8"/>
  <c r="Q823" i="8"/>
  <c r="Q839" i="8"/>
  <c r="Q855" i="8"/>
  <c r="Q871" i="8"/>
  <c r="Q887" i="8"/>
  <c r="Q903" i="8"/>
  <c r="Q919" i="8"/>
  <c r="Q935" i="8"/>
  <c r="Q951" i="8"/>
  <c r="Q967" i="8"/>
  <c r="Q983" i="8"/>
  <c r="Q999" i="8"/>
  <c r="Q1015" i="8"/>
  <c r="Q1031" i="8"/>
  <c r="Q1047" i="8"/>
  <c r="Q1063" i="8"/>
  <c r="Q207" i="8"/>
  <c r="Q221" i="8"/>
  <c r="Q278" i="8"/>
  <c r="Q294" i="8"/>
  <c r="Q310" i="8"/>
  <c r="Q326" i="8"/>
  <c r="Q342" i="8"/>
  <c r="Q358" i="8"/>
  <c r="Q374" i="8"/>
  <c r="Q390" i="8"/>
  <c r="Q406" i="8"/>
  <c r="Q422" i="8"/>
  <c r="Q438" i="8"/>
  <c r="Q454" i="8"/>
  <c r="Q470" i="8"/>
  <c r="Q486" i="8"/>
  <c r="Q502" i="8"/>
  <c r="Q518" i="8"/>
  <c r="Q534" i="8"/>
  <c r="Q550" i="8"/>
  <c r="Q566" i="8"/>
  <c r="Q582" i="8"/>
  <c r="Q598" i="8"/>
  <c r="Q614" i="8"/>
  <c r="Q630" i="8"/>
  <c r="Q646" i="8"/>
  <c r="Q662" i="8"/>
  <c r="Q678" i="8"/>
  <c r="Q694" i="8"/>
  <c r="Q710" i="8"/>
  <c r="Q726" i="8"/>
  <c r="Q742" i="8"/>
  <c r="Q758" i="8"/>
  <c r="Q774" i="8"/>
  <c r="Q790" i="8"/>
  <c r="Q806" i="8"/>
  <c r="Q822" i="8"/>
  <c r="Q838" i="8"/>
  <c r="Q854" i="8"/>
  <c r="Q870" i="8"/>
  <c r="Q886" i="8"/>
  <c r="Q902" i="8"/>
  <c r="Q918" i="8"/>
  <c r="Q934" i="8"/>
  <c r="Q950" i="8"/>
  <c r="Q966" i="8"/>
  <c r="Q982" i="8"/>
  <c r="Q998" i="8"/>
  <c r="Q1014" i="8"/>
  <c r="Q1030" i="8"/>
  <c r="Q1046" i="8"/>
  <c r="Q1062" i="8"/>
  <c r="Q206" i="8"/>
  <c r="Q222" i="8"/>
  <c r="Q232" i="8"/>
  <c r="Q240" i="8"/>
  <c r="Q248" i="8"/>
  <c r="Q256" i="8"/>
  <c r="Q264" i="8"/>
  <c r="Q274" i="8"/>
  <c r="Q290" i="8"/>
  <c r="Q306" i="8"/>
  <c r="Q322" i="8"/>
  <c r="Q338" i="8"/>
  <c r="Q354" i="8"/>
  <c r="Q370" i="8"/>
  <c r="Q386" i="8"/>
  <c r="Q402" i="8"/>
  <c r="Q418" i="8"/>
  <c r="Q434" i="8"/>
  <c r="Q450" i="8"/>
  <c r="Q466" i="8"/>
  <c r="Q482" i="8"/>
  <c r="Q498" i="8"/>
  <c r="Q514" i="8"/>
  <c r="Q530" i="8"/>
  <c r="Q546" i="8"/>
  <c r="Q562" i="8"/>
  <c r="Q578" i="8"/>
  <c r="Q594" i="8"/>
  <c r="Q610" i="8"/>
  <c r="Q626" i="8"/>
  <c r="Q642" i="8"/>
  <c r="Q658" i="8"/>
  <c r="Q674" i="8"/>
  <c r="Q690" i="8"/>
  <c r="Q706" i="8"/>
  <c r="Q722" i="8"/>
  <c r="Q738" i="8"/>
  <c r="Q754" i="8"/>
  <c r="Q770" i="8"/>
  <c r="Q786" i="8"/>
  <c r="Q802" i="8"/>
  <c r="Q818" i="8"/>
  <c r="Q834" i="8"/>
  <c r="Q850" i="8"/>
  <c r="Q866" i="8"/>
  <c r="Q882" i="8"/>
  <c r="Q898" i="8"/>
  <c r="Q914" i="8"/>
  <c r="Q930" i="8"/>
  <c r="Q946" i="8"/>
  <c r="Q962" i="8"/>
  <c r="Q978" i="8"/>
  <c r="Q994" i="8"/>
  <c r="Q1010" i="8"/>
  <c r="Q1026" i="8"/>
  <c r="Q1042" i="8"/>
  <c r="Q1058" i="8"/>
  <c r="Q1074" i="8"/>
  <c r="Q1089" i="8"/>
  <c r="Q1105" i="8"/>
  <c r="Q1124" i="8"/>
  <c r="Q1140" i="8"/>
  <c r="Q1156" i="8"/>
  <c r="Q1172" i="8"/>
  <c r="Q1188" i="8"/>
  <c r="Q1204" i="8"/>
  <c r="Q1220" i="8"/>
  <c r="Q1236" i="8"/>
  <c r="Q1255" i="8"/>
  <c r="Q1266" i="8"/>
  <c r="Q1288" i="8"/>
  <c r="Q1299" i="8"/>
  <c r="Q1309" i="8"/>
  <c r="Q1320" i="8"/>
  <c r="Q1334" i="8"/>
  <c r="Q1351" i="8"/>
  <c r="Q1361" i="8"/>
  <c r="Q1372" i="8"/>
  <c r="Q1383" i="8"/>
  <c r="Q1394" i="8"/>
  <c r="Q1416" i="8"/>
  <c r="Q1427" i="8"/>
  <c r="Q1437" i="8"/>
  <c r="Q1448" i="8"/>
  <c r="Q1462" i="8"/>
  <c r="Q1479" i="8"/>
  <c r="Q1489" i="8"/>
  <c r="Q1500" i="8"/>
  <c r="Q1511" i="8"/>
  <c r="Q1522" i="8"/>
  <c r="Q1544" i="8"/>
  <c r="Q1564" i="8"/>
  <c r="Q1591" i="8"/>
  <c r="Q1602" i="8"/>
  <c r="Q1624" i="8"/>
  <c r="Q1657" i="8"/>
  <c r="Q1667" i="8"/>
  <c r="Q1692" i="8"/>
  <c r="Q1719" i="8"/>
  <c r="Q1730" i="8"/>
  <c r="Q1752" i="8"/>
  <c r="Q1785" i="8"/>
  <c r="Q1795" i="8"/>
  <c r="Q1076" i="8"/>
  <c r="Q1092" i="8"/>
  <c r="Q1108" i="8"/>
  <c r="Q1123" i="8"/>
  <c r="Q1139" i="8"/>
  <c r="Q1155" i="8"/>
  <c r="Q315" i="8"/>
  <c r="Q347" i="8"/>
  <c r="Q379" i="8"/>
  <c r="Q411" i="8"/>
  <c r="Q443" i="8"/>
  <c r="Q475" i="8"/>
  <c r="Q507" i="8"/>
  <c r="Q539" i="8"/>
  <c r="Q571" i="8"/>
  <c r="Q603" i="8"/>
  <c r="Q625" i="8"/>
  <c r="Q641" i="8"/>
  <c r="Q657" i="8"/>
  <c r="Q673" i="8"/>
  <c r="Q689" i="8"/>
  <c r="Q705" i="8"/>
  <c r="Q721" i="8"/>
  <c r="Q737" i="8"/>
  <c r="Q753" i="8"/>
  <c r="Q769" i="8"/>
  <c r="Q785" i="8"/>
  <c r="Q801" i="8"/>
  <c r="Q817" i="8"/>
  <c r="Q833" i="8"/>
  <c r="Q849" i="8"/>
  <c r="Q865" i="8"/>
  <c r="Q881" i="8"/>
  <c r="Q897" i="8"/>
  <c r="Q913" i="8"/>
  <c r="Q929" i="8"/>
  <c r="Q945" i="8"/>
  <c r="Q961" i="8"/>
  <c r="Q977" i="8"/>
  <c r="Q993" i="8"/>
  <c r="Q1009" i="8"/>
  <c r="Q1025" i="8"/>
  <c r="Q1041" i="8"/>
  <c r="Q1057" i="8"/>
  <c r="Q1073" i="8"/>
  <c r="Q217" i="8"/>
  <c r="Q231" i="8"/>
  <c r="Q239" i="8"/>
  <c r="Q247" i="8"/>
  <c r="Q255" i="8"/>
  <c r="Q263" i="8"/>
  <c r="Q276" i="8"/>
  <c r="Q292" i="8"/>
  <c r="Q308" i="8"/>
  <c r="Q324" i="8"/>
  <c r="Q340" i="8"/>
  <c r="Q356" i="8"/>
  <c r="Q372" i="8"/>
  <c r="Q388" i="8"/>
  <c r="Q404" i="8"/>
  <c r="Q420" i="8"/>
  <c r="Q436" i="8"/>
  <c r="Q452" i="8"/>
  <c r="Q468" i="8"/>
  <c r="Q484" i="8"/>
  <c r="Q500" i="8"/>
  <c r="Q516" i="8"/>
  <c r="Q532" i="8"/>
  <c r="Q548" i="8"/>
  <c r="Q564" i="8"/>
  <c r="Q580" i="8"/>
  <c r="Q596" i="8"/>
  <c r="Q612" i="8"/>
  <c r="Q628" i="8"/>
  <c r="Q644" i="8"/>
  <c r="Q660" i="8"/>
  <c r="Q676" i="8"/>
  <c r="Q692" i="8"/>
  <c r="Q708" i="8"/>
  <c r="Q724" i="8"/>
  <c r="Q740" i="8"/>
  <c r="Q756" i="8"/>
  <c r="Q772" i="8"/>
  <c r="Q788" i="8"/>
  <c r="Q804" i="8"/>
  <c r="Q820" i="8"/>
  <c r="Q836" i="8"/>
  <c r="Q852" i="8"/>
  <c r="Q868" i="8"/>
  <c r="Q884" i="8"/>
  <c r="Q900" i="8"/>
  <c r="Q916" i="8"/>
  <c r="Q932" i="8"/>
  <c r="Q948" i="8"/>
  <c r="Q964" i="8"/>
  <c r="Q980" i="8"/>
  <c r="Q996" i="8"/>
  <c r="Q1012" i="8"/>
  <c r="Q1028" i="8"/>
  <c r="Q1044" i="8"/>
  <c r="Q1060" i="8"/>
  <c r="Q203" i="8"/>
  <c r="Q219" i="8"/>
  <c r="Q275" i="8"/>
  <c r="Q291" i="8"/>
  <c r="Q307" i="8"/>
  <c r="Q323" i="8"/>
  <c r="Q339" i="8"/>
  <c r="Q355" i="8"/>
  <c r="Q371" i="8"/>
  <c r="Q387" i="8"/>
  <c r="Q403" i="8"/>
  <c r="Q419" i="8"/>
  <c r="Q435" i="8"/>
  <c r="Q451" i="8"/>
  <c r="Q467" i="8"/>
  <c r="Q483" i="8"/>
  <c r="Q499" i="8"/>
  <c r="Q515" i="8"/>
  <c r="Q531" i="8"/>
  <c r="Q547" i="8"/>
  <c r="Q563" i="8"/>
  <c r="Q579" i="8"/>
  <c r="Q595" i="8"/>
  <c r="Q611" i="8"/>
  <c r="Q627" i="8"/>
  <c r="Q643" i="8"/>
  <c r="Q659" i="8"/>
  <c r="Q675" i="8"/>
  <c r="Q691" i="8"/>
  <c r="Q707" i="8"/>
  <c r="Q723" i="8"/>
  <c r="Q739" i="8"/>
  <c r="Q755" i="8"/>
  <c r="Q771" i="8"/>
  <c r="Q787" i="8"/>
  <c r="Q803" i="8"/>
  <c r="Q819" i="8"/>
  <c r="Q835" i="8"/>
  <c r="Q851" i="8"/>
  <c r="Q867" i="8"/>
  <c r="Q883" i="8"/>
  <c r="Q899" i="8"/>
  <c r="Q915" i="8"/>
  <c r="Q931" i="8"/>
  <c r="Q947" i="8"/>
  <c r="Q963" i="8"/>
  <c r="Q979" i="8"/>
  <c r="Q995" i="8"/>
  <c r="Q1011" i="8"/>
  <c r="Q1027" i="8"/>
  <c r="Q1043" i="8"/>
  <c r="Q1059" i="8"/>
  <c r="Q1075" i="8"/>
  <c r="Q218" i="8"/>
  <c r="Q230" i="8"/>
  <c r="Q238" i="8"/>
  <c r="Q246" i="8"/>
  <c r="Q254" i="8"/>
  <c r="Q262" i="8"/>
  <c r="Q271" i="8"/>
  <c r="Q287" i="8"/>
  <c r="Q303" i="8"/>
  <c r="Q319" i="8"/>
  <c r="Q335" i="8"/>
  <c r="Q351" i="8"/>
  <c r="Q367" i="8"/>
  <c r="Q383" i="8"/>
  <c r="Q399" i="8"/>
  <c r="Q415" i="8"/>
  <c r="Q431" i="8"/>
  <c r="Q447" i="8"/>
  <c r="Q463" i="8"/>
  <c r="Q479" i="8"/>
  <c r="Q495" i="8"/>
  <c r="Q511" i="8"/>
  <c r="Q527" i="8"/>
  <c r="Q543" i="8"/>
  <c r="Q559" i="8"/>
  <c r="Q575" i="8"/>
  <c r="Q591" i="8"/>
  <c r="Q607" i="8"/>
  <c r="Q623" i="8"/>
  <c r="Q639" i="8"/>
  <c r="Q655" i="8"/>
  <c r="Q671" i="8"/>
  <c r="Q687" i="8"/>
  <c r="Q703" i="8"/>
  <c r="Q719" i="8"/>
  <c r="Q735" i="8"/>
  <c r="Q751" i="8"/>
  <c r="Q767" i="8"/>
  <c r="Q783" i="8"/>
  <c r="Q799" i="8"/>
  <c r="Q815" i="8"/>
  <c r="Q831" i="8"/>
  <c r="Q847" i="8"/>
  <c r="Q863" i="8"/>
  <c r="Q879" i="8"/>
  <c r="Q895" i="8"/>
  <c r="Q911" i="8"/>
  <c r="Q927" i="8"/>
  <c r="Q943" i="8"/>
  <c r="Q959" i="8"/>
  <c r="Q975" i="8"/>
  <c r="Q991" i="8"/>
  <c r="Q1007" i="8"/>
  <c r="Q1023" i="8"/>
  <c r="Q1039" i="8"/>
  <c r="Q1055" i="8"/>
  <c r="Q1071" i="8"/>
  <c r="Q1086" i="8"/>
  <c r="Q1102" i="8"/>
  <c r="Q1120" i="8"/>
  <c r="Q1136" i="8"/>
  <c r="Q1152" i="8"/>
  <c r="Q1168" i="8"/>
  <c r="Q1184" i="8"/>
  <c r="Q1200" i="8"/>
  <c r="Q1216" i="8"/>
  <c r="Q1232" i="8"/>
  <c r="Q1252" i="8"/>
  <c r="Q1263" i="8"/>
  <c r="Q1285" i="8"/>
  <c r="Q1296" i="8"/>
  <c r="Q1307" i="8"/>
  <c r="Q1317" i="8"/>
  <c r="Q1328" i="8"/>
  <c r="Q1348" i="8"/>
  <c r="Q1359" i="8"/>
  <c r="Q1369" i="8"/>
  <c r="Q1380" i="8"/>
  <c r="Q1391" i="8"/>
  <c r="Q1413" i="8"/>
  <c r="Q1424" i="8"/>
  <c r="Q1435" i="8"/>
  <c r="Q1445" i="8"/>
  <c r="Q1456" i="8"/>
  <c r="Q1476" i="8"/>
  <c r="Q1487" i="8"/>
  <c r="Q1497" i="8"/>
  <c r="Q1508" i="8"/>
  <c r="Q1519" i="8"/>
  <c r="Q1541" i="8"/>
  <c r="Q1556" i="8"/>
  <c r="Q1588" i="8"/>
  <c r="Q1599" i="8"/>
  <c r="Q1616" i="8"/>
  <c r="Q1648" i="8"/>
  <c r="Q1665" i="8"/>
  <c r="Q1684" i="8"/>
  <c r="Q1716" i="8"/>
  <c r="Q1727" i="8"/>
  <c r="Q1744" i="8"/>
  <c r="Q1776" i="8"/>
  <c r="Q1793" i="8"/>
  <c r="Q1812" i="8"/>
  <c r="Q1085" i="8"/>
  <c r="Q1101" i="8"/>
  <c r="Q1119" i="8"/>
  <c r="Q1135" i="8"/>
  <c r="Q1151" i="8"/>
  <c r="Q299" i="8"/>
  <c r="Q337" i="8"/>
  <c r="Q369" i="8"/>
  <c r="Q401" i="8"/>
  <c r="Q433" i="8"/>
  <c r="Q465" i="8"/>
  <c r="Q497" i="8"/>
  <c r="Q529" i="8"/>
  <c r="Q561" i="8"/>
  <c r="Q593" i="8"/>
  <c r="Q622" i="8"/>
  <c r="Q638" i="8"/>
  <c r="Q654" i="8"/>
  <c r="Q670" i="8"/>
  <c r="Q686" i="8"/>
  <c r="Q702" i="8"/>
  <c r="Q718" i="8"/>
  <c r="Q734" i="8"/>
  <c r="Q750" i="8"/>
  <c r="Q766" i="8"/>
  <c r="Q782" i="8"/>
  <c r="Q798" i="8"/>
  <c r="Q814" i="8"/>
  <c r="Q830" i="8"/>
  <c r="Q846" i="8"/>
  <c r="Q862" i="8"/>
  <c r="Q878" i="8"/>
  <c r="Q894" i="8"/>
  <c r="Q910" i="8"/>
  <c r="Q926" i="8"/>
  <c r="Q942" i="8"/>
  <c r="Q958" i="8"/>
  <c r="Q974" i="8"/>
  <c r="Q990" i="8"/>
  <c r="Q1006" i="8"/>
  <c r="Q1022" i="8"/>
  <c r="Q1038" i="8"/>
  <c r="Q1054" i="8"/>
  <c r="Q1070" i="8"/>
  <c r="Q213" i="8"/>
  <c r="Q227" i="8"/>
  <c r="Q237" i="8"/>
  <c r="Q245" i="8"/>
  <c r="Q253" i="8"/>
  <c r="Q261" i="8"/>
  <c r="Q269" i="8"/>
  <c r="Q285" i="8"/>
  <c r="Q301" i="8"/>
  <c r="Q317" i="8"/>
  <c r="Q333" i="8"/>
  <c r="Q349" i="8"/>
  <c r="Q365" i="8"/>
  <c r="Q381" i="8"/>
  <c r="Q397" i="8"/>
  <c r="Q413" i="8"/>
  <c r="Q429" i="8"/>
  <c r="Q445" i="8"/>
  <c r="Q461" i="8"/>
  <c r="Q477" i="8"/>
  <c r="Q493" i="8"/>
  <c r="Q509" i="8"/>
  <c r="Q525" i="8"/>
  <c r="Q541" i="8"/>
  <c r="Q557" i="8"/>
  <c r="Q573" i="8"/>
  <c r="Q589" i="8"/>
  <c r="Q605" i="8"/>
  <c r="Q621" i="8"/>
  <c r="Q637" i="8"/>
  <c r="Q653" i="8"/>
  <c r="Q669" i="8"/>
  <c r="Q685" i="8"/>
  <c r="Q701" i="8"/>
  <c r="Q717" i="8"/>
  <c r="Q733" i="8"/>
  <c r="Q749" i="8"/>
  <c r="Q765" i="8"/>
  <c r="Q781" i="8"/>
  <c r="Q797" i="8"/>
  <c r="Q813" i="8"/>
  <c r="Q829" i="8"/>
  <c r="Q845" i="8"/>
  <c r="Q861" i="8"/>
  <c r="Q877" i="8"/>
  <c r="Q893" i="8"/>
  <c r="Q909" i="8"/>
  <c r="Q925" i="8"/>
  <c r="Q941" i="8"/>
  <c r="Q957" i="8"/>
  <c r="Q973" i="8"/>
  <c r="Q989" i="8"/>
  <c r="Q1005" i="8"/>
  <c r="Q1021" i="8"/>
  <c r="Q1037" i="8"/>
  <c r="Q1053" i="8"/>
  <c r="Q1069" i="8"/>
  <c r="Q215" i="8"/>
  <c r="Q272" i="8"/>
  <c r="Q288" i="8"/>
  <c r="Q304" i="8"/>
  <c r="Q320" i="8"/>
  <c r="Q336" i="8"/>
  <c r="Q352" i="8"/>
  <c r="Q368" i="8"/>
  <c r="Q384" i="8"/>
  <c r="Q400" i="8"/>
  <c r="Q416" i="8"/>
  <c r="Q432" i="8"/>
  <c r="Q448" i="8"/>
  <c r="Q464" i="8"/>
  <c r="Q480" i="8"/>
  <c r="Q496" i="8"/>
  <c r="Q512" i="8"/>
  <c r="Q528" i="8"/>
  <c r="Q544" i="8"/>
  <c r="Q560" i="8"/>
  <c r="Q576" i="8"/>
  <c r="Q592" i="8"/>
  <c r="Q608" i="8"/>
  <c r="Q624" i="8"/>
  <c r="Q640" i="8"/>
  <c r="Q656" i="8"/>
  <c r="Q672" i="8"/>
  <c r="Q688" i="8"/>
  <c r="Q704" i="8"/>
  <c r="Q720" i="8"/>
  <c r="Q736" i="8"/>
  <c r="Q752" i="8"/>
  <c r="Q768" i="8"/>
  <c r="Q784" i="8"/>
  <c r="Q800" i="8"/>
  <c r="Q816" i="8"/>
  <c r="Q832" i="8"/>
  <c r="Q848" i="8"/>
  <c r="Q864" i="8"/>
  <c r="Q880" i="8"/>
  <c r="Q896" i="8"/>
  <c r="Q912" i="8"/>
  <c r="Q928" i="8"/>
  <c r="Q944" i="8"/>
  <c r="Q960" i="8"/>
  <c r="Q976" i="8"/>
  <c r="Q992" i="8"/>
  <c r="Q1008" i="8"/>
  <c r="Q1024" i="8"/>
  <c r="Q1040" i="8"/>
  <c r="Q1056" i="8"/>
  <c r="Q1072" i="8"/>
  <c r="Q214" i="8"/>
  <c r="Q228" i="8"/>
  <c r="Q236" i="8"/>
  <c r="Q244" i="8"/>
  <c r="Q252" i="8"/>
  <c r="Q260" i="8"/>
  <c r="Q268" i="8"/>
  <c r="Q284" i="8"/>
  <c r="Q300" i="8"/>
  <c r="Q316" i="8"/>
  <c r="Q332" i="8"/>
  <c r="Q348" i="8"/>
  <c r="Q364" i="8"/>
  <c r="Q380" i="8"/>
  <c r="Q396" i="8"/>
  <c r="Q412" i="8"/>
  <c r="Q428" i="8"/>
  <c r="Q444" i="8"/>
  <c r="Q460" i="8"/>
  <c r="Q476" i="8"/>
  <c r="Q492" i="8"/>
  <c r="Q508" i="8"/>
  <c r="Q524" i="8"/>
  <c r="Q540" i="8"/>
  <c r="Q556" i="8"/>
  <c r="Q572" i="8"/>
  <c r="Q588" i="8"/>
  <c r="Q604" i="8"/>
  <c r="Q620" i="8"/>
  <c r="Q636" i="8"/>
  <c r="Q652" i="8"/>
  <c r="Q668" i="8"/>
  <c r="Q684" i="8"/>
  <c r="Q700" i="8"/>
  <c r="Q716" i="8"/>
  <c r="Q732" i="8"/>
  <c r="Q748" i="8"/>
  <c r="Q764" i="8"/>
  <c r="Q780" i="8"/>
  <c r="Q796" i="8"/>
  <c r="Q812" i="8"/>
  <c r="Q828" i="8"/>
  <c r="Q844" i="8"/>
  <c r="Q860" i="8"/>
  <c r="Q876" i="8"/>
  <c r="Q892" i="8"/>
  <c r="Q908" i="8"/>
  <c r="Q924" i="8"/>
  <c r="Q940" i="8"/>
  <c r="Q956" i="8"/>
  <c r="Q972" i="8"/>
  <c r="Q988" i="8"/>
  <c r="Q1004" i="8"/>
  <c r="Q1020" i="8"/>
  <c r="Q1036" i="8"/>
  <c r="Q1052" i="8"/>
  <c r="Q1068" i="8"/>
  <c r="Q1083" i="8"/>
  <c r="Q1099" i="8"/>
  <c r="Q1116" i="8"/>
  <c r="Q1132" i="8"/>
  <c r="Q1148" i="8"/>
  <c r="Q1164" i="8"/>
  <c r="Q1180" i="8"/>
  <c r="Q1196" i="8"/>
  <c r="Q1212" i="8"/>
  <c r="Q1228" i="8"/>
  <c r="Q1249" i="8"/>
  <c r="Q1260" i="8"/>
  <c r="Q1283" i="8"/>
  <c r="Q1293" i="8"/>
  <c r="Q1304" i="8"/>
  <c r="Q1315" i="8"/>
  <c r="Q1325" i="8"/>
  <c r="Q1345" i="8"/>
  <c r="Q1356" i="8"/>
  <c r="Q1367" i="8"/>
  <c r="Q1377" i="8"/>
  <c r="Q1388" i="8"/>
  <c r="Q1411" i="8"/>
  <c r="Q1421" i="8"/>
  <c r="Q1432" i="8"/>
  <c r="Q1443" i="8"/>
  <c r="Q1453" i="8"/>
  <c r="Q1473" i="8"/>
  <c r="Q1484" i="8"/>
  <c r="Q1495" i="8"/>
  <c r="Q1505" i="8"/>
  <c r="Q1516" i="8"/>
  <c r="Q1539" i="8"/>
  <c r="Q1551" i="8"/>
  <c r="Q1580" i="8"/>
  <c r="Q1597" i="8"/>
  <c r="Q1608" i="8"/>
  <c r="Q1640" i="8"/>
  <c r="Q1662" i="8"/>
  <c r="Q1676" i="8"/>
  <c r="Q1708" i="8"/>
  <c r="Q1725" i="8"/>
  <c r="Q1736" i="8"/>
  <c r="Q1768" i="8"/>
  <c r="Q1790" i="8"/>
  <c r="Q1804" i="8"/>
  <c r="Q1082" i="8"/>
  <c r="Q1098" i="8"/>
  <c r="Q1115" i="8"/>
  <c r="Q1131" i="8"/>
  <c r="Q1147" i="8"/>
  <c r="Q331" i="8"/>
  <c r="Q363" i="8"/>
  <c r="Q395" i="8"/>
  <c r="Q427" i="8"/>
  <c r="Q459" i="8"/>
  <c r="Q491" i="8"/>
  <c r="Q523" i="8"/>
  <c r="Q555" i="8"/>
  <c r="Q587" i="8"/>
  <c r="Q619" i="8"/>
  <c r="Q635" i="8"/>
  <c r="Q651" i="8"/>
  <c r="Q667" i="8"/>
  <c r="Q683" i="8"/>
  <c r="Q699" i="8"/>
  <c r="Q715" i="8"/>
  <c r="Q731" i="8"/>
  <c r="Q747" i="8"/>
  <c r="Q763" i="8"/>
  <c r="Q779" i="8"/>
  <c r="Q795" i="8"/>
  <c r="Q811" i="8"/>
  <c r="Q827" i="8"/>
  <c r="Q843" i="8"/>
  <c r="Q859" i="8"/>
  <c r="Q875" i="8"/>
  <c r="Q891" i="8"/>
  <c r="Q907" i="8"/>
  <c r="Q923" i="8"/>
  <c r="Q939" i="8"/>
  <c r="Q955" i="8"/>
  <c r="Q971" i="8"/>
  <c r="Q987" i="8"/>
  <c r="Q1003" i="8"/>
  <c r="Q1019" i="8"/>
  <c r="Q1035" i="8"/>
  <c r="Q1051" i="8"/>
  <c r="Q1067" i="8"/>
  <c r="Q209" i="8"/>
  <c r="Q225" i="8"/>
  <c r="Q235" i="8"/>
  <c r="Q243" i="8"/>
  <c r="Q251" i="8"/>
  <c r="Q259" i="8"/>
  <c r="Q267" i="8"/>
  <c r="Q282" i="8"/>
  <c r="Q298" i="8"/>
  <c r="Q314" i="8"/>
  <c r="Q330" i="8"/>
  <c r="Q346" i="8"/>
  <c r="Q362" i="8"/>
  <c r="Q378" i="8"/>
  <c r="Q394" i="8"/>
  <c r="Q410" i="8"/>
  <c r="Q426" i="8"/>
  <c r="Q442" i="8"/>
  <c r="Q458" i="8"/>
  <c r="Q474" i="8"/>
  <c r="Q490" i="8"/>
  <c r="Q506" i="8"/>
  <c r="Q522" i="8"/>
  <c r="Q538" i="8"/>
  <c r="Q554" i="8"/>
  <c r="Q570" i="8"/>
  <c r="Q586" i="8"/>
  <c r="Q602" i="8"/>
  <c r="Q618" i="8"/>
  <c r="Q634" i="8"/>
  <c r="Q650" i="8"/>
  <c r="Q666" i="8"/>
  <c r="Q682" i="8"/>
  <c r="Q698" i="8"/>
  <c r="Q714" i="8"/>
  <c r="Q730" i="8"/>
  <c r="Q746" i="8"/>
  <c r="Q762" i="8"/>
  <c r="Q778" i="8"/>
  <c r="Q794" i="8"/>
  <c r="Q810" i="8"/>
  <c r="Q826" i="8"/>
  <c r="Q842" i="8"/>
  <c r="Q858" i="8"/>
  <c r="Q874" i="8"/>
  <c r="Q890" i="8"/>
  <c r="Q906" i="8"/>
  <c r="Q922" i="8"/>
  <c r="Q938" i="8"/>
  <c r="Q954" i="8"/>
  <c r="Q970" i="8"/>
  <c r="Q986" i="8"/>
  <c r="Q1002" i="8"/>
  <c r="Q1018" i="8"/>
  <c r="Q1034" i="8"/>
  <c r="Q1050" i="8"/>
  <c r="Q1066" i="8"/>
  <c r="Q211" i="8"/>
  <c r="Q229" i="8"/>
  <c r="Q281" i="8"/>
  <c r="Q297" i="8"/>
  <c r="Q313" i="8"/>
  <c r="Q329" i="8"/>
  <c r="Q345" i="8"/>
  <c r="Q361" i="8"/>
  <c r="Q377" i="8"/>
  <c r="Q393" i="8"/>
  <c r="Q409" i="8"/>
  <c r="Q425" i="8"/>
  <c r="Q441" i="8"/>
  <c r="Q457" i="8"/>
  <c r="Q473" i="8"/>
  <c r="Q489" i="8"/>
  <c r="Q505" i="8"/>
  <c r="Q521" i="8"/>
  <c r="Q537" i="8"/>
  <c r="Q553" i="8"/>
  <c r="Q569" i="8"/>
  <c r="Q585" i="8"/>
  <c r="Q601" i="8"/>
  <c r="Q617" i="8"/>
  <c r="Q633" i="8"/>
  <c r="Q649" i="8"/>
  <c r="Q665" i="8"/>
  <c r="Q681" i="8"/>
  <c r="Q697" i="8"/>
  <c r="Q713" i="8"/>
  <c r="Q729" i="8"/>
  <c r="Q745" i="8"/>
  <c r="Q761" i="8"/>
  <c r="Q777" i="8"/>
  <c r="Q793" i="8"/>
  <c r="Q809" i="8"/>
  <c r="Q825" i="8"/>
  <c r="Q841" i="8"/>
  <c r="Q857" i="8"/>
  <c r="Q873" i="8"/>
  <c r="Q889" i="8"/>
  <c r="Q905" i="8"/>
  <c r="Q921" i="8"/>
  <c r="Q937" i="8"/>
  <c r="Q953" i="8"/>
  <c r="Q969" i="8"/>
  <c r="Q985" i="8"/>
  <c r="Q1001" i="8"/>
  <c r="Q1017" i="8"/>
  <c r="Q1033" i="8"/>
  <c r="Q1049" i="8"/>
  <c r="Q1065" i="8"/>
  <c r="Q212" i="8"/>
  <c r="Q226" i="8"/>
  <c r="Q234" i="8"/>
  <c r="Q242" i="8"/>
  <c r="Q250" i="8"/>
  <c r="Q258" i="8"/>
  <c r="Q266" i="8"/>
  <c r="Q277" i="8"/>
  <c r="Q293" i="8"/>
  <c r="Q309" i="8"/>
  <c r="Q325" i="8"/>
  <c r="Q341" i="8"/>
  <c r="Q357" i="8"/>
  <c r="Q373" i="8"/>
  <c r="Q389" i="8"/>
  <c r="Q405" i="8"/>
  <c r="Q421" i="8"/>
  <c r="Q437" i="8"/>
  <c r="Q453" i="8"/>
  <c r="Q469" i="8"/>
  <c r="Q485" i="8"/>
  <c r="Q501" i="8"/>
  <c r="Q517" i="8"/>
  <c r="Q533" i="8"/>
  <c r="Q549" i="8"/>
  <c r="Q565" i="8"/>
  <c r="Q581" i="8"/>
  <c r="Q597" i="8"/>
  <c r="Q613" i="8"/>
  <c r="Q629" i="8"/>
  <c r="Q645" i="8"/>
  <c r="Q661" i="8"/>
  <c r="Q677" i="8"/>
  <c r="Q693" i="8"/>
  <c r="Q709" i="8"/>
  <c r="Q725" i="8"/>
  <c r="Q741" i="8"/>
  <c r="Q757" i="8"/>
  <c r="Q773" i="8"/>
  <c r="Q789" i="8"/>
  <c r="Q805" i="8"/>
  <c r="Q821" i="8"/>
  <c r="Q837" i="8"/>
  <c r="Q853" i="8"/>
  <c r="Q869" i="8"/>
  <c r="Q885" i="8"/>
  <c r="Q901" i="8"/>
  <c r="Q917" i="8"/>
  <c r="Q933" i="8"/>
  <c r="Q949" i="8"/>
  <c r="Q965" i="8"/>
  <c r="Q981" i="8"/>
  <c r="Q997" i="8"/>
  <c r="Q1013" i="8"/>
  <c r="Q1029" i="8"/>
  <c r="Q1045" i="8"/>
  <c r="Q1061" i="8"/>
  <c r="Q1080" i="8"/>
  <c r="Q1096" i="8"/>
  <c r="Q1112" i="8"/>
  <c r="Q1128" i="8"/>
  <c r="Q1144" i="8"/>
  <c r="Q1160" i="8"/>
  <c r="Q1176" i="8"/>
  <c r="Q1192" i="8"/>
  <c r="Q1208" i="8"/>
  <c r="Q1224" i="8"/>
  <c r="Q1246" i="8"/>
  <c r="Q1257" i="8"/>
  <c r="Q1274" i="8"/>
  <c r="Q1291" i="8"/>
  <c r="Q1301" i="8"/>
  <c r="Q1312" i="8"/>
  <c r="Q1323" i="8"/>
  <c r="Q1342" i="8"/>
  <c r="Q1353" i="8"/>
  <c r="Q1364" i="8"/>
  <c r="Q1375" i="8"/>
  <c r="Q1385" i="8"/>
  <c r="Q1402" i="8"/>
  <c r="Q1419" i="8"/>
  <c r="Q1429" i="8"/>
  <c r="Q1440" i="8"/>
  <c r="Q1451" i="8"/>
  <c r="Q1470" i="8"/>
  <c r="Q1481" i="8"/>
  <c r="Q1492" i="8"/>
  <c r="Q1503" i="8"/>
  <c r="Q1513" i="8"/>
  <c r="Q1530" i="8"/>
  <c r="Q1549" i="8"/>
  <c r="Q1572" i="8"/>
  <c r="Q1594" i="8"/>
  <c r="Q1605" i="8"/>
  <c r="Q1632" i="8"/>
  <c r="Q1659" i="8"/>
  <c r="Q1670" i="8"/>
  <c r="Q1700" i="8"/>
  <c r="Q1722" i="8"/>
  <c r="Q1733" i="8"/>
  <c r="Q1760" i="8"/>
  <c r="Q1787" i="8"/>
  <c r="Q1798" i="8"/>
  <c r="Q1079" i="8"/>
  <c r="Q1095" i="8"/>
  <c r="Q1111" i="8"/>
  <c r="Q1127" i="8"/>
  <c r="Q1143" i="8"/>
  <c r="Q1159" i="8"/>
  <c r="Q1171" i="8"/>
  <c r="Q1187" i="8"/>
  <c r="Q1203" i="8"/>
  <c r="Q1219" i="8"/>
  <c r="Q1235" i="8"/>
  <c r="Q1248" i="8"/>
  <c r="Q1268" i="8"/>
  <c r="Q1279" i="8"/>
  <c r="Q1306" i="8"/>
  <c r="Q1333" i="8"/>
  <c r="Q1344" i="8"/>
  <c r="Q1374" i="8"/>
  <c r="Q1396" i="8"/>
  <c r="Q1407" i="8"/>
  <c r="Q1434" i="8"/>
  <c r="Q1461" i="8"/>
  <c r="Q1472" i="8"/>
  <c r="Q1502" i="8"/>
  <c r="Q1524" i="8"/>
  <c r="Q1535" i="8"/>
  <c r="Q1555" i="8"/>
  <c r="Q1566" i="8"/>
  <c r="Q1577" i="8"/>
  <c r="Q1587" i="8"/>
  <c r="Q1607" i="8"/>
  <c r="Q1618" i="8"/>
  <c r="Q1629" i="8"/>
  <c r="Q1639" i="8"/>
  <c r="Q1650" i="8"/>
  <c r="Q1673" i="8"/>
  <c r="Q1683" i="8"/>
  <c r="Q1694" i="8"/>
  <c r="Q1705" i="8"/>
  <c r="Q1715" i="8"/>
  <c r="Q1735" i="8"/>
  <c r="Q1746" i="8"/>
  <c r="Q1757" i="8"/>
  <c r="Q1767" i="8"/>
  <c r="Q1778" i="8"/>
  <c r="Q1801" i="8"/>
  <c r="Q1811" i="8"/>
  <c r="Q1081" i="8"/>
  <c r="Q1097" i="8"/>
  <c r="Q1114" i="8"/>
  <c r="Q1130" i="8"/>
  <c r="Q1146" i="8"/>
  <c r="Q1162" i="8"/>
  <c r="Q1178" i="8"/>
  <c r="Q1194" i="8"/>
  <c r="Q1210" i="8"/>
  <c r="Q1226" i="8"/>
  <c r="Q1242" i="8"/>
  <c r="Q1259" i="8"/>
  <c r="Q1278" i="8"/>
  <c r="Q1289" i="8"/>
  <c r="Q1300" i="8"/>
  <c r="Q1311" i="8"/>
  <c r="Q1321" i="8"/>
  <c r="Q1338" i="8"/>
  <c r="Q1355" i="8"/>
  <c r="Q1365" i="8"/>
  <c r="Q1376" i="8"/>
  <c r="Q1387" i="8"/>
  <c r="Q1406" i="8"/>
  <c r="Q1417" i="8"/>
  <c r="Q1428" i="8"/>
  <c r="Q1439" i="8"/>
  <c r="Q1449" i="8"/>
  <c r="Q1466" i="8"/>
  <c r="Q1483" i="8"/>
  <c r="Q1493" i="8"/>
  <c r="Q1504" i="8"/>
  <c r="Q1515" i="8"/>
  <c r="Q1534" i="8"/>
  <c r="Q1545" i="8"/>
  <c r="Q1560" i="8"/>
  <c r="Q1593" i="8"/>
  <c r="Q1603" i="8"/>
  <c r="Q1628" i="8"/>
  <c r="Q1655" i="8"/>
  <c r="Q1666" i="8"/>
  <c r="Q1688" i="8"/>
  <c r="Q1721" i="8"/>
  <c r="Q1731" i="8"/>
  <c r="Q1756" i="8"/>
  <c r="Q1783" i="8"/>
  <c r="Q1794" i="8"/>
  <c r="Q1817" i="8"/>
  <c r="Q1090" i="8"/>
  <c r="Q1106" i="8"/>
  <c r="Q1121" i="8"/>
  <c r="Q1137" i="8"/>
  <c r="Q1153" i="8"/>
  <c r="Q1169" i="8"/>
  <c r="Q1185" i="8"/>
  <c r="Q1201" i="8"/>
  <c r="Q1217" i="8"/>
  <c r="Q1233" i="8"/>
  <c r="Q1244" i="8"/>
  <c r="Q1267" i="8"/>
  <c r="Q1277" i="8"/>
  <c r="Q1302" i="8"/>
  <c r="Q1329" i="8"/>
  <c r="Q1340" i="8"/>
  <c r="Q1362" i="8"/>
  <c r="Q1395" i="8"/>
  <c r="Q1405" i="8"/>
  <c r="Q1430" i="8"/>
  <c r="Q1457" i="8"/>
  <c r="Q1468" i="8"/>
  <c r="Q1490" i="8"/>
  <c r="Q1523" i="8"/>
  <c r="Q1533" i="8"/>
  <c r="Q1554" i="8"/>
  <c r="Q1565" i="8"/>
  <c r="Q1575" i="8"/>
  <c r="Q1586" i="8"/>
  <c r="Q1609" i="8"/>
  <c r="Q1619" i="8"/>
  <c r="Q1630" i="8"/>
  <c r="Q1641" i="8"/>
  <c r="Q1651" i="8"/>
  <c r="Q1671" i="8"/>
  <c r="Q1682" i="8"/>
  <c r="Q1693" i="8"/>
  <c r="Q1703" i="8"/>
  <c r="Q1714" i="8"/>
  <c r="Q1737" i="8"/>
  <c r="Q1747" i="8"/>
  <c r="Q1758" i="8"/>
  <c r="Q1769" i="8"/>
  <c r="Q1779" i="8"/>
  <c r="Q1799" i="8"/>
  <c r="Q1810" i="8"/>
  <c r="Q1824" i="8"/>
  <c r="Q1856" i="8"/>
  <c r="Q1873" i="8"/>
  <c r="Q1883" i="8"/>
  <c r="Q1894" i="8"/>
  <c r="Q1905" i="8"/>
  <c r="Q1915" i="8"/>
  <c r="Q1926" i="8"/>
  <c r="Q1953" i="8"/>
  <c r="Q1961" i="8"/>
  <c r="Q1969" i="8"/>
  <c r="Q1990" i="8"/>
  <c r="Q1998" i="8"/>
  <c r="Q2017" i="8"/>
  <c r="Q2025" i="8"/>
  <c r="Q2033" i="8"/>
  <c r="Q2054" i="8"/>
  <c r="Q2062" i="8"/>
  <c r="Q2081" i="8"/>
  <c r="Q2089" i="8"/>
  <c r="Q2097" i="8"/>
  <c r="Q2114" i="8"/>
  <c r="Q2137" i="8"/>
  <c r="Q2154" i="8"/>
  <c r="Q2165" i="8"/>
  <c r="Q2185" i="8"/>
  <c r="Q2198" i="8"/>
  <c r="Q2218" i="8"/>
  <c r="Q2229" i="8"/>
  <c r="Q2249" i="8"/>
  <c r="Q2262" i="8"/>
  <c r="Q2282" i="8"/>
  <c r="Q2293" i="8"/>
  <c r="Q2313" i="8"/>
  <c r="Q2326" i="8"/>
  <c r="Q2346" i="8"/>
  <c r="Q2357" i="8"/>
  <c r="Q2377" i="8"/>
  <c r="Q1821" i="8"/>
  <c r="Q1831" i="8"/>
  <c r="Q1842" i="8"/>
  <c r="Q1853" i="8"/>
  <c r="Q1864" i="8"/>
  <c r="Q1896" i="8"/>
  <c r="Q1929" i="8"/>
  <c r="Q1938" i="8"/>
  <c r="Q1946" i="8"/>
  <c r="Q1979" i="8"/>
  <c r="Q2008" i="8"/>
  <c r="Q2016" i="8"/>
  <c r="Q2043" i="8"/>
  <c r="Q2072" i="8"/>
  <c r="Q2080" i="8"/>
  <c r="Q2107" i="8"/>
  <c r="Q2124" i="8"/>
  <c r="Q2132" i="8"/>
  <c r="Q2147" i="8"/>
  <c r="Q2171" i="8"/>
  <c r="Q2184" i="8"/>
  <c r="Q2204" i="8"/>
  <c r="Q2215" i="8"/>
  <c r="Q2235" i="8"/>
  <c r="Q2248" i="8"/>
  <c r="Q2268" i="8"/>
  <c r="Q2279" i="8"/>
  <c r="Q2299" i="8"/>
  <c r="Q2312" i="8"/>
  <c r="Q2332" i="8"/>
  <c r="Q2343" i="8"/>
  <c r="Q2363" i="8"/>
  <c r="Q2376" i="8"/>
  <c r="Q1828" i="8"/>
  <c r="Q1860" i="8"/>
  <c r="Q1871" i="8"/>
  <c r="Q1882" i="8"/>
  <c r="Q1893" i="8"/>
  <c r="Q1903" i="8"/>
  <c r="Q1914" i="8"/>
  <c r="Q1925" i="8"/>
  <c r="Q1950" i="8"/>
  <c r="Q1958" i="8"/>
  <c r="Q1966" i="8"/>
  <c r="Q1985" i="8"/>
  <c r="Q1993" i="8"/>
  <c r="Q2001" i="8"/>
  <c r="Q2022" i="8"/>
  <c r="Q2030" i="8"/>
  <c r="Q2049" i="8"/>
  <c r="Q2057" i="8"/>
  <c r="Q2065" i="8"/>
  <c r="Q2086" i="8"/>
  <c r="Q2094" i="8"/>
  <c r="Q2109" i="8"/>
  <c r="Q2134" i="8"/>
  <c r="Q2149" i="8"/>
  <c r="Q2157" i="8"/>
  <c r="Q2177" i="8"/>
  <c r="Q2190" i="8"/>
  <c r="Q2210" i="8"/>
  <c r="Q2221" i="8"/>
  <c r="Q2241" i="8"/>
  <c r="Q2254" i="8"/>
  <c r="Q2274" i="8"/>
  <c r="Q2285" i="8"/>
  <c r="Q2305" i="8"/>
  <c r="Q2318" i="8"/>
  <c r="Q2338" i="8"/>
  <c r="Q2349" i="8"/>
  <c r="Q2369" i="8"/>
  <c r="Q2382" i="8"/>
  <c r="Q1825" i="8"/>
  <c r="Q1835" i="8"/>
  <c r="Q1846" i="8"/>
  <c r="Q1857" i="8"/>
  <c r="Q1876" i="8"/>
  <c r="Q1908" i="8"/>
  <c r="Q1930" i="8"/>
  <c r="Q1941" i="8"/>
  <c r="Q1974" i="8"/>
  <c r="Q1982" i="8"/>
  <c r="Q2009" i="8"/>
  <c r="Q2038" i="8"/>
  <c r="Q2046" i="8"/>
  <c r="Q2073" i="8"/>
  <c r="Q2102" i="8"/>
  <c r="Q2117" i="8"/>
  <c r="Q2125" i="8"/>
  <c r="Q2142" i="8"/>
  <c r="Q2161" i="8"/>
  <c r="Q2174" i="8"/>
  <c r="Q2194" i="8"/>
  <c r="Q2205" i="8"/>
  <c r="Q2225" i="8"/>
  <c r="Q2238" i="8"/>
  <c r="Q2258" i="8"/>
  <c r="Q2289" i="8"/>
  <c r="Q2322" i="8"/>
  <c r="Q2353" i="8"/>
  <c r="Q2386" i="8"/>
  <c r="Q2364" i="8"/>
  <c r="Q1167" i="8"/>
  <c r="Q1183" i="8"/>
  <c r="Q1199" i="8"/>
  <c r="Q1215" i="8"/>
  <c r="Q1231" i="8"/>
  <c r="Q1245" i="8"/>
  <c r="Q1265" i="8"/>
  <c r="Q1276" i="8"/>
  <c r="Q1298" i="8"/>
  <c r="Q1331" i="8"/>
  <c r="Q1341" i="8"/>
  <c r="Q1366" i="8"/>
  <c r="Q1393" i="8"/>
  <c r="Q1404" i="8"/>
  <c r="Q1426" i="8"/>
  <c r="Q1459" i="8"/>
  <c r="Q1469" i="8"/>
  <c r="Q1494" i="8"/>
  <c r="Q1521" i="8"/>
  <c r="Q1532" i="8"/>
  <c r="Q1553" i="8"/>
  <c r="Q1563" i="8"/>
  <c r="Q1574" i="8"/>
  <c r="Q1585" i="8"/>
  <c r="Q1604" i="8"/>
  <c r="Q1615" i="8"/>
  <c r="Q1626" i="8"/>
  <c r="Q1637" i="8"/>
  <c r="Q1647" i="8"/>
  <c r="Q1664" i="8"/>
  <c r="Q1681" i="8"/>
  <c r="Q1691" i="8"/>
  <c r="Q1702" i="8"/>
  <c r="Q1713" i="8"/>
  <c r="Q1732" i="8"/>
  <c r="Q1743" i="8"/>
  <c r="Q1754" i="8"/>
  <c r="Q1765" i="8"/>
  <c r="Q1775" i="8"/>
  <c r="Q1792" i="8"/>
  <c r="Q1809" i="8"/>
  <c r="Q1078" i="8"/>
  <c r="Q1094" i="8"/>
  <c r="Q1110" i="8"/>
  <c r="Q1126" i="8"/>
  <c r="Q1142" i="8"/>
  <c r="Q1158" i="8"/>
  <c r="Q1174" i="8"/>
  <c r="Q1190" i="8"/>
  <c r="Q1206" i="8"/>
  <c r="Q1222" i="8"/>
  <c r="Q1238" i="8"/>
  <c r="Q1256" i="8"/>
  <c r="Q1270" i="8"/>
  <c r="Q1287" i="8"/>
  <c r="Q1297" i="8"/>
  <c r="Q1308" i="8"/>
  <c r="Q1319" i="8"/>
  <c r="Q1330" i="8"/>
  <c r="Q1352" i="8"/>
  <c r="Q1363" i="8"/>
  <c r="Q1373" i="8"/>
  <c r="Q1384" i="8"/>
  <c r="Q1398" i="8"/>
  <c r="Q1415" i="8"/>
  <c r="Q1425" i="8"/>
  <c r="Q1436" i="8"/>
  <c r="Q1447" i="8"/>
  <c r="Q1458" i="8"/>
  <c r="Q1480" i="8"/>
  <c r="Q1491" i="8"/>
  <c r="Q1501" i="8"/>
  <c r="Q1512" i="8"/>
  <c r="Q1526" i="8"/>
  <c r="Q1543" i="8"/>
  <c r="Q1552" i="8"/>
  <c r="Q1584" i="8"/>
  <c r="Q1601" i="8"/>
  <c r="Q1620" i="8"/>
  <c r="Q1652" i="8"/>
  <c r="Q1663" i="8"/>
  <c r="Q1680" i="8"/>
  <c r="Q1712" i="8"/>
  <c r="Q1729" i="8"/>
  <c r="Q1748" i="8"/>
  <c r="Q1780" i="8"/>
  <c r="Q1791" i="8"/>
  <c r="Q1808" i="8"/>
  <c r="Q1087" i="8"/>
  <c r="Q1103" i="8"/>
  <c r="Q1117" i="8"/>
  <c r="Q1133" i="8"/>
  <c r="Q1149" i="8"/>
  <c r="Q1165" i="8"/>
  <c r="Q1181" i="8"/>
  <c r="Q1197" i="8"/>
  <c r="Q1213" i="8"/>
  <c r="Q1229" i="8"/>
  <c r="Q1241" i="8"/>
  <c r="Q1258" i="8"/>
  <c r="Q1275" i="8"/>
  <c r="Q1294" i="8"/>
  <c r="Q1326" i="8"/>
  <c r="Q1337" i="8"/>
  <c r="Q1354" i="8"/>
  <c r="Q1386" i="8"/>
  <c r="Q1403" i="8"/>
  <c r="Q1422" i="8"/>
  <c r="Q1454" i="8"/>
  <c r="Q1465" i="8"/>
  <c r="Q1482" i="8"/>
  <c r="Q1514" i="8"/>
  <c r="Q1531" i="8"/>
  <c r="Q1547" i="8"/>
  <c r="Q1562" i="8"/>
  <c r="Q1573" i="8"/>
  <c r="Q1583" i="8"/>
  <c r="Q1600" i="8"/>
  <c r="Q1617" i="8"/>
  <c r="Q1627" i="8"/>
  <c r="Q1638" i="8"/>
  <c r="Q1649" i="8"/>
  <c r="Q1668" i="8"/>
  <c r="Q1679" i="8"/>
  <c r="Q1690" i="8"/>
  <c r="Q1701" i="8"/>
  <c r="Q1711" i="8"/>
  <c r="Q1728" i="8"/>
  <c r="Q1745" i="8"/>
  <c r="Q1755" i="8"/>
  <c r="Q1766" i="8"/>
  <c r="Q1777" i="8"/>
  <c r="Q1796" i="8"/>
  <c r="Q1807" i="8"/>
  <c r="Q1816" i="8"/>
  <c r="Q1848" i="8"/>
  <c r="Q1870" i="8"/>
  <c r="Q1881" i="8"/>
  <c r="Q1891" i="8"/>
  <c r="Q1902" i="8"/>
  <c r="Q1913" i="8"/>
  <c r="Q1923" i="8"/>
  <c r="Q1951" i="8"/>
  <c r="Q1959" i="8"/>
  <c r="Q1967" i="8"/>
  <c r="Q1988" i="8"/>
  <c r="Q1996" i="8"/>
  <c r="Q2004" i="8"/>
  <c r="Q2023" i="8"/>
  <c r="Q2031" i="8"/>
  <c r="Q2052" i="8"/>
  <c r="Q2060" i="8"/>
  <c r="Q2068" i="8"/>
  <c r="Q2087" i="8"/>
  <c r="Q2095" i="8"/>
  <c r="Q2112" i="8"/>
  <c r="Q2135" i="8"/>
  <c r="Q2152" i="8"/>
  <c r="Q2160" i="8"/>
  <c r="Q2180" i="8"/>
  <c r="Q2191" i="8"/>
  <c r="Q2211" i="8"/>
  <c r="Q2224" i="8"/>
  <c r="Q2244" i="8"/>
  <c r="Q2255" i="8"/>
  <c r="Q2275" i="8"/>
  <c r="Q2288" i="8"/>
  <c r="Q2308" i="8"/>
  <c r="Q2319" i="8"/>
  <c r="Q2339" i="8"/>
  <c r="Q2352" i="8"/>
  <c r="Q2372" i="8"/>
  <c r="Q2383" i="8"/>
  <c r="Q1829" i="8"/>
  <c r="Q1839" i="8"/>
  <c r="Q1850" i="8"/>
  <c r="Q1861" i="8"/>
  <c r="Q1888" i="8"/>
  <c r="Q1920" i="8"/>
  <c r="Q1936" i="8"/>
  <c r="Q1944" i="8"/>
  <c r="Q1977" i="8"/>
  <c r="Q2006" i="8"/>
  <c r="Q2014" i="8"/>
  <c r="Q2041" i="8"/>
  <c r="Q2070" i="8"/>
  <c r="Q2078" i="8"/>
  <c r="Q2105" i="8"/>
  <c r="Q2122" i="8"/>
  <c r="Q2130" i="8"/>
  <c r="Q2145" i="8"/>
  <c r="Q2169" i="8"/>
  <c r="Q2182" i="8"/>
  <c r="Q2202" i="8"/>
  <c r="Q2213" i="8"/>
  <c r="Q2233" i="8"/>
  <c r="Q2246" i="8"/>
  <c r="Q2266" i="8"/>
  <c r="Q2277" i="8"/>
  <c r="Q2297" i="8"/>
  <c r="Q2310" i="8"/>
  <c r="Q2330" i="8"/>
  <c r="Q2341" i="8"/>
  <c r="Q2361" i="8"/>
  <c r="Q2374" i="8"/>
  <c r="Q1820" i="8"/>
  <c r="Q1852" i="8"/>
  <c r="Q1869" i="8"/>
  <c r="Q1879" i="8"/>
  <c r="Q1890" i="8"/>
  <c r="Q1901" i="8"/>
  <c r="Q1911" i="8"/>
  <c r="Q1922" i="8"/>
  <c r="Q1948" i="8"/>
  <c r="Q1956" i="8"/>
  <c r="Q1964" i="8"/>
  <c r="Q1972" i="8"/>
  <c r="Q1991" i="8"/>
  <c r="Q1999" i="8"/>
  <c r="Q2020" i="8"/>
  <c r="Q2028" i="8"/>
  <c r="Q2036" i="8"/>
  <c r="Q2055" i="8"/>
  <c r="Q2063" i="8"/>
  <c r="Q2084" i="8"/>
  <c r="Q2092" i="8"/>
  <c r="Q2100" i="8"/>
  <c r="Q2115" i="8"/>
  <c r="Q2140" i="8"/>
  <c r="Q2155" i="8"/>
  <c r="Q2168" i="8"/>
  <c r="Q2188" i="8"/>
  <c r="Q2199" i="8"/>
  <c r="Q2219" i="8"/>
  <c r="Q2232" i="8"/>
  <c r="Q2252" i="8"/>
  <c r="Q2263" i="8"/>
  <c r="Q2283" i="8"/>
  <c r="Q2296" i="8"/>
  <c r="Q2316" i="8"/>
  <c r="Q2327" i="8"/>
  <c r="Q2347" i="8"/>
  <c r="Q2360" i="8"/>
  <c r="Q2380" i="8"/>
  <c r="Q1822" i="8"/>
  <c r="Q1833" i="8"/>
  <c r="Q1843" i="8"/>
  <c r="Q1854" i="8"/>
  <c r="Q1868" i="8"/>
  <c r="Q1900" i="8"/>
  <c r="Q1927" i="8"/>
  <c r="Q1939" i="8"/>
  <c r="Q1947" i="8"/>
  <c r="Q1980" i="8"/>
  <c r="Q2007" i="8"/>
  <c r="Q2015" i="8"/>
  <c r="Q2044" i="8"/>
  <c r="Q2071" i="8"/>
  <c r="Q2079" i="8"/>
  <c r="Q2108" i="8"/>
  <c r="Q2123" i="8"/>
  <c r="Q2131" i="8"/>
  <c r="Q2148" i="8"/>
  <c r="Q2172" i="8"/>
  <c r="Q2183" i="8"/>
  <c r="Q2203" i="8"/>
  <c r="Q2216" i="8"/>
  <c r="Q2236" i="8"/>
  <c r="Q2247" i="8"/>
  <c r="Q2267" i="8"/>
  <c r="Q2280" i="8"/>
  <c r="Q2300" i="8"/>
  <c r="Q2311" i="8"/>
  <c r="Q2331" i="8"/>
  <c r="Q2375" i="8"/>
  <c r="Q1163" i="8"/>
  <c r="Q1179" i="8"/>
  <c r="Q1195" i="8"/>
  <c r="Q1211" i="8"/>
  <c r="Q1227" i="8"/>
  <c r="Q1243" i="8"/>
  <c r="Q1262" i="8"/>
  <c r="Q1273" i="8"/>
  <c r="Q1290" i="8"/>
  <c r="Q1322" i="8"/>
  <c r="Q1339" i="8"/>
  <c r="Q1358" i="8"/>
  <c r="Q1390" i="8"/>
  <c r="Q1401" i="8"/>
  <c r="Q1418" i="8"/>
  <c r="Q1450" i="8"/>
  <c r="Q1467" i="8"/>
  <c r="Q1486" i="8"/>
  <c r="Q1518" i="8"/>
  <c r="Q1529" i="8"/>
  <c r="Q1546" i="8"/>
  <c r="Q1561" i="8"/>
  <c r="Q1571" i="8"/>
  <c r="Q1582" i="8"/>
  <c r="Q1596" i="8"/>
  <c r="Q1613" i="8"/>
  <c r="Q1623" i="8"/>
  <c r="Q1634" i="8"/>
  <c r="Q1645" i="8"/>
  <c r="Q1656" i="8"/>
  <c r="Q1678" i="8"/>
  <c r="Q1689" i="8"/>
  <c r="Q1699" i="8"/>
  <c r="Q1710" i="8"/>
  <c r="Q1724" i="8"/>
  <c r="Q1741" i="8"/>
  <c r="Q1751" i="8"/>
  <c r="Q1762" i="8"/>
  <c r="Q1773" i="8"/>
  <c r="Q1784" i="8"/>
  <c r="Q1806" i="8"/>
  <c r="Q1818" i="8"/>
  <c r="Q1091" i="8"/>
  <c r="Q1107" i="8"/>
  <c r="Q1122" i="8"/>
  <c r="Q1138" i="8"/>
  <c r="Q1154" i="8"/>
  <c r="Q1170" i="8"/>
  <c r="Q1186" i="8"/>
  <c r="Q1202" i="8"/>
  <c r="Q1218" i="8"/>
  <c r="Q1234" i="8"/>
  <c r="Q1253" i="8"/>
  <c r="Q1264" i="8"/>
  <c r="Q1284" i="8"/>
  <c r="Q1295" i="8"/>
  <c r="Q1305" i="8"/>
  <c r="Q1316" i="8"/>
  <c r="Q1327" i="8"/>
  <c r="Q1349" i="8"/>
  <c r="Q1360" i="8"/>
  <c r="Q1371" i="8"/>
  <c r="Q1381" i="8"/>
  <c r="Q1392" i="8"/>
  <c r="Q1412" i="8"/>
  <c r="Q1423" i="8"/>
  <c r="Q1433" i="8"/>
  <c r="Q1444" i="8"/>
  <c r="Q1455" i="8"/>
  <c r="Q1477" i="8"/>
  <c r="Q1488" i="8"/>
  <c r="Q1499" i="8"/>
  <c r="Q1509" i="8"/>
  <c r="Q1520" i="8"/>
  <c r="Q1540" i="8"/>
  <c r="Q1550" i="8"/>
  <c r="Q1576" i="8"/>
  <c r="Q1598" i="8"/>
  <c r="Q1612" i="8"/>
  <c r="Q1644" i="8"/>
  <c r="Q1661" i="8"/>
  <c r="Q1672" i="8"/>
  <c r="Q1704" i="8"/>
  <c r="Q1726" i="8"/>
  <c r="Q1740" i="8"/>
  <c r="Q1772" i="8"/>
  <c r="Q1789" i="8"/>
  <c r="Q1800" i="8"/>
  <c r="Q1084" i="8"/>
  <c r="Q1100" i="8"/>
  <c r="Q1113" i="8"/>
  <c r="Q1129" i="8"/>
  <c r="Q1145" i="8"/>
  <c r="Q1161" i="8"/>
  <c r="Q1177" i="8"/>
  <c r="Q1193" i="8"/>
  <c r="Q1209" i="8"/>
  <c r="Q1225" i="8"/>
  <c r="Q1239" i="8"/>
  <c r="Q1250" i="8"/>
  <c r="Q1272" i="8"/>
  <c r="Q1286" i="8"/>
  <c r="Q1318" i="8"/>
  <c r="Q1335" i="8"/>
  <c r="Q1346" i="8"/>
  <c r="Q1378" i="8"/>
  <c r="Q1400" i="8"/>
  <c r="Q1414" i="8"/>
  <c r="Q1446" i="8"/>
  <c r="Q1463" i="8"/>
  <c r="Q1474" i="8"/>
  <c r="Q1506" i="8"/>
  <c r="Q1528" i="8"/>
  <c r="Q1542" i="8"/>
  <c r="Q1559" i="8"/>
  <c r="Q1570" i="8"/>
  <c r="Q1581" i="8"/>
  <c r="Q1592" i="8"/>
  <c r="Q1614" i="8"/>
  <c r="Q1625" i="8"/>
  <c r="Q1635" i="8"/>
  <c r="Q1646" i="8"/>
  <c r="Q1660" i="8"/>
  <c r="Q1677" i="8"/>
  <c r="Q1687" i="8"/>
  <c r="Q1698" i="8"/>
  <c r="Q1709" i="8"/>
  <c r="Q1720" i="8"/>
  <c r="Q1742" i="8"/>
  <c r="Q1753" i="8"/>
  <c r="Q1763" i="8"/>
  <c r="Q1774" i="8"/>
  <c r="Q1788" i="8"/>
  <c r="Q1805" i="8"/>
  <c r="Q1815" i="8"/>
  <c r="Q1840" i="8"/>
  <c r="Q1867" i="8"/>
  <c r="Q1878" i="8"/>
  <c r="Q1889" i="8"/>
  <c r="Q1899" i="8"/>
  <c r="Q1910" i="8"/>
  <c r="Q1921" i="8"/>
  <c r="Q1949" i="8"/>
  <c r="Q1957" i="8"/>
  <c r="Q1965" i="8"/>
  <c r="Q1986" i="8"/>
  <c r="Q1994" i="8"/>
  <c r="Q2002" i="8"/>
  <c r="Q2021" i="8"/>
  <c r="Q2029" i="8"/>
  <c r="Q2050" i="8"/>
  <c r="Q2058" i="8"/>
  <c r="Q2066" i="8"/>
  <c r="Q2085" i="8"/>
  <c r="Q2093" i="8"/>
  <c r="Q2110" i="8"/>
  <c r="Q2133" i="8"/>
  <c r="Q2150" i="8"/>
  <c r="Q2158" i="8"/>
  <c r="Q2178" i="8"/>
  <c r="Q2189" i="8"/>
  <c r="Q2209" i="8"/>
  <c r="Q2222" i="8"/>
  <c r="Q2242" i="8"/>
  <c r="Q2253" i="8"/>
  <c r="Q2273" i="8"/>
  <c r="Q2286" i="8"/>
  <c r="Q2306" i="8"/>
  <c r="Q2317" i="8"/>
  <c r="Q2337" i="8"/>
  <c r="Q2350" i="8"/>
  <c r="Q2370" i="8"/>
  <c r="Q2381" i="8"/>
  <c r="Q1826" i="8"/>
  <c r="Q1837" i="8"/>
  <c r="Q1847" i="8"/>
  <c r="Q1858" i="8"/>
  <c r="Q1880" i="8"/>
  <c r="Q1912" i="8"/>
  <c r="Q1934" i="8"/>
  <c r="Q1942" i="8"/>
  <c r="Q1975" i="8"/>
  <c r="Q1983" i="8"/>
  <c r="Q2012" i="8"/>
  <c r="Q2039" i="8"/>
  <c r="Q2047" i="8"/>
  <c r="Q2076" i="8"/>
  <c r="Q2103" i="8"/>
  <c r="Q2120" i="8"/>
  <c r="Q2128" i="8"/>
  <c r="Q2143" i="8"/>
  <c r="Q2164" i="8"/>
  <c r="Q2175" i="8"/>
  <c r="Q2195" i="8"/>
  <c r="Q2208" i="8"/>
  <c r="Q2228" i="8"/>
  <c r="Q2239" i="8"/>
  <c r="Q2259" i="8"/>
  <c r="Q2272" i="8"/>
  <c r="Q2292" i="8"/>
  <c r="Q2303" i="8"/>
  <c r="Q2323" i="8"/>
  <c r="Q2336" i="8"/>
  <c r="Q2356" i="8"/>
  <c r="Q2367" i="8"/>
  <c r="Q2387" i="8"/>
  <c r="Q1844" i="8"/>
  <c r="Q1866" i="8"/>
  <c r="Q1877" i="8"/>
  <c r="Q1887" i="8"/>
  <c r="Q1898" i="8"/>
  <c r="Q1909" i="8"/>
  <c r="Q1919" i="8"/>
  <c r="Q1933" i="8"/>
  <c r="Q1954" i="8"/>
  <c r="Q1962" i="8"/>
  <c r="Q1970" i="8"/>
  <c r="Q1989" i="8"/>
  <c r="Q1997" i="8"/>
  <c r="Q2018" i="8"/>
  <c r="Q2026" i="8"/>
  <c r="Q2034" i="8"/>
  <c r="Q2053" i="8"/>
  <c r="Q2061" i="8"/>
  <c r="Q2082" i="8"/>
  <c r="Q2090" i="8"/>
  <c r="Q2098" i="8"/>
  <c r="Q2113" i="8"/>
  <c r="Q2138" i="8"/>
  <c r="Q2153" i="8"/>
  <c r="Q2166" i="8"/>
  <c r="Q2186" i="8"/>
  <c r="Q2197" i="8"/>
  <c r="Q2217" i="8"/>
  <c r="Q2230" i="8"/>
  <c r="Q2250" i="8"/>
  <c r="Q2261" i="8"/>
  <c r="Q2281" i="8"/>
  <c r="Q2294" i="8"/>
  <c r="Q2314" i="8"/>
  <c r="Q2325" i="8"/>
  <c r="Q2345" i="8"/>
  <c r="Q2358" i="8"/>
  <c r="Q2378" i="8"/>
  <c r="Q1819" i="8"/>
  <c r="Q1830" i="8"/>
  <c r="Q1841" i="8"/>
  <c r="Q1851" i="8"/>
  <c r="Q1862" i="8"/>
  <c r="Q1892" i="8"/>
  <c r="Q1924" i="8"/>
  <c r="Q1937" i="8"/>
  <c r="Q1945" i="8"/>
  <c r="Q1978" i="8"/>
  <c r="Q2005" i="8"/>
  <c r="Q2013" i="8"/>
  <c r="Q2042" i="8"/>
  <c r="Q2069" i="8"/>
  <c r="Q2077" i="8"/>
  <c r="Q2106" i="8"/>
  <c r="Q2121" i="8"/>
  <c r="Q2129" i="8"/>
  <c r="Q2146" i="8"/>
  <c r="Q2170" i="8"/>
  <c r="Q2181" i="8"/>
  <c r="Q2201" i="8"/>
  <c r="Q2214" i="8"/>
  <c r="Q2234" i="8"/>
  <c r="Q2245" i="8"/>
  <c r="Q2265" i="8"/>
  <c r="Q2278" i="8"/>
  <c r="Q2298" i="8"/>
  <c r="Q2309" i="8"/>
  <c r="Q2329" i="8"/>
  <c r="Q2342" i="8"/>
  <c r="Q2362" i="8"/>
  <c r="Q1175" i="8"/>
  <c r="Q1191" i="8"/>
  <c r="Q1207" i="8"/>
  <c r="Q1223" i="8"/>
  <c r="Q1240" i="8"/>
  <c r="Q1254" i="8"/>
  <c r="Q1271" i="8"/>
  <c r="Q1282" i="8"/>
  <c r="Q1314" i="8"/>
  <c r="Q1336" i="8"/>
  <c r="Q1350" i="8"/>
  <c r="Q1382" i="8"/>
  <c r="Q1399" i="8"/>
  <c r="Q1410" i="8"/>
  <c r="Q1442" i="8"/>
  <c r="Q1464" i="8"/>
  <c r="Q1478" i="8"/>
  <c r="Q1510" i="8"/>
  <c r="Q1527" i="8"/>
  <c r="Q1538" i="8"/>
  <c r="Q1558" i="8"/>
  <c r="Q1569" i="8"/>
  <c r="Q1579" i="8"/>
  <c r="Q1590" i="8"/>
  <c r="Q1610" i="8"/>
  <c r="Q1621" i="8"/>
  <c r="Q1631" i="8"/>
  <c r="Q1642" i="8"/>
  <c r="Q1653" i="8"/>
  <c r="Q1675" i="8"/>
  <c r="Q1686" i="8"/>
  <c r="Q1697" i="8"/>
  <c r="Q1707" i="8"/>
  <c r="Q1718" i="8"/>
  <c r="Q1738" i="8"/>
  <c r="Q1749" i="8"/>
  <c r="Q1759" i="8"/>
  <c r="Q1770" i="8"/>
  <c r="Q1781" i="8"/>
  <c r="Q1803" i="8"/>
  <c r="Q1814" i="8"/>
  <c r="Q1088" i="8"/>
  <c r="Q1104" i="8"/>
  <c r="Q1118" i="8"/>
  <c r="Q1134" i="8"/>
  <c r="Q1150" i="8"/>
  <c r="Q1166" i="8"/>
  <c r="Q1182" i="8"/>
  <c r="Q1198" i="8"/>
  <c r="Q1214" i="8"/>
  <c r="Q1230" i="8"/>
  <c r="Q1251" i="8"/>
  <c r="Q1261" i="8"/>
  <c r="Q1281" i="8"/>
  <c r="Q1292" i="8"/>
  <c r="Q1303" i="8"/>
  <c r="Q1313" i="8"/>
  <c r="Q1324" i="8"/>
  <c r="Q1347" i="8"/>
  <c r="Q1357" i="8"/>
  <c r="Q1368" i="8"/>
  <c r="Q1379" i="8"/>
  <c r="Q1389" i="8"/>
  <c r="Q1409" i="8"/>
  <c r="Q1420" i="8"/>
  <c r="Q1431" i="8"/>
  <c r="Q1441" i="8"/>
  <c r="Q1452" i="8"/>
  <c r="Q1475" i="8"/>
  <c r="Q1485" i="8"/>
  <c r="Q1496" i="8"/>
  <c r="Q1507" i="8"/>
  <c r="Q1517" i="8"/>
  <c r="Q1537" i="8"/>
  <c r="Q1548" i="8"/>
  <c r="Q1568" i="8"/>
  <c r="Q1595" i="8"/>
  <c r="Q1606" i="8"/>
  <c r="Q1636" i="8"/>
  <c r="Q1658" i="8"/>
  <c r="Q1669" i="8"/>
  <c r="Q1696" i="8"/>
  <c r="Q1723" i="8"/>
  <c r="Q1734" i="8"/>
  <c r="Q1764" i="8"/>
  <c r="Q1786" i="8"/>
  <c r="Q1797" i="8"/>
  <c r="Q1077" i="8"/>
  <c r="Q1093" i="8"/>
  <c r="Q1109" i="8"/>
  <c r="Q1125" i="8"/>
  <c r="Q1141" i="8"/>
  <c r="Q1157" i="8"/>
  <c r="Q1173" i="8"/>
  <c r="Q1189" i="8"/>
  <c r="Q1205" i="8"/>
  <c r="Q1221" i="8"/>
  <c r="Q1237" i="8"/>
  <c r="Q1247" i="8"/>
  <c r="Q1269" i="8"/>
  <c r="Q1280" i="8"/>
  <c r="Q1310" i="8"/>
  <c r="Q1332" i="8"/>
  <c r="Q1343" i="8"/>
  <c r="Q1370" i="8"/>
  <c r="Q1397" i="8"/>
  <c r="Q1408" i="8"/>
  <c r="Q1438" i="8"/>
  <c r="Q1460" i="8"/>
  <c r="Q1471" i="8"/>
  <c r="Q1498" i="8"/>
  <c r="Q1525" i="8"/>
  <c r="Q1536" i="8"/>
  <c r="Q1557" i="8"/>
  <c r="Q1567" i="8"/>
  <c r="Q1578" i="8"/>
  <c r="Q1589" i="8"/>
  <c r="Q1611" i="8"/>
  <c r="Q1622" i="8"/>
  <c r="Q1633" i="8"/>
  <c r="Q1643" i="8"/>
  <c r="Q1654" i="8"/>
  <c r="Q1674" i="8"/>
  <c r="Q1685" i="8"/>
  <c r="Q1695" i="8"/>
  <c r="Q1706" i="8"/>
  <c r="Q1717" i="8"/>
  <c r="Q1739" i="8"/>
  <c r="Q1750" i="8"/>
  <c r="Q1761" i="8"/>
  <c r="Q1771" i="8"/>
  <c r="Q1782" i="8"/>
  <c r="Q1802" i="8"/>
  <c r="Q1813" i="8"/>
  <c r="Q1832" i="8"/>
  <c r="Q1865" i="8"/>
  <c r="Q1875" i="8"/>
  <c r="Q1886" i="8"/>
  <c r="Q1897" i="8"/>
  <c r="Q1907" i="8"/>
  <c r="Q1918" i="8"/>
  <c r="Q1932" i="8"/>
  <c r="Q1955" i="8"/>
  <c r="Q1963" i="8"/>
  <c r="Q1971" i="8"/>
  <c r="Q1992" i="8"/>
  <c r="Q2000" i="8"/>
  <c r="Q2019" i="8"/>
  <c r="Q2027" i="8"/>
  <c r="Q2035" i="8"/>
  <c r="Q2056" i="8"/>
  <c r="Q2064" i="8"/>
  <c r="Q2083" i="8"/>
  <c r="Q2091" i="8"/>
  <c r="Q2099" i="8"/>
  <c r="Q2116" i="8"/>
  <c r="Q2139" i="8"/>
  <c r="Q2156" i="8"/>
  <c r="Q2167" i="8"/>
  <c r="Q2187" i="8"/>
  <c r="Q2200" i="8"/>
  <c r="Q2220" i="8"/>
  <c r="Q2231" i="8"/>
  <c r="Q2251" i="8"/>
  <c r="Q2264" i="8"/>
  <c r="Q2284" i="8"/>
  <c r="Q2295" i="8"/>
  <c r="Q2315" i="8"/>
  <c r="Q2328" i="8"/>
  <c r="Q2348" i="8"/>
  <c r="Q2359" i="8"/>
  <c r="Q2379" i="8"/>
  <c r="Q1823" i="8"/>
  <c r="Q1834" i="8"/>
  <c r="Q1845" i="8"/>
  <c r="Q1855" i="8"/>
  <c r="Q1872" i="8"/>
  <c r="Q1904" i="8"/>
  <c r="Q1931" i="8"/>
  <c r="Q1940" i="8"/>
  <c r="Q1973" i="8"/>
  <c r="Q1981" i="8"/>
  <c r="Q2010" i="8"/>
  <c r="Q2037" i="8"/>
  <c r="Q2045" i="8"/>
  <c r="Q2074" i="8"/>
  <c r="Q2101" i="8"/>
  <c r="Q2118" i="8"/>
  <c r="Q2126" i="8"/>
  <c r="Q2141" i="8"/>
  <c r="Q2162" i="8"/>
  <c r="Q2173" i="8"/>
  <c r="Q2193" i="8"/>
  <c r="Q2206" i="8"/>
  <c r="Q2226" i="8"/>
  <c r="Q2237" i="8"/>
  <c r="Q2257" i="8"/>
  <c r="Q2270" i="8"/>
  <c r="Q2290" i="8"/>
  <c r="Q2301" i="8"/>
  <c r="Q2321" i="8"/>
  <c r="Q2334" i="8"/>
  <c r="Q2354" i="8"/>
  <c r="Q2365" i="8"/>
  <c r="Q2385" i="8"/>
  <c r="Q1836" i="8"/>
  <c r="Q1863" i="8"/>
  <c r="Q1874" i="8"/>
  <c r="Q1885" i="8"/>
  <c r="Q1895" i="8"/>
  <c r="Q1906" i="8"/>
  <c r="Q1917" i="8"/>
  <c r="Q1928" i="8"/>
  <c r="Q1952" i="8"/>
  <c r="Q1960" i="8"/>
  <c r="Q1968" i="8"/>
  <c r="Q1987" i="8"/>
  <c r="Q1995" i="8"/>
  <c r="Q2003" i="8"/>
  <c r="Q2024" i="8"/>
  <c r="Q2032" i="8"/>
  <c r="Q2051" i="8"/>
  <c r="Q2059" i="8"/>
  <c r="Q2067" i="8"/>
  <c r="Q2088" i="8"/>
  <c r="Q2096" i="8"/>
  <c r="Q2111" i="8"/>
  <c r="Q2136" i="8"/>
  <c r="Q2151" i="8"/>
  <c r="Q2159" i="8"/>
  <c r="Q2179" i="8"/>
  <c r="Q2192" i="8"/>
  <c r="Q2212" i="8"/>
  <c r="Q2223" i="8"/>
  <c r="Q2243" i="8"/>
  <c r="Q2256" i="8"/>
  <c r="Q2276" i="8"/>
  <c r="Q2287" i="8"/>
  <c r="Q2307" i="8"/>
  <c r="Q2320" i="8"/>
  <c r="Q2340" i="8"/>
  <c r="Q2351" i="8"/>
  <c r="Q2371" i="8"/>
  <c r="Q2384" i="8"/>
  <c r="Q1827" i="8"/>
  <c r="Q1838" i="8"/>
  <c r="Q1849" i="8"/>
  <c r="Q1859" i="8"/>
  <c r="Q1884" i="8"/>
  <c r="Q1916" i="8"/>
  <c r="Q1935" i="8"/>
  <c r="Q1943" i="8"/>
  <c r="Q1976" i="8"/>
  <c r="Q1984" i="8"/>
  <c r="Q2011" i="8"/>
  <c r="Q2040" i="8"/>
  <c r="Q2048" i="8"/>
  <c r="Q2075" i="8"/>
  <c r="Q2104" i="8"/>
  <c r="Q2119" i="8"/>
  <c r="Q2127" i="8"/>
  <c r="Q2144" i="8"/>
  <c r="Q2163" i="8"/>
  <c r="Q2176" i="8"/>
  <c r="Q2196" i="8"/>
  <c r="Q2207" i="8"/>
  <c r="Q2227" i="8"/>
  <c r="Q2240" i="8"/>
  <c r="Q2260" i="8"/>
  <c r="Q2271" i="8"/>
  <c r="Q2291" i="8"/>
  <c r="Q2304" i="8"/>
  <c r="Q2324" i="8"/>
  <c r="Q2335" i="8"/>
  <c r="Q2355" i="8"/>
  <c r="Q2368" i="8"/>
  <c r="Q2388" i="8"/>
  <c r="Q2269" i="8"/>
  <c r="Q2302" i="8"/>
  <c r="Q2333" i="8"/>
  <c r="Q2366" i="8"/>
  <c r="Q2344" i="8"/>
  <c r="Q2373" i="8"/>
  <c r="B30" i="5"/>
  <c r="C30" i="5" s="1"/>
  <c r="C34" i="5" s="1"/>
  <c r="C19" i="5"/>
  <c r="BI1" i="12" s="1"/>
  <c r="U1" i="12" s="1"/>
  <c r="P18" i="5" l="1"/>
  <c r="J58" i="19"/>
  <c r="K58" i="19"/>
  <c r="L58" i="19" s="1"/>
  <c r="D59" i="19"/>
  <c r="A9" i="16"/>
  <c r="AJ3" i="12"/>
  <c r="AF3" i="12" s="1"/>
  <c r="AH3" i="12" s="1"/>
  <c r="G1" i="11"/>
  <c r="S2" i="8"/>
  <c r="D60" i="19" l="1"/>
  <c r="J59" i="19"/>
  <c r="K59" i="19"/>
  <c r="L59" i="19" s="1"/>
  <c r="A8" i="16"/>
  <c r="A7" i="16" s="1"/>
  <c r="A6" i="16" s="1"/>
  <c r="A5" i="16" s="1"/>
  <c r="A4" i="16" s="1"/>
  <c r="A3" i="16" s="1"/>
  <c r="A2" i="16" s="1"/>
  <c r="A10" i="16"/>
  <c r="A11" i="16" s="1"/>
  <c r="A12" i="16" s="1"/>
  <c r="A13" i="16" s="1"/>
  <c r="A14" i="16" s="1"/>
  <c r="A15" i="16" s="1"/>
  <c r="A16" i="16" s="1"/>
  <c r="A17" i="16" s="1"/>
  <c r="A18" i="16" s="1"/>
  <c r="A19" i="16" s="1"/>
  <c r="A20" i="16" s="1"/>
  <c r="A21" i="16" s="1"/>
  <c r="A22" i="16" s="1"/>
  <c r="A23" i="16" s="1"/>
  <c r="A24" i="16" s="1"/>
  <c r="A25" i="16" s="1"/>
  <c r="A26" i="16" s="1"/>
  <c r="A27" i="16" s="1"/>
  <c r="A28" i="16" s="1"/>
  <c r="A29" i="16" s="1"/>
  <c r="A30" i="16" s="1"/>
  <c r="A31" i="16" s="1"/>
  <c r="A32" i="16" s="1"/>
  <c r="A33" i="16" s="1"/>
  <c r="A34" i="16" s="1"/>
  <c r="A35" i="16" s="1"/>
  <c r="A36" i="16" s="1"/>
  <c r="A37" i="16" s="1"/>
  <c r="A38" i="16" s="1"/>
  <c r="A39" i="16" s="1"/>
  <c r="A40" i="16" s="1"/>
  <c r="D4" i="11"/>
  <c r="D5" i="11"/>
  <c r="D9" i="11"/>
  <c r="D13" i="11"/>
  <c r="D17" i="11"/>
  <c r="D21" i="11"/>
  <c r="D25" i="11"/>
  <c r="D29" i="11"/>
  <c r="B89" i="21" s="1"/>
  <c r="D33" i="11"/>
  <c r="B93" i="21" s="1"/>
  <c r="D37" i="11"/>
  <c r="B97" i="21" s="1"/>
  <c r="E97" i="21" s="1"/>
  <c r="F97" i="21" s="1"/>
  <c r="D41" i="11"/>
  <c r="B101" i="21" s="1"/>
  <c r="E101" i="21" s="1"/>
  <c r="F101" i="21" s="1"/>
  <c r="D6" i="11"/>
  <c r="D10" i="11"/>
  <c r="D14" i="11"/>
  <c r="D18" i="11"/>
  <c r="D22" i="11"/>
  <c r="D26" i="11"/>
  <c r="D43" i="11"/>
  <c r="D32" i="11"/>
  <c r="B92" i="21" s="1"/>
  <c r="D36" i="11"/>
  <c r="B96" i="21" s="1"/>
  <c r="E96" i="21" s="1"/>
  <c r="F96" i="21" s="1"/>
  <c r="D40" i="11"/>
  <c r="B100" i="21" s="1"/>
  <c r="E100" i="21" s="1"/>
  <c r="F100" i="21" s="1"/>
  <c r="D50" i="11"/>
  <c r="D52" i="11"/>
  <c r="K1" i="11"/>
  <c r="L1" i="11"/>
  <c r="D7" i="11"/>
  <c r="D11" i="11"/>
  <c r="D15" i="11"/>
  <c r="D19" i="11"/>
  <c r="D23" i="11"/>
  <c r="D44" i="11"/>
  <c r="D31" i="11"/>
  <c r="B91" i="21" s="1"/>
  <c r="D35" i="11"/>
  <c r="B95" i="21" s="1"/>
  <c r="D39" i="11"/>
  <c r="B99" i="21" s="1"/>
  <c r="E99" i="21" s="1"/>
  <c r="F99" i="21" s="1"/>
  <c r="J1" i="11"/>
  <c r="D8" i="11"/>
  <c r="D12" i="11"/>
  <c r="D16" i="11"/>
  <c r="D20" i="11"/>
  <c r="D24" i="11"/>
  <c r="D30" i="11"/>
  <c r="B90" i="21" s="1"/>
  <c r="D34" i="11"/>
  <c r="B94" i="21" s="1"/>
  <c r="D38" i="11"/>
  <c r="B98" i="21" s="1"/>
  <c r="E98" i="21" s="1"/>
  <c r="F98" i="21" s="1"/>
  <c r="D51" i="11"/>
  <c r="D53" i="11"/>
  <c r="J60" i="19" l="1"/>
  <c r="K60" i="19"/>
  <c r="L60" i="19" s="1"/>
  <c r="D61" i="19"/>
  <c r="D2" i="16"/>
  <c r="J2" i="16" s="1"/>
  <c r="A41" i="16"/>
  <c r="D40" i="16"/>
  <c r="K20" i="11"/>
  <c r="B140" i="21" s="1"/>
  <c r="L20" i="11"/>
  <c r="B200" i="21" s="1"/>
  <c r="J20" i="11"/>
  <c r="B20" i="21" s="1"/>
  <c r="B80" i="21"/>
  <c r="J31" i="11"/>
  <c r="B31" i="21" s="1"/>
  <c r="J35" i="11"/>
  <c r="B35" i="21" s="1"/>
  <c r="J39" i="11"/>
  <c r="B39" i="21" s="1"/>
  <c r="E39" i="21" s="1"/>
  <c r="F39" i="21" s="1"/>
  <c r="J53" i="11"/>
  <c r="B53" i="21" s="1"/>
  <c r="J30" i="11"/>
  <c r="B30" i="21" s="1"/>
  <c r="J34" i="11"/>
  <c r="B34" i="21" s="1"/>
  <c r="J38" i="11"/>
  <c r="B38" i="21" s="1"/>
  <c r="E38" i="21" s="1"/>
  <c r="F38" i="21" s="1"/>
  <c r="J52" i="11"/>
  <c r="B52" i="21" s="1"/>
  <c r="J29" i="11"/>
  <c r="B29" i="21" s="1"/>
  <c r="J33" i="11"/>
  <c r="B33" i="21" s="1"/>
  <c r="J37" i="11"/>
  <c r="B37" i="21" s="1"/>
  <c r="E37" i="21" s="1"/>
  <c r="F37" i="21" s="1"/>
  <c r="J41" i="11"/>
  <c r="B41" i="21" s="1"/>
  <c r="E41" i="21" s="1"/>
  <c r="F41" i="21" s="1"/>
  <c r="J51" i="11"/>
  <c r="B51" i="21" s="1"/>
  <c r="J32" i="11"/>
  <c r="B32" i="21" s="1"/>
  <c r="J36" i="11"/>
  <c r="B36" i="21" s="1"/>
  <c r="E36" i="21" s="1"/>
  <c r="F36" i="21" s="1"/>
  <c r="J40" i="11"/>
  <c r="B40" i="21" s="1"/>
  <c r="E40" i="21" s="1"/>
  <c r="F40" i="21" s="1"/>
  <c r="J50" i="11"/>
  <c r="B50" i="21" s="1"/>
  <c r="J44" i="11"/>
  <c r="B44" i="21" s="1"/>
  <c r="B104" i="21"/>
  <c r="K44" i="11"/>
  <c r="B164" i="21" s="1"/>
  <c r="L44" i="11"/>
  <c r="B224" i="21" s="1"/>
  <c r="B71" i="21"/>
  <c r="J11" i="11"/>
  <c r="B11" i="21" s="1"/>
  <c r="K11" i="11"/>
  <c r="B131" i="21" s="1"/>
  <c r="L11" i="11"/>
  <c r="B191" i="21" s="1"/>
  <c r="B112" i="21"/>
  <c r="F52" i="11"/>
  <c r="K52" i="11" s="1"/>
  <c r="B172" i="21" s="1"/>
  <c r="J18" i="11"/>
  <c r="B18" i="21" s="1"/>
  <c r="K18" i="11"/>
  <c r="B138" i="21" s="1"/>
  <c r="L18" i="11"/>
  <c r="B198" i="21" s="1"/>
  <c r="B78" i="21"/>
  <c r="B85" i="21"/>
  <c r="K25" i="11"/>
  <c r="B145" i="21" s="1"/>
  <c r="L25" i="11"/>
  <c r="B205" i="21" s="1"/>
  <c r="J25" i="11"/>
  <c r="B25" i="21" s="1"/>
  <c r="B69" i="21"/>
  <c r="K9" i="11"/>
  <c r="B129" i="21" s="1"/>
  <c r="L9" i="11"/>
  <c r="B189" i="21" s="1"/>
  <c r="J9" i="11"/>
  <c r="B9" i="21" s="1"/>
  <c r="F51" i="11"/>
  <c r="K51" i="11" s="1"/>
  <c r="B171" i="21" s="1"/>
  <c r="B111" i="21"/>
  <c r="K24" i="11"/>
  <c r="B144" i="21" s="1"/>
  <c r="L24" i="11"/>
  <c r="B204" i="21" s="1"/>
  <c r="J24" i="11"/>
  <c r="B24" i="21" s="1"/>
  <c r="B84" i="21"/>
  <c r="K8" i="11"/>
  <c r="B128" i="21" s="1"/>
  <c r="L8" i="11"/>
  <c r="B188" i="21" s="1"/>
  <c r="J8" i="11"/>
  <c r="B8" i="21" s="1"/>
  <c r="B68" i="21"/>
  <c r="B75" i="21"/>
  <c r="J15" i="11"/>
  <c r="B15" i="21" s="1"/>
  <c r="K15" i="11"/>
  <c r="B135" i="21" s="1"/>
  <c r="L15" i="11"/>
  <c r="B195" i="21" s="1"/>
  <c r="K31" i="11"/>
  <c r="B151" i="21" s="1"/>
  <c r="K35" i="11"/>
  <c r="B155" i="21" s="1"/>
  <c r="K39" i="11"/>
  <c r="B159" i="21" s="1"/>
  <c r="E159" i="21" s="1"/>
  <c r="F159" i="21" s="1"/>
  <c r="K30" i="11"/>
  <c r="B150" i="21" s="1"/>
  <c r="K34" i="11"/>
  <c r="B154" i="21" s="1"/>
  <c r="K38" i="11"/>
  <c r="B158" i="21" s="1"/>
  <c r="E158" i="21" s="1"/>
  <c r="F158" i="21" s="1"/>
  <c r="K29" i="11"/>
  <c r="B149" i="21" s="1"/>
  <c r="K33" i="11"/>
  <c r="B153" i="21" s="1"/>
  <c r="K37" i="11"/>
  <c r="B157" i="21" s="1"/>
  <c r="E157" i="21" s="1"/>
  <c r="F157" i="21" s="1"/>
  <c r="K41" i="11"/>
  <c r="B161" i="21" s="1"/>
  <c r="E161" i="21" s="1"/>
  <c r="F161" i="21" s="1"/>
  <c r="K32" i="11"/>
  <c r="B152" i="21" s="1"/>
  <c r="K36" i="11"/>
  <c r="B156" i="21" s="1"/>
  <c r="E156" i="21" s="1"/>
  <c r="F156" i="21" s="1"/>
  <c r="K40" i="11"/>
  <c r="B160" i="21" s="1"/>
  <c r="E160" i="21" s="1"/>
  <c r="F160" i="21" s="1"/>
  <c r="J22" i="11"/>
  <c r="B22" i="21" s="1"/>
  <c r="K22" i="11"/>
  <c r="B142" i="21" s="1"/>
  <c r="L22" i="11"/>
  <c r="B202" i="21" s="1"/>
  <c r="B82" i="21"/>
  <c r="J6" i="11"/>
  <c r="B6" i="21" s="1"/>
  <c r="K6" i="11"/>
  <c r="B126" i="21" s="1"/>
  <c r="L6" i="11"/>
  <c r="B186" i="21" s="1"/>
  <c r="B66" i="21"/>
  <c r="B73" i="21"/>
  <c r="K13" i="11"/>
  <c r="B133" i="21" s="1"/>
  <c r="L13" i="11"/>
  <c r="B193" i="21" s="1"/>
  <c r="J13" i="11"/>
  <c r="B13" i="21" s="1"/>
  <c r="B113" i="21"/>
  <c r="F53" i="11"/>
  <c r="K53" i="11" s="1"/>
  <c r="B173" i="21" s="1"/>
  <c r="K12" i="11"/>
  <c r="B132" i="21" s="1"/>
  <c r="L12" i="11"/>
  <c r="B192" i="21" s="1"/>
  <c r="J12" i="11"/>
  <c r="B12" i="21" s="1"/>
  <c r="B72" i="21"/>
  <c r="B79" i="21"/>
  <c r="J19" i="11"/>
  <c r="B19" i="21" s="1"/>
  <c r="K19" i="11"/>
  <c r="B139" i="21" s="1"/>
  <c r="L19" i="11"/>
  <c r="B199" i="21" s="1"/>
  <c r="L31" i="11"/>
  <c r="B211" i="21" s="1"/>
  <c r="L35" i="11"/>
  <c r="B215" i="21" s="1"/>
  <c r="L39" i="11"/>
  <c r="B219" i="21" s="1"/>
  <c r="E219" i="21" s="1"/>
  <c r="F219" i="21" s="1"/>
  <c r="L30" i="11"/>
  <c r="B210" i="21" s="1"/>
  <c r="L34" i="11"/>
  <c r="B214" i="21" s="1"/>
  <c r="L38" i="11"/>
  <c r="B218" i="21" s="1"/>
  <c r="E218" i="21" s="1"/>
  <c r="F218" i="21" s="1"/>
  <c r="L50" i="11"/>
  <c r="B230" i="21" s="1"/>
  <c r="L52" i="11"/>
  <c r="B232" i="21" s="1"/>
  <c r="L29" i="11"/>
  <c r="B209" i="21" s="1"/>
  <c r="L33" i="11"/>
  <c r="B213" i="21" s="1"/>
  <c r="L37" i="11"/>
  <c r="B217" i="21" s="1"/>
  <c r="E217" i="21" s="1"/>
  <c r="F217" i="21" s="1"/>
  <c r="L41" i="11"/>
  <c r="B221" i="21" s="1"/>
  <c r="E221" i="21" s="1"/>
  <c r="F221" i="21" s="1"/>
  <c r="L32" i="11"/>
  <c r="B212" i="21" s="1"/>
  <c r="L36" i="11"/>
  <c r="B216" i="21" s="1"/>
  <c r="E216" i="21" s="1"/>
  <c r="F216" i="21" s="1"/>
  <c r="L40" i="11"/>
  <c r="B220" i="21" s="1"/>
  <c r="E220" i="21" s="1"/>
  <c r="F220" i="21" s="1"/>
  <c r="L51" i="11"/>
  <c r="B231" i="21" s="1"/>
  <c r="L53" i="11"/>
  <c r="B233" i="21" s="1"/>
  <c r="J26" i="11"/>
  <c r="B26" i="21" s="1"/>
  <c r="K26" i="11"/>
  <c r="B146" i="21" s="1"/>
  <c r="L26" i="11"/>
  <c r="B206" i="21" s="1"/>
  <c r="B86" i="21"/>
  <c r="J10" i="11"/>
  <c r="B10" i="21" s="1"/>
  <c r="K10" i="11"/>
  <c r="B130" i="21" s="1"/>
  <c r="L10" i="11"/>
  <c r="B190" i="21" s="1"/>
  <c r="B70" i="21"/>
  <c r="B77" i="21"/>
  <c r="K17" i="11"/>
  <c r="B137" i="21" s="1"/>
  <c r="L17" i="11"/>
  <c r="B197" i="21" s="1"/>
  <c r="J17" i="11"/>
  <c r="B17" i="21" s="1"/>
  <c r="K4" i="11"/>
  <c r="B124" i="21" s="1"/>
  <c r="L4" i="11"/>
  <c r="B184" i="21" s="1"/>
  <c r="J4" i="11"/>
  <c r="B4" i="21" s="1"/>
  <c r="B64" i="21"/>
  <c r="K16" i="11"/>
  <c r="B136" i="21" s="1"/>
  <c r="L16" i="11"/>
  <c r="B196" i="21" s="1"/>
  <c r="J16" i="11"/>
  <c r="B16" i="21" s="1"/>
  <c r="B76" i="21"/>
  <c r="B83" i="21"/>
  <c r="J23" i="11"/>
  <c r="B23" i="21" s="1"/>
  <c r="K23" i="11"/>
  <c r="B143" i="21" s="1"/>
  <c r="L23" i="11"/>
  <c r="B203" i="21" s="1"/>
  <c r="B67" i="21"/>
  <c r="J7" i="11"/>
  <c r="B7" i="21" s="1"/>
  <c r="K7" i="11"/>
  <c r="B127" i="21" s="1"/>
  <c r="L7" i="11"/>
  <c r="B187" i="21" s="1"/>
  <c r="B110" i="21"/>
  <c r="F50" i="11"/>
  <c r="K50" i="11" s="1"/>
  <c r="B170" i="21" s="1"/>
  <c r="J43" i="11"/>
  <c r="B43" i="21" s="1"/>
  <c r="K43" i="11"/>
  <c r="B163" i="21" s="1"/>
  <c r="L43" i="11"/>
  <c r="B223" i="21" s="1"/>
  <c r="B103" i="21"/>
  <c r="J14" i="11"/>
  <c r="B14" i="21" s="1"/>
  <c r="K14" i="11"/>
  <c r="B134" i="21" s="1"/>
  <c r="L14" i="11"/>
  <c r="B194" i="21" s="1"/>
  <c r="B74" i="21"/>
  <c r="B81" i="21"/>
  <c r="K21" i="11"/>
  <c r="B141" i="21" s="1"/>
  <c r="L21" i="11"/>
  <c r="B201" i="21" s="1"/>
  <c r="J21" i="11"/>
  <c r="B21" i="21" s="1"/>
  <c r="B65" i="21"/>
  <c r="K5" i="11"/>
  <c r="B125" i="21" s="1"/>
  <c r="L5" i="11"/>
  <c r="B185" i="21" s="1"/>
  <c r="J5" i="11"/>
  <c r="B5" i="21" s="1"/>
  <c r="E40" i="16"/>
  <c r="D62" i="19" l="1"/>
  <c r="J61" i="19"/>
  <c r="K61" i="19"/>
  <c r="L61" i="19" s="1"/>
  <c r="I2" i="16"/>
  <c r="G2" i="16"/>
  <c r="AB2" i="16" s="1"/>
  <c r="A42" i="16"/>
  <c r="D41" i="16"/>
  <c r="E89" i="21"/>
  <c r="E5" i="21"/>
  <c r="E21" i="21"/>
  <c r="E74" i="21"/>
  <c r="E103" i="21"/>
  <c r="E170" i="21"/>
  <c r="E7" i="21"/>
  <c r="E23" i="21"/>
  <c r="E196" i="21"/>
  <c r="E90" i="21"/>
  <c r="E124" i="21"/>
  <c r="E77" i="21"/>
  <c r="E10" i="21"/>
  <c r="E26" i="21"/>
  <c r="E213" i="21"/>
  <c r="E215" i="21"/>
  <c r="E19" i="21"/>
  <c r="E192" i="21"/>
  <c r="E133" i="21"/>
  <c r="E126" i="21"/>
  <c r="E142" i="21"/>
  <c r="E152" i="21"/>
  <c r="E149" i="21"/>
  <c r="E135" i="21"/>
  <c r="E8" i="21"/>
  <c r="E24" i="21"/>
  <c r="E171" i="21"/>
  <c r="E129" i="21"/>
  <c r="E145" i="21"/>
  <c r="E138" i="21"/>
  <c r="E191" i="21"/>
  <c r="E224" i="21"/>
  <c r="E50" i="21"/>
  <c r="E51" i="21"/>
  <c r="E29" i="21"/>
  <c r="E30" i="21"/>
  <c r="E31" i="21"/>
  <c r="E140" i="21"/>
  <c r="E94" i="21"/>
  <c r="E65" i="21"/>
  <c r="E81" i="21"/>
  <c r="E14" i="21"/>
  <c r="E43" i="21"/>
  <c r="E127" i="21"/>
  <c r="E143" i="21"/>
  <c r="E16" i="21"/>
  <c r="E95" i="21"/>
  <c r="E184" i="21"/>
  <c r="E137" i="21"/>
  <c r="E130" i="21"/>
  <c r="E146" i="21"/>
  <c r="E230" i="21"/>
  <c r="E139" i="21"/>
  <c r="E12" i="21"/>
  <c r="E113" i="21"/>
  <c r="E193" i="21"/>
  <c r="E186" i="21"/>
  <c r="E202" i="21"/>
  <c r="E153" i="21"/>
  <c r="E150" i="21"/>
  <c r="E195" i="21"/>
  <c r="E68" i="21"/>
  <c r="E84" i="21"/>
  <c r="E111" i="21"/>
  <c r="E189" i="21"/>
  <c r="E205" i="21"/>
  <c r="E198" i="21"/>
  <c r="E112" i="21"/>
  <c r="E71" i="21"/>
  <c r="E44" i="21"/>
  <c r="E32" i="21"/>
  <c r="E33" i="21"/>
  <c r="E34" i="21"/>
  <c r="E35" i="21"/>
  <c r="E200" i="21"/>
  <c r="E125" i="21"/>
  <c r="E141" i="21"/>
  <c r="E134" i="21"/>
  <c r="E163" i="21"/>
  <c r="E187" i="21"/>
  <c r="E203" i="21"/>
  <c r="E76" i="21"/>
  <c r="E93" i="21"/>
  <c r="E4" i="21"/>
  <c r="E197" i="21"/>
  <c r="E190" i="21"/>
  <c r="E206" i="21"/>
  <c r="E231" i="21"/>
  <c r="E232" i="21"/>
  <c r="E210" i="21"/>
  <c r="E199" i="21"/>
  <c r="E72" i="21"/>
  <c r="E173" i="21"/>
  <c r="E13" i="21"/>
  <c r="E66" i="21"/>
  <c r="E82" i="21"/>
  <c r="E154" i="21"/>
  <c r="E151" i="21"/>
  <c r="E75" i="21"/>
  <c r="E128" i="21"/>
  <c r="E144" i="21"/>
  <c r="E9" i="21"/>
  <c r="E25" i="21"/>
  <c r="E78" i="21"/>
  <c r="E172" i="21"/>
  <c r="E11" i="21"/>
  <c r="E104" i="21"/>
  <c r="E20" i="21"/>
  <c r="E185" i="21"/>
  <c r="E201" i="21"/>
  <c r="E194" i="21"/>
  <c r="E223" i="21"/>
  <c r="E110" i="21"/>
  <c r="E67" i="21"/>
  <c r="E83" i="21"/>
  <c r="E136" i="21"/>
  <c r="E64" i="21"/>
  <c r="E17" i="21"/>
  <c r="E70" i="21"/>
  <c r="E86" i="21"/>
  <c r="E233" i="21"/>
  <c r="E212" i="21"/>
  <c r="E209" i="21"/>
  <c r="E214" i="21"/>
  <c r="E211" i="21"/>
  <c r="E79" i="21"/>
  <c r="E132" i="21"/>
  <c r="E91" i="21"/>
  <c r="E73" i="21"/>
  <c r="E6" i="21"/>
  <c r="E22" i="21"/>
  <c r="E155" i="21"/>
  <c r="E15" i="21"/>
  <c r="E188" i="21"/>
  <c r="E204" i="21"/>
  <c r="E92" i="21"/>
  <c r="E69" i="21"/>
  <c r="E85" i="21"/>
  <c r="E18" i="21"/>
  <c r="E131" i="21"/>
  <c r="E164" i="21"/>
  <c r="E52" i="21"/>
  <c r="E53" i="21"/>
  <c r="E80" i="21"/>
  <c r="E2" i="16"/>
  <c r="E41" i="16"/>
  <c r="D63" i="19" l="1"/>
  <c r="J62" i="19"/>
  <c r="K62" i="19"/>
  <c r="L62" i="19" s="1"/>
  <c r="AD2" i="16"/>
  <c r="AC2" i="16"/>
  <c r="AA2" i="16"/>
  <c r="A43" i="16"/>
  <c r="D42" i="16"/>
  <c r="F164" i="21"/>
  <c r="F69" i="21"/>
  <c r="F15" i="21"/>
  <c r="F5" i="21"/>
  <c r="F73" i="21"/>
  <c r="F64" i="21"/>
  <c r="F172" i="21"/>
  <c r="F173" i="21"/>
  <c r="F203" i="21"/>
  <c r="F71" i="21"/>
  <c r="F186" i="21"/>
  <c r="F143" i="21"/>
  <c r="F50" i="21"/>
  <c r="F142" i="21"/>
  <c r="F103" i="21"/>
  <c r="F52" i="21"/>
  <c r="F85" i="21"/>
  <c r="F188" i="21"/>
  <c r="F6" i="21"/>
  <c r="F79" i="21"/>
  <c r="F212" i="21"/>
  <c r="F17" i="21"/>
  <c r="F67" i="21"/>
  <c r="F201" i="21"/>
  <c r="F11" i="21"/>
  <c r="F9" i="21"/>
  <c r="F151" i="21"/>
  <c r="F13" i="21"/>
  <c r="F210" i="21"/>
  <c r="F190" i="21"/>
  <c r="F76" i="21"/>
  <c r="F134" i="21"/>
  <c r="F35" i="21"/>
  <c r="F44" i="21"/>
  <c r="F205" i="21"/>
  <c r="F68" i="21"/>
  <c r="F202" i="21"/>
  <c r="F12" i="21"/>
  <c r="F130" i="21"/>
  <c r="F16" i="21"/>
  <c r="F14" i="21"/>
  <c r="F140" i="21"/>
  <c r="F51" i="21"/>
  <c r="F138" i="21"/>
  <c r="F24" i="21"/>
  <c r="F152" i="21"/>
  <c r="F192" i="21"/>
  <c r="F26" i="21"/>
  <c r="F90" i="21"/>
  <c r="F170" i="21"/>
  <c r="F211" i="21"/>
  <c r="F110" i="21"/>
  <c r="F144" i="21"/>
  <c r="F232" i="21"/>
  <c r="F34" i="21"/>
  <c r="F195" i="21"/>
  <c r="F137" i="21"/>
  <c r="F31" i="21"/>
  <c r="F8" i="21"/>
  <c r="F19" i="21"/>
  <c r="F196" i="21"/>
  <c r="F89" i="21"/>
  <c r="F53" i="21"/>
  <c r="F18" i="21"/>
  <c r="F204" i="21"/>
  <c r="F22" i="21"/>
  <c r="F132" i="21"/>
  <c r="F209" i="21"/>
  <c r="F70" i="21"/>
  <c r="F83" i="21"/>
  <c r="F194" i="21"/>
  <c r="F104" i="21"/>
  <c r="F25" i="21"/>
  <c r="F75" i="21"/>
  <c r="F66" i="21"/>
  <c r="F199" i="21"/>
  <c r="F206" i="21"/>
  <c r="F93" i="21"/>
  <c r="F163" i="21"/>
  <c r="F200" i="21"/>
  <c r="F32" i="21"/>
  <c r="F198" i="21"/>
  <c r="F84" i="21"/>
  <c r="F153" i="21"/>
  <c r="F113" i="21"/>
  <c r="F146" i="21"/>
  <c r="F95" i="21"/>
  <c r="F43" i="21"/>
  <c r="F94" i="21"/>
  <c r="F29" i="21"/>
  <c r="F191" i="21"/>
  <c r="F171" i="21"/>
  <c r="F149" i="21"/>
  <c r="F133" i="21"/>
  <c r="F213" i="21"/>
  <c r="F124" i="21"/>
  <c r="F7" i="21"/>
  <c r="F21" i="21"/>
  <c r="F233" i="21"/>
  <c r="F185" i="21"/>
  <c r="F154" i="21"/>
  <c r="F197" i="21"/>
  <c r="F141" i="21"/>
  <c r="F189" i="21"/>
  <c r="F139" i="21"/>
  <c r="F81" i="21"/>
  <c r="F145" i="21"/>
  <c r="F10" i="21"/>
  <c r="F80" i="21"/>
  <c r="F131" i="21"/>
  <c r="F92" i="21"/>
  <c r="F155" i="21"/>
  <c r="F91" i="21"/>
  <c r="F214" i="21"/>
  <c r="F86" i="21"/>
  <c r="F136" i="21"/>
  <c r="F223" i="21"/>
  <c r="F20" i="21"/>
  <c r="F78" i="21"/>
  <c r="F128" i="21"/>
  <c r="F82" i="21"/>
  <c r="F72" i="21"/>
  <c r="F231" i="21"/>
  <c r="F4" i="21"/>
  <c r="F187" i="21"/>
  <c r="F125" i="21"/>
  <c r="F33" i="21"/>
  <c r="F112" i="21"/>
  <c r="F111" i="21"/>
  <c r="F150" i="21"/>
  <c r="F193" i="21"/>
  <c r="F230" i="21"/>
  <c r="F184" i="21"/>
  <c r="F127" i="21"/>
  <c r="F65" i="21"/>
  <c r="F30" i="21"/>
  <c r="F224" i="21"/>
  <c r="F129" i="21"/>
  <c r="F135" i="21"/>
  <c r="F126" i="21"/>
  <c r="F215" i="21"/>
  <c r="F77" i="21"/>
  <c r="F23" i="21"/>
  <c r="F74" i="21"/>
  <c r="E42" i="16"/>
  <c r="D64" i="19" l="1"/>
  <c r="J63" i="19"/>
  <c r="K63" i="19"/>
  <c r="L63" i="19" s="1"/>
  <c r="A44" i="16"/>
  <c r="D43" i="16"/>
  <c r="H4" i="21"/>
  <c r="I4" i="21" s="1"/>
  <c r="H20" i="21"/>
  <c r="I20" i="21" s="1"/>
  <c r="H36" i="21"/>
  <c r="I36" i="21" s="1"/>
  <c r="H52" i="21"/>
  <c r="I52" i="21" s="1"/>
  <c r="H68" i="21"/>
  <c r="I68" i="21" s="1"/>
  <c r="H84" i="21"/>
  <c r="I84" i="21" s="1"/>
  <c r="H100" i="21"/>
  <c r="I100" i="21" s="1"/>
  <c r="H116" i="21"/>
  <c r="I116" i="21" s="1"/>
  <c r="H132" i="21"/>
  <c r="I132" i="21" s="1"/>
  <c r="H148" i="21"/>
  <c r="I148" i="21" s="1"/>
  <c r="H164" i="21"/>
  <c r="I164" i="21" s="1"/>
  <c r="H180" i="21"/>
  <c r="I180" i="21" s="1"/>
  <c r="H196" i="21"/>
  <c r="I196" i="21" s="1"/>
  <c r="H212" i="21"/>
  <c r="I212" i="21" s="1"/>
  <c r="H228" i="21"/>
  <c r="I228" i="21" s="1"/>
  <c r="H63" i="21"/>
  <c r="I63" i="21" s="1"/>
  <c r="H123" i="21"/>
  <c r="I123" i="21" s="1"/>
  <c r="H175" i="21"/>
  <c r="I175" i="21" s="1"/>
  <c r="H231" i="21"/>
  <c r="I231" i="21" s="1"/>
  <c r="H215" i="21"/>
  <c r="I215" i="21" s="1"/>
  <c r="H18" i="21"/>
  <c r="I18" i="21" s="1"/>
  <c r="H34" i="21"/>
  <c r="I34" i="21" s="1"/>
  <c r="H50" i="21"/>
  <c r="I50" i="21" s="1"/>
  <c r="H66" i="21"/>
  <c r="I66" i="21" s="1"/>
  <c r="H82" i="21"/>
  <c r="I82" i="21" s="1"/>
  <c r="H98" i="21"/>
  <c r="I98" i="21" s="1"/>
  <c r="H114" i="21"/>
  <c r="I114" i="21" s="1"/>
  <c r="H130" i="21"/>
  <c r="I130" i="21" s="1"/>
  <c r="H146" i="21"/>
  <c r="I146" i="21" s="1"/>
  <c r="H162" i="21"/>
  <c r="I162" i="21" s="1"/>
  <c r="H178" i="21"/>
  <c r="I178" i="21" s="1"/>
  <c r="H194" i="21"/>
  <c r="I194" i="21" s="1"/>
  <c r="H210" i="21"/>
  <c r="I210" i="21" s="1"/>
  <c r="H226" i="21"/>
  <c r="I226" i="21" s="1"/>
  <c r="H17" i="21"/>
  <c r="I17" i="21" s="1"/>
  <c r="H49" i="21"/>
  <c r="I49" i="21" s="1"/>
  <c r="H81" i="21"/>
  <c r="I81" i="21" s="1"/>
  <c r="H109" i="21"/>
  <c r="I109" i="21" s="1"/>
  <c r="H141" i="21"/>
  <c r="I141" i="21" s="1"/>
  <c r="H169" i="21"/>
  <c r="I169" i="21" s="1"/>
  <c r="H201" i="21"/>
  <c r="I201" i="21" s="1"/>
  <c r="H233" i="21"/>
  <c r="I233" i="21" s="1"/>
  <c r="H39" i="21"/>
  <c r="I39" i="21" s="1"/>
  <c r="H87" i="21"/>
  <c r="I87" i="21" s="1"/>
  <c r="H131" i="21"/>
  <c r="I131" i="21" s="1"/>
  <c r="H183" i="21"/>
  <c r="I183" i="21" s="1"/>
  <c r="H9" i="21"/>
  <c r="I9" i="21" s="1"/>
  <c r="H45" i="21"/>
  <c r="I45" i="21" s="1"/>
  <c r="H77" i="21"/>
  <c r="I77" i="21" s="1"/>
  <c r="H113" i="21"/>
  <c r="I113" i="21" s="1"/>
  <c r="H145" i="21"/>
  <c r="I145" i="21" s="1"/>
  <c r="H181" i="21"/>
  <c r="I181" i="21" s="1"/>
  <c r="H213" i="21"/>
  <c r="I213" i="21" s="1"/>
  <c r="H15" i="21"/>
  <c r="I15" i="21" s="1"/>
  <c r="H43" i="21"/>
  <c r="I43" i="21" s="1"/>
  <c r="H91" i="21"/>
  <c r="I91" i="21" s="1"/>
  <c r="H139" i="21"/>
  <c r="I139" i="21" s="1"/>
  <c r="H195" i="21"/>
  <c r="I195" i="21" s="1"/>
  <c r="H73" i="21"/>
  <c r="I73" i="21" s="1"/>
  <c r="H133" i="21"/>
  <c r="I133" i="21" s="1"/>
  <c r="H193" i="21"/>
  <c r="I193" i="21" s="1"/>
  <c r="H31" i="21"/>
  <c r="I31" i="21" s="1"/>
  <c r="H71" i="21"/>
  <c r="I71" i="21" s="1"/>
  <c r="H171" i="21"/>
  <c r="I171" i="21" s="1"/>
  <c r="H37" i="21"/>
  <c r="I37" i="21" s="1"/>
  <c r="H105" i="21"/>
  <c r="I105" i="21" s="1"/>
  <c r="H137" i="21"/>
  <c r="I137" i="21" s="1"/>
  <c r="H205" i="21"/>
  <c r="I205" i="21" s="1"/>
  <c r="H35" i="21"/>
  <c r="I35" i="21" s="1"/>
  <c r="H79" i="21"/>
  <c r="I79" i="21" s="1"/>
  <c r="H179" i="21"/>
  <c r="I179" i="21" s="1"/>
  <c r="H129" i="21"/>
  <c r="I129" i="21" s="1"/>
  <c r="H197" i="21"/>
  <c r="I197" i="21" s="1"/>
  <c r="H229" i="21"/>
  <c r="I229" i="21" s="1"/>
  <c r="H67" i="21"/>
  <c r="I67" i="21" s="1"/>
  <c r="H167" i="21"/>
  <c r="I167" i="21" s="1"/>
  <c r="H57" i="21"/>
  <c r="I57" i="21" s="1"/>
  <c r="H149" i="21"/>
  <c r="I149" i="21" s="1"/>
  <c r="H209" i="21"/>
  <c r="I209" i="21" s="1"/>
  <c r="H51" i="21"/>
  <c r="I51" i="21" s="1"/>
  <c r="H21" i="21"/>
  <c r="I21" i="21" s="1"/>
  <c r="H121" i="21"/>
  <c r="I121" i="21" s="1"/>
  <c r="H19" i="21"/>
  <c r="I19" i="21" s="1"/>
  <c r="H151" i="21"/>
  <c r="I151" i="21" s="1"/>
  <c r="H2" i="21"/>
  <c r="I2" i="21" s="1"/>
  <c r="H16" i="21"/>
  <c r="I16" i="21" s="1"/>
  <c r="H32" i="21"/>
  <c r="I32" i="21" s="1"/>
  <c r="H48" i="21"/>
  <c r="I48" i="21" s="1"/>
  <c r="H64" i="21"/>
  <c r="I64" i="21" s="1"/>
  <c r="H80" i="21"/>
  <c r="I80" i="21" s="1"/>
  <c r="H96" i="21"/>
  <c r="I96" i="21" s="1"/>
  <c r="H112" i="21"/>
  <c r="I112" i="21" s="1"/>
  <c r="H128" i="21"/>
  <c r="I128" i="21" s="1"/>
  <c r="H144" i="21"/>
  <c r="I144" i="21" s="1"/>
  <c r="H160" i="21"/>
  <c r="I160" i="21" s="1"/>
  <c r="H176" i="21"/>
  <c r="I176" i="21" s="1"/>
  <c r="H192" i="21"/>
  <c r="I192" i="21" s="1"/>
  <c r="H208" i="21"/>
  <c r="I208" i="21" s="1"/>
  <c r="H224" i="21"/>
  <c r="I224" i="21" s="1"/>
  <c r="H47" i="21"/>
  <c r="I47" i="21" s="1"/>
  <c r="H111" i="21"/>
  <c r="I111" i="21" s="1"/>
  <c r="H163" i="21"/>
  <c r="I163" i="21" s="1"/>
  <c r="H219" i="21"/>
  <c r="I219" i="21" s="1"/>
  <c r="H191" i="21"/>
  <c r="I191" i="21" s="1"/>
  <c r="H14" i="21"/>
  <c r="I14" i="21" s="1"/>
  <c r="H30" i="21"/>
  <c r="I30" i="21" s="1"/>
  <c r="H46" i="21"/>
  <c r="I46" i="21" s="1"/>
  <c r="H62" i="21"/>
  <c r="I62" i="21" s="1"/>
  <c r="H78" i="21"/>
  <c r="I78" i="21" s="1"/>
  <c r="H94" i="21"/>
  <c r="I94" i="21" s="1"/>
  <c r="H110" i="21"/>
  <c r="I110" i="21" s="1"/>
  <c r="H126" i="21"/>
  <c r="I126" i="21" s="1"/>
  <c r="H142" i="21"/>
  <c r="I142" i="21" s="1"/>
  <c r="H158" i="21"/>
  <c r="I158" i="21" s="1"/>
  <c r="H174" i="21"/>
  <c r="I174" i="21" s="1"/>
  <c r="H190" i="21"/>
  <c r="I190" i="21" s="1"/>
  <c r="H206" i="21"/>
  <c r="I206" i="21" s="1"/>
  <c r="H222" i="21"/>
  <c r="I222" i="21" s="1"/>
  <c r="H13" i="21"/>
  <c r="I13" i="21" s="1"/>
  <c r="H41" i="21"/>
  <c r="I41" i="21" s="1"/>
  <c r="H101" i="21"/>
  <c r="I101" i="21" s="1"/>
  <c r="H161" i="21"/>
  <c r="I161" i="21" s="1"/>
  <c r="H225" i="21"/>
  <c r="I225" i="21" s="1"/>
  <c r="H119" i="21"/>
  <c r="I119" i="21" s="1"/>
  <c r="H227" i="21"/>
  <c r="I227" i="21" s="1"/>
  <c r="H69" i="21"/>
  <c r="I69" i="21" s="1"/>
  <c r="H173" i="21"/>
  <c r="I173" i="21" s="1"/>
  <c r="H7" i="21"/>
  <c r="I7" i="21" s="1"/>
  <c r="H127" i="21"/>
  <c r="I127" i="21" s="1"/>
  <c r="H143" i="21"/>
  <c r="I143" i="21" s="1"/>
  <c r="H157" i="21"/>
  <c r="I157" i="21" s="1"/>
  <c r="H55" i="21"/>
  <c r="I55" i="21" s="1"/>
  <c r="H207" i="21"/>
  <c r="I207" i="21" s="1"/>
  <c r="H12" i="21"/>
  <c r="I12" i="21" s="1"/>
  <c r="H28" i="21"/>
  <c r="I28" i="21" s="1"/>
  <c r="H44" i="21"/>
  <c r="I44" i="21" s="1"/>
  <c r="H60" i="21"/>
  <c r="I60" i="21" s="1"/>
  <c r="H76" i="21"/>
  <c r="I76" i="21" s="1"/>
  <c r="H92" i="21"/>
  <c r="I92" i="21" s="1"/>
  <c r="H108" i="21"/>
  <c r="I108" i="21" s="1"/>
  <c r="H124" i="21"/>
  <c r="I124" i="21" s="1"/>
  <c r="H140" i="21"/>
  <c r="I140" i="21" s="1"/>
  <c r="H156" i="21"/>
  <c r="I156" i="21" s="1"/>
  <c r="H172" i="21"/>
  <c r="I172" i="21" s="1"/>
  <c r="H188" i="21"/>
  <c r="I188" i="21" s="1"/>
  <c r="H204" i="21"/>
  <c r="I204" i="21" s="1"/>
  <c r="H220" i="21"/>
  <c r="I220" i="21" s="1"/>
  <c r="H3" i="21"/>
  <c r="I3" i="21" s="1"/>
  <c r="H99" i="21"/>
  <c r="I99" i="21" s="1"/>
  <c r="H147" i="21"/>
  <c r="I147" i="21" s="1"/>
  <c r="H203" i="21"/>
  <c r="I203" i="21" s="1"/>
  <c r="H155" i="21"/>
  <c r="I155" i="21" s="1"/>
  <c r="H10" i="21"/>
  <c r="I10" i="21" s="1"/>
  <c r="H26" i="21"/>
  <c r="I26" i="21" s="1"/>
  <c r="H42" i="21"/>
  <c r="I42" i="21" s="1"/>
  <c r="H58" i="21"/>
  <c r="I58" i="21" s="1"/>
  <c r="H74" i="21"/>
  <c r="I74" i="21" s="1"/>
  <c r="H90" i="21"/>
  <c r="I90" i="21" s="1"/>
  <c r="H106" i="21"/>
  <c r="I106" i="21" s="1"/>
  <c r="H122" i="21"/>
  <c r="I122" i="21" s="1"/>
  <c r="H138" i="21"/>
  <c r="I138" i="21" s="1"/>
  <c r="H154" i="21"/>
  <c r="I154" i="21" s="1"/>
  <c r="H170" i="21"/>
  <c r="I170" i="21" s="1"/>
  <c r="H186" i="21"/>
  <c r="I186" i="21" s="1"/>
  <c r="H202" i="21"/>
  <c r="I202" i="21" s="1"/>
  <c r="H218" i="21"/>
  <c r="I218" i="21" s="1"/>
  <c r="H5" i="21"/>
  <c r="I5" i="21" s="1"/>
  <c r="H33" i="21"/>
  <c r="I33" i="21" s="1"/>
  <c r="H65" i="21"/>
  <c r="I65" i="21" s="1"/>
  <c r="H93" i="21"/>
  <c r="I93" i="21" s="1"/>
  <c r="H125" i="21"/>
  <c r="I125" i="21" s="1"/>
  <c r="H153" i="21"/>
  <c r="I153" i="21" s="1"/>
  <c r="H185" i="21"/>
  <c r="I185" i="21" s="1"/>
  <c r="H217" i="21"/>
  <c r="I217" i="21" s="1"/>
  <c r="H23" i="21"/>
  <c r="I23" i="21" s="1"/>
  <c r="H59" i="21"/>
  <c r="I59" i="21" s="1"/>
  <c r="H107" i="21"/>
  <c r="I107" i="21" s="1"/>
  <c r="H159" i="21"/>
  <c r="I159" i="21" s="1"/>
  <c r="H211" i="21"/>
  <c r="I211" i="21" s="1"/>
  <c r="H29" i="21"/>
  <c r="I29" i="21" s="1"/>
  <c r="H61" i="21"/>
  <c r="I61" i="21" s="1"/>
  <c r="H97" i="21"/>
  <c r="I97" i="21" s="1"/>
  <c r="H165" i="21"/>
  <c r="I165" i="21" s="1"/>
  <c r="H27" i="21"/>
  <c r="I27" i="21" s="1"/>
  <c r="H115" i="21"/>
  <c r="I115" i="21" s="1"/>
  <c r="H223" i="21"/>
  <c r="I223" i="21" s="1"/>
  <c r="H117" i="21"/>
  <c r="I117" i="21" s="1"/>
  <c r="H11" i="21"/>
  <c r="I11" i="21" s="1"/>
  <c r="H199" i="21"/>
  <c r="I199" i="21" s="1"/>
  <c r="H89" i="21"/>
  <c r="I89" i="21" s="1"/>
  <c r="H189" i="21"/>
  <c r="I189" i="21" s="1"/>
  <c r="H103" i="21"/>
  <c r="I103" i="21" s="1"/>
  <c r="H8" i="21"/>
  <c r="I8" i="21" s="1"/>
  <c r="H24" i="21"/>
  <c r="I24" i="21" s="1"/>
  <c r="H40" i="21"/>
  <c r="I40" i="21" s="1"/>
  <c r="H56" i="21"/>
  <c r="I56" i="21" s="1"/>
  <c r="H72" i="21"/>
  <c r="I72" i="21" s="1"/>
  <c r="H88" i="21"/>
  <c r="I88" i="21" s="1"/>
  <c r="H104" i="21"/>
  <c r="I104" i="21" s="1"/>
  <c r="H120" i="21"/>
  <c r="I120" i="21" s="1"/>
  <c r="H136" i="21"/>
  <c r="I136" i="21" s="1"/>
  <c r="H152" i="21"/>
  <c r="I152" i="21" s="1"/>
  <c r="H168" i="21"/>
  <c r="I168" i="21" s="1"/>
  <c r="H184" i="21"/>
  <c r="I184" i="21" s="1"/>
  <c r="H200" i="21"/>
  <c r="I200" i="21" s="1"/>
  <c r="H216" i="21"/>
  <c r="I216" i="21" s="1"/>
  <c r="H232" i="21"/>
  <c r="I232" i="21" s="1"/>
  <c r="H83" i="21"/>
  <c r="I83" i="21" s="1"/>
  <c r="H135" i="21"/>
  <c r="I135" i="21" s="1"/>
  <c r="H187" i="21"/>
  <c r="I187" i="21" s="1"/>
  <c r="H75" i="21"/>
  <c r="I75" i="21" s="1"/>
  <c r="H6" i="21"/>
  <c r="I6" i="21" s="1"/>
  <c r="H22" i="21"/>
  <c r="I22" i="21" s="1"/>
  <c r="H38" i="21"/>
  <c r="I38" i="21" s="1"/>
  <c r="H54" i="21"/>
  <c r="I54" i="21" s="1"/>
  <c r="H70" i="21"/>
  <c r="I70" i="21" s="1"/>
  <c r="H86" i="21"/>
  <c r="I86" i="21" s="1"/>
  <c r="H102" i="21"/>
  <c r="I102" i="21" s="1"/>
  <c r="H118" i="21"/>
  <c r="I118" i="21" s="1"/>
  <c r="H134" i="21"/>
  <c r="I134" i="21" s="1"/>
  <c r="H150" i="21"/>
  <c r="I150" i="21" s="1"/>
  <c r="H166" i="21"/>
  <c r="I166" i="21" s="1"/>
  <c r="H182" i="21"/>
  <c r="I182" i="21" s="1"/>
  <c r="H198" i="21"/>
  <c r="I198" i="21" s="1"/>
  <c r="H214" i="21"/>
  <c r="I214" i="21" s="1"/>
  <c r="H230" i="21"/>
  <c r="I230" i="21" s="1"/>
  <c r="H25" i="21"/>
  <c r="I25" i="21" s="1"/>
  <c r="H85" i="21"/>
  <c r="I85" i="21" s="1"/>
  <c r="H177" i="21"/>
  <c r="I177" i="21" s="1"/>
  <c r="H95" i="21"/>
  <c r="I95" i="21" s="1"/>
  <c r="H53" i="21"/>
  <c r="I53" i="21" s="1"/>
  <c r="H221" i="21"/>
  <c r="I221" i="21" s="1"/>
  <c r="E43" i="16"/>
  <c r="D65" i="19" l="1"/>
  <c r="J64" i="19"/>
  <c r="K64" i="19"/>
  <c r="L64" i="19" s="1"/>
  <c r="A45" i="16"/>
  <c r="D44" i="16"/>
  <c r="AR2" i="16"/>
  <c r="AL2" i="16"/>
  <c r="E44" i="16"/>
  <c r="J65" i="19" l="1"/>
  <c r="K65" i="19"/>
  <c r="A46" i="16"/>
  <c r="D45" i="16"/>
  <c r="AN2" i="16"/>
  <c r="AM2" i="16"/>
  <c r="AO2" i="16"/>
  <c r="E45" i="16"/>
  <c r="A47" i="16" l="1"/>
  <c r="D46" i="16"/>
  <c r="AU2" i="16"/>
  <c r="E46" i="16"/>
  <c r="A48" i="16" l="1"/>
  <c r="D47" i="16"/>
  <c r="E47" i="16"/>
  <c r="A49" i="16" l="1"/>
  <c r="D48" i="16"/>
  <c r="E48" i="16"/>
  <c r="A50" i="16" l="1"/>
  <c r="D49" i="16"/>
  <c r="E49" i="16"/>
  <c r="A51" i="16" l="1"/>
  <c r="D50" i="16"/>
  <c r="E50" i="16"/>
  <c r="A52" i="16" l="1"/>
  <c r="D51" i="16"/>
  <c r="E51" i="16"/>
  <c r="A53" i="16" l="1"/>
  <c r="D52" i="16"/>
  <c r="E52" i="16"/>
  <c r="A54" i="16" l="1"/>
  <c r="D53" i="16"/>
  <c r="E53" i="16"/>
  <c r="A55" i="16" l="1"/>
  <c r="D54" i="16"/>
  <c r="E54" i="16"/>
  <c r="A56" i="16" l="1"/>
  <c r="D55" i="16"/>
  <c r="E55" i="16"/>
  <c r="A57" i="16" l="1"/>
  <c r="D56" i="16"/>
  <c r="E56" i="16"/>
  <c r="A58" i="16" l="1"/>
  <c r="D57" i="16"/>
  <c r="E57" i="16"/>
  <c r="A59" i="16" l="1"/>
  <c r="D58" i="16"/>
  <c r="E58" i="16"/>
  <c r="A60" i="16" l="1"/>
  <c r="D59" i="16"/>
  <c r="E59" i="16"/>
  <c r="A61" i="16" l="1"/>
  <c r="D60" i="16"/>
  <c r="E60" i="16"/>
  <c r="A62" i="16" l="1"/>
  <c r="D61" i="16"/>
  <c r="E61" i="16"/>
  <c r="A63" i="16" l="1"/>
  <c r="D62" i="16"/>
  <c r="E62" i="16"/>
  <c r="A64" i="16" l="1"/>
  <c r="D63" i="16"/>
  <c r="E63" i="16"/>
  <c r="A65" i="16" l="1"/>
  <c r="D64" i="16"/>
  <c r="E64" i="16"/>
  <c r="A66" i="16" l="1"/>
  <c r="D65" i="16"/>
  <c r="E65" i="16"/>
  <c r="A67" i="16" l="1"/>
  <c r="D66" i="16"/>
  <c r="E66" i="16"/>
  <c r="A68" i="16" l="1"/>
  <c r="D67" i="16"/>
  <c r="E67" i="16"/>
  <c r="A69" i="16" l="1"/>
  <c r="D68" i="16"/>
  <c r="E68" i="16"/>
  <c r="A70" i="16" l="1"/>
  <c r="D69" i="16"/>
  <c r="E69" i="16"/>
  <c r="A71" i="16" l="1"/>
  <c r="D70" i="16"/>
  <c r="E70" i="16"/>
  <c r="A72" i="16" l="1"/>
  <c r="D71" i="16"/>
  <c r="E71" i="16"/>
  <c r="A73" i="16" l="1"/>
  <c r="D72" i="16"/>
  <c r="E72" i="16"/>
  <c r="A74" i="16" l="1"/>
  <c r="D73" i="16"/>
  <c r="E73" i="16"/>
  <c r="A75" i="16" l="1"/>
  <c r="D74" i="16"/>
  <c r="E74" i="16"/>
  <c r="A76" i="16" l="1"/>
  <c r="D75" i="16"/>
  <c r="E75" i="16"/>
  <c r="A77" i="16" l="1"/>
  <c r="D76" i="16"/>
  <c r="E76" i="16"/>
  <c r="A78" i="16" l="1"/>
  <c r="D77" i="16"/>
  <c r="E77" i="16"/>
  <c r="A79" i="16" l="1"/>
  <c r="D78" i="16"/>
  <c r="E78" i="16"/>
  <c r="A80" i="16" l="1"/>
  <c r="D79" i="16"/>
  <c r="E79" i="16"/>
  <c r="A81" i="16" l="1"/>
  <c r="D80" i="16"/>
  <c r="E80" i="16"/>
  <c r="A82" i="16" l="1"/>
  <c r="D81" i="16"/>
  <c r="E81" i="16"/>
  <c r="A83" i="16" l="1"/>
  <c r="D82" i="16"/>
  <c r="E82" i="16"/>
  <c r="A84" i="16" l="1"/>
  <c r="D83" i="16"/>
  <c r="E83" i="16"/>
  <c r="A85" i="16" l="1"/>
  <c r="D84" i="16"/>
  <c r="E84" i="16"/>
  <c r="A86" i="16" l="1"/>
  <c r="D85" i="16"/>
  <c r="E85" i="16"/>
  <c r="A87" i="16" l="1"/>
  <c r="D86" i="16"/>
  <c r="E86" i="16"/>
  <c r="A88" i="16" l="1"/>
  <c r="D87" i="16"/>
  <c r="E87" i="16"/>
  <c r="A89" i="16" l="1"/>
  <c r="D88" i="16"/>
  <c r="E88" i="16"/>
  <c r="A90" i="16" l="1"/>
  <c r="D89" i="16"/>
  <c r="E89" i="16"/>
  <c r="A91" i="16" l="1"/>
  <c r="D90" i="16"/>
  <c r="E90" i="16"/>
  <c r="A92" i="16" l="1"/>
  <c r="D91" i="16"/>
  <c r="E91" i="16"/>
  <c r="A93" i="16" l="1"/>
  <c r="D92" i="16"/>
  <c r="E92" i="16"/>
  <c r="A94" i="16" l="1"/>
  <c r="D93" i="16"/>
  <c r="E93" i="16"/>
  <c r="A95" i="16" l="1"/>
  <c r="D94" i="16"/>
  <c r="E94" i="16"/>
  <c r="A96" i="16" l="1"/>
  <c r="D95" i="16"/>
  <c r="E95" i="16"/>
  <c r="A97" i="16" l="1"/>
  <c r="D96" i="16"/>
  <c r="E96" i="16"/>
  <c r="A98" i="16" l="1"/>
  <c r="D97" i="16"/>
  <c r="E97" i="16"/>
  <c r="A99" i="16" l="1"/>
  <c r="D98" i="16"/>
  <c r="E98" i="16"/>
  <c r="A100" i="16" l="1"/>
  <c r="D99" i="16"/>
  <c r="E99" i="16"/>
  <c r="A101" i="16" l="1"/>
  <c r="D100" i="16"/>
  <c r="E100" i="16"/>
  <c r="A102" i="16" l="1"/>
  <c r="D101" i="16"/>
  <c r="E101" i="16"/>
  <c r="A103" i="16" l="1"/>
  <c r="D102" i="16"/>
  <c r="E102" i="16"/>
  <c r="A104" i="16" l="1"/>
  <c r="D103" i="16"/>
  <c r="E103" i="16"/>
  <c r="A105" i="16" l="1"/>
  <c r="D104" i="16"/>
  <c r="E104" i="16"/>
  <c r="A106" i="16" l="1"/>
  <c r="D105" i="16"/>
  <c r="E105" i="16"/>
  <c r="A107" i="16" l="1"/>
  <c r="D106" i="16"/>
  <c r="E106" i="16"/>
  <c r="A108" i="16" l="1"/>
  <c r="D107" i="16"/>
  <c r="E107" i="16"/>
  <c r="A109" i="16" l="1"/>
  <c r="D108" i="16"/>
  <c r="E108" i="16"/>
  <c r="A110" i="16" l="1"/>
  <c r="D109" i="16"/>
  <c r="E109" i="16"/>
  <c r="A111" i="16" l="1"/>
  <c r="D110" i="16"/>
  <c r="E110" i="16"/>
  <c r="A112" i="16" l="1"/>
  <c r="D111" i="16"/>
  <c r="E111" i="16"/>
  <c r="A113" i="16" l="1"/>
  <c r="D112" i="16"/>
  <c r="E112" i="16"/>
  <c r="A114" i="16" l="1"/>
  <c r="D113" i="16"/>
  <c r="E113" i="16"/>
  <c r="A115" i="16" l="1"/>
  <c r="D114" i="16"/>
  <c r="E114" i="16"/>
  <c r="A116" i="16" l="1"/>
  <c r="D115" i="16"/>
  <c r="E115" i="16"/>
  <c r="A117" i="16" l="1"/>
  <c r="D116" i="16"/>
  <c r="E116" i="16"/>
  <c r="A118" i="16" l="1"/>
  <c r="D117" i="16"/>
  <c r="E117" i="16"/>
  <c r="A119" i="16" l="1"/>
  <c r="D118" i="16"/>
  <c r="E118" i="16"/>
  <c r="A120" i="16" l="1"/>
  <c r="D119" i="16"/>
  <c r="E119" i="16"/>
  <c r="A121" i="16" l="1"/>
  <c r="D120" i="16"/>
  <c r="E120" i="16"/>
  <c r="A122" i="16" l="1"/>
  <c r="D121" i="16"/>
  <c r="E121" i="16"/>
  <c r="A123" i="16" l="1"/>
  <c r="D122" i="16"/>
  <c r="E122" i="16"/>
  <c r="A124" i="16" l="1"/>
  <c r="D123" i="16"/>
  <c r="E123" i="16"/>
  <c r="A125" i="16" l="1"/>
  <c r="D124" i="16"/>
  <c r="E124" i="16"/>
  <c r="A126" i="16" l="1"/>
  <c r="D125" i="16"/>
  <c r="E125" i="16"/>
  <c r="A127" i="16" l="1"/>
  <c r="D126" i="16"/>
  <c r="E126" i="16"/>
  <c r="A128" i="16" l="1"/>
  <c r="D127" i="16"/>
  <c r="E127" i="16"/>
  <c r="A129" i="16" l="1"/>
  <c r="D128" i="16"/>
  <c r="E128" i="16"/>
  <c r="A130" i="16" l="1"/>
  <c r="D129" i="16"/>
  <c r="E129" i="16"/>
  <c r="A131" i="16" l="1"/>
  <c r="D130" i="16"/>
  <c r="E130" i="16"/>
  <c r="A132" i="16" l="1"/>
  <c r="D131" i="16"/>
  <c r="E131" i="16"/>
  <c r="A133" i="16" l="1"/>
  <c r="D132" i="16"/>
  <c r="E132" i="16"/>
  <c r="A134" i="16" l="1"/>
  <c r="D133" i="16"/>
  <c r="E133" i="16"/>
  <c r="A135" i="16" l="1"/>
  <c r="D134" i="16"/>
  <c r="E134" i="16"/>
  <c r="A136" i="16" l="1"/>
  <c r="D135" i="16"/>
  <c r="E135" i="16"/>
  <c r="A137" i="16" l="1"/>
  <c r="D136" i="16"/>
  <c r="E136" i="16"/>
  <c r="A138" i="16" l="1"/>
  <c r="D137" i="16"/>
  <c r="E137" i="16"/>
  <c r="A139" i="16" l="1"/>
  <c r="D138" i="16"/>
  <c r="E138" i="16"/>
  <c r="A140" i="16" l="1"/>
  <c r="D139" i="16"/>
  <c r="E139" i="16"/>
  <c r="A141" i="16" l="1"/>
  <c r="D140" i="16"/>
  <c r="E140" i="16"/>
  <c r="A142" i="16" l="1"/>
  <c r="D141" i="16"/>
  <c r="E141" i="16"/>
  <c r="A143" i="16" l="1"/>
  <c r="D142" i="16"/>
  <c r="E142" i="16"/>
  <c r="A144" i="16" l="1"/>
  <c r="D143" i="16"/>
  <c r="E143" i="16"/>
  <c r="A145" i="16" l="1"/>
  <c r="D144" i="16"/>
  <c r="E144" i="16"/>
  <c r="A146" i="16" l="1"/>
  <c r="D145" i="16"/>
  <c r="E145" i="16"/>
  <c r="A147" i="16" l="1"/>
  <c r="D146" i="16"/>
  <c r="E146" i="16"/>
  <c r="A148" i="16" l="1"/>
  <c r="D147" i="16"/>
  <c r="E147" i="16"/>
  <c r="A149" i="16" l="1"/>
  <c r="D148" i="16"/>
  <c r="E148" i="16"/>
  <c r="A150" i="16" l="1"/>
  <c r="D149" i="16"/>
  <c r="E149" i="16"/>
  <c r="A151" i="16" l="1"/>
  <c r="D150" i="16"/>
  <c r="E150" i="16"/>
  <c r="A152" i="16" l="1"/>
  <c r="D151" i="16"/>
  <c r="E151" i="16"/>
  <c r="A153" i="16" l="1"/>
  <c r="D152" i="16"/>
  <c r="E152" i="16"/>
  <c r="A154" i="16" l="1"/>
  <c r="D153" i="16"/>
  <c r="E153" i="16"/>
  <c r="A155" i="16" l="1"/>
  <c r="D154" i="16"/>
  <c r="E154" i="16"/>
  <c r="A156" i="16" l="1"/>
  <c r="D155" i="16"/>
  <c r="E155" i="16"/>
  <c r="A157" i="16" l="1"/>
  <c r="D156" i="16"/>
  <c r="E156" i="16"/>
  <c r="A158" i="16" l="1"/>
  <c r="D157" i="16"/>
  <c r="E157" i="16"/>
  <c r="A159" i="16" l="1"/>
  <c r="D158" i="16"/>
  <c r="E158" i="16"/>
  <c r="A160" i="16" l="1"/>
  <c r="D159" i="16"/>
  <c r="E159" i="16"/>
  <c r="A161" i="16" l="1"/>
  <c r="D160" i="16"/>
  <c r="E160" i="16"/>
  <c r="A162" i="16" l="1"/>
  <c r="D161" i="16"/>
  <c r="E161" i="16"/>
  <c r="A163" i="16" l="1"/>
  <c r="D162" i="16"/>
  <c r="E162" i="16"/>
  <c r="A164" i="16" l="1"/>
  <c r="D163" i="16"/>
  <c r="E163" i="16"/>
  <c r="A165" i="16" l="1"/>
  <c r="D164" i="16"/>
  <c r="E164" i="16"/>
  <c r="A166" i="16" l="1"/>
  <c r="D165" i="16"/>
  <c r="E165" i="16"/>
  <c r="A167" i="16" l="1"/>
  <c r="D166" i="16"/>
  <c r="E166" i="16"/>
  <c r="A168" i="16" l="1"/>
  <c r="D167" i="16"/>
  <c r="E167" i="16"/>
  <c r="A169" i="16" l="1"/>
  <c r="D168" i="16"/>
  <c r="E168" i="16"/>
  <c r="A170" i="16" l="1"/>
  <c r="D169" i="16"/>
  <c r="E169" i="16"/>
  <c r="A171" i="16" l="1"/>
  <c r="D170" i="16"/>
  <c r="E170" i="16"/>
  <c r="A172" i="16" l="1"/>
  <c r="D171" i="16"/>
  <c r="E171" i="16"/>
  <c r="A173" i="16" l="1"/>
  <c r="D172" i="16"/>
  <c r="E172" i="16"/>
  <c r="A174" i="16" l="1"/>
  <c r="D173" i="16"/>
  <c r="E173" i="16"/>
  <c r="A175" i="16" l="1"/>
  <c r="D174" i="16"/>
  <c r="E174" i="16"/>
  <c r="A176" i="16" l="1"/>
  <c r="D175" i="16"/>
  <c r="E175" i="16"/>
  <c r="A177" i="16" l="1"/>
  <c r="D176" i="16"/>
  <c r="E176" i="16"/>
  <c r="A178" i="16" l="1"/>
  <c r="D177" i="16"/>
  <c r="E177" i="16"/>
  <c r="A179" i="16" l="1"/>
  <c r="D178" i="16"/>
  <c r="E178" i="16"/>
  <c r="A180" i="16" l="1"/>
  <c r="D179" i="16"/>
  <c r="E179" i="16"/>
  <c r="A181" i="16" l="1"/>
  <c r="D180" i="16"/>
  <c r="E180" i="16"/>
  <c r="A182" i="16" l="1"/>
  <c r="D181" i="16"/>
  <c r="E181" i="16"/>
  <c r="A183" i="16" l="1"/>
  <c r="D182" i="16"/>
  <c r="E182" i="16"/>
  <c r="A184" i="16" l="1"/>
  <c r="D183" i="16"/>
  <c r="E183" i="16"/>
  <c r="A185" i="16" l="1"/>
  <c r="D184" i="16"/>
  <c r="E184" i="16"/>
  <c r="A186" i="16" l="1"/>
  <c r="D185" i="16"/>
  <c r="E185" i="16"/>
  <c r="A187" i="16" l="1"/>
  <c r="D186" i="16"/>
  <c r="E186" i="16"/>
  <c r="A188" i="16" l="1"/>
  <c r="D187" i="16"/>
  <c r="E187" i="16"/>
  <c r="A189" i="16" l="1"/>
  <c r="D188" i="16"/>
  <c r="E188" i="16"/>
  <c r="A190" i="16" l="1"/>
  <c r="D189" i="16"/>
  <c r="E189" i="16"/>
  <c r="A191" i="16" l="1"/>
  <c r="D190" i="16"/>
  <c r="E190" i="16"/>
  <c r="A192" i="16" l="1"/>
  <c r="D191" i="16"/>
  <c r="E191" i="16"/>
  <c r="A193" i="16" l="1"/>
  <c r="D192" i="16"/>
  <c r="E192" i="16"/>
  <c r="A194" i="16" l="1"/>
  <c r="D193" i="16"/>
  <c r="E193" i="16"/>
  <c r="A195" i="16" l="1"/>
  <c r="D194" i="16"/>
  <c r="E194" i="16"/>
  <c r="A196" i="16" l="1"/>
  <c r="D195" i="16"/>
  <c r="E195" i="16"/>
  <c r="A197" i="16" l="1"/>
  <c r="D196" i="16"/>
  <c r="E196" i="16"/>
  <c r="A198" i="16" l="1"/>
  <c r="D197" i="16"/>
  <c r="E197" i="16"/>
  <c r="A199" i="16" l="1"/>
  <c r="D198" i="16"/>
  <c r="E198" i="16"/>
  <c r="A200" i="16" l="1"/>
  <c r="D199" i="16"/>
  <c r="E199" i="16"/>
  <c r="A201" i="16" l="1"/>
  <c r="D200" i="16"/>
  <c r="E200" i="16"/>
  <c r="A202" i="16" l="1"/>
  <c r="D201" i="16"/>
  <c r="E201" i="16"/>
  <c r="A203" i="16" l="1"/>
  <c r="D202" i="16"/>
  <c r="E202" i="16"/>
  <c r="A204" i="16" l="1"/>
  <c r="D203" i="16"/>
  <c r="E203" i="16"/>
  <c r="A205" i="16" l="1"/>
  <c r="D204" i="16"/>
  <c r="E204" i="16"/>
  <c r="A206" i="16" l="1"/>
  <c r="D205" i="16"/>
  <c r="E205" i="16"/>
  <c r="A207" i="16" l="1"/>
  <c r="D206" i="16"/>
  <c r="E206" i="16"/>
  <c r="A208" i="16" l="1"/>
  <c r="D207" i="16"/>
  <c r="E207" i="16"/>
  <c r="A209" i="16" l="1"/>
  <c r="D208" i="16"/>
  <c r="E208" i="16"/>
  <c r="A210" i="16" l="1"/>
  <c r="D209" i="16"/>
  <c r="E209" i="16"/>
  <c r="A211" i="16" l="1"/>
  <c r="D210" i="16"/>
  <c r="E210" i="16"/>
  <c r="A212" i="16" l="1"/>
  <c r="D211" i="16"/>
  <c r="E211" i="16"/>
  <c r="A213" i="16" l="1"/>
  <c r="D212" i="16"/>
  <c r="E212" i="16"/>
  <c r="A214" i="16" l="1"/>
  <c r="D213" i="16"/>
  <c r="E213" i="16"/>
  <c r="A215" i="16" l="1"/>
  <c r="D214" i="16"/>
  <c r="E214" i="16"/>
  <c r="A216" i="16" l="1"/>
  <c r="D215" i="16"/>
  <c r="E215" i="16"/>
  <c r="A217" i="16" l="1"/>
  <c r="D216" i="16"/>
  <c r="E216" i="16"/>
  <c r="A218" i="16" l="1"/>
  <c r="D217" i="16"/>
  <c r="E217" i="16"/>
  <c r="A219" i="16" l="1"/>
  <c r="D218" i="16"/>
  <c r="E218" i="16"/>
  <c r="A220" i="16" l="1"/>
  <c r="D219" i="16"/>
  <c r="E219" i="16"/>
  <c r="A221" i="16" l="1"/>
  <c r="D220" i="16"/>
  <c r="E220" i="16"/>
  <c r="A222" i="16" l="1"/>
  <c r="D221" i="16"/>
  <c r="E221" i="16"/>
  <c r="A223" i="16" l="1"/>
  <c r="D222" i="16"/>
  <c r="E222" i="16"/>
  <c r="A224" i="16" l="1"/>
  <c r="D223" i="16"/>
  <c r="E223" i="16"/>
  <c r="A225" i="16" l="1"/>
  <c r="D224" i="16"/>
  <c r="E224" i="16"/>
  <c r="A226" i="16" l="1"/>
  <c r="D225" i="16"/>
  <c r="E225" i="16"/>
  <c r="A227" i="16" l="1"/>
  <c r="D226" i="16"/>
  <c r="E226" i="16"/>
  <c r="A228" i="16" l="1"/>
  <c r="D227" i="16"/>
  <c r="E227" i="16"/>
  <c r="A229" i="16" l="1"/>
  <c r="D228" i="16"/>
  <c r="E228" i="16"/>
  <c r="A230" i="16" l="1"/>
  <c r="D229" i="16"/>
  <c r="E229" i="16"/>
  <c r="A231" i="16" l="1"/>
  <c r="D230" i="16"/>
  <c r="E230" i="16"/>
  <c r="A232" i="16" l="1"/>
  <c r="D231" i="16"/>
  <c r="E231" i="16"/>
  <c r="A233" i="16" l="1"/>
  <c r="D232" i="16"/>
  <c r="E232" i="16"/>
  <c r="A234" i="16" l="1"/>
  <c r="D233" i="16"/>
  <c r="E233" i="16"/>
  <c r="A235" i="16" l="1"/>
  <c r="D234" i="16"/>
  <c r="E234" i="16"/>
  <c r="A236" i="16" l="1"/>
  <c r="D235" i="16"/>
  <c r="E235" i="16"/>
  <c r="A237" i="16" l="1"/>
  <c r="D236" i="16"/>
  <c r="E236" i="16"/>
  <c r="A238" i="16" l="1"/>
  <c r="D237" i="16"/>
  <c r="E237" i="16"/>
  <c r="A239" i="16" l="1"/>
  <c r="D238" i="16"/>
  <c r="E238" i="16"/>
  <c r="A240" i="16" l="1"/>
  <c r="D239" i="16"/>
  <c r="E239" i="16"/>
  <c r="A241" i="16" l="1"/>
  <c r="D240" i="16"/>
  <c r="E240" i="16"/>
  <c r="A242" i="16" l="1"/>
  <c r="D241" i="16"/>
  <c r="E241" i="16"/>
  <c r="A243" i="16" l="1"/>
  <c r="D242" i="16"/>
  <c r="E242" i="16"/>
  <c r="A244" i="16" l="1"/>
  <c r="D243" i="16"/>
  <c r="E243" i="16"/>
  <c r="A245" i="16" l="1"/>
  <c r="D244" i="16"/>
  <c r="E244" i="16"/>
  <c r="A246" i="16" l="1"/>
  <c r="D245" i="16"/>
  <c r="E245" i="16"/>
  <c r="A247" i="16" l="1"/>
  <c r="D246" i="16"/>
  <c r="E246" i="16"/>
  <c r="A248" i="16" l="1"/>
  <c r="D247" i="16"/>
  <c r="E247" i="16"/>
  <c r="A249" i="16" l="1"/>
  <c r="D248" i="16"/>
  <c r="E248" i="16"/>
  <c r="A250" i="16" l="1"/>
  <c r="D249" i="16"/>
  <c r="E249" i="16"/>
  <c r="A251" i="16" l="1"/>
  <c r="D250" i="16"/>
  <c r="E250" i="16"/>
  <c r="A252" i="16" l="1"/>
  <c r="D251" i="16"/>
  <c r="E251" i="16"/>
  <c r="A253" i="16" l="1"/>
  <c r="D252" i="16"/>
  <c r="E252" i="16"/>
  <c r="A254" i="16" l="1"/>
  <c r="D253" i="16"/>
  <c r="E253" i="16"/>
  <c r="A255" i="16" l="1"/>
  <c r="D254" i="16"/>
  <c r="E254" i="16"/>
  <c r="A256" i="16" l="1"/>
  <c r="D255" i="16"/>
  <c r="E255" i="16"/>
  <c r="A257" i="16" l="1"/>
  <c r="D256" i="16"/>
  <c r="E256" i="16"/>
  <c r="A258" i="16" l="1"/>
  <c r="D257" i="16"/>
  <c r="E257" i="16"/>
  <c r="A259" i="16" l="1"/>
  <c r="D258" i="16"/>
  <c r="E258" i="16"/>
  <c r="A260" i="16" l="1"/>
  <c r="D259" i="16"/>
  <c r="E259" i="16"/>
  <c r="A261" i="16" l="1"/>
  <c r="D260" i="16"/>
  <c r="E260" i="16"/>
  <c r="A262" i="16" l="1"/>
  <c r="D261" i="16"/>
  <c r="E261" i="16"/>
  <c r="A263" i="16" l="1"/>
  <c r="D262" i="16"/>
  <c r="E262" i="16"/>
  <c r="A264" i="16" l="1"/>
  <c r="D263" i="16"/>
  <c r="E263" i="16"/>
  <c r="A265" i="16" l="1"/>
  <c r="D264" i="16"/>
  <c r="E264" i="16"/>
  <c r="A266" i="16" l="1"/>
  <c r="D265" i="16"/>
  <c r="E265" i="16"/>
  <c r="A267" i="16" l="1"/>
  <c r="D266" i="16"/>
  <c r="E266" i="16"/>
  <c r="A268" i="16" l="1"/>
  <c r="D267" i="16"/>
  <c r="E267" i="16"/>
  <c r="A269" i="16" l="1"/>
  <c r="D268" i="16"/>
  <c r="E268" i="16"/>
  <c r="A270" i="16" l="1"/>
  <c r="D269" i="16"/>
  <c r="E269" i="16"/>
  <c r="A271" i="16" l="1"/>
  <c r="D270" i="16"/>
  <c r="E270" i="16"/>
  <c r="A272" i="16" l="1"/>
  <c r="D271" i="16"/>
  <c r="E271" i="16"/>
  <c r="A273" i="16" l="1"/>
  <c r="D272" i="16"/>
  <c r="E272" i="16"/>
  <c r="A274" i="16" l="1"/>
  <c r="D273" i="16"/>
  <c r="E273" i="16"/>
  <c r="A275" i="16" l="1"/>
  <c r="D274" i="16"/>
  <c r="E274" i="16"/>
  <c r="A276" i="16" l="1"/>
  <c r="D275" i="16"/>
  <c r="E275" i="16"/>
  <c r="A277" i="16" l="1"/>
  <c r="D276" i="16"/>
  <c r="E276" i="16"/>
  <c r="A278" i="16" l="1"/>
  <c r="D277" i="16"/>
  <c r="E277" i="16"/>
  <c r="A279" i="16" l="1"/>
  <c r="D278" i="16"/>
  <c r="E278" i="16"/>
  <c r="A280" i="16" l="1"/>
  <c r="D279" i="16"/>
  <c r="E279" i="16"/>
  <c r="A281" i="16" l="1"/>
  <c r="D280" i="16"/>
  <c r="E280" i="16"/>
  <c r="A282" i="16" l="1"/>
  <c r="D281" i="16"/>
  <c r="E281" i="16"/>
  <c r="A283" i="16" l="1"/>
  <c r="D282" i="16"/>
  <c r="E282" i="16"/>
  <c r="A284" i="16" l="1"/>
  <c r="D283" i="16"/>
  <c r="E283" i="16"/>
  <c r="A285" i="16" l="1"/>
  <c r="D284" i="16"/>
  <c r="E284" i="16"/>
  <c r="A286" i="16" l="1"/>
  <c r="D285" i="16"/>
  <c r="E285" i="16"/>
  <c r="A287" i="16" l="1"/>
  <c r="D286" i="16"/>
  <c r="E286" i="16"/>
  <c r="A288" i="16" l="1"/>
  <c r="D287" i="16"/>
  <c r="E287" i="16"/>
  <c r="A289" i="16" l="1"/>
  <c r="D288" i="16"/>
  <c r="E288" i="16"/>
  <c r="A290" i="16" l="1"/>
  <c r="D289" i="16"/>
  <c r="E289" i="16"/>
  <c r="A291" i="16" l="1"/>
  <c r="D290" i="16"/>
  <c r="E290" i="16"/>
  <c r="A292" i="16" l="1"/>
  <c r="D291" i="16"/>
  <c r="E291" i="16"/>
  <c r="A293" i="16" l="1"/>
  <c r="D292" i="16"/>
  <c r="E292" i="16"/>
  <c r="A294" i="16" l="1"/>
  <c r="D293" i="16"/>
  <c r="E293" i="16"/>
  <c r="A295" i="16" l="1"/>
  <c r="D294" i="16"/>
  <c r="E294" i="16"/>
  <c r="A296" i="16" l="1"/>
  <c r="D295" i="16"/>
  <c r="E295" i="16"/>
  <c r="A297" i="16" l="1"/>
  <c r="D296" i="16"/>
  <c r="E296" i="16"/>
  <c r="A298" i="16" l="1"/>
  <c r="D297" i="16"/>
  <c r="E297" i="16"/>
  <c r="A299" i="16" l="1"/>
  <c r="D298" i="16"/>
  <c r="E298" i="16"/>
  <c r="A300" i="16" l="1"/>
  <c r="D299" i="16"/>
  <c r="E299" i="16"/>
  <c r="A301" i="16" l="1"/>
  <c r="D300" i="16"/>
  <c r="E300" i="16"/>
  <c r="A302" i="16" l="1"/>
  <c r="D301" i="16"/>
  <c r="E301" i="16"/>
  <c r="A303" i="16" l="1"/>
  <c r="D302" i="16"/>
  <c r="E302" i="16"/>
  <c r="A304" i="16" l="1"/>
  <c r="D303" i="16"/>
  <c r="E303" i="16"/>
  <c r="A305" i="16" l="1"/>
  <c r="D304" i="16"/>
  <c r="E304" i="16"/>
  <c r="A306" i="16" l="1"/>
  <c r="D305" i="16"/>
  <c r="E305" i="16"/>
  <c r="A307" i="16" l="1"/>
  <c r="D306" i="16"/>
  <c r="E306" i="16"/>
  <c r="A308" i="16" l="1"/>
  <c r="D307" i="16"/>
  <c r="E307" i="16"/>
  <c r="A309" i="16" l="1"/>
  <c r="D308" i="16"/>
  <c r="E308" i="16"/>
  <c r="A310" i="16" l="1"/>
  <c r="D309" i="16"/>
  <c r="E309" i="16"/>
  <c r="A311" i="16" l="1"/>
  <c r="D310" i="16"/>
  <c r="E310" i="16"/>
  <c r="A312" i="16" l="1"/>
  <c r="D311" i="16"/>
  <c r="E311" i="16"/>
  <c r="A313" i="16" l="1"/>
  <c r="D312" i="16"/>
  <c r="E312" i="16"/>
  <c r="A314" i="16" l="1"/>
  <c r="D313" i="16"/>
  <c r="E313" i="16"/>
  <c r="A315" i="16" l="1"/>
  <c r="D314" i="16"/>
  <c r="E314" i="16"/>
  <c r="A316" i="16" l="1"/>
  <c r="D315" i="16"/>
  <c r="E315" i="16"/>
  <c r="A317" i="16" l="1"/>
  <c r="D316" i="16"/>
  <c r="E316" i="16"/>
  <c r="A318" i="16" l="1"/>
  <c r="D317" i="16"/>
  <c r="E317" i="16"/>
  <c r="A319" i="16" l="1"/>
  <c r="D318" i="16"/>
  <c r="E318" i="16"/>
  <c r="A320" i="16" l="1"/>
  <c r="D319" i="16"/>
  <c r="E319" i="16"/>
  <c r="A321" i="16" l="1"/>
  <c r="D320" i="16"/>
  <c r="E320" i="16"/>
  <c r="A322" i="16" l="1"/>
  <c r="D321" i="16"/>
  <c r="E321" i="16"/>
  <c r="A323" i="16" l="1"/>
  <c r="D322" i="16"/>
  <c r="E322" i="16"/>
  <c r="A324" i="16" l="1"/>
  <c r="D323" i="16"/>
  <c r="E323" i="16"/>
  <c r="A325" i="16" l="1"/>
  <c r="D324" i="16"/>
  <c r="E324" i="16"/>
  <c r="A326" i="16" l="1"/>
  <c r="D325" i="16"/>
  <c r="E325" i="16"/>
  <c r="A327" i="16" l="1"/>
  <c r="D326" i="16"/>
  <c r="E326" i="16"/>
  <c r="A328" i="16" l="1"/>
  <c r="D327" i="16"/>
  <c r="E327" i="16"/>
  <c r="A329" i="16" l="1"/>
  <c r="D328" i="16"/>
  <c r="E328" i="16"/>
  <c r="A330" i="16" l="1"/>
  <c r="D329" i="16"/>
  <c r="E329" i="16"/>
  <c r="A331" i="16" l="1"/>
  <c r="D330" i="16"/>
  <c r="E330" i="16"/>
  <c r="A332" i="16" l="1"/>
  <c r="D331" i="16"/>
  <c r="E331" i="16"/>
  <c r="A333" i="16" l="1"/>
  <c r="D332" i="16"/>
  <c r="E332" i="16"/>
  <c r="A334" i="16" l="1"/>
  <c r="D333" i="16"/>
  <c r="E333" i="16"/>
  <c r="A335" i="16" l="1"/>
  <c r="D334" i="16"/>
  <c r="E334" i="16"/>
  <c r="A336" i="16" l="1"/>
  <c r="D335" i="16"/>
  <c r="E335" i="16"/>
  <c r="A337" i="16" l="1"/>
  <c r="D336" i="16"/>
  <c r="E336" i="16"/>
  <c r="A338" i="16" l="1"/>
  <c r="D337" i="16"/>
  <c r="E337" i="16"/>
  <c r="A339" i="16" l="1"/>
  <c r="D338" i="16"/>
  <c r="E338" i="16"/>
  <c r="A340" i="16" l="1"/>
  <c r="D339" i="16"/>
  <c r="E339" i="16"/>
  <c r="A341" i="16" l="1"/>
  <c r="D340" i="16"/>
  <c r="E340" i="16"/>
  <c r="A342" i="16" l="1"/>
  <c r="D341" i="16"/>
  <c r="E341" i="16"/>
  <c r="A343" i="16" l="1"/>
  <c r="D342" i="16"/>
  <c r="E342" i="16"/>
  <c r="A344" i="16" l="1"/>
  <c r="D343" i="16"/>
  <c r="E343" i="16"/>
  <c r="A345" i="16" l="1"/>
  <c r="D344" i="16"/>
  <c r="E344" i="16"/>
  <c r="A346" i="16" l="1"/>
  <c r="D345" i="16"/>
  <c r="E345" i="16"/>
  <c r="A347" i="16" l="1"/>
  <c r="D346" i="16"/>
  <c r="E346" i="16"/>
  <c r="A348" i="16" l="1"/>
  <c r="D347" i="16"/>
  <c r="E347" i="16"/>
  <c r="A349" i="16" l="1"/>
  <c r="D348" i="16"/>
  <c r="E348" i="16"/>
  <c r="A350" i="16" l="1"/>
  <c r="D349" i="16"/>
  <c r="E349" i="16"/>
  <c r="A351" i="16" l="1"/>
  <c r="D350" i="16"/>
  <c r="E350" i="16"/>
  <c r="A352" i="16" l="1"/>
  <c r="D351" i="16"/>
  <c r="E351" i="16"/>
  <c r="A353" i="16" l="1"/>
  <c r="D352" i="16"/>
  <c r="E352" i="16"/>
  <c r="A354" i="16" l="1"/>
  <c r="D353" i="16"/>
  <c r="E353" i="16"/>
  <c r="A355" i="16" l="1"/>
  <c r="D354" i="16"/>
  <c r="E354" i="16"/>
  <c r="A356" i="16" l="1"/>
  <c r="D355" i="16"/>
  <c r="E355" i="16"/>
  <c r="A357" i="16" l="1"/>
  <c r="D356" i="16"/>
  <c r="E356" i="16"/>
  <c r="A358" i="16" l="1"/>
  <c r="D357" i="16"/>
  <c r="E357" i="16"/>
  <c r="A359" i="16" l="1"/>
  <c r="D358" i="16"/>
  <c r="E358" i="16"/>
  <c r="A360" i="16" l="1"/>
  <c r="D359" i="16"/>
  <c r="E359" i="16"/>
  <c r="A361" i="16" l="1"/>
  <c r="D360" i="16"/>
  <c r="E360" i="16"/>
  <c r="A362" i="16" l="1"/>
  <c r="D361" i="16"/>
  <c r="E361" i="16"/>
  <c r="A363" i="16" l="1"/>
  <c r="D362" i="16"/>
  <c r="E362" i="16"/>
  <c r="A364" i="16" l="1"/>
  <c r="D363" i="16"/>
  <c r="E363" i="16"/>
  <c r="A365" i="16" l="1"/>
  <c r="D364" i="16"/>
  <c r="E364" i="16"/>
  <c r="A366" i="16" l="1"/>
  <c r="D365" i="16"/>
  <c r="E365" i="16"/>
  <c r="A367" i="16" l="1"/>
  <c r="D366" i="16"/>
  <c r="E366" i="16"/>
  <c r="A368" i="16" l="1"/>
  <c r="D367" i="16"/>
  <c r="E367" i="16"/>
  <c r="A369" i="16" l="1"/>
  <c r="D368" i="16"/>
  <c r="E368" i="16"/>
  <c r="A370" i="16" l="1"/>
  <c r="D369" i="16"/>
  <c r="E369" i="16"/>
  <c r="A371" i="16" l="1"/>
  <c r="D370" i="16"/>
  <c r="E370" i="16"/>
  <c r="A372" i="16" l="1"/>
  <c r="D371" i="16"/>
  <c r="E371" i="16"/>
  <c r="A373" i="16" l="1"/>
  <c r="D372" i="16"/>
  <c r="E372" i="16"/>
  <c r="A374" i="16" l="1"/>
  <c r="D373" i="16"/>
  <c r="E373" i="16"/>
  <c r="A375" i="16" l="1"/>
  <c r="D374" i="16"/>
  <c r="E374" i="16"/>
  <c r="A376" i="16" l="1"/>
  <c r="D375" i="16"/>
  <c r="E375" i="16"/>
  <c r="A377" i="16" l="1"/>
  <c r="D376" i="16"/>
  <c r="E376" i="16"/>
  <c r="A378" i="16" l="1"/>
  <c r="D377" i="16"/>
  <c r="E377" i="16"/>
  <c r="A379" i="16" l="1"/>
  <c r="D378" i="16"/>
  <c r="E378" i="16"/>
  <c r="A380" i="16" l="1"/>
  <c r="D379" i="16"/>
  <c r="E379" i="16"/>
  <c r="A381" i="16" l="1"/>
  <c r="D380" i="16"/>
  <c r="E380" i="16"/>
  <c r="A382" i="16" l="1"/>
  <c r="D381" i="16"/>
  <c r="E381" i="16"/>
  <c r="A383" i="16" l="1"/>
  <c r="D382" i="16"/>
  <c r="E382" i="16"/>
  <c r="A384" i="16" l="1"/>
  <c r="D383" i="16"/>
  <c r="E383" i="16"/>
  <c r="A385" i="16" l="1"/>
  <c r="D384" i="16"/>
  <c r="E384" i="16"/>
  <c r="A386" i="16" l="1"/>
  <c r="D385" i="16"/>
  <c r="E385" i="16"/>
  <c r="A387" i="16" l="1"/>
  <c r="D386" i="16"/>
  <c r="E386" i="16"/>
  <c r="A388" i="16" l="1"/>
  <c r="D387" i="16"/>
  <c r="E387" i="16"/>
  <c r="A389" i="16" l="1"/>
  <c r="D388" i="16"/>
  <c r="E388" i="16"/>
  <c r="A390" i="16" l="1"/>
  <c r="D389" i="16"/>
  <c r="E389" i="16"/>
  <c r="A391" i="16" l="1"/>
  <c r="D390" i="16"/>
  <c r="E390" i="16"/>
  <c r="A392" i="16" l="1"/>
  <c r="D391" i="16"/>
  <c r="E391" i="16"/>
  <c r="A393" i="16" l="1"/>
  <c r="D392" i="16"/>
  <c r="E392" i="16"/>
  <c r="A394" i="16" l="1"/>
  <c r="D393" i="16"/>
  <c r="E393" i="16"/>
  <c r="A395" i="16" l="1"/>
  <c r="D394" i="16"/>
  <c r="E394" i="16"/>
  <c r="A396" i="16" l="1"/>
  <c r="D395" i="16"/>
  <c r="E395" i="16"/>
  <c r="A397" i="16" l="1"/>
  <c r="D396" i="16"/>
  <c r="E396" i="16"/>
  <c r="A398" i="16" l="1"/>
  <c r="D397" i="16"/>
  <c r="E397" i="16"/>
  <c r="A399" i="16" l="1"/>
  <c r="D398" i="16"/>
  <c r="E398" i="16"/>
  <c r="A400" i="16" l="1"/>
  <c r="D399" i="16"/>
  <c r="E399" i="16"/>
  <c r="A401" i="16" l="1"/>
  <c r="D400" i="16"/>
  <c r="E400" i="16"/>
  <c r="A402" i="16" l="1"/>
  <c r="D401" i="16"/>
  <c r="E401" i="16"/>
  <c r="A403" i="16" l="1"/>
  <c r="D402" i="16"/>
  <c r="E402" i="16"/>
  <c r="A404" i="16" l="1"/>
  <c r="D403" i="16"/>
  <c r="E403" i="16"/>
  <c r="A405" i="16" l="1"/>
  <c r="D404" i="16"/>
  <c r="E404" i="16"/>
  <c r="A406" i="16" l="1"/>
  <c r="D405" i="16"/>
  <c r="E405" i="16"/>
  <c r="A407" i="16" l="1"/>
  <c r="D406" i="16"/>
  <c r="E406" i="16"/>
  <c r="A408" i="16" l="1"/>
  <c r="D407" i="16"/>
  <c r="E407" i="16"/>
  <c r="A409" i="16" l="1"/>
  <c r="D408" i="16"/>
  <c r="E408" i="16"/>
  <c r="A410" i="16" l="1"/>
  <c r="D409" i="16"/>
  <c r="E409" i="16"/>
  <c r="A411" i="16" l="1"/>
  <c r="D410" i="16"/>
  <c r="E410" i="16"/>
  <c r="A412" i="16" l="1"/>
  <c r="D411" i="16"/>
  <c r="E411" i="16"/>
  <c r="A413" i="16" l="1"/>
  <c r="D412" i="16"/>
  <c r="E412" i="16"/>
  <c r="A414" i="16" l="1"/>
  <c r="D413" i="16"/>
  <c r="E413" i="16"/>
  <c r="A415" i="16" l="1"/>
  <c r="D414" i="16"/>
  <c r="E414" i="16"/>
  <c r="A416" i="16" l="1"/>
  <c r="D415" i="16"/>
  <c r="E415" i="16"/>
  <c r="A417" i="16" l="1"/>
  <c r="D416" i="16"/>
  <c r="E416" i="16"/>
  <c r="A418" i="16" l="1"/>
  <c r="D417" i="16"/>
  <c r="E417" i="16"/>
  <c r="A419" i="16" l="1"/>
  <c r="D418" i="16"/>
  <c r="E418" i="16"/>
  <c r="A420" i="16" l="1"/>
  <c r="D419" i="16"/>
  <c r="E419" i="16"/>
  <c r="A421" i="16" l="1"/>
  <c r="D420" i="16"/>
  <c r="E420" i="16"/>
  <c r="A422" i="16" l="1"/>
  <c r="D421" i="16"/>
  <c r="E421" i="16"/>
  <c r="A423" i="16" l="1"/>
  <c r="D422" i="16"/>
  <c r="E422" i="16"/>
  <c r="A424" i="16" l="1"/>
  <c r="D423" i="16"/>
  <c r="E423" i="16"/>
  <c r="A425" i="16" l="1"/>
  <c r="D424" i="16"/>
  <c r="E424" i="16"/>
  <c r="A426" i="16" l="1"/>
  <c r="D425" i="16"/>
  <c r="E425" i="16"/>
  <c r="A427" i="16" l="1"/>
  <c r="D426" i="16"/>
  <c r="E426" i="16"/>
  <c r="A428" i="16" l="1"/>
  <c r="D427" i="16"/>
  <c r="E427" i="16"/>
  <c r="A429" i="16" l="1"/>
  <c r="D428" i="16"/>
  <c r="E428" i="16"/>
  <c r="A430" i="16" l="1"/>
  <c r="D429" i="16"/>
  <c r="E429" i="16"/>
  <c r="A431" i="16" l="1"/>
  <c r="D430" i="16"/>
  <c r="E430" i="16"/>
  <c r="A432" i="16" l="1"/>
  <c r="D431" i="16"/>
  <c r="E431" i="16"/>
  <c r="A433" i="16" l="1"/>
  <c r="D432" i="16"/>
  <c r="E432" i="16"/>
  <c r="A434" i="16" l="1"/>
  <c r="D433" i="16"/>
  <c r="E433" i="16"/>
  <c r="A435" i="16" l="1"/>
  <c r="D434" i="16"/>
  <c r="E2" i="13"/>
  <c r="H2" i="13" s="1"/>
  <c r="E3" i="13"/>
  <c r="H3" i="13" s="1"/>
  <c r="E5" i="13"/>
  <c r="H5" i="13" s="1"/>
  <c r="E6" i="13"/>
  <c r="H6" i="13" s="1"/>
  <c r="E7" i="13"/>
  <c r="H7" i="13" s="1"/>
  <c r="E8" i="13"/>
  <c r="H8" i="13" s="1"/>
  <c r="E9" i="13"/>
  <c r="H9" i="13" s="1"/>
  <c r="E10" i="13"/>
  <c r="H10" i="13" s="1"/>
  <c r="E11" i="13"/>
  <c r="H11" i="13" s="1"/>
  <c r="E12" i="13"/>
  <c r="H12" i="13" s="1"/>
  <c r="E13" i="13"/>
  <c r="H13" i="13" s="1"/>
  <c r="E18" i="13"/>
  <c r="H18" i="13" s="1"/>
  <c r="E19" i="13"/>
  <c r="H19" i="13" s="1"/>
  <c r="E20" i="13"/>
  <c r="H20" i="13" s="1"/>
  <c r="E21" i="13"/>
  <c r="H21" i="13" s="1"/>
  <c r="E22" i="13"/>
  <c r="H22" i="13" s="1"/>
  <c r="E23" i="13"/>
  <c r="H23" i="13" s="1"/>
  <c r="E24" i="13"/>
  <c r="H24" i="13" s="1"/>
  <c r="E25" i="13"/>
  <c r="H25" i="13" s="1"/>
  <c r="E26" i="13"/>
  <c r="H26" i="13" s="1"/>
  <c r="E27" i="13"/>
  <c r="H27" i="13" s="1"/>
  <c r="E28" i="13"/>
  <c r="H28" i="13" s="1"/>
  <c r="E33" i="13"/>
  <c r="H33" i="13" s="1"/>
  <c r="E34" i="13"/>
  <c r="H34" i="13" s="1"/>
  <c r="E35" i="13"/>
  <c r="H35" i="13" s="1"/>
  <c r="E36" i="13"/>
  <c r="H36" i="13" s="1"/>
  <c r="E37" i="13"/>
  <c r="H37" i="13" s="1"/>
  <c r="E38" i="13"/>
  <c r="H38" i="13" s="1"/>
  <c r="E39" i="13"/>
  <c r="H39" i="13" s="1"/>
  <c r="E40" i="13"/>
  <c r="H40" i="13" s="1"/>
  <c r="E41" i="13"/>
  <c r="H41" i="13" s="1"/>
  <c r="E42" i="13"/>
  <c r="H42" i="13" s="1"/>
  <c r="E43" i="13"/>
  <c r="H43" i="13" s="1"/>
  <c r="E44" i="13"/>
  <c r="H44" i="13" s="1"/>
  <c r="E45" i="13"/>
  <c r="H45" i="13" s="1"/>
  <c r="E46" i="13"/>
  <c r="H46" i="13" s="1"/>
  <c r="E47" i="13"/>
  <c r="H47" i="13" s="1"/>
  <c r="E48" i="13"/>
  <c r="H48" i="13" s="1"/>
  <c r="E49" i="13"/>
  <c r="H49" i="13" s="1"/>
  <c r="E52" i="13"/>
  <c r="H52" i="13" s="1"/>
  <c r="E53" i="13"/>
  <c r="H53" i="13" s="1"/>
  <c r="E54" i="13"/>
  <c r="H54" i="13" s="1"/>
  <c r="E55" i="13"/>
  <c r="H55" i="13" s="1"/>
  <c r="E56" i="13"/>
  <c r="H56" i="13" s="1"/>
  <c r="E57" i="13"/>
  <c r="H57" i="13" s="1"/>
  <c r="E58" i="13"/>
  <c r="H58" i="13" s="1"/>
  <c r="E59" i="13"/>
  <c r="H59" i="13" s="1"/>
  <c r="E61" i="13"/>
  <c r="H61" i="13" s="1"/>
  <c r="E62" i="13"/>
  <c r="H62" i="13" s="1"/>
  <c r="E65" i="13"/>
  <c r="H65" i="13" s="1"/>
  <c r="E67" i="13"/>
  <c r="H67" i="13" s="1"/>
  <c r="E69" i="13"/>
  <c r="H69" i="13" s="1"/>
  <c r="E72" i="13"/>
  <c r="H72" i="13" s="1"/>
  <c r="E73" i="13"/>
  <c r="H73" i="13" s="1"/>
  <c r="E74" i="13"/>
  <c r="H74" i="13" s="1"/>
  <c r="E75" i="13"/>
  <c r="H75" i="13" s="1"/>
  <c r="E76" i="13"/>
  <c r="H76" i="13" s="1"/>
  <c r="E77" i="13"/>
  <c r="H77" i="13" s="1"/>
  <c r="E78" i="13"/>
  <c r="H78" i="13" s="1"/>
  <c r="E79" i="13"/>
  <c r="H79" i="13" s="1"/>
  <c r="E80" i="13"/>
  <c r="H80" i="13" s="1"/>
  <c r="E81" i="13"/>
  <c r="H81" i="13" s="1"/>
  <c r="E82" i="13"/>
  <c r="H82" i="13" s="1"/>
  <c r="E83" i="13"/>
  <c r="H83" i="13" s="1"/>
  <c r="E84" i="13"/>
  <c r="H84" i="13" s="1"/>
  <c r="E85" i="13"/>
  <c r="H85" i="13" s="1"/>
  <c r="E86" i="13"/>
  <c r="H86" i="13" s="1"/>
  <c r="E87" i="13"/>
  <c r="H87" i="13" s="1"/>
  <c r="E88" i="13"/>
  <c r="H88" i="13" s="1"/>
  <c r="E89" i="13"/>
  <c r="H89" i="13" s="1"/>
  <c r="E91" i="13"/>
  <c r="H91" i="13" s="1"/>
  <c r="E92" i="13"/>
  <c r="H92" i="13" s="1"/>
  <c r="E93" i="13"/>
  <c r="H93" i="13" s="1"/>
  <c r="E94" i="13"/>
  <c r="H94" i="13" s="1"/>
  <c r="E95" i="13"/>
  <c r="H95" i="13" s="1"/>
  <c r="E96" i="13"/>
  <c r="H96" i="13" s="1"/>
  <c r="E97" i="13"/>
  <c r="H97" i="13" s="1"/>
  <c r="E98" i="13"/>
  <c r="H98" i="13" s="1"/>
  <c r="E99" i="13"/>
  <c r="H99" i="13" s="1"/>
  <c r="E100" i="13"/>
  <c r="H100" i="13" s="1"/>
  <c r="E102" i="13"/>
  <c r="H102" i="13" s="1"/>
  <c r="H103" i="13" s="1"/>
  <c r="E104" i="13"/>
  <c r="H104" i="13" s="1"/>
  <c r="E105" i="13"/>
  <c r="H105" i="13" s="1"/>
  <c r="E106" i="13"/>
  <c r="H106" i="13" s="1"/>
  <c r="E107" i="13"/>
  <c r="H107" i="13" s="1"/>
  <c r="E108" i="13"/>
  <c r="H108" i="13" s="1"/>
  <c r="E109" i="13"/>
  <c r="H109" i="13" s="1"/>
  <c r="E110" i="13"/>
  <c r="H110" i="13" s="1"/>
  <c r="E111" i="13"/>
  <c r="H111" i="13" s="1"/>
  <c r="E112" i="13"/>
  <c r="H112" i="13" s="1"/>
  <c r="E113" i="13"/>
  <c r="H113" i="13" s="1"/>
  <c r="E114" i="13"/>
  <c r="H114" i="13" s="1"/>
  <c r="E115" i="13"/>
  <c r="H115" i="13" s="1"/>
  <c r="E116" i="13"/>
  <c r="H116" i="13" s="1"/>
  <c r="E117" i="13"/>
  <c r="H117" i="13" s="1"/>
  <c r="E118" i="13"/>
  <c r="H118" i="13" s="1"/>
  <c r="E121" i="13"/>
  <c r="H121" i="13" s="1"/>
  <c r="E122" i="13"/>
  <c r="H122" i="13" s="1"/>
  <c r="E123" i="13"/>
  <c r="H123" i="13" s="1"/>
  <c r="E124" i="13"/>
  <c r="H124" i="13" s="1"/>
  <c r="E125" i="13"/>
  <c r="H125" i="13" s="1"/>
  <c r="E128" i="13"/>
  <c r="H128" i="13" s="1"/>
  <c r="E129" i="13"/>
  <c r="H129" i="13" s="1"/>
  <c r="E130" i="13"/>
  <c r="H130" i="13" s="1"/>
  <c r="E131" i="13"/>
  <c r="H131" i="13" s="1"/>
  <c r="E132" i="13"/>
  <c r="H132" i="13" s="1"/>
  <c r="E133" i="13"/>
  <c r="H133" i="13" s="1"/>
  <c r="E134" i="13"/>
  <c r="H134" i="13" s="1"/>
  <c r="E135" i="13"/>
  <c r="H135" i="13" s="1"/>
  <c r="E136" i="13"/>
  <c r="H136" i="13" s="1"/>
  <c r="E137" i="13"/>
  <c r="H137" i="13" s="1"/>
  <c r="E138" i="13"/>
  <c r="H138" i="13" s="1"/>
  <c r="E139" i="13"/>
  <c r="H139" i="13" s="1"/>
  <c r="E144" i="13"/>
  <c r="H144" i="13" s="1"/>
  <c r="E147" i="13"/>
  <c r="H147" i="13" s="1"/>
  <c r="E152" i="13"/>
  <c r="H152" i="13" s="1"/>
  <c r="E153" i="13"/>
  <c r="H153" i="13" s="1"/>
  <c r="E154" i="13"/>
  <c r="H154" i="13" s="1"/>
  <c r="E155" i="13"/>
  <c r="H155" i="13" s="1"/>
  <c r="E156" i="13"/>
  <c r="H156" i="13" s="1"/>
  <c r="E157" i="13"/>
  <c r="H157" i="13" s="1"/>
  <c r="E158" i="13"/>
  <c r="H158" i="13" s="1"/>
  <c r="E159" i="13"/>
  <c r="H159" i="13" s="1"/>
  <c r="E160" i="13"/>
  <c r="H160" i="13" s="1"/>
  <c r="AL3" i="16"/>
  <c r="AR3" i="16"/>
  <c r="AN3" i="16" s="1"/>
  <c r="D3" i="16"/>
  <c r="G3" i="16" s="1"/>
  <c r="E434" i="16"/>
  <c r="D435" i="16" l="1"/>
  <c r="J3" i="16"/>
  <c r="AB3" i="16" s="1"/>
  <c r="I3" i="16"/>
  <c r="H145" i="13"/>
  <c r="D144" i="13"/>
  <c r="C144" i="13" s="1"/>
  <c r="C143" i="13" s="1"/>
  <c r="D143" i="13" s="1"/>
  <c r="H143" i="13" s="1"/>
  <c r="H66" i="13"/>
  <c r="D65" i="13"/>
  <c r="C65" i="13" s="1"/>
  <c r="C64" i="13" s="1"/>
  <c r="D64" i="13" s="1"/>
  <c r="H64" i="13" s="1"/>
  <c r="H148" i="13"/>
  <c r="D147" i="13"/>
  <c r="C147" i="13" s="1"/>
  <c r="C146" i="13" s="1"/>
  <c r="D146" i="13" s="1"/>
  <c r="H146" i="13" s="1"/>
  <c r="H70" i="13"/>
  <c r="D69" i="13"/>
  <c r="C69" i="13" s="1"/>
  <c r="C68" i="13" s="1"/>
  <c r="D68" i="13" s="1"/>
  <c r="H68" i="13" s="1"/>
  <c r="AO3" i="16"/>
  <c r="AM3" i="16"/>
  <c r="AL4" i="16"/>
  <c r="AR4" i="16"/>
  <c r="AN4" i="16" s="1"/>
  <c r="D4" i="16"/>
  <c r="G4" i="16" s="1"/>
  <c r="E3" i="16"/>
  <c r="E4" i="16"/>
  <c r="E435" i="16"/>
  <c r="E140" i="13" l="1"/>
  <c r="H140" i="13" s="1"/>
  <c r="E119" i="13"/>
  <c r="H119" i="13" s="1"/>
  <c r="E120" i="13"/>
  <c r="H120" i="13" s="1"/>
  <c r="E4" i="13"/>
  <c r="H4" i="13" s="1"/>
  <c r="E17" i="13"/>
  <c r="H17" i="13" s="1"/>
  <c r="E15" i="13"/>
  <c r="H15" i="13" s="1"/>
  <c r="E16" i="13"/>
  <c r="H16" i="13" s="1"/>
  <c r="E29" i="13"/>
  <c r="H29" i="13" s="1"/>
  <c r="E51" i="13"/>
  <c r="H51" i="13" s="1"/>
  <c r="E50" i="13"/>
  <c r="H50" i="13" s="1"/>
  <c r="E31" i="13"/>
  <c r="H31" i="13" s="1"/>
  <c r="E14" i="13"/>
  <c r="H14" i="13" s="1"/>
  <c r="E60" i="13"/>
  <c r="H60" i="13" s="1"/>
  <c r="E30" i="13"/>
  <c r="H30" i="13" s="1"/>
  <c r="E32" i="13"/>
  <c r="H32" i="13" s="1"/>
  <c r="E90" i="13"/>
  <c r="H90" i="13" s="1"/>
  <c r="E150" i="13"/>
  <c r="H150" i="13" s="1"/>
  <c r="E126" i="13"/>
  <c r="H126" i="13" s="1"/>
  <c r="E127" i="13"/>
  <c r="H127" i="13" s="1"/>
  <c r="E151" i="13"/>
  <c r="H151" i="13" s="1"/>
  <c r="E141" i="13"/>
  <c r="H141" i="13" s="1"/>
  <c r="AA3" i="16"/>
  <c r="AD3" i="16"/>
  <c r="J4" i="16"/>
  <c r="AB4" i="16" s="1"/>
  <c r="AC3" i="16"/>
  <c r="I4" i="16"/>
  <c r="AC4" i="16" s="1"/>
  <c r="AU3" i="16"/>
  <c r="AM4" i="16"/>
  <c r="AO4" i="16"/>
  <c r="AL5" i="16"/>
  <c r="AR5" i="16"/>
  <c r="AN5" i="16" s="1"/>
  <c r="D5" i="16"/>
  <c r="G5" i="16" s="1"/>
  <c r="AD4" i="16" l="1"/>
  <c r="I5" i="16"/>
  <c r="AC5" i="16" s="1"/>
  <c r="J5" i="16"/>
  <c r="AB5" i="16" s="1"/>
  <c r="AA4" i="16"/>
  <c r="AU4" i="16"/>
  <c r="AO5" i="16"/>
  <c r="AM5" i="16"/>
  <c r="AL6" i="16"/>
  <c r="AR6" i="16"/>
  <c r="AN6" i="16" s="1"/>
  <c r="D6" i="16"/>
  <c r="G6" i="16" s="1"/>
  <c r="E5" i="16"/>
  <c r="AA5" i="16" l="1"/>
  <c r="AD5" i="16"/>
  <c r="I6" i="16"/>
  <c r="J6" i="16"/>
  <c r="AB6" i="16" s="1"/>
  <c r="AU5" i="16"/>
  <c r="AO6" i="16"/>
  <c r="AM6" i="16"/>
  <c r="AL7" i="16"/>
  <c r="AR7" i="16"/>
  <c r="AN7" i="16" s="1"/>
  <c r="D7" i="16"/>
  <c r="G7" i="16" s="1"/>
  <c r="E6" i="16"/>
  <c r="AD6" i="16" l="1"/>
  <c r="I7" i="16"/>
  <c r="AC7" i="16" s="1"/>
  <c r="AA6" i="16"/>
  <c r="AC6" i="16"/>
  <c r="J7" i="16"/>
  <c r="AB7" i="16" s="1"/>
  <c r="AU6" i="16"/>
  <c r="AO7" i="16"/>
  <c r="AM7" i="16"/>
  <c r="AL8" i="16"/>
  <c r="AR8" i="16"/>
  <c r="AN8" i="16" s="1"/>
  <c r="D8" i="16"/>
  <c r="J8" i="16" s="1"/>
  <c r="E7" i="16"/>
  <c r="AA7" i="16" l="1"/>
  <c r="AD7" i="16"/>
  <c r="G8" i="16"/>
  <c r="AB8" i="16" s="1"/>
  <c r="I8" i="16"/>
  <c r="AU7" i="16"/>
  <c r="AO8" i="16"/>
  <c r="AM8" i="16"/>
  <c r="AL9" i="16"/>
  <c r="AR9" i="16"/>
  <c r="AN9" i="16" s="1"/>
  <c r="D9" i="16"/>
  <c r="G9" i="16" s="1"/>
  <c r="E8" i="16"/>
  <c r="I9" i="16" l="1"/>
  <c r="AC9" i="16" s="1"/>
  <c r="AA8" i="16"/>
  <c r="AC8" i="16"/>
  <c r="AD8" i="16"/>
  <c r="J9" i="16"/>
  <c r="AB9" i="16" s="1"/>
  <c r="AU8" i="16"/>
  <c r="AO9" i="16"/>
  <c r="AM9" i="16"/>
  <c r="AL10" i="16"/>
  <c r="AR10" i="16"/>
  <c r="AN10" i="16" s="1"/>
  <c r="D10" i="16"/>
  <c r="G10" i="16" s="1"/>
  <c r="E9" i="16"/>
  <c r="AA9" i="16" l="1"/>
  <c r="J10" i="16"/>
  <c r="AB10" i="16" s="1"/>
  <c r="I10" i="16"/>
  <c r="AD10" i="16" s="1"/>
  <c r="AD9" i="16"/>
  <c r="AU9" i="16"/>
  <c r="AO10" i="16"/>
  <c r="AM10" i="16"/>
  <c r="AL11" i="16"/>
  <c r="AR11" i="16"/>
  <c r="AN11" i="16" s="1"/>
  <c r="D11" i="16"/>
  <c r="I11" i="16" s="1"/>
  <c r="AL12" i="16"/>
  <c r="AR12" i="16"/>
  <c r="AN12" i="16" s="1"/>
  <c r="D12" i="16"/>
  <c r="G12" i="16" s="1"/>
  <c r="E11" i="16"/>
  <c r="E10" i="16"/>
  <c r="AC10" i="16" l="1"/>
  <c r="AA10" i="16"/>
  <c r="J12" i="16"/>
  <c r="AB12" i="16" s="1"/>
  <c r="I12" i="16"/>
  <c r="AA12" i="16" s="1"/>
  <c r="J11" i="16"/>
  <c r="AU10" i="16"/>
  <c r="AD11" i="16"/>
  <c r="AC11" i="16"/>
  <c r="G11" i="16"/>
  <c r="AO12" i="16"/>
  <c r="AM11" i="16"/>
  <c r="AO11" i="16"/>
  <c r="AM12" i="16"/>
  <c r="AL13" i="16"/>
  <c r="AR13" i="16"/>
  <c r="AN13" i="16" s="1"/>
  <c r="D13" i="16"/>
  <c r="G13" i="16" s="1"/>
  <c r="E12" i="16"/>
  <c r="AD12" i="16" l="1"/>
  <c r="AC12" i="16"/>
  <c r="I13" i="16"/>
  <c r="AC13" i="16" s="1"/>
  <c r="J13" i="16"/>
  <c r="AB13" i="16" s="1"/>
  <c r="AB11" i="16"/>
  <c r="AA11" i="16"/>
  <c r="AU11" i="16"/>
  <c r="AU12" i="16"/>
  <c r="AO13" i="16"/>
  <c r="AM13" i="16"/>
  <c r="AL14" i="16"/>
  <c r="AR14" i="16"/>
  <c r="AN14" i="16" s="1"/>
  <c r="D14" i="16"/>
  <c r="G14" i="16" s="1"/>
  <c r="E13" i="16"/>
  <c r="AA13" i="16" l="1"/>
  <c r="AD13" i="16"/>
  <c r="I14" i="16"/>
  <c r="AC14" i="16" s="1"/>
  <c r="J14" i="16"/>
  <c r="AB14" i="16" s="1"/>
  <c r="AU13" i="16"/>
  <c r="AO14" i="16"/>
  <c r="AM14" i="16"/>
  <c r="AL15" i="16"/>
  <c r="AR15" i="16"/>
  <c r="AN15" i="16" s="1"/>
  <c r="D15" i="16"/>
  <c r="I15" i="16" s="1"/>
  <c r="E14" i="16"/>
  <c r="J15" i="16" l="1"/>
  <c r="AD14" i="16"/>
  <c r="AA14" i="16"/>
  <c r="AC15" i="16"/>
  <c r="AD15" i="16"/>
  <c r="G15" i="16"/>
  <c r="AA15" i="16" s="1"/>
  <c r="AU14" i="16"/>
  <c r="AO15" i="16"/>
  <c r="AM15" i="16"/>
  <c r="AL16" i="16"/>
  <c r="AR16" i="16"/>
  <c r="AN16" i="16" s="1"/>
  <c r="D16" i="16"/>
  <c r="G16" i="16" s="1"/>
  <c r="E15" i="16"/>
  <c r="I16" i="16" l="1"/>
  <c r="AC16" i="16" s="1"/>
  <c r="AU15" i="16"/>
  <c r="AB15" i="16"/>
  <c r="J16" i="16"/>
  <c r="AB16" i="16" s="1"/>
  <c r="AO16" i="16"/>
  <c r="AM16" i="16"/>
  <c r="AL17" i="16"/>
  <c r="AR17" i="16"/>
  <c r="AN17" i="16" s="1"/>
  <c r="D17" i="16"/>
  <c r="G17" i="16" s="1"/>
  <c r="E16" i="16"/>
  <c r="AD16" i="16" l="1"/>
  <c r="AA16" i="16"/>
  <c r="I17" i="16"/>
  <c r="AD17" i="16" s="1"/>
  <c r="J17" i="16"/>
  <c r="AB17" i="16" s="1"/>
  <c r="AU16" i="16"/>
  <c r="AO17" i="16"/>
  <c r="AM17" i="16"/>
  <c r="AL18" i="16"/>
  <c r="AR18" i="16"/>
  <c r="AN18" i="16" s="1"/>
  <c r="D18" i="16"/>
  <c r="G18" i="16" s="1"/>
  <c r="E17" i="16"/>
  <c r="AC17" i="16" l="1"/>
  <c r="I18" i="16"/>
  <c r="AD18" i="16" s="1"/>
  <c r="AA17" i="16"/>
  <c r="J18" i="16"/>
  <c r="AB18" i="16" s="1"/>
  <c r="AU17" i="16"/>
  <c r="AO18" i="16"/>
  <c r="AM18" i="16"/>
  <c r="AL19" i="16"/>
  <c r="AR19" i="16"/>
  <c r="AN19" i="16" s="1"/>
  <c r="D19" i="16"/>
  <c r="G19" i="16" s="1"/>
  <c r="E18" i="16"/>
  <c r="AC18" i="16" l="1"/>
  <c r="AA18" i="16"/>
  <c r="I19" i="16"/>
  <c r="AD19" i="16" s="1"/>
  <c r="J19" i="16"/>
  <c r="AB19" i="16" s="1"/>
  <c r="AU18" i="16"/>
  <c r="AO19" i="16"/>
  <c r="AM19" i="16"/>
  <c r="AL20" i="16"/>
  <c r="AR20" i="16"/>
  <c r="AN20" i="16" s="1"/>
  <c r="D20" i="16"/>
  <c r="G20" i="16" s="1"/>
  <c r="E19" i="16"/>
  <c r="AC19" i="16" l="1"/>
  <c r="AA19" i="16"/>
  <c r="I20" i="16"/>
  <c r="AD20" i="16" s="1"/>
  <c r="J20" i="16"/>
  <c r="AB20" i="16" s="1"/>
  <c r="AU19" i="16"/>
  <c r="AO20" i="16"/>
  <c r="AM20" i="16"/>
  <c r="AL21" i="16"/>
  <c r="AR21" i="16"/>
  <c r="AN21" i="16" s="1"/>
  <c r="D21" i="16"/>
  <c r="G21" i="16" s="1"/>
  <c r="E20" i="16"/>
  <c r="AC20" i="16" l="1"/>
  <c r="AA20" i="16"/>
  <c r="I21" i="16"/>
  <c r="J21" i="16"/>
  <c r="AB21" i="16" s="1"/>
  <c r="AU20" i="16"/>
  <c r="AO21" i="16"/>
  <c r="AM21" i="16"/>
  <c r="AL22" i="16"/>
  <c r="AR22" i="16"/>
  <c r="AN22" i="16" s="1"/>
  <c r="D22" i="16"/>
  <c r="I22" i="16" s="1"/>
  <c r="E21" i="16"/>
  <c r="AA21" i="16" l="1"/>
  <c r="AC21" i="16"/>
  <c r="AD21" i="16"/>
  <c r="AC22" i="16"/>
  <c r="AD22" i="16"/>
  <c r="G22" i="16"/>
  <c r="AA22" i="16" s="1"/>
  <c r="J22" i="16"/>
  <c r="AU21" i="16"/>
  <c r="AO22" i="16"/>
  <c r="AM22" i="16"/>
  <c r="AL23" i="16"/>
  <c r="AR23" i="16"/>
  <c r="AN23" i="16" s="1"/>
  <c r="D23" i="16"/>
  <c r="G23" i="16" s="1"/>
  <c r="E22" i="16"/>
  <c r="I23" i="16" l="1"/>
  <c r="AC23" i="16" s="1"/>
  <c r="AB22" i="16"/>
  <c r="J23" i="16"/>
  <c r="AB23" i="16" s="1"/>
  <c r="AU22" i="16"/>
  <c r="AM23" i="16"/>
  <c r="AO23" i="16"/>
  <c r="AL24" i="16"/>
  <c r="AR24" i="16"/>
  <c r="AN24" i="16" s="1"/>
  <c r="D24" i="16"/>
  <c r="G24" i="16" s="1"/>
  <c r="E23" i="16"/>
  <c r="I24" i="16" l="1"/>
  <c r="AC24" i="16" s="1"/>
  <c r="AD23" i="16"/>
  <c r="AA23" i="16"/>
  <c r="J24" i="16"/>
  <c r="AB24" i="16" s="1"/>
  <c r="AU23" i="16"/>
  <c r="AO24" i="16"/>
  <c r="AM24" i="16"/>
  <c r="AL25" i="16"/>
  <c r="AR25" i="16"/>
  <c r="AN25" i="16" s="1"/>
  <c r="D25" i="16"/>
  <c r="G25" i="16" s="1"/>
  <c r="E24" i="16"/>
  <c r="AA24" i="16" l="1"/>
  <c r="AD24" i="16"/>
  <c r="I25" i="16"/>
  <c r="AA25" i="16" s="1"/>
  <c r="J25" i="16"/>
  <c r="AB25" i="16" s="1"/>
  <c r="AU24" i="16"/>
  <c r="AO25" i="16"/>
  <c r="AM25" i="16"/>
  <c r="AL26" i="16"/>
  <c r="AR26" i="16"/>
  <c r="AN26" i="16" s="1"/>
  <c r="D26" i="16"/>
  <c r="G26" i="16" s="1"/>
  <c r="E25" i="16"/>
  <c r="AD25" i="16" l="1"/>
  <c r="AC25" i="16"/>
  <c r="I26" i="16"/>
  <c r="AC26" i="16" s="1"/>
  <c r="J26" i="16"/>
  <c r="AB26" i="16" s="1"/>
  <c r="AU25" i="16"/>
  <c r="AO26" i="16"/>
  <c r="AM26" i="16"/>
  <c r="AL27" i="16"/>
  <c r="AR27" i="16"/>
  <c r="AN27" i="16" s="1"/>
  <c r="D27" i="16"/>
  <c r="G27" i="16" s="1"/>
  <c r="E27" i="16"/>
  <c r="E26" i="16"/>
  <c r="AD26" i="16" l="1"/>
  <c r="AA26" i="16"/>
  <c r="I27" i="16"/>
  <c r="J27" i="16"/>
  <c r="AB27" i="16" s="1"/>
  <c r="AU26" i="16"/>
  <c r="AO27" i="16"/>
  <c r="AM27" i="16"/>
  <c r="AL28" i="16"/>
  <c r="AR28" i="16"/>
  <c r="AN28" i="16" s="1"/>
  <c r="D28" i="16"/>
  <c r="G28" i="16" s="1"/>
  <c r="J28" i="16" l="1"/>
  <c r="AB28" i="16" s="1"/>
  <c r="I28" i="16"/>
  <c r="AC28" i="16" s="1"/>
  <c r="AA27" i="16"/>
  <c r="AD27" i="16"/>
  <c r="AC27" i="16"/>
  <c r="AU27" i="16"/>
  <c r="AO28" i="16"/>
  <c r="AM28" i="16"/>
  <c r="J36" i="21"/>
  <c r="AR29" i="16"/>
  <c r="AM29" i="16" s="1"/>
  <c r="D29" i="16"/>
  <c r="I29" i="16" s="1"/>
  <c r="E28" i="16"/>
  <c r="AD28" i="16" l="1"/>
  <c r="AA28" i="16"/>
  <c r="AC29" i="16"/>
  <c r="AD29" i="16"/>
  <c r="AU28" i="16"/>
  <c r="J29" i="16"/>
  <c r="G29" i="16"/>
  <c r="AA29" i="16" s="1"/>
  <c r="AO29" i="16"/>
  <c r="AN29" i="16"/>
  <c r="AL30" i="16"/>
  <c r="AR30" i="16"/>
  <c r="AM30" i="16" s="1"/>
  <c r="D30" i="16"/>
  <c r="G30" i="16" s="1"/>
  <c r="E29" i="16"/>
  <c r="AB29" i="16" l="1"/>
  <c r="I30" i="16"/>
  <c r="J30" i="16"/>
  <c r="AB30" i="16" s="1"/>
  <c r="AN30" i="16"/>
  <c r="AO30" i="16"/>
  <c r="AL31" i="16"/>
  <c r="AR31" i="16"/>
  <c r="AN31" i="16" s="1"/>
  <c r="D31" i="16"/>
  <c r="J31" i="16" s="1"/>
  <c r="E30" i="16"/>
  <c r="G31" i="16" l="1"/>
  <c r="AB31" i="16" s="1"/>
  <c r="I31" i="16"/>
  <c r="AU30" i="16"/>
  <c r="AA30" i="16"/>
  <c r="AD30" i="16"/>
  <c r="AC30" i="16"/>
  <c r="AO31" i="16"/>
  <c r="AM31" i="16"/>
  <c r="AL32" i="16"/>
  <c r="AR32" i="16"/>
  <c r="AN32" i="16" s="1"/>
  <c r="D32" i="16"/>
  <c r="I32" i="16" s="1"/>
  <c r="E31" i="16"/>
  <c r="AA31" i="16" l="1"/>
  <c r="AD31" i="16"/>
  <c r="AC31" i="16"/>
  <c r="AC32" i="16"/>
  <c r="AD32" i="16"/>
  <c r="G32" i="16"/>
  <c r="AA32" i="16" s="1"/>
  <c r="J32" i="16"/>
  <c r="AU31" i="16"/>
  <c r="AO32" i="16"/>
  <c r="AM32" i="16"/>
  <c r="J37" i="21"/>
  <c r="AR33" i="16"/>
  <c r="AM33" i="16" s="1"/>
  <c r="D33" i="16"/>
  <c r="G33" i="16" s="1"/>
  <c r="E32" i="16"/>
  <c r="I33" i="16" l="1"/>
  <c r="AC33" i="16" s="1"/>
  <c r="AB32" i="16"/>
  <c r="J33" i="16"/>
  <c r="AB33" i="16" s="1"/>
  <c r="AN33" i="16"/>
  <c r="AU32" i="16"/>
  <c r="AO33" i="16"/>
  <c r="AL34" i="16"/>
  <c r="AR34" i="16"/>
  <c r="AN34" i="16" s="1"/>
  <c r="D34" i="16"/>
  <c r="G34" i="16" s="1"/>
  <c r="E33" i="16"/>
  <c r="AA33" i="16" l="1"/>
  <c r="AD33" i="16"/>
  <c r="I34" i="16"/>
  <c r="AC34" i="16" s="1"/>
  <c r="J34" i="16"/>
  <c r="AB34" i="16" s="1"/>
  <c r="AO34" i="16"/>
  <c r="AM34" i="16"/>
  <c r="AL35" i="16"/>
  <c r="AR35" i="16"/>
  <c r="AN35" i="16" s="1"/>
  <c r="D35" i="16"/>
  <c r="G35" i="16" s="1"/>
  <c r="E34" i="16"/>
  <c r="AA34" i="16" l="1"/>
  <c r="I35" i="16"/>
  <c r="AC35" i="16" s="1"/>
  <c r="AD34" i="16"/>
  <c r="J35" i="16"/>
  <c r="AB35" i="16" s="1"/>
  <c r="AU34" i="16"/>
  <c r="AO35" i="16"/>
  <c r="AM35" i="16"/>
  <c r="AL36" i="16"/>
  <c r="AR36" i="16"/>
  <c r="AN36" i="16" s="1"/>
  <c r="D36" i="16"/>
  <c r="I36" i="16" s="1"/>
  <c r="E35" i="16"/>
  <c r="J36" i="16" l="1"/>
  <c r="AA35" i="16"/>
  <c r="AD35" i="16"/>
  <c r="G36" i="16"/>
  <c r="AA36" i="16" s="1"/>
  <c r="AC36" i="16"/>
  <c r="AD36" i="16"/>
  <c r="AU35" i="16"/>
  <c r="AO36" i="16"/>
  <c r="AM36" i="16"/>
  <c r="AL37" i="16"/>
  <c r="AR37" i="16"/>
  <c r="AN37" i="16" s="1"/>
  <c r="D37" i="16"/>
  <c r="G37" i="16" s="1"/>
  <c r="E36" i="16"/>
  <c r="AB36" i="16" l="1"/>
  <c r="I37" i="16"/>
  <c r="AC37" i="16" s="1"/>
  <c r="J37" i="16"/>
  <c r="AB37" i="16" s="1"/>
  <c r="AU36" i="16"/>
  <c r="AM37" i="16"/>
  <c r="AO37" i="16"/>
  <c r="AL38" i="16"/>
  <c r="AR38" i="16"/>
  <c r="AN38" i="16" s="1"/>
  <c r="D38" i="16"/>
  <c r="G38" i="16" s="1"/>
  <c r="E37" i="16"/>
  <c r="AD37" i="16" l="1"/>
  <c r="AA37" i="16"/>
  <c r="I38" i="16"/>
  <c r="AA38" i="16" s="1"/>
  <c r="J38" i="16"/>
  <c r="AB38" i="16" s="1"/>
  <c r="AU37" i="16"/>
  <c r="AO38" i="16"/>
  <c r="AM38" i="16"/>
  <c r="AL39" i="16"/>
  <c r="AR39" i="16"/>
  <c r="AN39" i="16" s="1"/>
  <c r="D39" i="16"/>
  <c r="G39" i="16" s="1"/>
  <c r="E38" i="16"/>
  <c r="AC38" i="16" l="1"/>
  <c r="AD38" i="16"/>
  <c r="AU38" i="16"/>
  <c r="I39" i="16"/>
  <c r="J39" i="16"/>
  <c r="AB39" i="16" s="1"/>
  <c r="AO39" i="16"/>
  <c r="AM39" i="16"/>
  <c r="J38" i="21"/>
  <c r="AR40" i="16"/>
  <c r="AM40" i="16" s="1"/>
  <c r="G40" i="16"/>
  <c r="I40" i="16"/>
  <c r="J40" i="16"/>
  <c r="AL41" i="16"/>
  <c r="AR41" i="16"/>
  <c r="AO41" i="16" s="1"/>
  <c r="G41" i="16"/>
  <c r="I41" i="16"/>
  <c r="J41" i="16"/>
  <c r="AL42" i="16"/>
  <c r="AR42" i="16"/>
  <c r="AM42" i="16" s="1"/>
  <c r="G42" i="16"/>
  <c r="I42" i="16"/>
  <c r="AD42" i="16" s="1"/>
  <c r="J42" i="16"/>
  <c r="AL43" i="16"/>
  <c r="AR43" i="16"/>
  <c r="AO43" i="16" s="1"/>
  <c r="G43" i="16"/>
  <c r="I43" i="16"/>
  <c r="AC43" i="16" s="1"/>
  <c r="J43" i="16"/>
  <c r="AL44" i="16"/>
  <c r="AR44" i="16"/>
  <c r="AM44" i="16" s="1"/>
  <c r="G44" i="16"/>
  <c r="I44" i="16"/>
  <c r="AD44" i="16" s="1"/>
  <c r="J44" i="16"/>
  <c r="AL45" i="16"/>
  <c r="AR45" i="16"/>
  <c r="AO45" i="16" s="1"/>
  <c r="G45" i="16"/>
  <c r="I45" i="16"/>
  <c r="AD45" i="16" s="1"/>
  <c r="J45" i="16"/>
  <c r="AL46" i="16"/>
  <c r="AR46" i="16"/>
  <c r="AM46" i="16" s="1"/>
  <c r="G46" i="16"/>
  <c r="I46" i="16"/>
  <c r="AC46" i="16" s="1"/>
  <c r="J46" i="16"/>
  <c r="AL47" i="16"/>
  <c r="AR47" i="16"/>
  <c r="AN47" i="16" s="1"/>
  <c r="G47" i="16"/>
  <c r="I47" i="16"/>
  <c r="AC47" i="16" s="1"/>
  <c r="J47" i="16"/>
  <c r="AL48" i="16"/>
  <c r="AR48" i="16"/>
  <c r="AM48" i="16" s="1"/>
  <c r="G48" i="16"/>
  <c r="I48" i="16"/>
  <c r="AD48" i="16" s="1"/>
  <c r="J48" i="16"/>
  <c r="AL49" i="16"/>
  <c r="AR49" i="16"/>
  <c r="AN49" i="16" s="1"/>
  <c r="G49" i="16"/>
  <c r="I49" i="16"/>
  <c r="AC49" i="16" s="1"/>
  <c r="J49" i="16"/>
  <c r="AL50" i="16"/>
  <c r="AR50" i="16"/>
  <c r="AM50" i="16" s="1"/>
  <c r="G50" i="16"/>
  <c r="I50" i="16"/>
  <c r="AC50" i="16" s="1"/>
  <c r="J50" i="16"/>
  <c r="AL51" i="16"/>
  <c r="AR51" i="16"/>
  <c r="AO51" i="16" s="1"/>
  <c r="G51" i="16"/>
  <c r="I51" i="16"/>
  <c r="AC51" i="16" s="1"/>
  <c r="J51" i="16"/>
  <c r="AL52" i="16"/>
  <c r="AR52" i="16"/>
  <c r="AM52" i="16" s="1"/>
  <c r="G52" i="16"/>
  <c r="I52" i="16"/>
  <c r="J52" i="16"/>
  <c r="AL53" i="16"/>
  <c r="AR53" i="16"/>
  <c r="AO53" i="16" s="1"/>
  <c r="G53" i="16"/>
  <c r="I53" i="16"/>
  <c r="AD53" i="16" s="1"/>
  <c r="J53" i="16"/>
  <c r="AL54" i="16"/>
  <c r="AR54" i="16"/>
  <c r="AM54" i="16" s="1"/>
  <c r="G54" i="16"/>
  <c r="I54" i="16"/>
  <c r="AC54" i="16" s="1"/>
  <c r="J54" i="16"/>
  <c r="AL55" i="16"/>
  <c r="AR55" i="16"/>
  <c r="AN55" i="16" s="1"/>
  <c r="G55" i="16"/>
  <c r="I55" i="16"/>
  <c r="AC55" i="16" s="1"/>
  <c r="J55" i="16"/>
  <c r="AL56" i="16"/>
  <c r="AR56" i="16"/>
  <c r="AM56" i="16" s="1"/>
  <c r="G56" i="16"/>
  <c r="I56" i="16"/>
  <c r="AD56" i="16" s="1"/>
  <c r="J56" i="16"/>
  <c r="AL57" i="16"/>
  <c r="AR57" i="16"/>
  <c r="AO57" i="16" s="1"/>
  <c r="G57" i="16"/>
  <c r="I57" i="16"/>
  <c r="AD57" i="16" s="1"/>
  <c r="J57" i="16"/>
  <c r="AL58" i="16"/>
  <c r="AR58" i="16"/>
  <c r="AM58" i="16" s="1"/>
  <c r="G58" i="16"/>
  <c r="I58" i="16"/>
  <c r="AC58" i="16" s="1"/>
  <c r="J58" i="16"/>
  <c r="AL59" i="16"/>
  <c r="AR59" i="16"/>
  <c r="AO59" i="16" s="1"/>
  <c r="G59" i="16"/>
  <c r="I59" i="16"/>
  <c r="AC59" i="16" s="1"/>
  <c r="J59" i="16"/>
  <c r="AL60" i="16"/>
  <c r="AR60" i="16"/>
  <c r="AM60" i="16" s="1"/>
  <c r="G60" i="16"/>
  <c r="I60" i="16"/>
  <c r="AD60" i="16" s="1"/>
  <c r="J60" i="16"/>
  <c r="AL61" i="16"/>
  <c r="AR61" i="16"/>
  <c r="AN61" i="16" s="1"/>
  <c r="G61" i="16"/>
  <c r="I61" i="16"/>
  <c r="AD61" i="16" s="1"/>
  <c r="J61" i="16"/>
  <c r="AL62" i="16"/>
  <c r="AR62" i="16"/>
  <c r="AM62" i="16" s="1"/>
  <c r="G62" i="16"/>
  <c r="I62" i="16"/>
  <c r="AC62" i="16" s="1"/>
  <c r="J62" i="16"/>
  <c r="AL63" i="16"/>
  <c r="AR63" i="16"/>
  <c r="AN63" i="16" s="1"/>
  <c r="G63" i="16"/>
  <c r="I63" i="16"/>
  <c r="AC63" i="16" s="1"/>
  <c r="J63" i="16"/>
  <c r="AL64" i="16"/>
  <c r="AR64" i="16"/>
  <c r="AM64" i="16" s="1"/>
  <c r="G64" i="16"/>
  <c r="I64" i="16"/>
  <c r="J64" i="16"/>
  <c r="AL65" i="16"/>
  <c r="AR65" i="16"/>
  <c r="AN65" i="16" s="1"/>
  <c r="G65" i="16"/>
  <c r="I65" i="16"/>
  <c r="J65" i="16"/>
  <c r="AL66" i="16"/>
  <c r="AR66" i="16"/>
  <c r="AO66" i="16" s="1"/>
  <c r="G66" i="16"/>
  <c r="I66" i="16"/>
  <c r="AC66" i="16" s="1"/>
  <c r="J66" i="16"/>
  <c r="AL67" i="16"/>
  <c r="AR67" i="16"/>
  <c r="AN67" i="16" s="1"/>
  <c r="G67" i="16"/>
  <c r="I67" i="16"/>
  <c r="AC67" i="16" s="1"/>
  <c r="J67" i="16"/>
  <c r="AL68" i="16"/>
  <c r="AR68" i="16"/>
  <c r="AM68" i="16" s="1"/>
  <c r="G68" i="16"/>
  <c r="I68" i="16"/>
  <c r="J68" i="16"/>
  <c r="AL69" i="16"/>
  <c r="AR69" i="16"/>
  <c r="AN69" i="16" s="1"/>
  <c r="G69" i="16"/>
  <c r="I69" i="16"/>
  <c r="J69" i="16"/>
  <c r="AL70" i="16"/>
  <c r="AR70" i="16"/>
  <c r="AM70" i="16" s="1"/>
  <c r="G70" i="16"/>
  <c r="I70" i="16"/>
  <c r="AC70" i="16" s="1"/>
  <c r="J70" i="16"/>
  <c r="AL71" i="16"/>
  <c r="AR71" i="16"/>
  <c r="AN71" i="16" s="1"/>
  <c r="G71" i="16"/>
  <c r="I71" i="16"/>
  <c r="AC71" i="16" s="1"/>
  <c r="J71" i="16"/>
  <c r="AL72" i="16"/>
  <c r="AR72" i="16"/>
  <c r="AM72" i="16" s="1"/>
  <c r="G72" i="16"/>
  <c r="I72" i="16"/>
  <c r="J72" i="16"/>
  <c r="AL73" i="16"/>
  <c r="AR73" i="16"/>
  <c r="AO73" i="16" s="1"/>
  <c r="G73" i="16"/>
  <c r="I73" i="16"/>
  <c r="J73" i="16"/>
  <c r="AL74" i="16"/>
  <c r="AR74" i="16"/>
  <c r="AM74" i="16" s="1"/>
  <c r="G74" i="16"/>
  <c r="I74" i="16"/>
  <c r="AC74" i="16" s="1"/>
  <c r="J74" i="16"/>
  <c r="AL75" i="16"/>
  <c r="AR75" i="16"/>
  <c r="AN75" i="16" s="1"/>
  <c r="G75" i="16"/>
  <c r="I75" i="16"/>
  <c r="AC75" i="16" s="1"/>
  <c r="J75" i="16"/>
  <c r="AL76" i="16"/>
  <c r="AR76" i="16"/>
  <c r="AM76" i="16" s="1"/>
  <c r="G76" i="16"/>
  <c r="I76" i="16"/>
  <c r="J76" i="16"/>
  <c r="AL77" i="16"/>
  <c r="AR77" i="16"/>
  <c r="AN77" i="16" s="1"/>
  <c r="G77" i="16"/>
  <c r="I77" i="16"/>
  <c r="J77" i="16"/>
  <c r="AL78" i="16"/>
  <c r="AR78" i="16"/>
  <c r="AM78" i="16" s="1"/>
  <c r="G78" i="16"/>
  <c r="I78" i="16"/>
  <c r="AC78" i="16" s="1"/>
  <c r="J78" i="16"/>
  <c r="AL79" i="16"/>
  <c r="AR79" i="16"/>
  <c r="AO79" i="16" s="1"/>
  <c r="G79" i="16"/>
  <c r="I79" i="16"/>
  <c r="AC79" i="16" s="1"/>
  <c r="J79" i="16"/>
  <c r="AL80" i="16"/>
  <c r="AR80" i="16"/>
  <c r="AM80" i="16" s="1"/>
  <c r="G80" i="16"/>
  <c r="I80" i="16"/>
  <c r="J80" i="16"/>
  <c r="AL81" i="16"/>
  <c r="AR81" i="16"/>
  <c r="AO81" i="16" s="1"/>
  <c r="G81" i="16"/>
  <c r="I81" i="16"/>
  <c r="J81" i="16"/>
  <c r="AL82" i="16"/>
  <c r="AR82" i="16"/>
  <c r="AM82" i="16" s="1"/>
  <c r="G82" i="16"/>
  <c r="I82" i="16"/>
  <c r="AC82" i="16" s="1"/>
  <c r="J82" i="16"/>
  <c r="AL83" i="16"/>
  <c r="AR83" i="16"/>
  <c r="AN83" i="16" s="1"/>
  <c r="G83" i="16"/>
  <c r="I83" i="16"/>
  <c r="AC83" i="16" s="1"/>
  <c r="J83" i="16"/>
  <c r="AL84" i="16"/>
  <c r="AR84" i="16"/>
  <c r="AM84" i="16" s="1"/>
  <c r="G84" i="16"/>
  <c r="I84" i="16"/>
  <c r="AD84" i="16" s="1"/>
  <c r="J84" i="16"/>
  <c r="AL85" i="16"/>
  <c r="AR85" i="16"/>
  <c r="AN85" i="16" s="1"/>
  <c r="G85" i="16"/>
  <c r="I85" i="16"/>
  <c r="AD85" i="16" s="1"/>
  <c r="J85" i="16"/>
  <c r="AL86" i="16"/>
  <c r="AR86" i="16"/>
  <c r="AM86" i="16" s="1"/>
  <c r="G86" i="16"/>
  <c r="I86" i="16"/>
  <c r="AC86" i="16" s="1"/>
  <c r="J86" i="16"/>
  <c r="AL87" i="16"/>
  <c r="AR87" i="16"/>
  <c r="AN87" i="16" s="1"/>
  <c r="G87" i="16"/>
  <c r="I87" i="16"/>
  <c r="AC87" i="16" s="1"/>
  <c r="J87" i="16"/>
  <c r="AL88" i="16"/>
  <c r="AR88" i="16"/>
  <c r="AM88" i="16" s="1"/>
  <c r="G88" i="16"/>
  <c r="I88" i="16"/>
  <c r="AC88" i="16" s="1"/>
  <c r="J88" i="16"/>
  <c r="AL89" i="16"/>
  <c r="AR89" i="16"/>
  <c r="AN89" i="16" s="1"/>
  <c r="G89" i="16"/>
  <c r="I89" i="16"/>
  <c r="AC89" i="16" s="1"/>
  <c r="J89" i="16"/>
  <c r="AL90" i="16"/>
  <c r="AR90" i="16"/>
  <c r="AM90" i="16" s="1"/>
  <c r="G90" i="16"/>
  <c r="I90" i="16"/>
  <c r="J90" i="16"/>
  <c r="AL91" i="16"/>
  <c r="AR91" i="16"/>
  <c r="AN91" i="16" s="1"/>
  <c r="G91" i="16"/>
  <c r="I91" i="16"/>
  <c r="AC91" i="16" s="1"/>
  <c r="J91" i="16"/>
  <c r="AL92" i="16"/>
  <c r="AR92" i="16"/>
  <c r="AM92" i="16" s="1"/>
  <c r="G92" i="16"/>
  <c r="I92" i="16"/>
  <c r="AC92" i="16" s="1"/>
  <c r="J92" i="16"/>
  <c r="AL93" i="16"/>
  <c r="AR93" i="16"/>
  <c r="AN93" i="16" s="1"/>
  <c r="G93" i="16"/>
  <c r="I93" i="16"/>
  <c r="J93" i="16"/>
  <c r="AL94" i="16"/>
  <c r="AR94" i="16"/>
  <c r="AM94" i="16" s="1"/>
  <c r="G94" i="16"/>
  <c r="I94" i="16"/>
  <c r="J94" i="16"/>
  <c r="AR95" i="16"/>
  <c r="AN95" i="16" s="1"/>
  <c r="G95" i="16"/>
  <c r="I95" i="16"/>
  <c r="AC95" i="16" s="1"/>
  <c r="J95" i="16"/>
  <c r="AR96" i="16"/>
  <c r="AM96" i="16" s="1"/>
  <c r="G96" i="16"/>
  <c r="I96" i="16"/>
  <c r="J96" i="16"/>
  <c r="AL97" i="16"/>
  <c r="AR97" i="16"/>
  <c r="AO97" i="16" s="1"/>
  <c r="G97" i="16"/>
  <c r="I97" i="16"/>
  <c r="J97" i="16"/>
  <c r="AL98" i="16"/>
  <c r="AR98" i="16"/>
  <c r="AM98" i="16" s="1"/>
  <c r="G98" i="16"/>
  <c r="I98" i="16"/>
  <c r="J98" i="16"/>
  <c r="AL99" i="16"/>
  <c r="AR99" i="16"/>
  <c r="AN99" i="16" s="1"/>
  <c r="G99" i="16"/>
  <c r="I99" i="16"/>
  <c r="AC99" i="16" s="1"/>
  <c r="J99" i="16"/>
  <c r="AL100" i="16"/>
  <c r="AR100" i="16"/>
  <c r="AM100" i="16" s="1"/>
  <c r="G100" i="16"/>
  <c r="I100" i="16"/>
  <c r="J100" i="16"/>
  <c r="AL101" i="16"/>
  <c r="AR101" i="16"/>
  <c r="AN101" i="16" s="1"/>
  <c r="G101" i="16"/>
  <c r="I101" i="16"/>
  <c r="AC101" i="16" s="1"/>
  <c r="J101" i="16"/>
  <c r="AL102" i="16"/>
  <c r="AR102" i="16"/>
  <c r="AM102" i="16" s="1"/>
  <c r="G102" i="16"/>
  <c r="I102" i="16"/>
  <c r="AD102" i="16" s="1"/>
  <c r="J102" i="16"/>
  <c r="J39" i="21"/>
  <c r="AL103" i="16" s="1"/>
  <c r="AR103" i="16"/>
  <c r="AN103" i="16" s="1"/>
  <c r="G103" i="16"/>
  <c r="I103" i="16"/>
  <c r="AC103" i="16" s="1"/>
  <c r="J103" i="16"/>
  <c r="J40" i="21"/>
  <c r="AL104" i="16" s="1"/>
  <c r="AR104" i="16"/>
  <c r="AN104" i="16" s="1"/>
  <c r="G104" i="16"/>
  <c r="I104" i="16"/>
  <c r="AC104" i="16" s="1"/>
  <c r="J104" i="16"/>
  <c r="AL105" i="16"/>
  <c r="AR105" i="16"/>
  <c r="AM105" i="16" s="1"/>
  <c r="G105" i="16"/>
  <c r="I105" i="16"/>
  <c r="AC105" i="16" s="1"/>
  <c r="J105" i="16"/>
  <c r="J41" i="21"/>
  <c r="AR106" i="16"/>
  <c r="AN106" i="16" s="1"/>
  <c r="G106" i="16"/>
  <c r="I106" i="16"/>
  <c r="AC106" i="16" s="1"/>
  <c r="J106" i="16"/>
  <c r="AR107" i="16"/>
  <c r="AM107" i="16" s="1"/>
  <c r="G107" i="16"/>
  <c r="I107" i="16"/>
  <c r="AC107" i="16" s="1"/>
  <c r="J107" i="16"/>
  <c r="AL108" i="16"/>
  <c r="AR108" i="16"/>
  <c r="AN108" i="16" s="1"/>
  <c r="G108" i="16"/>
  <c r="I108" i="16"/>
  <c r="AC108" i="16" s="1"/>
  <c r="AL109" i="16"/>
  <c r="AR109" i="16"/>
  <c r="AN109" i="16" s="1"/>
  <c r="G109" i="16"/>
  <c r="I109" i="16"/>
  <c r="AC109" i="16" s="1"/>
  <c r="J109" i="16"/>
  <c r="AL110" i="16"/>
  <c r="AR110" i="16"/>
  <c r="AN110" i="16" s="1"/>
  <c r="G110" i="16"/>
  <c r="I110" i="16"/>
  <c r="AC110" i="16" s="1"/>
  <c r="J110" i="16"/>
  <c r="AL111" i="16"/>
  <c r="AR111" i="16"/>
  <c r="AN111" i="16" s="1"/>
  <c r="G111" i="16"/>
  <c r="I111" i="16"/>
  <c r="AC111" i="16" s="1"/>
  <c r="J111" i="16"/>
  <c r="AL112" i="16"/>
  <c r="AR112" i="16"/>
  <c r="AN112" i="16" s="1"/>
  <c r="G112" i="16"/>
  <c r="I112" i="16"/>
  <c r="AC112" i="16" s="1"/>
  <c r="J112" i="16"/>
  <c r="AL113" i="16"/>
  <c r="AR113" i="16"/>
  <c r="AN113" i="16" s="1"/>
  <c r="G113" i="16"/>
  <c r="I113" i="16"/>
  <c r="AC113" i="16" s="1"/>
  <c r="J113" i="16"/>
  <c r="AL114" i="16"/>
  <c r="AR114" i="16"/>
  <c r="AN114" i="16" s="1"/>
  <c r="G114" i="16"/>
  <c r="I114" i="16"/>
  <c r="AC114" i="16" s="1"/>
  <c r="J114" i="16"/>
  <c r="AL115" i="16"/>
  <c r="AR115" i="16"/>
  <c r="AN115" i="16" s="1"/>
  <c r="G115" i="16"/>
  <c r="I115" i="16"/>
  <c r="AC115" i="16" s="1"/>
  <c r="J115" i="16"/>
  <c r="AL116" i="16"/>
  <c r="AR116" i="16"/>
  <c r="AN116" i="16" s="1"/>
  <c r="G116" i="16"/>
  <c r="I116" i="16"/>
  <c r="AC116" i="16" s="1"/>
  <c r="J116" i="16"/>
  <c r="AL117" i="16"/>
  <c r="AR117" i="16"/>
  <c r="AN117" i="16" s="1"/>
  <c r="G117" i="16"/>
  <c r="I117" i="16"/>
  <c r="AD117" i="16" s="1"/>
  <c r="J117" i="16"/>
  <c r="J42" i="21"/>
  <c r="AR118" i="16"/>
  <c r="AM118" i="16" s="1"/>
  <c r="G118" i="16"/>
  <c r="I118" i="16"/>
  <c r="AC118" i="16" s="1"/>
  <c r="AR119" i="16"/>
  <c r="AM119" i="16" s="1"/>
  <c r="G119" i="16"/>
  <c r="I119" i="16"/>
  <c r="AD119" i="16" s="1"/>
  <c r="J119" i="16"/>
  <c r="AL120" i="16"/>
  <c r="AR120" i="16"/>
  <c r="AM120" i="16" s="1"/>
  <c r="G120" i="16"/>
  <c r="I120" i="16"/>
  <c r="AD120" i="16" s="1"/>
  <c r="J120" i="16"/>
  <c r="AL121" i="16"/>
  <c r="AR121" i="16"/>
  <c r="AM121" i="16" s="1"/>
  <c r="G121" i="16"/>
  <c r="I121" i="16"/>
  <c r="AC121" i="16" s="1"/>
  <c r="J121" i="16"/>
  <c r="AL122" i="16"/>
  <c r="AR122" i="16"/>
  <c r="AM122" i="16" s="1"/>
  <c r="G122" i="16"/>
  <c r="I122" i="16"/>
  <c r="J122" i="16"/>
  <c r="AL123" i="16"/>
  <c r="AR123" i="16"/>
  <c r="AN123" i="16" s="1"/>
  <c r="G123" i="16"/>
  <c r="I123" i="16"/>
  <c r="J123" i="16"/>
  <c r="AL124" i="16"/>
  <c r="AR124" i="16"/>
  <c r="AM124" i="16" s="1"/>
  <c r="G124" i="16"/>
  <c r="I124" i="16"/>
  <c r="AD124" i="16" s="1"/>
  <c r="J124" i="16"/>
  <c r="AL125" i="16"/>
  <c r="AR125" i="16"/>
  <c r="AN125" i="16" s="1"/>
  <c r="G125" i="16"/>
  <c r="I125" i="16"/>
  <c r="AC125" i="16" s="1"/>
  <c r="J125" i="16"/>
  <c r="AL126" i="16"/>
  <c r="AR126" i="16"/>
  <c r="AM126" i="16" s="1"/>
  <c r="G126" i="16"/>
  <c r="I126" i="16"/>
  <c r="J126" i="16"/>
  <c r="AL127" i="16"/>
  <c r="AR127" i="16"/>
  <c r="AN127" i="16" s="1"/>
  <c r="G127" i="16"/>
  <c r="I127" i="16"/>
  <c r="AC127" i="16" s="1"/>
  <c r="J127" i="16"/>
  <c r="AL128" i="16"/>
  <c r="AR128" i="16"/>
  <c r="AM128" i="16" s="1"/>
  <c r="G128" i="16"/>
  <c r="I128" i="16"/>
  <c r="AC128" i="16" s="1"/>
  <c r="J128" i="16"/>
  <c r="AL129" i="16"/>
  <c r="AR129" i="16"/>
  <c r="AN129" i="16" s="1"/>
  <c r="G129" i="16"/>
  <c r="I129" i="16"/>
  <c r="AC129" i="16" s="1"/>
  <c r="J129" i="16"/>
  <c r="AL130" i="16"/>
  <c r="AR130" i="16"/>
  <c r="AM130" i="16" s="1"/>
  <c r="G130" i="16"/>
  <c r="I130" i="16"/>
  <c r="AD130" i="16" s="1"/>
  <c r="J130" i="16"/>
  <c r="AL131" i="16"/>
  <c r="AR131" i="16"/>
  <c r="AN131" i="16" s="1"/>
  <c r="G131" i="16"/>
  <c r="I131" i="16"/>
  <c r="J131" i="16"/>
  <c r="AL132" i="16"/>
  <c r="AR132" i="16"/>
  <c r="AM132" i="16" s="1"/>
  <c r="G132" i="16"/>
  <c r="I132" i="16"/>
  <c r="AD132" i="16" s="1"/>
  <c r="AL133" i="16"/>
  <c r="AR133" i="16"/>
  <c r="AN133" i="16" s="1"/>
  <c r="G133" i="16"/>
  <c r="I133" i="16"/>
  <c r="AC133" i="16" s="1"/>
  <c r="J133" i="16"/>
  <c r="AL134" i="16"/>
  <c r="AR134" i="16"/>
  <c r="AM134" i="16" s="1"/>
  <c r="G134" i="16"/>
  <c r="I134" i="16"/>
  <c r="J134" i="16"/>
  <c r="AR135" i="16"/>
  <c r="AN135" i="16" s="1"/>
  <c r="G135" i="16"/>
  <c r="I135" i="16"/>
  <c r="AD135" i="16" s="1"/>
  <c r="J135" i="16"/>
  <c r="AL136" i="16"/>
  <c r="AR136" i="16"/>
  <c r="AM136" i="16" s="1"/>
  <c r="G136" i="16"/>
  <c r="I136" i="16"/>
  <c r="AC136" i="16" s="1"/>
  <c r="J136" i="16"/>
  <c r="AL137" i="16"/>
  <c r="AR137" i="16"/>
  <c r="AN137" i="16" s="1"/>
  <c r="G137" i="16"/>
  <c r="I137" i="16"/>
  <c r="AC137" i="16" s="1"/>
  <c r="J137" i="16"/>
  <c r="AL138" i="16"/>
  <c r="AR138" i="16"/>
  <c r="AM138" i="16" s="1"/>
  <c r="G138" i="16"/>
  <c r="I138" i="16"/>
  <c r="J138" i="16"/>
  <c r="AL139" i="16"/>
  <c r="AR139" i="16"/>
  <c r="AN139" i="16" s="1"/>
  <c r="G139" i="16"/>
  <c r="I139" i="16"/>
  <c r="AD139" i="16" s="1"/>
  <c r="J139" i="16"/>
  <c r="AR140" i="16"/>
  <c r="AM140" i="16" s="1"/>
  <c r="G140" i="16"/>
  <c r="I140" i="16"/>
  <c r="AC140" i="16" s="1"/>
  <c r="J140" i="16"/>
  <c r="AR141" i="16"/>
  <c r="AN141" i="16" s="1"/>
  <c r="G141" i="16"/>
  <c r="I141" i="16"/>
  <c r="AC141" i="16" s="1"/>
  <c r="J141" i="16"/>
  <c r="AR142" i="16"/>
  <c r="AM142" i="16" s="1"/>
  <c r="G142" i="16"/>
  <c r="I142" i="16"/>
  <c r="J43" i="21"/>
  <c r="AL143" i="16" s="1"/>
  <c r="AR143" i="16"/>
  <c r="AN143" i="16" s="1"/>
  <c r="G143" i="16"/>
  <c r="I143" i="16"/>
  <c r="J143" i="16"/>
  <c r="AL144" i="16"/>
  <c r="AR144" i="16"/>
  <c r="AM144" i="16" s="1"/>
  <c r="G144" i="16"/>
  <c r="I144" i="16"/>
  <c r="AD144" i="16" s="1"/>
  <c r="J144" i="16"/>
  <c r="AL145" i="16"/>
  <c r="AR145" i="16"/>
  <c r="AN145" i="16" s="1"/>
  <c r="G145" i="16"/>
  <c r="I145" i="16"/>
  <c r="AC145" i="16" s="1"/>
  <c r="J145" i="16"/>
  <c r="AL146" i="16"/>
  <c r="AR146" i="16"/>
  <c r="AN146" i="16" s="1"/>
  <c r="G146" i="16"/>
  <c r="I146" i="16"/>
  <c r="J146" i="16"/>
  <c r="J44" i="21"/>
  <c r="AR147" i="16"/>
  <c r="AM147" i="16" s="1"/>
  <c r="G147" i="16"/>
  <c r="I147" i="16"/>
  <c r="AD147" i="16" s="1"/>
  <c r="J147" i="16"/>
  <c r="J45" i="21"/>
  <c r="AL141" i="16" s="1"/>
  <c r="AR148" i="16"/>
  <c r="AO148" i="16" s="1"/>
  <c r="J46" i="21"/>
  <c r="AL142" i="16" s="1"/>
  <c r="G148" i="16"/>
  <c r="I148" i="16"/>
  <c r="AC148" i="16" s="1"/>
  <c r="J148" i="16"/>
  <c r="J47" i="21"/>
  <c r="AR149" i="16"/>
  <c r="AN149" i="16" s="1"/>
  <c r="G149" i="16"/>
  <c r="I149" i="16"/>
  <c r="AC149" i="16" s="1"/>
  <c r="J149" i="16"/>
  <c r="J48" i="21"/>
  <c r="AL150" i="16" s="1"/>
  <c r="AR150" i="16"/>
  <c r="J49" i="21"/>
  <c r="G150" i="16"/>
  <c r="I150" i="16"/>
  <c r="AC150" i="16" s="1"/>
  <c r="J150" i="16"/>
  <c r="J50" i="21"/>
  <c r="AR151" i="16"/>
  <c r="AN151" i="16" s="1"/>
  <c r="G151" i="16"/>
  <c r="I151" i="16"/>
  <c r="J151" i="16"/>
  <c r="AR152" i="16"/>
  <c r="AM152" i="16" s="1"/>
  <c r="G152" i="16"/>
  <c r="I152" i="16"/>
  <c r="J152" i="16"/>
  <c r="AL153" i="16"/>
  <c r="AR153" i="16"/>
  <c r="AM153" i="16" s="1"/>
  <c r="G153" i="16"/>
  <c r="I153" i="16"/>
  <c r="J153" i="16"/>
  <c r="AL154" i="16"/>
  <c r="AR154" i="16"/>
  <c r="AM154" i="16" s="1"/>
  <c r="G154" i="16"/>
  <c r="I154" i="16"/>
  <c r="J154" i="16"/>
  <c r="AL155" i="16"/>
  <c r="AR155" i="16"/>
  <c r="AM155" i="16" s="1"/>
  <c r="G155" i="16"/>
  <c r="I155" i="16"/>
  <c r="J155" i="16"/>
  <c r="AL156" i="16"/>
  <c r="AR156" i="16"/>
  <c r="AM156" i="16" s="1"/>
  <c r="G156" i="16"/>
  <c r="I156" i="16"/>
  <c r="AC156" i="16" s="1"/>
  <c r="J156" i="16"/>
  <c r="AL157" i="16"/>
  <c r="AR157" i="16"/>
  <c r="AM157" i="16" s="1"/>
  <c r="G157" i="16"/>
  <c r="I157" i="16"/>
  <c r="AC157" i="16" s="1"/>
  <c r="J157" i="16"/>
  <c r="AL158" i="16"/>
  <c r="AR158" i="16"/>
  <c r="AM158" i="16" s="1"/>
  <c r="G158" i="16"/>
  <c r="I158" i="16"/>
  <c r="AC158" i="16" s="1"/>
  <c r="J158" i="16"/>
  <c r="AL159" i="16"/>
  <c r="AR159" i="16"/>
  <c r="AN159" i="16" s="1"/>
  <c r="G159" i="16"/>
  <c r="I159" i="16"/>
  <c r="J159" i="16"/>
  <c r="J51" i="21"/>
  <c r="AL160" i="16" s="1"/>
  <c r="AR160" i="16"/>
  <c r="AO160" i="16" s="1"/>
  <c r="G160" i="16"/>
  <c r="I160" i="16"/>
  <c r="J160" i="16"/>
  <c r="AR161" i="16"/>
  <c r="AN161" i="16" s="1"/>
  <c r="G161" i="16"/>
  <c r="I161" i="16"/>
  <c r="AC161" i="16" s="1"/>
  <c r="J161" i="16"/>
  <c r="AL162" i="16"/>
  <c r="AR162" i="16"/>
  <c r="AN162" i="16" s="1"/>
  <c r="G162" i="16"/>
  <c r="I162" i="16"/>
  <c r="AC162" i="16" s="1"/>
  <c r="J162" i="16"/>
  <c r="AL163" i="16"/>
  <c r="AR163" i="16"/>
  <c r="AN163" i="16" s="1"/>
  <c r="G163" i="16"/>
  <c r="I163" i="16"/>
  <c r="AD163" i="16" s="1"/>
  <c r="J163" i="16"/>
  <c r="AL164" i="16"/>
  <c r="AR164" i="16"/>
  <c r="AN164" i="16" s="1"/>
  <c r="G164" i="16"/>
  <c r="I164" i="16"/>
  <c r="J164" i="16"/>
  <c r="AL165" i="16"/>
  <c r="AR165" i="16"/>
  <c r="AN165" i="16" s="1"/>
  <c r="G165" i="16"/>
  <c r="I165" i="16"/>
  <c r="AD165" i="16" s="1"/>
  <c r="J165" i="16"/>
  <c r="AL166" i="16"/>
  <c r="AR166" i="16"/>
  <c r="AN166" i="16" s="1"/>
  <c r="G166" i="16"/>
  <c r="I166" i="16"/>
  <c r="AC166" i="16" s="1"/>
  <c r="J166" i="16"/>
  <c r="AP166" i="16"/>
  <c r="AL167" i="16"/>
  <c r="AR167" i="16"/>
  <c r="AN167" i="16" s="1"/>
  <c r="G167" i="16"/>
  <c r="I167" i="16"/>
  <c r="J167" i="16"/>
  <c r="AL168" i="16"/>
  <c r="AR168" i="16"/>
  <c r="AN168" i="16" s="1"/>
  <c r="G168" i="16"/>
  <c r="I168" i="16"/>
  <c r="AD168" i="16" s="1"/>
  <c r="J168" i="16"/>
  <c r="AL169" i="16"/>
  <c r="AR169" i="16"/>
  <c r="AN169" i="16" s="1"/>
  <c r="G169" i="16"/>
  <c r="I169" i="16"/>
  <c r="AD169" i="16" s="1"/>
  <c r="J169" i="16"/>
  <c r="AR170" i="16"/>
  <c r="AN170" i="16" s="1"/>
  <c r="G170" i="16"/>
  <c r="I170" i="16"/>
  <c r="AC170" i="16" s="1"/>
  <c r="J170" i="16"/>
  <c r="J52" i="21"/>
  <c r="AR171" i="16"/>
  <c r="AM171" i="16" s="1"/>
  <c r="G171" i="16"/>
  <c r="I171" i="16"/>
  <c r="AD171" i="16" s="1"/>
  <c r="J171" i="16"/>
  <c r="J53" i="21"/>
  <c r="AR172" i="16"/>
  <c r="AO172" i="16" s="1"/>
  <c r="G172" i="16"/>
  <c r="I172" i="16"/>
  <c r="J172" i="16"/>
  <c r="AR173" i="16"/>
  <c r="AN173" i="16" s="1"/>
  <c r="G173" i="16"/>
  <c r="I173" i="16"/>
  <c r="AD173" i="16" s="1"/>
  <c r="J173" i="16"/>
  <c r="AL174" i="16"/>
  <c r="AR174" i="16"/>
  <c r="AM174" i="16" s="1"/>
  <c r="G174" i="16"/>
  <c r="I174" i="16"/>
  <c r="AC174" i="16" s="1"/>
  <c r="J174" i="16"/>
  <c r="AL175" i="16"/>
  <c r="AR175" i="16"/>
  <c r="AN175" i="16" s="1"/>
  <c r="G175" i="16"/>
  <c r="I175" i="16"/>
  <c r="J175" i="16"/>
  <c r="AL176" i="16"/>
  <c r="AR176" i="16"/>
  <c r="AO176" i="16" s="1"/>
  <c r="G176" i="16"/>
  <c r="I176" i="16"/>
  <c r="AD176" i="16" s="1"/>
  <c r="J176" i="16"/>
  <c r="AL177" i="16"/>
  <c r="AR177" i="16"/>
  <c r="AN177" i="16" s="1"/>
  <c r="G177" i="16"/>
  <c r="I177" i="16"/>
  <c r="AD177" i="16" s="1"/>
  <c r="J177" i="16"/>
  <c r="AL178" i="16"/>
  <c r="AR178" i="16"/>
  <c r="AM178" i="16" s="1"/>
  <c r="G178" i="16"/>
  <c r="I178" i="16"/>
  <c r="AC178" i="16" s="1"/>
  <c r="J178" i="16"/>
  <c r="AL179" i="16"/>
  <c r="AR179" i="16"/>
  <c r="AN179" i="16" s="1"/>
  <c r="G179" i="16"/>
  <c r="I179" i="16"/>
  <c r="AD179" i="16" s="1"/>
  <c r="J179" i="16"/>
  <c r="AL180" i="16"/>
  <c r="AR180" i="16"/>
  <c r="AN180" i="16" s="1"/>
  <c r="G180" i="16"/>
  <c r="I180" i="16"/>
  <c r="AC180" i="16" s="1"/>
  <c r="J180" i="16"/>
  <c r="AL181" i="16"/>
  <c r="AR181" i="16"/>
  <c r="AN181" i="16" s="1"/>
  <c r="G181" i="16"/>
  <c r="I181" i="16"/>
  <c r="AD181" i="16" s="1"/>
  <c r="J181" i="16"/>
  <c r="AL182" i="16"/>
  <c r="AR182" i="16"/>
  <c r="AN182" i="16" s="1"/>
  <c r="G182" i="16"/>
  <c r="I182" i="16"/>
  <c r="AC182" i="16" s="1"/>
  <c r="J182" i="16"/>
  <c r="AL183" i="16"/>
  <c r="AR183" i="16"/>
  <c r="AN183" i="16" s="1"/>
  <c r="G183" i="16"/>
  <c r="I183" i="16"/>
  <c r="AD183" i="16" s="1"/>
  <c r="J183" i="16"/>
  <c r="AL184" i="16"/>
  <c r="AR184" i="16"/>
  <c r="AN184" i="16" s="1"/>
  <c r="G184" i="16"/>
  <c r="I184" i="16"/>
  <c r="AC184" i="16" s="1"/>
  <c r="J184" i="16"/>
  <c r="AL185" i="16"/>
  <c r="AR185" i="16"/>
  <c r="AN185" i="16" s="1"/>
  <c r="G185" i="16"/>
  <c r="I185" i="16"/>
  <c r="AC185" i="16" s="1"/>
  <c r="J185" i="16"/>
  <c r="AL186" i="16"/>
  <c r="AR186" i="16"/>
  <c r="AN186" i="16" s="1"/>
  <c r="G186" i="16"/>
  <c r="I186" i="16"/>
  <c r="AC186" i="16" s="1"/>
  <c r="J186" i="16"/>
  <c r="AL187" i="16"/>
  <c r="AR187" i="16"/>
  <c r="AN187" i="16" s="1"/>
  <c r="G187" i="16"/>
  <c r="I187" i="16"/>
  <c r="AD187" i="16" s="1"/>
  <c r="J187" i="16"/>
  <c r="AL188" i="16"/>
  <c r="AR188" i="16"/>
  <c r="AN188" i="16" s="1"/>
  <c r="G188" i="16"/>
  <c r="I188" i="16"/>
  <c r="J188" i="16"/>
  <c r="AL189" i="16"/>
  <c r="AR189" i="16"/>
  <c r="AN189" i="16" s="1"/>
  <c r="G189" i="16"/>
  <c r="I189" i="16"/>
  <c r="AD189" i="16" s="1"/>
  <c r="J189" i="16"/>
  <c r="AL190" i="16"/>
  <c r="AR190" i="16"/>
  <c r="AN190" i="16" s="1"/>
  <c r="G190" i="16"/>
  <c r="I190" i="16"/>
  <c r="AC190" i="16" s="1"/>
  <c r="J190" i="16"/>
  <c r="AL191" i="16"/>
  <c r="AR191" i="16"/>
  <c r="AN191" i="16" s="1"/>
  <c r="G191" i="16"/>
  <c r="I191" i="16"/>
  <c r="J191" i="16"/>
  <c r="AL192" i="16"/>
  <c r="AR192" i="16"/>
  <c r="AN192" i="16" s="1"/>
  <c r="G192" i="16"/>
  <c r="I192" i="16"/>
  <c r="AD192" i="16" s="1"/>
  <c r="J192" i="16"/>
  <c r="AL193" i="16"/>
  <c r="AR193" i="16"/>
  <c r="AM193" i="16" s="1"/>
  <c r="G193" i="16"/>
  <c r="I193" i="16"/>
  <c r="AD193" i="16" s="1"/>
  <c r="J193" i="16"/>
  <c r="AL194" i="16"/>
  <c r="AR194" i="16"/>
  <c r="AN194" i="16" s="1"/>
  <c r="G194" i="16"/>
  <c r="I194" i="16"/>
  <c r="AC194" i="16" s="1"/>
  <c r="J194" i="16"/>
  <c r="AL195" i="16"/>
  <c r="AR195" i="16"/>
  <c r="AM195" i="16" s="1"/>
  <c r="G195" i="16"/>
  <c r="I195" i="16"/>
  <c r="AD195" i="16" s="1"/>
  <c r="J195" i="16"/>
  <c r="AL196" i="16"/>
  <c r="AR196" i="16"/>
  <c r="AN196" i="16" s="1"/>
  <c r="G196" i="16"/>
  <c r="I196" i="16"/>
  <c r="AC196" i="16" s="1"/>
  <c r="J196" i="16"/>
  <c r="AL197" i="16"/>
  <c r="AR197" i="16"/>
  <c r="AN197" i="16" s="1"/>
  <c r="G197" i="16"/>
  <c r="I197" i="16"/>
  <c r="AD197" i="16" s="1"/>
  <c r="J197" i="16"/>
  <c r="AL198" i="16"/>
  <c r="AR198" i="16"/>
  <c r="AN198" i="16" s="1"/>
  <c r="G198" i="16"/>
  <c r="I198" i="16"/>
  <c r="AC198" i="16" s="1"/>
  <c r="J198" i="16"/>
  <c r="AL199" i="16"/>
  <c r="AR199" i="16"/>
  <c r="AN199" i="16" s="1"/>
  <c r="G199" i="16"/>
  <c r="I199" i="16"/>
  <c r="AD199" i="16" s="1"/>
  <c r="J199" i="16"/>
  <c r="AL200" i="16"/>
  <c r="AR200" i="16"/>
  <c r="AN200" i="16" s="1"/>
  <c r="G200" i="16"/>
  <c r="I200" i="16"/>
  <c r="AD200" i="16" s="1"/>
  <c r="J200" i="16"/>
  <c r="AL201" i="16"/>
  <c r="AR201" i="16"/>
  <c r="AN201" i="16" s="1"/>
  <c r="G201" i="16"/>
  <c r="I201" i="16"/>
  <c r="AD201" i="16" s="1"/>
  <c r="J201" i="16"/>
  <c r="J54" i="21"/>
  <c r="AR202" i="16"/>
  <c r="G202" i="16"/>
  <c r="I202" i="16"/>
  <c r="AC202" i="16" s="1"/>
  <c r="J202" i="16"/>
  <c r="AR203" i="16"/>
  <c r="AM203" i="16" s="1"/>
  <c r="G203" i="16"/>
  <c r="I203" i="16"/>
  <c r="AD203" i="16" s="1"/>
  <c r="J203" i="16"/>
  <c r="AL204" i="16"/>
  <c r="AR204" i="16"/>
  <c r="G204" i="16"/>
  <c r="I204" i="16"/>
  <c r="J204" i="16"/>
  <c r="AL205" i="16"/>
  <c r="AR205" i="16"/>
  <c r="AM205" i="16" s="1"/>
  <c r="G205" i="16"/>
  <c r="I205" i="16"/>
  <c r="AD205" i="16" s="1"/>
  <c r="J205" i="16"/>
  <c r="AL206" i="16"/>
  <c r="AR206" i="16"/>
  <c r="G206" i="16"/>
  <c r="I206" i="16"/>
  <c r="AC206" i="16" s="1"/>
  <c r="J206" i="16"/>
  <c r="AL207" i="16"/>
  <c r="AR207" i="16"/>
  <c r="AM207" i="16" s="1"/>
  <c r="G207" i="16"/>
  <c r="I207" i="16"/>
  <c r="J207" i="16"/>
  <c r="AL208" i="16"/>
  <c r="AR208" i="16"/>
  <c r="G208" i="16"/>
  <c r="I208" i="16"/>
  <c r="AD208" i="16" s="1"/>
  <c r="J208" i="16"/>
  <c r="AL209" i="16"/>
  <c r="AR209" i="16"/>
  <c r="AM209" i="16" s="1"/>
  <c r="G209" i="16"/>
  <c r="I209" i="16"/>
  <c r="AD209" i="16" s="1"/>
  <c r="J209" i="16"/>
  <c r="J55" i="21"/>
  <c r="AR210" i="16"/>
  <c r="J56" i="21"/>
  <c r="G210" i="16"/>
  <c r="I210" i="16"/>
  <c r="J210" i="16"/>
  <c r="AR211" i="16"/>
  <c r="G211" i="16"/>
  <c r="I211" i="16"/>
  <c r="AC211" i="16" s="1"/>
  <c r="J211" i="16"/>
  <c r="AL212" i="16"/>
  <c r="AR212" i="16"/>
  <c r="AM212" i="16" s="1"/>
  <c r="G212" i="16"/>
  <c r="I212" i="16"/>
  <c r="AD212" i="16" s="1"/>
  <c r="J212" i="16"/>
  <c r="AL213" i="16"/>
  <c r="AR213" i="16"/>
  <c r="G213" i="16"/>
  <c r="I213" i="16"/>
  <c r="AC213" i="16" s="1"/>
  <c r="J213" i="16"/>
  <c r="AL214" i="16"/>
  <c r="AR214" i="16"/>
  <c r="AM214" i="16" s="1"/>
  <c r="G214" i="16"/>
  <c r="I214" i="16"/>
  <c r="J214" i="16"/>
  <c r="AL215" i="16"/>
  <c r="AR215" i="16"/>
  <c r="G215" i="16"/>
  <c r="I215" i="16"/>
  <c r="AC215" i="16" s="1"/>
  <c r="J215" i="16"/>
  <c r="AL216" i="16"/>
  <c r="AR216" i="16"/>
  <c r="AM216" i="16" s="1"/>
  <c r="G216" i="16"/>
  <c r="I216" i="16"/>
  <c r="AD216" i="16" s="1"/>
  <c r="J216" i="16"/>
  <c r="AL217" i="16"/>
  <c r="AR217" i="16"/>
  <c r="AM217" i="16" s="1"/>
  <c r="G217" i="16"/>
  <c r="I217" i="16"/>
  <c r="AD217" i="16" s="1"/>
  <c r="J217" i="16"/>
  <c r="AP217" i="16"/>
  <c r="AE217" i="16" s="1"/>
  <c r="AL218" i="16"/>
  <c r="AR218" i="16"/>
  <c r="AO218" i="16" s="1"/>
  <c r="G218" i="16"/>
  <c r="I218" i="16"/>
  <c r="AC218" i="16" s="1"/>
  <c r="J218" i="16"/>
  <c r="AL219" i="16"/>
  <c r="AR219" i="16"/>
  <c r="AN219" i="16" s="1"/>
  <c r="G219" i="16"/>
  <c r="I219" i="16"/>
  <c r="J219" i="16"/>
  <c r="AL220" i="16"/>
  <c r="AR220" i="16"/>
  <c r="AO220" i="16" s="1"/>
  <c r="G220" i="16"/>
  <c r="I220" i="16"/>
  <c r="AC220" i="16" s="1"/>
  <c r="J220" i="16"/>
  <c r="AL221" i="16"/>
  <c r="AR221" i="16"/>
  <c r="AO221" i="16" s="1"/>
  <c r="G221" i="16"/>
  <c r="I221" i="16"/>
  <c r="AC221" i="16" s="1"/>
  <c r="J221" i="16"/>
  <c r="AL222" i="16"/>
  <c r="AR222" i="16"/>
  <c r="AO222" i="16" s="1"/>
  <c r="G222" i="16"/>
  <c r="I222" i="16"/>
  <c r="AC222" i="16" s="1"/>
  <c r="J222" i="16"/>
  <c r="AL223" i="16"/>
  <c r="AR223" i="16"/>
  <c r="AM223" i="16" s="1"/>
  <c r="G223" i="16"/>
  <c r="I223" i="16"/>
  <c r="AD223" i="16" s="1"/>
  <c r="J223" i="16"/>
  <c r="AL224" i="16"/>
  <c r="AR224" i="16"/>
  <c r="AO224" i="16" s="1"/>
  <c r="G224" i="16"/>
  <c r="I224" i="16"/>
  <c r="J224" i="16"/>
  <c r="AL225" i="16"/>
  <c r="AR225" i="16"/>
  <c r="AN225" i="16" s="1"/>
  <c r="G225" i="16"/>
  <c r="I225" i="16"/>
  <c r="AD225" i="16" s="1"/>
  <c r="J225" i="16"/>
  <c r="AL226" i="16"/>
  <c r="AR226" i="16"/>
  <c r="AO226" i="16" s="1"/>
  <c r="G226" i="16"/>
  <c r="I226" i="16"/>
  <c r="AC226" i="16" s="1"/>
  <c r="J226" i="16"/>
  <c r="AL227" i="16"/>
  <c r="AR227" i="16"/>
  <c r="AO227" i="16" s="1"/>
  <c r="G227" i="16"/>
  <c r="I227" i="16"/>
  <c r="J227" i="16"/>
  <c r="AL228" i="16"/>
  <c r="AR228" i="16"/>
  <c r="AO228" i="16" s="1"/>
  <c r="G228" i="16"/>
  <c r="I228" i="16"/>
  <c r="AD228" i="16" s="1"/>
  <c r="J228" i="16"/>
  <c r="AL229" i="16"/>
  <c r="AR229" i="16"/>
  <c r="AO229" i="16" s="1"/>
  <c r="G229" i="16"/>
  <c r="I229" i="16"/>
  <c r="AD229" i="16" s="1"/>
  <c r="J229" i="16"/>
  <c r="AL230" i="16"/>
  <c r="AR230" i="16"/>
  <c r="AO230" i="16" s="1"/>
  <c r="G230" i="16"/>
  <c r="I230" i="16"/>
  <c r="AC230" i="16" s="1"/>
  <c r="J230" i="16"/>
  <c r="AL231" i="16"/>
  <c r="AR231" i="16"/>
  <c r="AM231" i="16" s="1"/>
  <c r="G231" i="16"/>
  <c r="I231" i="16"/>
  <c r="AD231" i="16" s="1"/>
  <c r="J231" i="16"/>
  <c r="AL232" i="16"/>
  <c r="AR232" i="16"/>
  <c r="AO232" i="16" s="1"/>
  <c r="G232" i="16"/>
  <c r="I232" i="16"/>
  <c r="J232" i="16"/>
  <c r="AL233" i="16"/>
  <c r="AR233" i="16"/>
  <c r="AN233" i="16" s="1"/>
  <c r="G233" i="16"/>
  <c r="I233" i="16"/>
  <c r="AD233" i="16" s="1"/>
  <c r="J233" i="16"/>
  <c r="AL234" i="16"/>
  <c r="AR234" i="16"/>
  <c r="AO234" i="16" s="1"/>
  <c r="G234" i="16"/>
  <c r="I234" i="16"/>
  <c r="AC234" i="16" s="1"/>
  <c r="J234" i="16"/>
  <c r="AL235" i="16"/>
  <c r="AR235" i="16"/>
  <c r="AO235" i="16" s="1"/>
  <c r="G235" i="16"/>
  <c r="I235" i="16"/>
  <c r="J235" i="16"/>
  <c r="AL236" i="16"/>
  <c r="AR236" i="16"/>
  <c r="AO236" i="16" s="1"/>
  <c r="G236" i="16"/>
  <c r="I236" i="16"/>
  <c r="AC236" i="16" s="1"/>
  <c r="J236" i="16"/>
  <c r="AL237" i="16"/>
  <c r="AR237" i="16"/>
  <c r="AO237" i="16" s="1"/>
  <c r="G237" i="16"/>
  <c r="I237" i="16"/>
  <c r="AC237" i="16" s="1"/>
  <c r="J237" i="16"/>
  <c r="AL238" i="16"/>
  <c r="AR238" i="16"/>
  <c r="AO238" i="16" s="1"/>
  <c r="G238" i="16"/>
  <c r="I238" i="16"/>
  <c r="AC238" i="16" s="1"/>
  <c r="J238" i="16"/>
  <c r="AL239" i="16"/>
  <c r="AR239" i="16"/>
  <c r="AM239" i="16" s="1"/>
  <c r="G239" i="16"/>
  <c r="I239" i="16"/>
  <c r="AD239" i="16" s="1"/>
  <c r="J239" i="16"/>
  <c r="AL240" i="16"/>
  <c r="AR240" i="16"/>
  <c r="G240" i="16"/>
  <c r="I240" i="16"/>
  <c r="J240" i="16"/>
  <c r="AL241" i="16"/>
  <c r="AR241" i="16"/>
  <c r="AN241" i="16" s="1"/>
  <c r="G241" i="16"/>
  <c r="I241" i="16"/>
  <c r="AD241" i="16" s="1"/>
  <c r="J241" i="16"/>
  <c r="AL242" i="16"/>
  <c r="AR242" i="16"/>
  <c r="G242" i="16"/>
  <c r="I242" i="16"/>
  <c r="AC242" i="16" s="1"/>
  <c r="J242" i="16"/>
  <c r="AL243" i="16"/>
  <c r="AR243" i="16"/>
  <c r="AO243" i="16" s="1"/>
  <c r="G243" i="16"/>
  <c r="I243" i="16"/>
  <c r="J243" i="16"/>
  <c r="AL244" i="16"/>
  <c r="AR244" i="16"/>
  <c r="G244" i="16"/>
  <c r="I244" i="16"/>
  <c r="AD244" i="16" s="1"/>
  <c r="J244" i="16"/>
  <c r="AL245" i="16"/>
  <c r="AR245" i="16"/>
  <c r="AO245" i="16" s="1"/>
  <c r="G245" i="16"/>
  <c r="I245" i="16"/>
  <c r="AD245" i="16" s="1"/>
  <c r="J245" i="16"/>
  <c r="AP245" i="16"/>
  <c r="J57" i="21"/>
  <c r="AR246" i="16"/>
  <c r="AN246" i="16" s="1"/>
  <c r="G246" i="16"/>
  <c r="I246" i="16"/>
  <c r="AC246" i="16" s="1"/>
  <c r="J246" i="16"/>
  <c r="AR247" i="16"/>
  <c r="AO247" i="16" s="1"/>
  <c r="G247" i="16"/>
  <c r="I247" i="16"/>
  <c r="AC247" i="16" s="1"/>
  <c r="J247" i="16"/>
  <c r="AL248" i="16"/>
  <c r="AR248" i="16"/>
  <c r="AN248" i="16" s="1"/>
  <c r="G248" i="16"/>
  <c r="I248" i="16"/>
  <c r="J248" i="16"/>
  <c r="AL249" i="16"/>
  <c r="AR249" i="16"/>
  <c r="AO249" i="16" s="1"/>
  <c r="G249" i="16"/>
  <c r="I249" i="16"/>
  <c r="AC249" i="16" s="1"/>
  <c r="J249" i="16"/>
  <c r="AL250" i="16"/>
  <c r="AR250" i="16"/>
  <c r="AN250" i="16" s="1"/>
  <c r="G250" i="16"/>
  <c r="I250" i="16"/>
  <c r="AC250" i="16" s="1"/>
  <c r="J250" i="16"/>
  <c r="AL251" i="16"/>
  <c r="AR251" i="16"/>
  <c r="AO251" i="16" s="1"/>
  <c r="G251" i="16"/>
  <c r="I251" i="16"/>
  <c r="AC251" i="16" s="1"/>
  <c r="J251" i="16"/>
  <c r="AL252" i="16"/>
  <c r="AR252" i="16"/>
  <c r="AN252" i="16" s="1"/>
  <c r="G252" i="16"/>
  <c r="I252" i="16"/>
  <c r="J252" i="16"/>
  <c r="AL253" i="16"/>
  <c r="AR253" i="16"/>
  <c r="AO253" i="16" s="1"/>
  <c r="G253" i="16"/>
  <c r="I253" i="16"/>
  <c r="AD253" i="16" s="1"/>
  <c r="J253" i="16"/>
  <c r="AL254" i="16"/>
  <c r="AR254" i="16"/>
  <c r="AN254" i="16" s="1"/>
  <c r="G254" i="16"/>
  <c r="I254" i="16"/>
  <c r="AC254" i="16" s="1"/>
  <c r="J254" i="16"/>
  <c r="AL255" i="16"/>
  <c r="AR255" i="16"/>
  <c r="AO255" i="16" s="1"/>
  <c r="G255" i="16"/>
  <c r="I255" i="16"/>
  <c r="AC255" i="16" s="1"/>
  <c r="J255" i="16"/>
  <c r="AP255" i="16"/>
  <c r="AL256" i="16"/>
  <c r="AR256" i="16"/>
  <c r="AN256" i="16" s="1"/>
  <c r="G256" i="16"/>
  <c r="I256" i="16"/>
  <c r="AD256" i="16" s="1"/>
  <c r="J256" i="16"/>
  <c r="AL257" i="16"/>
  <c r="AR257" i="16"/>
  <c r="AO257" i="16" s="1"/>
  <c r="G257" i="16"/>
  <c r="I257" i="16"/>
  <c r="AD257" i="16" s="1"/>
  <c r="J257" i="16"/>
  <c r="AL258" i="16"/>
  <c r="AR258" i="16"/>
  <c r="AN258" i="16" s="1"/>
  <c r="G258" i="16"/>
  <c r="I258" i="16"/>
  <c r="AC258" i="16" s="1"/>
  <c r="J258" i="16"/>
  <c r="AL259" i="16"/>
  <c r="AR259" i="16"/>
  <c r="AO259" i="16" s="1"/>
  <c r="G259" i="16"/>
  <c r="I259" i="16"/>
  <c r="AC259" i="16" s="1"/>
  <c r="J259" i="16"/>
  <c r="AL260" i="16"/>
  <c r="AR260" i="16"/>
  <c r="AN260" i="16" s="1"/>
  <c r="G260" i="16"/>
  <c r="I260" i="16"/>
  <c r="AD260" i="16" s="1"/>
  <c r="J260" i="16"/>
  <c r="AR261" i="16"/>
  <c r="AO261" i="16" s="1"/>
  <c r="G261" i="16"/>
  <c r="I261" i="16"/>
  <c r="AC261" i="16" s="1"/>
  <c r="J261" i="16"/>
  <c r="J58" i="21"/>
  <c r="AR262" i="16"/>
  <c r="AN262" i="16" s="1"/>
  <c r="J59" i="21"/>
  <c r="G262" i="16"/>
  <c r="I262" i="16"/>
  <c r="J262" i="16"/>
  <c r="AR263" i="16"/>
  <c r="AN263" i="16" s="1"/>
  <c r="G263" i="16"/>
  <c r="I263" i="16"/>
  <c r="AC263" i="16" s="1"/>
  <c r="AL264" i="16"/>
  <c r="AR264" i="16"/>
  <c r="AO264" i="16" s="1"/>
  <c r="G264" i="16"/>
  <c r="I264" i="16"/>
  <c r="AD264" i="16" s="1"/>
  <c r="J264" i="16"/>
  <c r="AL265" i="16"/>
  <c r="AR265" i="16"/>
  <c r="AN265" i="16" s="1"/>
  <c r="G265" i="16"/>
  <c r="I265" i="16"/>
  <c r="AD265" i="16" s="1"/>
  <c r="J265" i="16"/>
  <c r="AL266" i="16"/>
  <c r="AR266" i="16"/>
  <c r="AO266" i="16" s="1"/>
  <c r="G266" i="16"/>
  <c r="I266" i="16"/>
  <c r="AD266" i="16" s="1"/>
  <c r="J266" i="16"/>
  <c r="AL267" i="16"/>
  <c r="AR267" i="16"/>
  <c r="AN267" i="16" s="1"/>
  <c r="G267" i="16"/>
  <c r="I267" i="16"/>
  <c r="J267" i="16"/>
  <c r="AL268" i="16"/>
  <c r="AR268" i="16"/>
  <c r="AO268" i="16" s="1"/>
  <c r="G268" i="16"/>
  <c r="I268" i="16"/>
  <c r="AD268" i="16" s="1"/>
  <c r="J268" i="16"/>
  <c r="AL269" i="16"/>
  <c r="AR269" i="16"/>
  <c r="AN269" i="16" s="1"/>
  <c r="G269" i="16"/>
  <c r="I269" i="16"/>
  <c r="AC269" i="16" s="1"/>
  <c r="J269" i="16"/>
  <c r="AL270" i="16"/>
  <c r="AR270" i="16"/>
  <c r="AO270" i="16" s="1"/>
  <c r="G270" i="16"/>
  <c r="I270" i="16"/>
  <c r="AD270" i="16" s="1"/>
  <c r="J270" i="16"/>
  <c r="AL271" i="16"/>
  <c r="AR271" i="16"/>
  <c r="AN271" i="16" s="1"/>
  <c r="G271" i="16"/>
  <c r="I271" i="16"/>
  <c r="AD271" i="16" s="1"/>
  <c r="J271" i="16"/>
  <c r="AL272" i="16"/>
  <c r="AR272" i="16"/>
  <c r="AO272" i="16" s="1"/>
  <c r="G272" i="16"/>
  <c r="I272" i="16"/>
  <c r="AD272" i="16" s="1"/>
  <c r="J272" i="16"/>
  <c r="AL273" i="16"/>
  <c r="AR273" i="16"/>
  <c r="AN273" i="16" s="1"/>
  <c r="G273" i="16"/>
  <c r="I273" i="16"/>
  <c r="AC273" i="16" s="1"/>
  <c r="J273" i="16"/>
  <c r="AL274" i="16"/>
  <c r="AR274" i="16"/>
  <c r="AO274" i="16" s="1"/>
  <c r="G274" i="16"/>
  <c r="I274" i="16"/>
  <c r="AC274" i="16" s="1"/>
  <c r="AL275" i="16"/>
  <c r="AR275" i="16"/>
  <c r="G275" i="16"/>
  <c r="I275" i="16"/>
  <c r="J275" i="16"/>
  <c r="AL276" i="16"/>
  <c r="AR276" i="16"/>
  <c r="AO276" i="16" s="1"/>
  <c r="G276" i="16"/>
  <c r="I276" i="16"/>
  <c r="J276" i="16"/>
  <c r="AL277" i="16"/>
  <c r="AR277" i="16"/>
  <c r="AN277" i="16" s="1"/>
  <c r="G277" i="16"/>
  <c r="I277" i="16"/>
  <c r="AC277" i="16" s="1"/>
  <c r="J277" i="16"/>
  <c r="AL278" i="16"/>
  <c r="AR278" i="16"/>
  <c r="AO278" i="16" s="1"/>
  <c r="G278" i="16"/>
  <c r="I278" i="16"/>
  <c r="AC278" i="16" s="1"/>
  <c r="J278" i="16"/>
  <c r="AL279" i="16"/>
  <c r="AR279" i="16"/>
  <c r="AN279" i="16" s="1"/>
  <c r="G279" i="16"/>
  <c r="I279" i="16"/>
  <c r="AC279" i="16" s="1"/>
  <c r="J279" i="16"/>
  <c r="AL280" i="16"/>
  <c r="AR280" i="16"/>
  <c r="AO280" i="16" s="1"/>
  <c r="G280" i="16"/>
  <c r="I280" i="16"/>
  <c r="J280" i="16"/>
  <c r="AL281" i="16"/>
  <c r="AR281" i="16"/>
  <c r="AN281" i="16" s="1"/>
  <c r="G281" i="16"/>
  <c r="I281" i="16"/>
  <c r="J281" i="16"/>
  <c r="AL282" i="16"/>
  <c r="AR282" i="16"/>
  <c r="AO282" i="16" s="1"/>
  <c r="G282" i="16"/>
  <c r="I282" i="16"/>
  <c r="J282" i="16"/>
  <c r="AL283" i="16"/>
  <c r="AR283" i="16"/>
  <c r="AN283" i="16" s="1"/>
  <c r="G283" i="16"/>
  <c r="I283" i="16"/>
  <c r="AC283" i="16" s="1"/>
  <c r="J283" i="16"/>
  <c r="AL284" i="16"/>
  <c r="AR284" i="16"/>
  <c r="AO284" i="16" s="1"/>
  <c r="G284" i="16"/>
  <c r="I284" i="16"/>
  <c r="J284" i="16"/>
  <c r="AL285" i="16"/>
  <c r="AR285" i="16"/>
  <c r="AN285" i="16" s="1"/>
  <c r="G285" i="16"/>
  <c r="I285" i="16"/>
  <c r="J285" i="16"/>
  <c r="AL286" i="16"/>
  <c r="AR286" i="16"/>
  <c r="AO286" i="16" s="1"/>
  <c r="G286" i="16"/>
  <c r="I286" i="16"/>
  <c r="J286" i="16"/>
  <c r="AL287" i="16"/>
  <c r="AR287" i="16"/>
  <c r="AN287" i="16" s="1"/>
  <c r="G287" i="16"/>
  <c r="I287" i="16"/>
  <c r="AC287" i="16" s="1"/>
  <c r="J287" i="16"/>
  <c r="AL288" i="16"/>
  <c r="AR288" i="16"/>
  <c r="AO288" i="16" s="1"/>
  <c r="G288" i="16"/>
  <c r="I288" i="16"/>
  <c r="AC288" i="16" s="1"/>
  <c r="J288" i="16"/>
  <c r="J60" i="21"/>
  <c r="AR289" i="16"/>
  <c r="AM289" i="16" s="1"/>
  <c r="G289" i="16"/>
  <c r="I289" i="16"/>
  <c r="J289" i="16"/>
  <c r="AR290" i="16"/>
  <c r="G290" i="16"/>
  <c r="I290" i="16"/>
  <c r="J290" i="16"/>
  <c r="AL291" i="16"/>
  <c r="AR291" i="16"/>
  <c r="AN291" i="16" s="1"/>
  <c r="G291" i="16"/>
  <c r="I291" i="16"/>
  <c r="AC291" i="16" s="1"/>
  <c r="J291" i="16"/>
  <c r="AL292" i="16"/>
  <c r="AR292" i="16"/>
  <c r="G292" i="16"/>
  <c r="I292" i="16"/>
  <c r="AC292" i="16" s="1"/>
  <c r="J292" i="16"/>
  <c r="AP292" i="16"/>
  <c r="AE292" i="16" s="1"/>
  <c r="AL293" i="16"/>
  <c r="AR293" i="16"/>
  <c r="AO293" i="16" s="1"/>
  <c r="G293" i="16"/>
  <c r="I293" i="16"/>
  <c r="J293" i="16"/>
  <c r="AL294" i="16"/>
  <c r="AR294" i="16"/>
  <c r="G294" i="16"/>
  <c r="I294" i="16"/>
  <c r="J294" i="16"/>
  <c r="AL295" i="16"/>
  <c r="AR295" i="16"/>
  <c r="AO295" i="16" s="1"/>
  <c r="G295" i="16"/>
  <c r="I295" i="16"/>
  <c r="AC295" i="16" s="1"/>
  <c r="J295" i="16"/>
  <c r="AL296" i="16"/>
  <c r="AR296" i="16"/>
  <c r="G296" i="16"/>
  <c r="I296" i="16"/>
  <c r="J296" i="16"/>
  <c r="AL297" i="16"/>
  <c r="AR297" i="16"/>
  <c r="AO297" i="16" s="1"/>
  <c r="G297" i="16"/>
  <c r="I297" i="16"/>
  <c r="J297" i="16"/>
  <c r="AL298" i="16"/>
  <c r="AR298" i="16"/>
  <c r="G298" i="16"/>
  <c r="I298" i="16"/>
  <c r="J298" i="16"/>
  <c r="AL299" i="16"/>
  <c r="AR299" i="16"/>
  <c r="AN299" i="16" s="1"/>
  <c r="G299" i="16"/>
  <c r="I299" i="16"/>
  <c r="AC299" i="16" s="1"/>
  <c r="J299" i="16"/>
  <c r="AL300" i="16"/>
  <c r="AR300" i="16"/>
  <c r="G300" i="16"/>
  <c r="I300" i="16"/>
  <c r="J300" i="16"/>
  <c r="AL301" i="16"/>
  <c r="AR301" i="16"/>
  <c r="AO301" i="16" s="1"/>
  <c r="G301" i="16"/>
  <c r="I301" i="16"/>
  <c r="J301" i="16"/>
  <c r="AL302" i="16"/>
  <c r="AR302" i="16"/>
  <c r="G302" i="16"/>
  <c r="I302" i="16"/>
  <c r="J302" i="16"/>
  <c r="AL303" i="16"/>
  <c r="AR303" i="16"/>
  <c r="AO303" i="16" s="1"/>
  <c r="G303" i="16"/>
  <c r="I303" i="16"/>
  <c r="J303" i="16"/>
  <c r="J61" i="21"/>
  <c r="AL304" i="16" s="1"/>
  <c r="AR304" i="16"/>
  <c r="AN304" i="16" s="1"/>
  <c r="G304" i="16"/>
  <c r="I304" i="16"/>
  <c r="AC304" i="16" s="1"/>
  <c r="J304" i="16"/>
  <c r="AR305" i="16"/>
  <c r="AO305" i="16" s="1"/>
  <c r="G305" i="16"/>
  <c r="I305" i="16"/>
  <c r="AC305" i="16" s="1"/>
  <c r="J305" i="16"/>
  <c r="AL306" i="16"/>
  <c r="AR306" i="16"/>
  <c r="AN306" i="16" s="1"/>
  <c r="G306" i="16"/>
  <c r="I306" i="16"/>
  <c r="J306" i="16"/>
  <c r="AL307" i="16"/>
  <c r="AR307" i="16"/>
  <c r="AO307" i="16" s="1"/>
  <c r="G307" i="16"/>
  <c r="I307" i="16"/>
  <c r="J307" i="16"/>
  <c r="AL308" i="16"/>
  <c r="AR308" i="16"/>
  <c r="AN308" i="16" s="1"/>
  <c r="G308" i="16"/>
  <c r="I308" i="16"/>
  <c r="J308" i="16"/>
  <c r="AL309" i="16"/>
  <c r="AR309" i="16"/>
  <c r="AO309" i="16" s="1"/>
  <c r="G309" i="16"/>
  <c r="I309" i="16"/>
  <c r="AC309" i="16" s="1"/>
  <c r="J309" i="16"/>
  <c r="AL310" i="16"/>
  <c r="AR310" i="16"/>
  <c r="AN310" i="16" s="1"/>
  <c r="G310" i="16"/>
  <c r="I310" i="16"/>
  <c r="AC310" i="16" s="1"/>
  <c r="J310" i="16"/>
  <c r="AL311" i="16"/>
  <c r="AR311" i="16"/>
  <c r="AO311" i="16" s="1"/>
  <c r="G311" i="16"/>
  <c r="I311" i="16"/>
  <c r="AC311" i="16" s="1"/>
  <c r="J311" i="16"/>
  <c r="AL312" i="16"/>
  <c r="AR312" i="16"/>
  <c r="AN312" i="16" s="1"/>
  <c r="G312" i="16"/>
  <c r="I312" i="16"/>
  <c r="J312" i="16"/>
  <c r="J62" i="21"/>
  <c r="AL313" i="16" s="1"/>
  <c r="AR313" i="16"/>
  <c r="G313" i="16"/>
  <c r="I313" i="16"/>
  <c r="AC313" i="16" s="1"/>
  <c r="J313" i="16"/>
  <c r="AR314" i="16"/>
  <c r="AM314" i="16" s="1"/>
  <c r="G314" i="16"/>
  <c r="I314" i="16"/>
  <c r="AC314" i="16" s="1"/>
  <c r="J314" i="16"/>
  <c r="AL315" i="16"/>
  <c r="AR315" i="16"/>
  <c r="G315" i="16"/>
  <c r="I315" i="16"/>
  <c r="AC315" i="16" s="1"/>
  <c r="J315" i="16"/>
  <c r="AL316" i="16"/>
  <c r="AR316" i="16"/>
  <c r="AM316" i="16" s="1"/>
  <c r="G316" i="16"/>
  <c r="I316" i="16"/>
  <c r="AD316" i="16" s="1"/>
  <c r="J316" i="16"/>
  <c r="AL317" i="16"/>
  <c r="AR317" i="16"/>
  <c r="G317" i="16"/>
  <c r="I317" i="16"/>
  <c r="AD317" i="16" s="1"/>
  <c r="J317" i="16"/>
  <c r="AL318" i="16"/>
  <c r="AR318" i="16"/>
  <c r="AM318" i="16" s="1"/>
  <c r="G318" i="16"/>
  <c r="I318" i="16"/>
  <c r="AC318" i="16" s="1"/>
  <c r="J318" i="16"/>
  <c r="AL319" i="16"/>
  <c r="AR319" i="16"/>
  <c r="G319" i="16"/>
  <c r="I319" i="16"/>
  <c r="AC319" i="16" s="1"/>
  <c r="J319" i="16"/>
  <c r="AL320" i="16"/>
  <c r="AR320" i="16"/>
  <c r="AM320" i="16" s="1"/>
  <c r="G320" i="16"/>
  <c r="I320" i="16"/>
  <c r="AC320" i="16" s="1"/>
  <c r="J320" i="16"/>
  <c r="AL321" i="16"/>
  <c r="AR321" i="16"/>
  <c r="G321" i="16"/>
  <c r="I321" i="16"/>
  <c r="AD321" i="16" s="1"/>
  <c r="J321" i="16"/>
  <c r="AL322" i="16"/>
  <c r="AR322" i="16"/>
  <c r="AM322" i="16" s="1"/>
  <c r="G322" i="16"/>
  <c r="I322" i="16"/>
  <c r="AC322" i="16" s="1"/>
  <c r="J322" i="16"/>
  <c r="AL323" i="16"/>
  <c r="AR323" i="16"/>
  <c r="G323" i="16"/>
  <c r="I323" i="16"/>
  <c r="AC323" i="16" s="1"/>
  <c r="J323" i="16"/>
  <c r="J63" i="21"/>
  <c r="AR324" i="16"/>
  <c r="AO324" i="16" s="1"/>
  <c r="G324" i="16"/>
  <c r="I324" i="16"/>
  <c r="AD324" i="16" s="1"/>
  <c r="J324" i="16"/>
  <c r="AR325" i="16"/>
  <c r="AN325" i="16" s="1"/>
  <c r="G325" i="16"/>
  <c r="I325" i="16"/>
  <c r="J325" i="16"/>
  <c r="AL326" i="16"/>
  <c r="AR326" i="16"/>
  <c r="AM326" i="16" s="1"/>
  <c r="G326" i="16"/>
  <c r="I326" i="16"/>
  <c r="J326" i="16"/>
  <c r="J64" i="21"/>
  <c r="AR327" i="16"/>
  <c r="AM327" i="16" s="1"/>
  <c r="G327" i="16"/>
  <c r="I327" i="16"/>
  <c r="AD327" i="16" s="1"/>
  <c r="J327" i="16"/>
  <c r="AR328" i="16"/>
  <c r="G328" i="16"/>
  <c r="I328" i="16"/>
  <c r="AD328" i="16" s="1"/>
  <c r="J328" i="16"/>
  <c r="AL329" i="16"/>
  <c r="AR329" i="16"/>
  <c r="AM329" i="16" s="1"/>
  <c r="G329" i="16"/>
  <c r="I329" i="16"/>
  <c r="J329" i="16"/>
  <c r="AL330" i="16"/>
  <c r="AR330" i="16"/>
  <c r="G330" i="16"/>
  <c r="I330" i="16"/>
  <c r="J330" i="16"/>
  <c r="AL331" i="16"/>
  <c r="AR331" i="16"/>
  <c r="AM331" i="16" s="1"/>
  <c r="G331" i="16"/>
  <c r="I331" i="16"/>
  <c r="AD331" i="16" s="1"/>
  <c r="J331" i="16"/>
  <c r="AL332" i="16"/>
  <c r="AR332" i="16"/>
  <c r="G332" i="16"/>
  <c r="I332" i="16"/>
  <c r="AD332" i="16" s="1"/>
  <c r="J332" i="16"/>
  <c r="AL333" i="16"/>
  <c r="AR333" i="16"/>
  <c r="AM333" i="16" s="1"/>
  <c r="G333" i="16"/>
  <c r="I333" i="16"/>
  <c r="J333" i="16"/>
  <c r="AL334" i="16"/>
  <c r="AR334" i="16"/>
  <c r="G334" i="16"/>
  <c r="I334" i="16"/>
  <c r="J334" i="16"/>
  <c r="AL335" i="16"/>
  <c r="AR335" i="16"/>
  <c r="AM335" i="16" s="1"/>
  <c r="G335" i="16"/>
  <c r="I335" i="16"/>
  <c r="AD335" i="16" s="1"/>
  <c r="J335" i="16"/>
  <c r="AL336" i="16"/>
  <c r="AR336" i="16"/>
  <c r="G336" i="16"/>
  <c r="I336" i="16"/>
  <c r="AD336" i="16" s="1"/>
  <c r="J336" i="16"/>
  <c r="AL337" i="16"/>
  <c r="AR337" i="16"/>
  <c r="AM337" i="16" s="1"/>
  <c r="G337" i="16"/>
  <c r="I337" i="16"/>
  <c r="J337" i="16"/>
  <c r="AL338" i="16"/>
  <c r="AR338" i="16"/>
  <c r="G338" i="16"/>
  <c r="I338" i="16"/>
  <c r="J338" i="16"/>
  <c r="AL339" i="16"/>
  <c r="AR339" i="16"/>
  <c r="AM339" i="16" s="1"/>
  <c r="G339" i="16"/>
  <c r="I339" i="16"/>
  <c r="AD339" i="16" s="1"/>
  <c r="J339" i="16"/>
  <c r="J65" i="21"/>
  <c r="AR340" i="16"/>
  <c r="AN340" i="16" s="1"/>
  <c r="G340" i="16"/>
  <c r="I340" i="16"/>
  <c r="AD340" i="16" s="1"/>
  <c r="J340" i="16"/>
  <c r="AP340" i="16"/>
  <c r="AE340" i="16" s="1"/>
  <c r="AR341" i="16"/>
  <c r="AN341" i="16" s="1"/>
  <c r="G341" i="16"/>
  <c r="I341" i="16"/>
  <c r="J341" i="16"/>
  <c r="J66" i="21"/>
  <c r="AR342" i="16"/>
  <c r="AM342" i="16" s="1"/>
  <c r="G342" i="16"/>
  <c r="I342" i="16"/>
  <c r="J342" i="16"/>
  <c r="AR343" i="16"/>
  <c r="G343" i="16"/>
  <c r="I343" i="16"/>
  <c r="AD343" i="16" s="1"/>
  <c r="J343" i="16"/>
  <c r="J67" i="21"/>
  <c r="AR344" i="16"/>
  <c r="AO344" i="16" s="1"/>
  <c r="G344" i="16"/>
  <c r="I344" i="16"/>
  <c r="AD344" i="16" s="1"/>
  <c r="J344" i="16"/>
  <c r="J68" i="21"/>
  <c r="AR345" i="16"/>
  <c r="AM345" i="16" s="1"/>
  <c r="G345" i="16"/>
  <c r="I345" i="16"/>
  <c r="J345" i="16"/>
  <c r="AR346" i="16"/>
  <c r="G346" i="16"/>
  <c r="I346" i="16"/>
  <c r="J346" i="16"/>
  <c r="AL347" i="16"/>
  <c r="AR347" i="16"/>
  <c r="AM347" i="16" s="1"/>
  <c r="G347" i="16"/>
  <c r="I347" i="16"/>
  <c r="AD347" i="16" s="1"/>
  <c r="J347" i="16"/>
  <c r="AL348" i="16"/>
  <c r="AR348" i="16"/>
  <c r="G348" i="16"/>
  <c r="I348" i="16"/>
  <c r="AD348" i="16" s="1"/>
  <c r="J348" i="16"/>
  <c r="AL349" i="16"/>
  <c r="AR349" i="16"/>
  <c r="AM349" i="16" s="1"/>
  <c r="G349" i="16"/>
  <c r="I349" i="16"/>
  <c r="J349" i="16"/>
  <c r="AL350" i="16"/>
  <c r="AR350" i="16"/>
  <c r="G350" i="16"/>
  <c r="I350" i="16"/>
  <c r="J350" i="16"/>
  <c r="AL351" i="16"/>
  <c r="AR351" i="16"/>
  <c r="AM351" i="16" s="1"/>
  <c r="G351" i="16"/>
  <c r="I351" i="16"/>
  <c r="AD351" i="16" s="1"/>
  <c r="J351" i="16"/>
  <c r="AL352" i="16"/>
  <c r="AR352" i="16"/>
  <c r="G352" i="16"/>
  <c r="I352" i="16"/>
  <c r="AD352" i="16" s="1"/>
  <c r="J352" i="16"/>
  <c r="AL353" i="16"/>
  <c r="AR353" i="16"/>
  <c r="AM353" i="16" s="1"/>
  <c r="G353" i="16"/>
  <c r="I353" i="16"/>
  <c r="J353" i="16"/>
  <c r="AL354" i="16"/>
  <c r="AR354" i="16"/>
  <c r="G354" i="16"/>
  <c r="I354" i="16"/>
  <c r="J354" i="16"/>
  <c r="AL355" i="16"/>
  <c r="AR355" i="16"/>
  <c r="AM355" i="16" s="1"/>
  <c r="G355" i="16"/>
  <c r="I355" i="16"/>
  <c r="AD355" i="16" s="1"/>
  <c r="J355" i="16"/>
  <c r="AL356" i="16"/>
  <c r="AR356" i="16"/>
  <c r="G356" i="16"/>
  <c r="I356" i="16"/>
  <c r="AD356" i="16" s="1"/>
  <c r="J356" i="16"/>
  <c r="AL357" i="16"/>
  <c r="AR357" i="16"/>
  <c r="AM357" i="16" s="1"/>
  <c r="G357" i="16"/>
  <c r="I357" i="16"/>
  <c r="J357" i="16"/>
  <c r="J69" i="21"/>
  <c r="AR358" i="16"/>
  <c r="AN358" i="16" s="1"/>
  <c r="G358" i="16"/>
  <c r="I358" i="16"/>
  <c r="J358" i="16"/>
  <c r="AR359" i="16"/>
  <c r="AO359" i="16" s="1"/>
  <c r="G359" i="16"/>
  <c r="I359" i="16"/>
  <c r="AD359" i="16" s="1"/>
  <c r="J359" i="16"/>
  <c r="AL360" i="16"/>
  <c r="AR360" i="16"/>
  <c r="AN360" i="16" s="1"/>
  <c r="G360" i="16"/>
  <c r="I360" i="16"/>
  <c r="AD360" i="16" s="1"/>
  <c r="J360" i="16"/>
  <c r="AL361" i="16"/>
  <c r="AR361" i="16"/>
  <c r="AO361" i="16" s="1"/>
  <c r="G361" i="16"/>
  <c r="I361" i="16"/>
  <c r="J361" i="16"/>
  <c r="J70" i="21"/>
  <c r="AR362" i="16"/>
  <c r="AM362" i="16" s="1"/>
  <c r="G362" i="16"/>
  <c r="I362" i="16"/>
  <c r="J362" i="16"/>
  <c r="J71" i="21"/>
  <c r="AR363" i="16"/>
  <c r="AN363" i="16" s="1"/>
  <c r="G363" i="16"/>
  <c r="I363" i="16"/>
  <c r="AD363" i="16" s="1"/>
  <c r="J363" i="16"/>
  <c r="AR364" i="16"/>
  <c r="AM364" i="16" s="1"/>
  <c r="G364" i="16"/>
  <c r="I364" i="16"/>
  <c r="AD364" i="16" s="1"/>
  <c r="J364" i="16"/>
  <c r="AL365" i="16"/>
  <c r="AR365" i="16"/>
  <c r="G365" i="16"/>
  <c r="I365" i="16"/>
  <c r="J365" i="16"/>
  <c r="AL366" i="16"/>
  <c r="AR366" i="16"/>
  <c r="AN366" i="16" s="1"/>
  <c r="G366" i="16"/>
  <c r="I366" i="16"/>
  <c r="J366" i="16"/>
  <c r="AL367" i="16"/>
  <c r="AR367" i="16"/>
  <c r="AO367" i="16" s="1"/>
  <c r="G367" i="16"/>
  <c r="I367" i="16"/>
  <c r="AD367" i="16" s="1"/>
  <c r="J367" i="16"/>
  <c r="AL368" i="16"/>
  <c r="AR368" i="16"/>
  <c r="AN368" i="16" s="1"/>
  <c r="G368" i="16"/>
  <c r="I368" i="16"/>
  <c r="AD368" i="16" s="1"/>
  <c r="J368" i="16"/>
  <c r="AL369" i="16"/>
  <c r="AR369" i="16"/>
  <c r="AO369" i="16" s="1"/>
  <c r="G369" i="16"/>
  <c r="I369" i="16"/>
  <c r="J369" i="16"/>
  <c r="AL370" i="16"/>
  <c r="AR370" i="16"/>
  <c r="AN370" i="16" s="1"/>
  <c r="G370" i="16"/>
  <c r="I370" i="16"/>
  <c r="J370" i="16"/>
  <c r="AL371" i="16"/>
  <c r="AR371" i="16"/>
  <c r="AO371" i="16" s="1"/>
  <c r="G371" i="16"/>
  <c r="I371" i="16"/>
  <c r="AC371" i="16" s="1"/>
  <c r="J371" i="16"/>
  <c r="AL372" i="16"/>
  <c r="AR372" i="16"/>
  <c r="AN372" i="16" s="1"/>
  <c r="G372" i="16"/>
  <c r="I372" i="16"/>
  <c r="AC372" i="16" s="1"/>
  <c r="J372" i="16"/>
  <c r="AL373" i="16"/>
  <c r="AR373" i="16"/>
  <c r="AN373" i="16" s="1"/>
  <c r="G373" i="16"/>
  <c r="I373" i="16"/>
  <c r="AC373" i="16" s="1"/>
  <c r="J373" i="16"/>
  <c r="AL374" i="16"/>
  <c r="AR374" i="16"/>
  <c r="AO374" i="16" s="1"/>
  <c r="G374" i="16"/>
  <c r="I374" i="16"/>
  <c r="AC374" i="16" s="1"/>
  <c r="J374" i="16"/>
  <c r="AL375" i="16"/>
  <c r="AR375" i="16"/>
  <c r="AN375" i="16" s="1"/>
  <c r="G375" i="16"/>
  <c r="I375" i="16"/>
  <c r="AC375" i="16" s="1"/>
  <c r="J375" i="16"/>
  <c r="AL376" i="16"/>
  <c r="AR376" i="16"/>
  <c r="AO376" i="16" s="1"/>
  <c r="G376" i="16"/>
  <c r="I376" i="16"/>
  <c r="AC376" i="16" s="1"/>
  <c r="J376" i="16"/>
  <c r="AL377" i="16"/>
  <c r="AR377" i="16"/>
  <c r="AN377" i="16" s="1"/>
  <c r="G377" i="16"/>
  <c r="I377" i="16"/>
  <c r="AC377" i="16" s="1"/>
  <c r="J377" i="16"/>
  <c r="AL378" i="16"/>
  <c r="AR378" i="16"/>
  <c r="AO378" i="16" s="1"/>
  <c r="G378" i="16"/>
  <c r="I378" i="16"/>
  <c r="AC378" i="16" s="1"/>
  <c r="J378" i="16"/>
  <c r="AL379" i="16"/>
  <c r="AR379" i="16"/>
  <c r="AN379" i="16" s="1"/>
  <c r="G379" i="16"/>
  <c r="I379" i="16"/>
  <c r="AC379" i="16" s="1"/>
  <c r="J379" i="16"/>
  <c r="AL380" i="16"/>
  <c r="AR380" i="16"/>
  <c r="AO380" i="16" s="1"/>
  <c r="G380" i="16"/>
  <c r="I380" i="16"/>
  <c r="AC380" i="16" s="1"/>
  <c r="J380" i="16"/>
  <c r="AL381" i="16"/>
  <c r="AR381" i="16"/>
  <c r="AN381" i="16" s="1"/>
  <c r="G381" i="16"/>
  <c r="I381" i="16"/>
  <c r="AC381" i="16" s="1"/>
  <c r="J381" i="16"/>
  <c r="AL382" i="16"/>
  <c r="AR382" i="16"/>
  <c r="AO382" i="16" s="1"/>
  <c r="G382" i="16"/>
  <c r="I382" i="16"/>
  <c r="AC382" i="16" s="1"/>
  <c r="J382" i="16"/>
  <c r="AL383" i="16"/>
  <c r="AR383" i="16"/>
  <c r="AN383" i="16" s="1"/>
  <c r="G383" i="16"/>
  <c r="I383" i="16"/>
  <c r="AC383" i="16" s="1"/>
  <c r="J383" i="16"/>
  <c r="AL384" i="16"/>
  <c r="AR384" i="16"/>
  <c r="AN384" i="16" s="1"/>
  <c r="G384" i="16"/>
  <c r="I384" i="16"/>
  <c r="AC384" i="16" s="1"/>
  <c r="J384" i="16"/>
  <c r="AL385" i="16"/>
  <c r="AR385" i="16"/>
  <c r="AN385" i="16" s="1"/>
  <c r="G385" i="16"/>
  <c r="I385" i="16"/>
  <c r="AC385" i="16" s="1"/>
  <c r="J385" i="16"/>
  <c r="AL386" i="16"/>
  <c r="AR386" i="16"/>
  <c r="AN386" i="16" s="1"/>
  <c r="G386" i="16"/>
  <c r="I386" i="16"/>
  <c r="AC386" i="16" s="1"/>
  <c r="J386" i="16"/>
  <c r="AL387" i="16"/>
  <c r="AR387" i="16"/>
  <c r="AN387" i="16" s="1"/>
  <c r="G387" i="16"/>
  <c r="I387" i="16"/>
  <c r="AC387" i="16" s="1"/>
  <c r="J387" i="16"/>
  <c r="AL388" i="16"/>
  <c r="AR388" i="16"/>
  <c r="AN388" i="16" s="1"/>
  <c r="G388" i="16"/>
  <c r="I388" i="16"/>
  <c r="AC388" i="16" s="1"/>
  <c r="J388" i="16"/>
  <c r="AL389" i="16"/>
  <c r="AR389" i="16"/>
  <c r="AN389" i="16" s="1"/>
  <c r="G389" i="16"/>
  <c r="I389" i="16"/>
  <c r="AC389" i="16" s="1"/>
  <c r="J389" i="16"/>
  <c r="AL390" i="16"/>
  <c r="AR390" i="16"/>
  <c r="AN390" i="16" s="1"/>
  <c r="G390" i="16"/>
  <c r="I390" i="16"/>
  <c r="AC390" i="16" s="1"/>
  <c r="J390" i="16"/>
  <c r="AL391" i="16"/>
  <c r="AR391" i="16"/>
  <c r="AN391" i="16" s="1"/>
  <c r="G391" i="16"/>
  <c r="I391" i="16"/>
  <c r="AC391" i="16" s="1"/>
  <c r="J391" i="16"/>
  <c r="AL392" i="16"/>
  <c r="AR392" i="16"/>
  <c r="AN392" i="16" s="1"/>
  <c r="G392" i="16"/>
  <c r="I392" i="16"/>
  <c r="AC392" i="16" s="1"/>
  <c r="J392" i="16"/>
  <c r="AL393" i="16"/>
  <c r="AR393" i="16"/>
  <c r="AN393" i="16" s="1"/>
  <c r="G393" i="16"/>
  <c r="I393" i="16"/>
  <c r="AC393" i="16" s="1"/>
  <c r="J393" i="16"/>
  <c r="J72" i="21"/>
  <c r="AR394" i="16"/>
  <c r="AO394" i="16" s="1"/>
  <c r="G394" i="16"/>
  <c r="I394" i="16"/>
  <c r="AC394" i="16" s="1"/>
  <c r="J394" i="16"/>
  <c r="AR395" i="16"/>
  <c r="AM395" i="16" s="1"/>
  <c r="G395" i="16"/>
  <c r="I395" i="16"/>
  <c r="AC395" i="16" s="1"/>
  <c r="J395" i="16"/>
  <c r="AL396" i="16"/>
  <c r="AR396" i="16"/>
  <c r="AO396" i="16" s="1"/>
  <c r="G396" i="16"/>
  <c r="I396" i="16"/>
  <c r="AC396" i="16" s="1"/>
  <c r="J396" i="16"/>
  <c r="AL397" i="16"/>
  <c r="AR397" i="16"/>
  <c r="AM397" i="16" s="1"/>
  <c r="G397" i="16"/>
  <c r="I397" i="16"/>
  <c r="AC397" i="16" s="1"/>
  <c r="J397" i="16"/>
  <c r="J73" i="21"/>
  <c r="AR398" i="16"/>
  <c r="AN398" i="16" s="1"/>
  <c r="G398" i="16"/>
  <c r="I398" i="16"/>
  <c r="AD398" i="16" s="1"/>
  <c r="J398" i="16"/>
  <c r="AR399" i="16"/>
  <c r="AO399" i="16" s="1"/>
  <c r="G399" i="16"/>
  <c r="I399" i="16"/>
  <c r="AD399" i="16" s="1"/>
  <c r="J399" i="16"/>
  <c r="AL400" i="16"/>
  <c r="AR400" i="16"/>
  <c r="AN400" i="16" s="1"/>
  <c r="G400" i="16"/>
  <c r="I400" i="16"/>
  <c r="AD400" i="16" s="1"/>
  <c r="J400" i="16"/>
  <c r="AL401" i="16"/>
  <c r="AR401" i="16"/>
  <c r="AM401" i="16" s="1"/>
  <c r="G401" i="16"/>
  <c r="I401" i="16"/>
  <c r="AD401" i="16" s="1"/>
  <c r="J401" i="16"/>
  <c r="AL402" i="16"/>
  <c r="AR402" i="16"/>
  <c r="AN402" i="16" s="1"/>
  <c r="G402" i="16"/>
  <c r="I402" i="16"/>
  <c r="AD402" i="16" s="1"/>
  <c r="J402" i="16"/>
  <c r="AL403" i="16"/>
  <c r="AR403" i="16"/>
  <c r="AM403" i="16" s="1"/>
  <c r="G403" i="16"/>
  <c r="I403" i="16"/>
  <c r="AD403" i="16" s="1"/>
  <c r="J403" i="16"/>
  <c r="AL404" i="16"/>
  <c r="AR404" i="16"/>
  <c r="AN404" i="16" s="1"/>
  <c r="G404" i="16"/>
  <c r="I404" i="16"/>
  <c r="AD404" i="16" s="1"/>
  <c r="J404" i="16"/>
  <c r="J74" i="21"/>
  <c r="AR405" i="16"/>
  <c r="AN405" i="16" s="1"/>
  <c r="G405" i="16"/>
  <c r="I405" i="16"/>
  <c r="AD405" i="16" s="1"/>
  <c r="J405" i="16"/>
  <c r="AR406" i="16"/>
  <c r="AM406" i="16" s="1"/>
  <c r="G406" i="16"/>
  <c r="I406" i="16"/>
  <c r="AD406" i="16" s="1"/>
  <c r="J406" i="16"/>
  <c r="AL407" i="16"/>
  <c r="AR407" i="16"/>
  <c r="AO407" i="16" s="1"/>
  <c r="G407" i="16"/>
  <c r="I407" i="16"/>
  <c r="AD407" i="16" s="1"/>
  <c r="J407" i="16"/>
  <c r="AL408" i="16"/>
  <c r="AR408" i="16"/>
  <c r="AM408" i="16" s="1"/>
  <c r="G408" i="16"/>
  <c r="I408" i="16"/>
  <c r="AD408" i="16" s="1"/>
  <c r="J408" i="16"/>
  <c r="AL409" i="16"/>
  <c r="AR409" i="16"/>
  <c r="AO409" i="16" s="1"/>
  <c r="G409" i="16"/>
  <c r="I409" i="16"/>
  <c r="AD409" i="16" s="1"/>
  <c r="J409" i="16"/>
  <c r="AL410" i="16"/>
  <c r="AR410" i="16"/>
  <c r="AM410" i="16" s="1"/>
  <c r="G410" i="16"/>
  <c r="I410" i="16"/>
  <c r="AD410" i="16" s="1"/>
  <c r="J410" i="16"/>
  <c r="AL411" i="16"/>
  <c r="AR411" i="16"/>
  <c r="AO411" i="16" s="1"/>
  <c r="G411" i="16"/>
  <c r="I411" i="16"/>
  <c r="AD411" i="16" s="1"/>
  <c r="J411" i="16"/>
  <c r="AL412" i="16"/>
  <c r="AR412" i="16"/>
  <c r="AM412" i="16" s="1"/>
  <c r="G412" i="16"/>
  <c r="I412" i="16"/>
  <c r="AD412" i="16" s="1"/>
  <c r="J412" i="16"/>
  <c r="AL413" i="16"/>
  <c r="AR413" i="16"/>
  <c r="AN413" i="16" s="1"/>
  <c r="G413" i="16"/>
  <c r="I413" i="16"/>
  <c r="AD413" i="16" s="1"/>
  <c r="J413" i="16"/>
  <c r="AL414" i="16"/>
  <c r="AR414" i="16"/>
  <c r="AM414" i="16" s="1"/>
  <c r="G414" i="16"/>
  <c r="I414" i="16"/>
  <c r="AD414" i="16" s="1"/>
  <c r="J414" i="16"/>
  <c r="AL415" i="16"/>
  <c r="AR415" i="16"/>
  <c r="AM415" i="16" s="1"/>
  <c r="G415" i="16"/>
  <c r="I415" i="16"/>
  <c r="AD415" i="16" s="1"/>
  <c r="J415" i="16"/>
  <c r="AL416" i="16"/>
  <c r="AR416" i="16"/>
  <c r="AM416" i="16" s="1"/>
  <c r="G416" i="16"/>
  <c r="I416" i="16"/>
  <c r="AD416" i="16" s="1"/>
  <c r="J416" i="16"/>
  <c r="AL417" i="16"/>
  <c r="AR417" i="16"/>
  <c r="AO417" i="16" s="1"/>
  <c r="G417" i="16"/>
  <c r="I417" i="16"/>
  <c r="AD417" i="16" s="1"/>
  <c r="J417" i="16"/>
  <c r="AL418" i="16"/>
  <c r="AR418" i="16"/>
  <c r="AM418" i="16" s="1"/>
  <c r="G418" i="16"/>
  <c r="I418" i="16"/>
  <c r="AD418" i="16" s="1"/>
  <c r="J418" i="16"/>
  <c r="AL419" i="16"/>
  <c r="AR419" i="16"/>
  <c r="AO419" i="16" s="1"/>
  <c r="G419" i="16"/>
  <c r="I419" i="16"/>
  <c r="AD419" i="16" s="1"/>
  <c r="J419" i="16"/>
  <c r="AL420" i="16"/>
  <c r="AR420" i="16"/>
  <c r="AM420" i="16" s="1"/>
  <c r="G420" i="16"/>
  <c r="I420" i="16"/>
  <c r="AD420" i="16" s="1"/>
  <c r="J420" i="16"/>
  <c r="AL421" i="16"/>
  <c r="AR421" i="16"/>
  <c r="AO421" i="16" s="1"/>
  <c r="G421" i="16"/>
  <c r="I421" i="16"/>
  <c r="AD421" i="16" s="1"/>
  <c r="J421" i="16"/>
  <c r="AL422" i="16"/>
  <c r="AR422" i="16"/>
  <c r="AM422" i="16" s="1"/>
  <c r="G422" i="16"/>
  <c r="I422" i="16"/>
  <c r="AD422" i="16" s="1"/>
  <c r="J422" i="16"/>
  <c r="AL423" i="16"/>
  <c r="AR423" i="16"/>
  <c r="AO423" i="16" s="1"/>
  <c r="G423" i="16"/>
  <c r="I423" i="16"/>
  <c r="AD423" i="16" s="1"/>
  <c r="J423" i="16"/>
  <c r="AL424" i="16"/>
  <c r="AR424" i="16"/>
  <c r="AM424" i="16" s="1"/>
  <c r="G424" i="16"/>
  <c r="I424" i="16"/>
  <c r="AD424" i="16" s="1"/>
  <c r="J424" i="16"/>
  <c r="AL425" i="16"/>
  <c r="AR425" i="16"/>
  <c r="AO425" i="16" s="1"/>
  <c r="G425" i="16"/>
  <c r="I425" i="16"/>
  <c r="AD425" i="16" s="1"/>
  <c r="J425" i="16"/>
  <c r="AL426" i="16"/>
  <c r="AR426" i="16"/>
  <c r="AM426" i="16" s="1"/>
  <c r="G426" i="16"/>
  <c r="I426" i="16"/>
  <c r="AD426" i="16" s="1"/>
  <c r="J426" i="16"/>
  <c r="AL427" i="16"/>
  <c r="AR427" i="16"/>
  <c r="AM427" i="16" s="1"/>
  <c r="G427" i="16"/>
  <c r="I427" i="16"/>
  <c r="AD427" i="16" s="1"/>
  <c r="J427" i="16"/>
  <c r="AL428" i="16"/>
  <c r="AR428" i="16"/>
  <c r="AM428" i="16" s="1"/>
  <c r="G428" i="16"/>
  <c r="I428" i="16"/>
  <c r="AD428" i="16" s="1"/>
  <c r="J428" i="16"/>
  <c r="AL429" i="16"/>
  <c r="AR429" i="16"/>
  <c r="AM429" i="16" s="1"/>
  <c r="G429" i="16"/>
  <c r="I429" i="16"/>
  <c r="AD429" i="16" s="1"/>
  <c r="J429" i="16"/>
  <c r="AL430" i="16"/>
  <c r="AR430" i="16"/>
  <c r="AM430" i="16" s="1"/>
  <c r="G430" i="16"/>
  <c r="I430" i="16"/>
  <c r="AD430" i="16" s="1"/>
  <c r="J430" i="16"/>
  <c r="AL431" i="16"/>
  <c r="AR431" i="16"/>
  <c r="AO431" i="16" s="1"/>
  <c r="G431" i="16"/>
  <c r="I431" i="16"/>
  <c r="AD431" i="16" s="1"/>
  <c r="J431" i="16"/>
  <c r="AL432" i="16"/>
  <c r="AR432" i="16"/>
  <c r="AM432" i="16" s="1"/>
  <c r="G432" i="16"/>
  <c r="I432" i="16"/>
  <c r="AD432" i="16" s="1"/>
  <c r="J432" i="16"/>
  <c r="AL433" i="16"/>
  <c r="AR433" i="16"/>
  <c r="AM433" i="16" s="1"/>
  <c r="G433" i="16"/>
  <c r="I433" i="16"/>
  <c r="AD433" i="16" s="1"/>
  <c r="J433" i="16"/>
  <c r="AL434" i="16"/>
  <c r="AR434" i="16"/>
  <c r="AM434" i="16" s="1"/>
  <c r="G434" i="16"/>
  <c r="I434" i="16"/>
  <c r="AD434" i="16" s="1"/>
  <c r="J434" i="16"/>
  <c r="AL435" i="16"/>
  <c r="AR435" i="16"/>
  <c r="AM435" i="16" s="1"/>
  <c r="G435" i="16"/>
  <c r="I435" i="16"/>
  <c r="J435" i="16"/>
  <c r="C3" i="19"/>
  <c r="C2" i="19" s="1"/>
  <c r="E39" i="16"/>
  <c r="E2" i="19"/>
  <c r="AL211" i="16" l="1"/>
  <c r="AL263" i="16"/>
  <c r="AL262" i="16"/>
  <c r="AL171" i="16"/>
  <c r="AL202" i="16"/>
  <c r="AL362" i="16"/>
  <c r="AL324" i="16"/>
  <c r="AL342" i="16"/>
  <c r="AL327" i="16"/>
  <c r="AL340" i="16"/>
  <c r="AL405" i="16"/>
  <c r="AL289" i="16"/>
  <c r="AL398" i="16"/>
  <c r="AL358" i="16"/>
  <c r="AL210" i="16"/>
  <c r="AL344" i="16"/>
  <c r="AL394" i="16"/>
  <c r="AL246" i="16"/>
  <c r="AL172" i="16"/>
  <c r="AA76" i="16"/>
  <c r="AA41" i="16"/>
  <c r="AC42" i="16"/>
  <c r="AB41" i="16"/>
  <c r="J108" i="16"/>
  <c r="AB108" i="16" s="1"/>
  <c r="AL173" i="16"/>
  <c r="AL395" i="16"/>
  <c r="AL399" i="16"/>
  <c r="J263" i="16"/>
  <c r="AB263" i="16" s="1"/>
  <c r="AL363" i="16"/>
  <c r="AL359" i="16"/>
  <c r="AL406" i="16"/>
  <c r="AL343" i="16"/>
  <c r="AL341" i="16"/>
  <c r="AL314" i="16"/>
  <c r="AL135" i="16"/>
  <c r="AL345" i="16"/>
  <c r="AL290" i="16"/>
  <c r="AL203" i="16"/>
  <c r="AL325" i="16"/>
  <c r="AL161" i="16"/>
  <c r="AL149" i="16"/>
  <c r="AL96" i="16"/>
  <c r="AL364" i="16"/>
  <c r="AL346" i="16"/>
  <c r="AL328" i="16"/>
  <c r="AL151" i="16"/>
  <c r="AA126" i="16"/>
  <c r="AL305" i="16"/>
  <c r="AL261" i="16"/>
  <c r="AL247" i="16"/>
  <c r="AB148" i="16"/>
  <c r="AL140" i="16"/>
  <c r="J132" i="16"/>
  <c r="AB132" i="16" s="1"/>
  <c r="AC124" i="16"/>
  <c r="AL95" i="16"/>
  <c r="AL170" i="16"/>
  <c r="AL152" i="16"/>
  <c r="AD121" i="16"/>
  <c r="AC117" i="16"/>
  <c r="AD184" i="16"/>
  <c r="AB55" i="16"/>
  <c r="AB53" i="16"/>
  <c r="AD49" i="16"/>
  <c r="AD435" i="16"/>
  <c r="AC201" i="16"/>
  <c r="AD149" i="16"/>
  <c r="AD128" i="16"/>
  <c r="AB98" i="16"/>
  <c r="AD88" i="16"/>
  <c r="AA221" i="16"/>
  <c r="AB78" i="16"/>
  <c r="AB66" i="16"/>
  <c r="AD58" i="16"/>
  <c r="AB206" i="16"/>
  <c r="AD202" i="16"/>
  <c r="AD83" i="16"/>
  <c r="AB288" i="16"/>
  <c r="AC200" i="16"/>
  <c r="AA275" i="16"/>
  <c r="AA269" i="16"/>
  <c r="AA235" i="16"/>
  <c r="AA219" i="16"/>
  <c r="AA204" i="16"/>
  <c r="AA49" i="16"/>
  <c r="AA390" i="16"/>
  <c r="AA314" i="16"/>
  <c r="AB245" i="16"/>
  <c r="AA194" i="16"/>
  <c r="AA186" i="16"/>
  <c r="AD170" i="16"/>
  <c r="AA131" i="16"/>
  <c r="AA128" i="16"/>
  <c r="AD89" i="16"/>
  <c r="AC57" i="16"/>
  <c r="AB213" i="16"/>
  <c r="AC197" i="16"/>
  <c r="AC169" i="16"/>
  <c r="AA140" i="16"/>
  <c r="AD99" i="16"/>
  <c r="AA98" i="16"/>
  <c r="AC56" i="16"/>
  <c r="AA384" i="16"/>
  <c r="AB282" i="16"/>
  <c r="AA210" i="16"/>
  <c r="AB381" i="16"/>
  <c r="AB379" i="16"/>
  <c r="AB377" i="16"/>
  <c r="AD313" i="16"/>
  <c r="AD251" i="16"/>
  <c r="AB212" i="16"/>
  <c r="AB210" i="16"/>
  <c r="AA202" i="16"/>
  <c r="AA201" i="16"/>
  <c r="AA175" i="16"/>
  <c r="AC168" i="16"/>
  <c r="AC147" i="16"/>
  <c r="AA129" i="16"/>
  <c r="AA80" i="16"/>
  <c r="AA78" i="16"/>
  <c r="AD74" i="16"/>
  <c r="AA73" i="16"/>
  <c r="AA58" i="16"/>
  <c r="AA313" i="16"/>
  <c r="AB293" i="16"/>
  <c r="AB281" i="16"/>
  <c r="AB280" i="16"/>
  <c r="AD277" i="16"/>
  <c r="AA274" i="16"/>
  <c r="AA251" i="16"/>
  <c r="AB242" i="16"/>
  <c r="AD238" i="16"/>
  <c r="AB193" i="16"/>
  <c r="AD185" i="16"/>
  <c r="AB177" i="16"/>
  <c r="AB165" i="16"/>
  <c r="AD161" i="16"/>
  <c r="AD136" i="16"/>
  <c r="AD127" i="16"/>
  <c r="AD98" i="16"/>
  <c r="AB73" i="16"/>
  <c r="AB71" i="16"/>
  <c r="AA185" i="16"/>
  <c r="AA123" i="16"/>
  <c r="AA286" i="16"/>
  <c r="AA255" i="16"/>
  <c r="AA247" i="16"/>
  <c r="AA246" i="16"/>
  <c r="AA214" i="16"/>
  <c r="AA172" i="16"/>
  <c r="AA167" i="16"/>
  <c r="AA160" i="16"/>
  <c r="AA146" i="16"/>
  <c r="AA100" i="16"/>
  <c r="AA97" i="16"/>
  <c r="AA90" i="16"/>
  <c r="AA82" i="16"/>
  <c r="AA77" i="16"/>
  <c r="AA72" i="16"/>
  <c r="AA68" i="16"/>
  <c r="AC398" i="16"/>
  <c r="AB362" i="16"/>
  <c r="AD315" i="16"/>
  <c r="AD309" i="16"/>
  <c r="AA308" i="16"/>
  <c r="AB286" i="16"/>
  <c r="AB277" i="16"/>
  <c r="AB276" i="16"/>
  <c r="AD274" i="16"/>
  <c r="AA262" i="16"/>
  <c r="AA254" i="16"/>
  <c r="AC245" i="16"/>
  <c r="AC244" i="16"/>
  <c r="AA243" i="16"/>
  <c r="AA238" i="16"/>
  <c r="AD237" i="16"/>
  <c r="AA232" i="16"/>
  <c r="AD230" i="16"/>
  <c r="AC229" i="16"/>
  <c r="AC228" i="16"/>
  <c r="AA227" i="16"/>
  <c r="AB214" i="16"/>
  <c r="AC212" i="16"/>
  <c r="AB209" i="16"/>
  <c r="AA188" i="16"/>
  <c r="AA178" i="16"/>
  <c r="AA170" i="16"/>
  <c r="AA169" i="16"/>
  <c r="AC165" i="16"/>
  <c r="AA164" i="16"/>
  <c r="AA161" i="16"/>
  <c r="AC144" i="16"/>
  <c r="AA143" i="16"/>
  <c r="AD140" i="16"/>
  <c r="AA136" i="16"/>
  <c r="J118" i="16"/>
  <c r="AB118" i="16" s="1"/>
  <c r="AA102" i="16"/>
  <c r="AD95" i="16"/>
  <c r="AA94" i="16"/>
  <c r="AD87" i="16"/>
  <c r="AB82" i="16"/>
  <c r="AA81" i="16"/>
  <c r="AB77" i="16"/>
  <c r="AB75" i="16"/>
  <c r="AA74" i="16"/>
  <c r="AB70" i="16"/>
  <c r="AD66" i="16"/>
  <c r="AA65" i="16"/>
  <c r="AA54" i="16"/>
  <c r="AC44" i="16"/>
  <c r="AA42" i="16"/>
  <c r="AB397" i="16"/>
  <c r="AA396" i="16"/>
  <c r="AB395" i="16"/>
  <c r="AB393" i="16"/>
  <c r="AB391" i="16"/>
  <c r="AA386" i="16"/>
  <c r="AB359" i="16"/>
  <c r="AA315" i="16"/>
  <c r="AD314" i="16"/>
  <c r="AA309" i="16"/>
  <c r="AA303" i="16"/>
  <c r="AB289" i="16"/>
  <c r="AB279" i="16"/>
  <c r="AD269" i="16"/>
  <c r="AC257" i="16"/>
  <c r="AD247" i="16"/>
  <c r="AD246" i="16"/>
  <c r="AA245" i="16"/>
  <c r="AA237" i="16"/>
  <c r="AB234" i="16"/>
  <c r="AA229" i="16"/>
  <c r="AB225" i="16"/>
  <c r="AD221" i="16"/>
  <c r="AB218" i="16"/>
  <c r="AA212" i="16"/>
  <c r="AB211" i="16"/>
  <c r="AB190" i="16"/>
  <c r="AD186" i="16"/>
  <c r="AC181" i="16"/>
  <c r="AB155" i="16"/>
  <c r="AB153" i="16"/>
  <c r="AB150" i="16"/>
  <c r="AD129" i="16"/>
  <c r="AB124" i="16"/>
  <c r="AD103" i="16"/>
  <c r="AB102" i="16"/>
  <c r="AD92" i="16"/>
  <c r="AB81" i="16"/>
  <c r="AB79" i="16"/>
  <c r="AB74" i="16"/>
  <c r="AD59" i="16"/>
  <c r="AB58" i="16"/>
  <c r="AB54" i="16"/>
  <c r="AA44" i="16"/>
  <c r="AB43" i="16"/>
  <c r="AB399" i="16"/>
  <c r="AA394" i="16"/>
  <c r="AB385" i="16"/>
  <c r="AB383" i="16"/>
  <c r="AA320" i="16"/>
  <c r="AA311" i="16"/>
  <c r="AA310" i="16"/>
  <c r="AA307" i="16"/>
  <c r="AA304" i="16"/>
  <c r="AB302" i="16"/>
  <c r="AA296" i="16"/>
  <c r="AB285" i="16"/>
  <c r="AB284" i="16"/>
  <c r="AB278" i="16"/>
  <c r="AB275" i="16"/>
  <c r="AD273" i="16"/>
  <c r="AC272" i="16"/>
  <c r="AC253" i="16"/>
  <c r="AD250" i="16"/>
  <c r="AB241" i="16"/>
  <c r="AD236" i="16"/>
  <c r="AC233" i="16"/>
  <c r="AA224" i="16"/>
  <c r="AB219" i="16"/>
  <c r="AB217" i="16"/>
  <c r="AB215" i="16"/>
  <c r="AD211" i="16"/>
  <c r="AC209" i="16"/>
  <c r="AC208" i="16"/>
  <c r="AA207" i="16"/>
  <c r="AB198" i="16"/>
  <c r="AC193" i="16"/>
  <c r="AC192" i="16"/>
  <c r="AA191" i="16"/>
  <c r="AB182" i="16"/>
  <c r="AC177" i="16"/>
  <c r="AB174" i="16"/>
  <c r="AD167" i="16"/>
  <c r="AC164" i="16"/>
  <c r="AA162" i="16"/>
  <c r="AA159" i="16"/>
  <c r="AA156" i="16"/>
  <c r="AD148" i="16"/>
  <c r="AD146" i="16"/>
  <c r="AC143" i="16"/>
  <c r="AB141" i="16"/>
  <c r="AB137" i="16"/>
  <c r="AB133" i="16"/>
  <c r="AD126" i="16"/>
  <c r="AC123" i="16"/>
  <c r="AB86" i="16"/>
  <c r="AC81" i="16"/>
  <c r="AD78" i="16"/>
  <c r="AC77" i="16"/>
  <c r="AC73" i="16"/>
  <c r="AD70" i="16"/>
  <c r="AA69" i="16"/>
  <c r="AB65" i="16"/>
  <c r="AD63" i="16"/>
  <c r="AD55" i="16"/>
  <c r="AC53" i="16"/>
  <c r="AA52" i="16"/>
  <c r="AD47" i="16"/>
  <c r="AA45" i="16"/>
  <c r="AB435" i="16"/>
  <c r="AB433" i="16"/>
  <c r="AB431" i="16"/>
  <c r="AB429" i="16"/>
  <c r="AB427" i="16"/>
  <c r="AB425" i="16"/>
  <c r="AB423" i="16"/>
  <c r="AB421" i="16"/>
  <c r="AB419" i="16"/>
  <c r="AB417" i="16"/>
  <c r="AB415" i="16"/>
  <c r="AB413" i="16"/>
  <c r="AB411" i="16"/>
  <c r="AB409" i="16"/>
  <c r="AB407" i="16"/>
  <c r="AB405" i="16"/>
  <c r="AB403" i="16"/>
  <c r="AB401" i="16"/>
  <c r="AC399" i="16"/>
  <c r="AB398" i="16"/>
  <c r="AB389" i="16"/>
  <c r="AA388" i="16"/>
  <c r="AB387" i="16"/>
  <c r="AA382" i="16"/>
  <c r="AB380" i="16"/>
  <c r="AB378" i="16"/>
  <c r="AB370" i="16"/>
  <c r="AB367" i="16"/>
  <c r="AB354" i="16"/>
  <c r="AB351" i="16"/>
  <c r="AD322" i="16"/>
  <c r="AC321" i="16"/>
  <c r="AB318" i="16"/>
  <c r="AB307" i="16"/>
  <c r="AB304" i="16"/>
  <c r="AA293" i="16"/>
  <c r="AA288" i="16"/>
  <c r="AA282" i="16"/>
  <c r="AD275" i="16"/>
  <c r="AA273" i="16"/>
  <c r="AA272" i="16"/>
  <c r="AD261" i="16"/>
  <c r="AB258" i="16"/>
  <c r="AD255" i="16"/>
  <c r="AD254" i="16"/>
  <c r="AA253" i="16"/>
  <c r="AA250" i="16"/>
  <c r="AD249" i="16"/>
  <c r="AA240" i="16"/>
  <c r="AD235" i="16"/>
  <c r="AC232" i="16"/>
  <c r="AA230" i="16"/>
  <c r="AB229" i="16"/>
  <c r="AB226" i="16"/>
  <c r="AD222" i="16"/>
  <c r="AA220" i="16"/>
  <c r="AA209" i="16"/>
  <c r="AA199" i="16"/>
  <c r="AB197" i="16"/>
  <c r="AA196" i="16"/>
  <c r="AD194" i="16"/>
  <c r="AA193" i="16"/>
  <c r="AA183" i="16"/>
  <c r="AB181" i="16"/>
  <c r="AA180" i="16"/>
  <c r="AD178" i="16"/>
  <c r="AA177" i="16"/>
  <c r="AB166" i="16"/>
  <c r="AB161" i="16"/>
  <c r="AB159" i="16"/>
  <c r="AB156" i="16"/>
  <c r="AB145" i="16"/>
  <c r="AA142" i="16"/>
  <c r="AA138" i="16"/>
  <c r="AA134" i="16"/>
  <c r="AB125" i="16"/>
  <c r="AA121" i="16"/>
  <c r="AC119" i="16"/>
  <c r="AB116" i="16"/>
  <c r="AB114" i="16"/>
  <c r="AB112" i="16"/>
  <c r="AB110" i="16"/>
  <c r="AA105" i="16"/>
  <c r="AD104" i="16"/>
  <c r="AB103" i="16"/>
  <c r="AC100" i="16"/>
  <c r="AB99" i="16"/>
  <c r="AA96" i="16"/>
  <c r="AD94" i="16"/>
  <c r="AA93" i="16"/>
  <c r="AD91" i="16"/>
  <c r="AC90" i="16"/>
  <c r="AD86" i="16"/>
  <c r="AC85" i="16"/>
  <c r="AC84" i="16"/>
  <c r="AB83" i="16"/>
  <c r="AC80" i="16"/>
  <c r="AC76" i="16"/>
  <c r="AC72" i="16"/>
  <c r="AB69" i="16"/>
  <c r="AA64" i="16"/>
  <c r="AD62" i="16"/>
  <c r="AC61" i="16"/>
  <c r="AC60" i="16"/>
  <c r="AB59" i="16"/>
  <c r="AD54" i="16"/>
  <c r="AA53" i="16"/>
  <c r="AD50" i="16"/>
  <c r="AD46" i="16"/>
  <c r="AB45" i="16"/>
  <c r="AA392" i="16"/>
  <c r="AA322" i="16"/>
  <c r="AA321" i="16"/>
  <c r="AD311" i="16"/>
  <c r="AD310" i="16"/>
  <c r="AA249" i="16"/>
  <c r="AA222" i="16"/>
  <c r="AD162" i="16"/>
  <c r="AA101" i="16"/>
  <c r="AD90" i="16"/>
  <c r="AA86" i="16"/>
  <c r="AA62" i="16"/>
  <c r="AB400" i="16"/>
  <c r="AC317" i="16"/>
  <c r="AC308" i="16"/>
  <c r="AB301" i="16"/>
  <c r="AB297" i="16"/>
  <c r="AC296" i="16"/>
  <c r="AB292" i="16"/>
  <c r="AB283" i="16"/>
  <c r="AC266" i="16"/>
  <c r="AC264" i="16"/>
  <c r="AD243" i="16"/>
  <c r="AC241" i="16"/>
  <c r="AC240" i="16"/>
  <c r="AB237" i="16"/>
  <c r="AD227" i="16"/>
  <c r="AC225" i="16"/>
  <c r="AC224" i="16"/>
  <c r="AB221" i="16"/>
  <c r="AC217" i="16"/>
  <c r="AC216" i="16"/>
  <c r="AD207" i="16"/>
  <c r="AC205" i="16"/>
  <c r="AC204" i="16"/>
  <c r="AB201" i="16"/>
  <c r="AD191" i="16"/>
  <c r="AC189" i="16"/>
  <c r="AC188" i="16"/>
  <c r="AB185" i="16"/>
  <c r="AD175" i="16"/>
  <c r="AC173" i="16"/>
  <c r="AC172" i="16"/>
  <c r="AB169" i="16"/>
  <c r="AC160" i="16"/>
  <c r="AB152" i="16"/>
  <c r="AD138" i="16"/>
  <c r="AD134" i="16"/>
  <c r="AC132" i="16"/>
  <c r="AC131" i="16"/>
  <c r="AB128" i="16"/>
  <c r="AC120" i="16"/>
  <c r="AB119" i="16"/>
  <c r="AC97" i="16"/>
  <c r="AC96" i="16"/>
  <c r="AB95" i="16"/>
  <c r="AB94" i="16"/>
  <c r="AC93" i="16"/>
  <c r="AB91" i="16"/>
  <c r="AB90" i="16"/>
  <c r="AB87" i="16"/>
  <c r="AB85" i="16"/>
  <c r="AB434" i="16"/>
  <c r="AB432" i="16"/>
  <c r="AB430" i="16"/>
  <c r="AB428" i="16"/>
  <c r="AB426" i="16"/>
  <c r="AB424" i="16"/>
  <c r="AB422" i="16"/>
  <c r="AB420" i="16"/>
  <c r="AB418" i="16"/>
  <c r="AB416" i="16"/>
  <c r="AB414" i="16"/>
  <c r="AB412" i="16"/>
  <c r="AB410" i="16"/>
  <c r="AB408" i="16"/>
  <c r="AB406" i="16"/>
  <c r="AB404" i="16"/>
  <c r="AB402" i="16"/>
  <c r="AC400" i="16"/>
  <c r="AB396" i="16"/>
  <c r="AA395" i="16"/>
  <c r="AB392" i="16"/>
  <c r="AA391" i="16"/>
  <c r="AB388" i="16"/>
  <c r="AA387" i="16"/>
  <c r="AB384" i="16"/>
  <c r="AA383" i="16"/>
  <c r="AD380" i="16"/>
  <c r="AD379" i="16"/>
  <c r="AD378" i="16"/>
  <c r="AD377" i="16"/>
  <c r="AD376" i="16"/>
  <c r="AD375" i="16"/>
  <c r="AD374" i="16"/>
  <c r="AD373" i="16"/>
  <c r="AD372" i="16"/>
  <c r="AD371" i="16"/>
  <c r="AB322" i="16"/>
  <c r="AD318" i="16"/>
  <c r="AA317" i="16"/>
  <c r="AB314" i="16"/>
  <c r="AA302" i="16"/>
  <c r="AA289" i="16"/>
  <c r="AA285" i="16"/>
  <c r="AA281" i="16"/>
  <c r="AC275" i="16"/>
  <c r="AB273" i="16"/>
  <c r="AA266" i="16"/>
  <c r="AA264" i="16"/>
  <c r="AB262" i="16"/>
  <c r="AA259" i="16"/>
  <c r="AA258" i="16"/>
  <c r="AB250" i="16"/>
  <c r="AA244" i="16"/>
  <c r="AD242" i="16"/>
  <c r="AA241" i="16"/>
  <c r="AD240" i="16"/>
  <c r="AB238" i="16"/>
  <c r="AA234" i="16"/>
  <c r="AB233" i="16"/>
  <c r="AA231" i="16"/>
  <c r="AA228" i="16"/>
  <c r="AD226" i="16"/>
  <c r="AA225" i="16"/>
  <c r="AD224" i="16"/>
  <c r="AB222" i="16"/>
  <c r="AB220" i="16"/>
  <c r="AD218" i="16"/>
  <c r="AA217" i="16"/>
  <c r="AD215" i="16"/>
  <c r="AA213" i="16"/>
  <c r="AA211" i="16"/>
  <c r="AC210" i="16"/>
  <c r="AA208" i="16"/>
  <c r="AD206" i="16"/>
  <c r="AA205" i="16"/>
  <c r="AD204" i="16"/>
  <c r="AB202" i="16"/>
  <c r="AA198" i="16"/>
  <c r="AA195" i="16"/>
  <c r="AA192" i="16"/>
  <c r="AD190" i="16"/>
  <c r="AA189" i="16"/>
  <c r="AD188" i="16"/>
  <c r="AB186" i="16"/>
  <c r="AA182" i="16"/>
  <c r="AA179" i="16"/>
  <c r="AA176" i="16"/>
  <c r="AD174" i="16"/>
  <c r="AA173" i="16"/>
  <c r="AD172" i="16"/>
  <c r="AB170" i="16"/>
  <c r="AA166" i="16"/>
  <c r="AA163" i="16"/>
  <c r="AA145" i="16"/>
  <c r="AB144" i="16"/>
  <c r="AD141" i="16"/>
  <c r="AA139" i="16"/>
  <c r="AD137" i="16"/>
  <c r="AA135" i="16"/>
  <c r="AD133" i="16"/>
  <c r="AA132" i="16"/>
  <c r="AD131" i="16"/>
  <c r="AB129" i="16"/>
  <c r="AA125" i="16"/>
  <c r="AA122" i="16"/>
  <c r="AA104" i="16"/>
  <c r="AC102" i="16"/>
  <c r="AD101" i="16"/>
  <c r="AD100" i="16"/>
  <c r="AC98" i="16"/>
  <c r="AD97" i="16"/>
  <c r="AD96" i="16"/>
  <c r="AC94" i="16"/>
  <c r="AD93" i="16"/>
  <c r="AA70" i="16"/>
  <c r="AA66" i="16"/>
  <c r="AA61" i="16"/>
  <c r="AA60" i="16"/>
  <c r="AA48" i="16"/>
  <c r="AA40" i="16"/>
  <c r="AA92" i="16"/>
  <c r="AA89" i="16"/>
  <c r="AA88" i="16"/>
  <c r="AC69" i="16"/>
  <c r="AC68" i="16"/>
  <c r="AB67" i="16"/>
  <c r="AC65" i="16"/>
  <c r="AC64" i="16"/>
  <c r="AB63" i="16"/>
  <c r="AB61" i="16"/>
  <c r="AA57" i="16"/>
  <c r="AA56" i="16"/>
  <c r="AD52" i="16"/>
  <c r="AA50" i="16"/>
  <c r="AB49" i="16"/>
  <c r="AD43" i="16"/>
  <c r="AD41" i="16"/>
  <c r="AA397" i="16"/>
  <c r="AB394" i="16"/>
  <c r="AA393" i="16"/>
  <c r="AB390" i="16"/>
  <c r="AA389" i="16"/>
  <c r="AB386" i="16"/>
  <c r="AA385" i="16"/>
  <c r="AB382" i="16"/>
  <c r="AA381" i="16"/>
  <c r="AA380" i="16"/>
  <c r="AA379" i="16"/>
  <c r="AA378" i="16"/>
  <c r="AA377" i="16"/>
  <c r="AA376" i="16"/>
  <c r="AA375" i="16"/>
  <c r="AA374" i="16"/>
  <c r="AA373" i="16"/>
  <c r="AA372" i="16"/>
  <c r="AA371" i="16"/>
  <c r="AB366" i="16"/>
  <c r="AB363" i="16"/>
  <c r="AB358" i="16"/>
  <c r="AB355" i="16"/>
  <c r="AB350" i="16"/>
  <c r="AA318" i="16"/>
  <c r="AB310" i="16"/>
  <c r="AB308" i="16"/>
  <c r="AB303" i="16"/>
  <c r="AC302" i="16"/>
  <c r="AA301" i="16"/>
  <c r="AA297" i="16"/>
  <c r="AB296" i="16"/>
  <c r="AA292" i="16"/>
  <c r="AA277" i="16"/>
  <c r="AA276" i="16"/>
  <c r="AD259" i="16"/>
  <c r="AD258" i="16"/>
  <c r="AA257" i="16"/>
  <c r="AB254" i="16"/>
  <c r="AB246" i="16"/>
  <c r="AA242" i="16"/>
  <c r="AA239" i="16"/>
  <c r="AA236" i="16"/>
  <c r="AD234" i="16"/>
  <c r="AA233" i="16"/>
  <c r="AD232" i="16"/>
  <c r="AB230" i="16"/>
  <c r="AA226" i="16"/>
  <c r="AA223" i="16"/>
  <c r="AA218" i="16"/>
  <c r="AA215" i="16"/>
  <c r="AC214" i="16"/>
  <c r="AA206" i="16"/>
  <c r="AB205" i="16"/>
  <c r="AA203" i="16"/>
  <c r="AA200" i="16"/>
  <c r="AD198" i="16"/>
  <c r="AA197" i="16"/>
  <c r="AD196" i="16"/>
  <c r="AB194" i="16"/>
  <c r="AA190" i="16"/>
  <c r="AB189" i="16"/>
  <c r="AA187" i="16"/>
  <c r="AA184" i="16"/>
  <c r="AD182" i="16"/>
  <c r="AA181" i="16"/>
  <c r="AD180" i="16"/>
  <c r="AB178" i="16"/>
  <c r="AC176" i="16"/>
  <c r="AA174" i="16"/>
  <c r="AB173" i="16"/>
  <c r="AA171" i="16"/>
  <c r="AA168" i="16"/>
  <c r="AD166" i="16"/>
  <c r="AA165" i="16"/>
  <c r="AD164" i="16"/>
  <c r="AB162" i="16"/>
  <c r="AB160" i="16"/>
  <c r="AB154" i="16"/>
  <c r="AA147" i="16"/>
  <c r="AD145" i="16"/>
  <c r="AA144" i="16"/>
  <c r="AD143" i="16"/>
  <c r="AD142" i="16"/>
  <c r="AA141" i="16"/>
  <c r="AB140" i="16"/>
  <c r="AC139" i="16"/>
  <c r="AA137" i="16"/>
  <c r="AB136" i="16"/>
  <c r="AC135" i="16"/>
  <c r="AA133" i="16"/>
  <c r="AA130" i="16"/>
  <c r="AA127" i="16"/>
  <c r="AD125" i="16"/>
  <c r="AA124" i="16"/>
  <c r="AD123" i="16"/>
  <c r="AD122" i="16"/>
  <c r="AB121" i="16"/>
  <c r="AB120" i="16"/>
  <c r="AB117" i="16"/>
  <c r="AB115" i="16"/>
  <c r="AB113" i="16"/>
  <c r="AB111" i="16"/>
  <c r="AB109" i="16"/>
  <c r="AD105" i="16"/>
  <c r="AB101" i="16"/>
  <c r="AB97" i="16"/>
  <c r="AB93" i="16"/>
  <c r="AB89" i="16"/>
  <c r="AA85" i="16"/>
  <c r="AA84" i="16"/>
  <c r="AD82" i="16"/>
  <c r="AD81" i="16"/>
  <c r="AD80" i="16"/>
  <c r="AD79" i="16"/>
  <c r="AD77" i="16"/>
  <c r="AD76" i="16"/>
  <c r="AD75" i="16"/>
  <c r="AD73" i="16"/>
  <c r="AD72" i="16"/>
  <c r="AD71" i="16"/>
  <c r="AD69" i="16"/>
  <c r="AD68" i="16"/>
  <c r="AD67" i="16"/>
  <c r="AD65" i="16"/>
  <c r="AD64" i="16"/>
  <c r="AB62" i="16"/>
  <c r="AB57" i="16"/>
  <c r="AD51" i="16"/>
  <c r="AB50" i="16"/>
  <c r="AC48" i="16"/>
  <c r="AB47" i="16"/>
  <c r="AA46" i="16"/>
  <c r="AD40" i="16"/>
  <c r="AC370" i="16"/>
  <c r="AA370" i="16"/>
  <c r="AC366" i="16"/>
  <c r="AA366" i="16"/>
  <c r="AC362" i="16"/>
  <c r="AA362" i="16"/>
  <c r="AC358" i="16"/>
  <c r="AA358" i="16"/>
  <c r="AC354" i="16"/>
  <c r="AA354" i="16"/>
  <c r="AC350" i="16"/>
  <c r="AA350" i="16"/>
  <c r="AC346" i="16"/>
  <c r="AA346" i="16"/>
  <c r="AC342" i="16"/>
  <c r="AA342" i="16"/>
  <c r="AC338" i="16"/>
  <c r="AA338" i="16"/>
  <c r="AC334" i="16"/>
  <c r="AA334" i="16"/>
  <c r="AC330" i="16"/>
  <c r="AA330" i="16"/>
  <c r="AC326" i="16"/>
  <c r="AA326" i="16"/>
  <c r="AC312" i="16"/>
  <c r="AA312" i="16"/>
  <c r="AA300" i="16"/>
  <c r="AC300" i="16"/>
  <c r="AA290" i="16"/>
  <c r="AC290" i="16"/>
  <c r="AC252" i="16"/>
  <c r="AA252" i="16"/>
  <c r="AC369" i="16"/>
  <c r="AA369" i="16"/>
  <c r="AC365" i="16"/>
  <c r="AA365" i="16"/>
  <c r="AC361" i="16"/>
  <c r="AA361" i="16"/>
  <c r="AC357" i="16"/>
  <c r="AA357" i="16"/>
  <c r="AC353" i="16"/>
  <c r="AA353" i="16"/>
  <c r="AC349" i="16"/>
  <c r="AA349" i="16"/>
  <c r="AC345" i="16"/>
  <c r="AA345" i="16"/>
  <c r="AC341" i="16"/>
  <c r="AA341" i="16"/>
  <c r="AC337" i="16"/>
  <c r="AA337" i="16"/>
  <c r="AC333" i="16"/>
  <c r="AA333" i="16"/>
  <c r="AC329" i="16"/>
  <c r="AA329" i="16"/>
  <c r="AC325" i="16"/>
  <c r="AA325" i="16"/>
  <c r="AA306" i="16"/>
  <c r="AC306" i="16"/>
  <c r="AC271" i="16"/>
  <c r="AA271" i="16"/>
  <c r="AC268" i="16"/>
  <c r="AA268" i="16"/>
  <c r="AC248" i="16"/>
  <c r="AA248" i="16"/>
  <c r="AC434" i="16"/>
  <c r="AC432" i="16"/>
  <c r="AC430" i="16"/>
  <c r="AC428" i="16"/>
  <c r="AC426" i="16"/>
  <c r="AC424" i="16"/>
  <c r="AC422" i="16"/>
  <c r="AC420" i="16"/>
  <c r="AC418" i="16"/>
  <c r="AC416" i="16"/>
  <c r="AC414" i="16"/>
  <c r="AC412" i="16"/>
  <c r="AC410" i="16"/>
  <c r="AC408" i="16"/>
  <c r="AC406" i="16"/>
  <c r="AC404" i="16"/>
  <c r="AC402" i="16"/>
  <c r="AB376" i="16"/>
  <c r="AB375" i="16"/>
  <c r="AB374" i="16"/>
  <c r="AB373" i="16"/>
  <c r="AB372" i="16"/>
  <c r="AB371" i="16"/>
  <c r="AD323" i="16"/>
  <c r="AD320" i="16"/>
  <c r="AD319" i="16"/>
  <c r="AA261" i="16"/>
  <c r="AC368" i="16"/>
  <c r="AA368" i="16"/>
  <c r="AC364" i="16"/>
  <c r="AA364" i="16"/>
  <c r="AC360" i="16"/>
  <c r="AA360" i="16"/>
  <c r="AC356" i="16"/>
  <c r="AA356" i="16"/>
  <c r="AC352" i="16"/>
  <c r="AA352" i="16"/>
  <c r="AC348" i="16"/>
  <c r="AA348" i="16"/>
  <c r="AC344" i="16"/>
  <c r="AA344" i="16"/>
  <c r="AC340" i="16"/>
  <c r="AA340" i="16"/>
  <c r="AC336" i="16"/>
  <c r="AA336" i="16"/>
  <c r="AC332" i="16"/>
  <c r="AA332" i="16"/>
  <c r="AC328" i="16"/>
  <c r="AA328" i="16"/>
  <c r="AC324" i="16"/>
  <c r="AA324" i="16"/>
  <c r="AA298" i="16"/>
  <c r="AC298" i="16"/>
  <c r="AA284" i="16"/>
  <c r="AC284" i="16"/>
  <c r="AA280" i="16"/>
  <c r="AC280" i="16"/>
  <c r="AA267" i="16"/>
  <c r="AD267" i="16"/>
  <c r="AC267" i="16"/>
  <c r="AC265" i="16"/>
  <c r="AA265" i="16"/>
  <c r="AC260" i="16"/>
  <c r="AA260" i="16"/>
  <c r="AC435" i="16"/>
  <c r="AC433" i="16"/>
  <c r="AC431" i="16"/>
  <c r="AC429" i="16"/>
  <c r="AC427" i="16"/>
  <c r="AC425" i="16"/>
  <c r="AC423" i="16"/>
  <c r="AC421" i="16"/>
  <c r="AC419" i="16"/>
  <c r="AC417" i="16"/>
  <c r="AC415" i="16"/>
  <c r="AC413" i="16"/>
  <c r="AC411" i="16"/>
  <c r="AC409" i="16"/>
  <c r="AC407" i="16"/>
  <c r="AC405" i="16"/>
  <c r="AC403" i="16"/>
  <c r="AC401" i="16"/>
  <c r="AD397" i="16"/>
  <c r="AD396" i="16"/>
  <c r="AD395" i="16"/>
  <c r="AD394" i="16"/>
  <c r="AD393" i="16"/>
  <c r="AD392" i="16"/>
  <c r="AD391" i="16"/>
  <c r="AD390" i="16"/>
  <c r="AD389" i="16"/>
  <c r="AD388" i="16"/>
  <c r="AD387" i="16"/>
  <c r="AD386" i="16"/>
  <c r="AD385" i="16"/>
  <c r="AD384" i="16"/>
  <c r="AD383" i="16"/>
  <c r="AD382" i="16"/>
  <c r="AD381" i="16"/>
  <c r="AD370" i="16"/>
  <c r="AB369" i="16"/>
  <c r="AD366" i="16"/>
  <c r="AB365" i="16"/>
  <c r="AD362" i="16"/>
  <c r="AB361" i="16"/>
  <c r="AD358" i="16"/>
  <c r="AB357" i="16"/>
  <c r="AD354" i="16"/>
  <c r="AB353" i="16"/>
  <c r="AD350" i="16"/>
  <c r="AB349" i="16"/>
  <c r="AD346" i="16"/>
  <c r="AD342" i="16"/>
  <c r="AD338" i="16"/>
  <c r="AD334" i="16"/>
  <c r="AD330" i="16"/>
  <c r="AD326" i="16"/>
  <c r="AD312" i="16"/>
  <c r="AD252" i="16"/>
  <c r="AC367" i="16"/>
  <c r="AA367" i="16"/>
  <c r="AC363" i="16"/>
  <c r="AA363" i="16"/>
  <c r="AC359" i="16"/>
  <c r="AA359" i="16"/>
  <c r="AC355" i="16"/>
  <c r="AA355" i="16"/>
  <c r="AC351" i="16"/>
  <c r="AA351" i="16"/>
  <c r="AC347" i="16"/>
  <c r="AA347" i="16"/>
  <c r="AC343" i="16"/>
  <c r="AA343" i="16"/>
  <c r="AC339" i="16"/>
  <c r="AA339" i="16"/>
  <c r="AC335" i="16"/>
  <c r="AA335" i="16"/>
  <c r="AC331" i="16"/>
  <c r="AA331" i="16"/>
  <c r="AC327" i="16"/>
  <c r="AA327" i="16"/>
  <c r="AC316" i="16"/>
  <c r="AA316" i="16"/>
  <c r="AA294" i="16"/>
  <c r="AC294" i="16"/>
  <c r="AA279" i="16"/>
  <c r="AD279" i="16"/>
  <c r="AC270" i="16"/>
  <c r="AA270" i="16"/>
  <c r="AC256" i="16"/>
  <c r="AA256" i="16"/>
  <c r="AD369" i="16"/>
  <c r="AB368" i="16"/>
  <c r="AD365" i="16"/>
  <c r="AB364" i="16"/>
  <c r="AD361" i="16"/>
  <c r="AB360" i="16"/>
  <c r="AD357" i="16"/>
  <c r="AB356" i="16"/>
  <c r="AD353" i="16"/>
  <c r="AB352" i="16"/>
  <c r="AD349" i="16"/>
  <c r="AD345" i="16"/>
  <c r="AD341" i="16"/>
  <c r="AD337" i="16"/>
  <c r="AD333" i="16"/>
  <c r="AD329" i="16"/>
  <c r="AD325" i="16"/>
  <c r="AA323" i="16"/>
  <c r="AB321" i="16"/>
  <c r="AA319" i="16"/>
  <c r="AD248" i="16"/>
  <c r="AB323" i="16"/>
  <c r="AB319" i="16"/>
  <c r="AB315" i="16"/>
  <c r="AB311" i="16"/>
  <c r="AC307" i="16"/>
  <c r="AB306" i="16"/>
  <c r="AA305" i="16"/>
  <c r="AC303" i="16"/>
  <c r="AC301" i="16"/>
  <c r="AB300" i="16"/>
  <c r="AA299" i="16"/>
  <c r="AB298" i="16"/>
  <c r="AC297" i="16"/>
  <c r="AA295" i="16"/>
  <c r="AB294" i="16"/>
  <c r="AC293" i="16"/>
  <c r="AA291" i="16"/>
  <c r="AB290" i="16"/>
  <c r="AC289" i="16"/>
  <c r="AA287" i="16"/>
  <c r="AC286" i="16"/>
  <c r="AA283" i="16"/>
  <c r="AC282" i="16"/>
  <c r="AA278" i="16"/>
  <c r="AC276" i="16"/>
  <c r="J274" i="16"/>
  <c r="AB274" i="16" s="1"/>
  <c r="AB269" i="16"/>
  <c r="AB267" i="16"/>
  <c r="AA263" i="16"/>
  <c r="AB259" i="16"/>
  <c r="AB255" i="16"/>
  <c r="AB251" i="16"/>
  <c r="AB247" i="16"/>
  <c r="AB243" i="16"/>
  <c r="AB239" i="16"/>
  <c r="AB235" i="16"/>
  <c r="AB231" i="16"/>
  <c r="AB227" i="16"/>
  <c r="AB223" i="16"/>
  <c r="AC219" i="16"/>
  <c r="AA216" i="16"/>
  <c r="AD213" i="16"/>
  <c r="AB207" i="16"/>
  <c r="AB203" i="16"/>
  <c r="AB199" i="16"/>
  <c r="AB195" i="16"/>
  <c r="AB191" i="16"/>
  <c r="AB187" i="16"/>
  <c r="AB183" i="16"/>
  <c r="AB179" i="16"/>
  <c r="AB175" i="16"/>
  <c r="AB171" i="16"/>
  <c r="AB167" i="16"/>
  <c r="AB163" i="16"/>
  <c r="AC159" i="16"/>
  <c r="AB158" i="16"/>
  <c r="AA157" i="16"/>
  <c r="AA150" i="16"/>
  <c r="AB146" i="16"/>
  <c r="J142" i="16"/>
  <c r="AB142" i="16" s="1"/>
  <c r="AB138" i="16"/>
  <c r="AB134" i="16"/>
  <c r="AB130" i="16"/>
  <c r="AB126" i="16"/>
  <c r="AB122" i="16"/>
  <c r="AA120" i="16"/>
  <c r="AA119" i="16"/>
  <c r="AD118" i="16"/>
  <c r="AA118" i="16"/>
  <c r="AA117" i="16"/>
  <c r="AD116" i="16"/>
  <c r="AA116" i="16"/>
  <c r="AD115" i="16"/>
  <c r="AA115" i="16"/>
  <c r="AD114" i="16"/>
  <c r="AA114" i="16"/>
  <c r="AD113" i="16"/>
  <c r="AA113" i="16"/>
  <c r="AD112" i="16"/>
  <c r="AA112" i="16"/>
  <c r="AD111" i="16"/>
  <c r="AA111" i="16"/>
  <c r="AD110" i="16"/>
  <c r="AA110" i="16"/>
  <c r="AD109" i="16"/>
  <c r="AA109" i="16"/>
  <c r="AD108" i="16"/>
  <c r="AA108" i="16"/>
  <c r="AD107" i="16"/>
  <c r="AA107" i="16"/>
  <c r="AD106" i="16"/>
  <c r="AA106" i="16"/>
  <c r="AC52" i="16"/>
  <c r="AC40" i="16"/>
  <c r="AB348" i="16"/>
  <c r="AB347" i="16"/>
  <c r="AB346" i="16"/>
  <c r="AB345" i="16"/>
  <c r="AB344" i="16"/>
  <c r="AB343" i="16"/>
  <c r="AB342" i="16"/>
  <c r="AB341" i="16"/>
  <c r="AB340" i="16"/>
  <c r="AB339" i="16"/>
  <c r="AB338" i="16"/>
  <c r="AB337" i="16"/>
  <c r="AB336" i="16"/>
  <c r="AB335" i="16"/>
  <c r="AB334" i="16"/>
  <c r="AB333" i="16"/>
  <c r="AB332" i="16"/>
  <c r="AB331" i="16"/>
  <c r="AB330" i="16"/>
  <c r="AB329" i="16"/>
  <c r="AB328" i="16"/>
  <c r="AB327" i="16"/>
  <c r="AB326" i="16"/>
  <c r="AB325" i="16"/>
  <c r="AB324" i="16"/>
  <c r="AB320" i="16"/>
  <c r="AB316" i="16"/>
  <c r="AB312" i="16"/>
  <c r="AB305" i="16"/>
  <c r="AB299" i="16"/>
  <c r="AB295" i="16"/>
  <c r="AB291" i="16"/>
  <c r="AB287" i="16"/>
  <c r="AC285" i="16"/>
  <c r="AC281" i="16"/>
  <c r="AB271" i="16"/>
  <c r="AB270" i="16"/>
  <c r="AB268" i="16"/>
  <c r="AB265" i="16"/>
  <c r="AC262" i="16"/>
  <c r="AB260" i="16"/>
  <c r="AB256" i="16"/>
  <c r="AB252" i="16"/>
  <c r="AB248" i="16"/>
  <c r="AB244" i="16"/>
  <c r="AC243" i="16"/>
  <c r="AB240" i="16"/>
  <c r="AC239" i="16"/>
  <c r="AB236" i="16"/>
  <c r="AC235" i="16"/>
  <c r="AB232" i="16"/>
  <c r="AC231" i="16"/>
  <c r="AB228" i="16"/>
  <c r="AC227" i="16"/>
  <c r="AB224" i="16"/>
  <c r="AC223" i="16"/>
  <c r="AB216" i="16"/>
  <c r="AB208" i="16"/>
  <c r="AC207" i="16"/>
  <c r="AB204" i="16"/>
  <c r="AC203" i="16"/>
  <c r="AB200" i="16"/>
  <c r="AC199" i="16"/>
  <c r="AB196" i="16"/>
  <c r="AC195" i="16"/>
  <c r="AB192" i="16"/>
  <c r="AC191" i="16"/>
  <c r="AB188" i="16"/>
  <c r="AC187" i="16"/>
  <c r="AB184" i="16"/>
  <c r="AC183" i="16"/>
  <c r="AB180" i="16"/>
  <c r="AC179" i="16"/>
  <c r="AB176" i="16"/>
  <c r="AC175" i="16"/>
  <c r="AB172" i="16"/>
  <c r="AC171" i="16"/>
  <c r="AB168" i="16"/>
  <c r="AC167" i="16"/>
  <c r="AB164" i="16"/>
  <c r="AC163" i="16"/>
  <c r="AB157" i="16"/>
  <c r="AB151" i="16"/>
  <c r="AB149" i="16"/>
  <c r="AB147" i="16"/>
  <c r="AC146" i="16"/>
  <c r="AB143" i="16"/>
  <c r="AC142" i="16"/>
  <c r="AB139" i="16"/>
  <c r="AC138" i="16"/>
  <c r="AB135" i="16"/>
  <c r="AC134" i="16"/>
  <c r="AB131" i="16"/>
  <c r="AC130" i="16"/>
  <c r="AB127" i="16"/>
  <c r="AC126" i="16"/>
  <c r="AB123" i="16"/>
  <c r="AC122" i="16"/>
  <c r="AA103" i="16"/>
  <c r="AA99" i="16"/>
  <c r="AA95" i="16"/>
  <c r="AA91" i="16"/>
  <c r="AA87" i="16"/>
  <c r="AA83" i="16"/>
  <c r="AA79" i="16"/>
  <c r="AA75" i="16"/>
  <c r="AA71" i="16"/>
  <c r="AA67" i="16"/>
  <c r="AA63" i="16"/>
  <c r="AA59" i="16"/>
  <c r="AA55" i="16"/>
  <c r="AA51" i="16"/>
  <c r="AA47" i="16"/>
  <c r="AB46" i="16"/>
  <c r="AC45" i="16"/>
  <c r="AA43" i="16"/>
  <c r="AB42" i="16"/>
  <c r="AC41" i="16"/>
  <c r="AB317" i="16"/>
  <c r="AB313" i="16"/>
  <c r="AB309" i="16"/>
  <c r="AB272" i="16"/>
  <c r="AB266" i="16"/>
  <c r="AB264" i="16"/>
  <c r="AB261" i="16"/>
  <c r="AB257" i="16"/>
  <c r="AB253" i="16"/>
  <c r="AB249" i="16"/>
  <c r="AB107" i="16"/>
  <c r="AB106" i="16"/>
  <c r="AB105" i="16"/>
  <c r="AB104" i="16"/>
  <c r="AB51" i="16"/>
  <c r="AD214" i="16"/>
  <c r="AD210" i="16"/>
  <c r="AA158" i="16"/>
  <c r="AB100" i="16"/>
  <c r="AB96" i="16"/>
  <c r="AB92" i="16"/>
  <c r="AB88" i="16"/>
  <c r="AB84" i="16"/>
  <c r="AB80" i="16"/>
  <c r="AB76" i="16"/>
  <c r="AB72" i="16"/>
  <c r="AB68" i="16"/>
  <c r="AB64" i="16"/>
  <c r="AB60" i="16"/>
  <c r="AB56" i="16"/>
  <c r="AB52" i="16"/>
  <c r="AB48" i="16"/>
  <c r="AB44" i="16"/>
  <c r="AB40" i="16"/>
  <c r="AM151" i="16"/>
  <c r="AA435" i="16"/>
  <c r="AA434" i="16"/>
  <c r="AA433" i="16"/>
  <c r="AA432" i="16"/>
  <c r="AA431" i="16"/>
  <c r="AA430" i="16"/>
  <c r="AA429" i="16"/>
  <c r="AA428" i="16"/>
  <c r="AA427" i="16"/>
  <c r="AA426" i="16"/>
  <c r="AA425" i="16"/>
  <c r="AA424" i="16"/>
  <c r="AA423" i="16"/>
  <c r="AA422" i="16"/>
  <c r="AA421" i="16"/>
  <c r="AA420" i="16"/>
  <c r="AA419" i="16"/>
  <c r="AA418" i="16"/>
  <c r="AA417" i="16"/>
  <c r="AA416" i="16"/>
  <c r="AA415" i="16"/>
  <c r="AA414" i="16"/>
  <c r="AA413" i="16"/>
  <c r="AA412" i="16"/>
  <c r="AA411" i="16"/>
  <c r="AA410" i="16"/>
  <c r="AA409" i="16"/>
  <c r="AA408" i="16"/>
  <c r="AA407" i="16"/>
  <c r="AA406" i="16"/>
  <c r="AA405" i="16"/>
  <c r="AA404" i="16"/>
  <c r="AA403" i="16"/>
  <c r="AA402" i="16"/>
  <c r="AA401" i="16"/>
  <c r="AA400" i="16"/>
  <c r="AA399" i="16"/>
  <c r="AA398" i="16"/>
  <c r="AN275" i="16"/>
  <c r="AO275" i="16"/>
  <c r="AE245" i="16"/>
  <c r="AD308" i="16"/>
  <c r="AD307" i="16"/>
  <c r="AD306" i="16"/>
  <c r="AD305" i="16"/>
  <c r="AD304" i="16"/>
  <c r="AD303" i="16"/>
  <c r="AD302" i="16"/>
  <c r="AD301" i="16"/>
  <c r="AD300" i="16"/>
  <c r="AD299" i="16"/>
  <c r="AD298" i="16"/>
  <c r="AD297" i="16"/>
  <c r="AD296" i="16"/>
  <c r="AD295" i="16"/>
  <c r="AD294" i="16"/>
  <c r="AD293" i="16"/>
  <c r="AD292" i="16"/>
  <c r="AD291" i="16"/>
  <c r="AD290" i="16"/>
  <c r="AD289" i="16"/>
  <c r="AD288" i="16"/>
  <c r="AD287" i="16"/>
  <c r="AD286" i="16"/>
  <c r="AD285" i="16"/>
  <c r="AD284" i="16"/>
  <c r="AD283" i="16"/>
  <c r="AD282" i="16"/>
  <c r="AD281" i="16"/>
  <c r="AD280" i="16"/>
  <c r="AD278" i="16"/>
  <c r="AD276" i="16"/>
  <c r="AE255" i="16"/>
  <c r="AD263" i="16"/>
  <c r="AD262" i="16"/>
  <c r="AE166" i="16"/>
  <c r="AD220" i="16"/>
  <c r="AD219" i="16"/>
  <c r="AA155" i="16"/>
  <c r="AD155" i="16"/>
  <c r="AA154" i="16"/>
  <c r="AD154" i="16"/>
  <c r="AA153" i="16"/>
  <c r="AD153" i="16"/>
  <c r="AA152" i="16"/>
  <c r="AD152" i="16"/>
  <c r="AA151" i="16"/>
  <c r="AD151" i="16"/>
  <c r="AD160" i="16"/>
  <c r="AD159" i="16"/>
  <c r="AD158" i="16"/>
  <c r="AD157" i="16"/>
  <c r="AD156" i="16"/>
  <c r="AA149" i="16"/>
  <c r="AA148" i="16"/>
  <c r="AD150" i="16"/>
  <c r="AC155" i="16"/>
  <c r="AC154" i="16"/>
  <c r="AC153" i="16"/>
  <c r="AC152" i="16"/>
  <c r="AC151" i="16"/>
  <c r="AA39" i="16"/>
  <c r="AD39" i="16"/>
  <c r="AC39" i="16"/>
  <c r="AO372" i="16"/>
  <c r="AN431" i="16"/>
  <c r="AO388" i="16"/>
  <c r="AN419" i="16"/>
  <c r="AM411" i="16"/>
  <c r="AM150" i="16"/>
  <c r="AU39" i="16"/>
  <c r="AN401" i="16"/>
  <c r="AN297" i="16"/>
  <c r="AO177" i="16"/>
  <c r="AM104" i="16"/>
  <c r="AN411" i="16"/>
  <c r="AO390" i="16"/>
  <c r="AM249" i="16"/>
  <c r="AM184" i="16"/>
  <c r="AO155" i="16"/>
  <c r="AM400" i="16"/>
  <c r="AO370" i="16"/>
  <c r="AO207" i="16"/>
  <c r="AO159" i="16"/>
  <c r="AM210" i="16"/>
  <c r="AO150" i="16"/>
  <c r="AO96" i="16"/>
  <c r="AO362" i="16"/>
  <c r="AN309" i="16"/>
  <c r="AO289" i="16"/>
  <c r="AO262" i="16"/>
  <c r="AO212" i="16"/>
  <c r="AO200" i="16"/>
  <c r="AO167" i="16"/>
  <c r="AO151" i="16"/>
  <c r="AN150" i="16"/>
  <c r="AO139" i="16"/>
  <c r="AO88" i="16"/>
  <c r="AN311" i="16"/>
  <c r="AM297" i="16"/>
  <c r="AO273" i="16"/>
  <c r="AO403" i="16"/>
  <c r="AN396" i="16"/>
  <c r="AM379" i="16"/>
  <c r="AN364" i="16"/>
  <c r="AO341" i="16"/>
  <c r="AO435" i="16"/>
  <c r="AN417" i="16"/>
  <c r="AO405" i="16"/>
  <c r="AM398" i="16"/>
  <c r="AM381" i="16"/>
  <c r="AO364" i="16"/>
  <c r="AN362" i="16"/>
  <c r="AO306" i="16"/>
  <c r="AN289" i="16"/>
  <c r="AO190" i="16"/>
  <c r="AO129" i="16"/>
  <c r="AO76" i="16"/>
  <c r="AM253" i="16"/>
  <c r="AO219" i="16"/>
  <c r="AN212" i="16"/>
  <c r="AN207" i="16"/>
  <c r="AM200" i="16"/>
  <c r="AO188" i="16"/>
  <c r="AO183" i="16"/>
  <c r="AO174" i="16"/>
  <c r="AN144" i="16"/>
  <c r="AO135" i="16"/>
  <c r="AN119" i="16"/>
  <c r="AO101" i="16"/>
  <c r="AO92" i="16"/>
  <c r="AO84" i="16"/>
  <c r="AO68" i="16"/>
  <c r="AO47" i="16"/>
  <c r="AN427" i="16"/>
  <c r="AM409" i="16"/>
  <c r="AO401" i="16"/>
  <c r="AM399" i="16"/>
  <c r="AO392" i="16"/>
  <c r="AO384" i="16"/>
  <c r="AM375" i="16"/>
  <c r="AO366" i="16"/>
  <c r="AN344" i="16"/>
  <c r="AN326" i="16"/>
  <c r="AO308" i="16"/>
  <c r="AO299" i="16"/>
  <c r="AO291" i="16"/>
  <c r="AO281" i="16"/>
  <c r="AO265" i="16"/>
  <c r="AM257" i="16"/>
  <c r="AN176" i="16"/>
  <c r="AO163" i="16"/>
  <c r="AN155" i="16"/>
  <c r="AO136" i="16"/>
  <c r="AO123" i="16"/>
  <c r="AO95" i="16"/>
  <c r="AO87" i="16"/>
  <c r="AO75" i="16"/>
  <c r="AO52" i="16"/>
  <c r="AO427" i="16"/>
  <c r="AO413" i="16"/>
  <c r="AN409" i="16"/>
  <c r="AN403" i="16"/>
  <c r="AN399" i="16"/>
  <c r="AM396" i="16"/>
  <c r="AO386" i="16"/>
  <c r="AM377" i="16"/>
  <c r="AO368" i="16"/>
  <c r="AO358" i="16"/>
  <c r="AO326" i="16"/>
  <c r="AM309" i="16"/>
  <c r="AM303" i="16"/>
  <c r="AM295" i="16"/>
  <c r="AO267" i="16"/>
  <c r="AM261" i="16"/>
  <c r="AO248" i="16"/>
  <c r="AN216" i="16"/>
  <c r="AN203" i="16"/>
  <c r="AO193" i="16"/>
  <c r="AO187" i="16"/>
  <c r="AO58" i="16"/>
  <c r="AO216" i="16"/>
  <c r="AO203" i="16"/>
  <c r="AM196" i="16"/>
  <c r="AM188" i="16"/>
  <c r="AO181" i="16"/>
  <c r="AN174" i="16"/>
  <c r="AO140" i="16"/>
  <c r="AO131" i="16"/>
  <c r="AN107" i="16"/>
  <c r="AO100" i="16"/>
  <c r="AO91" i="16"/>
  <c r="AO83" i="16"/>
  <c r="AO63" i="16"/>
  <c r="AO40" i="16"/>
  <c r="AN421" i="16"/>
  <c r="AN415" i="16"/>
  <c r="AM407" i="16"/>
  <c r="AM404" i="16"/>
  <c r="AM393" i="16"/>
  <c r="AM391" i="16"/>
  <c r="AM389" i="16"/>
  <c r="AM387" i="16"/>
  <c r="AM385" i="16"/>
  <c r="AM383" i="16"/>
  <c r="AO360" i="16"/>
  <c r="AO355" i="16"/>
  <c r="AO351" i="16"/>
  <c r="AO347" i="16"/>
  <c r="AN337" i="16"/>
  <c r="AN333" i="16"/>
  <c r="AN329" i="16"/>
  <c r="AM324" i="16"/>
  <c r="AN320" i="16"/>
  <c r="AN316" i="16"/>
  <c r="AO312" i="16"/>
  <c r="AM307" i="16"/>
  <c r="AO304" i="16"/>
  <c r="AO287" i="16"/>
  <c r="AN284" i="16"/>
  <c r="AM282" i="16"/>
  <c r="AO279" i="16"/>
  <c r="AN276" i="16"/>
  <c r="AM274" i="16"/>
  <c r="AO271" i="16"/>
  <c r="AN268" i="16"/>
  <c r="AM266" i="16"/>
  <c r="AO263" i="16"/>
  <c r="AO258" i="16"/>
  <c r="AO254" i="16"/>
  <c r="AO250" i="16"/>
  <c r="AO246" i="16"/>
  <c r="AM245" i="16"/>
  <c r="AO241" i="16"/>
  <c r="AN239" i="16"/>
  <c r="AM237" i="16"/>
  <c r="AO233" i="16"/>
  <c r="AN231" i="16"/>
  <c r="AM229" i="16"/>
  <c r="AO225" i="16"/>
  <c r="AN223" i="16"/>
  <c r="AM221" i="16"/>
  <c r="AO217" i="16"/>
  <c r="AO214" i="16"/>
  <c r="AO210" i="16"/>
  <c r="AO209" i="16"/>
  <c r="AO205" i="16"/>
  <c r="AO199" i="16"/>
  <c r="AO195" i="16"/>
  <c r="AN193" i="16"/>
  <c r="AM190" i="16"/>
  <c r="AO180" i="16"/>
  <c r="AN178" i="16"/>
  <c r="AM176" i="16"/>
  <c r="AO113" i="16"/>
  <c r="AO77" i="16"/>
  <c r="AO71" i="16"/>
  <c r="AM66" i="16"/>
  <c r="AO61" i="16"/>
  <c r="AN433" i="16"/>
  <c r="AO433" i="16"/>
  <c r="AN429" i="16"/>
  <c r="AN423" i="16"/>
  <c r="AO415" i="16"/>
  <c r="AM413" i="16"/>
  <c r="AN407" i="16"/>
  <c r="AM405" i="16"/>
  <c r="AM402" i="16"/>
  <c r="AM394" i="16"/>
  <c r="AM392" i="16"/>
  <c r="AM390" i="16"/>
  <c r="AM388" i="16"/>
  <c r="AM386" i="16"/>
  <c r="AM384" i="16"/>
  <c r="AM382" i="16"/>
  <c r="AM380" i="16"/>
  <c r="AM378" i="16"/>
  <c r="AM376" i="16"/>
  <c r="AM374" i="16"/>
  <c r="AM361" i="16"/>
  <c r="AM359" i="16"/>
  <c r="AN357" i="16"/>
  <c r="AN353" i="16"/>
  <c r="AN349" i="16"/>
  <c r="AN345" i="16"/>
  <c r="AN342" i="16"/>
  <c r="AO340" i="16"/>
  <c r="AO337" i="16"/>
  <c r="AO333" i="16"/>
  <c r="AO329" i="16"/>
  <c r="AN324" i="16"/>
  <c r="AO320" i="16"/>
  <c r="AO316" i="16"/>
  <c r="AO310" i="16"/>
  <c r="AN307" i="16"/>
  <c r="AM305" i="16"/>
  <c r="AN303" i="16"/>
  <c r="AM301" i="16"/>
  <c r="AN295" i="16"/>
  <c r="AM293" i="16"/>
  <c r="AM288" i="16"/>
  <c r="AO285" i="16"/>
  <c r="AN282" i="16"/>
  <c r="AM280" i="16"/>
  <c r="AO277" i="16"/>
  <c r="AN274" i="16"/>
  <c r="AM272" i="16"/>
  <c r="AO269" i="16"/>
  <c r="AN266" i="16"/>
  <c r="AM264" i="16"/>
  <c r="AM262" i="16"/>
  <c r="AM259" i="16"/>
  <c r="AM255" i="16"/>
  <c r="AM251" i="16"/>
  <c r="AM247" i="16"/>
  <c r="AN245" i="16"/>
  <c r="AM243" i="16"/>
  <c r="AO239" i="16"/>
  <c r="AN237" i="16"/>
  <c r="AM235" i="16"/>
  <c r="AO231" i="16"/>
  <c r="AN229" i="16"/>
  <c r="AM227" i="16"/>
  <c r="AO223" i="16"/>
  <c r="AN221" i="16"/>
  <c r="AM219" i="16"/>
  <c r="AO178" i="16"/>
  <c r="AM172" i="16"/>
  <c r="AO168" i="16"/>
  <c r="AO164" i="16"/>
  <c r="AO144" i="16"/>
  <c r="AO141" i="16"/>
  <c r="AO137" i="16"/>
  <c r="AO133" i="16"/>
  <c r="AO125" i="16"/>
  <c r="AO119" i="16"/>
  <c r="AO115" i="16"/>
  <c r="AO107" i="16"/>
  <c r="AO104" i="16"/>
  <c r="AO102" i="16"/>
  <c r="AO98" i="16"/>
  <c r="AO93" i="16"/>
  <c r="AO89" i="16"/>
  <c r="AO85" i="16"/>
  <c r="AO78" i="16"/>
  <c r="AO74" i="16"/>
  <c r="AO67" i="16"/>
  <c r="AO62" i="16"/>
  <c r="AO55" i="16"/>
  <c r="AO48" i="16"/>
  <c r="AO42" i="16"/>
  <c r="AN435" i="16"/>
  <c r="AO429" i="16"/>
  <c r="AN425" i="16"/>
  <c r="AN394" i="16"/>
  <c r="AN382" i="16"/>
  <c r="AN380" i="16"/>
  <c r="AN378" i="16"/>
  <c r="AN376" i="16"/>
  <c r="AN374" i="16"/>
  <c r="AM372" i="16"/>
  <c r="AM370" i="16"/>
  <c r="AM368" i="16"/>
  <c r="AM366" i="16"/>
  <c r="AO363" i="16"/>
  <c r="AN361" i="16"/>
  <c r="AN359" i="16"/>
  <c r="AO357" i="16"/>
  <c r="AO353" i="16"/>
  <c r="AO349" i="16"/>
  <c r="AO345" i="16"/>
  <c r="AO342" i="16"/>
  <c r="AM341" i="16"/>
  <c r="AN339" i="16"/>
  <c r="AN335" i="16"/>
  <c r="AN331" i="16"/>
  <c r="AN327" i="16"/>
  <c r="AO325" i="16"/>
  <c r="AN322" i="16"/>
  <c r="AN318" i="16"/>
  <c r="AN314" i="16"/>
  <c r="AM311" i="16"/>
  <c r="AN305" i="16"/>
  <c r="AN301" i="16"/>
  <c r="AM299" i="16"/>
  <c r="AN293" i="16"/>
  <c r="AM291" i="16"/>
  <c r="AN288" i="16"/>
  <c r="AM286" i="16"/>
  <c r="AO283" i="16"/>
  <c r="AN280" i="16"/>
  <c r="AM278" i="16"/>
  <c r="AN272" i="16"/>
  <c r="AM270" i="16"/>
  <c r="AN264" i="16"/>
  <c r="AO260" i="16"/>
  <c r="AO256" i="16"/>
  <c r="AO252" i="16"/>
  <c r="AN243" i="16"/>
  <c r="AM241" i="16"/>
  <c r="AN235" i="16"/>
  <c r="AM233" i="16"/>
  <c r="AN227" i="16"/>
  <c r="AM225" i="16"/>
  <c r="AO197" i="16"/>
  <c r="AM194" i="16"/>
  <c r="AO191" i="16"/>
  <c r="AO185" i="16"/>
  <c r="AM182" i="16"/>
  <c r="AO179" i="16"/>
  <c r="AN172" i="16"/>
  <c r="AO169" i="16"/>
  <c r="AO165" i="16"/>
  <c r="AO161" i="16"/>
  <c r="AN157" i="16"/>
  <c r="AN153" i="16"/>
  <c r="AM149" i="16"/>
  <c r="AO146" i="16"/>
  <c r="AO142" i="16"/>
  <c r="AO138" i="16"/>
  <c r="AO134" i="16"/>
  <c r="AO127" i="16"/>
  <c r="AN121" i="16"/>
  <c r="AO117" i="16"/>
  <c r="AO109" i="16"/>
  <c r="AO105" i="16"/>
  <c r="AO99" i="16"/>
  <c r="AO94" i="16"/>
  <c r="AO90" i="16"/>
  <c r="AO86" i="16"/>
  <c r="AO82" i="16"/>
  <c r="AO56" i="16"/>
  <c r="AO49" i="16"/>
  <c r="AO44" i="16"/>
  <c r="AN355" i="16"/>
  <c r="AN351" i="16"/>
  <c r="AN347" i="16"/>
  <c r="AM344" i="16"/>
  <c r="AO339" i="16"/>
  <c r="AO335" i="16"/>
  <c r="AO331" i="16"/>
  <c r="AO327" i="16"/>
  <c r="AO322" i="16"/>
  <c r="AO318" i="16"/>
  <c r="AO314" i="16"/>
  <c r="AN286" i="16"/>
  <c r="AM284" i="16"/>
  <c r="AN278" i="16"/>
  <c r="AM276" i="16"/>
  <c r="AN270" i="16"/>
  <c r="AM268" i="16"/>
  <c r="AN217" i="16"/>
  <c r="AN214" i="16"/>
  <c r="AN210" i="16"/>
  <c r="AN209" i="16"/>
  <c r="AN205" i="16"/>
  <c r="AO201" i="16"/>
  <c r="AM198" i="16"/>
  <c r="AN195" i="16"/>
  <c r="AM192" i="16"/>
  <c r="AO189" i="16"/>
  <c r="AM186" i="16"/>
  <c r="AO182" i="16"/>
  <c r="AM180" i="16"/>
  <c r="AO175" i="16"/>
  <c r="AO173" i="16"/>
  <c r="AO170" i="16"/>
  <c r="AO166" i="16"/>
  <c r="AO162" i="16"/>
  <c r="AO157" i="16"/>
  <c r="AO153" i="16"/>
  <c r="AM148" i="16"/>
  <c r="AO121" i="16"/>
  <c r="AO111" i="16"/>
  <c r="AO69" i="16"/>
  <c r="AO65" i="16"/>
  <c r="AO50" i="16"/>
  <c r="AO46" i="16"/>
  <c r="AN369" i="16"/>
  <c r="AM369" i="16"/>
  <c r="AO343" i="16"/>
  <c r="AN343" i="16"/>
  <c r="AM343" i="16"/>
  <c r="AO338" i="16"/>
  <c r="AN338" i="16"/>
  <c r="AM338" i="16"/>
  <c r="AO336" i="16"/>
  <c r="AN336" i="16"/>
  <c r="AM336" i="16"/>
  <c r="AO334" i="16"/>
  <c r="AN334" i="16"/>
  <c r="AM334" i="16"/>
  <c r="AO332" i="16"/>
  <c r="AN332" i="16"/>
  <c r="AM332" i="16"/>
  <c r="AO330" i="16"/>
  <c r="AN330" i="16"/>
  <c r="AM330" i="16"/>
  <c r="AO328" i="16"/>
  <c r="AN328" i="16"/>
  <c r="AM328" i="16"/>
  <c r="AO302" i="16"/>
  <c r="AN302" i="16"/>
  <c r="AM302" i="16"/>
  <c r="AO294" i="16"/>
  <c r="AN294" i="16"/>
  <c r="AM294" i="16"/>
  <c r="AO242" i="16"/>
  <c r="AN242" i="16"/>
  <c r="AM242" i="16"/>
  <c r="AN434" i="16"/>
  <c r="AN432" i="16"/>
  <c r="AN430" i="16"/>
  <c r="AN428" i="16"/>
  <c r="AN426" i="16"/>
  <c r="AN424" i="16"/>
  <c r="AN422" i="16"/>
  <c r="AN420" i="16"/>
  <c r="AN418" i="16"/>
  <c r="AN416" i="16"/>
  <c r="AN414" i="16"/>
  <c r="AN412" i="16"/>
  <c r="AN410" i="16"/>
  <c r="AN408" i="16"/>
  <c r="AN406" i="16"/>
  <c r="AO404" i="16"/>
  <c r="AO402" i="16"/>
  <c r="AO400" i="16"/>
  <c r="AO398" i="16"/>
  <c r="AN397" i="16"/>
  <c r="AN395" i="16"/>
  <c r="AO393" i="16"/>
  <c r="AO391" i="16"/>
  <c r="AO389" i="16"/>
  <c r="AO387" i="16"/>
  <c r="AO385" i="16"/>
  <c r="AO383" i="16"/>
  <c r="AO381" i="16"/>
  <c r="AO379" i="16"/>
  <c r="AO377" i="16"/>
  <c r="AO375" i="16"/>
  <c r="AO373" i="16"/>
  <c r="AN367" i="16"/>
  <c r="AM367" i="16"/>
  <c r="AO323" i="16"/>
  <c r="AN323" i="16"/>
  <c r="AM323" i="16"/>
  <c r="AO321" i="16"/>
  <c r="AN321" i="16"/>
  <c r="AM321" i="16"/>
  <c r="AO319" i="16"/>
  <c r="AN319" i="16"/>
  <c r="AM319" i="16"/>
  <c r="AO317" i="16"/>
  <c r="AN317" i="16"/>
  <c r="AM317" i="16"/>
  <c r="AO315" i="16"/>
  <c r="AN315" i="16"/>
  <c r="AM315" i="16"/>
  <c r="AO313" i="16"/>
  <c r="AN313" i="16"/>
  <c r="AM313" i="16"/>
  <c r="AO296" i="16"/>
  <c r="AN296" i="16"/>
  <c r="AM296" i="16"/>
  <c r="AO244" i="16"/>
  <c r="AN244" i="16"/>
  <c r="AM244" i="16"/>
  <c r="AO434" i="16"/>
  <c r="AO432" i="16"/>
  <c r="AM431" i="16"/>
  <c r="AO430" i="16"/>
  <c r="AO428" i="16"/>
  <c r="AO426" i="16"/>
  <c r="AM425" i="16"/>
  <c r="AO424" i="16"/>
  <c r="AM423" i="16"/>
  <c r="AO422" i="16"/>
  <c r="AM421" i="16"/>
  <c r="AO420" i="16"/>
  <c r="AM419" i="16"/>
  <c r="AO418" i="16"/>
  <c r="AM417" i="16"/>
  <c r="AO416" i="16"/>
  <c r="AO414" i="16"/>
  <c r="AO412" i="16"/>
  <c r="AO410" i="16"/>
  <c r="AO408" i="16"/>
  <c r="AO406" i="16"/>
  <c r="AO397" i="16"/>
  <c r="AO395" i="16"/>
  <c r="AN365" i="16"/>
  <c r="AM365" i="16"/>
  <c r="AO356" i="16"/>
  <c r="AN356" i="16"/>
  <c r="AM356" i="16"/>
  <c r="AO354" i="16"/>
  <c r="AN354" i="16"/>
  <c r="AM354" i="16"/>
  <c r="AO352" i="16"/>
  <c r="AN352" i="16"/>
  <c r="AM352" i="16"/>
  <c r="AO350" i="16"/>
  <c r="AN350" i="16"/>
  <c r="AM350" i="16"/>
  <c r="AO348" i="16"/>
  <c r="AN348" i="16"/>
  <c r="AM348" i="16"/>
  <c r="AO346" i="16"/>
  <c r="AN346" i="16"/>
  <c r="AM346" i="16"/>
  <c r="AO298" i="16"/>
  <c r="AN298" i="16"/>
  <c r="AM298" i="16"/>
  <c r="AO290" i="16"/>
  <c r="AN290" i="16"/>
  <c r="AM290" i="16"/>
  <c r="AN371" i="16"/>
  <c r="AM371" i="16"/>
  <c r="AO300" i="16"/>
  <c r="AN300" i="16"/>
  <c r="AM300" i="16"/>
  <c r="AO292" i="16"/>
  <c r="AN292" i="16"/>
  <c r="AM292" i="16"/>
  <c r="AO240" i="16"/>
  <c r="AN240" i="16"/>
  <c r="AM240" i="16"/>
  <c r="AM373" i="16"/>
  <c r="AO365" i="16"/>
  <c r="AN261" i="16"/>
  <c r="AN259" i="16"/>
  <c r="AN257" i="16"/>
  <c r="AN255" i="16"/>
  <c r="AN253" i="16"/>
  <c r="AN251" i="16"/>
  <c r="AN249" i="16"/>
  <c r="AN247" i="16"/>
  <c r="AM238" i="16"/>
  <c r="AM236" i="16"/>
  <c r="AM234" i="16"/>
  <c r="AM232" i="16"/>
  <c r="AM230" i="16"/>
  <c r="AM228" i="16"/>
  <c r="AM226" i="16"/>
  <c r="AM224" i="16"/>
  <c r="AM222" i="16"/>
  <c r="AM220" i="16"/>
  <c r="AM218" i="16"/>
  <c r="AM363" i="16"/>
  <c r="AM360" i="16"/>
  <c r="AM358" i="16"/>
  <c r="AM340" i="16"/>
  <c r="AM325" i="16"/>
  <c r="AM312" i="16"/>
  <c r="AM310" i="16"/>
  <c r="AM308" i="16"/>
  <c r="AM306" i="16"/>
  <c r="AM304" i="16"/>
  <c r="AM287" i="16"/>
  <c r="AM285" i="16"/>
  <c r="AM283" i="16"/>
  <c r="AM281" i="16"/>
  <c r="AM279" i="16"/>
  <c r="AM277" i="16"/>
  <c r="AM275" i="16"/>
  <c r="AM273" i="16"/>
  <c r="AM271" i="16"/>
  <c r="AM269" i="16"/>
  <c r="AM267" i="16"/>
  <c r="AM265" i="16"/>
  <c r="AM263" i="16"/>
  <c r="AM260" i="16"/>
  <c r="AM258" i="16"/>
  <c r="AM256" i="16"/>
  <c r="AM254" i="16"/>
  <c r="AM252" i="16"/>
  <c r="AM250" i="16"/>
  <c r="AM248" i="16"/>
  <c r="AM246" i="16"/>
  <c r="AN238" i="16"/>
  <c r="AN236" i="16"/>
  <c r="AN234" i="16"/>
  <c r="AN232" i="16"/>
  <c r="AN230" i="16"/>
  <c r="AN228" i="16"/>
  <c r="AN226" i="16"/>
  <c r="AN224" i="16"/>
  <c r="AN222" i="16"/>
  <c r="AN220" i="16"/>
  <c r="AN218" i="16"/>
  <c r="AM215" i="16"/>
  <c r="AO215" i="16"/>
  <c r="AN215" i="16"/>
  <c r="AM213" i="16"/>
  <c r="AO213" i="16"/>
  <c r="AN213" i="16"/>
  <c r="AM211" i="16"/>
  <c r="AO211" i="16"/>
  <c r="AN211" i="16"/>
  <c r="AM208" i="16"/>
  <c r="AO208" i="16"/>
  <c r="AN208" i="16"/>
  <c r="AM206" i="16"/>
  <c r="AO206" i="16"/>
  <c r="AN206" i="16"/>
  <c r="AM204" i="16"/>
  <c r="AO204" i="16"/>
  <c r="AN204" i="16"/>
  <c r="AM202" i="16"/>
  <c r="AO202" i="16"/>
  <c r="AN202" i="16"/>
  <c r="AM201" i="16"/>
  <c r="AM199" i="16"/>
  <c r="AO198" i="16"/>
  <c r="AM197" i="16"/>
  <c r="AO196" i="16"/>
  <c r="AO194" i="16"/>
  <c r="AO192" i="16"/>
  <c r="AM191" i="16"/>
  <c r="AM189" i="16"/>
  <c r="AM187" i="16"/>
  <c r="AO186" i="16"/>
  <c r="AM185" i="16"/>
  <c r="AO184" i="16"/>
  <c r="AM183" i="16"/>
  <c r="AM181" i="16"/>
  <c r="AM179" i="16"/>
  <c r="AM177" i="16"/>
  <c r="AM175" i="16"/>
  <c r="AM173" i="16"/>
  <c r="AN171" i="16"/>
  <c r="AM170" i="16"/>
  <c r="AM168" i="16"/>
  <c r="AM166" i="16"/>
  <c r="AM164" i="16"/>
  <c r="AM162" i="16"/>
  <c r="AM160" i="16"/>
  <c r="AN158" i="16"/>
  <c r="AN156" i="16"/>
  <c r="AN154" i="16"/>
  <c r="AN152" i="16"/>
  <c r="AO149" i="16"/>
  <c r="AN148" i="16"/>
  <c r="AN147" i="16"/>
  <c r="AM146" i="16"/>
  <c r="AO145" i="16"/>
  <c r="AO143" i="16"/>
  <c r="AN142" i="16"/>
  <c r="AN140" i="16"/>
  <c r="AN138" i="16"/>
  <c r="AN136" i="16"/>
  <c r="AN134" i="16"/>
  <c r="AN132" i="16"/>
  <c r="AN130" i="16"/>
  <c r="AN128" i="16"/>
  <c r="AN126" i="16"/>
  <c r="AN124" i="16"/>
  <c r="AN122" i="16"/>
  <c r="AN120" i="16"/>
  <c r="AN118" i="16"/>
  <c r="AM117" i="16"/>
  <c r="AO116" i="16"/>
  <c r="AM115" i="16"/>
  <c r="AO114" i="16"/>
  <c r="AM113" i="16"/>
  <c r="AO112" i="16"/>
  <c r="AM111" i="16"/>
  <c r="AO110" i="16"/>
  <c r="AM109" i="16"/>
  <c r="AO108" i="16"/>
  <c r="AO106" i="16"/>
  <c r="AN105" i="16"/>
  <c r="AO103" i="16"/>
  <c r="AN102" i="16"/>
  <c r="AN100" i="16"/>
  <c r="AN98" i="16"/>
  <c r="AN96" i="16"/>
  <c r="AN94" i="16"/>
  <c r="AN92" i="16"/>
  <c r="AN90" i="16"/>
  <c r="AN88" i="16"/>
  <c r="AN86" i="16"/>
  <c r="AN84" i="16"/>
  <c r="AN82" i="16"/>
  <c r="AN80" i="16"/>
  <c r="AN78" i="16"/>
  <c r="AN76" i="16"/>
  <c r="AN74" i="16"/>
  <c r="AN72" i="16"/>
  <c r="AN70" i="16"/>
  <c r="AN68" i="16"/>
  <c r="AN66" i="16"/>
  <c r="AN64" i="16"/>
  <c r="AN62" i="16"/>
  <c r="AN60" i="16"/>
  <c r="AN58" i="16"/>
  <c r="AN56" i="16"/>
  <c r="AN54" i="16"/>
  <c r="AN52" i="16"/>
  <c r="AN50" i="16"/>
  <c r="AN48" i="16"/>
  <c r="AN46" i="16"/>
  <c r="AN44" i="16"/>
  <c r="AN42" i="16"/>
  <c r="AN40" i="16"/>
  <c r="AO171" i="16"/>
  <c r="AN160" i="16"/>
  <c r="AM159" i="16"/>
  <c r="AO158" i="16"/>
  <c r="AO156" i="16"/>
  <c r="AO154" i="16"/>
  <c r="AO152" i="16"/>
  <c r="AO147" i="16"/>
  <c r="AM141" i="16"/>
  <c r="AM139" i="16"/>
  <c r="AM137" i="16"/>
  <c r="AM135" i="16"/>
  <c r="AM133" i="16"/>
  <c r="AO132" i="16"/>
  <c r="AM131" i="16"/>
  <c r="AO130" i="16"/>
  <c r="AM129" i="16"/>
  <c r="AO128" i="16"/>
  <c r="AM127" i="16"/>
  <c r="AO126" i="16"/>
  <c r="AM125" i="16"/>
  <c r="AO124" i="16"/>
  <c r="AM123" i="16"/>
  <c r="AO122" i="16"/>
  <c r="AO120" i="16"/>
  <c r="AO118" i="16"/>
  <c r="AM101" i="16"/>
  <c r="AM99" i="16"/>
  <c r="AM97" i="16"/>
  <c r="AM95" i="16"/>
  <c r="AM93" i="16"/>
  <c r="AM91" i="16"/>
  <c r="AM89" i="16"/>
  <c r="AM87" i="16"/>
  <c r="AM85" i="16"/>
  <c r="AM83" i="16"/>
  <c r="AM81" i="16"/>
  <c r="AO80" i="16"/>
  <c r="AM79" i="16"/>
  <c r="AM77" i="16"/>
  <c r="AM75" i="16"/>
  <c r="AM73" i="16"/>
  <c r="AO72" i="16"/>
  <c r="AM71" i="16"/>
  <c r="AO70" i="16"/>
  <c r="AM69" i="16"/>
  <c r="AM67" i="16"/>
  <c r="AM65" i="16"/>
  <c r="AO64" i="16"/>
  <c r="AM63" i="16"/>
  <c r="AM61" i="16"/>
  <c r="AO60" i="16"/>
  <c r="AM59" i="16"/>
  <c r="AM57" i="16"/>
  <c r="AM55" i="16"/>
  <c r="AO54" i="16"/>
  <c r="AM53" i="16"/>
  <c r="AM51" i="16"/>
  <c r="AM49" i="16"/>
  <c r="AM47" i="16"/>
  <c r="AM45" i="16"/>
  <c r="AM43" i="16"/>
  <c r="AM41" i="16"/>
  <c r="AM169" i="16"/>
  <c r="AM167" i="16"/>
  <c r="AM165" i="16"/>
  <c r="AM163" i="16"/>
  <c r="AM161" i="16"/>
  <c r="AM145" i="16"/>
  <c r="AM143" i="16"/>
  <c r="AM116" i="16"/>
  <c r="AM114" i="16"/>
  <c r="AM112" i="16"/>
  <c r="AM110" i="16"/>
  <c r="AM108" i="16"/>
  <c r="AM106" i="16"/>
  <c r="AM103" i="16"/>
  <c r="AN97" i="16"/>
  <c r="AN81" i="16"/>
  <c r="AN79" i="16"/>
  <c r="AN73" i="16"/>
  <c r="AN59" i="16"/>
  <c r="AN57" i="16"/>
  <c r="AN53" i="16"/>
  <c r="AN51" i="16"/>
  <c r="AN45" i="16"/>
  <c r="AN43" i="16"/>
  <c r="AN41" i="16"/>
  <c r="F2" i="19"/>
  <c r="G2" i="19" s="1"/>
  <c r="C4" i="19"/>
  <c r="E3" i="19"/>
  <c r="AU162" i="16" l="1"/>
  <c r="AU201" i="16"/>
  <c r="AU189" i="16"/>
  <c r="AU143" i="16"/>
  <c r="AU112" i="16"/>
  <c r="AU145" i="16"/>
  <c r="AU128" i="16"/>
  <c r="AU370" i="16"/>
  <c r="AU413" i="16"/>
  <c r="I2" i="19"/>
  <c r="AU101" i="16"/>
  <c r="AU66" i="16"/>
  <c r="AU177" i="16"/>
  <c r="AU299" i="16"/>
  <c r="AU184" i="16"/>
  <c r="AU96" i="16"/>
  <c r="AU113" i="16"/>
  <c r="AU247" i="16"/>
  <c r="AU83" i="16"/>
  <c r="AU183" i="16"/>
  <c r="AU71" i="16"/>
  <c r="AU129" i="16"/>
  <c r="AU419" i="16"/>
  <c r="AU169" i="16"/>
  <c r="AU56" i="16"/>
  <c r="AU117" i="16"/>
  <c r="AU151" i="16"/>
  <c r="AU316" i="16"/>
  <c r="AU387" i="16"/>
  <c r="AU355" i="16"/>
  <c r="AU287" i="16"/>
  <c r="AU61" i="16"/>
  <c r="AU67" i="16"/>
  <c r="AU123" i="16"/>
  <c r="AU42" i="16"/>
  <c r="AU239" i="16"/>
  <c r="AU47" i="16"/>
  <c r="AU48" i="16"/>
  <c r="AU88" i="16"/>
  <c r="AU109" i="16"/>
  <c r="AU267" i="16"/>
  <c r="AU275" i="16"/>
  <c r="AU306" i="16"/>
  <c r="AU304" i="16"/>
  <c r="AU360" i="16"/>
  <c r="AU327" i="16"/>
  <c r="AU359" i="16"/>
  <c r="AU265" i="16"/>
  <c r="AU273" i="16"/>
  <c r="AU203" i="16"/>
  <c r="AU229" i="16"/>
  <c r="AU333" i="16"/>
  <c r="AU167" i="16"/>
  <c r="AU94" i="16"/>
  <c r="AU138" i="16"/>
  <c r="AU181" i="16"/>
  <c r="AU63" i="16"/>
  <c r="AU76" i="16"/>
  <c r="AU136" i="16"/>
  <c r="AU185" i="16"/>
  <c r="AU285" i="16"/>
  <c r="AU249" i="16"/>
  <c r="AU257" i="16"/>
  <c r="AU398" i="16"/>
  <c r="AU291" i="16"/>
  <c r="AU342" i="16"/>
  <c r="AU366" i="16"/>
  <c r="AU435" i="16"/>
  <c r="AU223" i="16"/>
  <c r="AU245" i="16"/>
  <c r="AU320" i="16"/>
  <c r="AU399" i="16"/>
  <c r="AU297" i="16"/>
  <c r="AU150" i="16"/>
  <c r="AU411" i="16"/>
  <c r="AU389" i="16"/>
  <c r="AU209" i="16"/>
  <c r="AU341" i="16"/>
  <c r="AU231" i="16"/>
  <c r="AU386" i="16"/>
  <c r="AU75" i="16"/>
  <c r="AU373" i="16"/>
  <c r="AU431" i="16"/>
  <c r="AU174" i="16"/>
  <c r="AU403" i="16"/>
  <c r="AU289" i="16"/>
  <c r="AU237" i="16"/>
  <c r="AU243" i="16"/>
  <c r="AU415" i="16"/>
  <c r="AU402" i="16"/>
  <c r="AU246" i="16"/>
  <c r="AU263" i="16"/>
  <c r="AU165" i="16"/>
  <c r="AU87" i="16"/>
  <c r="AU139" i="16"/>
  <c r="AU68" i="16"/>
  <c r="AU111" i="16"/>
  <c r="AU197" i="16"/>
  <c r="AU308" i="16"/>
  <c r="AU347" i="16"/>
  <c r="AU172" i="16"/>
  <c r="AU227" i="16"/>
  <c r="AU392" i="16"/>
  <c r="AU46" i="16"/>
  <c r="AU379" i="16"/>
  <c r="AU55" i="16"/>
  <c r="AU127" i="16"/>
  <c r="AU137" i="16"/>
  <c r="AU98" i="16"/>
  <c r="AU105" i="16"/>
  <c r="AU375" i="16"/>
  <c r="AU383" i="16"/>
  <c r="AU391" i="16"/>
  <c r="AU210" i="16"/>
  <c r="AU345" i="16"/>
  <c r="AU368" i="16"/>
  <c r="AU390" i="16"/>
  <c r="AU405" i="16"/>
  <c r="AU433" i="16"/>
  <c r="AU293" i="16"/>
  <c r="AU351" i="16"/>
  <c r="AU190" i="16"/>
  <c r="AU69" i="16"/>
  <c r="AU95" i="16"/>
  <c r="AU84" i="16"/>
  <c r="AU269" i="16"/>
  <c r="AU385" i="16"/>
  <c r="AU393" i="16"/>
  <c r="AU180" i="16"/>
  <c r="AU108" i="16"/>
  <c r="AU116" i="16"/>
  <c r="AU163" i="16"/>
  <c r="AU159" i="16"/>
  <c r="AU170" i="16"/>
  <c r="AU196" i="16"/>
  <c r="AU284" i="16"/>
  <c r="AU219" i="16"/>
  <c r="AU329" i="16"/>
  <c r="AU384" i="16"/>
  <c r="AU77" i="16"/>
  <c r="AU91" i="16"/>
  <c r="AU99" i="16"/>
  <c r="AU130" i="16"/>
  <c r="AU135" i="16"/>
  <c r="AU140" i="16"/>
  <c r="AU187" i="16"/>
  <c r="AU199" i="16"/>
  <c r="AU248" i="16"/>
  <c r="AU281" i="16"/>
  <c r="AU259" i="16"/>
  <c r="AU349" i="16"/>
  <c r="AU361" i="16"/>
  <c r="AU216" i="16"/>
  <c r="AU303" i="16"/>
  <c r="AU409" i="16"/>
  <c r="AU401" i="16"/>
  <c r="AU376" i="16"/>
  <c r="AU382" i="16"/>
  <c r="AU427" i="16"/>
  <c r="AU262" i="16"/>
  <c r="AU207" i="16"/>
  <c r="AU194" i="16"/>
  <c r="AU141" i="16"/>
  <c r="AU62" i="16"/>
  <c r="AU78" i="16"/>
  <c r="AU102" i="16"/>
  <c r="AU417" i="16"/>
  <c r="AU421" i="16"/>
  <c r="AU217" i="16"/>
  <c r="AU276" i="16"/>
  <c r="AU225" i="16"/>
  <c r="AU311" i="16"/>
  <c r="AU188" i="16"/>
  <c r="AU396" i="16"/>
  <c r="AU155" i="16"/>
  <c r="AU212" i="16"/>
  <c r="AU362" i="16"/>
  <c r="AU260" i="16"/>
  <c r="AU52" i="16"/>
  <c r="AU92" i="16"/>
  <c r="AU100" i="16"/>
  <c r="AU115" i="16"/>
  <c r="AU164" i="16"/>
  <c r="AU191" i="16"/>
  <c r="AU256" i="16"/>
  <c r="AU312" i="16"/>
  <c r="AU251" i="16"/>
  <c r="AU214" i="16"/>
  <c r="AU301" i="16"/>
  <c r="AU357" i="16"/>
  <c r="AU193" i="16"/>
  <c r="AU344" i="16"/>
  <c r="AU335" i="16"/>
  <c r="AU374" i="16"/>
  <c r="AU305" i="16"/>
  <c r="AU295" i="16"/>
  <c r="AU364" i="16"/>
  <c r="AU235" i="16"/>
  <c r="AU378" i="16"/>
  <c r="AU394" i="16"/>
  <c r="AU133" i="16"/>
  <c r="AU149" i="16"/>
  <c r="AU166" i="16"/>
  <c r="AU192" i="16"/>
  <c r="AU271" i="16"/>
  <c r="AU310" i="16"/>
  <c r="AU358" i="16"/>
  <c r="AU423" i="16"/>
  <c r="AU377" i="16"/>
  <c r="AU400" i="16"/>
  <c r="AU195" i="16"/>
  <c r="AU205" i="16"/>
  <c r="AU49" i="16"/>
  <c r="AU85" i="16"/>
  <c r="AU93" i="16"/>
  <c r="AU131" i="16"/>
  <c r="AU50" i="16"/>
  <c r="AU58" i="16"/>
  <c r="AU74" i="16"/>
  <c r="AU82" i="16"/>
  <c r="AU90" i="16"/>
  <c r="AU134" i="16"/>
  <c r="AU142" i="16"/>
  <c r="AU250" i="16"/>
  <c r="AU258" i="16"/>
  <c r="AU325" i="16"/>
  <c r="AU253" i="16"/>
  <c r="AU261" i="16"/>
  <c r="AU381" i="16"/>
  <c r="AU404" i="16"/>
  <c r="AU233" i="16"/>
  <c r="AU372" i="16"/>
  <c r="AU104" i="16"/>
  <c r="AU144" i="16"/>
  <c r="AU324" i="16"/>
  <c r="AU388" i="16"/>
  <c r="AU176" i="16"/>
  <c r="AU331" i="16"/>
  <c r="AU309" i="16"/>
  <c r="AU200" i="16"/>
  <c r="AU353" i="16"/>
  <c r="AU380" i="16"/>
  <c r="AU221" i="16"/>
  <c r="AU241" i="16"/>
  <c r="AU337" i="16"/>
  <c r="AU339" i="16"/>
  <c r="AU44" i="16"/>
  <c r="AU179" i="16"/>
  <c r="AU283" i="16"/>
  <c r="AU363" i="16"/>
  <c r="AU268" i="16"/>
  <c r="AU65" i="16"/>
  <c r="AU254" i="16"/>
  <c r="AU279" i="16"/>
  <c r="AU161" i="16"/>
  <c r="AU146" i="16"/>
  <c r="AU168" i="16"/>
  <c r="AU175" i="16"/>
  <c r="AU103" i="16"/>
  <c r="AU89" i="16"/>
  <c r="AU125" i="16"/>
  <c r="AU86" i="16"/>
  <c r="AU173" i="16"/>
  <c r="AU186" i="16"/>
  <c r="AU198" i="16"/>
  <c r="AU252" i="16"/>
  <c r="AU277" i="16"/>
  <c r="AU340" i="16"/>
  <c r="AU255" i="16"/>
  <c r="AU290" i="16"/>
  <c r="AU350" i="16"/>
  <c r="AU425" i="16"/>
  <c r="AU429" i="16"/>
  <c r="AU302" i="16"/>
  <c r="AU334" i="16"/>
  <c r="AU369" i="16"/>
  <c r="AU326" i="16"/>
  <c r="AU41" i="16"/>
  <c r="AU79" i="16"/>
  <c r="AU60" i="16"/>
  <c r="AU120" i="16"/>
  <c r="AU156" i="16"/>
  <c r="AU171" i="16"/>
  <c r="AU121" i="16"/>
  <c r="AU157" i="16"/>
  <c r="AU318" i="16"/>
  <c r="AU365" i="16"/>
  <c r="AU153" i="16"/>
  <c r="AU178" i="16"/>
  <c r="AU314" i="16"/>
  <c r="AU322" i="16"/>
  <c r="AU54" i="16"/>
  <c r="AU70" i="16"/>
  <c r="AU122" i="16"/>
  <c r="AU158" i="16"/>
  <c r="AU206" i="16"/>
  <c r="AU215" i="16"/>
  <c r="AU292" i="16"/>
  <c r="AU395" i="16"/>
  <c r="AU410" i="16"/>
  <c r="AU418" i="16"/>
  <c r="AU426" i="16"/>
  <c r="AU434" i="16"/>
  <c r="AU294" i="16"/>
  <c r="AU332" i="16"/>
  <c r="AU343" i="16"/>
  <c r="AU286" i="16"/>
  <c r="AU280" i="16"/>
  <c r="AU220" i="16"/>
  <c r="AU228" i="16"/>
  <c r="AU236" i="16"/>
  <c r="AU408" i="16"/>
  <c r="AU416" i="16"/>
  <c r="AU424" i="16"/>
  <c r="AU432" i="16"/>
  <c r="AU270" i="16"/>
  <c r="AU288" i="16"/>
  <c r="AU266" i="16"/>
  <c r="AU126" i="16"/>
  <c r="AU154" i="16"/>
  <c r="AU371" i="16"/>
  <c r="AU244" i="16"/>
  <c r="AU317" i="16"/>
  <c r="AU367" i="16"/>
  <c r="AU406" i="16"/>
  <c r="AU414" i="16"/>
  <c r="AU422" i="16"/>
  <c r="AU430" i="16"/>
  <c r="AU182" i="16"/>
  <c r="AU264" i="16"/>
  <c r="AU274" i="16"/>
  <c r="AU64" i="16"/>
  <c r="AU72" i="16"/>
  <c r="AU80" i="16"/>
  <c r="AU124" i="16"/>
  <c r="AU132" i="16"/>
  <c r="AU152" i="16"/>
  <c r="AU160" i="16"/>
  <c r="AU204" i="16"/>
  <c r="AU213" i="16"/>
  <c r="AU397" i="16"/>
  <c r="AU412" i="16"/>
  <c r="AU420" i="16"/>
  <c r="AU428" i="16"/>
  <c r="AU278" i="16"/>
  <c r="AU272" i="16"/>
  <c r="AU282" i="16"/>
  <c r="AU307" i="16"/>
  <c r="AU407" i="16"/>
  <c r="AU114" i="16"/>
  <c r="AU110" i="16"/>
  <c r="AU43" i="16"/>
  <c r="AU51" i="16"/>
  <c r="AU57" i="16"/>
  <c r="AU73" i="16"/>
  <c r="AU202" i="16"/>
  <c r="AU211" i="16"/>
  <c r="AU222" i="16"/>
  <c r="AU230" i="16"/>
  <c r="AU238" i="16"/>
  <c r="AU240" i="16"/>
  <c r="AU348" i="16"/>
  <c r="AU356" i="16"/>
  <c r="AU315" i="16"/>
  <c r="AU323" i="16"/>
  <c r="AU242" i="16"/>
  <c r="AU330" i="16"/>
  <c r="AU338" i="16"/>
  <c r="AU218" i="16"/>
  <c r="AU226" i="16"/>
  <c r="AU234" i="16"/>
  <c r="AU300" i="16"/>
  <c r="AU298" i="16"/>
  <c r="AU352" i="16"/>
  <c r="AU296" i="16"/>
  <c r="AU319" i="16"/>
  <c r="AU45" i="16"/>
  <c r="AU53" i="16"/>
  <c r="AU59" i="16"/>
  <c r="AU81" i="16"/>
  <c r="AU97" i="16"/>
  <c r="AU208" i="16"/>
  <c r="AU224" i="16"/>
  <c r="AU232" i="16"/>
  <c r="AU346" i="16"/>
  <c r="AU354" i="16"/>
  <c r="AU313" i="16"/>
  <c r="AU321" i="16"/>
  <c r="AU328" i="16"/>
  <c r="AU336" i="16"/>
  <c r="F3" i="19"/>
  <c r="G3" i="19" s="1"/>
  <c r="E4" i="19"/>
  <c r="F4" i="19" l="1"/>
  <c r="G4" i="19" s="1"/>
  <c r="E5" i="19"/>
  <c r="F5" i="19" l="1"/>
  <c r="G5" i="19" s="1"/>
  <c r="E6" i="19"/>
  <c r="F6" i="19" l="1"/>
  <c r="G6" i="19" s="1"/>
  <c r="E7" i="19"/>
  <c r="F7" i="19" l="1"/>
  <c r="G7" i="19" s="1"/>
  <c r="E8" i="19"/>
  <c r="F8" i="19" l="1"/>
  <c r="G8" i="19" s="1"/>
  <c r="E9" i="19"/>
  <c r="F9" i="19" l="1"/>
  <c r="G9" i="19" s="1"/>
  <c r="E10" i="19"/>
  <c r="F10" i="19" l="1"/>
  <c r="G10" i="19" s="1"/>
  <c r="E11" i="19"/>
  <c r="F11" i="19" l="1"/>
  <c r="G11" i="19" s="1"/>
  <c r="E12" i="19"/>
  <c r="F12" i="19" l="1"/>
  <c r="G12" i="19" s="1"/>
  <c r="E13" i="19"/>
  <c r="F13" i="19" l="1"/>
  <c r="G13" i="19" s="1"/>
  <c r="E14" i="19"/>
  <c r="F14" i="19" l="1"/>
  <c r="G14" i="19" s="1"/>
  <c r="E15" i="19"/>
  <c r="F15" i="19" l="1"/>
  <c r="G15" i="19" s="1"/>
  <c r="E16" i="19"/>
  <c r="F16" i="19" l="1"/>
  <c r="G16" i="19" s="1"/>
  <c r="E17" i="19"/>
  <c r="F17" i="19" l="1"/>
  <c r="G17" i="19" s="1"/>
  <c r="E18" i="19"/>
  <c r="F18" i="19" l="1"/>
  <c r="G18" i="19" s="1"/>
  <c r="E19" i="19"/>
  <c r="F19" i="19" l="1"/>
  <c r="G19" i="19" s="1"/>
  <c r="E20" i="19"/>
  <c r="F20" i="19" l="1"/>
  <c r="G20" i="19" s="1"/>
  <c r="E21" i="19"/>
  <c r="F21" i="19" l="1"/>
  <c r="G21" i="19" s="1"/>
  <c r="E22" i="19"/>
  <c r="F22" i="19" l="1"/>
  <c r="G22" i="19" s="1"/>
  <c r="E23" i="19"/>
  <c r="F23" i="19" l="1"/>
  <c r="G23" i="19" s="1"/>
  <c r="E24" i="19"/>
  <c r="F24" i="19" l="1"/>
  <c r="G24" i="19" s="1"/>
  <c r="E25" i="19"/>
  <c r="F25" i="19" l="1"/>
  <c r="G25" i="19" s="1"/>
  <c r="E26" i="19"/>
  <c r="F26" i="19" l="1"/>
  <c r="G26" i="19" s="1"/>
  <c r="E27" i="19"/>
  <c r="F27" i="19" l="1"/>
  <c r="G27" i="19" s="1"/>
  <c r="E28" i="19"/>
  <c r="F28" i="19" l="1"/>
  <c r="G28" i="19" s="1"/>
  <c r="E29" i="19"/>
  <c r="F29" i="19" l="1"/>
  <c r="G29" i="19" s="1"/>
  <c r="E30" i="19"/>
  <c r="F30" i="19" l="1"/>
  <c r="G30" i="19" s="1"/>
  <c r="E31" i="19"/>
  <c r="F31" i="19" l="1"/>
  <c r="G31" i="19" s="1"/>
  <c r="E32" i="19"/>
  <c r="F32" i="19" l="1"/>
  <c r="G32" i="19" s="1"/>
  <c r="E33" i="19"/>
  <c r="F33" i="19" l="1"/>
  <c r="G33" i="19" s="1"/>
  <c r="E34" i="19"/>
  <c r="F34" i="19" l="1"/>
  <c r="G34" i="19" s="1"/>
  <c r="E35" i="19"/>
  <c r="F35" i="19" l="1"/>
  <c r="G35" i="19" s="1"/>
  <c r="E36" i="19"/>
  <c r="F36" i="19" l="1"/>
  <c r="G36" i="19" s="1"/>
  <c r="E37" i="19"/>
  <c r="F37" i="19" l="1"/>
  <c r="G37" i="19" s="1"/>
  <c r="E38" i="19"/>
  <c r="F38" i="19" l="1"/>
  <c r="G38" i="19" s="1"/>
  <c r="E39" i="19"/>
  <c r="F39" i="19" l="1"/>
  <c r="G39" i="19" s="1"/>
  <c r="E40" i="19"/>
  <c r="F40" i="19" l="1"/>
  <c r="G40" i="19" s="1"/>
  <c r="E41" i="19"/>
  <c r="F41" i="19" l="1"/>
  <c r="G41" i="19" s="1"/>
  <c r="E42" i="19"/>
  <c r="F42" i="19" l="1"/>
  <c r="G42" i="19" s="1"/>
  <c r="E43" i="19"/>
  <c r="F43" i="19" l="1"/>
  <c r="G43" i="19" s="1"/>
  <c r="E44" i="19"/>
  <c r="F44" i="19" l="1"/>
  <c r="G44" i="19" s="1"/>
  <c r="E45" i="19"/>
  <c r="F45" i="19" l="1"/>
  <c r="G45" i="19" s="1"/>
  <c r="E46" i="19"/>
  <c r="F46" i="19" l="1"/>
  <c r="G46" i="19" s="1"/>
  <c r="E47" i="19"/>
  <c r="F47" i="19" l="1"/>
  <c r="G47" i="19" s="1"/>
  <c r="E48" i="19"/>
  <c r="F48" i="19" l="1"/>
  <c r="G48" i="19" s="1"/>
  <c r="E49" i="19"/>
  <c r="F49" i="19" l="1"/>
  <c r="G49" i="19" s="1"/>
  <c r="E50" i="19"/>
  <c r="F50" i="19" l="1"/>
  <c r="G50" i="19" s="1"/>
  <c r="E51" i="19"/>
  <c r="F51" i="19" l="1"/>
  <c r="G51" i="19" s="1"/>
  <c r="E52" i="19"/>
  <c r="F52" i="19" l="1"/>
  <c r="G52" i="19" s="1"/>
  <c r="E53" i="19"/>
  <c r="F53" i="19" l="1"/>
  <c r="G53" i="19" s="1"/>
  <c r="AJ21" i="12"/>
  <c r="AF21" i="12" s="1"/>
  <c r="AH21" i="12" s="1"/>
  <c r="BB3" i="12"/>
  <c r="AS30" i="12"/>
  <c r="AO30" i="12" s="1"/>
  <c r="AQ30" i="12" s="1"/>
  <c r="BB12" i="12"/>
  <c r="AX12" i="12" s="1"/>
  <c r="AZ12" i="12" s="1"/>
  <c r="AJ30" i="12"/>
  <c r="AF30" i="12" s="1"/>
  <c r="AH30" i="12" s="1"/>
  <c r="AJ12" i="12"/>
  <c r="AF12" i="12" s="1"/>
  <c r="AH12" i="12" s="1"/>
  <c r="C14" i="12" s="1"/>
  <c r="AS12" i="12"/>
  <c r="AO12" i="12" s="1"/>
  <c r="AQ12" i="12" s="1"/>
  <c r="AS21" i="12"/>
  <c r="AO21" i="12" s="1"/>
  <c r="AQ21" i="12" s="1"/>
  <c r="BB30" i="12"/>
  <c r="AX30" i="12" s="1"/>
  <c r="AZ30" i="12" s="1"/>
  <c r="BB21" i="12"/>
  <c r="AY21" i="12" s="1"/>
  <c r="AS3" i="12"/>
  <c r="AO3" i="12" s="1"/>
  <c r="AQ3" i="12" s="1"/>
  <c r="AG3" i="12"/>
  <c r="C46" i="16"/>
  <c r="E64" i="13"/>
  <c r="S64" i="13" s="1"/>
  <c r="E146" i="13"/>
  <c r="S146" i="13" s="1"/>
  <c r="X8" i="24"/>
  <c r="W2" i="24" s="1"/>
  <c r="W5" i="24" s="1"/>
  <c r="W6" i="24" s="1"/>
  <c r="D19" i="5"/>
  <c r="G19" i="5" s="1"/>
  <c r="F19" i="5" s="1"/>
  <c r="A9" i="34" s="1"/>
  <c r="E54" i="19"/>
  <c r="AG12" i="12" l="1"/>
  <c r="AP30" i="12"/>
  <c r="AY12" i="12"/>
  <c r="AP12" i="12"/>
  <c r="AP3" i="12"/>
  <c r="AN54" i="12"/>
  <c r="AO54" i="12" s="1"/>
  <c r="K54" i="12" s="1"/>
  <c r="AP21" i="12"/>
  <c r="F54" i="19"/>
  <c r="G54" i="19" s="1"/>
  <c r="AX21" i="12"/>
  <c r="AZ21" i="12" s="1"/>
  <c r="A8" i="34"/>
  <c r="A105" i="34"/>
  <c r="A10" i="34"/>
  <c r="X9" i="34"/>
  <c r="X8" i="34" s="1"/>
  <c r="X7" i="34" s="1"/>
  <c r="X6" i="34" s="1"/>
  <c r="X5" i="34" s="1"/>
  <c r="X4" i="34" s="1"/>
  <c r="X3" i="34" s="1"/>
  <c r="X2" i="34" s="1"/>
  <c r="C23" i="12"/>
  <c r="D23" i="12" s="1"/>
  <c r="D14" i="12"/>
  <c r="E14" i="12" s="1"/>
  <c r="F14" i="12" s="1"/>
  <c r="G14" i="12" s="1"/>
  <c r="H14" i="12" s="1"/>
  <c r="I14" i="12" s="1"/>
  <c r="C15" i="12" s="1"/>
  <c r="D15" i="12" s="1"/>
  <c r="E15" i="12" s="1"/>
  <c r="F15" i="12" s="1"/>
  <c r="G15" i="12" s="1"/>
  <c r="H15" i="12" s="1"/>
  <c r="I15" i="12" s="1"/>
  <c r="C16" i="12" s="1"/>
  <c r="D16" i="12" s="1"/>
  <c r="E16" i="12" s="1"/>
  <c r="F16" i="12" s="1"/>
  <c r="G16" i="12" s="1"/>
  <c r="H16" i="12" s="1"/>
  <c r="I16" i="12" s="1"/>
  <c r="C17" i="12" s="1"/>
  <c r="D17" i="12" s="1"/>
  <c r="E55" i="19"/>
  <c r="AH2" i="34"/>
  <c r="F55" i="19" l="1"/>
  <c r="G55" i="19" s="1"/>
  <c r="I55" i="19" s="1"/>
  <c r="E17" i="12"/>
  <c r="F17" i="12" s="1"/>
  <c r="G17" i="12" s="1"/>
  <c r="H17" i="12" s="1"/>
  <c r="A106" i="34"/>
  <c r="A11" i="34"/>
  <c r="E23" i="12"/>
  <c r="F23" i="12" s="1"/>
  <c r="G23" i="12" s="1"/>
  <c r="H23" i="12" s="1"/>
  <c r="I23" i="12" s="1"/>
  <c r="C24" i="12" s="1"/>
  <c r="D24" i="12" s="1"/>
  <c r="Y2" i="34"/>
  <c r="A7" i="34"/>
  <c r="A104" i="34"/>
  <c r="F2" i="34"/>
  <c r="F50" i="34" s="1"/>
  <c r="K38" i="16"/>
  <c r="AG2" i="34"/>
  <c r="E56" i="19"/>
  <c r="D2" i="34" l="1"/>
  <c r="F56" i="19"/>
  <c r="G56" i="19" s="1"/>
  <c r="I56" i="19" s="1"/>
  <c r="E24" i="12"/>
  <c r="F24" i="12" s="1"/>
  <c r="G24" i="12" s="1"/>
  <c r="H24" i="12" s="1"/>
  <c r="I24" i="12" s="1"/>
  <c r="C25" i="12" s="1"/>
  <c r="D25" i="12" s="1"/>
  <c r="E25" i="12" s="1"/>
  <c r="F25" i="12" s="1"/>
  <c r="G25" i="12" s="1"/>
  <c r="A103" i="34"/>
  <c r="A6" i="34"/>
  <c r="A12" i="34"/>
  <c r="A107" i="34"/>
  <c r="I17" i="12"/>
  <c r="C18" i="12" s="1"/>
  <c r="AF2" i="34"/>
  <c r="AA2" i="34"/>
  <c r="B2" i="34" s="1"/>
  <c r="B50" i="34" s="1"/>
  <c r="AE2" i="34"/>
  <c r="L38" i="16"/>
  <c r="E57" i="19"/>
  <c r="AS2" i="34"/>
  <c r="C2" i="34" l="1"/>
  <c r="C50" i="34" s="1"/>
  <c r="D50" i="34" s="1"/>
  <c r="F57" i="19"/>
  <c r="G57" i="19" s="1"/>
  <c r="I57" i="19" s="1"/>
  <c r="A5" i="34"/>
  <c r="A102" i="34"/>
  <c r="A108" i="34"/>
  <c r="A13" i="34"/>
  <c r="H25" i="12"/>
  <c r="E58" i="19"/>
  <c r="F58" i="19" l="1"/>
  <c r="G58" i="19" s="1"/>
  <c r="I58" i="19" s="1"/>
  <c r="A14" i="34"/>
  <c r="A109" i="34"/>
  <c r="I25" i="12"/>
  <c r="C26" i="12" s="1"/>
  <c r="D26" i="12" s="1"/>
  <c r="E26" i="12" s="1"/>
  <c r="F26" i="12" s="1"/>
  <c r="G26" i="12" s="1"/>
  <c r="H26" i="12" s="1"/>
  <c r="I26" i="12" s="1"/>
  <c r="A4" i="34"/>
  <c r="A101" i="34"/>
  <c r="E59" i="19"/>
  <c r="F59" i="19" l="1"/>
  <c r="G59" i="19" s="1"/>
  <c r="I59" i="19" s="1"/>
  <c r="A3" i="34"/>
  <c r="A100" i="34"/>
  <c r="A110" i="34"/>
  <c r="A15" i="34"/>
  <c r="E60" i="19"/>
  <c r="F60" i="19" l="1"/>
  <c r="G60" i="19" s="1"/>
  <c r="I60" i="19" s="1"/>
  <c r="A99" i="34"/>
  <c r="A2" i="34"/>
  <c r="A98" i="34" s="1"/>
  <c r="A16" i="34"/>
  <c r="A111" i="34"/>
  <c r="E61" i="19"/>
  <c r="F61" i="19" l="1"/>
  <c r="G61" i="19" s="1"/>
  <c r="I61" i="19" s="1"/>
  <c r="A112" i="34"/>
  <c r="A17" i="34"/>
  <c r="E62" i="19"/>
  <c r="F62" i="19" l="1"/>
  <c r="G62" i="19" s="1"/>
  <c r="I62" i="19" s="1"/>
  <c r="A18" i="34"/>
  <c r="A113" i="34"/>
  <c r="E63" i="19"/>
  <c r="F63" i="19" l="1"/>
  <c r="G63" i="19" s="1"/>
  <c r="I63" i="19" s="1"/>
  <c r="A114" i="34"/>
  <c r="A19" i="34"/>
  <c r="E64" i="19"/>
  <c r="F64" i="19" l="1"/>
  <c r="G64" i="19" s="1"/>
  <c r="I64" i="19" s="1"/>
  <c r="A20" i="34"/>
  <c r="A115" i="34"/>
  <c r="AK2" i="34"/>
  <c r="AL2" i="34"/>
  <c r="P2" i="34"/>
  <c r="E65" i="19"/>
  <c r="F65" i="19" l="1"/>
  <c r="G65" i="19" s="1"/>
  <c r="I65" i="19" s="1"/>
  <c r="A116" i="34"/>
  <c r="A21" i="34"/>
  <c r="AM2" i="34"/>
  <c r="Q2" i="34"/>
  <c r="A22" i="34" l="1"/>
  <c r="A117" i="34"/>
  <c r="Q50" i="34"/>
  <c r="AN2" i="34"/>
  <c r="AO2" i="34"/>
  <c r="R2" i="34"/>
  <c r="A23" i="34" l="1"/>
  <c r="A118" i="34"/>
  <c r="R50" i="34"/>
  <c r="AP2" i="34"/>
  <c r="A24" i="34" l="1"/>
  <c r="A119" i="34"/>
  <c r="AQ2" i="34"/>
  <c r="AR2" i="34" s="1"/>
  <c r="S2" i="34" s="1"/>
  <c r="S50" i="34" s="1"/>
  <c r="W38" i="16"/>
  <c r="X38" i="16"/>
  <c r="Y38" i="16"/>
  <c r="Z38" i="16"/>
  <c r="Y3" i="34"/>
  <c r="AG3" i="34"/>
  <c r="A120" i="34" l="1"/>
  <c r="A25" i="34"/>
  <c r="AA3" i="34"/>
  <c r="B3" i="34" s="1"/>
  <c r="B51" i="34" s="1"/>
  <c r="D3" i="34"/>
  <c r="AH3" i="34"/>
  <c r="A121" i="34" l="1"/>
  <c r="A26" i="34"/>
  <c r="F3" i="34"/>
  <c r="K39" i="16"/>
  <c r="A27" i="34" l="1"/>
  <c r="A122" i="34"/>
  <c r="L39" i="16"/>
  <c r="AS3" i="34"/>
  <c r="A28" i="34" l="1"/>
  <c r="A123" i="34"/>
  <c r="A29" i="34" l="1"/>
  <c r="A124" i="34"/>
  <c r="A125" i="34" l="1"/>
  <c r="A30" i="34"/>
  <c r="A126" i="34" l="1"/>
  <c r="A31" i="34"/>
  <c r="A32" i="34" l="1"/>
  <c r="A127" i="34"/>
  <c r="A33" i="34" l="1"/>
  <c r="A128" i="34"/>
  <c r="A34" i="34" l="1"/>
  <c r="A129" i="34"/>
  <c r="A35" i="34" l="1"/>
  <c r="A130" i="34"/>
  <c r="AK3" i="34"/>
  <c r="AL3" i="34"/>
  <c r="P3" i="34"/>
  <c r="A36" i="34" l="1"/>
  <c r="A131" i="34"/>
  <c r="AM3" i="34"/>
  <c r="Q3" i="34"/>
  <c r="A37" i="34" l="1"/>
  <c r="A132" i="34"/>
  <c r="AN3" i="34"/>
  <c r="AO3" i="34"/>
  <c r="R3" i="34"/>
  <c r="A38" i="34" l="1"/>
  <c r="A133" i="34"/>
  <c r="R51" i="34"/>
  <c r="AP3" i="34"/>
  <c r="A39" i="34" l="1"/>
  <c r="A134" i="34"/>
  <c r="AQ3" i="34"/>
  <c r="AR3" i="34" s="1"/>
  <c r="S3" i="34" s="1"/>
  <c r="S51" i="34" s="1"/>
  <c r="W39" i="16"/>
  <c r="X39" i="16"/>
  <c r="Y39" i="16"/>
  <c r="Z39" i="16"/>
  <c r="Y4" i="34"/>
  <c r="AA4" i="34" s="1"/>
  <c r="B4" i="34" s="1"/>
  <c r="B52" i="34" s="1"/>
  <c r="AG4" i="34"/>
  <c r="A40" i="34" l="1"/>
  <c r="A135" i="34"/>
  <c r="D4" i="34"/>
  <c r="Z4" i="34"/>
  <c r="AB4" i="34" s="1"/>
  <c r="AH4" i="34"/>
  <c r="AE4" i="34" l="1"/>
  <c r="AF4" i="34"/>
  <c r="A41" i="34"/>
  <c r="A136" i="34"/>
  <c r="F4" i="34"/>
  <c r="F52" i="34" s="1"/>
  <c r="K40" i="16"/>
  <c r="C4" i="34" l="1"/>
  <c r="C52" i="34" s="1"/>
  <c r="D52" i="34" s="1"/>
  <c r="A137" i="34"/>
  <c r="A42" i="34"/>
  <c r="L40" i="16"/>
  <c r="AS4" i="34"/>
  <c r="A138" i="34" l="1"/>
  <c r="A43" i="34"/>
  <c r="A44" i="34" l="1"/>
  <c r="A139" i="34"/>
  <c r="A45" i="34" l="1"/>
  <c r="A141" i="34" s="1"/>
  <c r="A140" i="34"/>
  <c r="AK4" i="34"/>
  <c r="AM4" i="34" s="1"/>
  <c r="AL4" i="34"/>
  <c r="AN4" i="34"/>
  <c r="AO4" i="34"/>
  <c r="AQ4" i="34"/>
  <c r="AR4" i="34" s="1"/>
  <c r="K38" i="21"/>
  <c r="X40" i="16"/>
  <c r="Y40" i="16"/>
  <c r="Z40" i="16"/>
  <c r="Y5" i="34"/>
  <c r="Z5" i="34" s="1"/>
  <c r="AE5" i="34" s="1"/>
  <c r="AG5" i="34"/>
  <c r="AP4" i="34"/>
  <c r="R4" i="34"/>
  <c r="Q4" i="34"/>
  <c r="P4" i="34"/>
  <c r="P52" i="34" l="1"/>
  <c r="R52" i="34"/>
  <c r="Q52" i="34"/>
  <c r="S4" i="34"/>
  <c r="S52" i="34" s="1"/>
  <c r="AF5" i="34"/>
  <c r="C5" i="34" s="1"/>
  <c r="AA5" i="34"/>
  <c r="B5" i="34" s="1"/>
  <c r="B53" i="34" s="1"/>
  <c r="D5" i="34"/>
  <c r="AH5" i="34"/>
  <c r="D53" i="34" l="1"/>
  <c r="C53" i="34"/>
  <c r="F5" i="34"/>
  <c r="F53" i="34" s="1"/>
  <c r="K41" i="16"/>
  <c r="L41" i="16"/>
  <c r="AK5" i="34"/>
  <c r="AM5" i="34" s="1"/>
  <c r="AL5" i="34"/>
  <c r="AN5" i="34"/>
  <c r="AO5" i="34"/>
  <c r="AQ5" i="34"/>
  <c r="AR5" i="34" s="1"/>
  <c r="W41" i="16"/>
  <c r="X41" i="16"/>
  <c r="Y41" i="16"/>
  <c r="Z41" i="16"/>
  <c r="Y6" i="34"/>
  <c r="AE6" i="34" s="1"/>
  <c r="Q5" i="34"/>
  <c r="R5" i="34"/>
  <c r="P5" i="34"/>
  <c r="AG6" i="34"/>
  <c r="AP5" i="34"/>
  <c r="AS5" i="34"/>
  <c r="R53" i="34" l="1"/>
  <c r="Q53" i="34"/>
  <c r="P53" i="34"/>
  <c r="S5" i="34"/>
  <c r="S53" i="34" s="1"/>
  <c r="AF6" i="34"/>
  <c r="C6" i="34" s="1"/>
  <c r="C54" i="34" s="1"/>
  <c r="AA6" i="34"/>
  <c r="B6" i="34" s="1"/>
  <c r="B54" i="34" s="1"/>
  <c r="D6" i="34"/>
  <c r="K42" i="16"/>
  <c r="L42" i="16"/>
  <c r="AK6" i="34"/>
  <c r="AM6" i="34" s="1"/>
  <c r="AL6" i="34"/>
  <c r="AN6" i="34"/>
  <c r="AO6" i="34"/>
  <c r="AQ6" i="34"/>
  <c r="AR6" i="34" s="1"/>
  <c r="W42" i="16"/>
  <c r="X42" i="16"/>
  <c r="Y42" i="16"/>
  <c r="Z42" i="16"/>
  <c r="Y7" i="34"/>
  <c r="R6" i="34"/>
  <c r="AG7" i="34"/>
  <c r="P6" i="34"/>
  <c r="AH6" i="34"/>
  <c r="Q6" i="34"/>
  <c r="AP6" i="34"/>
  <c r="AS6" i="34"/>
  <c r="D54" i="34" l="1"/>
  <c r="F6" i="34"/>
  <c r="F54" i="34" s="1"/>
  <c r="R54" i="34"/>
  <c r="Q54" i="34"/>
  <c r="P54" i="34"/>
  <c r="S6" i="34"/>
  <c r="S54" i="34" s="1"/>
  <c r="AA7" i="34"/>
  <c r="B7" i="34" s="1"/>
  <c r="B55" i="34" s="1"/>
  <c r="D7" i="34"/>
  <c r="K43" i="16"/>
  <c r="L43" i="16"/>
  <c r="AK7" i="34"/>
  <c r="AM7" i="34" s="1"/>
  <c r="AL7" i="34"/>
  <c r="AN7" i="34"/>
  <c r="AO7" i="34"/>
  <c r="AQ7" i="34"/>
  <c r="AR7" i="34" s="1"/>
  <c r="W43" i="16"/>
  <c r="X43" i="16"/>
  <c r="Y43" i="16"/>
  <c r="Z43" i="16"/>
  <c r="Y8" i="34"/>
  <c r="AG8" i="34"/>
  <c r="AP7" i="34"/>
  <c r="Q7" i="34"/>
  <c r="AH7" i="34"/>
  <c r="R7" i="34"/>
  <c r="P7" i="34"/>
  <c r="AS7" i="34"/>
  <c r="F7" i="34" l="1"/>
  <c r="F55" i="34" s="1"/>
  <c r="R55" i="34"/>
  <c r="Q55" i="34"/>
  <c r="S7" i="34"/>
  <c r="S55" i="34" s="1"/>
  <c r="AA8" i="34"/>
  <c r="B8" i="34" s="1"/>
  <c r="B56" i="34" s="1"/>
  <c r="D8" i="34"/>
  <c r="D56" i="34" s="1"/>
  <c r="K44" i="16"/>
  <c r="L44" i="16"/>
  <c r="AK8" i="34"/>
  <c r="AM8" i="34" s="1"/>
  <c r="AL8" i="34"/>
  <c r="AN8" i="34"/>
  <c r="AO8" i="34"/>
  <c r="AQ8" i="34"/>
  <c r="AR8" i="34" s="1"/>
  <c r="W44" i="16"/>
  <c r="X44" i="16"/>
  <c r="Y44" i="16"/>
  <c r="Z44" i="16"/>
  <c r="Y9" i="34"/>
  <c r="AE9" i="34" s="1"/>
  <c r="R8" i="34"/>
  <c r="AP8" i="34"/>
  <c r="AH8" i="34"/>
  <c r="Q8" i="34"/>
  <c r="P8" i="34"/>
  <c r="AG9" i="34"/>
  <c r="AS8" i="34"/>
  <c r="F8" i="34" l="1"/>
  <c r="F56" i="34" s="1"/>
  <c r="S8" i="34"/>
  <c r="S56" i="34" s="1"/>
  <c r="AF9" i="34"/>
  <c r="C9" i="34" s="1"/>
  <c r="C57" i="34" s="1"/>
  <c r="AA9" i="34"/>
  <c r="B9" i="34" s="1"/>
  <c r="B57" i="34" s="1"/>
  <c r="D9" i="34"/>
  <c r="D57" i="34" s="1"/>
  <c r="K45" i="16"/>
  <c r="L45" i="16"/>
  <c r="AK9" i="34"/>
  <c r="AM9" i="34" s="1"/>
  <c r="AL9" i="34"/>
  <c r="AN9" i="34"/>
  <c r="AO9" i="34"/>
  <c r="AQ9" i="34"/>
  <c r="AR9" i="34" s="1"/>
  <c r="W45" i="16"/>
  <c r="X45" i="16"/>
  <c r="Y45" i="16"/>
  <c r="Z45" i="16"/>
  <c r="X10" i="34"/>
  <c r="Y10" i="34" s="1"/>
  <c r="R9" i="34"/>
  <c r="AP9" i="34"/>
  <c r="P9" i="34"/>
  <c r="Q9" i="34"/>
  <c r="AH9" i="34"/>
  <c r="AS9" i="34"/>
  <c r="R57" i="34" l="1"/>
  <c r="F9" i="34"/>
  <c r="F57" i="34" s="1"/>
  <c r="S9" i="34"/>
  <c r="S57" i="34" s="1"/>
  <c r="AF10" i="34"/>
  <c r="AA10" i="34"/>
  <c r="B10" i="34" s="1"/>
  <c r="B58" i="34" s="1"/>
  <c r="AE10" i="34"/>
  <c r="AH10" i="34"/>
  <c r="AG10" i="34"/>
  <c r="D10" i="34" l="1"/>
  <c r="C10" i="34"/>
  <c r="C58" i="34" s="1"/>
  <c r="F10" i="34"/>
  <c r="F58" i="34" s="1"/>
  <c r="K46" i="16"/>
  <c r="L46" i="16"/>
  <c r="AK10" i="34"/>
  <c r="AM10" i="34" s="1"/>
  <c r="AL10" i="34"/>
  <c r="AN10" i="34"/>
  <c r="AO10" i="34"/>
  <c r="AQ10" i="34"/>
  <c r="AR10" i="34" s="1"/>
  <c r="W46" i="16"/>
  <c r="X46" i="16"/>
  <c r="Y46" i="16"/>
  <c r="Z46" i="16"/>
  <c r="X11" i="34"/>
  <c r="Y11" i="34" s="1"/>
  <c r="P10" i="34"/>
  <c r="AP10" i="34"/>
  <c r="Q10" i="34"/>
  <c r="R10" i="34"/>
  <c r="AS10" i="34"/>
  <c r="D58" i="34" l="1"/>
  <c r="R58" i="34"/>
  <c r="Q58" i="34"/>
  <c r="P58" i="34"/>
  <c r="S10" i="34"/>
  <c r="S58" i="34" s="1"/>
  <c r="AA11" i="34"/>
  <c r="B11" i="34" s="1"/>
  <c r="B59" i="34" s="1"/>
  <c r="AH11" i="34"/>
  <c r="AG11" i="34"/>
  <c r="D11" i="34" l="1"/>
  <c r="F11" i="34"/>
  <c r="K47" i="16"/>
  <c r="L47" i="16"/>
  <c r="AK11" i="34"/>
  <c r="AM11" i="34" s="1"/>
  <c r="AL11" i="34"/>
  <c r="AN11" i="34"/>
  <c r="AO11" i="34"/>
  <c r="AQ11" i="34"/>
  <c r="AR11" i="34" s="1"/>
  <c r="W47" i="16"/>
  <c r="X47" i="16"/>
  <c r="Y47" i="16"/>
  <c r="Z47" i="16"/>
  <c r="X12" i="34"/>
  <c r="Y12" i="34" s="1"/>
  <c r="P11" i="34"/>
  <c r="R11" i="34"/>
  <c r="AP11" i="34"/>
  <c r="Q11" i="34"/>
  <c r="AS11" i="34"/>
  <c r="R59" i="34" l="1"/>
  <c r="Q59" i="34"/>
  <c r="S11" i="34"/>
  <c r="S59" i="34" s="1"/>
  <c r="AA12" i="34"/>
  <c r="B12" i="34" s="1"/>
  <c r="B60" i="34" s="1"/>
  <c r="AG12" i="34"/>
  <c r="AH12" i="34"/>
  <c r="D12" i="34" l="1"/>
  <c r="F12" i="34"/>
  <c r="F60" i="34" s="1"/>
  <c r="K48" i="16"/>
  <c r="L48" i="16"/>
  <c r="AK12" i="34"/>
  <c r="AM12" i="34" s="1"/>
  <c r="AL12" i="34"/>
  <c r="AN12" i="34"/>
  <c r="AO12" i="34"/>
  <c r="AQ12" i="34"/>
  <c r="AR12" i="34" s="1"/>
  <c r="W48" i="16"/>
  <c r="X48" i="16"/>
  <c r="Y48" i="16"/>
  <c r="Z48" i="16"/>
  <c r="X13" i="34"/>
  <c r="Y13" i="34" s="1"/>
  <c r="R12" i="34"/>
  <c r="Q12" i="34"/>
  <c r="AP12" i="34"/>
  <c r="P12" i="34"/>
  <c r="AS12" i="34"/>
  <c r="R60" i="34" l="1"/>
  <c r="S12" i="34"/>
  <c r="S60" i="34" s="1"/>
  <c r="AA13" i="34"/>
  <c r="B13" i="34" s="1"/>
  <c r="B61" i="34" s="1"/>
  <c r="AG13" i="34"/>
  <c r="AH13" i="34"/>
  <c r="D13" i="34" l="1"/>
  <c r="F13" i="34"/>
  <c r="F61" i="34" s="1"/>
  <c r="K49" i="16"/>
  <c r="L49" i="16"/>
  <c r="AK13" i="34"/>
  <c r="AM13" i="34" s="1"/>
  <c r="AL13" i="34"/>
  <c r="AN13" i="34"/>
  <c r="AO13" i="34"/>
  <c r="AQ13" i="34"/>
  <c r="AR13" i="34" s="1"/>
  <c r="W49" i="16"/>
  <c r="X49" i="16"/>
  <c r="Y49" i="16"/>
  <c r="Z49" i="16"/>
  <c r="X14" i="34"/>
  <c r="Y14" i="34" s="1"/>
  <c r="R13" i="34"/>
  <c r="P13" i="34"/>
  <c r="Q13" i="34"/>
  <c r="AP13" i="34"/>
  <c r="AS13" i="34"/>
  <c r="R61" i="34" l="1"/>
  <c r="Q61" i="34"/>
  <c r="S13" i="34"/>
  <c r="S61" i="34" s="1"/>
  <c r="AA14" i="34"/>
  <c r="B14" i="34" s="1"/>
  <c r="B62" i="34" s="1"/>
  <c r="AG14" i="34"/>
  <c r="AH14" i="34"/>
  <c r="D14" i="34" l="1"/>
  <c r="F14" i="34"/>
  <c r="K50" i="16"/>
  <c r="L50" i="16"/>
  <c r="AK14" i="34"/>
  <c r="AM14" i="34" s="1"/>
  <c r="AL14" i="34"/>
  <c r="AN14" i="34"/>
  <c r="AO14" i="34"/>
  <c r="AQ14" i="34"/>
  <c r="AR14" i="34" s="1"/>
  <c r="W50" i="16"/>
  <c r="X50" i="16"/>
  <c r="Y50" i="16"/>
  <c r="Z50" i="16"/>
  <c r="X15" i="34"/>
  <c r="Y15" i="34" s="1"/>
  <c r="Q14" i="34"/>
  <c r="AP14" i="34"/>
  <c r="P14" i="34"/>
  <c r="R14" i="34"/>
  <c r="AS14" i="34"/>
  <c r="R62" i="34" l="1"/>
  <c r="S14" i="34"/>
  <c r="S62" i="34" s="1"/>
  <c r="AA15" i="34"/>
  <c r="B15" i="34" s="1"/>
  <c r="B63" i="34" s="1"/>
  <c r="AH15" i="34"/>
  <c r="AG15" i="34"/>
  <c r="D15" i="34" l="1"/>
  <c r="F15" i="34"/>
  <c r="K51" i="16"/>
  <c r="L51" i="16"/>
  <c r="AK15" i="34"/>
  <c r="AM15" i="34" s="1"/>
  <c r="AL15" i="34"/>
  <c r="AN15" i="34"/>
  <c r="AO15" i="34"/>
  <c r="AQ15" i="34"/>
  <c r="AR15" i="34" s="1"/>
  <c r="W51" i="16"/>
  <c r="X51" i="16"/>
  <c r="Y51" i="16"/>
  <c r="Z51" i="16"/>
  <c r="X16" i="34"/>
  <c r="Y16" i="34" s="1"/>
  <c r="R15" i="34"/>
  <c r="AP15" i="34"/>
  <c r="P15" i="34"/>
  <c r="Q15" i="34"/>
  <c r="AS15" i="34"/>
  <c r="R63" i="34" l="1"/>
  <c r="S15" i="34"/>
  <c r="S63" i="34" s="1"/>
  <c r="AA16" i="34"/>
  <c r="B16" i="34" s="1"/>
  <c r="B64" i="34" s="1"/>
  <c r="AH16" i="34"/>
  <c r="AG16" i="34"/>
  <c r="D16" i="34" l="1"/>
  <c r="F16" i="34"/>
  <c r="F64" i="34" s="1"/>
  <c r="K52" i="16"/>
  <c r="L52" i="16"/>
  <c r="AK16" i="34"/>
  <c r="AM16" i="34" s="1"/>
  <c r="AL16" i="34"/>
  <c r="AN16" i="34"/>
  <c r="AO16" i="34"/>
  <c r="W52" i="16"/>
  <c r="X52" i="16"/>
  <c r="Y52" i="16"/>
  <c r="Z52" i="16"/>
  <c r="X17" i="34"/>
  <c r="Y17" i="34" s="1"/>
  <c r="AP16" i="34"/>
  <c r="Q16" i="34"/>
  <c r="P16" i="34"/>
  <c r="R16" i="34"/>
  <c r="AG17" i="34"/>
  <c r="AS16" i="34"/>
  <c r="D64" i="34" l="1"/>
  <c r="AA17" i="34"/>
  <c r="B17" i="34" s="1"/>
  <c r="B65" i="34" s="1"/>
  <c r="AF17" i="34"/>
  <c r="AE17" i="34"/>
  <c r="D17" i="34"/>
  <c r="AH17" i="34"/>
  <c r="C17" i="34" l="1"/>
  <c r="C65" i="34" s="1"/>
  <c r="D65" i="34" s="1"/>
  <c r="F17" i="34"/>
  <c r="K53" i="16"/>
  <c r="L53" i="16"/>
  <c r="AK17" i="34"/>
  <c r="AM17" i="34" s="1"/>
  <c r="AL17" i="34"/>
  <c r="AN17" i="34"/>
  <c r="AO17" i="34"/>
  <c r="W53" i="16"/>
  <c r="X53" i="16"/>
  <c r="Y53" i="16"/>
  <c r="Z53" i="16"/>
  <c r="X18" i="34"/>
  <c r="Y18" i="34" s="1"/>
  <c r="Q17" i="34"/>
  <c r="P17" i="34"/>
  <c r="R17" i="34"/>
  <c r="AP17" i="34"/>
  <c r="AS17" i="34"/>
  <c r="R65" i="34" l="1"/>
  <c r="AA18" i="34"/>
  <c r="B18" i="34" s="1"/>
  <c r="B66" i="34" s="1"/>
  <c r="AG18" i="34"/>
  <c r="AH18" i="34"/>
  <c r="D18" i="34" l="1"/>
  <c r="F18" i="34"/>
  <c r="K54" i="16"/>
  <c r="L54" i="16"/>
  <c r="AK18" i="34"/>
  <c r="AM18" i="34" s="1"/>
  <c r="AL18" i="34"/>
  <c r="AN18" i="34"/>
  <c r="AO18" i="34"/>
  <c r="Z18" i="34"/>
  <c r="AQ18" i="34"/>
  <c r="AR18" i="34" s="1"/>
  <c r="W54" i="16"/>
  <c r="X54" i="16"/>
  <c r="Y54" i="16"/>
  <c r="Z54" i="16"/>
  <c r="X19" i="34"/>
  <c r="Y19" i="34" s="1"/>
  <c r="P18" i="34"/>
  <c r="Q18" i="34"/>
  <c r="AP18" i="34"/>
  <c r="R18" i="34"/>
  <c r="AS18" i="34"/>
  <c r="AF18" i="34" l="1"/>
  <c r="AE18" i="34"/>
  <c r="R66" i="34"/>
  <c r="S18" i="34"/>
  <c r="S66" i="34" s="1"/>
  <c r="AA19" i="34"/>
  <c r="B19" i="34" s="1"/>
  <c r="B67" i="34" s="1"/>
  <c r="AH19" i="34"/>
  <c r="AG19" i="34"/>
  <c r="D19" i="34" l="1"/>
  <c r="C18" i="34"/>
  <c r="C66" i="34" s="1"/>
  <c r="F19" i="34"/>
  <c r="F67" i="34" s="1"/>
  <c r="K55" i="16"/>
  <c r="L55" i="16"/>
  <c r="AK19" i="34"/>
  <c r="AM19" i="34" s="1"/>
  <c r="AL19" i="34"/>
  <c r="AN19" i="34"/>
  <c r="AO19" i="34"/>
  <c r="W55" i="16"/>
  <c r="X55" i="16"/>
  <c r="Y55" i="16"/>
  <c r="Z55" i="16"/>
  <c r="X20" i="34"/>
  <c r="Y20" i="34" s="1"/>
  <c r="AP19" i="34"/>
  <c r="Q19" i="34"/>
  <c r="P19" i="34"/>
  <c r="R19" i="34"/>
  <c r="AS19" i="34"/>
  <c r="D66" i="34" l="1"/>
  <c r="R67" i="34"/>
  <c r="AA20" i="34"/>
  <c r="B20" i="34" s="1"/>
  <c r="B68" i="34" s="1"/>
  <c r="Z20" i="34"/>
  <c r="AB20" i="34" s="1"/>
  <c r="AH20" i="34"/>
  <c r="AG20" i="34"/>
  <c r="D20" i="34" l="1"/>
  <c r="AF20" i="34"/>
  <c r="AE20" i="34"/>
  <c r="F20" i="34"/>
  <c r="K56" i="16"/>
  <c r="L56" i="16"/>
  <c r="AK20" i="34"/>
  <c r="AM20" i="34" s="1"/>
  <c r="AL20" i="34"/>
  <c r="AN20" i="34"/>
  <c r="AO20" i="34"/>
  <c r="AQ20" i="34"/>
  <c r="AR20" i="34" s="1"/>
  <c r="W56" i="16"/>
  <c r="X56" i="16"/>
  <c r="Y56" i="16"/>
  <c r="Z56" i="16"/>
  <c r="X21" i="34"/>
  <c r="Y21" i="34" s="1"/>
  <c r="P20" i="34"/>
  <c r="Q20" i="34"/>
  <c r="R20" i="34"/>
  <c r="AP20" i="34"/>
  <c r="AS20" i="34"/>
  <c r="C20" i="34" l="1"/>
  <c r="C68" i="34" s="1"/>
  <c r="D68" i="34" s="1"/>
  <c r="S20" i="34"/>
  <c r="AA21" i="34"/>
  <c r="B21" i="34" s="1"/>
  <c r="B69" i="34" s="1"/>
  <c r="Z21" i="34"/>
  <c r="AE21" i="34" s="1"/>
  <c r="AH21" i="34"/>
  <c r="AG21" i="34"/>
  <c r="D21" i="34" l="1"/>
  <c r="D69" i="34" s="1"/>
  <c r="AF21" i="34"/>
  <c r="C21" i="34" s="1"/>
  <c r="C69" i="34" s="1"/>
  <c r="F21" i="34"/>
  <c r="F69" i="34" s="1"/>
  <c r="K57" i="16"/>
  <c r="L57" i="16"/>
  <c r="AK21" i="34"/>
  <c r="AM21" i="34" s="1"/>
  <c r="AL21" i="34"/>
  <c r="AN21" i="34"/>
  <c r="AO21" i="34"/>
  <c r="AQ21" i="34"/>
  <c r="AR21" i="34" s="1"/>
  <c r="W57" i="16"/>
  <c r="X57" i="16"/>
  <c r="Y57" i="16"/>
  <c r="Z57" i="16"/>
  <c r="X22" i="34"/>
  <c r="Y22" i="34" s="1"/>
  <c r="R21" i="34"/>
  <c r="P21" i="34"/>
  <c r="AP21" i="34"/>
  <c r="Q21" i="34"/>
  <c r="AS21" i="34"/>
  <c r="S21" i="34" l="1"/>
  <c r="AA22" i="34"/>
  <c r="B22" i="34" s="1"/>
  <c r="B70" i="34" s="1"/>
  <c r="AF22" i="34"/>
  <c r="AE22" i="34"/>
  <c r="AH22" i="34"/>
  <c r="AG22" i="34"/>
  <c r="D22" i="34" l="1"/>
  <c r="C22" i="34"/>
  <c r="C70" i="34" s="1"/>
  <c r="F22" i="34"/>
  <c r="F70" i="34" s="1"/>
  <c r="K58" i="16"/>
  <c r="L58" i="16"/>
  <c r="AK22" i="34"/>
  <c r="AM22" i="34" s="1"/>
  <c r="AL22" i="34"/>
  <c r="AN22" i="34"/>
  <c r="AO22" i="34"/>
  <c r="W58" i="16"/>
  <c r="X58" i="16"/>
  <c r="Y58" i="16"/>
  <c r="Z58" i="16"/>
  <c r="X23" i="34"/>
  <c r="Y23" i="34" s="1"/>
  <c r="AP22" i="34"/>
  <c r="P22" i="34"/>
  <c r="R22" i="34"/>
  <c r="Q22" i="34"/>
  <c r="AS22" i="34"/>
  <c r="D70" i="34" l="1"/>
  <c r="R70" i="34"/>
  <c r="AA23" i="34"/>
  <c r="B23" i="34" s="1"/>
  <c r="B71" i="34" s="1"/>
  <c r="AG23" i="34"/>
  <c r="AH23" i="34"/>
  <c r="D23" i="34" l="1"/>
  <c r="F23" i="34"/>
  <c r="F71" i="34" s="1"/>
  <c r="K59" i="16"/>
  <c r="L59" i="16"/>
  <c r="AK23" i="34"/>
  <c r="AM23" i="34" s="1"/>
  <c r="AL23" i="34"/>
  <c r="AN23" i="34"/>
  <c r="AO23" i="34"/>
  <c r="W59" i="16"/>
  <c r="X59" i="16"/>
  <c r="Y59" i="16"/>
  <c r="Z59" i="16"/>
  <c r="X24" i="34"/>
  <c r="Y24" i="34" s="1"/>
  <c r="Q23" i="34"/>
  <c r="R23" i="34"/>
  <c r="P23" i="34"/>
  <c r="AP23" i="34"/>
  <c r="AS23" i="34"/>
  <c r="P71" i="34" l="1"/>
  <c r="R71" i="34"/>
  <c r="Q71" i="34"/>
  <c r="AA24" i="34"/>
  <c r="B24" i="34" s="1"/>
  <c r="B72" i="34" s="1"/>
  <c r="AG24" i="34"/>
  <c r="AH24" i="34"/>
  <c r="D24" i="34" l="1"/>
  <c r="F24" i="34"/>
  <c r="F72" i="34" s="1"/>
  <c r="K60" i="16"/>
  <c r="L60" i="16"/>
  <c r="AK24" i="34"/>
  <c r="AM24" i="34" s="1"/>
  <c r="AL24" i="34"/>
  <c r="AN24" i="34"/>
  <c r="AO24" i="34"/>
  <c r="W60" i="16"/>
  <c r="X60" i="16"/>
  <c r="Y60" i="16"/>
  <c r="Z60" i="16"/>
  <c r="X25" i="34"/>
  <c r="Y25" i="34" s="1"/>
  <c r="AP24" i="34"/>
  <c r="Q24" i="34"/>
  <c r="P24" i="34"/>
  <c r="R24" i="34"/>
  <c r="AS24" i="34"/>
  <c r="R72" i="34" l="1"/>
  <c r="Q72" i="34"/>
  <c r="P72" i="34"/>
  <c r="AA25" i="34"/>
  <c r="B25" i="34" s="1"/>
  <c r="B73" i="34" s="1"/>
  <c r="AH25" i="34"/>
  <c r="AG25" i="34"/>
  <c r="D25" i="34" l="1"/>
  <c r="F25" i="34"/>
  <c r="F73" i="34" s="1"/>
  <c r="K61" i="16"/>
  <c r="L61" i="16"/>
  <c r="AK25" i="34"/>
  <c r="AM25" i="34" s="1"/>
  <c r="AL25" i="34"/>
  <c r="AN25" i="34"/>
  <c r="AO25" i="34"/>
  <c r="W61" i="16"/>
  <c r="X61" i="16"/>
  <c r="Y61" i="16"/>
  <c r="Z61" i="16"/>
  <c r="X26" i="34"/>
  <c r="Y26" i="34" s="1"/>
  <c r="P25" i="34"/>
  <c r="R25" i="34"/>
  <c r="Q25" i="34"/>
  <c r="AP25" i="34"/>
  <c r="AS25" i="34"/>
  <c r="P73" i="34" l="1"/>
  <c r="R73" i="34"/>
  <c r="Q73" i="34"/>
  <c r="AA26" i="34"/>
  <c r="B26" i="34" s="1"/>
  <c r="B74" i="34" s="1"/>
  <c r="AF26" i="34"/>
  <c r="AE26" i="34"/>
  <c r="AG26" i="34"/>
  <c r="AH26" i="34"/>
  <c r="D26" i="34" l="1"/>
  <c r="C26" i="34"/>
  <c r="C74" i="34" s="1"/>
  <c r="F26" i="34"/>
  <c r="K62" i="16"/>
  <c r="L62" i="16"/>
  <c r="AK26" i="34"/>
  <c r="AM26" i="34" s="1"/>
  <c r="AL26" i="34"/>
  <c r="AN26" i="34"/>
  <c r="AO26" i="34"/>
  <c r="AQ26" i="34"/>
  <c r="AR26" i="34" s="1"/>
  <c r="W62" i="16"/>
  <c r="X62" i="16"/>
  <c r="Y62" i="16"/>
  <c r="Z62" i="16"/>
  <c r="X27" i="34"/>
  <c r="Y27" i="34" s="1"/>
  <c r="AP26" i="34"/>
  <c r="P26" i="34"/>
  <c r="R26" i="34"/>
  <c r="Q26" i="34"/>
  <c r="AS26" i="34"/>
  <c r="D74" i="34" l="1"/>
  <c r="R74" i="34"/>
  <c r="Q74" i="34"/>
  <c r="P74" i="34"/>
  <c r="S26" i="34"/>
  <c r="S74" i="34" s="1"/>
  <c r="AA27" i="34"/>
  <c r="B27" i="34" s="1"/>
  <c r="B75" i="34" s="1"/>
  <c r="K63" i="16"/>
  <c r="L63" i="16"/>
  <c r="AK27" i="34"/>
  <c r="AM27" i="34" s="1"/>
  <c r="AL27" i="34"/>
  <c r="AN27" i="34"/>
  <c r="AO27" i="34"/>
  <c r="AQ27" i="34"/>
  <c r="AR27" i="34" s="1"/>
  <c r="W63" i="16"/>
  <c r="X63" i="16"/>
  <c r="Y63" i="16"/>
  <c r="Z63" i="16"/>
  <c r="X28" i="34"/>
  <c r="Y28" i="34" s="1"/>
  <c r="Q27" i="34"/>
  <c r="R27" i="34"/>
  <c r="AP27" i="34"/>
  <c r="AH27" i="34"/>
  <c r="P27" i="34"/>
  <c r="AG27" i="34"/>
  <c r="AS27" i="34"/>
  <c r="F27" i="34" l="1"/>
  <c r="F75" i="34" s="1"/>
  <c r="D27" i="34"/>
  <c r="R75" i="34"/>
  <c r="Q75" i="34"/>
  <c r="P75" i="34"/>
  <c r="S27" i="34"/>
  <c r="S75" i="34" s="1"/>
  <c r="AA28" i="34"/>
  <c r="B28" i="34" s="1"/>
  <c r="B76" i="34" s="1"/>
  <c r="AH28" i="34"/>
  <c r="AG28" i="34"/>
  <c r="D28" i="34" l="1"/>
  <c r="F28" i="34"/>
  <c r="K64" i="16"/>
  <c r="L64" i="16"/>
  <c r="AK28" i="34"/>
  <c r="AM28" i="34" s="1"/>
  <c r="AL28" i="34"/>
  <c r="AN28" i="34"/>
  <c r="AO28" i="34"/>
  <c r="AQ28" i="34"/>
  <c r="AR28" i="34" s="1"/>
  <c r="W64" i="16"/>
  <c r="X64" i="16"/>
  <c r="Y64" i="16"/>
  <c r="Z64" i="16"/>
  <c r="X29" i="34"/>
  <c r="Y29" i="34" s="1"/>
  <c r="R28" i="34"/>
  <c r="P28" i="34"/>
  <c r="Q28" i="34"/>
  <c r="AP28" i="34"/>
  <c r="AS28" i="34"/>
  <c r="Q76" i="34" l="1"/>
  <c r="R76" i="34"/>
  <c r="P76" i="34"/>
  <c r="S28" i="34"/>
  <c r="S76" i="34" s="1"/>
  <c r="AA29" i="34"/>
  <c r="B29" i="34" s="1"/>
  <c r="B77" i="34" s="1"/>
  <c r="AH29" i="34"/>
  <c r="AG29" i="34"/>
  <c r="D29" i="34" l="1"/>
  <c r="F29" i="34"/>
  <c r="K65" i="16"/>
  <c r="L65" i="16"/>
  <c r="AK29" i="34"/>
  <c r="AM29" i="34" s="1"/>
  <c r="AL29" i="34"/>
  <c r="AN29" i="34"/>
  <c r="AO29" i="34"/>
  <c r="AQ29" i="34"/>
  <c r="AR29" i="34" s="1"/>
  <c r="W65" i="16"/>
  <c r="X65" i="16"/>
  <c r="Y65" i="16"/>
  <c r="Z65" i="16"/>
  <c r="X30" i="34"/>
  <c r="Y30" i="34" s="1"/>
  <c r="AP29" i="34"/>
  <c r="Q29" i="34"/>
  <c r="R29" i="34"/>
  <c r="P29" i="34"/>
  <c r="AS29" i="34"/>
  <c r="R77" i="34" l="1"/>
  <c r="Q77" i="34"/>
  <c r="P77" i="34"/>
  <c r="S29" i="34"/>
  <c r="S77" i="34" s="1"/>
  <c r="AA30" i="34"/>
  <c r="B30" i="34" s="1"/>
  <c r="B78" i="34" s="1"/>
  <c r="AF30" i="34"/>
  <c r="AE30" i="34"/>
  <c r="K66" i="16"/>
  <c r="L66" i="16"/>
  <c r="AK30" i="34"/>
  <c r="AM30" i="34" s="1"/>
  <c r="AL30" i="34"/>
  <c r="AN30" i="34"/>
  <c r="AO30" i="34"/>
  <c r="AQ30" i="34"/>
  <c r="AR30" i="34" s="1"/>
  <c r="W66" i="16"/>
  <c r="X66" i="16"/>
  <c r="Y66" i="16"/>
  <c r="Z66" i="16"/>
  <c r="X31" i="34"/>
  <c r="Y31" i="34" s="1"/>
  <c r="Q30" i="34"/>
  <c r="P30" i="34"/>
  <c r="AP30" i="34"/>
  <c r="AH30" i="34"/>
  <c r="AG30" i="34"/>
  <c r="R30" i="34"/>
  <c r="AS30" i="34"/>
  <c r="C30" i="34" l="1"/>
  <c r="C78" i="34" s="1"/>
  <c r="P78" i="34"/>
  <c r="F30" i="34"/>
  <c r="F78" i="34" s="1"/>
  <c r="R78" i="34"/>
  <c r="Q78" i="34"/>
  <c r="D30" i="34"/>
  <c r="D78" i="34" s="1"/>
  <c r="S30" i="34"/>
  <c r="S78" i="34" s="1"/>
  <c r="AA31" i="34"/>
  <c r="B31" i="34" s="1"/>
  <c r="B79" i="34" s="1"/>
  <c r="AG31" i="34"/>
  <c r="AH31" i="34"/>
  <c r="D31" i="34" l="1"/>
  <c r="F31" i="34"/>
  <c r="F79" i="34" s="1"/>
  <c r="K67" i="16"/>
  <c r="L67" i="16"/>
  <c r="AK31" i="34"/>
  <c r="AM31" i="34" s="1"/>
  <c r="AL31" i="34"/>
  <c r="AN31" i="34"/>
  <c r="AO31" i="34"/>
  <c r="AQ31" i="34"/>
  <c r="AR31" i="34" s="1"/>
  <c r="W67" i="16"/>
  <c r="X67" i="16"/>
  <c r="Y67" i="16"/>
  <c r="Z67" i="16"/>
  <c r="X32" i="34"/>
  <c r="Y32" i="34" s="1"/>
  <c r="Q31" i="34"/>
  <c r="AP31" i="34"/>
  <c r="R31" i="34"/>
  <c r="P31" i="34"/>
  <c r="AS31" i="34"/>
  <c r="R79" i="34" l="1"/>
  <c r="Q79" i="34"/>
  <c r="P79" i="34"/>
  <c r="S31" i="34"/>
  <c r="S79" i="34" s="1"/>
  <c r="AA32" i="34"/>
  <c r="B32" i="34" s="1"/>
  <c r="B80" i="34" s="1"/>
  <c r="AG32" i="34"/>
  <c r="AH32" i="34"/>
  <c r="D32" i="34" l="1"/>
  <c r="D80" i="34" s="1"/>
  <c r="F32" i="34"/>
  <c r="F80" i="34" s="1"/>
  <c r="K68" i="16"/>
  <c r="L68" i="16"/>
  <c r="AK32" i="34"/>
  <c r="AM32" i="34" s="1"/>
  <c r="AL32" i="34"/>
  <c r="AN32" i="34"/>
  <c r="AO32" i="34"/>
  <c r="AQ32" i="34"/>
  <c r="AR32" i="34" s="1"/>
  <c r="W68" i="16"/>
  <c r="X68" i="16"/>
  <c r="Y68" i="16"/>
  <c r="Z68" i="16"/>
  <c r="X33" i="34"/>
  <c r="Y33" i="34" s="1"/>
  <c r="AP32" i="34"/>
  <c r="Q32" i="34"/>
  <c r="P32" i="34"/>
  <c r="R32" i="34"/>
  <c r="AS32" i="34"/>
  <c r="P80" i="34" l="1"/>
  <c r="R80" i="34"/>
  <c r="Q80" i="34"/>
  <c r="S32" i="34"/>
  <c r="S80" i="34" s="1"/>
  <c r="AA33" i="34"/>
  <c r="B33" i="34" s="1"/>
  <c r="B81" i="34" s="1"/>
  <c r="K69" i="16"/>
  <c r="L69" i="16"/>
  <c r="AK33" i="34"/>
  <c r="AM33" i="34" s="1"/>
  <c r="AL33" i="34"/>
  <c r="AN33" i="34"/>
  <c r="AO33" i="34"/>
  <c r="AQ33" i="34"/>
  <c r="AR33" i="34" s="1"/>
  <c r="W69" i="16"/>
  <c r="X69" i="16"/>
  <c r="Y69" i="16"/>
  <c r="Z69" i="16"/>
  <c r="X34" i="34"/>
  <c r="Y34" i="34" s="1"/>
  <c r="AG33" i="34"/>
  <c r="P33" i="34"/>
  <c r="R33" i="34"/>
  <c r="AP33" i="34"/>
  <c r="AH33" i="34"/>
  <c r="Q33" i="34"/>
  <c r="AS33" i="34"/>
  <c r="F33" i="34" l="1"/>
  <c r="R81" i="34"/>
  <c r="Q81" i="34"/>
  <c r="D33" i="34"/>
  <c r="S33" i="34"/>
  <c r="S81" i="34" s="1"/>
  <c r="AA34" i="34"/>
  <c r="B34" i="34" s="1"/>
  <c r="B82" i="34" s="1"/>
  <c r="Z34" i="34"/>
  <c r="AB34" i="34" s="1"/>
  <c r="AH34" i="34"/>
  <c r="AG34" i="34"/>
  <c r="D34" i="34" l="1"/>
  <c r="AF34" i="34"/>
  <c r="AE34" i="34"/>
  <c r="F34" i="34"/>
  <c r="K70" i="16"/>
  <c r="L70" i="16"/>
  <c r="AK34" i="34"/>
  <c r="AM34" i="34" s="1"/>
  <c r="AL34" i="34"/>
  <c r="AN34" i="34"/>
  <c r="AO34" i="34"/>
  <c r="AQ34" i="34"/>
  <c r="AR34" i="34" s="1"/>
  <c r="W70" i="16"/>
  <c r="X70" i="16"/>
  <c r="Y70" i="16"/>
  <c r="Z70" i="16"/>
  <c r="X35" i="34"/>
  <c r="Y35" i="34" s="1"/>
  <c r="Q34" i="34"/>
  <c r="R34" i="34"/>
  <c r="AP34" i="34"/>
  <c r="P34" i="34"/>
  <c r="AS34" i="34"/>
  <c r="C34" i="34" l="1"/>
  <c r="C82" i="34" s="1"/>
  <c r="D82" i="34" s="1"/>
  <c r="Q82" i="34"/>
  <c r="R82" i="34"/>
  <c r="P82" i="34"/>
  <c r="S34" i="34"/>
  <c r="S82" i="34" s="1"/>
  <c r="AA35" i="34"/>
  <c r="B35" i="34" s="1"/>
  <c r="B83" i="34" s="1"/>
  <c r="Z35" i="34"/>
  <c r="AE35" i="34" s="1"/>
  <c r="AH35" i="34"/>
  <c r="AG35" i="34"/>
  <c r="D35" i="34" l="1"/>
  <c r="AF35" i="34"/>
  <c r="C35" i="34" s="1"/>
  <c r="C83" i="34" s="1"/>
  <c r="F35" i="34"/>
  <c r="F83" i="34" s="1"/>
  <c r="K71" i="16"/>
  <c r="L71" i="16"/>
  <c r="AK35" i="34"/>
  <c r="AM35" i="34" s="1"/>
  <c r="AL35" i="34"/>
  <c r="AN35" i="34"/>
  <c r="AO35" i="34"/>
  <c r="AQ35" i="34"/>
  <c r="AR35" i="34" s="1"/>
  <c r="W71" i="16"/>
  <c r="X71" i="16"/>
  <c r="Y71" i="16"/>
  <c r="Z71" i="16"/>
  <c r="X36" i="34"/>
  <c r="Y36" i="34" s="1"/>
  <c r="R35" i="34"/>
  <c r="P35" i="34"/>
  <c r="AP35" i="34"/>
  <c r="Q35" i="34"/>
  <c r="AS35" i="34"/>
  <c r="D83" i="34" l="1"/>
  <c r="P83" i="34"/>
  <c r="R83" i="34"/>
  <c r="Q83" i="34"/>
  <c r="S35" i="34"/>
  <c r="S83" i="34" s="1"/>
  <c r="AA36" i="34"/>
  <c r="B36" i="34" s="1"/>
  <c r="B84" i="34" s="1"/>
  <c r="AH36" i="34"/>
  <c r="AG36" i="34"/>
  <c r="D36" i="34" l="1"/>
  <c r="D84" i="34" s="1"/>
  <c r="F36" i="34"/>
  <c r="F84" i="34" s="1"/>
  <c r="K72" i="16"/>
  <c r="L72" i="16"/>
  <c r="AK36" i="34"/>
  <c r="AM36" i="34" s="1"/>
  <c r="AL36" i="34"/>
  <c r="AN36" i="34"/>
  <c r="AO36" i="34"/>
  <c r="AQ36" i="34"/>
  <c r="AR36" i="34" s="1"/>
  <c r="W72" i="16"/>
  <c r="X72" i="16"/>
  <c r="Y72" i="16"/>
  <c r="Z72" i="16"/>
  <c r="X37" i="34"/>
  <c r="Y37" i="34" s="1"/>
  <c r="P36" i="34"/>
  <c r="Q36" i="34"/>
  <c r="AP36" i="34"/>
  <c r="R36" i="34"/>
  <c r="AS36" i="34"/>
  <c r="R84" i="34" l="1"/>
  <c r="Q84" i="34"/>
  <c r="S36" i="34"/>
  <c r="S84" i="34" s="1"/>
  <c r="AF37" i="34"/>
  <c r="AA37" i="34"/>
  <c r="B37" i="34" s="1"/>
  <c r="B85" i="34" s="1"/>
  <c r="AE37" i="34"/>
  <c r="AH37" i="34"/>
  <c r="AG37" i="34"/>
  <c r="D37" i="34" l="1"/>
  <c r="D85" i="34" s="1"/>
  <c r="C37" i="34"/>
  <c r="C85" i="34" s="1"/>
  <c r="F37" i="34"/>
  <c r="F85" i="34" s="1"/>
  <c r="K73" i="16"/>
  <c r="L73" i="16"/>
  <c r="AK37" i="34"/>
  <c r="AM37" i="34" s="1"/>
  <c r="AL37" i="34"/>
  <c r="AN37" i="34"/>
  <c r="AO37" i="34"/>
  <c r="AQ37" i="34"/>
  <c r="AR37" i="34" s="1"/>
  <c r="W73" i="16"/>
  <c r="X73" i="16"/>
  <c r="Y73" i="16"/>
  <c r="Z73" i="16"/>
  <c r="X38" i="34"/>
  <c r="Y38" i="34" s="1"/>
  <c r="AP37" i="34"/>
  <c r="P37" i="34"/>
  <c r="Q37" i="34"/>
  <c r="R37" i="34"/>
  <c r="AS37" i="34"/>
  <c r="R85" i="34" l="1"/>
  <c r="Q85" i="34"/>
  <c r="P85" i="34"/>
  <c r="S37" i="34"/>
  <c r="S85" i="34" s="1"/>
  <c r="AA38" i="34"/>
  <c r="B38" i="34" s="1"/>
  <c r="B86" i="34" s="1"/>
  <c r="AF38" i="34"/>
  <c r="AE38" i="34"/>
  <c r="AH38" i="34"/>
  <c r="AG38" i="34"/>
  <c r="D38" i="34" l="1"/>
  <c r="C38" i="34"/>
  <c r="C86" i="34" s="1"/>
  <c r="F38" i="34"/>
  <c r="K74" i="16"/>
  <c r="L74" i="16"/>
  <c r="AK38" i="34"/>
  <c r="AM38" i="34" s="1"/>
  <c r="AL38" i="34"/>
  <c r="AN38" i="34"/>
  <c r="AO38" i="34"/>
  <c r="AQ38" i="34"/>
  <c r="AR38" i="34" s="1"/>
  <c r="W74" i="16"/>
  <c r="X74" i="16"/>
  <c r="Y74" i="16"/>
  <c r="Z74" i="16"/>
  <c r="X39" i="34"/>
  <c r="Y39" i="34" s="1"/>
  <c r="Q38" i="34"/>
  <c r="P38" i="34"/>
  <c r="R38" i="34"/>
  <c r="AP38" i="34"/>
  <c r="AS38" i="34"/>
  <c r="D86" i="34" l="1"/>
  <c r="R86" i="34"/>
  <c r="Q86" i="34"/>
  <c r="S38" i="34"/>
  <c r="S86" i="34" s="1"/>
  <c r="AA39" i="34"/>
  <c r="B39" i="34" s="1"/>
  <c r="B87" i="34" s="1"/>
  <c r="AH39" i="34"/>
  <c r="AG39" i="34"/>
  <c r="D39" i="34" l="1"/>
  <c r="D87" i="34" s="1"/>
  <c r="F39" i="34"/>
  <c r="F87" i="34" s="1"/>
  <c r="K75" i="16"/>
  <c r="L75" i="16"/>
  <c r="AK39" i="34"/>
  <c r="AM39" i="34" s="1"/>
  <c r="AL39" i="34"/>
  <c r="AN39" i="34"/>
  <c r="AO39" i="34"/>
  <c r="AQ39" i="34"/>
  <c r="AR39" i="34" s="1"/>
  <c r="W75" i="16"/>
  <c r="X75" i="16"/>
  <c r="Y75" i="16"/>
  <c r="Z75" i="16"/>
  <c r="X40" i="34"/>
  <c r="Y40" i="34" s="1"/>
  <c r="P39" i="34"/>
  <c r="Q39" i="34"/>
  <c r="R39" i="34"/>
  <c r="AP39" i="34"/>
  <c r="AS39" i="34"/>
  <c r="R87" i="34" l="1"/>
  <c r="Q87" i="34"/>
  <c r="P87" i="34"/>
  <c r="S39" i="34"/>
  <c r="S87" i="34" s="1"/>
  <c r="AF40" i="34"/>
  <c r="AA40" i="34"/>
  <c r="B40" i="34" s="1"/>
  <c r="B88" i="34" s="1"/>
  <c r="AE40" i="34"/>
  <c r="AH40" i="34"/>
  <c r="AG40" i="34"/>
  <c r="D40" i="34" l="1"/>
  <c r="C40" i="34"/>
  <c r="C88" i="34" s="1"/>
  <c r="F40" i="34"/>
  <c r="F88" i="34" s="1"/>
  <c r="K76" i="16"/>
  <c r="L76" i="16"/>
  <c r="AK40" i="34"/>
  <c r="AM40" i="34" s="1"/>
  <c r="AL40" i="34"/>
  <c r="AN40" i="34"/>
  <c r="AO40" i="34"/>
  <c r="AQ40" i="34"/>
  <c r="AR40" i="34" s="1"/>
  <c r="W76" i="16"/>
  <c r="X76" i="16"/>
  <c r="Y76" i="16"/>
  <c r="Z76" i="16"/>
  <c r="X41" i="34"/>
  <c r="Y41" i="34" s="1"/>
  <c r="P40" i="34"/>
  <c r="Q40" i="34"/>
  <c r="R40" i="34"/>
  <c r="AP40" i="34"/>
  <c r="AS40" i="34"/>
  <c r="D88" i="34" l="1"/>
  <c r="R88" i="34"/>
  <c r="Q88" i="34"/>
  <c r="P88" i="34"/>
  <c r="S40" i="34"/>
  <c r="S88" i="34" s="1"/>
  <c r="AA41" i="34"/>
  <c r="B41" i="34" s="1"/>
  <c r="B89" i="34" s="1"/>
  <c r="AH41" i="34"/>
  <c r="AG41" i="34"/>
  <c r="D41" i="34" l="1"/>
  <c r="F41" i="34"/>
  <c r="K77" i="16"/>
  <c r="L77" i="16"/>
  <c r="AK41" i="34"/>
  <c r="AM41" i="34" s="1"/>
  <c r="AL41" i="34"/>
  <c r="AN41" i="34"/>
  <c r="AO41" i="34"/>
  <c r="AQ41" i="34"/>
  <c r="AR41" i="34" s="1"/>
  <c r="W77" i="16"/>
  <c r="X77" i="16"/>
  <c r="Y77" i="16"/>
  <c r="Z77" i="16"/>
  <c r="X42" i="34"/>
  <c r="Y42" i="34" s="1"/>
  <c r="R41" i="34"/>
  <c r="AP41" i="34"/>
  <c r="Q41" i="34"/>
  <c r="P41" i="34"/>
  <c r="AS41" i="34"/>
  <c r="R89" i="34" l="1"/>
  <c r="Q89" i="34"/>
  <c r="S41" i="34"/>
  <c r="S89" i="34" s="1"/>
  <c r="AA42" i="34"/>
  <c r="B42" i="34" s="1"/>
  <c r="B90" i="34" s="1"/>
  <c r="AG42" i="34"/>
  <c r="AH42" i="34"/>
  <c r="D42" i="34" l="1"/>
  <c r="F42" i="34"/>
  <c r="K78" i="16"/>
  <c r="L78" i="16"/>
  <c r="AK42" i="34"/>
  <c r="AM42" i="34" s="1"/>
  <c r="AL42" i="34"/>
  <c r="AN42" i="34"/>
  <c r="AO42" i="34"/>
  <c r="AQ42" i="34"/>
  <c r="AR42" i="34" s="1"/>
  <c r="W78" i="16"/>
  <c r="X78" i="16"/>
  <c r="Y78" i="16"/>
  <c r="Z78" i="16"/>
  <c r="X43" i="34"/>
  <c r="Y43" i="34" s="1"/>
  <c r="R42" i="34"/>
  <c r="Q42" i="34"/>
  <c r="AP42" i="34"/>
  <c r="P42" i="34"/>
  <c r="AS42" i="34"/>
  <c r="R90" i="34" l="1"/>
  <c r="Q90" i="34"/>
  <c r="S42" i="34"/>
  <c r="S90" i="34" s="1"/>
  <c r="AA43" i="34"/>
  <c r="B43" i="34" s="1"/>
  <c r="B91" i="34" s="1"/>
  <c r="AH43" i="34"/>
  <c r="AG43" i="34"/>
  <c r="D43" i="34" l="1"/>
  <c r="F43" i="34"/>
  <c r="F91" i="34" s="1"/>
  <c r="K79" i="16"/>
  <c r="L79" i="16"/>
  <c r="AK43" i="34"/>
  <c r="AM43" i="34" s="1"/>
  <c r="AL43" i="34"/>
  <c r="AN43" i="34"/>
  <c r="AO43" i="34"/>
  <c r="AQ43" i="34"/>
  <c r="AR43" i="34" s="1"/>
  <c r="W79" i="16"/>
  <c r="X79" i="16"/>
  <c r="Y79" i="16"/>
  <c r="Z79" i="16"/>
  <c r="X44" i="34"/>
  <c r="Y44" i="34" s="1"/>
  <c r="P43" i="34"/>
  <c r="Q43" i="34"/>
  <c r="AP43" i="34"/>
  <c r="R43" i="34"/>
  <c r="AS43" i="34"/>
  <c r="R91" i="34" l="1"/>
  <c r="S43" i="34"/>
  <c r="S91" i="34" s="1"/>
  <c r="AA44" i="34"/>
  <c r="B44" i="34" s="1"/>
  <c r="B92" i="34" s="1"/>
  <c r="AH44" i="34"/>
  <c r="AG44" i="34"/>
  <c r="D44" i="34" l="1"/>
  <c r="D92" i="34" s="1"/>
  <c r="F44" i="34"/>
  <c r="F92" i="34" s="1"/>
  <c r="K80" i="16"/>
  <c r="L80" i="16"/>
  <c r="AK44" i="34"/>
  <c r="AM44" i="34" s="1"/>
  <c r="AL44" i="34"/>
  <c r="AN44" i="34"/>
  <c r="AO44" i="34"/>
  <c r="AQ44" i="34"/>
  <c r="AR44" i="34" s="1"/>
  <c r="W80" i="16"/>
  <c r="X80" i="16"/>
  <c r="Y80" i="16"/>
  <c r="Z80" i="16"/>
  <c r="X45" i="34"/>
  <c r="Y45" i="34" s="1"/>
  <c r="R44" i="34"/>
  <c r="Q44" i="34"/>
  <c r="P44" i="34"/>
  <c r="AP44" i="34"/>
  <c r="AS44" i="34"/>
  <c r="R92" i="34" l="1"/>
  <c r="Q92" i="34"/>
  <c r="P92" i="34"/>
  <c r="S44" i="34"/>
  <c r="S92" i="34" s="1"/>
  <c r="AF45" i="34"/>
  <c r="AA45" i="34"/>
  <c r="B45" i="34" s="1"/>
  <c r="B93" i="34" s="1"/>
  <c r="AE45" i="34"/>
  <c r="AG45" i="34"/>
  <c r="AH45" i="34"/>
  <c r="D45" i="34" l="1"/>
  <c r="C45" i="34"/>
  <c r="C93" i="34" s="1"/>
  <c r="F45" i="34"/>
  <c r="K81" i="16"/>
  <c r="L81" i="16"/>
  <c r="AK45" i="34"/>
  <c r="AM45" i="34" s="1"/>
  <c r="AL45" i="34"/>
  <c r="AN45" i="34"/>
  <c r="AO45" i="34"/>
  <c r="AQ45" i="34"/>
  <c r="AR45" i="34" s="1"/>
  <c r="W81" i="16"/>
  <c r="X81" i="16"/>
  <c r="Y81" i="16"/>
  <c r="Z81" i="16"/>
  <c r="X8" i="23"/>
  <c r="W2" i="23" s="1"/>
  <c r="W5" i="23" s="1"/>
  <c r="W6" i="23" s="1"/>
  <c r="D66" i="13"/>
  <c r="E68" i="13"/>
  <c r="S68" i="13" s="1"/>
  <c r="D70" i="13"/>
  <c r="E143" i="13"/>
  <c r="S143" i="13" s="1"/>
  <c r="D145" i="13"/>
  <c r="D148" i="13"/>
  <c r="D153" i="13"/>
  <c r="C153" i="13" s="1"/>
  <c r="D137" i="13"/>
  <c r="C137" i="13" s="1"/>
  <c r="D75" i="13"/>
  <c r="C75" i="13" s="1"/>
  <c r="D106" i="13"/>
  <c r="C106" i="13" s="1"/>
  <c r="AG21" i="12"/>
  <c r="C27" i="12" s="1"/>
  <c r="D27" i="12" s="1"/>
  <c r="E27" i="12" s="1"/>
  <c r="X3" i="18"/>
  <c r="X4" i="18" s="1"/>
  <c r="Y4" i="18" s="1"/>
  <c r="Q45" i="34"/>
  <c r="AP45" i="34"/>
  <c r="P45" i="34"/>
  <c r="R45" i="34"/>
  <c r="AS45" i="34"/>
  <c r="D93" i="34" l="1"/>
  <c r="R93" i="34"/>
  <c r="Q93" i="34"/>
  <c r="S45" i="34"/>
  <c r="S93" i="34" s="1"/>
  <c r="AA4" i="18"/>
  <c r="B4" i="18" s="1"/>
  <c r="B17" i="18" s="1"/>
  <c r="Z4" i="18"/>
  <c r="AB4" i="18" s="1"/>
  <c r="AH4" i="18"/>
  <c r="AG4" i="18"/>
  <c r="D4" i="18" l="1"/>
  <c r="AF4" i="18"/>
  <c r="AE4" i="18"/>
  <c r="F4" i="18"/>
  <c r="Y3" i="18"/>
  <c r="AK4" i="18"/>
  <c r="AM4" i="18" s="1"/>
  <c r="AL4" i="18"/>
  <c r="AN4" i="18"/>
  <c r="AO4" i="18"/>
  <c r="AQ4" i="18"/>
  <c r="AR4" i="18" s="1"/>
  <c r="X5" i="18"/>
  <c r="X6" i="18" s="1"/>
  <c r="X7" i="18" s="1"/>
  <c r="D150" i="13"/>
  <c r="C150" i="13" s="1"/>
  <c r="D136" i="13"/>
  <c r="C136" i="13" s="1"/>
  <c r="AY30" i="12"/>
  <c r="B64" i="13"/>
  <c r="Q64" i="13" s="1"/>
  <c r="D125" i="13"/>
  <c r="C125" i="13" s="1"/>
  <c r="D78" i="13"/>
  <c r="C78" i="13" s="1"/>
  <c r="D107" i="13"/>
  <c r="C107" i="13" s="1"/>
  <c r="AN40" i="12"/>
  <c r="AO40" i="12" s="1"/>
  <c r="K40" i="12" s="1"/>
  <c r="R4" i="18"/>
  <c r="AP4" i="18"/>
  <c r="Q4" i="18"/>
  <c r="P4" i="18"/>
  <c r="AG7" i="18"/>
  <c r="AS4" i="18"/>
  <c r="AS3" i="18"/>
  <c r="C4" i="18" l="1"/>
  <c r="C17" i="18" s="1"/>
  <c r="D17" i="18" s="1"/>
  <c r="R17" i="18"/>
  <c r="S4" i="18"/>
  <c r="X8" i="18"/>
  <c r="X9" i="18" s="1"/>
  <c r="Y7" i="18"/>
  <c r="D7" i="18"/>
  <c r="AH7" i="18"/>
  <c r="AA7" i="18" l="1"/>
  <c r="B7" i="18" s="1"/>
  <c r="B20" i="18" s="1"/>
  <c r="F7" i="18"/>
  <c r="Y6" i="18"/>
  <c r="AK7" i="18"/>
  <c r="AM7" i="18" s="1"/>
  <c r="AL7" i="18"/>
  <c r="AN7" i="18"/>
  <c r="AO7" i="18"/>
  <c r="P7" i="18"/>
  <c r="AP7" i="18"/>
  <c r="R7" i="18"/>
  <c r="Q7" i="18"/>
  <c r="AG6" i="18"/>
  <c r="AS6" i="18"/>
  <c r="AS7" i="18"/>
  <c r="AA6" i="18" l="1"/>
  <c r="B6" i="18" s="1"/>
  <c r="B19" i="18" s="1"/>
  <c r="D6" i="18"/>
  <c r="Y5" i="18"/>
  <c r="Z5" i="18" s="1"/>
  <c r="AF5" i="18" s="1"/>
  <c r="AK6" i="18"/>
  <c r="AM6" i="18" s="1"/>
  <c r="AL6" i="18"/>
  <c r="AN6" i="18"/>
  <c r="AO6" i="18"/>
  <c r="AQ6" i="18"/>
  <c r="AR6" i="18" s="1"/>
  <c r="H2" i="19"/>
  <c r="H3" i="19" s="1"/>
  <c r="R6" i="18"/>
  <c r="Q6" i="18"/>
  <c r="P6" i="18"/>
  <c r="AH6" i="18"/>
  <c r="AP6" i="18"/>
  <c r="AG5" i="18"/>
  <c r="AS5" i="18"/>
  <c r="AA5" i="18" l="1"/>
  <c r="B5" i="18" s="1"/>
  <c r="B18" i="18" s="1"/>
  <c r="H4" i="19"/>
  <c r="I3" i="19"/>
  <c r="AE5" i="18"/>
  <c r="C5" i="18" s="1"/>
  <c r="F6" i="18"/>
  <c r="S6" i="18"/>
  <c r="S19" i="18" s="1"/>
  <c r="D5" i="18"/>
  <c r="AK5" i="18"/>
  <c r="AM5" i="18" s="1"/>
  <c r="AL5" i="18"/>
  <c r="AN5" i="18"/>
  <c r="AO5" i="18"/>
  <c r="AQ5" i="18"/>
  <c r="AR5" i="18" s="1"/>
  <c r="D81" i="13"/>
  <c r="C81" i="13" s="1"/>
  <c r="B65" i="13"/>
  <c r="B66" i="13" s="1"/>
  <c r="B67" i="13" s="1"/>
  <c r="B68" i="13" s="1"/>
  <c r="Q68" i="13" s="1"/>
  <c r="D127" i="13"/>
  <c r="C127" i="13" s="1"/>
  <c r="D90" i="13"/>
  <c r="C90" i="13" s="1"/>
  <c r="X2" i="18"/>
  <c r="AP5" i="18"/>
  <c r="R5" i="18"/>
  <c r="P5" i="18"/>
  <c r="AH5" i="18"/>
  <c r="Q5" i="18"/>
  <c r="C18" i="18" l="1"/>
  <c r="D18" i="18" s="1"/>
  <c r="H5" i="19"/>
  <c r="I4" i="19"/>
  <c r="R18" i="18"/>
  <c r="F5" i="18"/>
  <c r="S5" i="18"/>
  <c r="Y2" i="18"/>
  <c r="D102" i="13"/>
  <c r="D87" i="13"/>
  <c r="C87" i="13" s="1"/>
  <c r="AG30" i="12"/>
  <c r="AA3" i="18"/>
  <c r="B3" i="18" s="1"/>
  <c r="B16" i="18" s="1"/>
  <c r="AG2" i="18"/>
  <c r="AG3" i="18"/>
  <c r="AH2" i="18"/>
  <c r="AS2" i="18"/>
  <c r="C102" i="13" l="1"/>
  <c r="D103" i="13"/>
  <c r="I5" i="19"/>
  <c r="H6" i="19"/>
  <c r="AA2" i="18"/>
  <c r="B2" i="18" s="1"/>
  <c r="B15" i="18" s="1"/>
  <c r="F2" i="18"/>
  <c r="D2" i="18"/>
  <c r="D3" i="18"/>
  <c r="AH3" i="18"/>
  <c r="C103" i="13" l="1"/>
  <c r="C101" i="13"/>
  <c r="D101" i="13" s="1"/>
  <c r="I6" i="19"/>
  <c r="H7" i="19"/>
  <c r="F3" i="18"/>
  <c r="AK3" i="18"/>
  <c r="AM3" i="18" s="1"/>
  <c r="AL3" i="18"/>
  <c r="AN3" i="18"/>
  <c r="AO3" i="18"/>
  <c r="Y8" i="18"/>
  <c r="Q3" i="18"/>
  <c r="R3" i="18"/>
  <c r="AP3" i="18"/>
  <c r="P3" i="18"/>
  <c r="AG8" i="18"/>
  <c r="H101" i="13" l="1"/>
  <c r="E101" i="13"/>
  <c r="S101" i="13" s="1"/>
  <c r="I7" i="19"/>
  <c r="H8" i="19"/>
  <c r="R16" i="18"/>
  <c r="AA8" i="18"/>
  <c r="B8" i="18" s="1"/>
  <c r="B21" i="18" s="1"/>
  <c r="D8" i="18"/>
  <c r="AK8" i="18"/>
  <c r="AM8" i="18" s="1"/>
  <c r="AL8" i="18"/>
  <c r="AN8" i="18"/>
  <c r="AO8" i="18"/>
  <c r="D76" i="13"/>
  <c r="C76" i="13" s="1"/>
  <c r="D114" i="13"/>
  <c r="C114" i="13" s="1"/>
  <c r="D94" i="13"/>
  <c r="C94" i="13" s="1"/>
  <c r="D83" i="13"/>
  <c r="C83" i="13" s="1"/>
  <c r="D67" i="13"/>
  <c r="C67" i="13" s="1"/>
  <c r="D18" i="12"/>
  <c r="Q8" i="18"/>
  <c r="R8" i="18"/>
  <c r="AH8" i="18"/>
  <c r="AP8" i="18"/>
  <c r="P8" i="18"/>
  <c r="AS8" i="18"/>
  <c r="AP352" i="16" l="1"/>
  <c r="AE352" i="16" s="1"/>
  <c r="AP320" i="16"/>
  <c r="M320" i="16" s="1"/>
  <c r="AP155" i="16"/>
  <c r="AE155" i="16" s="1"/>
  <c r="AP266" i="16"/>
  <c r="AE266" i="16" s="1"/>
  <c r="AP16" i="16"/>
  <c r="M16" i="16" s="1"/>
  <c r="AP48" i="16"/>
  <c r="AP130" i="16"/>
  <c r="AE130" i="16" s="1"/>
  <c r="AP134" i="16"/>
  <c r="AP145" i="16"/>
  <c r="AE145" i="16" s="1"/>
  <c r="AP154" i="16"/>
  <c r="AE154" i="16" s="1"/>
  <c r="AP174" i="16"/>
  <c r="AE174" i="16" s="1"/>
  <c r="AP176" i="16"/>
  <c r="AE176" i="16" s="1"/>
  <c r="AP182" i="16"/>
  <c r="AE182" i="16" s="1"/>
  <c r="AP212" i="16"/>
  <c r="AE212" i="16" s="1"/>
  <c r="AP222" i="16"/>
  <c r="AE222" i="16" s="1"/>
  <c r="AP322" i="16"/>
  <c r="AE322" i="16" s="1"/>
  <c r="AP330" i="16"/>
  <c r="AE330" i="16" s="1"/>
  <c r="AP333" i="16"/>
  <c r="AE333" i="16" s="1"/>
  <c r="AP339" i="16"/>
  <c r="AE339" i="16" s="1"/>
  <c r="AP403" i="16"/>
  <c r="M403" i="16" s="1"/>
  <c r="AP80" i="16"/>
  <c r="AP139" i="16"/>
  <c r="AE139" i="16" s="1"/>
  <c r="AP148" i="16"/>
  <c r="AE148" i="16" s="1"/>
  <c r="AP207" i="16"/>
  <c r="AE207" i="16" s="1"/>
  <c r="AP236" i="16"/>
  <c r="AE236" i="16" s="1"/>
  <c r="AP242" i="16"/>
  <c r="AP262" i="16"/>
  <c r="AE262" i="16" s="1"/>
  <c r="AP285" i="16"/>
  <c r="AE285" i="16" s="1"/>
  <c r="AP291" i="16"/>
  <c r="AE291" i="16" s="1"/>
  <c r="AP293" i="16"/>
  <c r="AE293" i="16" s="1"/>
  <c r="AP295" i="16"/>
  <c r="AE295" i="16" s="1"/>
  <c r="AP298" i="16"/>
  <c r="M298" i="16" s="1"/>
  <c r="AP343" i="16"/>
  <c r="AE343" i="16" s="1"/>
  <c r="AP347" i="16"/>
  <c r="AE347" i="16" s="1"/>
  <c r="AP102" i="16"/>
  <c r="M102" i="16" s="1"/>
  <c r="AP158" i="16"/>
  <c r="AE158" i="16" s="1"/>
  <c r="AP172" i="16"/>
  <c r="AE172" i="16" s="1"/>
  <c r="AP175" i="16"/>
  <c r="AE175" i="16" s="1"/>
  <c r="AP177" i="16"/>
  <c r="AE177" i="16" s="1"/>
  <c r="AP190" i="16"/>
  <c r="AE190" i="16" s="1"/>
  <c r="AP205" i="16"/>
  <c r="AE205" i="16" s="1"/>
  <c r="AP261" i="16"/>
  <c r="AE261" i="16" s="1"/>
  <c r="AP288" i="16"/>
  <c r="AE288" i="16" s="1"/>
  <c r="AP334" i="16"/>
  <c r="AE334" i="16" s="1"/>
  <c r="AP126" i="16"/>
  <c r="AE126" i="16" s="1"/>
  <c r="AP163" i="16"/>
  <c r="AE163" i="16" s="1"/>
  <c r="AP170" i="16"/>
  <c r="AE170" i="16" s="1"/>
  <c r="AP188" i="16"/>
  <c r="M188" i="16" s="1"/>
  <c r="AP202" i="16"/>
  <c r="AE202" i="16" s="1"/>
  <c r="AP208" i="16"/>
  <c r="AE208" i="16" s="1"/>
  <c r="AP224" i="16"/>
  <c r="AE224" i="16" s="1"/>
  <c r="AP227" i="16"/>
  <c r="AE227" i="16" s="1"/>
  <c r="AP241" i="16"/>
  <c r="AE241" i="16" s="1"/>
  <c r="AP246" i="16"/>
  <c r="AE246" i="16" s="1"/>
  <c r="AP265" i="16"/>
  <c r="M265" i="16" s="1"/>
  <c r="AP267" i="16"/>
  <c r="AE267" i="16" s="1"/>
  <c r="AP286" i="16"/>
  <c r="AE286" i="16" s="1"/>
  <c r="AP294" i="16"/>
  <c r="AE294" i="16" s="1"/>
  <c r="AP303" i="16"/>
  <c r="AE303" i="16" s="1"/>
  <c r="AP316" i="16"/>
  <c r="AE316" i="16" s="1"/>
  <c r="AP319" i="16"/>
  <c r="AE319" i="16" s="1"/>
  <c r="AP325" i="16"/>
  <c r="AE325" i="16" s="1"/>
  <c r="AP341" i="16"/>
  <c r="AE341" i="16" s="1"/>
  <c r="AP348" i="16"/>
  <c r="AE348" i="16" s="1"/>
  <c r="AP435" i="16"/>
  <c r="M435" i="16" s="1"/>
  <c r="B101" i="13"/>
  <c r="Q101" i="13" s="1"/>
  <c r="AP3" i="16"/>
  <c r="M3" i="16" s="1"/>
  <c r="AP4" i="16"/>
  <c r="M4" i="16" s="1"/>
  <c r="AP2" i="16"/>
  <c r="M2" i="16" s="1"/>
  <c r="AP5" i="16"/>
  <c r="M5" i="16" s="1"/>
  <c r="AP6" i="16"/>
  <c r="M6" i="16" s="1"/>
  <c r="AP8" i="16"/>
  <c r="M8" i="16" s="1"/>
  <c r="AP7" i="16"/>
  <c r="M7" i="16" s="1"/>
  <c r="AP9" i="16"/>
  <c r="M9" i="16" s="1"/>
  <c r="AP10" i="16"/>
  <c r="AP11" i="16"/>
  <c r="M11" i="16" s="1"/>
  <c r="AP12" i="16"/>
  <c r="M12" i="16" s="1"/>
  <c r="AP13" i="16"/>
  <c r="M13" i="16" s="1"/>
  <c r="AP14" i="16"/>
  <c r="AP15" i="16"/>
  <c r="M15" i="16" s="1"/>
  <c r="AP17" i="16"/>
  <c r="M17" i="16" s="1"/>
  <c r="AP18" i="16"/>
  <c r="AP19" i="16"/>
  <c r="AP20" i="16"/>
  <c r="M20" i="16" s="1"/>
  <c r="AP21" i="16"/>
  <c r="AP22" i="16"/>
  <c r="M22" i="16" s="1"/>
  <c r="AP23" i="16"/>
  <c r="M23" i="16" s="1"/>
  <c r="AP24" i="16"/>
  <c r="M24" i="16" s="1"/>
  <c r="AP25" i="16"/>
  <c r="M25" i="16" s="1"/>
  <c r="AP26" i="16"/>
  <c r="M26" i="16" s="1"/>
  <c r="AP27" i="16"/>
  <c r="M27" i="16" s="1"/>
  <c r="AP28" i="16"/>
  <c r="M28" i="16" s="1"/>
  <c r="AP29" i="16"/>
  <c r="M29" i="16" s="1"/>
  <c r="AP30" i="16"/>
  <c r="M30" i="16" s="1"/>
  <c r="AP32" i="16"/>
  <c r="M32" i="16" s="1"/>
  <c r="AP31" i="16"/>
  <c r="M31" i="16" s="1"/>
  <c r="AP33" i="16"/>
  <c r="M33" i="16" s="1"/>
  <c r="AP34" i="16"/>
  <c r="M34" i="16" s="1"/>
  <c r="AP35" i="16"/>
  <c r="M35" i="16" s="1"/>
  <c r="AP36" i="16"/>
  <c r="M36" i="16" s="1"/>
  <c r="AP37" i="16"/>
  <c r="M37" i="16" s="1"/>
  <c r="AP40" i="16"/>
  <c r="AP42" i="16"/>
  <c r="AP44" i="16"/>
  <c r="AP46" i="16"/>
  <c r="AP50" i="16"/>
  <c r="AP52" i="16"/>
  <c r="AP54" i="16"/>
  <c r="AP56" i="16"/>
  <c r="AP58" i="16"/>
  <c r="AP60" i="16"/>
  <c r="AP62" i="16"/>
  <c r="AP64" i="16"/>
  <c r="AP66" i="16"/>
  <c r="AP68" i="16"/>
  <c r="AP70" i="16"/>
  <c r="AP72" i="16"/>
  <c r="AP74" i="16"/>
  <c r="AP76" i="16"/>
  <c r="AP78" i="16"/>
  <c r="AP82" i="16"/>
  <c r="M82" i="16" s="1"/>
  <c r="AP84" i="16"/>
  <c r="M84" i="16" s="1"/>
  <c r="AP86" i="16"/>
  <c r="AP88" i="16"/>
  <c r="M88" i="16" s="1"/>
  <c r="AP90" i="16"/>
  <c r="M90" i="16" s="1"/>
  <c r="AP92" i="16"/>
  <c r="M92" i="16" s="1"/>
  <c r="AP94" i="16"/>
  <c r="M94" i="16" s="1"/>
  <c r="AP97" i="16"/>
  <c r="M97" i="16" s="1"/>
  <c r="AP99" i="16"/>
  <c r="M99" i="16" s="1"/>
  <c r="AP101" i="16"/>
  <c r="M101" i="16" s="1"/>
  <c r="AP103" i="16"/>
  <c r="M103" i="16" s="1"/>
  <c r="AP105" i="16"/>
  <c r="M105" i="16" s="1"/>
  <c r="AP108" i="16"/>
  <c r="M108" i="16" s="1"/>
  <c r="AP110" i="16"/>
  <c r="M110" i="16" s="1"/>
  <c r="AP112" i="16"/>
  <c r="M112" i="16" s="1"/>
  <c r="AP114" i="16"/>
  <c r="M114" i="16" s="1"/>
  <c r="AP116" i="16"/>
  <c r="M116" i="16" s="1"/>
  <c r="AP119" i="16"/>
  <c r="M119" i="16" s="1"/>
  <c r="AP121" i="16"/>
  <c r="M121" i="16" s="1"/>
  <c r="AP123" i="16"/>
  <c r="M123" i="16" s="1"/>
  <c r="AP125" i="16"/>
  <c r="M125" i="16" s="1"/>
  <c r="AP127" i="16"/>
  <c r="M127" i="16" s="1"/>
  <c r="AP129" i="16"/>
  <c r="M129" i="16" s="1"/>
  <c r="AP131" i="16"/>
  <c r="M131" i="16" s="1"/>
  <c r="AP136" i="16"/>
  <c r="M136" i="16" s="1"/>
  <c r="AP138" i="16"/>
  <c r="M138" i="16" s="1"/>
  <c r="AP141" i="16"/>
  <c r="M141" i="16" s="1"/>
  <c r="AP142" i="16"/>
  <c r="M142" i="16" s="1"/>
  <c r="AP144" i="16"/>
  <c r="M144" i="16" s="1"/>
  <c r="AP146" i="16"/>
  <c r="M146" i="16" s="1"/>
  <c r="AP151" i="16"/>
  <c r="M151" i="16" s="1"/>
  <c r="AP162" i="16"/>
  <c r="M162" i="16" s="1"/>
  <c r="AP164" i="16"/>
  <c r="AP168" i="16"/>
  <c r="M168" i="16" s="1"/>
  <c r="AP173" i="16"/>
  <c r="AP179" i="16"/>
  <c r="M179" i="16" s="1"/>
  <c r="AP181" i="16"/>
  <c r="M181" i="16" s="1"/>
  <c r="AP183" i="16"/>
  <c r="M183" i="16" s="1"/>
  <c r="AP185" i="16"/>
  <c r="M185" i="16" s="1"/>
  <c r="AP187" i="16"/>
  <c r="M187" i="16" s="1"/>
  <c r="AP189" i="16"/>
  <c r="M189" i="16" s="1"/>
  <c r="AP191" i="16"/>
  <c r="AP193" i="16"/>
  <c r="M193" i="16" s="1"/>
  <c r="AP195" i="16"/>
  <c r="M195" i="16" s="1"/>
  <c r="AP197" i="16"/>
  <c r="M197" i="16" s="1"/>
  <c r="AP199" i="16"/>
  <c r="AP201" i="16"/>
  <c r="M201" i="16" s="1"/>
  <c r="AP248" i="16"/>
  <c r="M248" i="16" s="1"/>
  <c r="AP250" i="16"/>
  <c r="M250" i="16" s="1"/>
  <c r="AP252" i="16"/>
  <c r="M252" i="16" s="1"/>
  <c r="AP254" i="16"/>
  <c r="M254" i="16" s="1"/>
  <c r="AP256" i="16"/>
  <c r="M256" i="16" s="1"/>
  <c r="AP258" i="16"/>
  <c r="M258" i="16" s="1"/>
  <c r="AP260" i="16"/>
  <c r="M260" i="16" s="1"/>
  <c r="AP263" i="16"/>
  <c r="AP269" i="16"/>
  <c r="M269" i="16" s="1"/>
  <c r="AP271" i="16"/>
  <c r="M271" i="16" s="1"/>
  <c r="AP273" i="16"/>
  <c r="M273" i="16" s="1"/>
  <c r="AP290" i="16"/>
  <c r="M290" i="16" s="1"/>
  <c r="AP296" i="16"/>
  <c r="AP300" i="16"/>
  <c r="M300" i="16" s="1"/>
  <c r="AP302" i="16"/>
  <c r="M302" i="16" s="1"/>
  <c r="AP304" i="16"/>
  <c r="M304" i="16" s="1"/>
  <c r="AP315" i="16"/>
  <c r="M315" i="16" s="1"/>
  <c r="AP38" i="16"/>
  <c r="AP95" i="16"/>
  <c r="M95" i="16" s="1"/>
  <c r="AP132" i="16"/>
  <c r="AP152" i="16"/>
  <c r="M152" i="16" s="1"/>
  <c r="AP156" i="16"/>
  <c r="M156" i="16" s="1"/>
  <c r="AP160" i="16"/>
  <c r="M160" i="16" s="1"/>
  <c r="AP171" i="16"/>
  <c r="M171" i="16" s="1"/>
  <c r="AP204" i="16"/>
  <c r="M204" i="16" s="1"/>
  <c r="AP206" i="16"/>
  <c r="AP214" i="16"/>
  <c r="M214" i="16" s="1"/>
  <c r="AP216" i="16"/>
  <c r="AP218" i="16"/>
  <c r="M218" i="16" s="1"/>
  <c r="AP220" i="16"/>
  <c r="M220" i="16" s="1"/>
  <c r="AP226" i="16"/>
  <c r="M226" i="16" s="1"/>
  <c r="AP228" i="16"/>
  <c r="M228" i="16" s="1"/>
  <c r="AP230" i="16"/>
  <c r="M230" i="16" s="1"/>
  <c r="AP232" i="16"/>
  <c r="M232" i="16" s="1"/>
  <c r="AP234" i="16"/>
  <c r="M234" i="16" s="1"/>
  <c r="AP238" i="16"/>
  <c r="M238" i="16" s="1"/>
  <c r="AP240" i="16"/>
  <c r="M240" i="16" s="1"/>
  <c r="AP244" i="16"/>
  <c r="M244" i="16" s="1"/>
  <c r="AP274" i="16"/>
  <c r="M274" i="16" s="1"/>
  <c r="AP276" i="16"/>
  <c r="M276" i="16" s="1"/>
  <c r="AP278" i="16"/>
  <c r="M278" i="16" s="1"/>
  <c r="AP280" i="16"/>
  <c r="M280" i="16" s="1"/>
  <c r="AP282" i="16"/>
  <c r="M282" i="16" s="1"/>
  <c r="AP284" i="16"/>
  <c r="M284" i="16" s="1"/>
  <c r="AP305" i="16"/>
  <c r="M305" i="16" s="1"/>
  <c r="AP307" i="16"/>
  <c r="M307" i="16" s="1"/>
  <c r="AP309" i="16"/>
  <c r="M309" i="16" s="1"/>
  <c r="AP311" i="16"/>
  <c r="M311" i="16" s="1"/>
  <c r="AP313" i="16"/>
  <c r="M313" i="16" s="1"/>
  <c r="AP326" i="16"/>
  <c r="M326" i="16" s="1"/>
  <c r="AP39" i="16"/>
  <c r="AP41" i="16"/>
  <c r="AP43" i="16"/>
  <c r="AP45" i="16"/>
  <c r="AP47" i="16"/>
  <c r="AP49" i="16"/>
  <c r="AP51" i="16"/>
  <c r="AP53" i="16"/>
  <c r="AP55" i="16"/>
  <c r="AP57" i="16"/>
  <c r="AP59" i="16"/>
  <c r="AP61" i="16"/>
  <c r="AP63" i="16"/>
  <c r="AP65" i="16"/>
  <c r="AP67" i="16"/>
  <c r="AP69" i="16"/>
  <c r="AP71" i="16"/>
  <c r="AP73" i="16"/>
  <c r="AP75" i="16"/>
  <c r="AP77" i="16"/>
  <c r="AP79" i="16"/>
  <c r="AP81" i="16"/>
  <c r="AP83" i="16"/>
  <c r="M83" i="16" s="1"/>
  <c r="AP85" i="16"/>
  <c r="M85" i="16" s="1"/>
  <c r="AP87" i="16"/>
  <c r="AP89" i="16"/>
  <c r="M89" i="16" s="1"/>
  <c r="AP91" i="16"/>
  <c r="M91" i="16" s="1"/>
  <c r="AP93" i="16"/>
  <c r="M93" i="16" s="1"/>
  <c r="AP96" i="16"/>
  <c r="M96" i="16" s="1"/>
  <c r="AP98" i="16"/>
  <c r="M98" i="16" s="1"/>
  <c r="AP100" i="16"/>
  <c r="AP104" i="16"/>
  <c r="M104" i="16" s="1"/>
  <c r="AP106" i="16"/>
  <c r="M106" i="16" s="1"/>
  <c r="AP109" i="16"/>
  <c r="M109" i="16" s="1"/>
  <c r="AP111" i="16"/>
  <c r="M111" i="16" s="1"/>
  <c r="AP113" i="16"/>
  <c r="M113" i="16" s="1"/>
  <c r="AP115" i="16"/>
  <c r="M115" i="16" s="1"/>
  <c r="AP117" i="16"/>
  <c r="M117" i="16" s="1"/>
  <c r="AP120" i="16"/>
  <c r="M120" i="16" s="1"/>
  <c r="AP122" i="16"/>
  <c r="AP124" i="16"/>
  <c r="M124" i="16" s="1"/>
  <c r="AP128" i="16"/>
  <c r="M128" i="16" s="1"/>
  <c r="AP135" i="16"/>
  <c r="M135" i="16" s="1"/>
  <c r="AP137" i="16"/>
  <c r="M137" i="16" s="1"/>
  <c r="AP143" i="16"/>
  <c r="M143" i="16" s="1"/>
  <c r="AP147" i="16"/>
  <c r="M147" i="16" s="1"/>
  <c r="AP150" i="16"/>
  <c r="M150" i="16" s="1"/>
  <c r="AP161" i="16"/>
  <c r="M161" i="16" s="1"/>
  <c r="AP165" i="16"/>
  <c r="M165" i="16" s="1"/>
  <c r="AP167" i="16"/>
  <c r="M167" i="16" s="1"/>
  <c r="AP169" i="16"/>
  <c r="M169" i="16" s="1"/>
  <c r="AP178" i="16"/>
  <c r="M178" i="16" s="1"/>
  <c r="AP180" i="16"/>
  <c r="M180" i="16" s="1"/>
  <c r="AP184" i="16"/>
  <c r="AP186" i="16"/>
  <c r="AP192" i="16"/>
  <c r="AP194" i="16"/>
  <c r="M194" i="16" s="1"/>
  <c r="AP196" i="16"/>
  <c r="M196" i="16" s="1"/>
  <c r="AP198" i="16"/>
  <c r="M198" i="16" s="1"/>
  <c r="AP200" i="16"/>
  <c r="M200" i="16" s="1"/>
  <c r="AP210" i="16"/>
  <c r="M210" i="16" s="1"/>
  <c r="AP247" i="16"/>
  <c r="M247" i="16" s="1"/>
  <c r="AP249" i="16"/>
  <c r="M249" i="16" s="1"/>
  <c r="AP251" i="16"/>
  <c r="M251" i="16" s="1"/>
  <c r="AP253" i="16"/>
  <c r="M253" i="16" s="1"/>
  <c r="AP257" i="16"/>
  <c r="M257" i="16" s="1"/>
  <c r="AP259" i="16"/>
  <c r="M259" i="16" s="1"/>
  <c r="AP264" i="16"/>
  <c r="M264" i="16" s="1"/>
  <c r="AP268" i="16"/>
  <c r="M268" i="16" s="1"/>
  <c r="AP270" i="16"/>
  <c r="M270" i="16" s="1"/>
  <c r="AP272" i="16"/>
  <c r="M272" i="16" s="1"/>
  <c r="AP297" i="16"/>
  <c r="M297" i="16" s="1"/>
  <c r="AP299" i="16"/>
  <c r="M299" i="16" s="1"/>
  <c r="AP301" i="16"/>
  <c r="M301" i="16" s="1"/>
  <c r="AP314" i="16"/>
  <c r="M314" i="16" s="1"/>
  <c r="AP318" i="16"/>
  <c r="M318" i="16" s="1"/>
  <c r="AP107" i="16"/>
  <c r="M107" i="16" s="1"/>
  <c r="AP118" i="16"/>
  <c r="AP133" i="16"/>
  <c r="M133" i="16" s="1"/>
  <c r="AP140" i="16"/>
  <c r="M140" i="16" s="1"/>
  <c r="AP149" i="16"/>
  <c r="M149" i="16" s="1"/>
  <c r="AP153" i="16"/>
  <c r="M153" i="16" s="1"/>
  <c r="AP157" i="16"/>
  <c r="M157" i="16" s="1"/>
  <c r="AP159" i="16"/>
  <c r="M159" i="16" s="1"/>
  <c r="AP203" i="16"/>
  <c r="AP209" i="16"/>
  <c r="M209" i="16" s="1"/>
  <c r="AP211" i="16"/>
  <c r="M211" i="16" s="1"/>
  <c r="AP213" i="16"/>
  <c r="M213" i="16" s="1"/>
  <c r="AP215" i="16"/>
  <c r="M215" i="16" s="1"/>
  <c r="AP219" i="16"/>
  <c r="AP221" i="16"/>
  <c r="M221" i="16" s="1"/>
  <c r="AP223" i="16"/>
  <c r="M223" i="16" s="1"/>
  <c r="AP225" i="16"/>
  <c r="M225" i="16" s="1"/>
  <c r="AP229" i="16"/>
  <c r="M229" i="16" s="1"/>
  <c r="AP231" i="16"/>
  <c r="M231" i="16" s="1"/>
  <c r="AP233" i="16"/>
  <c r="M233" i="16" s="1"/>
  <c r="AP235" i="16"/>
  <c r="M235" i="16" s="1"/>
  <c r="AP237" i="16"/>
  <c r="M237" i="16" s="1"/>
  <c r="AP239" i="16"/>
  <c r="M239" i="16" s="1"/>
  <c r="AP243" i="16"/>
  <c r="M243" i="16" s="1"/>
  <c r="AP275" i="16"/>
  <c r="M275" i="16" s="1"/>
  <c r="AP277" i="16"/>
  <c r="M277" i="16" s="1"/>
  <c r="AP279" i="16"/>
  <c r="M279" i="16" s="1"/>
  <c r="AP281" i="16"/>
  <c r="AP283" i="16"/>
  <c r="M283" i="16" s="1"/>
  <c r="AP287" i="16"/>
  <c r="M287" i="16" s="1"/>
  <c r="AP289" i="16"/>
  <c r="M289" i="16" s="1"/>
  <c r="AP306" i="16"/>
  <c r="M306" i="16" s="1"/>
  <c r="AP308" i="16"/>
  <c r="M308" i="16" s="1"/>
  <c r="AP310" i="16"/>
  <c r="M310" i="16" s="1"/>
  <c r="AP312" i="16"/>
  <c r="M312" i="16" s="1"/>
  <c r="AP327" i="16"/>
  <c r="M327" i="16" s="1"/>
  <c r="AP321" i="16"/>
  <c r="M321" i="16" s="1"/>
  <c r="AP323" i="16"/>
  <c r="M323" i="16" s="1"/>
  <c r="AP329" i="16"/>
  <c r="M329" i="16" s="1"/>
  <c r="AP331" i="16"/>
  <c r="M331" i="16" s="1"/>
  <c r="AP335" i="16"/>
  <c r="M335" i="16" s="1"/>
  <c r="AP337" i="16"/>
  <c r="M337" i="16" s="1"/>
  <c r="AP344" i="16"/>
  <c r="M344" i="16" s="1"/>
  <c r="AP359" i="16"/>
  <c r="M359" i="16" s="1"/>
  <c r="AP361" i="16"/>
  <c r="M361" i="16" s="1"/>
  <c r="AP363" i="16"/>
  <c r="M363" i="16" s="1"/>
  <c r="AP396" i="16"/>
  <c r="M396" i="16" s="1"/>
  <c r="AP398" i="16"/>
  <c r="M398" i="16" s="1"/>
  <c r="AP407" i="16"/>
  <c r="M407" i="16" s="1"/>
  <c r="AP409" i="16"/>
  <c r="M409" i="16" s="1"/>
  <c r="AP411" i="16"/>
  <c r="M411" i="16" s="1"/>
  <c r="AP413" i="16"/>
  <c r="AP415" i="16"/>
  <c r="M415" i="16" s="1"/>
  <c r="AP421" i="16"/>
  <c r="M421" i="16" s="1"/>
  <c r="AP427" i="16"/>
  <c r="M427" i="16" s="1"/>
  <c r="AP431" i="16"/>
  <c r="AP317" i="16"/>
  <c r="M317" i="16" s="1"/>
  <c r="AP342" i="16"/>
  <c r="M342" i="16" s="1"/>
  <c r="AP349" i="16"/>
  <c r="M349" i="16" s="1"/>
  <c r="AP351" i="16"/>
  <c r="AP353" i="16"/>
  <c r="M353" i="16" s="1"/>
  <c r="AP355" i="16"/>
  <c r="M355" i="16" s="1"/>
  <c r="AP357" i="16"/>
  <c r="M357" i="16" s="1"/>
  <c r="AP364" i="16"/>
  <c r="M364" i="16" s="1"/>
  <c r="AP366" i="16"/>
  <c r="M366" i="16" s="1"/>
  <c r="AP368" i="16"/>
  <c r="M368" i="16" s="1"/>
  <c r="AP370" i="16"/>
  <c r="AP372" i="16"/>
  <c r="M372" i="16" s="1"/>
  <c r="AP374" i="16"/>
  <c r="M374" i="16" s="1"/>
  <c r="AP376" i="16"/>
  <c r="M376" i="16" s="1"/>
  <c r="AP378" i="16"/>
  <c r="M378" i="16" s="1"/>
  <c r="AP380" i="16"/>
  <c r="M380" i="16" s="1"/>
  <c r="AP382" i="16"/>
  <c r="AP384" i="16"/>
  <c r="M384" i="16" s="1"/>
  <c r="AP386" i="16"/>
  <c r="M386" i="16" s="1"/>
  <c r="AP388" i="16"/>
  <c r="M388" i="16" s="1"/>
  <c r="AP390" i="16"/>
  <c r="M390" i="16" s="1"/>
  <c r="AP392" i="16"/>
  <c r="M392" i="16" s="1"/>
  <c r="AP394" i="16"/>
  <c r="M394" i="16" s="1"/>
  <c r="AP399" i="16"/>
  <c r="M399" i="16" s="1"/>
  <c r="AP401" i="16"/>
  <c r="M401" i="16" s="1"/>
  <c r="AP405" i="16"/>
  <c r="M405" i="16" s="1"/>
  <c r="AP418" i="16"/>
  <c r="M418" i="16" s="1"/>
  <c r="AP422" i="16"/>
  <c r="M422" i="16" s="1"/>
  <c r="AP426" i="16"/>
  <c r="M426" i="16" s="1"/>
  <c r="AP430" i="16"/>
  <c r="M430" i="16" s="1"/>
  <c r="AP434" i="16"/>
  <c r="M434" i="16" s="1"/>
  <c r="AP324" i="16"/>
  <c r="M324" i="16" s="1"/>
  <c r="AP328" i="16"/>
  <c r="M328" i="16" s="1"/>
  <c r="AP332" i="16"/>
  <c r="M332" i="16" s="1"/>
  <c r="AP336" i="16"/>
  <c r="M336" i="16" s="1"/>
  <c r="AP338" i="16"/>
  <c r="M338" i="16" s="1"/>
  <c r="AP345" i="16"/>
  <c r="M345" i="16" s="1"/>
  <c r="AP360" i="16"/>
  <c r="M360" i="16" s="1"/>
  <c r="AP362" i="16"/>
  <c r="M362" i="16" s="1"/>
  <c r="AP395" i="16"/>
  <c r="M395" i="16" s="1"/>
  <c r="AP397" i="16"/>
  <c r="M397" i="16" s="1"/>
  <c r="AP406" i="16"/>
  <c r="AP408" i="16"/>
  <c r="AP410" i="16"/>
  <c r="M410" i="16" s="1"/>
  <c r="AP412" i="16"/>
  <c r="M412" i="16" s="1"/>
  <c r="AP414" i="16"/>
  <c r="AP416" i="16"/>
  <c r="M416" i="16" s="1"/>
  <c r="AP420" i="16"/>
  <c r="M420" i="16" s="1"/>
  <c r="AP424" i="16"/>
  <c r="M424" i="16" s="1"/>
  <c r="AP428" i="16"/>
  <c r="M428" i="16" s="1"/>
  <c r="AP432" i="16"/>
  <c r="M432" i="16" s="1"/>
  <c r="AP346" i="16"/>
  <c r="M346" i="16" s="1"/>
  <c r="AP350" i="16"/>
  <c r="AP354" i="16"/>
  <c r="M354" i="16" s="1"/>
  <c r="AP356" i="16"/>
  <c r="M356" i="16" s="1"/>
  <c r="AP358" i="16"/>
  <c r="M358" i="16" s="1"/>
  <c r="AP365" i="16"/>
  <c r="M365" i="16" s="1"/>
  <c r="AP367" i="16"/>
  <c r="M367" i="16" s="1"/>
  <c r="AP369" i="16"/>
  <c r="M369" i="16" s="1"/>
  <c r="AP371" i="16"/>
  <c r="M371" i="16" s="1"/>
  <c r="AP373" i="16"/>
  <c r="M373" i="16" s="1"/>
  <c r="AP375" i="16"/>
  <c r="M375" i="16" s="1"/>
  <c r="AP377" i="16"/>
  <c r="M377" i="16" s="1"/>
  <c r="AP379" i="16"/>
  <c r="M379" i="16" s="1"/>
  <c r="AP381" i="16"/>
  <c r="M381" i="16" s="1"/>
  <c r="AP383" i="16"/>
  <c r="M383" i="16" s="1"/>
  <c r="AP385" i="16"/>
  <c r="M385" i="16" s="1"/>
  <c r="AP387" i="16"/>
  <c r="M387" i="16" s="1"/>
  <c r="AP389" i="16"/>
  <c r="M389" i="16" s="1"/>
  <c r="AP391" i="16"/>
  <c r="M391" i="16" s="1"/>
  <c r="AP393" i="16"/>
  <c r="M393" i="16" s="1"/>
  <c r="AP400" i="16"/>
  <c r="M400" i="16" s="1"/>
  <c r="AP402" i="16"/>
  <c r="M402" i="16" s="1"/>
  <c r="AP404" i="16"/>
  <c r="M404" i="16" s="1"/>
  <c r="AP417" i="16"/>
  <c r="M417" i="16" s="1"/>
  <c r="AP419" i="16"/>
  <c r="M419" i="16" s="1"/>
  <c r="AP423" i="16"/>
  <c r="M423" i="16" s="1"/>
  <c r="AP425" i="16"/>
  <c r="AP429" i="16"/>
  <c r="M429" i="16" s="1"/>
  <c r="AP433" i="16"/>
  <c r="AQ292" i="16"/>
  <c r="R292" i="16" s="1"/>
  <c r="AQ340" i="16"/>
  <c r="Q340" i="16" s="1"/>
  <c r="AQ245" i="16"/>
  <c r="AQ217" i="16"/>
  <c r="AQ166" i="16"/>
  <c r="AQ255" i="16"/>
  <c r="I8" i="19"/>
  <c r="H9" i="19"/>
  <c r="R21" i="18"/>
  <c r="F8" i="18"/>
  <c r="K11" i="16"/>
  <c r="L11" i="16"/>
  <c r="T11" i="16"/>
  <c r="V11" i="16"/>
  <c r="U11" i="16"/>
  <c r="M340" i="16"/>
  <c r="M292" i="16"/>
  <c r="B144" i="13"/>
  <c r="B145" i="13" s="1"/>
  <c r="B147" i="13"/>
  <c r="B148" i="13" s="1"/>
  <c r="Q148" i="13" s="1"/>
  <c r="M291" i="16" l="1"/>
  <c r="M352" i="16"/>
  <c r="AQ352" i="16"/>
  <c r="Q352" i="16" s="1"/>
  <c r="AQ285" i="16"/>
  <c r="AG285" i="16" s="1"/>
  <c r="AQ266" i="16"/>
  <c r="AF266" i="16" s="1"/>
  <c r="AQ320" i="16"/>
  <c r="AE320" i="16"/>
  <c r="AQ155" i="16"/>
  <c r="AI155" i="16" s="1"/>
  <c r="M347" i="16"/>
  <c r="M154" i="16"/>
  <c r="AQ347" i="16"/>
  <c r="R347" i="16" s="1"/>
  <c r="M333" i="16"/>
  <c r="M293" i="16"/>
  <c r="AQ139" i="16"/>
  <c r="AF139" i="16" s="1"/>
  <c r="AQ330" i="16"/>
  <c r="P330" i="16" s="1"/>
  <c r="AQ205" i="16"/>
  <c r="AI205" i="16" s="1"/>
  <c r="AQ319" i="16"/>
  <c r="R319" i="16" s="1"/>
  <c r="M343" i="16"/>
  <c r="AQ145" i="16"/>
  <c r="AJ145" i="16" s="1"/>
  <c r="AQ126" i="16"/>
  <c r="AH126" i="16" s="1"/>
  <c r="AQ236" i="16"/>
  <c r="AG236" i="16" s="1"/>
  <c r="M319" i="16"/>
  <c r="M330" i="16"/>
  <c r="AQ202" i="16"/>
  <c r="AF202" i="16" s="1"/>
  <c r="AQ172" i="16"/>
  <c r="AI172" i="16" s="1"/>
  <c r="AQ343" i="16"/>
  <c r="S343" i="16" s="1"/>
  <c r="AQ286" i="16"/>
  <c r="AF286" i="16" s="1"/>
  <c r="AQ182" i="16"/>
  <c r="AF182" i="16" s="1"/>
  <c r="AQ241" i="16"/>
  <c r="AI241" i="16" s="1"/>
  <c r="AQ291" i="16"/>
  <c r="Q291" i="16" s="1"/>
  <c r="AQ325" i="16"/>
  <c r="R325" i="16" s="1"/>
  <c r="AQ288" i="16"/>
  <c r="P288" i="16" s="1"/>
  <c r="AQ175" i="16"/>
  <c r="AH175" i="16" s="1"/>
  <c r="AQ212" i="16"/>
  <c r="AK212" i="16" s="1"/>
  <c r="AQ154" i="16"/>
  <c r="S154" i="16" s="1"/>
  <c r="AQ163" i="16"/>
  <c r="AF163" i="16" s="1"/>
  <c r="AQ246" i="16"/>
  <c r="AI246" i="16" s="1"/>
  <c r="AQ303" i="16"/>
  <c r="S303" i="16" s="1"/>
  <c r="M325" i="16"/>
  <c r="AQ261" i="16"/>
  <c r="AI261" i="16" s="1"/>
  <c r="M294" i="16"/>
  <c r="AQ208" i="16"/>
  <c r="AI208" i="16" s="1"/>
  <c r="AQ333" i="16"/>
  <c r="Q333" i="16" s="1"/>
  <c r="AQ294" i="16"/>
  <c r="P294" i="16" s="1"/>
  <c r="AQ293" i="16"/>
  <c r="O293" i="16" s="1"/>
  <c r="M341" i="16"/>
  <c r="P352" i="16"/>
  <c r="O340" i="16"/>
  <c r="N340" i="16"/>
  <c r="M339" i="16"/>
  <c r="O352" i="16"/>
  <c r="AQ177" i="16"/>
  <c r="AG177" i="16" s="1"/>
  <c r="R340" i="16"/>
  <c r="AQ170" i="16"/>
  <c r="AF170" i="16" s="1"/>
  <c r="AQ339" i="16"/>
  <c r="N339" i="16" s="1"/>
  <c r="AQ224" i="16"/>
  <c r="AF224" i="16" s="1"/>
  <c r="M295" i="16"/>
  <c r="M303" i="16"/>
  <c r="S352" i="16"/>
  <c r="M174" i="16"/>
  <c r="AQ148" i="16"/>
  <c r="AI148" i="16" s="1"/>
  <c r="AQ174" i="16"/>
  <c r="N174" i="16" s="1"/>
  <c r="AQ130" i="16"/>
  <c r="AI130" i="16" s="1"/>
  <c r="AQ341" i="16"/>
  <c r="P341" i="16" s="1"/>
  <c r="AQ262" i="16"/>
  <c r="AG262" i="16" s="1"/>
  <c r="AQ295" i="16"/>
  <c r="AK295" i="16" s="1"/>
  <c r="AQ222" i="16"/>
  <c r="AF222" i="16" s="1"/>
  <c r="Q292" i="16"/>
  <c r="P292" i="16"/>
  <c r="S292" i="16"/>
  <c r="P340" i="16"/>
  <c r="AQ207" i="16"/>
  <c r="AH207" i="16" s="1"/>
  <c r="AQ267" i="16"/>
  <c r="AG267" i="16" s="1"/>
  <c r="O292" i="16"/>
  <c r="S340" i="16"/>
  <c r="AQ334" i="16"/>
  <c r="P334" i="16" s="1"/>
  <c r="M316" i="16"/>
  <c r="M348" i="16"/>
  <c r="AQ158" i="16"/>
  <c r="AF158" i="16" s="1"/>
  <c r="AQ176" i="16"/>
  <c r="AH176" i="16" s="1"/>
  <c r="AQ227" i="16"/>
  <c r="AJ227" i="16" s="1"/>
  <c r="M334" i="16"/>
  <c r="AQ316" i="16"/>
  <c r="AG316" i="16" s="1"/>
  <c r="M322" i="16"/>
  <c r="AQ348" i="16"/>
  <c r="AI348" i="16" s="1"/>
  <c r="AQ190" i="16"/>
  <c r="AF190" i="16" s="1"/>
  <c r="AQ322" i="16"/>
  <c r="AK322" i="16" s="1"/>
  <c r="AE188" i="16"/>
  <c r="AQ188" i="16"/>
  <c r="AE298" i="16"/>
  <c r="AQ298" i="16"/>
  <c r="AQ403" i="16"/>
  <c r="AE403" i="16"/>
  <c r="AE134" i="16"/>
  <c r="AQ134" i="16"/>
  <c r="M134" i="16"/>
  <c r="AE265" i="16"/>
  <c r="AQ265" i="16"/>
  <c r="AE102" i="16"/>
  <c r="AQ102" i="16"/>
  <c r="AQ242" i="16"/>
  <c r="AE242" i="16"/>
  <c r="AQ48" i="16"/>
  <c r="AE48" i="16"/>
  <c r="M48" i="16"/>
  <c r="AQ435" i="16"/>
  <c r="AE435" i="16"/>
  <c r="AE80" i="16"/>
  <c r="AQ80" i="16"/>
  <c r="M80" i="16"/>
  <c r="AQ16" i="16"/>
  <c r="AE16" i="16"/>
  <c r="AI255" i="16"/>
  <c r="AG255" i="16"/>
  <c r="AH255" i="16"/>
  <c r="AF255" i="16"/>
  <c r="AK255" i="16"/>
  <c r="AJ255" i="16"/>
  <c r="AG217" i="16"/>
  <c r="AF217" i="16"/>
  <c r="AH217" i="16"/>
  <c r="AK217" i="16"/>
  <c r="AI217" i="16"/>
  <c r="AJ217" i="16"/>
  <c r="AG245" i="16"/>
  <c r="AI245" i="16"/>
  <c r="AK245" i="16"/>
  <c r="AJ245" i="16"/>
  <c r="AH245" i="16"/>
  <c r="AF245" i="16"/>
  <c r="AQ429" i="16"/>
  <c r="AE429" i="16"/>
  <c r="AQ417" i="16"/>
  <c r="AE417" i="16"/>
  <c r="AE393" i="16"/>
  <c r="AQ393" i="16"/>
  <c r="AE385" i="16"/>
  <c r="AQ385" i="16"/>
  <c r="AE377" i="16"/>
  <c r="AQ377" i="16"/>
  <c r="AE369" i="16"/>
  <c r="AQ369" i="16"/>
  <c r="AE356" i="16"/>
  <c r="AQ356" i="16"/>
  <c r="AE432" i="16"/>
  <c r="AQ432" i="16"/>
  <c r="AQ416" i="16"/>
  <c r="AE416" i="16"/>
  <c r="AQ408" i="16"/>
  <c r="AE408" i="16"/>
  <c r="M408" i="16"/>
  <c r="AE362" i="16"/>
  <c r="AQ362" i="16"/>
  <c r="AE336" i="16"/>
  <c r="AQ336" i="16"/>
  <c r="AQ434" i="16"/>
  <c r="AE434" i="16"/>
  <c r="AQ418" i="16"/>
  <c r="AE418" i="16"/>
  <c r="AE394" i="16"/>
  <c r="AQ394" i="16"/>
  <c r="AE386" i="16"/>
  <c r="AQ386" i="16"/>
  <c r="AE378" i="16"/>
  <c r="AQ378" i="16"/>
  <c r="AE370" i="16"/>
  <c r="AQ370" i="16"/>
  <c r="M370" i="16"/>
  <c r="AE357" i="16"/>
  <c r="AQ357" i="16"/>
  <c r="AE349" i="16"/>
  <c r="AQ349" i="16"/>
  <c r="AQ427" i="16"/>
  <c r="AE427" i="16"/>
  <c r="AQ411" i="16"/>
  <c r="AE411" i="16"/>
  <c r="AE396" i="16"/>
  <c r="AQ396" i="16"/>
  <c r="AE344" i="16"/>
  <c r="AQ344" i="16"/>
  <c r="AE329" i="16"/>
  <c r="AQ329" i="16"/>
  <c r="AQ312" i="16"/>
  <c r="AE312" i="16"/>
  <c r="AE289" i="16"/>
  <c r="AQ289" i="16"/>
  <c r="AE279" i="16"/>
  <c r="AQ279" i="16"/>
  <c r="AQ239" i="16"/>
  <c r="AE239" i="16"/>
  <c r="AQ231" i="16"/>
  <c r="AE231" i="16"/>
  <c r="AQ221" i="16"/>
  <c r="AE221" i="16"/>
  <c r="AQ211" i="16"/>
  <c r="AE211" i="16"/>
  <c r="AE157" i="16"/>
  <c r="AQ157" i="16"/>
  <c r="AE133" i="16"/>
  <c r="AQ133" i="16"/>
  <c r="AQ314" i="16"/>
  <c r="AE314" i="16"/>
  <c r="AE272" i="16"/>
  <c r="AQ272" i="16"/>
  <c r="AQ259" i="16"/>
  <c r="AE259" i="16"/>
  <c r="AQ249" i="16"/>
  <c r="AE249" i="16"/>
  <c r="AE198" i="16"/>
  <c r="AQ198" i="16"/>
  <c r="AE186" i="16"/>
  <c r="AQ186" i="16"/>
  <c r="AE169" i="16"/>
  <c r="AQ169" i="16"/>
  <c r="AE150" i="16"/>
  <c r="AQ150" i="16"/>
  <c r="AE135" i="16"/>
  <c r="AQ135" i="16"/>
  <c r="AE120" i="16"/>
  <c r="AQ120" i="16"/>
  <c r="AE111" i="16"/>
  <c r="AQ111" i="16"/>
  <c r="AE100" i="16"/>
  <c r="AQ100" i="16"/>
  <c r="AE91" i="16"/>
  <c r="AQ91" i="16"/>
  <c r="AE83" i="16"/>
  <c r="AQ83" i="16"/>
  <c r="AE75" i="16"/>
  <c r="AQ75" i="16"/>
  <c r="M75" i="16"/>
  <c r="AE67" i="16"/>
  <c r="AQ67" i="16"/>
  <c r="M67" i="16"/>
  <c r="AE59" i="16"/>
  <c r="AQ59" i="16"/>
  <c r="M59" i="16"/>
  <c r="AE51" i="16"/>
  <c r="AQ51" i="16"/>
  <c r="M51" i="16"/>
  <c r="AQ43" i="16"/>
  <c r="AE43" i="16"/>
  <c r="M43" i="16"/>
  <c r="AQ313" i="16"/>
  <c r="AE313" i="16"/>
  <c r="AQ305" i="16"/>
  <c r="AE305" i="16"/>
  <c r="AQ278" i="16"/>
  <c r="AE278" i="16"/>
  <c r="AE240" i="16"/>
  <c r="AQ240" i="16"/>
  <c r="AQ230" i="16"/>
  <c r="AE230" i="16"/>
  <c r="AQ218" i="16"/>
  <c r="AE218" i="16"/>
  <c r="AE204" i="16"/>
  <c r="AQ204" i="16"/>
  <c r="AQ152" i="16"/>
  <c r="AE152" i="16"/>
  <c r="AQ315" i="16"/>
  <c r="AE315" i="16"/>
  <c r="AE296" i="16"/>
  <c r="AQ296" i="16"/>
  <c r="AQ269" i="16"/>
  <c r="AE269" i="16"/>
  <c r="AE256" i="16"/>
  <c r="AQ256" i="16"/>
  <c r="AE248" i="16"/>
  <c r="AQ248" i="16"/>
  <c r="AE195" i="16"/>
  <c r="AQ195" i="16"/>
  <c r="AE187" i="16"/>
  <c r="AQ187" i="16"/>
  <c r="AE179" i="16"/>
  <c r="AQ179" i="16"/>
  <c r="AE162" i="16"/>
  <c r="AQ162" i="16"/>
  <c r="AE142" i="16"/>
  <c r="AQ142" i="16"/>
  <c r="AQ131" i="16"/>
  <c r="AE131" i="16"/>
  <c r="AE123" i="16"/>
  <c r="AQ123" i="16"/>
  <c r="AE114" i="16"/>
  <c r="AQ114" i="16"/>
  <c r="AQ105" i="16"/>
  <c r="AE105" i="16"/>
  <c r="AE97" i="16"/>
  <c r="AQ97" i="16"/>
  <c r="AE88" i="16"/>
  <c r="AQ88" i="16"/>
  <c r="AQ78" i="16"/>
  <c r="AE78" i="16"/>
  <c r="M78" i="16"/>
  <c r="AQ70" i="16"/>
  <c r="AE70" i="16"/>
  <c r="M70" i="16"/>
  <c r="AQ62" i="16"/>
  <c r="AE62" i="16"/>
  <c r="M62" i="16"/>
  <c r="AQ54" i="16"/>
  <c r="AE54" i="16"/>
  <c r="M54" i="16"/>
  <c r="AQ44" i="16"/>
  <c r="AE44" i="16"/>
  <c r="M44" i="16"/>
  <c r="AQ36" i="16"/>
  <c r="AE36" i="16"/>
  <c r="AQ31" i="16"/>
  <c r="AE31" i="16"/>
  <c r="AE28" i="16"/>
  <c r="AQ28" i="16"/>
  <c r="AE24" i="16"/>
  <c r="AQ24" i="16"/>
  <c r="AQ20" i="16"/>
  <c r="AE20" i="16"/>
  <c r="AQ15" i="16"/>
  <c r="AE15" i="16"/>
  <c r="AQ11" i="16"/>
  <c r="AE11" i="16"/>
  <c r="AQ8" i="16"/>
  <c r="AE8" i="16"/>
  <c r="AE4" i="16"/>
  <c r="AQ4" i="16"/>
  <c r="AH166" i="16"/>
  <c r="AG166" i="16"/>
  <c r="AJ166" i="16"/>
  <c r="AF166" i="16"/>
  <c r="AI166" i="16"/>
  <c r="AK166" i="16"/>
  <c r="AH340" i="16"/>
  <c r="AI340" i="16"/>
  <c r="AK340" i="16"/>
  <c r="AJ340" i="16"/>
  <c r="AG340" i="16"/>
  <c r="AF340" i="16"/>
  <c r="AF292" i="16"/>
  <c r="AJ292" i="16"/>
  <c r="AG292" i="16"/>
  <c r="AH292" i="16"/>
  <c r="AI292" i="16"/>
  <c r="AK292" i="16"/>
  <c r="AQ425" i="16"/>
  <c r="AE425" i="16"/>
  <c r="M425" i="16"/>
  <c r="AQ404" i="16"/>
  <c r="AE404" i="16"/>
  <c r="AE391" i="16"/>
  <c r="AQ391" i="16"/>
  <c r="AE383" i="16"/>
  <c r="AQ383" i="16"/>
  <c r="AE375" i="16"/>
  <c r="AQ375" i="16"/>
  <c r="AE367" i="16"/>
  <c r="AQ367" i="16"/>
  <c r="AE354" i="16"/>
  <c r="AQ354" i="16"/>
  <c r="AQ428" i="16"/>
  <c r="AE428" i="16"/>
  <c r="AQ414" i="16"/>
  <c r="AE414" i="16"/>
  <c r="M414" i="16"/>
  <c r="AQ406" i="16"/>
  <c r="AE406" i="16"/>
  <c r="M406" i="16"/>
  <c r="AE360" i="16"/>
  <c r="AQ360" i="16"/>
  <c r="AE332" i="16"/>
  <c r="AQ332" i="16"/>
  <c r="AQ430" i="16"/>
  <c r="AE430" i="16"/>
  <c r="AQ405" i="16"/>
  <c r="AE405" i="16"/>
  <c r="AE392" i="16"/>
  <c r="AQ392" i="16"/>
  <c r="AE384" i="16"/>
  <c r="AQ384" i="16"/>
  <c r="AE376" i="16"/>
  <c r="AQ376" i="16"/>
  <c r="AE368" i="16"/>
  <c r="AQ368" i="16"/>
  <c r="AE355" i="16"/>
  <c r="AQ355" i="16"/>
  <c r="AE342" i="16"/>
  <c r="AQ342" i="16"/>
  <c r="AQ421" i="16"/>
  <c r="AE421" i="16"/>
  <c r="AQ409" i="16"/>
  <c r="AE409" i="16"/>
  <c r="AE363" i="16"/>
  <c r="AQ363" i="16"/>
  <c r="AE337" i="16"/>
  <c r="AQ337" i="16"/>
  <c r="AE323" i="16"/>
  <c r="AQ323" i="16"/>
  <c r="AQ310" i="16"/>
  <c r="AE310" i="16"/>
  <c r="AE287" i="16"/>
  <c r="AQ287" i="16"/>
  <c r="AQ277" i="16"/>
  <c r="AE277" i="16"/>
  <c r="AE237" i="16"/>
  <c r="AQ237" i="16"/>
  <c r="AQ229" i="16"/>
  <c r="AE229" i="16"/>
  <c r="AQ219" i="16"/>
  <c r="AE219" i="16"/>
  <c r="M219" i="16"/>
  <c r="AE209" i="16"/>
  <c r="AQ209" i="16"/>
  <c r="AQ153" i="16"/>
  <c r="AE153" i="16"/>
  <c r="AE118" i="16"/>
  <c r="AQ118" i="16"/>
  <c r="M118" i="16"/>
  <c r="AQ301" i="16"/>
  <c r="AE301" i="16"/>
  <c r="AE270" i="16"/>
  <c r="AQ270" i="16"/>
  <c r="AQ257" i="16"/>
  <c r="AE257" i="16"/>
  <c r="AE247" i="16"/>
  <c r="AQ247" i="16"/>
  <c r="AE196" i="16"/>
  <c r="AQ196" i="16"/>
  <c r="AE184" i="16"/>
  <c r="AQ184" i="16"/>
  <c r="M184" i="16"/>
  <c r="AE167" i="16"/>
  <c r="AQ167" i="16"/>
  <c r="AQ147" i="16"/>
  <c r="AE147" i="16"/>
  <c r="AE128" i="16"/>
  <c r="AQ128" i="16"/>
  <c r="AQ117" i="16"/>
  <c r="AE117" i="16"/>
  <c r="AQ109" i="16"/>
  <c r="AE109" i="16"/>
  <c r="AE98" i="16"/>
  <c r="AQ98" i="16"/>
  <c r="AE89" i="16"/>
  <c r="AQ89" i="16"/>
  <c r="AE81" i="16"/>
  <c r="AQ81" i="16"/>
  <c r="M81" i="16"/>
  <c r="AE73" i="16"/>
  <c r="AQ73" i="16"/>
  <c r="M73" i="16"/>
  <c r="AE65" i="16"/>
  <c r="AQ65" i="16"/>
  <c r="M65" i="16"/>
  <c r="AE57" i="16"/>
  <c r="AQ57" i="16"/>
  <c r="M57" i="16"/>
  <c r="AE49" i="16"/>
  <c r="AQ49" i="16"/>
  <c r="M49" i="16"/>
  <c r="AQ41" i="16"/>
  <c r="AE41" i="16"/>
  <c r="M41" i="16"/>
  <c r="AE311" i="16"/>
  <c r="AQ311" i="16"/>
  <c r="AQ284" i="16"/>
  <c r="AE284" i="16"/>
  <c r="AE276" i="16"/>
  <c r="AQ276" i="16"/>
  <c r="AQ238" i="16"/>
  <c r="AE238" i="16"/>
  <c r="AQ228" i="16"/>
  <c r="AE228" i="16"/>
  <c r="AE216" i="16"/>
  <c r="AQ216" i="16"/>
  <c r="M216" i="16"/>
  <c r="AE171" i="16"/>
  <c r="AQ171" i="16"/>
  <c r="AE132" i="16"/>
  <c r="AQ132" i="16"/>
  <c r="AQ304" i="16"/>
  <c r="AE304" i="16"/>
  <c r="AE290" i="16"/>
  <c r="AQ290" i="16"/>
  <c r="AE263" i="16"/>
  <c r="AQ263" i="16"/>
  <c r="AQ254" i="16"/>
  <c r="AE254" i="16"/>
  <c r="AE201" i="16"/>
  <c r="AQ201" i="16"/>
  <c r="AE193" i="16"/>
  <c r="AQ193" i="16"/>
  <c r="AE185" i="16"/>
  <c r="AQ185" i="16"/>
  <c r="AE173" i="16"/>
  <c r="AQ173" i="16"/>
  <c r="M173" i="16"/>
  <c r="AQ151" i="16"/>
  <c r="AE151" i="16"/>
  <c r="AE141" i="16"/>
  <c r="AQ141" i="16"/>
  <c r="AE129" i="16"/>
  <c r="AQ129" i="16"/>
  <c r="AQ121" i="16"/>
  <c r="AE121" i="16"/>
  <c r="AE112" i="16"/>
  <c r="AQ112" i="16"/>
  <c r="AE103" i="16"/>
  <c r="AQ103" i="16"/>
  <c r="AE94" i="16"/>
  <c r="AQ94" i="16"/>
  <c r="AQ86" i="16"/>
  <c r="AE86" i="16"/>
  <c r="M86" i="16"/>
  <c r="AQ76" i="16"/>
  <c r="AE76" i="16"/>
  <c r="M76" i="16"/>
  <c r="AQ68" i="16"/>
  <c r="AE68" i="16"/>
  <c r="M68" i="16"/>
  <c r="AQ60" i="16"/>
  <c r="AE60" i="16"/>
  <c r="M60" i="16"/>
  <c r="AE52" i="16"/>
  <c r="AQ52" i="16"/>
  <c r="M52" i="16"/>
  <c r="AQ42" i="16"/>
  <c r="AE42" i="16"/>
  <c r="M42" i="16"/>
  <c r="AE35" i="16"/>
  <c r="AQ35" i="16"/>
  <c r="AQ32" i="16"/>
  <c r="AE32" i="16"/>
  <c r="AQ27" i="16"/>
  <c r="AE27" i="16"/>
  <c r="AQ23" i="16"/>
  <c r="AE23" i="16"/>
  <c r="AQ19" i="16"/>
  <c r="AE19" i="16"/>
  <c r="M19" i="16"/>
  <c r="AQ14" i="16"/>
  <c r="AE14" i="16"/>
  <c r="M14" i="16"/>
  <c r="AQ10" i="16"/>
  <c r="AE10" i="16"/>
  <c r="M10" i="16"/>
  <c r="AQ6" i="16"/>
  <c r="AE6" i="16"/>
  <c r="AE3" i="16"/>
  <c r="AQ3" i="16"/>
  <c r="AQ423" i="16"/>
  <c r="AE423" i="16"/>
  <c r="AQ402" i="16"/>
  <c r="AE402" i="16"/>
  <c r="AE389" i="16"/>
  <c r="AQ389" i="16"/>
  <c r="AE381" i="16"/>
  <c r="AQ381" i="16"/>
  <c r="AE373" i="16"/>
  <c r="AQ373" i="16"/>
  <c r="AE365" i="16"/>
  <c r="AQ365" i="16"/>
  <c r="AE350" i="16"/>
  <c r="AQ350" i="16"/>
  <c r="AQ424" i="16"/>
  <c r="AE424" i="16"/>
  <c r="AQ412" i="16"/>
  <c r="AE412" i="16"/>
  <c r="AQ397" i="16"/>
  <c r="AE397" i="16"/>
  <c r="AE345" i="16"/>
  <c r="AQ345" i="16"/>
  <c r="AE328" i="16"/>
  <c r="AQ328" i="16"/>
  <c r="AQ426" i="16"/>
  <c r="AE426" i="16"/>
  <c r="AQ401" i="16"/>
  <c r="AE401" i="16"/>
  <c r="AE390" i="16"/>
  <c r="AQ390" i="16"/>
  <c r="AE382" i="16"/>
  <c r="AQ382" i="16"/>
  <c r="AE374" i="16"/>
  <c r="AQ374" i="16"/>
  <c r="AE366" i="16"/>
  <c r="AQ366" i="16"/>
  <c r="AE353" i="16"/>
  <c r="AQ353" i="16"/>
  <c r="AE317" i="16"/>
  <c r="AQ317" i="16"/>
  <c r="AQ415" i="16"/>
  <c r="AE415" i="16"/>
  <c r="AQ407" i="16"/>
  <c r="AE407" i="16"/>
  <c r="AE361" i="16"/>
  <c r="AQ361" i="16"/>
  <c r="AE335" i="16"/>
  <c r="AQ335" i="16"/>
  <c r="AQ321" i="16"/>
  <c r="AE321" i="16"/>
  <c r="AQ308" i="16"/>
  <c r="AE308" i="16"/>
  <c r="AE283" i="16"/>
  <c r="AQ283" i="16"/>
  <c r="AQ275" i="16"/>
  <c r="AE275" i="16"/>
  <c r="AQ235" i="16"/>
  <c r="AE235" i="16"/>
  <c r="AQ225" i="16"/>
  <c r="AE225" i="16"/>
  <c r="AE215" i="16"/>
  <c r="AQ215" i="16"/>
  <c r="AE203" i="16"/>
  <c r="AQ203" i="16"/>
  <c r="M203" i="16"/>
  <c r="AE149" i="16"/>
  <c r="AQ149" i="16"/>
  <c r="AE107" i="16"/>
  <c r="AQ107" i="16"/>
  <c r="AQ299" i="16"/>
  <c r="AE299" i="16"/>
  <c r="AE268" i="16"/>
  <c r="AQ268" i="16"/>
  <c r="AQ253" i="16"/>
  <c r="AE253" i="16"/>
  <c r="AE210" i="16"/>
  <c r="AQ210" i="16"/>
  <c r="AE194" i="16"/>
  <c r="AQ194" i="16"/>
  <c r="AE180" i="16"/>
  <c r="AQ180" i="16"/>
  <c r="AE165" i="16"/>
  <c r="AQ165" i="16"/>
  <c r="AE143" i="16"/>
  <c r="AQ143" i="16"/>
  <c r="AE124" i="16"/>
  <c r="AQ124" i="16"/>
  <c r="AE115" i="16"/>
  <c r="AQ115" i="16"/>
  <c r="AE106" i="16"/>
  <c r="AQ106" i="16"/>
  <c r="AE96" i="16"/>
  <c r="AQ96" i="16"/>
  <c r="AQ87" i="16"/>
  <c r="AE87" i="16"/>
  <c r="M87" i="16"/>
  <c r="AQ79" i="16"/>
  <c r="AE79" i="16"/>
  <c r="M79" i="16"/>
  <c r="AQ71" i="16"/>
  <c r="AE71" i="16"/>
  <c r="M71" i="16"/>
  <c r="AQ63" i="16"/>
  <c r="AE63" i="16"/>
  <c r="M63" i="16"/>
  <c r="AQ55" i="16"/>
  <c r="AE55" i="16"/>
  <c r="M55" i="16"/>
  <c r="AQ47" i="16"/>
  <c r="AE47" i="16"/>
  <c r="M47" i="16"/>
  <c r="AQ39" i="16"/>
  <c r="AE39" i="16"/>
  <c r="M39" i="16"/>
  <c r="AQ309" i="16"/>
  <c r="AE309" i="16"/>
  <c r="AE282" i="16"/>
  <c r="AQ282" i="16"/>
  <c r="AE274" i="16"/>
  <c r="AQ274" i="16"/>
  <c r="AQ234" i="16"/>
  <c r="AE234" i="16"/>
  <c r="AQ226" i="16"/>
  <c r="AE226" i="16"/>
  <c r="AE214" i="16"/>
  <c r="AQ214" i="16"/>
  <c r="AE160" i="16"/>
  <c r="AQ160" i="16"/>
  <c r="AE95" i="16"/>
  <c r="AQ95" i="16"/>
  <c r="AQ302" i="16"/>
  <c r="AE302" i="16"/>
  <c r="AE273" i="16"/>
  <c r="AQ273" i="16"/>
  <c r="AQ260" i="16"/>
  <c r="AE260" i="16"/>
  <c r="AQ252" i="16"/>
  <c r="AE252" i="16"/>
  <c r="AE199" i="16"/>
  <c r="AQ199" i="16"/>
  <c r="M199" i="16"/>
  <c r="AE191" i="16"/>
  <c r="AQ191" i="16"/>
  <c r="M191" i="16"/>
  <c r="AE183" i="16"/>
  <c r="AQ183" i="16"/>
  <c r="AE168" i="16"/>
  <c r="AQ168" i="16"/>
  <c r="AQ146" i="16"/>
  <c r="AE146" i="16"/>
  <c r="AQ138" i="16"/>
  <c r="AE138" i="16"/>
  <c r="AE127" i="16"/>
  <c r="AQ127" i="16"/>
  <c r="AE119" i="16"/>
  <c r="AQ119" i="16"/>
  <c r="AE110" i="16"/>
  <c r="AQ110" i="16"/>
  <c r="AE101" i="16"/>
  <c r="AQ101" i="16"/>
  <c r="AE92" i="16"/>
  <c r="AQ92" i="16"/>
  <c r="AQ84" i="16"/>
  <c r="AE84" i="16"/>
  <c r="AE74" i="16"/>
  <c r="AQ74" i="16"/>
  <c r="M74" i="16"/>
  <c r="AE66" i="16"/>
  <c r="AQ66" i="16"/>
  <c r="M66" i="16"/>
  <c r="AE58" i="16"/>
  <c r="AQ58" i="16"/>
  <c r="M58" i="16"/>
  <c r="AQ50" i="16"/>
  <c r="AE50" i="16"/>
  <c r="M50" i="16"/>
  <c r="AQ40" i="16"/>
  <c r="AE40" i="16"/>
  <c r="M40" i="16"/>
  <c r="AQ34" i="16"/>
  <c r="AE34" i="16"/>
  <c r="AE30" i="16"/>
  <c r="AQ30" i="16"/>
  <c r="AQ26" i="16"/>
  <c r="AE26" i="16"/>
  <c r="AQ22" i="16"/>
  <c r="AE22" i="16"/>
  <c r="AQ18" i="16"/>
  <c r="AE18" i="16"/>
  <c r="M18" i="16"/>
  <c r="AQ13" i="16"/>
  <c r="AE13" i="16"/>
  <c r="AQ9" i="16"/>
  <c r="AE9" i="16"/>
  <c r="AQ5" i="16"/>
  <c r="AE5" i="16"/>
  <c r="AE433" i="16"/>
  <c r="AQ433" i="16"/>
  <c r="AQ419" i="16"/>
  <c r="AE419" i="16"/>
  <c r="AQ400" i="16"/>
  <c r="AE400" i="16"/>
  <c r="AE387" i="16"/>
  <c r="AQ387" i="16"/>
  <c r="AE379" i="16"/>
  <c r="AQ379" i="16"/>
  <c r="AE371" i="16"/>
  <c r="AQ371" i="16"/>
  <c r="AE358" i="16"/>
  <c r="AQ358" i="16"/>
  <c r="AE346" i="16"/>
  <c r="AQ346" i="16"/>
  <c r="AQ420" i="16"/>
  <c r="AE420" i="16"/>
  <c r="AQ410" i="16"/>
  <c r="AE410" i="16"/>
  <c r="AE395" i="16"/>
  <c r="AQ395" i="16"/>
  <c r="AE338" i="16"/>
  <c r="AQ338" i="16"/>
  <c r="AE324" i="16"/>
  <c r="AQ324" i="16"/>
  <c r="AQ422" i="16"/>
  <c r="AE422" i="16"/>
  <c r="AQ399" i="16"/>
  <c r="AE399" i="16"/>
  <c r="AE388" i="16"/>
  <c r="AQ388" i="16"/>
  <c r="AE380" i="16"/>
  <c r="AQ380" i="16"/>
  <c r="AE372" i="16"/>
  <c r="AQ372" i="16"/>
  <c r="AE364" i="16"/>
  <c r="AQ364" i="16"/>
  <c r="AE351" i="16"/>
  <c r="AQ351" i="16"/>
  <c r="M351" i="16"/>
  <c r="AQ431" i="16"/>
  <c r="AE431" i="16"/>
  <c r="M431" i="16"/>
  <c r="AQ413" i="16"/>
  <c r="AE413" i="16"/>
  <c r="M413" i="16"/>
  <c r="AQ398" i="16"/>
  <c r="AE398" i="16"/>
  <c r="AE359" i="16"/>
  <c r="AQ359" i="16"/>
  <c r="AE331" i="16"/>
  <c r="AQ331" i="16"/>
  <c r="AE327" i="16"/>
  <c r="AQ327" i="16"/>
  <c r="AQ306" i="16"/>
  <c r="AE306" i="16"/>
  <c r="AQ281" i="16"/>
  <c r="AE281" i="16"/>
  <c r="M281" i="16"/>
  <c r="AQ243" i="16"/>
  <c r="AE243" i="16"/>
  <c r="AQ233" i="16"/>
  <c r="AE233" i="16"/>
  <c r="AQ223" i="16"/>
  <c r="AE223" i="16"/>
  <c r="AE213" i="16"/>
  <c r="AQ213" i="16"/>
  <c r="AE159" i="16"/>
  <c r="AQ159" i="16"/>
  <c r="AE140" i="16"/>
  <c r="AQ140" i="16"/>
  <c r="AQ318" i="16"/>
  <c r="AE318" i="16"/>
  <c r="AE297" i="16"/>
  <c r="AQ297" i="16"/>
  <c r="AE264" i="16"/>
  <c r="AQ264" i="16"/>
  <c r="AQ251" i="16"/>
  <c r="AE251" i="16"/>
  <c r="AE200" i="16"/>
  <c r="AQ200" i="16"/>
  <c r="AE192" i="16"/>
  <c r="AQ192" i="16"/>
  <c r="M192" i="16"/>
  <c r="AE178" i="16"/>
  <c r="AQ178" i="16"/>
  <c r="AE161" i="16"/>
  <c r="AQ161" i="16"/>
  <c r="AE137" i="16"/>
  <c r="AQ137" i="16"/>
  <c r="AQ122" i="16"/>
  <c r="AE122" i="16"/>
  <c r="M122" i="16"/>
  <c r="AQ113" i="16"/>
  <c r="AE113" i="16"/>
  <c r="AE104" i="16"/>
  <c r="AQ104" i="16"/>
  <c r="AE93" i="16"/>
  <c r="AQ93" i="16"/>
  <c r="AQ85" i="16"/>
  <c r="AE85" i="16"/>
  <c r="AQ77" i="16"/>
  <c r="AE77" i="16"/>
  <c r="M77" i="16"/>
  <c r="AQ69" i="16"/>
  <c r="AE69" i="16"/>
  <c r="M69" i="16"/>
  <c r="AQ61" i="16"/>
  <c r="AE61" i="16"/>
  <c r="M61" i="16"/>
  <c r="AQ53" i="16"/>
  <c r="AE53" i="16"/>
  <c r="M53" i="16"/>
  <c r="AQ45" i="16"/>
  <c r="AE45" i="16"/>
  <c r="M45" i="16"/>
  <c r="AE326" i="16"/>
  <c r="AQ326" i="16"/>
  <c r="AQ307" i="16"/>
  <c r="AE307" i="16"/>
  <c r="AQ280" i="16"/>
  <c r="AE280" i="16"/>
  <c r="AQ244" i="16"/>
  <c r="AE244" i="16"/>
  <c r="AE232" i="16"/>
  <c r="AQ232" i="16"/>
  <c r="AQ220" i="16"/>
  <c r="AE220" i="16"/>
  <c r="AE206" i="16"/>
  <c r="AQ206" i="16"/>
  <c r="M206" i="16"/>
  <c r="AE156" i="16"/>
  <c r="AQ156" i="16"/>
  <c r="AQ38" i="16"/>
  <c r="AE38" i="16"/>
  <c r="M38" i="16"/>
  <c r="AQ300" i="16"/>
  <c r="AE300" i="16"/>
  <c r="AE271" i="16"/>
  <c r="AQ271" i="16"/>
  <c r="AQ258" i="16"/>
  <c r="AE258" i="16"/>
  <c r="AQ250" i="16"/>
  <c r="AE250" i="16"/>
  <c r="AE197" i="16"/>
  <c r="AQ197" i="16"/>
  <c r="AE189" i="16"/>
  <c r="AQ189" i="16"/>
  <c r="AE181" i="16"/>
  <c r="AQ181" i="16"/>
  <c r="AE164" i="16"/>
  <c r="AQ164" i="16"/>
  <c r="M164" i="16"/>
  <c r="AE144" i="16"/>
  <c r="AQ144" i="16"/>
  <c r="AE136" i="16"/>
  <c r="AQ136" i="16"/>
  <c r="AE125" i="16"/>
  <c r="AQ125" i="16"/>
  <c r="AE116" i="16"/>
  <c r="AQ116" i="16"/>
  <c r="AE108" i="16"/>
  <c r="AQ108" i="16"/>
  <c r="AE99" i="16"/>
  <c r="AQ99" i="16"/>
  <c r="AE90" i="16"/>
  <c r="AQ90" i="16"/>
  <c r="AE82" i="16"/>
  <c r="AQ82" i="16"/>
  <c r="AE72" i="16"/>
  <c r="AQ72" i="16"/>
  <c r="M72" i="16"/>
  <c r="AE64" i="16"/>
  <c r="AQ64" i="16"/>
  <c r="M64" i="16"/>
  <c r="AE56" i="16"/>
  <c r="AQ56" i="16"/>
  <c r="M56" i="16"/>
  <c r="AQ46" i="16"/>
  <c r="AE46" i="16"/>
  <c r="M46" i="16"/>
  <c r="AE37" i="16"/>
  <c r="AQ37" i="16"/>
  <c r="AQ33" i="16"/>
  <c r="AE33" i="16"/>
  <c r="AQ29" i="16"/>
  <c r="AE29" i="16"/>
  <c r="AQ25" i="16"/>
  <c r="AE25" i="16"/>
  <c r="AQ21" i="16"/>
  <c r="AE21" i="16"/>
  <c r="M21" i="16"/>
  <c r="AE17" i="16"/>
  <c r="AQ17" i="16"/>
  <c r="AQ12" i="16"/>
  <c r="AE12" i="16"/>
  <c r="AE7" i="16"/>
  <c r="AQ7" i="16"/>
  <c r="AQ2" i="16"/>
  <c r="AE2" i="16"/>
  <c r="I9" i="19"/>
  <c r="H10" i="19"/>
  <c r="B146" i="13"/>
  <c r="Q146" i="13" s="1"/>
  <c r="Q145" i="13"/>
  <c r="AK2" i="18"/>
  <c r="AM2" i="18" s="1"/>
  <c r="AL2" i="18"/>
  <c r="AN2" i="18"/>
  <c r="AO2" i="18"/>
  <c r="I31" i="34"/>
  <c r="I32" i="34"/>
  <c r="I17" i="34"/>
  <c r="I15" i="34"/>
  <c r="I33" i="34"/>
  <c r="R2" i="18"/>
  <c r="I25" i="34"/>
  <c r="I44" i="34"/>
  <c r="I36" i="34"/>
  <c r="I8" i="34"/>
  <c r="I23" i="34"/>
  <c r="I22" i="34"/>
  <c r="I10" i="34"/>
  <c r="I27" i="34"/>
  <c r="I16" i="34"/>
  <c r="I2" i="34"/>
  <c r="I40" i="34"/>
  <c r="I12" i="34"/>
  <c r="P2" i="18"/>
  <c r="I18" i="34"/>
  <c r="I34" i="34"/>
  <c r="I3" i="34"/>
  <c r="I5" i="34"/>
  <c r="I19" i="34"/>
  <c r="I26" i="34"/>
  <c r="I42" i="34"/>
  <c r="I38" i="34"/>
  <c r="Q2" i="18"/>
  <c r="I20" i="34"/>
  <c r="I24" i="34"/>
  <c r="I7" i="34"/>
  <c r="AP2" i="18"/>
  <c r="I4" i="34"/>
  <c r="I43" i="34"/>
  <c r="I28" i="34"/>
  <c r="I11" i="34"/>
  <c r="I30" i="34"/>
  <c r="I6" i="34"/>
  <c r="I29" i="34"/>
  <c r="I21" i="34"/>
  <c r="AF285" i="16" l="1"/>
  <c r="AI352" i="16"/>
  <c r="AG352" i="16"/>
  <c r="AH352" i="16"/>
  <c r="AF352" i="16"/>
  <c r="AJ352" i="16"/>
  <c r="AK352" i="16"/>
  <c r="R352" i="16"/>
  <c r="AI285" i="16"/>
  <c r="AK285" i="16"/>
  <c r="AH285" i="16"/>
  <c r="AJ285" i="16"/>
  <c r="AJ139" i="16"/>
  <c r="N352" i="16"/>
  <c r="AI266" i="16"/>
  <c r="AK266" i="16"/>
  <c r="AJ266" i="16"/>
  <c r="AH266" i="16"/>
  <c r="AG266" i="16"/>
  <c r="AI343" i="16"/>
  <c r="AI291" i="16"/>
  <c r="AK320" i="16"/>
  <c r="AI320" i="16"/>
  <c r="AJ320" i="16"/>
  <c r="AH320" i="16"/>
  <c r="AG320" i="16"/>
  <c r="AF320" i="16"/>
  <c r="Q320" i="16"/>
  <c r="S320" i="16"/>
  <c r="P320" i="16"/>
  <c r="R320" i="16"/>
  <c r="N320" i="16"/>
  <c r="O320" i="16"/>
  <c r="AF155" i="16"/>
  <c r="AJ155" i="16"/>
  <c r="AF291" i="16"/>
  <c r="AG343" i="16"/>
  <c r="AI139" i="16"/>
  <c r="AJ291" i="16"/>
  <c r="AG139" i="16"/>
  <c r="AH139" i="16"/>
  <c r="AJ343" i="16"/>
  <c r="AK139" i="16"/>
  <c r="AK347" i="16"/>
  <c r="AF325" i="16"/>
  <c r="AJ347" i="16"/>
  <c r="AJ172" i="16"/>
  <c r="AF347" i="16"/>
  <c r="N347" i="16"/>
  <c r="O347" i="16"/>
  <c r="AH286" i="16"/>
  <c r="AI347" i="16"/>
  <c r="AG347" i="16"/>
  <c r="AH347" i="16"/>
  <c r="AH325" i="16"/>
  <c r="AJ330" i="16"/>
  <c r="AK286" i="16"/>
  <c r="AI286" i="16"/>
  <c r="AJ325" i="16"/>
  <c r="AF330" i="16"/>
  <c r="AG145" i="16"/>
  <c r="AH330" i="16"/>
  <c r="AJ286" i="16"/>
  <c r="AG286" i="16"/>
  <c r="AK325" i="16"/>
  <c r="AK330" i="16"/>
  <c r="AI325" i="16"/>
  <c r="AG325" i="16"/>
  <c r="AG330" i="16"/>
  <c r="AI330" i="16"/>
  <c r="S330" i="16"/>
  <c r="AG155" i="16"/>
  <c r="AH155" i="16"/>
  <c r="AK155" i="16"/>
  <c r="R343" i="16"/>
  <c r="S291" i="16"/>
  <c r="N291" i="16"/>
  <c r="AK145" i="16"/>
  <c r="S347" i="16"/>
  <c r="P347" i="16"/>
  <c r="O330" i="16"/>
  <c r="R330" i="16"/>
  <c r="AF145" i="16"/>
  <c r="Q347" i="16"/>
  <c r="AI319" i="16"/>
  <c r="AJ319" i="16"/>
  <c r="AG319" i="16"/>
  <c r="AK319" i="16"/>
  <c r="AF319" i="16"/>
  <c r="AG182" i="16"/>
  <c r="AK126" i="16"/>
  <c r="AH182" i="16"/>
  <c r="AK202" i="16"/>
  <c r="AG205" i="16"/>
  <c r="AH202" i="16"/>
  <c r="AG202" i="16"/>
  <c r="AJ202" i="16"/>
  <c r="AI126" i="16"/>
  <c r="AK205" i="16"/>
  <c r="AH205" i="16"/>
  <c r="AI182" i="16"/>
  <c r="AJ182" i="16"/>
  <c r="AI202" i="16"/>
  <c r="AJ126" i="16"/>
  <c r="AG126" i="16"/>
  <c r="AF205" i="16"/>
  <c r="AJ205" i="16"/>
  <c r="AK182" i="16"/>
  <c r="AF126" i="16"/>
  <c r="S319" i="16"/>
  <c r="AH319" i="16"/>
  <c r="O319" i="16"/>
  <c r="AH145" i="16"/>
  <c r="AI145" i="16"/>
  <c r="S325" i="16"/>
  <c r="Q319" i="16"/>
  <c r="N319" i="16"/>
  <c r="AJ241" i="16"/>
  <c r="N330" i="16"/>
  <c r="Q330" i="16"/>
  <c r="P319" i="16"/>
  <c r="AK291" i="16"/>
  <c r="AH291" i="16"/>
  <c r="AF343" i="16"/>
  <c r="AH343" i="16"/>
  <c r="O291" i="16"/>
  <c r="R291" i="16"/>
  <c r="O343" i="16"/>
  <c r="AG291" i="16"/>
  <c r="AK343" i="16"/>
  <c r="P343" i="16"/>
  <c r="P291" i="16"/>
  <c r="Q343" i="16"/>
  <c r="N343" i="16"/>
  <c r="AG246" i="16"/>
  <c r="AG241" i="16"/>
  <c r="AI236" i="16"/>
  <c r="AF172" i="16"/>
  <c r="AK172" i="16"/>
  <c r="AF241" i="16"/>
  <c r="AH236" i="16"/>
  <c r="AK236" i="16"/>
  <c r="AG172" i="16"/>
  <c r="AH172" i="16"/>
  <c r="AK241" i="16"/>
  <c r="AJ236" i="16"/>
  <c r="AF236" i="16"/>
  <c r="AH241" i="16"/>
  <c r="P325" i="16"/>
  <c r="Q325" i="16"/>
  <c r="O325" i="16"/>
  <c r="AG175" i="16"/>
  <c r="AF288" i="16"/>
  <c r="AH288" i="16"/>
  <c r="N325" i="16"/>
  <c r="AF175" i="16"/>
  <c r="AJ246" i="16"/>
  <c r="AI175" i="16"/>
  <c r="AF246" i="16"/>
  <c r="AI212" i="16"/>
  <c r="AH246" i="16"/>
  <c r="AK175" i="16"/>
  <c r="AI288" i="16"/>
  <c r="AJ288" i="16"/>
  <c r="AK288" i="16"/>
  <c r="AG288" i="16"/>
  <c r="AH303" i="16"/>
  <c r="AK246" i="16"/>
  <c r="AJ175" i="16"/>
  <c r="AG212" i="16"/>
  <c r="R288" i="16"/>
  <c r="S288" i="16"/>
  <c r="O288" i="16"/>
  <c r="Q288" i="16"/>
  <c r="N288" i="16"/>
  <c r="P154" i="16"/>
  <c r="AJ212" i="16"/>
  <c r="AH212" i="16"/>
  <c r="Q154" i="16"/>
  <c r="AJ154" i="16"/>
  <c r="AI154" i="16"/>
  <c r="R154" i="16"/>
  <c r="AG154" i="16"/>
  <c r="AJ163" i="16"/>
  <c r="AG163" i="16"/>
  <c r="AH163" i="16"/>
  <c r="AK163" i="16"/>
  <c r="AH294" i="16"/>
  <c r="AI163" i="16"/>
  <c r="AF154" i="16"/>
  <c r="O154" i="16"/>
  <c r="AG303" i="16"/>
  <c r="AH154" i="16"/>
  <c r="AK154" i="16"/>
  <c r="AF212" i="16"/>
  <c r="N154" i="16"/>
  <c r="AK303" i="16"/>
  <c r="AI303" i="16"/>
  <c r="AJ303" i="16"/>
  <c r="AF303" i="16"/>
  <c r="Q303" i="16"/>
  <c r="AJ333" i="16"/>
  <c r="AK224" i="16"/>
  <c r="O333" i="16"/>
  <c r="AK333" i="16"/>
  <c r="R333" i="16"/>
  <c r="N333" i="16"/>
  <c r="AI333" i="16"/>
  <c r="AG333" i="16"/>
  <c r="P303" i="16"/>
  <c r="P333" i="16"/>
  <c r="AH333" i="16"/>
  <c r="AF333" i="16"/>
  <c r="R303" i="16"/>
  <c r="O303" i="16"/>
  <c r="N303" i="16"/>
  <c r="AF261" i="16"/>
  <c r="AG294" i="16"/>
  <c r="AJ294" i="16"/>
  <c r="AH261" i="16"/>
  <c r="S333" i="16"/>
  <c r="AK294" i="16"/>
  <c r="AI294" i="16"/>
  <c r="AK261" i="16"/>
  <c r="AF294" i="16"/>
  <c r="AG261" i="16"/>
  <c r="AJ261" i="16"/>
  <c r="AJ293" i="16"/>
  <c r="AH293" i="16"/>
  <c r="AG293" i="16"/>
  <c r="AK293" i="16"/>
  <c r="AI293" i="16"/>
  <c r="Q293" i="16"/>
  <c r="AF293" i="16"/>
  <c r="R293" i="16"/>
  <c r="R294" i="16"/>
  <c r="AJ208" i="16"/>
  <c r="P293" i="16"/>
  <c r="S293" i="16"/>
  <c r="AK208" i="16"/>
  <c r="AG208" i="16"/>
  <c r="Q294" i="16"/>
  <c r="S294" i="16"/>
  <c r="AF208" i="16"/>
  <c r="AH208" i="16"/>
  <c r="O294" i="16"/>
  <c r="N294" i="16"/>
  <c r="AG334" i="16"/>
  <c r="AG224" i="16"/>
  <c r="AI224" i="16"/>
  <c r="AH224" i="16"/>
  <c r="AF130" i="16"/>
  <c r="AG339" i="16"/>
  <c r="AF177" i="16"/>
  <c r="AI170" i="16"/>
  <c r="AH177" i="16"/>
  <c r="S339" i="16"/>
  <c r="AJ170" i="16"/>
  <c r="Q174" i="16"/>
  <c r="AF295" i="16"/>
  <c r="AK174" i="16"/>
  <c r="AG170" i="16"/>
  <c r="AK170" i="16"/>
  <c r="AJ174" i="16"/>
  <c r="AH170" i="16"/>
  <c r="AG130" i="16"/>
  <c r="AF339" i="16"/>
  <c r="AJ177" i="16"/>
  <c r="AK177" i="16"/>
  <c r="O339" i="16"/>
  <c r="AJ339" i="16"/>
  <c r="AI339" i="16"/>
  <c r="AI177" i="16"/>
  <c r="AK339" i="16"/>
  <c r="AH339" i="16"/>
  <c r="R339" i="16"/>
  <c r="P339" i="16"/>
  <c r="Q339" i="16"/>
  <c r="AJ224" i="16"/>
  <c r="AH341" i="16"/>
  <c r="AK222" i="16"/>
  <c r="AH262" i="16"/>
  <c r="AG148" i="16"/>
  <c r="AK227" i="16"/>
  <c r="AH148" i="16"/>
  <c r="AK334" i="16"/>
  <c r="AI295" i="16"/>
  <c r="AJ295" i="16"/>
  <c r="AI174" i="16"/>
  <c r="P174" i="16"/>
  <c r="AG295" i="16"/>
  <c r="AH295" i="16"/>
  <c r="AG174" i="16"/>
  <c r="O174" i="16"/>
  <c r="R174" i="16"/>
  <c r="Q295" i="16"/>
  <c r="AF174" i="16"/>
  <c r="AH174" i="16"/>
  <c r="AH190" i="16"/>
  <c r="S174" i="16"/>
  <c r="AF262" i="16"/>
  <c r="AI262" i="16"/>
  <c r="AJ148" i="16"/>
  <c r="AH222" i="16"/>
  <c r="AK262" i="16"/>
  <c r="AJ262" i="16"/>
  <c r="AK148" i="16"/>
  <c r="AI222" i="16"/>
  <c r="AG222" i="16"/>
  <c r="AF148" i="16"/>
  <c r="AJ222" i="16"/>
  <c r="AJ334" i="16"/>
  <c r="AI334" i="16"/>
  <c r="S334" i="16"/>
  <c r="AG341" i="16"/>
  <c r="AF334" i="16"/>
  <c r="AH334" i="16"/>
  <c r="AJ341" i="16"/>
  <c r="AF341" i="16"/>
  <c r="AK130" i="16"/>
  <c r="AJ130" i="16"/>
  <c r="AG176" i="16"/>
  <c r="AJ348" i="16"/>
  <c r="AI316" i="16"/>
  <c r="Q341" i="16"/>
  <c r="O341" i="16"/>
  <c r="S341" i="16"/>
  <c r="S295" i="16"/>
  <c r="O295" i="16"/>
  <c r="P295" i="16"/>
  <c r="R295" i="16"/>
  <c r="AK341" i="16"/>
  <c r="N341" i="16"/>
  <c r="R341" i="16"/>
  <c r="AI341" i="16"/>
  <c r="AH130" i="16"/>
  <c r="AK176" i="16"/>
  <c r="AK348" i="16"/>
  <c r="N295" i="16"/>
  <c r="AF267" i="16"/>
  <c r="AH267" i="16"/>
  <c r="AG190" i="16"/>
  <c r="AI190" i="16"/>
  <c r="AF316" i="16"/>
  <c r="R334" i="16"/>
  <c r="AJ190" i="16"/>
  <c r="AK190" i="16"/>
  <c r="AI207" i="16"/>
  <c r="AG158" i="16"/>
  <c r="AJ158" i="16"/>
  <c r="AK158" i="16"/>
  <c r="AH158" i="16"/>
  <c r="AJ322" i="16"/>
  <c r="AI158" i="16"/>
  <c r="AG207" i="16"/>
  <c r="AG322" i="16"/>
  <c r="AF322" i="16"/>
  <c r="AJ207" i="16"/>
  <c r="AK207" i="16"/>
  <c r="AH322" i="16"/>
  <c r="AI322" i="16"/>
  <c r="AF207" i="16"/>
  <c r="AI176" i="16"/>
  <c r="AK267" i="16"/>
  <c r="AJ176" i="16"/>
  <c r="AI267" i="16"/>
  <c r="AF176" i="16"/>
  <c r="AJ267" i="16"/>
  <c r="O334" i="16"/>
  <c r="Q334" i="16"/>
  <c r="N334" i="16"/>
  <c r="S348" i="16"/>
  <c r="AI227" i="16"/>
  <c r="AF348" i="16"/>
  <c r="R348" i="16"/>
  <c r="N176" i="16"/>
  <c r="O176" i="16"/>
  <c r="R176" i="16"/>
  <c r="S176" i="16"/>
  <c r="Q176" i="16"/>
  <c r="P176" i="16"/>
  <c r="R316" i="16"/>
  <c r="N316" i="16"/>
  <c r="S316" i="16"/>
  <c r="P316" i="16"/>
  <c r="Q316" i="16"/>
  <c r="O316" i="16"/>
  <c r="AF227" i="16"/>
  <c r="AG227" i="16"/>
  <c r="AH316" i="16"/>
  <c r="N322" i="16"/>
  <c r="S322" i="16"/>
  <c r="Q322" i="16"/>
  <c r="P322" i="16"/>
  <c r="R322" i="16"/>
  <c r="O322" i="16"/>
  <c r="P348" i="16"/>
  <c r="O348" i="16"/>
  <c r="N348" i="16"/>
  <c r="Q348" i="16"/>
  <c r="AH227" i="16"/>
  <c r="AG348" i="16"/>
  <c r="AH348" i="16"/>
  <c r="AK316" i="16"/>
  <c r="AJ316" i="16"/>
  <c r="AF16" i="16"/>
  <c r="AK16" i="16"/>
  <c r="AJ16" i="16"/>
  <c r="AI16" i="16"/>
  <c r="AH16" i="16"/>
  <c r="AG16" i="16"/>
  <c r="O16" i="16"/>
  <c r="P16" i="16"/>
  <c r="S16" i="16"/>
  <c r="N16" i="16"/>
  <c r="Q16" i="16"/>
  <c r="R16" i="16"/>
  <c r="AK48" i="16"/>
  <c r="AI48" i="16"/>
  <c r="AF48" i="16"/>
  <c r="AH48" i="16"/>
  <c r="AJ48" i="16"/>
  <c r="AG48" i="16"/>
  <c r="P48" i="16"/>
  <c r="Q48" i="16"/>
  <c r="N48" i="16"/>
  <c r="R48" i="16"/>
  <c r="O48" i="16"/>
  <c r="S48" i="16"/>
  <c r="AI134" i="16"/>
  <c r="AJ134" i="16"/>
  <c r="AG134" i="16"/>
  <c r="AF134" i="16"/>
  <c r="AH134" i="16"/>
  <c r="AK134" i="16"/>
  <c r="Q134" i="16"/>
  <c r="R134" i="16"/>
  <c r="S134" i="16"/>
  <c r="P134" i="16"/>
  <c r="N134" i="16"/>
  <c r="O134" i="16"/>
  <c r="AI298" i="16"/>
  <c r="AH298" i="16"/>
  <c r="AJ298" i="16"/>
  <c r="AK298" i="16"/>
  <c r="AF298" i="16"/>
  <c r="AG298" i="16"/>
  <c r="Q298" i="16"/>
  <c r="N298" i="16"/>
  <c r="P298" i="16"/>
  <c r="R298" i="16"/>
  <c r="O298" i="16"/>
  <c r="S298" i="16"/>
  <c r="AH435" i="16"/>
  <c r="AK435" i="16"/>
  <c r="AF435" i="16"/>
  <c r="AJ435" i="16"/>
  <c r="AI435" i="16"/>
  <c r="AG435" i="16"/>
  <c r="Q435" i="16"/>
  <c r="P435" i="16"/>
  <c r="N435" i="16"/>
  <c r="O435" i="16"/>
  <c r="R435" i="16"/>
  <c r="S435" i="16"/>
  <c r="AF102" i="16"/>
  <c r="AH102" i="16"/>
  <c r="AK102" i="16"/>
  <c r="AJ102" i="16"/>
  <c r="AI102" i="16"/>
  <c r="AG102" i="16"/>
  <c r="P102" i="16"/>
  <c r="S102" i="16"/>
  <c r="R102" i="16"/>
  <c r="N102" i="16"/>
  <c r="O102" i="16"/>
  <c r="Q102" i="16"/>
  <c r="AH80" i="16"/>
  <c r="AJ80" i="16"/>
  <c r="AG80" i="16"/>
  <c r="AF80" i="16"/>
  <c r="AI80" i="16"/>
  <c r="AK80" i="16"/>
  <c r="Q80" i="16"/>
  <c r="N80" i="16"/>
  <c r="R80" i="16"/>
  <c r="O80" i="16"/>
  <c r="S80" i="16"/>
  <c r="P80" i="16"/>
  <c r="AH242" i="16"/>
  <c r="AG242" i="16"/>
  <c r="AF242" i="16"/>
  <c r="AK242" i="16"/>
  <c r="AI242" i="16"/>
  <c r="AJ242" i="16"/>
  <c r="AK188" i="16"/>
  <c r="AH188" i="16"/>
  <c r="AJ188" i="16"/>
  <c r="AI188" i="16"/>
  <c r="AG188" i="16"/>
  <c r="AF188" i="16"/>
  <c r="S188" i="16"/>
  <c r="Q188" i="16"/>
  <c r="P188" i="16"/>
  <c r="O188" i="16"/>
  <c r="R188" i="16"/>
  <c r="N188" i="16"/>
  <c r="AF265" i="16"/>
  <c r="AK265" i="16"/>
  <c r="AG265" i="16"/>
  <c r="AJ265" i="16"/>
  <c r="AH265" i="16"/>
  <c r="AI265" i="16"/>
  <c r="S265" i="16"/>
  <c r="P265" i="16"/>
  <c r="N265" i="16"/>
  <c r="O265" i="16"/>
  <c r="Q265" i="16"/>
  <c r="R265" i="16"/>
  <c r="AK403" i="16"/>
  <c r="AH403" i="16"/>
  <c r="AI403" i="16"/>
  <c r="AF403" i="16"/>
  <c r="AG403" i="16"/>
  <c r="AJ403" i="16"/>
  <c r="N403" i="16"/>
  <c r="P403" i="16"/>
  <c r="O403" i="16"/>
  <c r="Q403" i="16"/>
  <c r="S403" i="16"/>
  <c r="R403" i="16"/>
  <c r="AH21" i="16"/>
  <c r="AI21" i="16"/>
  <c r="AK21" i="16"/>
  <c r="AJ21" i="16"/>
  <c r="AF21" i="16"/>
  <c r="AG21" i="16"/>
  <c r="O21" i="16"/>
  <c r="Q21" i="16"/>
  <c r="R21" i="16"/>
  <c r="P21" i="16"/>
  <c r="N21" i="16"/>
  <c r="S21" i="16"/>
  <c r="AI181" i="16"/>
  <c r="AF181" i="16"/>
  <c r="AK181" i="16"/>
  <c r="AJ181" i="16"/>
  <c r="AH181" i="16"/>
  <c r="AG181" i="16"/>
  <c r="R181" i="16"/>
  <c r="S181" i="16"/>
  <c r="Q181" i="16"/>
  <c r="O181" i="16"/>
  <c r="N181" i="16"/>
  <c r="P181" i="16"/>
  <c r="AF56" i="16"/>
  <c r="AI56" i="16"/>
  <c r="AK56" i="16"/>
  <c r="AH56" i="16"/>
  <c r="AJ56" i="16"/>
  <c r="AG56" i="16"/>
  <c r="O56" i="16"/>
  <c r="S56" i="16"/>
  <c r="P56" i="16"/>
  <c r="Q56" i="16"/>
  <c r="N56" i="16"/>
  <c r="R56" i="16"/>
  <c r="AI82" i="16"/>
  <c r="AG82" i="16"/>
  <c r="AK82" i="16"/>
  <c r="AH82" i="16"/>
  <c r="AJ82" i="16"/>
  <c r="AF82" i="16"/>
  <c r="Q82" i="16"/>
  <c r="S82" i="16"/>
  <c r="P82" i="16"/>
  <c r="R82" i="16"/>
  <c r="N82" i="16"/>
  <c r="O82" i="16"/>
  <c r="AI99" i="16"/>
  <c r="AH99" i="16"/>
  <c r="AF99" i="16"/>
  <c r="AK99" i="16"/>
  <c r="AJ99" i="16"/>
  <c r="AG99" i="16"/>
  <c r="Q99" i="16"/>
  <c r="O99" i="16"/>
  <c r="R99" i="16"/>
  <c r="S99" i="16"/>
  <c r="P99" i="16"/>
  <c r="N99" i="16"/>
  <c r="AJ116" i="16"/>
  <c r="AH116" i="16"/>
  <c r="AK116" i="16"/>
  <c r="AF116" i="16"/>
  <c r="AI116" i="16"/>
  <c r="AG116" i="16"/>
  <c r="O116" i="16"/>
  <c r="S116" i="16"/>
  <c r="Q116" i="16"/>
  <c r="N116" i="16"/>
  <c r="R116" i="16"/>
  <c r="P116" i="16"/>
  <c r="AH136" i="16"/>
  <c r="AG136" i="16"/>
  <c r="AK136" i="16"/>
  <c r="AI136" i="16"/>
  <c r="AJ136" i="16"/>
  <c r="AF136" i="16"/>
  <c r="S136" i="16"/>
  <c r="R136" i="16"/>
  <c r="N136" i="16"/>
  <c r="O136" i="16"/>
  <c r="Q136" i="16"/>
  <c r="P136" i="16"/>
  <c r="AI258" i="16"/>
  <c r="AJ258" i="16"/>
  <c r="AF258" i="16"/>
  <c r="AG258" i="16"/>
  <c r="AH258" i="16"/>
  <c r="AK258" i="16"/>
  <c r="O258" i="16"/>
  <c r="P258" i="16"/>
  <c r="S258" i="16"/>
  <c r="R258" i="16"/>
  <c r="N258" i="16"/>
  <c r="Q258" i="16"/>
  <c r="AF300" i="16"/>
  <c r="AJ300" i="16"/>
  <c r="AG300" i="16"/>
  <c r="AI300" i="16"/>
  <c r="AK300" i="16"/>
  <c r="AH300" i="16"/>
  <c r="P300" i="16"/>
  <c r="Q300" i="16"/>
  <c r="O300" i="16"/>
  <c r="N300" i="16"/>
  <c r="S300" i="16"/>
  <c r="R300" i="16"/>
  <c r="AH156" i="16"/>
  <c r="AJ156" i="16"/>
  <c r="AK156" i="16"/>
  <c r="AG156" i="16"/>
  <c r="AF156" i="16"/>
  <c r="AI156" i="16"/>
  <c r="S156" i="16"/>
  <c r="N156" i="16"/>
  <c r="Q156" i="16"/>
  <c r="R156" i="16"/>
  <c r="O156" i="16"/>
  <c r="P156" i="16"/>
  <c r="AF280" i="16"/>
  <c r="AH280" i="16"/>
  <c r="AK280" i="16"/>
  <c r="AG280" i="16"/>
  <c r="AI280" i="16"/>
  <c r="AJ280" i="16"/>
  <c r="Q280" i="16"/>
  <c r="O280" i="16"/>
  <c r="R280" i="16"/>
  <c r="S280" i="16"/>
  <c r="P280" i="16"/>
  <c r="N280" i="16"/>
  <c r="AI69" i="16"/>
  <c r="AJ69" i="16"/>
  <c r="AF69" i="16"/>
  <c r="AH69" i="16"/>
  <c r="AK69" i="16"/>
  <c r="AG69" i="16"/>
  <c r="Q69" i="16"/>
  <c r="N69" i="16"/>
  <c r="R69" i="16"/>
  <c r="O69" i="16"/>
  <c r="S69" i="16"/>
  <c r="P69" i="16"/>
  <c r="AH104" i="16"/>
  <c r="AK104" i="16"/>
  <c r="AJ104" i="16"/>
  <c r="AI104" i="16"/>
  <c r="AG104" i="16"/>
  <c r="AF104" i="16"/>
  <c r="O104" i="16"/>
  <c r="R104" i="16"/>
  <c r="P104" i="16"/>
  <c r="S104" i="16"/>
  <c r="N104" i="16"/>
  <c r="Q104" i="16"/>
  <c r="AI200" i="16"/>
  <c r="AG200" i="16"/>
  <c r="AF200" i="16"/>
  <c r="AK200" i="16"/>
  <c r="AH200" i="16"/>
  <c r="AJ200" i="16"/>
  <c r="O200" i="16"/>
  <c r="Q200" i="16"/>
  <c r="S200" i="16"/>
  <c r="R200" i="16"/>
  <c r="N200" i="16"/>
  <c r="P200" i="16"/>
  <c r="AG264" i="16"/>
  <c r="AF264" i="16"/>
  <c r="AK264" i="16"/>
  <c r="AH264" i="16"/>
  <c r="AI264" i="16"/>
  <c r="AJ264" i="16"/>
  <c r="S264" i="16"/>
  <c r="P264" i="16"/>
  <c r="O264" i="16"/>
  <c r="R264" i="16"/>
  <c r="N264" i="16"/>
  <c r="Q264" i="16"/>
  <c r="AH159" i="16"/>
  <c r="AJ159" i="16"/>
  <c r="AK159" i="16"/>
  <c r="AG159" i="16"/>
  <c r="AF159" i="16"/>
  <c r="AI159" i="16"/>
  <c r="S159" i="16"/>
  <c r="R159" i="16"/>
  <c r="Q159" i="16"/>
  <c r="N159" i="16"/>
  <c r="O159" i="16"/>
  <c r="P159" i="16"/>
  <c r="AG281" i="16"/>
  <c r="AI281" i="16"/>
  <c r="AH281" i="16"/>
  <c r="AK281" i="16"/>
  <c r="AJ281" i="16"/>
  <c r="AF281" i="16"/>
  <c r="S281" i="16"/>
  <c r="O281" i="16"/>
  <c r="R281" i="16"/>
  <c r="P281" i="16"/>
  <c r="Q281" i="16"/>
  <c r="AI431" i="16"/>
  <c r="AH431" i="16"/>
  <c r="AF431" i="16"/>
  <c r="AG431" i="16"/>
  <c r="AK431" i="16"/>
  <c r="AJ431" i="16"/>
  <c r="P431" i="16"/>
  <c r="Q431" i="16"/>
  <c r="O431" i="16"/>
  <c r="S431" i="16"/>
  <c r="N431" i="16"/>
  <c r="R431" i="16"/>
  <c r="AK364" i="16"/>
  <c r="AH364" i="16"/>
  <c r="AI364" i="16"/>
  <c r="AJ364" i="16"/>
  <c r="AG364" i="16"/>
  <c r="AF364" i="16"/>
  <c r="O364" i="16"/>
  <c r="R364" i="16"/>
  <c r="P364" i="16"/>
  <c r="S364" i="16"/>
  <c r="Q364" i="16"/>
  <c r="N364" i="16"/>
  <c r="AK380" i="16"/>
  <c r="AJ380" i="16"/>
  <c r="AH380" i="16"/>
  <c r="AI380" i="16"/>
  <c r="AF380" i="16"/>
  <c r="AG380" i="16"/>
  <c r="O380" i="16"/>
  <c r="P380" i="16"/>
  <c r="R380" i="16"/>
  <c r="S380" i="16"/>
  <c r="Q380" i="16"/>
  <c r="N380" i="16"/>
  <c r="AK324" i="16"/>
  <c r="AH324" i="16"/>
  <c r="AI324" i="16"/>
  <c r="AF324" i="16"/>
  <c r="AJ324" i="16"/>
  <c r="AG324" i="16"/>
  <c r="R324" i="16"/>
  <c r="O324" i="16"/>
  <c r="N324" i="16"/>
  <c r="S324" i="16"/>
  <c r="Q324" i="16"/>
  <c r="P324" i="16"/>
  <c r="AH395" i="16"/>
  <c r="AI395" i="16"/>
  <c r="AF395" i="16"/>
  <c r="AG395" i="16"/>
  <c r="AK395" i="16"/>
  <c r="AJ395" i="16"/>
  <c r="P395" i="16"/>
  <c r="R395" i="16"/>
  <c r="N395" i="16"/>
  <c r="S395" i="16"/>
  <c r="O395" i="16"/>
  <c r="Q395" i="16"/>
  <c r="AH358" i="16"/>
  <c r="AI358" i="16"/>
  <c r="AF358" i="16"/>
  <c r="AG358" i="16"/>
  <c r="AK358" i="16"/>
  <c r="AJ358" i="16"/>
  <c r="R358" i="16"/>
  <c r="Q358" i="16"/>
  <c r="O358" i="16"/>
  <c r="S358" i="16"/>
  <c r="P358" i="16"/>
  <c r="N358" i="16"/>
  <c r="AK379" i="16"/>
  <c r="AH379" i="16"/>
  <c r="AG379" i="16"/>
  <c r="AJ379" i="16"/>
  <c r="AI379" i="16"/>
  <c r="AF379" i="16"/>
  <c r="S379" i="16"/>
  <c r="P379" i="16"/>
  <c r="N379" i="16"/>
  <c r="O379" i="16"/>
  <c r="Q379" i="16"/>
  <c r="R379" i="16"/>
  <c r="AJ433" i="16"/>
  <c r="AH433" i="16"/>
  <c r="AI433" i="16"/>
  <c r="AG433" i="16"/>
  <c r="AF433" i="16"/>
  <c r="AK433" i="16"/>
  <c r="AF5" i="16"/>
  <c r="AH5" i="16"/>
  <c r="AK5" i="16"/>
  <c r="AJ5" i="16"/>
  <c r="AG5" i="16"/>
  <c r="AI5" i="16"/>
  <c r="O5" i="16"/>
  <c r="S5" i="16"/>
  <c r="N5" i="16"/>
  <c r="P5" i="16"/>
  <c r="Q5" i="16"/>
  <c r="R5" i="16"/>
  <c r="AH13" i="16"/>
  <c r="AF13" i="16"/>
  <c r="AG13" i="16"/>
  <c r="AJ13" i="16"/>
  <c r="AK13" i="16"/>
  <c r="AI13" i="16"/>
  <c r="N13" i="16"/>
  <c r="S13" i="16"/>
  <c r="Q13" i="16"/>
  <c r="R13" i="16"/>
  <c r="O13" i="16"/>
  <c r="P13" i="16"/>
  <c r="AF30" i="16"/>
  <c r="AJ30" i="16"/>
  <c r="AK30" i="16"/>
  <c r="AH30" i="16"/>
  <c r="AI30" i="16"/>
  <c r="AG30" i="16"/>
  <c r="P30" i="16"/>
  <c r="Q30" i="16"/>
  <c r="N30" i="16"/>
  <c r="R30" i="16"/>
  <c r="O30" i="16"/>
  <c r="S30" i="16"/>
  <c r="AG84" i="16"/>
  <c r="AI84" i="16"/>
  <c r="AK84" i="16"/>
  <c r="AH84" i="16"/>
  <c r="AF84" i="16"/>
  <c r="AJ84" i="16"/>
  <c r="O84" i="16"/>
  <c r="P84" i="16"/>
  <c r="Q84" i="16"/>
  <c r="N84" i="16"/>
  <c r="R84" i="16"/>
  <c r="S84" i="16"/>
  <c r="AF138" i="16"/>
  <c r="AH138" i="16"/>
  <c r="AK138" i="16"/>
  <c r="AI138" i="16"/>
  <c r="AJ138" i="16"/>
  <c r="AG138" i="16"/>
  <c r="O138" i="16"/>
  <c r="R138" i="16"/>
  <c r="N138" i="16"/>
  <c r="Q138" i="16"/>
  <c r="S138" i="16"/>
  <c r="P138" i="16"/>
  <c r="AH191" i="16"/>
  <c r="AK191" i="16"/>
  <c r="AG191" i="16"/>
  <c r="AF191" i="16"/>
  <c r="AJ191" i="16"/>
  <c r="AI191" i="16"/>
  <c r="P191" i="16"/>
  <c r="S191" i="16"/>
  <c r="Q191" i="16"/>
  <c r="R191" i="16"/>
  <c r="O191" i="16"/>
  <c r="N191" i="16"/>
  <c r="AJ260" i="16"/>
  <c r="AI260" i="16"/>
  <c r="AF260" i="16"/>
  <c r="AG260" i="16"/>
  <c r="AK260" i="16"/>
  <c r="AH260" i="16"/>
  <c r="R260" i="16"/>
  <c r="S260" i="16"/>
  <c r="P260" i="16"/>
  <c r="N260" i="16"/>
  <c r="O260" i="16"/>
  <c r="Q260" i="16"/>
  <c r="AG302" i="16"/>
  <c r="AK302" i="16"/>
  <c r="AF302" i="16"/>
  <c r="AI302" i="16"/>
  <c r="AJ302" i="16"/>
  <c r="AH302" i="16"/>
  <c r="R302" i="16"/>
  <c r="P302" i="16"/>
  <c r="S302" i="16"/>
  <c r="Q302" i="16"/>
  <c r="N302" i="16"/>
  <c r="O302" i="16"/>
  <c r="AG226" i="16"/>
  <c r="AI226" i="16"/>
  <c r="AK226" i="16"/>
  <c r="AH226" i="16"/>
  <c r="AF226" i="16"/>
  <c r="AJ226" i="16"/>
  <c r="N226" i="16"/>
  <c r="Q226" i="16"/>
  <c r="O226" i="16"/>
  <c r="P226" i="16"/>
  <c r="S226" i="16"/>
  <c r="R226" i="16"/>
  <c r="AF309" i="16"/>
  <c r="AK309" i="16"/>
  <c r="AI309" i="16"/>
  <c r="AG309" i="16"/>
  <c r="AJ309" i="16"/>
  <c r="AH309" i="16"/>
  <c r="N309" i="16"/>
  <c r="Q309" i="16"/>
  <c r="O309" i="16"/>
  <c r="R309" i="16"/>
  <c r="S309" i="16"/>
  <c r="P309" i="16"/>
  <c r="AJ63" i="16"/>
  <c r="AG63" i="16"/>
  <c r="AI63" i="16"/>
  <c r="AF63" i="16"/>
  <c r="AH63" i="16"/>
  <c r="AK63" i="16"/>
  <c r="Q63" i="16"/>
  <c r="N63" i="16"/>
  <c r="R63" i="16"/>
  <c r="O63" i="16"/>
  <c r="S63" i="16"/>
  <c r="P63" i="16"/>
  <c r="AI106" i="16"/>
  <c r="AH106" i="16"/>
  <c r="AK106" i="16"/>
  <c r="AF106" i="16"/>
  <c r="AG106" i="16"/>
  <c r="AJ106" i="16"/>
  <c r="O106" i="16"/>
  <c r="P106" i="16"/>
  <c r="N106" i="16"/>
  <c r="S106" i="16"/>
  <c r="Q106" i="16"/>
  <c r="R106" i="16"/>
  <c r="AJ124" i="16"/>
  <c r="AH124" i="16"/>
  <c r="AG124" i="16"/>
  <c r="AI124" i="16"/>
  <c r="AF124" i="16"/>
  <c r="AK124" i="16"/>
  <c r="P124" i="16"/>
  <c r="O124" i="16"/>
  <c r="Q124" i="16"/>
  <c r="R124" i="16"/>
  <c r="S124" i="16"/>
  <c r="N124" i="16"/>
  <c r="AH165" i="16"/>
  <c r="AJ165" i="16"/>
  <c r="AG165" i="16"/>
  <c r="AI165" i="16"/>
  <c r="AK165" i="16"/>
  <c r="AF165" i="16"/>
  <c r="R165" i="16"/>
  <c r="O165" i="16"/>
  <c r="P165" i="16"/>
  <c r="N165" i="16"/>
  <c r="S165" i="16"/>
  <c r="Q165" i="16"/>
  <c r="AH194" i="16"/>
  <c r="AF194" i="16"/>
  <c r="AJ194" i="16"/>
  <c r="AI194" i="16"/>
  <c r="AG194" i="16"/>
  <c r="AK194" i="16"/>
  <c r="O194" i="16"/>
  <c r="N194" i="16"/>
  <c r="R194" i="16"/>
  <c r="S194" i="16"/>
  <c r="Q194" i="16"/>
  <c r="P194" i="16"/>
  <c r="AK149" i="16"/>
  <c r="AJ149" i="16"/>
  <c r="AH149" i="16"/>
  <c r="AI149" i="16"/>
  <c r="AF149" i="16"/>
  <c r="AG149" i="16"/>
  <c r="S149" i="16"/>
  <c r="O149" i="16"/>
  <c r="R149" i="16"/>
  <c r="P149" i="16"/>
  <c r="N149" i="16"/>
  <c r="Q149" i="16"/>
  <c r="AG225" i="16"/>
  <c r="AI225" i="16"/>
  <c r="AK225" i="16"/>
  <c r="AH225" i="16"/>
  <c r="AF225" i="16"/>
  <c r="AJ225" i="16"/>
  <c r="N225" i="16"/>
  <c r="O225" i="16"/>
  <c r="P225" i="16"/>
  <c r="Q225" i="16"/>
  <c r="R225" i="16"/>
  <c r="S225" i="16"/>
  <c r="AK275" i="16"/>
  <c r="AI275" i="16"/>
  <c r="AH275" i="16"/>
  <c r="AF275" i="16"/>
  <c r="AG275" i="16"/>
  <c r="AJ275" i="16"/>
  <c r="P275" i="16"/>
  <c r="Q275" i="16"/>
  <c r="S275" i="16"/>
  <c r="O275" i="16"/>
  <c r="R275" i="16"/>
  <c r="N275" i="16"/>
  <c r="AI308" i="16"/>
  <c r="AH308" i="16"/>
  <c r="AF308" i="16"/>
  <c r="AG308" i="16"/>
  <c r="AJ308" i="16"/>
  <c r="AK308" i="16"/>
  <c r="S308" i="16"/>
  <c r="R308" i="16"/>
  <c r="O308" i="16"/>
  <c r="P308" i="16"/>
  <c r="N308" i="16"/>
  <c r="Q308" i="16"/>
  <c r="AI407" i="16"/>
  <c r="AF407" i="16"/>
  <c r="AH407" i="16"/>
  <c r="AJ407" i="16"/>
  <c r="AG407" i="16"/>
  <c r="AK407" i="16"/>
  <c r="Q407" i="16"/>
  <c r="P407" i="16"/>
  <c r="S407" i="16"/>
  <c r="N407" i="16"/>
  <c r="R407" i="16"/>
  <c r="O407" i="16"/>
  <c r="AG401" i="16"/>
  <c r="AI401" i="16"/>
  <c r="AF401" i="16"/>
  <c r="AJ401" i="16"/>
  <c r="AH401" i="16"/>
  <c r="AK401" i="16"/>
  <c r="O401" i="16"/>
  <c r="P401" i="16"/>
  <c r="N401" i="16"/>
  <c r="S401" i="16"/>
  <c r="Q401" i="16"/>
  <c r="R401" i="16"/>
  <c r="AI397" i="16"/>
  <c r="AF397" i="16"/>
  <c r="AG397" i="16"/>
  <c r="AH397" i="16"/>
  <c r="AK397" i="16"/>
  <c r="AJ397" i="16"/>
  <c r="N397" i="16"/>
  <c r="O397" i="16"/>
  <c r="Q397" i="16"/>
  <c r="R397" i="16"/>
  <c r="S397" i="16"/>
  <c r="P397" i="16"/>
  <c r="AH424" i="16"/>
  <c r="AK424" i="16"/>
  <c r="AJ424" i="16"/>
  <c r="AF424" i="16"/>
  <c r="AG424" i="16"/>
  <c r="AI424" i="16"/>
  <c r="S424" i="16"/>
  <c r="P424" i="16"/>
  <c r="N424" i="16"/>
  <c r="Q424" i="16"/>
  <c r="O424" i="16"/>
  <c r="R424" i="16"/>
  <c r="AI402" i="16"/>
  <c r="AJ402" i="16"/>
  <c r="AH402" i="16"/>
  <c r="AG402" i="16"/>
  <c r="AK402" i="16"/>
  <c r="AF402" i="16"/>
  <c r="N402" i="16"/>
  <c r="S402" i="16"/>
  <c r="Q402" i="16"/>
  <c r="P402" i="16"/>
  <c r="R402" i="16"/>
  <c r="O402" i="16"/>
  <c r="AI6" i="16"/>
  <c r="AH6" i="16"/>
  <c r="AK6" i="16"/>
  <c r="AF6" i="16"/>
  <c r="AJ6" i="16"/>
  <c r="AG6" i="16"/>
  <c r="Q6" i="16"/>
  <c r="P6" i="16"/>
  <c r="R6" i="16"/>
  <c r="O6" i="16"/>
  <c r="S6" i="16"/>
  <c r="N6" i="16"/>
  <c r="AH35" i="16"/>
  <c r="AJ35" i="16"/>
  <c r="AG35" i="16"/>
  <c r="AF35" i="16"/>
  <c r="AK35" i="16"/>
  <c r="AI35" i="16"/>
  <c r="P35" i="16"/>
  <c r="O35" i="16"/>
  <c r="Q35" i="16"/>
  <c r="N35" i="16"/>
  <c r="R35" i="16"/>
  <c r="S35" i="16"/>
  <c r="AH42" i="16"/>
  <c r="AJ42" i="16"/>
  <c r="AG42" i="16"/>
  <c r="AK42" i="16"/>
  <c r="AI42" i="16"/>
  <c r="AF42" i="16"/>
  <c r="O42" i="16"/>
  <c r="S42" i="16"/>
  <c r="P42" i="16"/>
  <c r="Q42" i="16"/>
  <c r="N42" i="16"/>
  <c r="R42" i="16"/>
  <c r="AI76" i="16"/>
  <c r="AK76" i="16"/>
  <c r="AG76" i="16"/>
  <c r="AH76" i="16"/>
  <c r="AF76" i="16"/>
  <c r="AJ76" i="16"/>
  <c r="Q76" i="16"/>
  <c r="R76" i="16"/>
  <c r="O76" i="16"/>
  <c r="S76" i="16"/>
  <c r="P76" i="16"/>
  <c r="AH94" i="16"/>
  <c r="AF94" i="16"/>
  <c r="AI94" i="16"/>
  <c r="AJ94" i="16"/>
  <c r="AG94" i="16"/>
  <c r="AK94" i="16"/>
  <c r="R94" i="16"/>
  <c r="S94" i="16"/>
  <c r="N94" i="16"/>
  <c r="Q94" i="16"/>
  <c r="P94" i="16"/>
  <c r="O94" i="16"/>
  <c r="AH112" i="16"/>
  <c r="AK112" i="16"/>
  <c r="AJ112" i="16"/>
  <c r="AF112" i="16"/>
  <c r="AI112" i="16"/>
  <c r="AG112" i="16"/>
  <c r="N112" i="16"/>
  <c r="O112" i="16"/>
  <c r="R112" i="16"/>
  <c r="Q112" i="16"/>
  <c r="S112" i="16"/>
  <c r="P112" i="16"/>
  <c r="AI129" i="16"/>
  <c r="AK129" i="16"/>
  <c r="AJ129" i="16"/>
  <c r="AG129" i="16"/>
  <c r="AH129" i="16"/>
  <c r="AF129" i="16"/>
  <c r="P129" i="16"/>
  <c r="R129" i="16"/>
  <c r="N129" i="16"/>
  <c r="O129" i="16"/>
  <c r="Q129" i="16"/>
  <c r="S129" i="16"/>
  <c r="AI254" i="16"/>
  <c r="AJ254" i="16"/>
  <c r="AF254" i="16"/>
  <c r="AH254" i="16"/>
  <c r="AK254" i="16"/>
  <c r="AG254" i="16"/>
  <c r="Q254" i="16"/>
  <c r="R254" i="16"/>
  <c r="P254" i="16"/>
  <c r="S254" i="16"/>
  <c r="O254" i="16"/>
  <c r="N254" i="16"/>
  <c r="AG216" i="16"/>
  <c r="AH216" i="16"/>
  <c r="AK216" i="16"/>
  <c r="AI216" i="16"/>
  <c r="AF216" i="16"/>
  <c r="AJ216" i="16"/>
  <c r="Q216" i="16"/>
  <c r="R216" i="16"/>
  <c r="P216" i="16"/>
  <c r="O216" i="16"/>
  <c r="N216" i="16"/>
  <c r="S216" i="16"/>
  <c r="AF49" i="16"/>
  <c r="AJ49" i="16"/>
  <c r="AI49" i="16"/>
  <c r="AG49" i="16"/>
  <c r="AH49" i="16"/>
  <c r="AK49" i="16"/>
  <c r="Q49" i="16"/>
  <c r="N49" i="16"/>
  <c r="R49" i="16"/>
  <c r="O49" i="16"/>
  <c r="S49" i="16"/>
  <c r="P49" i="16"/>
  <c r="AF81" i="16"/>
  <c r="AK81" i="16"/>
  <c r="AI81" i="16"/>
  <c r="AJ81" i="16"/>
  <c r="AH81" i="16"/>
  <c r="AG81" i="16"/>
  <c r="P81" i="16"/>
  <c r="Q81" i="16"/>
  <c r="N81" i="16"/>
  <c r="R81" i="16"/>
  <c r="O81" i="16"/>
  <c r="S81" i="16"/>
  <c r="AI98" i="16"/>
  <c r="AH98" i="16"/>
  <c r="AF98" i="16"/>
  <c r="AG98" i="16"/>
  <c r="AK98" i="16"/>
  <c r="AJ98" i="16"/>
  <c r="N98" i="16"/>
  <c r="R98" i="16"/>
  <c r="P98" i="16"/>
  <c r="O98" i="16"/>
  <c r="Q98" i="16"/>
  <c r="S98" i="16"/>
  <c r="AG257" i="16"/>
  <c r="AI257" i="16"/>
  <c r="AK257" i="16"/>
  <c r="AH257" i="16"/>
  <c r="AF257" i="16"/>
  <c r="AJ257" i="16"/>
  <c r="P257" i="16"/>
  <c r="N257" i="16"/>
  <c r="Q257" i="16"/>
  <c r="O257" i="16"/>
  <c r="R257" i="16"/>
  <c r="S257" i="16"/>
  <c r="AG301" i="16"/>
  <c r="AI301" i="16"/>
  <c r="AJ301" i="16"/>
  <c r="AH301" i="16"/>
  <c r="AK301" i="16"/>
  <c r="AF301" i="16"/>
  <c r="N301" i="16"/>
  <c r="P301" i="16"/>
  <c r="Q301" i="16"/>
  <c r="S301" i="16"/>
  <c r="R301" i="16"/>
  <c r="O301" i="16"/>
  <c r="AF229" i="16"/>
  <c r="AJ229" i="16"/>
  <c r="AI229" i="16"/>
  <c r="AH229" i="16"/>
  <c r="AG229" i="16"/>
  <c r="AK229" i="16"/>
  <c r="N229" i="16"/>
  <c r="S229" i="16"/>
  <c r="P229" i="16"/>
  <c r="R229" i="16"/>
  <c r="O229" i="16"/>
  <c r="Q229" i="16"/>
  <c r="AI277" i="16"/>
  <c r="AH277" i="16"/>
  <c r="AF277" i="16"/>
  <c r="AJ277" i="16"/>
  <c r="AK277" i="16"/>
  <c r="AG277" i="16"/>
  <c r="O277" i="16"/>
  <c r="P277" i="16"/>
  <c r="R277" i="16"/>
  <c r="S277" i="16"/>
  <c r="Q277" i="16"/>
  <c r="N277" i="16"/>
  <c r="AF310" i="16"/>
  <c r="AJ310" i="16"/>
  <c r="AG310" i="16"/>
  <c r="AI310" i="16"/>
  <c r="AH310" i="16"/>
  <c r="AK310" i="16"/>
  <c r="R310" i="16"/>
  <c r="S310" i="16"/>
  <c r="P310" i="16"/>
  <c r="N310" i="16"/>
  <c r="O310" i="16"/>
  <c r="Q310" i="16"/>
  <c r="AF409" i="16"/>
  <c r="AJ409" i="16"/>
  <c r="AI409" i="16"/>
  <c r="AG409" i="16"/>
  <c r="AH409" i="16"/>
  <c r="AK409" i="16"/>
  <c r="Q409" i="16"/>
  <c r="N409" i="16"/>
  <c r="R409" i="16"/>
  <c r="O409" i="16"/>
  <c r="P409" i="16"/>
  <c r="S409" i="16"/>
  <c r="AF405" i="16"/>
  <c r="AJ405" i="16"/>
  <c r="AI405" i="16"/>
  <c r="AG405" i="16"/>
  <c r="AH405" i="16"/>
  <c r="AK405" i="16"/>
  <c r="N405" i="16"/>
  <c r="P405" i="16"/>
  <c r="Q405" i="16"/>
  <c r="O405" i="16"/>
  <c r="S405" i="16"/>
  <c r="R405" i="16"/>
  <c r="AF414" i="16"/>
  <c r="AH414" i="16"/>
  <c r="AG414" i="16"/>
  <c r="AJ414" i="16"/>
  <c r="AI414" i="16"/>
  <c r="AK414" i="16"/>
  <c r="R414" i="16"/>
  <c r="O414" i="16"/>
  <c r="S414" i="16"/>
  <c r="Q414" i="16"/>
  <c r="N414" i="16"/>
  <c r="P414" i="16"/>
  <c r="AS340" i="16"/>
  <c r="AT340" i="16" s="1"/>
  <c r="AV340" i="16" s="1"/>
  <c r="AS166" i="16"/>
  <c r="AT166" i="16" s="1"/>
  <c r="AV166" i="16" s="1"/>
  <c r="AK24" i="16"/>
  <c r="AG24" i="16"/>
  <c r="AI24" i="16"/>
  <c r="AF24" i="16"/>
  <c r="AH24" i="16"/>
  <c r="AJ24" i="16"/>
  <c r="R24" i="16"/>
  <c r="P24" i="16"/>
  <c r="O24" i="16"/>
  <c r="Q24" i="16"/>
  <c r="S24" i="16"/>
  <c r="N24" i="16"/>
  <c r="AJ62" i="16"/>
  <c r="AI62" i="16"/>
  <c r="AG62" i="16"/>
  <c r="AH62" i="16"/>
  <c r="AF62" i="16"/>
  <c r="AK62" i="16"/>
  <c r="Q62" i="16"/>
  <c r="N62" i="16"/>
  <c r="R62" i="16"/>
  <c r="O62" i="16"/>
  <c r="S62" i="16"/>
  <c r="P62" i="16"/>
  <c r="AI105" i="16"/>
  <c r="AH105" i="16"/>
  <c r="AK105" i="16"/>
  <c r="AF105" i="16"/>
  <c r="AG105" i="16"/>
  <c r="AJ105" i="16"/>
  <c r="N105" i="16"/>
  <c r="O105" i="16"/>
  <c r="R105" i="16"/>
  <c r="S105" i="16"/>
  <c r="Q105" i="16"/>
  <c r="P105" i="16"/>
  <c r="AF152" i="16"/>
  <c r="AI152" i="16"/>
  <c r="AJ152" i="16"/>
  <c r="AH152" i="16"/>
  <c r="AG152" i="16"/>
  <c r="AK152" i="16"/>
  <c r="R152" i="16"/>
  <c r="O152" i="16"/>
  <c r="Q152" i="16"/>
  <c r="P152" i="16"/>
  <c r="S152" i="16"/>
  <c r="N152" i="16"/>
  <c r="AJ218" i="16"/>
  <c r="AG218" i="16"/>
  <c r="AI218" i="16"/>
  <c r="AK218" i="16"/>
  <c r="AH218" i="16"/>
  <c r="AF218" i="16"/>
  <c r="R218" i="16"/>
  <c r="P218" i="16"/>
  <c r="S218" i="16"/>
  <c r="Q218" i="16"/>
  <c r="N218" i="16"/>
  <c r="O218" i="16"/>
  <c r="AF305" i="16"/>
  <c r="AK305" i="16"/>
  <c r="AI305" i="16"/>
  <c r="AJ305" i="16"/>
  <c r="AH305" i="16"/>
  <c r="AG305" i="16"/>
  <c r="O305" i="16"/>
  <c r="R305" i="16"/>
  <c r="Q305" i="16"/>
  <c r="P305" i="16"/>
  <c r="S305" i="16"/>
  <c r="N305" i="16"/>
  <c r="AI75" i="16"/>
  <c r="AF75" i="16"/>
  <c r="AJ75" i="16"/>
  <c r="AK75" i="16"/>
  <c r="AH75" i="16"/>
  <c r="AG75" i="16"/>
  <c r="N75" i="16"/>
  <c r="R75" i="16"/>
  <c r="O75" i="16"/>
  <c r="S75" i="16"/>
  <c r="P75" i="16"/>
  <c r="Q75" i="16"/>
  <c r="AI91" i="16"/>
  <c r="AH91" i="16"/>
  <c r="AF91" i="16"/>
  <c r="AJ91" i="16"/>
  <c r="AG91" i="16"/>
  <c r="AK91" i="16"/>
  <c r="P91" i="16"/>
  <c r="S91" i="16"/>
  <c r="R91" i="16"/>
  <c r="O91" i="16"/>
  <c r="Q91" i="16"/>
  <c r="N91" i="16"/>
  <c r="AJ111" i="16"/>
  <c r="AH111" i="16"/>
  <c r="AK111" i="16"/>
  <c r="AI111" i="16"/>
  <c r="AF111" i="16"/>
  <c r="AG111" i="16"/>
  <c r="S111" i="16"/>
  <c r="O111" i="16"/>
  <c r="R111" i="16"/>
  <c r="N111" i="16"/>
  <c r="P111" i="16"/>
  <c r="Q111" i="16"/>
  <c r="AK135" i="16"/>
  <c r="AH135" i="16"/>
  <c r="AJ135" i="16"/>
  <c r="AI135" i="16"/>
  <c r="AG135" i="16"/>
  <c r="AF135" i="16"/>
  <c r="S135" i="16"/>
  <c r="P135" i="16"/>
  <c r="R135" i="16"/>
  <c r="Q135" i="16"/>
  <c r="N135" i="16"/>
  <c r="O135" i="16"/>
  <c r="AH169" i="16"/>
  <c r="AK169" i="16"/>
  <c r="AJ169" i="16"/>
  <c r="AG169" i="16"/>
  <c r="AF169" i="16"/>
  <c r="AI169" i="16"/>
  <c r="Q169" i="16"/>
  <c r="P169" i="16"/>
  <c r="S169" i="16"/>
  <c r="R169" i="16"/>
  <c r="O169" i="16"/>
  <c r="N169" i="16"/>
  <c r="AJ198" i="16"/>
  <c r="AH198" i="16"/>
  <c r="AF198" i="16"/>
  <c r="AI198" i="16"/>
  <c r="AG198" i="16"/>
  <c r="AK198" i="16"/>
  <c r="P198" i="16"/>
  <c r="Q198" i="16"/>
  <c r="N198" i="16"/>
  <c r="O198" i="16"/>
  <c r="R198" i="16"/>
  <c r="S198" i="16"/>
  <c r="AH157" i="16"/>
  <c r="AJ157" i="16"/>
  <c r="AG157" i="16"/>
  <c r="AI157" i="16"/>
  <c r="AK157" i="16"/>
  <c r="AF157" i="16"/>
  <c r="N157" i="16"/>
  <c r="P157" i="16"/>
  <c r="Q157" i="16"/>
  <c r="S157" i="16"/>
  <c r="O157" i="16"/>
  <c r="R157" i="16"/>
  <c r="AG289" i="16"/>
  <c r="AK289" i="16"/>
  <c r="AI289" i="16"/>
  <c r="AJ289" i="16"/>
  <c r="AH289" i="16"/>
  <c r="AF289" i="16"/>
  <c r="S289" i="16"/>
  <c r="P289" i="16"/>
  <c r="N289" i="16"/>
  <c r="O289" i="16"/>
  <c r="Q289" i="16"/>
  <c r="R289" i="16"/>
  <c r="AJ329" i="16"/>
  <c r="AH329" i="16"/>
  <c r="AI329" i="16"/>
  <c r="AF329" i="16"/>
  <c r="AG329" i="16"/>
  <c r="AK329" i="16"/>
  <c r="N329" i="16"/>
  <c r="Q329" i="16"/>
  <c r="S329" i="16"/>
  <c r="P329" i="16"/>
  <c r="R329" i="16"/>
  <c r="O329" i="16"/>
  <c r="AH396" i="16"/>
  <c r="AI396" i="16"/>
  <c r="AK396" i="16"/>
  <c r="AJ396" i="16"/>
  <c r="AG396" i="16"/>
  <c r="AF396" i="16"/>
  <c r="N396" i="16"/>
  <c r="Q396" i="16"/>
  <c r="O396" i="16"/>
  <c r="R396" i="16"/>
  <c r="S396" i="16"/>
  <c r="P396" i="16"/>
  <c r="AH357" i="16"/>
  <c r="AI357" i="16"/>
  <c r="AK357" i="16"/>
  <c r="AG357" i="16"/>
  <c r="AF357" i="16"/>
  <c r="AJ357" i="16"/>
  <c r="O357" i="16"/>
  <c r="Q357" i="16"/>
  <c r="N357" i="16"/>
  <c r="S357" i="16"/>
  <c r="P357" i="16"/>
  <c r="R357" i="16"/>
  <c r="AK418" i="16"/>
  <c r="AF418" i="16"/>
  <c r="AI418" i="16"/>
  <c r="AJ418" i="16"/>
  <c r="AH418" i="16"/>
  <c r="AG418" i="16"/>
  <c r="N418" i="16"/>
  <c r="O418" i="16"/>
  <c r="R418" i="16"/>
  <c r="S418" i="16"/>
  <c r="P418" i="16"/>
  <c r="Q418" i="16"/>
  <c r="AI432" i="16"/>
  <c r="AK432" i="16"/>
  <c r="AF432" i="16"/>
  <c r="AG432" i="16"/>
  <c r="AJ432" i="16"/>
  <c r="AH432" i="16"/>
  <c r="S432" i="16"/>
  <c r="Q432" i="16"/>
  <c r="N432" i="16"/>
  <c r="O432" i="16"/>
  <c r="R432" i="16"/>
  <c r="P432" i="16"/>
  <c r="AH369" i="16"/>
  <c r="AG369" i="16"/>
  <c r="AK369" i="16"/>
  <c r="AJ369" i="16"/>
  <c r="AI369" i="16"/>
  <c r="AF369" i="16"/>
  <c r="Q369" i="16"/>
  <c r="P369" i="16"/>
  <c r="S369" i="16"/>
  <c r="O369" i="16"/>
  <c r="R369" i="16"/>
  <c r="AK385" i="16"/>
  <c r="AH385" i="16"/>
  <c r="AI385" i="16"/>
  <c r="AF385" i="16"/>
  <c r="AJ385" i="16"/>
  <c r="AG385" i="16"/>
  <c r="R385" i="16"/>
  <c r="P385" i="16"/>
  <c r="N385" i="16"/>
  <c r="S385" i="16"/>
  <c r="Q385" i="16"/>
  <c r="O385" i="16"/>
  <c r="AS217" i="16"/>
  <c r="AT217" i="16" s="1"/>
  <c r="AV217" i="16" s="1"/>
  <c r="AS255" i="16"/>
  <c r="AT255" i="16" s="1"/>
  <c r="AV255" i="16" s="1"/>
  <c r="AH7" i="16"/>
  <c r="AG7" i="16"/>
  <c r="AF7" i="16"/>
  <c r="AK7" i="16"/>
  <c r="AJ7" i="16"/>
  <c r="AI7" i="16"/>
  <c r="N7" i="16"/>
  <c r="R7" i="16"/>
  <c r="S7" i="16"/>
  <c r="P7" i="16"/>
  <c r="O7" i="16"/>
  <c r="Q7" i="16"/>
  <c r="AH17" i="16"/>
  <c r="AK17" i="16"/>
  <c r="AF17" i="16"/>
  <c r="AJ17" i="16"/>
  <c r="AG17" i="16"/>
  <c r="AI17" i="16"/>
  <c r="S17" i="16"/>
  <c r="R17" i="16"/>
  <c r="N17" i="16"/>
  <c r="P17" i="16"/>
  <c r="Q17" i="16"/>
  <c r="O17" i="16"/>
  <c r="AG29" i="16"/>
  <c r="AI29" i="16"/>
  <c r="AH29" i="16"/>
  <c r="AF29" i="16"/>
  <c r="AK29" i="16"/>
  <c r="AJ29" i="16"/>
  <c r="Q29" i="16"/>
  <c r="P29" i="16"/>
  <c r="N29" i="16"/>
  <c r="S29" i="16"/>
  <c r="R29" i="16"/>
  <c r="O29" i="16"/>
  <c r="AF25" i="16"/>
  <c r="AG25" i="16"/>
  <c r="AH25" i="16"/>
  <c r="AJ25" i="16"/>
  <c r="AK25" i="16"/>
  <c r="AI25" i="16"/>
  <c r="N25" i="16"/>
  <c r="S25" i="16"/>
  <c r="Q25" i="16"/>
  <c r="R25" i="16"/>
  <c r="O25" i="16"/>
  <c r="P25" i="16"/>
  <c r="AJ33" i="16"/>
  <c r="AH33" i="16"/>
  <c r="AI33" i="16"/>
  <c r="AG33" i="16"/>
  <c r="AF33" i="16"/>
  <c r="AK33" i="16"/>
  <c r="S33" i="16"/>
  <c r="N33" i="16"/>
  <c r="P33" i="16"/>
  <c r="Q33" i="16"/>
  <c r="R33" i="16"/>
  <c r="O33" i="16"/>
  <c r="AH164" i="16"/>
  <c r="AJ164" i="16"/>
  <c r="AK164" i="16"/>
  <c r="AI164" i="16"/>
  <c r="AG164" i="16"/>
  <c r="AF164" i="16"/>
  <c r="O164" i="16"/>
  <c r="N164" i="16"/>
  <c r="Q164" i="16"/>
  <c r="S164" i="16"/>
  <c r="R164" i="16"/>
  <c r="P164" i="16"/>
  <c r="AJ189" i="16"/>
  <c r="AH189" i="16"/>
  <c r="AG189" i="16"/>
  <c r="AI189" i="16"/>
  <c r="AF189" i="16"/>
  <c r="AK189" i="16"/>
  <c r="S189" i="16"/>
  <c r="R189" i="16"/>
  <c r="O189" i="16"/>
  <c r="P189" i="16"/>
  <c r="N189" i="16"/>
  <c r="Q189" i="16"/>
  <c r="AF271" i="16"/>
  <c r="AH271" i="16"/>
  <c r="AJ271" i="16"/>
  <c r="AG271" i="16"/>
  <c r="AK271" i="16"/>
  <c r="AI271" i="16"/>
  <c r="S271" i="16"/>
  <c r="Q271" i="16"/>
  <c r="N271" i="16"/>
  <c r="O271" i="16"/>
  <c r="R271" i="16"/>
  <c r="P271" i="16"/>
  <c r="AF61" i="16"/>
  <c r="AI61" i="16"/>
  <c r="AJ61" i="16"/>
  <c r="AH61" i="16"/>
  <c r="AK61" i="16"/>
  <c r="AG61" i="16"/>
  <c r="Q61" i="16"/>
  <c r="N61" i="16"/>
  <c r="R61" i="16"/>
  <c r="O61" i="16"/>
  <c r="S61" i="16"/>
  <c r="P61" i="16"/>
  <c r="AI85" i="16"/>
  <c r="AJ85" i="16"/>
  <c r="AF85" i="16"/>
  <c r="AG85" i="16"/>
  <c r="AH85" i="16"/>
  <c r="AK85" i="16"/>
  <c r="R85" i="16"/>
  <c r="N85" i="16"/>
  <c r="P85" i="16"/>
  <c r="Q85" i="16"/>
  <c r="S85" i="16"/>
  <c r="O85" i="16"/>
  <c r="AK161" i="16"/>
  <c r="AF161" i="16"/>
  <c r="AH161" i="16"/>
  <c r="AJ161" i="16"/>
  <c r="AG161" i="16"/>
  <c r="AI161" i="16"/>
  <c r="Q161" i="16"/>
  <c r="P161" i="16"/>
  <c r="N161" i="16"/>
  <c r="S161" i="16"/>
  <c r="O161" i="16"/>
  <c r="R161" i="16"/>
  <c r="AJ318" i="16"/>
  <c r="AG318" i="16"/>
  <c r="AF318" i="16"/>
  <c r="AI318" i="16"/>
  <c r="AH318" i="16"/>
  <c r="AK318" i="16"/>
  <c r="Q318" i="16"/>
  <c r="S318" i="16"/>
  <c r="R318" i="16"/>
  <c r="P318" i="16"/>
  <c r="O318" i="16"/>
  <c r="N318" i="16"/>
  <c r="AK223" i="16"/>
  <c r="AH223" i="16"/>
  <c r="AF223" i="16"/>
  <c r="AJ223" i="16"/>
  <c r="AG223" i="16"/>
  <c r="AI223" i="16"/>
  <c r="P223" i="16"/>
  <c r="O223" i="16"/>
  <c r="Q223" i="16"/>
  <c r="S223" i="16"/>
  <c r="N223" i="16"/>
  <c r="R223" i="16"/>
  <c r="AK243" i="16"/>
  <c r="AI243" i="16"/>
  <c r="AG243" i="16"/>
  <c r="AH243" i="16"/>
  <c r="AJ243" i="16"/>
  <c r="AF243" i="16"/>
  <c r="R243" i="16"/>
  <c r="S243" i="16"/>
  <c r="P243" i="16"/>
  <c r="N243" i="16"/>
  <c r="O243" i="16"/>
  <c r="Q243" i="16"/>
  <c r="AH331" i="16"/>
  <c r="AI331" i="16"/>
  <c r="AF331" i="16"/>
  <c r="AG331" i="16"/>
  <c r="AK331" i="16"/>
  <c r="AJ331" i="16"/>
  <c r="P331" i="16"/>
  <c r="O331" i="16"/>
  <c r="N331" i="16"/>
  <c r="S331" i="16"/>
  <c r="Q331" i="16"/>
  <c r="R331" i="16"/>
  <c r="AH413" i="16"/>
  <c r="AJ413" i="16"/>
  <c r="AK413" i="16"/>
  <c r="AI413" i="16"/>
  <c r="AG413" i="16"/>
  <c r="AF413" i="16"/>
  <c r="R413" i="16"/>
  <c r="P413" i="16"/>
  <c r="N413" i="16"/>
  <c r="S413" i="16"/>
  <c r="O413" i="16"/>
  <c r="Q413" i="16"/>
  <c r="AI399" i="16"/>
  <c r="AF399" i="16"/>
  <c r="AG399" i="16"/>
  <c r="AJ399" i="16"/>
  <c r="AK399" i="16"/>
  <c r="AH399" i="16"/>
  <c r="O399" i="16"/>
  <c r="N399" i="16"/>
  <c r="Q399" i="16"/>
  <c r="S399" i="16"/>
  <c r="R399" i="16"/>
  <c r="P399" i="16"/>
  <c r="AG420" i="16"/>
  <c r="AK420" i="16"/>
  <c r="AI420" i="16"/>
  <c r="AF420" i="16"/>
  <c r="AJ420" i="16"/>
  <c r="AH420" i="16"/>
  <c r="Q420" i="16"/>
  <c r="N420" i="16"/>
  <c r="R420" i="16"/>
  <c r="O420" i="16"/>
  <c r="P420" i="16"/>
  <c r="S420" i="16"/>
  <c r="AF400" i="16"/>
  <c r="AI400" i="16"/>
  <c r="AG400" i="16"/>
  <c r="AH400" i="16"/>
  <c r="AJ400" i="16"/>
  <c r="AK400" i="16"/>
  <c r="N400" i="16"/>
  <c r="Q400" i="16"/>
  <c r="O400" i="16"/>
  <c r="R400" i="16"/>
  <c r="S400" i="16"/>
  <c r="P400" i="16"/>
  <c r="AI22" i="16"/>
  <c r="AF22" i="16"/>
  <c r="AG22" i="16"/>
  <c r="AJ22" i="16"/>
  <c r="AK22" i="16"/>
  <c r="AH22" i="16"/>
  <c r="O22" i="16"/>
  <c r="R22" i="16"/>
  <c r="P22" i="16"/>
  <c r="S22" i="16"/>
  <c r="Q22" i="16"/>
  <c r="N22" i="16"/>
  <c r="AF50" i="16"/>
  <c r="AI50" i="16"/>
  <c r="AK50" i="16"/>
  <c r="AH50" i="16"/>
  <c r="AJ50" i="16"/>
  <c r="AG50" i="16"/>
  <c r="Q50" i="16"/>
  <c r="N50" i="16"/>
  <c r="R50" i="16"/>
  <c r="O50" i="16"/>
  <c r="S50" i="16"/>
  <c r="P50" i="16"/>
  <c r="AK74" i="16"/>
  <c r="AI74" i="16"/>
  <c r="AG74" i="16"/>
  <c r="AF74" i="16"/>
  <c r="AH74" i="16"/>
  <c r="AJ74" i="16"/>
  <c r="Q74" i="16"/>
  <c r="N74" i="16"/>
  <c r="R74" i="16"/>
  <c r="O74" i="16"/>
  <c r="S74" i="16"/>
  <c r="P74" i="16"/>
  <c r="AH92" i="16"/>
  <c r="AF92" i="16"/>
  <c r="AJ92" i="16"/>
  <c r="AK92" i="16"/>
  <c r="AI92" i="16"/>
  <c r="AG92" i="16"/>
  <c r="P92" i="16"/>
  <c r="S92" i="16"/>
  <c r="R92" i="16"/>
  <c r="N92" i="16"/>
  <c r="O92" i="16"/>
  <c r="Q92" i="16"/>
  <c r="AF110" i="16"/>
  <c r="AG110" i="16"/>
  <c r="AJ110" i="16"/>
  <c r="AI110" i="16"/>
  <c r="AH110" i="16"/>
  <c r="AK110" i="16"/>
  <c r="S110" i="16"/>
  <c r="P110" i="16"/>
  <c r="N110" i="16"/>
  <c r="Q110" i="16"/>
  <c r="O110" i="16"/>
  <c r="R110" i="16"/>
  <c r="AI127" i="16"/>
  <c r="AG127" i="16"/>
  <c r="AF127" i="16"/>
  <c r="AK127" i="16"/>
  <c r="AH127" i="16"/>
  <c r="AJ127" i="16"/>
  <c r="Q127" i="16"/>
  <c r="S127" i="16"/>
  <c r="R127" i="16"/>
  <c r="P127" i="16"/>
  <c r="O127" i="16"/>
  <c r="N127" i="16"/>
  <c r="AG183" i="16"/>
  <c r="AH183" i="16"/>
  <c r="AK183" i="16"/>
  <c r="AI183" i="16"/>
  <c r="AF183" i="16"/>
  <c r="AJ183" i="16"/>
  <c r="N183" i="16"/>
  <c r="Q183" i="16"/>
  <c r="O183" i="16"/>
  <c r="R183" i="16"/>
  <c r="S183" i="16"/>
  <c r="P183" i="16"/>
  <c r="AF273" i="16"/>
  <c r="AH273" i="16"/>
  <c r="AJ273" i="16"/>
  <c r="AG273" i="16"/>
  <c r="AK273" i="16"/>
  <c r="AI273" i="16"/>
  <c r="R273" i="16"/>
  <c r="O273" i="16"/>
  <c r="N273" i="16"/>
  <c r="S273" i="16"/>
  <c r="P273" i="16"/>
  <c r="Q273" i="16"/>
  <c r="AH95" i="16"/>
  <c r="AF95" i="16"/>
  <c r="AI95" i="16"/>
  <c r="AG95" i="16"/>
  <c r="AK95" i="16"/>
  <c r="AJ95" i="16"/>
  <c r="N95" i="16"/>
  <c r="O95" i="16"/>
  <c r="R95" i="16"/>
  <c r="Q95" i="16"/>
  <c r="S95" i="16"/>
  <c r="P95" i="16"/>
  <c r="AF214" i="16"/>
  <c r="AK214" i="16"/>
  <c r="AJ214" i="16"/>
  <c r="AH214" i="16"/>
  <c r="AG214" i="16"/>
  <c r="AI214" i="16"/>
  <c r="P214" i="16"/>
  <c r="O214" i="16"/>
  <c r="N214" i="16"/>
  <c r="R214" i="16"/>
  <c r="Q214" i="16"/>
  <c r="S214" i="16"/>
  <c r="AI282" i="16"/>
  <c r="AH282" i="16"/>
  <c r="AF282" i="16"/>
  <c r="AG282" i="16"/>
  <c r="AJ282" i="16"/>
  <c r="AK282" i="16"/>
  <c r="Q282" i="16"/>
  <c r="S282" i="16"/>
  <c r="R282" i="16"/>
  <c r="P282" i="16"/>
  <c r="O282" i="16"/>
  <c r="AI55" i="16"/>
  <c r="AF55" i="16"/>
  <c r="AH55" i="16"/>
  <c r="AK55" i="16"/>
  <c r="AJ55" i="16"/>
  <c r="AG55" i="16"/>
  <c r="P55" i="16"/>
  <c r="Q55" i="16"/>
  <c r="N55" i="16"/>
  <c r="R55" i="16"/>
  <c r="O55" i="16"/>
  <c r="S55" i="16"/>
  <c r="AI87" i="16"/>
  <c r="AF87" i="16"/>
  <c r="AH87" i="16"/>
  <c r="AK87" i="16"/>
  <c r="AJ87" i="16"/>
  <c r="AG87" i="16"/>
  <c r="S87" i="16"/>
  <c r="R87" i="16"/>
  <c r="Q87" i="16"/>
  <c r="P87" i="16"/>
  <c r="O87" i="16"/>
  <c r="AI253" i="16"/>
  <c r="AK253" i="16"/>
  <c r="AG253" i="16"/>
  <c r="AH253" i="16"/>
  <c r="AF253" i="16"/>
  <c r="AJ253" i="16"/>
  <c r="R253" i="16"/>
  <c r="S253" i="16"/>
  <c r="P253" i="16"/>
  <c r="N253" i="16"/>
  <c r="O253" i="16"/>
  <c r="Q253" i="16"/>
  <c r="AK299" i="16"/>
  <c r="AH299" i="16"/>
  <c r="AF299" i="16"/>
  <c r="AJ299" i="16"/>
  <c r="AI299" i="16"/>
  <c r="AG299" i="16"/>
  <c r="N299" i="16"/>
  <c r="O299" i="16"/>
  <c r="R299" i="16"/>
  <c r="P299" i="16"/>
  <c r="S299" i="16"/>
  <c r="Q299" i="16"/>
  <c r="AH215" i="16"/>
  <c r="AK215" i="16"/>
  <c r="AI215" i="16"/>
  <c r="AJ215" i="16"/>
  <c r="AG215" i="16"/>
  <c r="AF215" i="16"/>
  <c r="S215" i="16"/>
  <c r="P215" i="16"/>
  <c r="N215" i="16"/>
  <c r="Q215" i="16"/>
  <c r="O215" i="16"/>
  <c r="R215" i="16"/>
  <c r="AG283" i="16"/>
  <c r="AH283" i="16"/>
  <c r="AJ283" i="16"/>
  <c r="AF283" i="16"/>
  <c r="AI283" i="16"/>
  <c r="AK283" i="16"/>
  <c r="S283" i="16"/>
  <c r="P283" i="16"/>
  <c r="O283" i="16"/>
  <c r="N283" i="16"/>
  <c r="R283" i="16"/>
  <c r="Q283" i="16"/>
  <c r="AK361" i="16"/>
  <c r="AH361" i="16"/>
  <c r="AI361" i="16"/>
  <c r="AF361" i="16"/>
  <c r="AJ361" i="16"/>
  <c r="AG361" i="16"/>
  <c r="O361" i="16"/>
  <c r="N361" i="16"/>
  <c r="S361" i="16"/>
  <c r="Q361" i="16"/>
  <c r="R361" i="16"/>
  <c r="P361" i="16"/>
  <c r="AH353" i="16"/>
  <c r="AI353" i="16"/>
  <c r="AK353" i="16"/>
  <c r="AF353" i="16"/>
  <c r="AJ353" i="16"/>
  <c r="AG353" i="16"/>
  <c r="P353" i="16"/>
  <c r="N353" i="16"/>
  <c r="O353" i="16"/>
  <c r="Q353" i="16"/>
  <c r="S353" i="16"/>
  <c r="R353" i="16"/>
  <c r="AH374" i="16"/>
  <c r="AI374" i="16"/>
  <c r="AK374" i="16"/>
  <c r="AG374" i="16"/>
  <c r="AF374" i="16"/>
  <c r="AJ374" i="16"/>
  <c r="S374" i="16"/>
  <c r="P374" i="16"/>
  <c r="N374" i="16"/>
  <c r="R374" i="16"/>
  <c r="Q374" i="16"/>
  <c r="O374" i="16"/>
  <c r="AI390" i="16"/>
  <c r="AH390" i="16"/>
  <c r="AJ390" i="16"/>
  <c r="AF390" i="16"/>
  <c r="AG390" i="16"/>
  <c r="AK390" i="16"/>
  <c r="Q390" i="16"/>
  <c r="O390" i="16"/>
  <c r="R390" i="16"/>
  <c r="S390" i="16"/>
  <c r="P390" i="16"/>
  <c r="N390" i="16"/>
  <c r="AH345" i="16"/>
  <c r="AI345" i="16"/>
  <c r="AF345" i="16"/>
  <c r="AG345" i="16"/>
  <c r="AK345" i="16"/>
  <c r="AJ345" i="16"/>
  <c r="S345" i="16"/>
  <c r="P345" i="16"/>
  <c r="N345" i="16"/>
  <c r="R345" i="16"/>
  <c r="Q345" i="16"/>
  <c r="O345" i="16"/>
  <c r="AK350" i="16"/>
  <c r="AH350" i="16"/>
  <c r="AI350" i="16"/>
  <c r="AJ350" i="16"/>
  <c r="AG350" i="16"/>
  <c r="AF350" i="16"/>
  <c r="AH373" i="16"/>
  <c r="AG373" i="16"/>
  <c r="AF373" i="16"/>
  <c r="AI373" i="16"/>
  <c r="AK373" i="16"/>
  <c r="AJ373" i="16"/>
  <c r="R373" i="16"/>
  <c r="S373" i="16"/>
  <c r="Q373" i="16"/>
  <c r="N373" i="16"/>
  <c r="O373" i="16"/>
  <c r="P373" i="16"/>
  <c r="AK389" i="16"/>
  <c r="AH389" i="16"/>
  <c r="AI389" i="16"/>
  <c r="AF389" i="16"/>
  <c r="AJ389" i="16"/>
  <c r="AG389" i="16"/>
  <c r="Q389" i="16"/>
  <c r="R389" i="16"/>
  <c r="S389" i="16"/>
  <c r="P389" i="16"/>
  <c r="N389" i="16"/>
  <c r="O389" i="16"/>
  <c r="AF3" i="16"/>
  <c r="AG3" i="16"/>
  <c r="AH3" i="16"/>
  <c r="AI3" i="16"/>
  <c r="AK3" i="16"/>
  <c r="AJ3" i="16"/>
  <c r="R3" i="16"/>
  <c r="Q3" i="16"/>
  <c r="S3" i="16"/>
  <c r="O3" i="16"/>
  <c r="N3" i="16"/>
  <c r="P3" i="16"/>
  <c r="AF19" i="16"/>
  <c r="AK19" i="16"/>
  <c r="AH19" i="16"/>
  <c r="AJ19" i="16"/>
  <c r="AI19" i="16"/>
  <c r="AG19" i="16"/>
  <c r="P19" i="16"/>
  <c r="N19" i="16"/>
  <c r="Q19" i="16"/>
  <c r="O19" i="16"/>
  <c r="R19" i="16"/>
  <c r="S19" i="16"/>
  <c r="AG27" i="16"/>
  <c r="AK27" i="16"/>
  <c r="AI27" i="16"/>
  <c r="AF27" i="16"/>
  <c r="AH27" i="16"/>
  <c r="AJ27" i="16"/>
  <c r="S27" i="16"/>
  <c r="N27" i="16"/>
  <c r="Q27" i="16"/>
  <c r="O27" i="16"/>
  <c r="R27" i="16"/>
  <c r="P27" i="16"/>
  <c r="AG68" i="16"/>
  <c r="AI68" i="16"/>
  <c r="AK68" i="16"/>
  <c r="AJ68" i="16"/>
  <c r="AH68" i="16"/>
  <c r="AF68" i="16"/>
  <c r="Q68" i="16"/>
  <c r="N68" i="16"/>
  <c r="R68" i="16"/>
  <c r="O68" i="16"/>
  <c r="S68" i="16"/>
  <c r="P68" i="16"/>
  <c r="AF151" i="16"/>
  <c r="AI151" i="16"/>
  <c r="AJ151" i="16"/>
  <c r="AH151" i="16"/>
  <c r="AG151" i="16"/>
  <c r="AK151" i="16"/>
  <c r="Q151" i="16"/>
  <c r="N151" i="16"/>
  <c r="S151" i="16"/>
  <c r="R151" i="16"/>
  <c r="O151" i="16"/>
  <c r="P151" i="16"/>
  <c r="AH185" i="16"/>
  <c r="AG185" i="16"/>
  <c r="AK185" i="16"/>
  <c r="AI185" i="16"/>
  <c r="AJ185" i="16"/>
  <c r="AF185" i="16"/>
  <c r="R185" i="16"/>
  <c r="P185" i="16"/>
  <c r="Q185" i="16"/>
  <c r="S185" i="16"/>
  <c r="N185" i="16"/>
  <c r="O185" i="16"/>
  <c r="AH201" i="16"/>
  <c r="AG201" i="16"/>
  <c r="AK201" i="16"/>
  <c r="AF201" i="16"/>
  <c r="AI201" i="16"/>
  <c r="AJ201" i="16"/>
  <c r="P201" i="16"/>
  <c r="N201" i="16"/>
  <c r="R201" i="16"/>
  <c r="Q201" i="16"/>
  <c r="O201" i="16"/>
  <c r="S201" i="16"/>
  <c r="AH263" i="16"/>
  <c r="AG263" i="16"/>
  <c r="AI263" i="16"/>
  <c r="AK263" i="16"/>
  <c r="AF263" i="16"/>
  <c r="AJ263" i="16"/>
  <c r="AH171" i="16"/>
  <c r="AK171" i="16"/>
  <c r="AJ171" i="16"/>
  <c r="AF171" i="16"/>
  <c r="AI171" i="16"/>
  <c r="AG171" i="16"/>
  <c r="P171" i="16"/>
  <c r="S171" i="16"/>
  <c r="Q171" i="16"/>
  <c r="O171" i="16"/>
  <c r="R171" i="16"/>
  <c r="N171" i="16"/>
  <c r="AF238" i="16"/>
  <c r="AG238" i="16"/>
  <c r="AI238" i="16"/>
  <c r="AH238" i="16"/>
  <c r="AK238" i="16"/>
  <c r="AJ238" i="16"/>
  <c r="S238" i="16"/>
  <c r="P238" i="16"/>
  <c r="N238" i="16"/>
  <c r="Q238" i="16"/>
  <c r="O238" i="16"/>
  <c r="R238" i="16"/>
  <c r="AF284" i="16"/>
  <c r="AH284" i="16"/>
  <c r="AK284" i="16"/>
  <c r="AG284" i="16"/>
  <c r="AJ284" i="16"/>
  <c r="AI284" i="16"/>
  <c r="S284" i="16"/>
  <c r="P284" i="16"/>
  <c r="N284" i="16"/>
  <c r="Q284" i="16"/>
  <c r="O284" i="16"/>
  <c r="R284" i="16"/>
  <c r="AI73" i="16"/>
  <c r="AJ73" i="16"/>
  <c r="AH73" i="16"/>
  <c r="AG73" i="16"/>
  <c r="AF73" i="16"/>
  <c r="AK73" i="16"/>
  <c r="Q73" i="16"/>
  <c r="N73" i="16"/>
  <c r="R73" i="16"/>
  <c r="O73" i="16"/>
  <c r="S73" i="16"/>
  <c r="P73" i="16"/>
  <c r="AF117" i="16"/>
  <c r="AG117" i="16"/>
  <c r="AJ117" i="16"/>
  <c r="AI117" i="16"/>
  <c r="AH117" i="16"/>
  <c r="AK117" i="16"/>
  <c r="O117" i="16"/>
  <c r="Q117" i="16"/>
  <c r="N117" i="16"/>
  <c r="R117" i="16"/>
  <c r="P117" i="16"/>
  <c r="S117" i="16"/>
  <c r="AH147" i="16"/>
  <c r="AJ147" i="16"/>
  <c r="AF147" i="16"/>
  <c r="AK147" i="16"/>
  <c r="AG147" i="16"/>
  <c r="AI147" i="16"/>
  <c r="S147" i="16"/>
  <c r="R147" i="16"/>
  <c r="O147" i="16"/>
  <c r="P147" i="16"/>
  <c r="N147" i="16"/>
  <c r="Q147" i="16"/>
  <c r="AI184" i="16"/>
  <c r="AG184" i="16"/>
  <c r="AF184" i="16"/>
  <c r="AK184" i="16"/>
  <c r="AH184" i="16"/>
  <c r="AJ184" i="16"/>
  <c r="N184" i="16"/>
  <c r="O184" i="16"/>
  <c r="P184" i="16"/>
  <c r="Q184" i="16"/>
  <c r="S184" i="16"/>
  <c r="R184" i="16"/>
  <c r="AK247" i="16"/>
  <c r="AJ247" i="16"/>
  <c r="AI247" i="16"/>
  <c r="AG247" i="16"/>
  <c r="AH247" i="16"/>
  <c r="AF247" i="16"/>
  <c r="O247" i="16"/>
  <c r="Q247" i="16"/>
  <c r="N247" i="16"/>
  <c r="S247" i="16"/>
  <c r="P247" i="16"/>
  <c r="R247" i="16"/>
  <c r="AI270" i="16"/>
  <c r="AJ270" i="16"/>
  <c r="AH270" i="16"/>
  <c r="AG270" i="16"/>
  <c r="AK270" i="16"/>
  <c r="AF270" i="16"/>
  <c r="R270" i="16"/>
  <c r="N270" i="16"/>
  <c r="Q270" i="16"/>
  <c r="P270" i="16"/>
  <c r="S270" i="16"/>
  <c r="O270" i="16"/>
  <c r="AG153" i="16"/>
  <c r="AK153" i="16"/>
  <c r="AF153" i="16"/>
  <c r="AI153" i="16"/>
  <c r="AJ153" i="16"/>
  <c r="AH153" i="16"/>
  <c r="O153" i="16"/>
  <c r="Q153" i="16"/>
  <c r="N153" i="16"/>
  <c r="S153" i="16"/>
  <c r="R153" i="16"/>
  <c r="P153" i="16"/>
  <c r="AF237" i="16"/>
  <c r="AK237" i="16"/>
  <c r="AJ237" i="16"/>
  <c r="AG237" i="16"/>
  <c r="AI237" i="16"/>
  <c r="AH237" i="16"/>
  <c r="O237" i="16"/>
  <c r="S237" i="16"/>
  <c r="R237" i="16"/>
  <c r="N237" i="16"/>
  <c r="P237" i="16"/>
  <c r="Q237" i="16"/>
  <c r="AJ287" i="16"/>
  <c r="AI287" i="16"/>
  <c r="AF287" i="16"/>
  <c r="AH287" i="16"/>
  <c r="AK287" i="16"/>
  <c r="AG287" i="16"/>
  <c r="P287" i="16"/>
  <c r="O287" i="16"/>
  <c r="N287" i="16"/>
  <c r="S287" i="16"/>
  <c r="Q287" i="16"/>
  <c r="R287" i="16"/>
  <c r="AH323" i="16"/>
  <c r="AI323" i="16"/>
  <c r="AF323" i="16"/>
  <c r="AG323" i="16"/>
  <c r="AK323" i="16"/>
  <c r="AJ323" i="16"/>
  <c r="P323" i="16"/>
  <c r="S323" i="16"/>
  <c r="R323" i="16"/>
  <c r="N323" i="16"/>
  <c r="Q323" i="16"/>
  <c r="O323" i="16"/>
  <c r="AK363" i="16"/>
  <c r="AH363" i="16"/>
  <c r="AI363" i="16"/>
  <c r="AJ363" i="16"/>
  <c r="AG363" i="16"/>
  <c r="AF363" i="16"/>
  <c r="P363" i="16"/>
  <c r="S363" i="16"/>
  <c r="Q363" i="16"/>
  <c r="N363" i="16"/>
  <c r="O363" i="16"/>
  <c r="R363" i="16"/>
  <c r="AH355" i="16"/>
  <c r="AI355" i="16"/>
  <c r="AK355" i="16"/>
  <c r="AF355" i="16"/>
  <c r="AJ355" i="16"/>
  <c r="AG355" i="16"/>
  <c r="P355" i="16"/>
  <c r="Q355" i="16"/>
  <c r="N355" i="16"/>
  <c r="O355" i="16"/>
  <c r="R355" i="16"/>
  <c r="S355" i="16"/>
  <c r="AH376" i="16"/>
  <c r="AJ376" i="16"/>
  <c r="AF376" i="16"/>
  <c r="AG376" i="16"/>
  <c r="AK376" i="16"/>
  <c r="AI376" i="16"/>
  <c r="R376" i="16"/>
  <c r="P376" i="16"/>
  <c r="N376" i="16"/>
  <c r="O376" i="16"/>
  <c r="Q376" i="16"/>
  <c r="S376" i="16"/>
  <c r="AH392" i="16"/>
  <c r="AI392" i="16"/>
  <c r="AK392" i="16"/>
  <c r="AF392" i="16"/>
  <c r="AJ392" i="16"/>
  <c r="AG392" i="16"/>
  <c r="P392" i="16"/>
  <c r="R392" i="16"/>
  <c r="S392" i="16"/>
  <c r="Q392" i="16"/>
  <c r="N392" i="16"/>
  <c r="O392" i="16"/>
  <c r="AK360" i="16"/>
  <c r="AH360" i="16"/>
  <c r="AJ360" i="16"/>
  <c r="AF360" i="16"/>
  <c r="AI360" i="16"/>
  <c r="AG360" i="16"/>
  <c r="N360" i="16"/>
  <c r="R360" i="16"/>
  <c r="P360" i="16"/>
  <c r="Q360" i="16"/>
  <c r="O360" i="16"/>
  <c r="S360" i="16"/>
  <c r="AH406" i="16"/>
  <c r="AJ406" i="16"/>
  <c r="AK406" i="16"/>
  <c r="AI406" i="16"/>
  <c r="AG406" i="16"/>
  <c r="AF406" i="16"/>
  <c r="P406" i="16"/>
  <c r="Q406" i="16"/>
  <c r="O406" i="16"/>
  <c r="S406" i="16"/>
  <c r="N406" i="16"/>
  <c r="R406" i="16"/>
  <c r="AH367" i="16"/>
  <c r="AG367" i="16"/>
  <c r="AK367" i="16"/>
  <c r="AF367" i="16"/>
  <c r="AJ367" i="16"/>
  <c r="AI367" i="16"/>
  <c r="N367" i="16"/>
  <c r="Q367" i="16"/>
  <c r="O367" i="16"/>
  <c r="R367" i="16"/>
  <c r="S367" i="16"/>
  <c r="P367" i="16"/>
  <c r="AF383" i="16"/>
  <c r="AG383" i="16"/>
  <c r="AK383" i="16"/>
  <c r="AJ383" i="16"/>
  <c r="AH383" i="16"/>
  <c r="AI383" i="16"/>
  <c r="Q383" i="16"/>
  <c r="P383" i="16"/>
  <c r="S383" i="16"/>
  <c r="O383" i="16"/>
  <c r="R383" i="16"/>
  <c r="N383" i="16"/>
  <c r="AI425" i="16"/>
  <c r="AJ425" i="16"/>
  <c r="AK425" i="16"/>
  <c r="AF425" i="16"/>
  <c r="AH425" i="16"/>
  <c r="AG425" i="16"/>
  <c r="Q425" i="16"/>
  <c r="R425" i="16"/>
  <c r="P425" i="16"/>
  <c r="O425" i="16"/>
  <c r="N425" i="16"/>
  <c r="S425" i="16"/>
  <c r="AS292" i="16"/>
  <c r="AT292" i="16" s="1"/>
  <c r="AJ8" i="16"/>
  <c r="AH8" i="16"/>
  <c r="AI8" i="16"/>
  <c r="AG8" i="16"/>
  <c r="AF8" i="16"/>
  <c r="AK8" i="16"/>
  <c r="P8" i="16"/>
  <c r="Q8" i="16"/>
  <c r="S8" i="16"/>
  <c r="O8" i="16"/>
  <c r="N8" i="16"/>
  <c r="R8" i="16"/>
  <c r="AF15" i="16"/>
  <c r="AH15" i="16"/>
  <c r="AJ15" i="16"/>
  <c r="AK15" i="16"/>
  <c r="AI15" i="16"/>
  <c r="AG15" i="16"/>
  <c r="Q15" i="16"/>
  <c r="P15" i="16"/>
  <c r="O15" i="16"/>
  <c r="R15" i="16"/>
  <c r="N15" i="16"/>
  <c r="S15" i="16"/>
  <c r="AK31" i="16"/>
  <c r="AJ31" i="16"/>
  <c r="AH31" i="16"/>
  <c r="AF31" i="16"/>
  <c r="AG31" i="16"/>
  <c r="AI31" i="16"/>
  <c r="S31" i="16"/>
  <c r="Q31" i="16"/>
  <c r="P31" i="16"/>
  <c r="N31" i="16"/>
  <c r="R31" i="16"/>
  <c r="O31" i="16"/>
  <c r="AH54" i="16"/>
  <c r="AF54" i="16"/>
  <c r="AK54" i="16"/>
  <c r="AJ54" i="16"/>
  <c r="AI54" i="16"/>
  <c r="AG54" i="16"/>
  <c r="Q54" i="16"/>
  <c r="N54" i="16"/>
  <c r="R54" i="16"/>
  <c r="O54" i="16"/>
  <c r="S54" i="16"/>
  <c r="P54" i="16"/>
  <c r="AJ97" i="16"/>
  <c r="AK97" i="16"/>
  <c r="AI97" i="16"/>
  <c r="AG97" i="16"/>
  <c r="AH97" i="16"/>
  <c r="AF97" i="16"/>
  <c r="S97" i="16"/>
  <c r="Q97" i="16"/>
  <c r="N97" i="16"/>
  <c r="P97" i="16"/>
  <c r="R97" i="16"/>
  <c r="O97" i="16"/>
  <c r="AI114" i="16"/>
  <c r="AH114" i="16"/>
  <c r="AK114" i="16"/>
  <c r="AF114" i="16"/>
  <c r="AG114" i="16"/>
  <c r="AJ114" i="16"/>
  <c r="O114" i="16"/>
  <c r="R114" i="16"/>
  <c r="S114" i="16"/>
  <c r="P114" i="16"/>
  <c r="N114" i="16"/>
  <c r="Q114" i="16"/>
  <c r="AG162" i="16"/>
  <c r="AI162" i="16"/>
  <c r="AK162" i="16"/>
  <c r="AF162" i="16"/>
  <c r="AH162" i="16"/>
  <c r="AJ162" i="16"/>
  <c r="R162" i="16"/>
  <c r="P162" i="16"/>
  <c r="N162" i="16"/>
  <c r="O162" i="16"/>
  <c r="Q162" i="16"/>
  <c r="S162" i="16"/>
  <c r="AH187" i="16"/>
  <c r="AK187" i="16"/>
  <c r="AG187" i="16"/>
  <c r="AF187" i="16"/>
  <c r="AJ187" i="16"/>
  <c r="AI187" i="16"/>
  <c r="O187" i="16"/>
  <c r="R187" i="16"/>
  <c r="P187" i="16"/>
  <c r="N187" i="16"/>
  <c r="Q187" i="16"/>
  <c r="S187" i="16"/>
  <c r="AI248" i="16"/>
  <c r="AF248" i="16"/>
  <c r="AH248" i="16"/>
  <c r="AK248" i="16"/>
  <c r="AJ248" i="16"/>
  <c r="AG248" i="16"/>
  <c r="Q248" i="16"/>
  <c r="O248" i="16"/>
  <c r="R248" i="16"/>
  <c r="S248" i="16"/>
  <c r="P248" i="16"/>
  <c r="N248" i="16"/>
  <c r="AF204" i="16"/>
  <c r="AH204" i="16"/>
  <c r="AJ204" i="16"/>
  <c r="AG204" i="16"/>
  <c r="AI204" i="16"/>
  <c r="AK204" i="16"/>
  <c r="R204" i="16"/>
  <c r="O204" i="16"/>
  <c r="N204" i="16"/>
  <c r="Q204" i="16"/>
  <c r="S204" i="16"/>
  <c r="P204" i="16"/>
  <c r="AH43" i="16"/>
  <c r="AJ43" i="16"/>
  <c r="AG43" i="16"/>
  <c r="AK43" i="16"/>
  <c r="AI43" i="16"/>
  <c r="AF43" i="16"/>
  <c r="N43" i="16"/>
  <c r="R43" i="16"/>
  <c r="O43" i="16"/>
  <c r="S43" i="16"/>
  <c r="P43" i="16"/>
  <c r="Q43" i="16"/>
  <c r="AJ67" i="16"/>
  <c r="AI67" i="16"/>
  <c r="AF67" i="16"/>
  <c r="AG67" i="16"/>
  <c r="AK67" i="16"/>
  <c r="AH67" i="16"/>
  <c r="N67" i="16"/>
  <c r="R67" i="16"/>
  <c r="O67" i="16"/>
  <c r="S67" i="16"/>
  <c r="P67" i="16"/>
  <c r="Q67" i="16"/>
  <c r="AK259" i="16"/>
  <c r="AI259" i="16"/>
  <c r="AG259" i="16"/>
  <c r="AJ259" i="16"/>
  <c r="AF259" i="16"/>
  <c r="AH259" i="16"/>
  <c r="O259" i="16"/>
  <c r="R259" i="16"/>
  <c r="S259" i="16"/>
  <c r="P259" i="16"/>
  <c r="N259" i="16"/>
  <c r="Q259" i="16"/>
  <c r="AJ314" i="16"/>
  <c r="AI314" i="16"/>
  <c r="AF314" i="16"/>
  <c r="AG314" i="16"/>
  <c r="AK314" i="16"/>
  <c r="AH314" i="16"/>
  <c r="O314" i="16"/>
  <c r="R314" i="16"/>
  <c r="S314" i="16"/>
  <c r="Q314" i="16"/>
  <c r="N314" i="16"/>
  <c r="P314" i="16"/>
  <c r="AF221" i="16"/>
  <c r="AJ221" i="16"/>
  <c r="AG221" i="16"/>
  <c r="AK221" i="16"/>
  <c r="AI221" i="16"/>
  <c r="AH221" i="16"/>
  <c r="S221" i="16"/>
  <c r="O221" i="16"/>
  <c r="N221" i="16"/>
  <c r="R221" i="16"/>
  <c r="P221" i="16"/>
  <c r="Q221" i="16"/>
  <c r="AF239" i="16"/>
  <c r="AK239" i="16"/>
  <c r="AI239" i="16"/>
  <c r="AH239" i="16"/>
  <c r="AG239" i="16"/>
  <c r="AJ239" i="16"/>
  <c r="P239" i="16"/>
  <c r="Q239" i="16"/>
  <c r="O239" i="16"/>
  <c r="S239" i="16"/>
  <c r="N239" i="16"/>
  <c r="R239" i="16"/>
  <c r="AH427" i="16"/>
  <c r="AI427" i="16"/>
  <c r="AF427" i="16"/>
  <c r="AG427" i="16"/>
  <c r="AK427" i="16"/>
  <c r="AJ427" i="16"/>
  <c r="R427" i="16"/>
  <c r="S427" i="16"/>
  <c r="N427" i="16"/>
  <c r="Q427" i="16"/>
  <c r="P427" i="16"/>
  <c r="O427" i="16"/>
  <c r="AK378" i="16"/>
  <c r="AH378" i="16"/>
  <c r="AI378" i="16"/>
  <c r="AJ378" i="16"/>
  <c r="AG378" i="16"/>
  <c r="AF378" i="16"/>
  <c r="P378" i="16"/>
  <c r="Q378" i="16"/>
  <c r="S378" i="16"/>
  <c r="O378" i="16"/>
  <c r="N378" i="16"/>
  <c r="R378" i="16"/>
  <c r="AK394" i="16"/>
  <c r="AJ394" i="16"/>
  <c r="AH394" i="16"/>
  <c r="AI394" i="16"/>
  <c r="AF394" i="16"/>
  <c r="AG394" i="16"/>
  <c r="R394" i="16"/>
  <c r="N394" i="16"/>
  <c r="Q394" i="16"/>
  <c r="S394" i="16"/>
  <c r="P394" i="16"/>
  <c r="O394" i="16"/>
  <c r="AF362" i="16"/>
  <c r="AG362" i="16"/>
  <c r="AK362" i="16"/>
  <c r="AI362" i="16"/>
  <c r="AH362" i="16"/>
  <c r="AJ362" i="16"/>
  <c r="R362" i="16"/>
  <c r="P362" i="16"/>
  <c r="S362" i="16"/>
  <c r="Q362" i="16"/>
  <c r="N362" i="16"/>
  <c r="O362" i="16"/>
  <c r="AK408" i="16"/>
  <c r="AH408" i="16"/>
  <c r="AJ408" i="16"/>
  <c r="AF408" i="16"/>
  <c r="AI408" i="16"/>
  <c r="AG408" i="16"/>
  <c r="Q408" i="16"/>
  <c r="S408" i="16"/>
  <c r="N408" i="16"/>
  <c r="R408" i="16"/>
  <c r="O408" i="16"/>
  <c r="P408" i="16"/>
  <c r="AI417" i="16"/>
  <c r="AF417" i="16"/>
  <c r="AH417" i="16"/>
  <c r="AJ417" i="16"/>
  <c r="AG417" i="16"/>
  <c r="AK417" i="16"/>
  <c r="N417" i="16"/>
  <c r="O417" i="16"/>
  <c r="Q417" i="16"/>
  <c r="S417" i="16"/>
  <c r="R417" i="16"/>
  <c r="P417" i="16"/>
  <c r="AI2" i="16"/>
  <c r="AH2" i="16"/>
  <c r="AK2" i="16"/>
  <c r="AJ2" i="16"/>
  <c r="AF2" i="16"/>
  <c r="AG2" i="16"/>
  <c r="R2" i="16"/>
  <c r="Q2" i="16"/>
  <c r="P2" i="16"/>
  <c r="O2" i="16"/>
  <c r="S2" i="16"/>
  <c r="N2" i="16"/>
  <c r="AF12" i="16"/>
  <c r="AG12" i="16"/>
  <c r="AH12" i="16"/>
  <c r="AJ12" i="16"/>
  <c r="AK12" i="16"/>
  <c r="AI12" i="16"/>
  <c r="R12" i="16"/>
  <c r="O12" i="16"/>
  <c r="N12" i="16"/>
  <c r="Q12" i="16"/>
  <c r="S12" i="16"/>
  <c r="P12" i="16"/>
  <c r="AH37" i="16"/>
  <c r="AF37" i="16"/>
  <c r="AG37" i="16"/>
  <c r="AJ37" i="16"/>
  <c r="AI37" i="16"/>
  <c r="AK37" i="16"/>
  <c r="Q37" i="16"/>
  <c r="P37" i="16"/>
  <c r="R37" i="16"/>
  <c r="N37" i="16"/>
  <c r="S37" i="16"/>
  <c r="O37" i="16"/>
  <c r="AK46" i="16"/>
  <c r="AI46" i="16"/>
  <c r="AF46" i="16"/>
  <c r="AH46" i="16"/>
  <c r="AJ46" i="16"/>
  <c r="AG46" i="16"/>
  <c r="P46" i="16"/>
  <c r="Q46" i="16"/>
  <c r="N46" i="16"/>
  <c r="R46" i="16"/>
  <c r="O46" i="16"/>
  <c r="S46" i="16"/>
  <c r="AF72" i="16"/>
  <c r="AI72" i="16"/>
  <c r="AK72" i="16"/>
  <c r="AH72" i="16"/>
  <c r="AJ72" i="16"/>
  <c r="AG72" i="16"/>
  <c r="Q72" i="16"/>
  <c r="N72" i="16"/>
  <c r="R72" i="16"/>
  <c r="O72" i="16"/>
  <c r="S72" i="16"/>
  <c r="P72" i="16"/>
  <c r="AI90" i="16"/>
  <c r="AH90" i="16"/>
  <c r="AF90" i="16"/>
  <c r="AJ90" i="16"/>
  <c r="AG90" i="16"/>
  <c r="AK90" i="16"/>
  <c r="R90" i="16"/>
  <c r="S90" i="16"/>
  <c r="P90" i="16"/>
  <c r="O90" i="16"/>
  <c r="N90" i="16"/>
  <c r="Q90" i="16"/>
  <c r="AJ108" i="16"/>
  <c r="AH108" i="16"/>
  <c r="AK108" i="16"/>
  <c r="AG108" i="16"/>
  <c r="AF108" i="16"/>
  <c r="AI108" i="16"/>
  <c r="N108" i="16"/>
  <c r="O108" i="16"/>
  <c r="R108" i="16"/>
  <c r="P108" i="16"/>
  <c r="Q108" i="16"/>
  <c r="S108" i="16"/>
  <c r="AJ125" i="16"/>
  <c r="AH125" i="16"/>
  <c r="AF125" i="16"/>
  <c r="AI125" i="16"/>
  <c r="AG125" i="16"/>
  <c r="AK125" i="16"/>
  <c r="S125" i="16"/>
  <c r="R125" i="16"/>
  <c r="Q125" i="16"/>
  <c r="N125" i="16"/>
  <c r="O125" i="16"/>
  <c r="P125" i="16"/>
  <c r="AK144" i="16"/>
  <c r="AH144" i="16"/>
  <c r="AG144" i="16"/>
  <c r="AI144" i="16"/>
  <c r="AJ144" i="16"/>
  <c r="AF144" i="16"/>
  <c r="P144" i="16"/>
  <c r="S144" i="16"/>
  <c r="Q144" i="16"/>
  <c r="N144" i="16"/>
  <c r="O144" i="16"/>
  <c r="R144" i="16"/>
  <c r="AF250" i="16"/>
  <c r="AI250" i="16"/>
  <c r="AJ250" i="16"/>
  <c r="AK250" i="16"/>
  <c r="AG250" i="16"/>
  <c r="AH250" i="16"/>
  <c r="N250" i="16"/>
  <c r="O250" i="16"/>
  <c r="Q250" i="16"/>
  <c r="S250" i="16"/>
  <c r="R250" i="16"/>
  <c r="P250" i="16"/>
  <c r="AJ220" i="16"/>
  <c r="AG220" i="16"/>
  <c r="AI220" i="16"/>
  <c r="AK220" i="16"/>
  <c r="AH220" i="16"/>
  <c r="AF220" i="16"/>
  <c r="R220" i="16"/>
  <c r="S220" i="16"/>
  <c r="P220" i="16"/>
  <c r="N220" i="16"/>
  <c r="O220" i="16"/>
  <c r="Q220" i="16"/>
  <c r="AJ244" i="16"/>
  <c r="AI244" i="16"/>
  <c r="AF244" i="16"/>
  <c r="AH244" i="16"/>
  <c r="AG244" i="16"/>
  <c r="AK244" i="16"/>
  <c r="R244" i="16"/>
  <c r="N244" i="16"/>
  <c r="Q244" i="16"/>
  <c r="S244" i="16"/>
  <c r="P244" i="16"/>
  <c r="O244" i="16"/>
  <c r="AI307" i="16"/>
  <c r="AF307" i="16"/>
  <c r="AK307" i="16"/>
  <c r="AJ307" i="16"/>
  <c r="AH307" i="16"/>
  <c r="AG307" i="16"/>
  <c r="Q307" i="16"/>
  <c r="R307" i="16"/>
  <c r="O307" i="16"/>
  <c r="S307" i="16"/>
  <c r="N307" i="16"/>
  <c r="P307" i="16"/>
  <c r="AI53" i="16"/>
  <c r="AJ53" i="16"/>
  <c r="AF53" i="16"/>
  <c r="AG53" i="16"/>
  <c r="AH53" i="16"/>
  <c r="AK53" i="16"/>
  <c r="Q53" i="16"/>
  <c r="N53" i="16"/>
  <c r="R53" i="16"/>
  <c r="O53" i="16"/>
  <c r="S53" i="16"/>
  <c r="P53" i="16"/>
  <c r="AG93" i="16"/>
  <c r="AH93" i="16"/>
  <c r="AF93" i="16"/>
  <c r="AJ93" i="16"/>
  <c r="AK93" i="16"/>
  <c r="AI93" i="16"/>
  <c r="N93" i="16"/>
  <c r="Q93" i="16"/>
  <c r="O93" i="16"/>
  <c r="R93" i="16"/>
  <c r="S93" i="16"/>
  <c r="P93" i="16"/>
  <c r="AI122" i="16"/>
  <c r="AH122" i="16"/>
  <c r="AK122" i="16"/>
  <c r="AF122" i="16"/>
  <c r="AG122" i="16"/>
  <c r="AJ122" i="16"/>
  <c r="S122" i="16"/>
  <c r="N122" i="16"/>
  <c r="O122" i="16"/>
  <c r="R122" i="16"/>
  <c r="P122" i="16"/>
  <c r="Q122" i="16"/>
  <c r="AK192" i="16"/>
  <c r="AH192" i="16"/>
  <c r="AJ192" i="16"/>
  <c r="AI192" i="16"/>
  <c r="AG192" i="16"/>
  <c r="AF192" i="16"/>
  <c r="Q192" i="16"/>
  <c r="R192" i="16"/>
  <c r="P192" i="16"/>
  <c r="O192" i="16"/>
  <c r="N192" i="16"/>
  <c r="S192" i="16"/>
  <c r="AG297" i="16"/>
  <c r="AI297" i="16"/>
  <c r="AK297" i="16"/>
  <c r="AF297" i="16"/>
  <c r="AH297" i="16"/>
  <c r="AJ297" i="16"/>
  <c r="R297" i="16"/>
  <c r="N297" i="16"/>
  <c r="P297" i="16"/>
  <c r="Q297" i="16"/>
  <c r="O297" i="16"/>
  <c r="S297" i="16"/>
  <c r="AJ140" i="16"/>
  <c r="AH140" i="16"/>
  <c r="AG140" i="16"/>
  <c r="AI140" i="16"/>
  <c r="AF140" i="16"/>
  <c r="AK140" i="16"/>
  <c r="N140" i="16"/>
  <c r="O140" i="16"/>
  <c r="S140" i="16"/>
  <c r="P140" i="16"/>
  <c r="R140" i="16"/>
  <c r="Q140" i="16"/>
  <c r="AI213" i="16"/>
  <c r="AK213" i="16"/>
  <c r="AG213" i="16"/>
  <c r="AH213" i="16"/>
  <c r="AF213" i="16"/>
  <c r="AJ213" i="16"/>
  <c r="N213" i="16"/>
  <c r="S213" i="16"/>
  <c r="R213" i="16"/>
  <c r="P213" i="16"/>
  <c r="Q213" i="16"/>
  <c r="O213" i="16"/>
  <c r="AF306" i="16"/>
  <c r="AK306" i="16"/>
  <c r="AI306" i="16"/>
  <c r="AJ306" i="16"/>
  <c r="AH306" i="16"/>
  <c r="AG306" i="16"/>
  <c r="S306" i="16"/>
  <c r="R306" i="16"/>
  <c r="P306" i="16"/>
  <c r="O306" i="16"/>
  <c r="N306" i="16"/>
  <c r="Q306" i="16"/>
  <c r="AI398" i="16"/>
  <c r="AF398" i="16"/>
  <c r="AK398" i="16"/>
  <c r="AG398" i="16"/>
  <c r="AH398" i="16"/>
  <c r="AJ398" i="16"/>
  <c r="S398" i="16"/>
  <c r="R398" i="16"/>
  <c r="N398" i="16"/>
  <c r="P398" i="16"/>
  <c r="Q398" i="16"/>
  <c r="O398" i="16"/>
  <c r="AK351" i="16"/>
  <c r="AJ351" i="16"/>
  <c r="AH351" i="16"/>
  <c r="AI351" i="16"/>
  <c r="AF351" i="16"/>
  <c r="AG351" i="16"/>
  <c r="O351" i="16"/>
  <c r="S351" i="16"/>
  <c r="N351" i="16"/>
  <c r="Q351" i="16"/>
  <c r="P351" i="16"/>
  <c r="R351" i="16"/>
  <c r="AJ372" i="16"/>
  <c r="AH372" i="16"/>
  <c r="AI372" i="16"/>
  <c r="AF372" i="16"/>
  <c r="AG372" i="16"/>
  <c r="AK372" i="16"/>
  <c r="N372" i="16"/>
  <c r="S372" i="16"/>
  <c r="Q372" i="16"/>
  <c r="R372" i="16"/>
  <c r="O372" i="16"/>
  <c r="P372" i="16"/>
  <c r="AH388" i="16"/>
  <c r="AI388" i="16"/>
  <c r="AK388" i="16"/>
  <c r="AG388" i="16"/>
  <c r="AF388" i="16"/>
  <c r="AJ388" i="16"/>
  <c r="P388" i="16"/>
  <c r="N388" i="16"/>
  <c r="R388" i="16"/>
  <c r="Q388" i="16"/>
  <c r="O388" i="16"/>
  <c r="S388" i="16"/>
  <c r="AH338" i="16"/>
  <c r="AI338" i="16"/>
  <c r="AK338" i="16"/>
  <c r="AG338" i="16"/>
  <c r="AF338" i="16"/>
  <c r="AJ338" i="16"/>
  <c r="R338" i="16"/>
  <c r="S338" i="16"/>
  <c r="Q338" i="16"/>
  <c r="O338" i="16"/>
  <c r="N338" i="16"/>
  <c r="P338" i="16"/>
  <c r="AK346" i="16"/>
  <c r="AH346" i="16"/>
  <c r="AI346" i="16"/>
  <c r="AG346" i="16"/>
  <c r="AF346" i="16"/>
  <c r="AJ346" i="16"/>
  <c r="N346" i="16"/>
  <c r="R346" i="16"/>
  <c r="S346" i="16"/>
  <c r="Q346" i="16"/>
  <c r="P346" i="16"/>
  <c r="O346" i="16"/>
  <c r="AH371" i="16"/>
  <c r="AG371" i="16"/>
  <c r="AK371" i="16"/>
  <c r="AF371" i="16"/>
  <c r="AJ371" i="16"/>
  <c r="AI371" i="16"/>
  <c r="P371" i="16"/>
  <c r="Q371" i="16"/>
  <c r="N371" i="16"/>
  <c r="O371" i="16"/>
  <c r="R371" i="16"/>
  <c r="S371" i="16"/>
  <c r="AH387" i="16"/>
  <c r="AG387" i="16"/>
  <c r="AF387" i="16"/>
  <c r="AI387" i="16"/>
  <c r="AK387" i="16"/>
  <c r="AJ387" i="16"/>
  <c r="S387" i="16"/>
  <c r="N387" i="16"/>
  <c r="P387" i="16"/>
  <c r="Q387" i="16"/>
  <c r="R387" i="16"/>
  <c r="O387" i="16"/>
  <c r="AJ9" i="16"/>
  <c r="AG9" i="16"/>
  <c r="AI9" i="16"/>
  <c r="AF9" i="16"/>
  <c r="AK9" i="16"/>
  <c r="AH9" i="16"/>
  <c r="Q9" i="16"/>
  <c r="R9" i="16"/>
  <c r="S9" i="16"/>
  <c r="O9" i="16"/>
  <c r="N9" i="16"/>
  <c r="P9" i="16"/>
  <c r="AH40" i="16"/>
  <c r="AJ40" i="16"/>
  <c r="AG40" i="16"/>
  <c r="AK40" i="16"/>
  <c r="AI40" i="16"/>
  <c r="AF40" i="16"/>
  <c r="N40" i="16"/>
  <c r="Q40" i="16"/>
  <c r="R40" i="16"/>
  <c r="O40" i="16"/>
  <c r="S40" i="16"/>
  <c r="P40" i="16"/>
  <c r="AI66" i="16"/>
  <c r="AG66" i="16"/>
  <c r="AK66" i="16"/>
  <c r="AJ66" i="16"/>
  <c r="AF66" i="16"/>
  <c r="AH66" i="16"/>
  <c r="O66" i="16"/>
  <c r="S66" i="16"/>
  <c r="P66" i="16"/>
  <c r="Q66" i="16"/>
  <c r="N66" i="16"/>
  <c r="R66" i="16"/>
  <c r="AI146" i="16"/>
  <c r="AJ146" i="16"/>
  <c r="AG146" i="16"/>
  <c r="AF146" i="16"/>
  <c r="AH146" i="16"/>
  <c r="AK146" i="16"/>
  <c r="Q146" i="16"/>
  <c r="O146" i="16"/>
  <c r="R146" i="16"/>
  <c r="S146" i="16"/>
  <c r="P146" i="16"/>
  <c r="N146" i="16"/>
  <c r="AI252" i="16"/>
  <c r="AF252" i="16"/>
  <c r="AJ252" i="16"/>
  <c r="AH252" i="16"/>
  <c r="AG252" i="16"/>
  <c r="AK252" i="16"/>
  <c r="R252" i="16"/>
  <c r="N252" i="16"/>
  <c r="P252" i="16"/>
  <c r="Q252" i="16"/>
  <c r="O252" i="16"/>
  <c r="S252" i="16"/>
  <c r="AI234" i="16"/>
  <c r="AF234" i="16"/>
  <c r="AG234" i="16"/>
  <c r="AK234" i="16"/>
  <c r="AJ234" i="16"/>
  <c r="AH234" i="16"/>
  <c r="P234" i="16"/>
  <c r="N234" i="16"/>
  <c r="R234" i="16"/>
  <c r="Q234" i="16"/>
  <c r="O234" i="16"/>
  <c r="S234" i="16"/>
  <c r="AK47" i="16"/>
  <c r="AI47" i="16"/>
  <c r="AF47" i="16"/>
  <c r="AH47" i="16"/>
  <c r="AJ47" i="16"/>
  <c r="AG47" i="16"/>
  <c r="Q47" i="16"/>
  <c r="N47" i="16"/>
  <c r="R47" i="16"/>
  <c r="O47" i="16"/>
  <c r="S47" i="16"/>
  <c r="P47" i="16"/>
  <c r="AJ79" i="16"/>
  <c r="AG79" i="16"/>
  <c r="AI79" i="16"/>
  <c r="AF79" i="16"/>
  <c r="AH79" i="16"/>
  <c r="AK79" i="16"/>
  <c r="Q79" i="16"/>
  <c r="N79" i="16"/>
  <c r="R79" i="16"/>
  <c r="O79" i="16"/>
  <c r="S79" i="16"/>
  <c r="P79" i="16"/>
  <c r="AI96" i="16"/>
  <c r="AG96" i="16"/>
  <c r="AH96" i="16"/>
  <c r="AF96" i="16"/>
  <c r="AJ96" i="16"/>
  <c r="AK96" i="16"/>
  <c r="O96" i="16"/>
  <c r="Q96" i="16"/>
  <c r="P96" i="16"/>
  <c r="S96" i="16"/>
  <c r="N96" i="16"/>
  <c r="R96" i="16"/>
  <c r="AH115" i="16"/>
  <c r="AK115" i="16"/>
  <c r="AJ115" i="16"/>
  <c r="AG115" i="16"/>
  <c r="AF115" i="16"/>
  <c r="AI115" i="16"/>
  <c r="N115" i="16"/>
  <c r="O115" i="16"/>
  <c r="Q115" i="16"/>
  <c r="P115" i="16"/>
  <c r="R115" i="16"/>
  <c r="S115" i="16"/>
  <c r="AI143" i="16"/>
  <c r="AG143" i="16"/>
  <c r="AF143" i="16"/>
  <c r="AK143" i="16"/>
  <c r="AH143" i="16"/>
  <c r="AJ143" i="16"/>
  <c r="P143" i="16"/>
  <c r="O143" i="16"/>
  <c r="N143" i="16"/>
  <c r="R143" i="16"/>
  <c r="Q143" i="16"/>
  <c r="S143" i="16"/>
  <c r="AH180" i="16"/>
  <c r="AJ180" i="16"/>
  <c r="AF180" i="16"/>
  <c r="AG180" i="16"/>
  <c r="AI180" i="16"/>
  <c r="AK180" i="16"/>
  <c r="N180" i="16"/>
  <c r="Q180" i="16"/>
  <c r="O180" i="16"/>
  <c r="R180" i="16"/>
  <c r="S180" i="16"/>
  <c r="P180" i="16"/>
  <c r="AF210" i="16"/>
  <c r="AI210" i="16"/>
  <c r="AH210" i="16"/>
  <c r="AG210" i="16"/>
  <c r="AJ210" i="16"/>
  <c r="AK210" i="16"/>
  <c r="O210" i="16"/>
  <c r="P210" i="16"/>
  <c r="S210" i="16"/>
  <c r="R210" i="16"/>
  <c r="N210" i="16"/>
  <c r="Q210" i="16"/>
  <c r="AI268" i="16"/>
  <c r="AK268" i="16"/>
  <c r="AJ268" i="16"/>
  <c r="AF268" i="16"/>
  <c r="AH268" i="16"/>
  <c r="AG268" i="16"/>
  <c r="S268" i="16"/>
  <c r="P268" i="16"/>
  <c r="N268" i="16"/>
  <c r="Q268" i="16"/>
  <c r="O268" i="16"/>
  <c r="R268" i="16"/>
  <c r="AH107" i="16"/>
  <c r="AK107" i="16"/>
  <c r="AJ107" i="16"/>
  <c r="AF107" i="16"/>
  <c r="AG107" i="16"/>
  <c r="AI107" i="16"/>
  <c r="S107" i="16"/>
  <c r="R107" i="16"/>
  <c r="P107" i="16"/>
  <c r="O107" i="16"/>
  <c r="Q107" i="16"/>
  <c r="N107" i="16"/>
  <c r="AF235" i="16"/>
  <c r="AK235" i="16"/>
  <c r="AI235" i="16"/>
  <c r="AJ235" i="16"/>
  <c r="AH235" i="16"/>
  <c r="AG235" i="16"/>
  <c r="R235" i="16"/>
  <c r="S235" i="16"/>
  <c r="Q235" i="16"/>
  <c r="O235" i="16"/>
  <c r="N235" i="16"/>
  <c r="P235" i="16"/>
  <c r="AI321" i="16"/>
  <c r="AG321" i="16"/>
  <c r="AK321" i="16"/>
  <c r="AF321" i="16"/>
  <c r="AH321" i="16"/>
  <c r="AJ321" i="16"/>
  <c r="N321" i="16"/>
  <c r="O321" i="16"/>
  <c r="R321" i="16"/>
  <c r="Q321" i="16"/>
  <c r="P321" i="16"/>
  <c r="S321" i="16"/>
  <c r="AI415" i="16"/>
  <c r="AF415" i="16"/>
  <c r="AG415" i="16"/>
  <c r="AK415" i="16"/>
  <c r="AJ415" i="16"/>
  <c r="AH415" i="16"/>
  <c r="O415" i="16"/>
  <c r="P415" i="16"/>
  <c r="Q415" i="16"/>
  <c r="S415" i="16"/>
  <c r="N415" i="16"/>
  <c r="R415" i="16"/>
  <c r="AH426" i="16"/>
  <c r="AF426" i="16"/>
  <c r="AK426" i="16"/>
  <c r="AI426" i="16"/>
  <c r="AJ426" i="16"/>
  <c r="AG426" i="16"/>
  <c r="S426" i="16"/>
  <c r="P426" i="16"/>
  <c r="N426" i="16"/>
  <c r="R426" i="16"/>
  <c r="Q426" i="16"/>
  <c r="O426" i="16"/>
  <c r="AJ412" i="16"/>
  <c r="AH412" i="16"/>
  <c r="AK412" i="16"/>
  <c r="AI412" i="16"/>
  <c r="AF412" i="16"/>
  <c r="AG412" i="16"/>
  <c r="S412" i="16"/>
  <c r="Q412" i="16"/>
  <c r="N412" i="16"/>
  <c r="O412" i="16"/>
  <c r="R412" i="16"/>
  <c r="P412" i="16"/>
  <c r="AK423" i="16"/>
  <c r="AI423" i="16"/>
  <c r="AJ423" i="16"/>
  <c r="AH423" i="16"/>
  <c r="AG423" i="16"/>
  <c r="AF423" i="16"/>
  <c r="O423" i="16"/>
  <c r="R423" i="16"/>
  <c r="Q423" i="16"/>
  <c r="P423" i="16"/>
  <c r="S423" i="16"/>
  <c r="N423" i="16"/>
  <c r="AJ14" i="16"/>
  <c r="AF14" i="16"/>
  <c r="AH14" i="16"/>
  <c r="AK14" i="16"/>
  <c r="AG14" i="16"/>
  <c r="AI14" i="16"/>
  <c r="N14" i="16"/>
  <c r="P14" i="16"/>
  <c r="R14" i="16"/>
  <c r="O14" i="16"/>
  <c r="Q14" i="16"/>
  <c r="S14" i="16"/>
  <c r="AI52" i="16"/>
  <c r="AK52" i="16"/>
  <c r="AF52" i="16"/>
  <c r="AH52" i="16"/>
  <c r="AJ52" i="16"/>
  <c r="AG52" i="16"/>
  <c r="Q52" i="16"/>
  <c r="N52" i="16"/>
  <c r="R52" i="16"/>
  <c r="O52" i="16"/>
  <c r="S52" i="16"/>
  <c r="P52" i="16"/>
  <c r="AI60" i="16"/>
  <c r="AK60" i="16"/>
  <c r="AG60" i="16"/>
  <c r="AF60" i="16"/>
  <c r="AJ60" i="16"/>
  <c r="AH60" i="16"/>
  <c r="Q60" i="16"/>
  <c r="N60" i="16"/>
  <c r="R60" i="16"/>
  <c r="O60" i="16"/>
  <c r="S60" i="16"/>
  <c r="P60" i="16"/>
  <c r="AJ103" i="16"/>
  <c r="AH103" i="16"/>
  <c r="AK103" i="16"/>
  <c r="AG103" i="16"/>
  <c r="AF103" i="16"/>
  <c r="AI103" i="16"/>
  <c r="Q103" i="16"/>
  <c r="R103" i="16"/>
  <c r="S103" i="16"/>
  <c r="N103" i="16"/>
  <c r="P103" i="16"/>
  <c r="O103" i="16"/>
  <c r="AJ141" i="16"/>
  <c r="AH141" i="16"/>
  <c r="AF141" i="16"/>
  <c r="AG141" i="16"/>
  <c r="AK141" i="16"/>
  <c r="AI141" i="16"/>
  <c r="P141" i="16"/>
  <c r="R141" i="16"/>
  <c r="S141" i="16"/>
  <c r="Q141" i="16"/>
  <c r="N141" i="16"/>
  <c r="O141" i="16"/>
  <c r="AJ304" i="16"/>
  <c r="AK304" i="16"/>
  <c r="AI304" i="16"/>
  <c r="AH304" i="16"/>
  <c r="AF304" i="16"/>
  <c r="AG304" i="16"/>
  <c r="P304" i="16"/>
  <c r="N304" i="16"/>
  <c r="O304" i="16"/>
  <c r="Q304" i="16"/>
  <c r="S304" i="16"/>
  <c r="R304" i="16"/>
  <c r="AJ276" i="16"/>
  <c r="AI276" i="16"/>
  <c r="AH276" i="16"/>
  <c r="AG276" i="16"/>
  <c r="AF276" i="16"/>
  <c r="AK276" i="16"/>
  <c r="Q276" i="16"/>
  <c r="O276" i="16"/>
  <c r="R276" i="16"/>
  <c r="S276" i="16"/>
  <c r="P276" i="16"/>
  <c r="N276" i="16"/>
  <c r="AI311" i="16"/>
  <c r="AF311" i="16"/>
  <c r="AK311" i="16"/>
  <c r="AG311" i="16"/>
  <c r="AJ311" i="16"/>
  <c r="AH311" i="16"/>
  <c r="N311" i="16"/>
  <c r="O311" i="16"/>
  <c r="Q311" i="16"/>
  <c r="R311" i="16"/>
  <c r="S311" i="16"/>
  <c r="P311" i="16"/>
  <c r="AH41" i="16"/>
  <c r="AJ41" i="16"/>
  <c r="AG41" i="16"/>
  <c r="AK41" i="16"/>
  <c r="AI41" i="16"/>
  <c r="AF41" i="16"/>
  <c r="P41" i="16"/>
  <c r="Q41" i="16"/>
  <c r="N41" i="16"/>
  <c r="R41" i="16"/>
  <c r="O41" i="16"/>
  <c r="S41" i="16"/>
  <c r="AF65" i="16"/>
  <c r="AK65" i="16"/>
  <c r="AI65" i="16"/>
  <c r="AJ65" i="16"/>
  <c r="AH65" i="16"/>
  <c r="AG65" i="16"/>
  <c r="Q65" i="16"/>
  <c r="N65" i="16"/>
  <c r="R65" i="16"/>
  <c r="O65" i="16"/>
  <c r="S65" i="16"/>
  <c r="P65" i="16"/>
  <c r="AJ89" i="16"/>
  <c r="AK89" i="16"/>
  <c r="AI89" i="16"/>
  <c r="AG89" i="16"/>
  <c r="AH89" i="16"/>
  <c r="AF89" i="16"/>
  <c r="S89" i="16"/>
  <c r="N89" i="16"/>
  <c r="O89" i="16"/>
  <c r="Q89" i="16"/>
  <c r="R89" i="16"/>
  <c r="P89" i="16"/>
  <c r="AK128" i="16"/>
  <c r="AH128" i="16"/>
  <c r="AG128" i="16"/>
  <c r="AF128" i="16"/>
  <c r="AI128" i="16"/>
  <c r="AJ128" i="16"/>
  <c r="O128" i="16"/>
  <c r="Q128" i="16"/>
  <c r="S128" i="16"/>
  <c r="P128" i="16"/>
  <c r="R128" i="16"/>
  <c r="N128" i="16"/>
  <c r="AF167" i="16"/>
  <c r="AG167" i="16"/>
  <c r="AJ167" i="16"/>
  <c r="AI167" i="16"/>
  <c r="AH167" i="16"/>
  <c r="AK167" i="16"/>
  <c r="Q167" i="16"/>
  <c r="S167" i="16"/>
  <c r="P167" i="16"/>
  <c r="R167" i="16"/>
  <c r="N167" i="16"/>
  <c r="O167" i="16"/>
  <c r="AF118" i="16"/>
  <c r="AG118" i="16"/>
  <c r="AJ118" i="16"/>
  <c r="AI118" i="16"/>
  <c r="AH118" i="16"/>
  <c r="AK118" i="16"/>
  <c r="P118" i="16"/>
  <c r="O118" i="16"/>
  <c r="N118" i="16"/>
  <c r="Q118" i="16"/>
  <c r="R118" i="16"/>
  <c r="S118" i="16"/>
  <c r="AK209" i="16"/>
  <c r="AH209" i="16"/>
  <c r="AG209" i="16"/>
  <c r="AI209" i="16"/>
  <c r="AJ209" i="16"/>
  <c r="AF209" i="16"/>
  <c r="P209" i="16"/>
  <c r="N209" i="16"/>
  <c r="O209" i="16"/>
  <c r="Q209" i="16"/>
  <c r="S209" i="16"/>
  <c r="R209" i="16"/>
  <c r="AG219" i="16"/>
  <c r="AI219" i="16"/>
  <c r="AK219" i="16"/>
  <c r="AH219" i="16"/>
  <c r="AF219" i="16"/>
  <c r="AJ219" i="16"/>
  <c r="P219" i="16"/>
  <c r="N219" i="16"/>
  <c r="S219" i="16"/>
  <c r="Q219" i="16"/>
  <c r="R219" i="16"/>
  <c r="O219" i="16"/>
  <c r="AG421" i="16"/>
  <c r="AI421" i="16"/>
  <c r="AF421" i="16"/>
  <c r="AH421" i="16"/>
  <c r="AK421" i="16"/>
  <c r="AJ421" i="16"/>
  <c r="R421" i="16"/>
  <c r="S421" i="16"/>
  <c r="Q421" i="16"/>
  <c r="O421" i="16"/>
  <c r="P421" i="16"/>
  <c r="N421" i="16"/>
  <c r="AI430" i="16"/>
  <c r="AJ430" i="16"/>
  <c r="AK430" i="16"/>
  <c r="AG430" i="16"/>
  <c r="AF430" i="16"/>
  <c r="AH430" i="16"/>
  <c r="S430" i="16"/>
  <c r="P430" i="16"/>
  <c r="Q430" i="16"/>
  <c r="O430" i="16"/>
  <c r="N430" i="16"/>
  <c r="R430" i="16"/>
  <c r="AH428" i="16"/>
  <c r="AG428" i="16"/>
  <c r="AF428" i="16"/>
  <c r="AI428" i="16"/>
  <c r="AK428" i="16"/>
  <c r="AJ428" i="16"/>
  <c r="Q428" i="16"/>
  <c r="O428" i="16"/>
  <c r="P428" i="16"/>
  <c r="N428" i="16"/>
  <c r="S428" i="16"/>
  <c r="R428" i="16"/>
  <c r="AI404" i="16"/>
  <c r="AF404" i="16"/>
  <c r="AH404" i="16"/>
  <c r="AJ404" i="16"/>
  <c r="AG404" i="16"/>
  <c r="AK404" i="16"/>
  <c r="N404" i="16"/>
  <c r="P404" i="16"/>
  <c r="R404" i="16"/>
  <c r="S404" i="16"/>
  <c r="Q404" i="16"/>
  <c r="O404" i="16"/>
  <c r="AJ4" i="16"/>
  <c r="AK4" i="16"/>
  <c r="AF4" i="16"/>
  <c r="AI4" i="16"/>
  <c r="AH4" i="16"/>
  <c r="AG4" i="16"/>
  <c r="R4" i="16"/>
  <c r="N4" i="16"/>
  <c r="S4" i="16"/>
  <c r="Q4" i="16"/>
  <c r="O4" i="16"/>
  <c r="P4" i="16"/>
  <c r="AH28" i="16"/>
  <c r="AF28" i="16"/>
  <c r="AG28" i="16"/>
  <c r="AK28" i="16"/>
  <c r="AI28" i="16"/>
  <c r="AJ28" i="16"/>
  <c r="S28" i="16"/>
  <c r="O28" i="16"/>
  <c r="R28" i="16"/>
  <c r="Q28" i="16"/>
  <c r="P28" i="16"/>
  <c r="N28" i="16"/>
  <c r="AK44" i="16"/>
  <c r="AI44" i="16"/>
  <c r="AF44" i="16"/>
  <c r="AH44" i="16"/>
  <c r="AJ44" i="16"/>
  <c r="AG44" i="16"/>
  <c r="P44" i="16"/>
  <c r="Q44" i="16"/>
  <c r="N44" i="16"/>
  <c r="R44" i="16"/>
  <c r="O44" i="16"/>
  <c r="S44" i="16"/>
  <c r="AJ78" i="16"/>
  <c r="AI78" i="16"/>
  <c r="AG78" i="16"/>
  <c r="AH78" i="16"/>
  <c r="AF78" i="16"/>
  <c r="AK78" i="16"/>
  <c r="P78" i="16"/>
  <c r="Q78" i="16"/>
  <c r="N78" i="16"/>
  <c r="R78" i="16"/>
  <c r="O78" i="16"/>
  <c r="S78" i="16"/>
  <c r="AH131" i="16"/>
  <c r="AJ131" i="16"/>
  <c r="AF131" i="16"/>
  <c r="AI131" i="16"/>
  <c r="AK131" i="16"/>
  <c r="AG131" i="16"/>
  <c r="S131" i="16"/>
  <c r="N131" i="16"/>
  <c r="R131" i="16"/>
  <c r="Q131" i="16"/>
  <c r="P131" i="16"/>
  <c r="O131" i="16"/>
  <c r="AK269" i="16"/>
  <c r="AH269" i="16"/>
  <c r="AG269" i="16"/>
  <c r="AI269" i="16"/>
  <c r="AF269" i="16"/>
  <c r="AJ269" i="16"/>
  <c r="S269" i="16"/>
  <c r="O269" i="16"/>
  <c r="N269" i="16"/>
  <c r="Q269" i="16"/>
  <c r="R269" i="16"/>
  <c r="P269" i="16"/>
  <c r="AG315" i="16"/>
  <c r="AI315" i="16"/>
  <c r="AJ315" i="16"/>
  <c r="AH315" i="16"/>
  <c r="AF315" i="16"/>
  <c r="AK315" i="16"/>
  <c r="R315" i="16"/>
  <c r="S315" i="16"/>
  <c r="P315" i="16"/>
  <c r="Q315" i="16"/>
  <c r="N315" i="16"/>
  <c r="O315" i="16"/>
  <c r="AF230" i="16"/>
  <c r="AJ230" i="16"/>
  <c r="AI230" i="16"/>
  <c r="AH230" i="16"/>
  <c r="AG230" i="16"/>
  <c r="AK230" i="16"/>
  <c r="Q230" i="16"/>
  <c r="P230" i="16"/>
  <c r="S230" i="16"/>
  <c r="O230" i="16"/>
  <c r="R230" i="16"/>
  <c r="N230" i="16"/>
  <c r="AI278" i="16"/>
  <c r="AJ278" i="16"/>
  <c r="AG278" i="16"/>
  <c r="AK278" i="16"/>
  <c r="AF278" i="16"/>
  <c r="AH278" i="16"/>
  <c r="Q278" i="16"/>
  <c r="O278" i="16"/>
  <c r="P278" i="16"/>
  <c r="S278" i="16"/>
  <c r="R278" i="16"/>
  <c r="N278" i="16"/>
  <c r="AK313" i="16"/>
  <c r="AI313" i="16"/>
  <c r="AG313" i="16"/>
  <c r="AJ313" i="16"/>
  <c r="AF313" i="16"/>
  <c r="AH313" i="16"/>
  <c r="O313" i="16"/>
  <c r="N313" i="16"/>
  <c r="P313" i="16"/>
  <c r="R313" i="16"/>
  <c r="S313" i="16"/>
  <c r="Q313" i="16"/>
  <c r="AI59" i="16"/>
  <c r="AF59" i="16"/>
  <c r="AJ59" i="16"/>
  <c r="AH59" i="16"/>
  <c r="AG59" i="16"/>
  <c r="AK59" i="16"/>
  <c r="Q59" i="16"/>
  <c r="N59" i="16"/>
  <c r="R59" i="16"/>
  <c r="O59" i="16"/>
  <c r="S59" i="16"/>
  <c r="P59" i="16"/>
  <c r="AJ83" i="16"/>
  <c r="AI83" i="16"/>
  <c r="AF83" i="16"/>
  <c r="AH83" i="16"/>
  <c r="AG83" i="16"/>
  <c r="AK83" i="16"/>
  <c r="S83" i="16"/>
  <c r="Q83" i="16"/>
  <c r="N83" i="16"/>
  <c r="O83" i="16"/>
  <c r="P83" i="16"/>
  <c r="R83" i="16"/>
  <c r="AH100" i="16"/>
  <c r="AF100" i="16"/>
  <c r="AJ100" i="16"/>
  <c r="AK100" i="16"/>
  <c r="AI100" i="16"/>
  <c r="AG100" i="16"/>
  <c r="AH120" i="16"/>
  <c r="AK120" i="16"/>
  <c r="AJ120" i="16"/>
  <c r="AI120" i="16"/>
  <c r="AG120" i="16"/>
  <c r="AF120" i="16"/>
  <c r="P120" i="16"/>
  <c r="S120" i="16"/>
  <c r="N120" i="16"/>
  <c r="O120" i="16"/>
  <c r="R120" i="16"/>
  <c r="Q120" i="16"/>
  <c r="AI150" i="16"/>
  <c r="AG150" i="16"/>
  <c r="AH150" i="16"/>
  <c r="AJ150" i="16"/>
  <c r="AF150" i="16"/>
  <c r="AK150" i="16"/>
  <c r="S150" i="16"/>
  <c r="O150" i="16"/>
  <c r="P150" i="16"/>
  <c r="N150" i="16"/>
  <c r="R150" i="16"/>
  <c r="Q150" i="16"/>
  <c r="AJ186" i="16"/>
  <c r="AH186" i="16"/>
  <c r="AF186" i="16"/>
  <c r="AK186" i="16"/>
  <c r="AI186" i="16"/>
  <c r="AG186" i="16"/>
  <c r="AF272" i="16"/>
  <c r="AK272" i="16"/>
  <c r="AH272" i="16"/>
  <c r="AJ272" i="16"/>
  <c r="AG272" i="16"/>
  <c r="AI272" i="16"/>
  <c r="N272" i="16"/>
  <c r="P272" i="16"/>
  <c r="R272" i="16"/>
  <c r="Q272" i="16"/>
  <c r="O272" i="16"/>
  <c r="S272" i="16"/>
  <c r="AH133" i="16"/>
  <c r="AF133" i="16"/>
  <c r="AJ133" i="16"/>
  <c r="AI133" i="16"/>
  <c r="AG133" i="16"/>
  <c r="AK133" i="16"/>
  <c r="S133" i="16"/>
  <c r="R133" i="16"/>
  <c r="P133" i="16"/>
  <c r="O133" i="16"/>
  <c r="N133" i="16"/>
  <c r="Q133" i="16"/>
  <c r="AJ279" i="16"/>
  <c r="AG279" i="16"/>
  <c r="AK279" i="16"/>
  <c r="AH279" i="16"/>
  <c r="AI279" i="16"/>
  <c r="AF279" i="16"/>
  <c r="S279" i="16"/>
  <c r="R279" i="16"/>
  <c r="N279" i="16"/>
  <c r="P279" i="16"/>
  <c r="Q279" i="16"/>
  <c r="O279" i="16"/>
  <c r="AH344" i="16"/>
  <c r="AI344" i="16"/>
  <c r="AK344" i="16"/>
  <c r="AF344" i="16"/>
  <c r="AJ344" i="16"/>
  <c r="AG344" i="16"/>
  <c r="O344" i="16"/>
  <c r="S344" i="16"/>
  <c r="P344" i="16"/>
  <c r="N344" i="16"/>
  <c r="R344" i="16"/>
  <c r="Q344" i="16"/>
  <c r="AK349" i="16"/>
  <c r="AJ349" i="16"/>
  <c r="AH349" i="16"/>
  <c r="AI349" i="16"/>
  <c r="AF349" i="16"/>
  <c r="AG349" i="16"/>
  <c r="N349" i="16"/>
  <c r="Q349" i="16"/>
  <c r="O349" i="16"/>
  <c r="R349" i="16"/>
  <c r="S349" i="16"/>
  <c r="P349" i="16"/>
  <c r="AI434" i="16"/>
  <c r="AF434" i="16"/>
  <c r="AG434" i="16"/>
  <c r="AJ434" i="16"/>
  <c r="AH434" i="16"/>
  <c r="AK434" i="16"/>
  <c r="Q434" i="16"/>
  <c r="R434" i="16"/>
  <c r="P434" i="16"/>
  <c r="N434" i="16"/>
  <c r="O434" i="16"/>
  <c r="S434" i="16"/>
  <c r="AH356" i="16"/>
  <c r="AI356" i="16"/>
  <c r="AK356" i="16"/>
  <c r="AF356" i="16"/>
  <c r="AJ356" i="16"/>
  <c r="AG356" i="16"/>
  <c r="N356" i="16"/>
  <c r="S356" i="16"/>
  <c r="Q356" i="16"/>
  <c r="O356" i="16"/>
  <c r="P356" i="16"/>
  <c r="R356" i="16"/>
  <c r="AK377" i="16"/>
  <c r="AH377" i="16"/>
  <c r="AG377" i="16"/>
  <c r="AF377" i="16"/>
  <c r="AJ377" i="16"/>
  <c r="AI377" i="16"/>
  <c r="N377" i="16"/>
  <c r="O377" i="16"/>
  <c r="P377" i="16"/>
  <c r="Q377" i="16"/>
  <c r="R377" i="16"/>
  <c r="S377" i="16"/>
  <c r="AK393" i="16"/>
  <c r="AH393" i="16"/>
  <c r="AI393" i="16"/>
  <c r="AF393" i="16"/>
  <c r="AJ393" i="16"/>
  <c r="AG393" i="16"/>
  <c r="R393" i="16"/>
  <c r="S393" i="16"/>
  <c r="P393" i="16"/>
  <c r="Q393" i="16"/>
  <c r="N393" i="16"/>
  <c r="O393" i="16"/>
  <c r="AS245" i="16"/>
  <c r="AT245" i="16" s="1"/>
  <c r="AV245" i="16" s="1"/>
  <c r="AH64" i="16"/>
  <c r="AJ64" i="16"/>
  <c r="AG64" i="16"/>
  <c r="AF64" i="16"/>
  <c r="AI64" i="16"/>
  <c r="AK64" i="16"/>
  <c r="Q64" i="16"/>
  <c r="N64" i="16"/>
  <c r="R64" i="16"/>
  <c r="O64" i="16"/>
  <c r="S64" i="16"/>
  <c r="P64" i="16"/>
  <c r="AI197" i="16"/>
  <c r="AF197" i="16"/>
  <c r="AK197" i="16"/>
  <c r="AJ197" i="16"/>
  <c r="AH197" i="16"/>
  <c r="AG197" i="16"/>
  <c r="P197" i="16"/>
  <c r="O197" i="16"/>
  <c r="Q197" i="16"/>
  <c r="R197" i="16"/>
  <c r="S197" i="16"/>
  <c r="N197" i="16"/>
  <c r="AF38" i="16"/>
  <c r="AJ38" i="16"/>
  <c r="AH38" i="16"/>
  <c r="AI38" i="16"/>
  <c r="AK38" i="16"/>
  <c r="AG38" i="16"/>
  <c r="N38" i="16"/>
  <c r="O38" i="16"/>
  <c r="P38" i="16"/>
  <c r="Q38" i="16"/>
  <c r="R38" i="16"/>
  <c r="S38" i="16"/>
  <c r="AH206" i="16"/>
  <c r="AF206" i="16"/>
  <c r="AJ206" i="16"/>
  <c r="AG206" i="16"/>
  <c r="AK206" i="16"/>
  <c r="AI206" i="16"/>
  <c r="Q206" i="16"/>
  <c r="O206" i="16"/>
  <c r="S206" i="16"/>
  <c r="R206" i="16"/>
  <c r="P206" i="16"/>
  <c r="N206" i="16"/>
  <c r="AF232" i="16"/>
  <c r="AK232" i="16"/>
  <c r="AJ232" i="16"/>
  <c r="AG232" i="16"/>
  <c r="AI232" i="16"/>
  <c r="AH232" i="16"/>
  <c r="S232" i="16"/>
  <c r="O232" i="16"/>
  <c r="N232" i="16"/>
  <c r="Q232" i="16"/>
  <c r="P232" i="16"/>
  <c r="R232" i="16"/>
  <c r="AK326" i="16"/>
  <c r="AH326" i="16"/>
  <c r="AI326" i="16"/>
  <c r="AF326" i="16"/>
  <c r="AJ326" i="16"/>
  <c r="AG326" i="16"/>
  <c r="R326" i="16"/>
  <c r="S326" i="16"/>
  <c r="P326" i="16"/>
  <c r="Q326" i="16"/>
  <c r="N326" i="16"/>
  <c r="O326" i="16"/>
  <c r="AK45" i="16"/>
  <c r="AI45" i="16"/>
  <c r="AF45" i="16"/>
  <c r="AH45" i="16"/>
  <c r="AJ45" i="16"/>
  <c r="AG45" i="16"/>
  <c r="N45" i="16"/>
  <c r="R45" i="16"/>
  <c r="O45" i="16"/>
  <c r="S45" i="16"/>
  <c r="P45" i="16"/>
  <c r="Q45" i="16"/>
  <c r="AF77" i="16"/>
  <c r="AI77" i="16"/>
  <c r="AJ77" i="16"/>
  <c r="AK77" i="16"/>
  <c r="AG77" i="16"/>
  <c r="AH77" i="16"/>
  <c r="R77" i="16"/>
  <c r="O77" i="16"/>
  <c r="S77" i="16"/>
  <c r="P77" i="16"/>
  <c r="Q77" i="16"/>
  <c r="AI113" i="16"/>
  <c r="AH113" i="16"/>
  <c r="AK113" i="16"/>
  <c r="AF113" i="16"/>
  <c r="AG113" i="16"/>
  <c r="AJ113" i="16"/>
  <c r="R113" i="16"/>
  <c r="S113" i="16"/>
  <c r="N113" i="16"/>
  <c r="O113" i="16"/>
  <c r="Q113" i="16"/>
  <c r="P113" i="16"/>
  <c r="AG137" i="16"/>
  <c r="AH137" i="16"/>
  <c r="AF137" i="16"/>
  <c r="AI137" i="16"/>
  <c r="AK137" i="16"/>
  <c r="AJ137" i="16"/>
  <c r="Q137" i="16"/>
  <c r="O137" i="16"/>
  <c r="S137" i="16"/>
  <c r="R137" i="16"/>
  <c r="N137" i="16"/>
  <c r="P137" i="16"/>
  <c r="AH178" i="16"/>
  <c r="AF178" i="16"/>
  <c r="AJ178" i="16"/>
  <c r="AG178" i="16"/>
  <c r="AK178" i="16"/>
  <c r="AI178" i="16"/>
  <c r="N178" i="16"/>
  <c r="Q178" i="16"/>
  <c r="R178" i="16"/>
  <c r="O178" i="16"/>
  <c r="S178" i="16"/>
  <c r="P178" i="16"/>
  <c r="AI251" i="16"/>
  <c r="AG251" i="16"/>
  <c r="AK251" i="16"/>
  <c r="AH251" i="16"/>
  <c r="AJ251" i="16"/>
  <c r="AF251" i="16"/>
  <c r="S251" i="16"/>
  <c r="Q251" i="16"/>
  <c r="P251" i="16"/>
  <c r="O251" i="16"/>
  <c r="N251" i="16"/>
  <c r="R251" i="16"/>
  <c r="AF233" i="16"/>
  <c r="AK233" i="16"/>
  <c r="AI233" i="16"/>
  <c r="AG233" i="16"/>
  <c r="AJ233" i="16"/>
  <c r="AH233" i="16"/>
  <c r="R233" i="16"/>
  <c r="S233" i="16"/>
  <c r="P233" i="16"/>
  <c r="Q233" i="16"/>
  <c r="N233" i="16"/>
  <c r="O233" i="16"/>
  <c r="AK327" i="16"/>
  <c r="AJ327" i="16"/>
  <c r="AH327" i="16"/>
  <c r="AI327" i="16"/>
  <c r="AF327" i="16"/>
  <c r="AG327" i="16"/>
  <c r="P327" i="16"/>
  <c r="Q327" i="16"/>
  <c r="N327" i="16"/>
  <c r="O327" i="16"/>
  <c r="R327" i="16"/>
  <c r="S327" i="16"/>
  <c r="AH359" i="16"/>
  <c r="AI359" i="16"/>
  <c r="AF359" i="16"/>
  <c r="AG359" i="16"/>
  <c r="AK359" i="16"/>
  <c r="AJ359" i="16"/>
  <c r="N359" i="16"/>
  <c r="Q359" i="16"/>
  <c r="O359" i="16"/>
  <c r="R359" i="16"/>
  <c r="S359" i="16"/>
  <c r="P359" i="16"/>
  <c r="AI422" i="16"/>
  <c r="AF422" i="16"/>
  <c r="AG422" i="16"/>
  <c r="AH422" i="16"/>
  <c r="AK422" i="16"/>
  <c r="AJ422" i="16"/>
  <c r="P422" i="16"/>
  <c r="R422" i="16"/>
  <c r="Q422" i="16"/>
  <c r="O422" i="16"/>
  <c r="S422" i="16"/>
  <c r="N422" i="16"/>
  <c r="AH410" i="16"/>
  <c r="AJ410" i="16"/>
  <c r="AK410" i="16"/>
  <c r="AG410" i="16"/>
  <c r="AF410" i="16"/>
  <c r="AI410" i="16"/>
  <c r="Q410" i="16"/>
  <c r="S410" i="16"/>
  <c r="P410" i="16"/>
  <c r="N410" i="16"/>
  <c r="R410" i="16"/>
  <c r="O410" i="16"/>
  <c r="AI419" i="16"/>
  <c r="AF419" i="16"/>
  <c r="AG419" i="16"/>
  <c r="AJ419" i="16"/>
  <c r="AH419" i="16"/>
  <c r="AK419" i="16"/>
  <c r="S419" i="16"/>
  <c r="O419" i="16"/>
  <c r="P419" i="16"/>
  <c r="Q419" i="16"/>
  <c r="N419" i="16"/>
  <c r="R419" i="16"/>
  <c r="AI18" i="16"/>
  <c r="AJ18" i="16"/>
  <c r="AF18" i="16"/>
  <c r="AK18" i="16"/>
  <c r="AH18" i="16"/>
  <c r="AG18" i="16"/>
  <c r="S18" i="16"/>
  <c r="N18" i="16"/>
  <c r="R18" i="16"/>
  <c r="Q18" i="16"/>
  <c r="P18" i="16"/>
  <c r="O18" i="16"/>
  <c r="AK26" i="16"/>
  <c r="AH26" i="16"/>
  <c r="AF26" i="16"/>
  <c r="AJ26" i="16"/>
  <c r="AG26" i="16"/>
  <c r="AI26" i="16"/>
  <c r="R26" i="16"/>
  <c r="P26" i="16"/>
  <c r="Q26" i="16"/>
  <c r="S26" i="16"/>
  <c r="O26" i="16"/>
  <c r="N26" i="16"/>
  <c r="AH34" i="16"/>
  <c r="AK34" i="16"/>
  <c r="AG34" i="16"/>
  <c r="AI34" i="16"/>
  <c r="AF34" i="16"/>
  <c r="AJ34" i="16"/>
  <c r="Q34" i="16"/>
  <c r="N34" i="16"/>
  <c r="P34" i="16"/>
  <c r="O34" i="16"/>
  <c r="R34" i="16"/>
  <c r="S34" i="16"/>
  <c r="AK58" i="16"/>
  <c r="AI58" i="16"/>
  <c r="AG58" i="16"/>
  <c r="AH58" i="16"/>
  <c r="AJ58" i="16"/>
  <c r="AF58" i="16"/>
  <c r="P58" i="16"/>
  <c r="Q58" i="16"/>
  <c r="N58" i="16"/>
  <c r="R58" i="16"/>
  <c r="O58" i="16"/>
  <c r="S58" i="16"/>
  <c r="AG101" i="16"/>
  <c r="AH101" i="16"/>
  <c r="AF101" i="16"/>
  <c r="AJ101" i="16"/>
  <c r="AK101" i="16"/>
  <c r="AI101" i="16"/>
  <c r="Q101" i="16"/>
  <c r="S101" i="16"/>
  <c r="P101" i="16"/>
  <c r="R101" i="16"/>
  <c r="O101" i="16"/>
  <c r="N101" i="16"/>
  <c r="AJ119" i="16"/>
  <c r="AH119" i="16"/>
  <c r="AK119" i="16"/>
  <c r="AI119" i="16"/>
  <c r="AG119" i="16"/>
  <c r="AF119" i="16"/>
  <c r="N119" i="16"/>
  <c r="O119" i="16"/>
  <c r="Q119" i="16"/>
  <c r="R119" i="16"/>
  <c r="S119" i="16"/>
  <c r="P119" i="16"/>
  <c r="AJ168" i="16"/>
  <c r="AH168" i="16"/>
  <c r="AK168" i="16"/>
  <c r="AF168" i="16"/>
  <c r="AI168" i="16"/>
  <c r="AG168" i="16"/>
  <c r="P168" i="16"/>
  <c r="O168" i="16"/>
  <c r="N168" i="16"/>
  <c r="Q168" i="16"/>
  <c r="R168" i="16"/>
  <c r="S168" i="16"/>
  <c r="AG199" i="16"/>
  <c r="AH199" i="16"/>
  <c r="AK199" i="16"/>
  <c r="AJ199" i="16"/>
  <c r="AI199" i="16"/>
  <c r="AF199" i="16"/>
  <c r="O199" i="16"/>
  <c r="P199" i="16"/>
  <c r="N199" i="16"/>
  <c r="S199" i="16"/>
  <c r="Q199" i="16"/>
  <c r="R199" i="16"/>
  <c r="AK160" i="16"/>
  <c r="AH160" i="16"/>
  <c r="AJ160" i="16"/>
  <c r="AF160" i="16"/>
  <c r="AI160" i="16"/>
  <c r="AG160" i="16"/>
  <c r="S160" i="16"/>
  <c r="P160" i="16"/>
  <c r="N160" i="16"/>
  <c r="Q160" i="16"/>
  <c r="O160" i="16"/>
  <c r="R160" i="16"/>
  <c r="AI274" i="16"/>
  <c r="AH274" i="16"/>
  <c r="AK274" i="16"/>
  <c r="AJ274" i="16"/>
  <c r="AF274" i="16"/>
  <c r="AG274" i="16"/>
  <c r="Q274" i="16"/>
  <c r="O274" i="16"/>
  <c r="P274" i="16"/>
  <c r="N274" i="16"/>
  <c r="S274" i="16"/>
  <c r="R274" i="16"/>
  <c r="AK39" i="16"/>
  <c r="AI39" i="16"/>
  <c r="AF39" i="16"/>
  <c r="AH39" i="16"/>
  <c r="AJ39" i="16"/>
  <c r="AG39" i="16"/>
  <c r="N39" i="16"/>
  <c r="O39" i="16"/>
  <c r="P39" i="16"/>
  <c r="Q39" i="16"/>
  <c r="R39" i="16"/>
  <c r="S39" i="16"/>
  <c r="AI71" i="16"/>
  <c r="AF71" i="16"/>
  <c r="AH71" i="16"/>
  <c r="AK71" i="16"/>
  <c r="AJ71" i="16"/>
  <c r="AG71" i="16"/>
  <c r="P71" i="16"/>
  <c r="Q71" i="16"/>
  <c r="N71" i="16"/>
  <c r="R71" i="16"/>
  <c r="O71" i="16"/>
  <c r="S71" i="16"/>
  <c r="AH203" i="16"/>
  <c r="AK203" i="16"/>
  <c r="AG203" i="16"/>
  <c r="AI203" i="16"/>
  <c r="AF203" i="16"/>
  <c r="AJ203" i="16"/>
  <c r="Q203" i="16"/>
  <c r="S203" i="16"/>
  <c r="P203" i="16"/>
  <c r="N203" i="16"/>
  <c r="O203" i="16"/>
  <c r="R203" i="16"/>
  <c r="AK335" i="16"/>
  <c r="AJ335" i="16"/>
  <c r="AH335" i="16"/>
  <c r="AI335" i="16"/>
  <c r="AF335" i="16"/>
  <c r="AG335" i="16"/>
  <c r="R335" i="16"/>
  <c r="O335" i="16"/>
  <c r="S335" i="16"/>
  <c r="N335" i="16"/>
  <c r="P335" i="16"/>
  <c r="Q335" i="16"/>
  <c r="AI317" i="16"/>
  <c r="AG317" i="16"/>
  <c r="AK317" i="16"/>
  <c r="AH317" i="16"/>
  <c r="AJ317" i="16"/>
  <c r="AF317" i="16"/>
  <c r="O317" i="16"/>
  <c r="S317" i="16"/>
  <c r="N317" i="16"/>
  <c r="Q317" i="16"/>
  <c r="R317" i="16"/>
  <c r="P317" i="16"/>
  <c r="AK366" i="16"/>
  <c r="AJ366" i="16"/>
  <c r="AH366" i="16"/>
  <c r="AI366" i="16"/>
  <c r="AF366" i="16"/>
  <c r="AG366" i="16"/>
  <c r="S366" i="16"/>
  <c r="R366" i="16"/>
  <c r="N366" i="16"/>
  <c r="P366" i="16"/>
  <c r="Q366" i="16"/>
  <c r="O366" i="16"/>
  <c r="AH382" i="16"/>
  <c r="AI382" i="16"/>
  <c r="AK382" i="16"/>
  <c r="AF382" i="16"/>
  <c r="AJ382" i="16"/>
  <c r="AG382" i="16"/>
  <c r="AH328" i="16"/>
  <c r="AI328" i="16"/>
  <c r="AK328" i="16"/>
  <c r="AJ328" i="16"/>
  <c r="AG328" i="16"/>
  <c r="AF328" i="16"/>
  <c r="O328" i="16"/>
  <c r="Q328" i="16"/>
  <c r="P328" i="16"/>
  <c r="N328" i="16"/>
  <c r="S328" i="16"/>
  <c r="R328" i="16"/>
  <c r="AK365" i="16"/>
  <c r="AH365" i="16"/>
  <c r="AI365" i="16"/>
  <c r="AF365" i="16"/>
  <c r="AJ365" i="16"/>
  <c r="AG365" i="16"/>
  <c r="R365" i="16"/>
  <c r="O365" i="16"/>
  <c r="Q365" i="16"/>
  <c r="S365" i="16"/>
  <c r="N365" i="16"/>
  <c r="P365" i="16"/>
  <c r="AH381" i="16"/>
  <c r="AI381" i="16"/>
  <c r="AK381" i="16"/>
  <c r="AF381" i="16"/>
  <c r="AJ381" i="16"/>
  <c r="AG381" i="16"/>
  <c r="Q381" i="16"/>
  <c r="P381" i="16"/>
  <c r="N381" i="16"/>
  <c r="O381" i="16"/>
  <c r="R381" i="16"/>
  <c r="S381" i="16"/>
  <c r="AF10" i="16"/>
  <c r="AH10" i="16"/>
  <c r="AJ10" i="16"/>
  <c r="AI10" i="16"/>
  <c r="AG10" i="16"/>
  <c r="AK10" i="16"/>
  <c r="N10" i="16"/>
  <c r="R10" i="16"/>
  <c r="O10" i="16"/>
  <c r="S10" i="16"/>
  <c r="Q10" i="16"/>
  <c r="P10" i="16"/>
  <c r="AH23" i="16"/>
  <c r="AF23" i="16"/>
  <c r="AG23" i="16"/>
  <c r="AJ23" i="16"/>
  <c r="AK23" i="16"/>
  <c r="AI23" i="16"/>
  <c r="O23" i="16"/>
  <c r="R23" i="16"/>
  <c r="N23" i="16"/>
  <c r="Q23" i="16"/>
  <c r="S23" i="16"/>
  <c r="P23" i="16"/>
  <c r="AF32" i="16"/>
  <c r="AJ32" i="16"/>
  <c r="AI32" i="16"/>
  <c r="AG32" i="16"/>
  <c r="AH32" i="16"/>
  <c r="AK32" i="16"/>
  <c r="O32" i="16"/>
  <c r="S32" i="16"/>
  <c r="Q32" i="16"/>
  <c r="P32" i="16"/>
  <c r="N32" i="16"/>
  <c r="R32" i="16"/>
  <c r="AH86" i="16"/>
  <c r="AF86" i="16"/>
  <c r="AK86" i="16"/>
  <c r="AJ86" i="16"/>
  <c r="AI86" i="16"/>
  <c r="AG86" i="16"/>
  <c r="Q86" i="16"/>
  <c r="R86" i="16"/>
  <c r="O86" i="16"/>
  <c r="S86" i="16"/>
  <c r="P86" i="16"/>
  <c r="AJ121" i="16"/>
  <c r="AH121" i="16"/>
  <c r="AG121" i="16"/>
  <c r="AK121" i="16"/>
  <c r="AF121" i="16"/>
  <c r="AI121" i="16"/>
  <c r="S121" i="16"/>
  <c r="Q121" i="16"/>
  <c r="O121" i="16"/>
  <c r="N121" i="16"/>
  <c r="R121" i="16"/>
  <c r="P121" i="16"/>
  <c r="AI173" i="16"/>
  <c r="AH173" i="16"/>
  <c r="AK173" i="16"/>
  <c r="AF173" i="16"/>
  <c r="AG173" i="16"/>
  <c r="AJ173" i="16"/>
  <c r="O173" i="16"/>
  <c r="N173" i="16"/>
  <c r="Q173" i="16"/>
  <c r="R173" i="16"/>
  <c r="P173" i="16"/>
  <c r="S173" i="16"/>
  <c r="AK193" i="16"/>
  <c r="AH193" i="16"/>
  <c r="AG193" i="16"/>
  <c r="AJ193" i="16"/>
  <c r="AF193" i="16"/>
  <c r="AI193" i="16"/>
  <c r="S193" i="16"/>
  <c r="P193" i="16"/>
  <c r="N193" i="16"/>
  <c r="O193" i="16"/>
  <c r="Q193" i="16"/>
  <c r="R193" i="16"/>
  <c r="AG290" i="16"/>
  <c r="AI290" i="16"/>
  <c r="AJ290" i="16"/>
  <c r="AK290" i="16"/>
  <c r="AH290" i="16"/>
  <c r="AF290" i="16"/>
  <c r="N290" i="16"/>
  <c r="O290" i="16"/>
  <c r="R290" i="16"/>
  <c r="S290" i="16"/>
  <c r="P290" i="16"/>
  <c r="Q290" i="16"/>
  <c r="AI132" i="16"/>
  <c r="AF132" i="16"/>
  <c r="AK132" i="16"/>
  <c r="AJ132" i="16"/>
  <c r="AH132" i="16"/>
  <c r="AG132" i="16"/>
  <c r="AJ228" i="16"/>
  <c r="AG228" i="16"/>
  <c r="AI228" i="16"/>
  <c r="AK228" i="16"/>
  <c r="AH228" i="16"/>
  <c r="AF228" i="16"/>
  <c r="R228" i="16"/>
  <c r="P228" i="16"/>
  <c r="O228" i="16"/>
  <c r="N228" i="16"/>
  <c r="S228" i="16"/>
  <c r="Q228" i="16"/>
  <c r="AI57" i="16"/>
  <c r="AJ57" i="16"/>
  <c r="AH57" i="16"/>
  <c r="AG57" i="16"/>
  <c r="AF57" i="16"/>
  <c r="AK57" i="16"/>
  <c r="P57" i="16"/>
  <c r="Q57" i="16"/>
  <c r="N57" i="16"/>
  <c r="R57" i="16"/>
  <c r="O57" i="16"/>
  <c r="S57" i="16"/>
  <c r="AF109" i="16"/>
  <c r="AG109" i="16"/>
  <c r="AJ109" i="16"/>
  <c r="AI109" i="16"/>
  <c r="AH109" i="16"/>
  <c r="AK109" i="16"/>
  <c r="P109" i="16"/>
  <c r="N109" i="16"/>
  <c r="Q109" i="16"/>
  <c r="S109" i="16"/>
  <c r="O109" i="16"/>
  <c r="R109" i="16"/>
  <c r="AH196" i="16"/>
  <c r="AJ196" i="16"/>
  <c r="AF196" i="16"/>
  <c r="AK196" i="16"/>
  <c r="AG196" i="16"/>
  <c r="AI196" i="16"/>
  <c r="R196" i="16"/>
  <c r="O196" i="16"/>
  <c r="P196" i="16"/>
  <c r="S196" i="16"/>
  <c r="N196" i="16"/>
  <c r="Q196" i="16"/>
  <c r="AJ337" i="16"/>
  <c r="AH337" i="16"/>
  <c r="AI337" i="16"/>
  <c r="AF337" i="16"/>
  <c r="AG337" i="16"/>
  <c r="AK337" i="16"/>
  <c r="Q337" i="16"/>
  <c r="S337" i="16"/>
  <c r="R337" i="16"/>
  <c r="P337" i="16"/>
  <c r="O337" i="16"/>
  <c r="N337" i="16"/>
  <c r="AF342" i="16"/>
  <c r="AG342" i="16"/>
  <c r="AK342" i="16"/>
  <c r="AJ342" i="16"/>
  <c r="AH342" i="16"/>
  <c r="AI342" i="16"/>
  <c r="R342" i="16"/>
  <c r="P342" i="16"/>
  <c r="Q342" i="16"/>
  <c r="S342" i="16"/>
  <c r="O342" i="16"/>
  <c r="N342" i="16"/>
  <c r="AK368" i="16"/>
  <c r="AJ368" i="16"/>
  <c r="AH368" i="16"/>
  <c r="AI368" i="16"/>
  <c r="AF368" i="16"/>
  <c r="AG368" i="16"/>
  <c r="N368" i="16"/>
  <c r="S368" i="16"/>
  <c r="Q368" i="16"/>
  <c r="R368" i="16"/>
  <c r="O368" i="16"/>
  <c r="P368" i="16"/>
  <c r="AH384" i="16"/>
  <c r="AI384" i="16"/>
  <c r="AK384" i="16"/>
  <c r="AG384" i="16"/>
  <c r="AF384" i="16"/>
  <c r="AJ384" i="16"/>
  <c r="R384" i="16"/>
  <c r="P384" i="16"/>
  <c r="Q384" i="16"/>
  <c r="O384" i="16"/>
  <c r="N384" i="16"/>
  <c r="S384" i="16"/>
  <c r="AK332" i="16"/>
  <c r="AH332" i="16"/>
  <c r="AI332" i="16"/>
  <c r="AG332" i="16"/>
  <c r="AF332" i="16"/>
  <c r="AJ332" i="16"/>
  <c r="P332" i="16"/>
  <c r="S332" i="16"/>
  <c r="O332" i="16"/>
  <c r="R332" i="16"/>
  <c r="N332" i="16"/>
  <c r="Q332" i="16"/>
  <c r="AJ354" i="16"/>
  <c r="AH354" i="16"/>
  <c r="AI354" i="16"/>
  <c r="AF354" i="16"/>
  <c r="AG354" i="16"/>
  <c r="AK354" i="16"/>
  <c r="O354" i="16"/>
  <c r="N354" i="16"/>
  <c r="Q354" i="16"/>
  <c r="S354" i="16"/>
  <c r="P354" i="16"/>
  <c r="R354" i="16"/>
  <c r="AK375" i="16"/>
  <c r="AH375" i="16"/>
  <c r="AG375" i="16"/>
  <c r="AI375" i="16"/>
  <c r="AF375" i="16"/>
  <c r="AJ375" i="16"/>
  <c r="Q375" i="16"/>
  <c r="N375" i="16"/>
  <c r="S375" i="16"/>
  <c r="P375" i="16"/>
  <c r="R375" i="16"/>
  <c r="O375" i="16"/>
  <c r="AK391" i="16"/>
  <c r="AH391" i="16"/>
  <c r="AJ391" i="16"/>
  <c r="AI391" i="16"/>
  <c r="AG391" i="16"/>
  <c r="AF391" i="16"/>
  <c r="R391" i="16"/>
  <c r="O391" i="16"/>
  <c r="S391" i="16"/>
  <c r="Q391" i="16"/>
  <c r="P391" i="16"/>
  <c r="N391" i="16"/>
  <c r="AJ11" i="16"/>
  <c r="AI11" i="16"/>
  <c r="AG11" i="16"/>
  <c r="AF11" i="16"/>
  <c r="AH11" i="16"/>
  <c r="AK11" i="16"/>
  <c r="S11" i="16"/>
  <c r="O11" i="16"/>
  <c r="R11" i="16"/>
  <c r="Q11" i="16"/>
  <c r="N11" i="16"/>
  <c r="P11" i="16"/>
  <c r="AG20" i="16"/>
  <c r="AH20" i="16"/>
  <c r="AF20" i="16"/>
  <c r="AI20" i="16"/>
  <c r="AK20" i="16"/>
  <c r="AJ20" i="16"/>
  <c r="O20" i="16"/>
  <c r="P20" i="16"/>
  <c r="S20" i="16"/>
  <c r="N20" i="16"/>
  <c r="R20" i="16"/>
  <c r="Q20" i="16"/>
  <c r="AJ36" i="16"/>
  <c r="AF36" i="16"/>
  <c r="AI36" i="16"/>
  <c r="AH36" i="16"/>
  <c r="AK36" i="16"/>
  <c r="AG36" i="16"/>
  <c r="S36" i="16"/>
  <c r="P36" i="16"/>
  <c r="Q36" i="16"/>
  <c r="N36" i="16"/>
  <c r="O36" i="16"/>
  <c r="R36" i="16"/>
  <c r="AH70" i="16"/>
  <c r="AF70" i="16"/>
  <c r="AK70" i="16"/>
  <c r="AJ70" i="16"/>
  <c r="AI70" i="16"/>
  <c r="AG70" i="16"/>
  <c r="O70" i="16"/>
  <c r="S70" i="16"/>
  <c r="P70" i="16"/>
  <c r="Q70" i="16"/>
  <c r="N70" i="16"/>
  <c r="R70" i="16"/>
  <c r="AF88" i="16"/>
  <c r="AI88" i="16"/>
  <c r="AK88" i="16"/>
  <c r="AH88" i="16"/>
  <c r="AJ88" i="16"/>
  <c r="AG88" i="16"/>
  <c r="R88" i="16"/>
  <c r="S88" i="16"/>
  <c r="Q88" i="16"/>
  <c r="P88" i="16"/>
  <c r="N88" i="16"/>
  <c r="O88" i="16"/>
  <c r="AI123" i="16"/>
  <c r="AH123" i="16"/>
  <c r="AK123" i="16"/>
  <c r="AF123" i="16"/>
  <c r="AG123" i="16"/>
  <c r="AJ123" i="16"/>
  <c r="Q123" i="16"/>
  <c r="S123" i="16"/>
  <c r="R123" i="16"/>
  <c r="O123" i="16"/>
  <c r="N123" i="16"/>
  <c r="P123" i="16"/>
  <c r="AG142" i="16"/>
  <c r="AH142" i="16"/>
  <c r="AK142" i="16"/>
  <c r="AI142" i="16"/>
  <c r="AF142" i="16"/>
  <c r="AJ142" i="16"/>
  <c r="P142" i="16"/>
  <c r="R142" i="16"/>
  <c r="S142" i="16"/>
  <c r="Q142" i="16"/>
  <c r="N142" i="16"/>
  <c r="O142" i="16"/>
  <c r="AG179" i="16"/>
  <c r="AH179" i="16"/>
  <c r="AK179" i="16"/>
  <c r="AI179" i="16"/>
  <c r="AF179" i="16"/>
  <c r="AJ179" i="16"/>
  <c r="O179" i="16"/>
  <c r="R179" i="16"/>
  <c r="Q179" i="16"/>
  <c r="P179" i="16"/>
  <c r="S179" i="16"/>
  <c r="N179" i="16"/>
  <c r="AG195" i="16"/>
  <c r="AH195" i="16"/>
  <c r="AK195" i="16"/>
  <c r="AJ195" i="16"/>
  <c r="AI195" i="16"/>
  <c r="AF195" i="16"/>
  <c r="P195" i="16"/>
  <c r="R195" i="16"/>
  <c r="O195" i="16"/>
  <c r="N195" i="16"/>
  <c r="Q195" i="16"/>
  <c r="S195" i="16"/>
  <c r="AJ256" i="16"/>
  <c r="AG256" i="16"/>
  <c r="AI256" i="16"/>
  <c r="AF256" i="16"/>
  <c r="AH256" i="16"/>
  <c r="AK256" i="16"/>
  <c r="R256" i="16"/>
  <c r="P256" i="16"/>
  <c r="Q256" i="16"/>
  <c r="S256" i="16"/>
  <c r="N256" i="16"/>
  <c r="O256" i="16"/>
  <c r="AG296" i="16"/>
  <c r="AH296" i="16"/>
  <c r="AI296" i="16"/>
  <c r="AJ296" i="16"/>
  <c r="AK296" i="16"/>
  <c r="AF296" i="16"/>
  <c r="AJ240" i="16"/>
  <c r="AG240" i="16"/>
  <c r="AI240" i="16"/>
  <c r="AF240" i="16"/>
  <c r="AH240" i="16"/>
  <c r="AK240" i="16"/>
  <c r="O240" i="16"/>
  <c r="N240" i="16"/>
  <c r="P240" i="16"/>
  <c r="R240" i="16"/>
  <c r="Q240" i="16"/>
  <c r="S240" i="16"/>
  <c r="AF51" i="16"/>
  <c r="AI51" i="16"/>
  <c r="AK51" i="16"/>
  <c r="AH51" i="16"/>
  <c r="AJ51" i="16"/>
  <c r="AG51" i="16"/>
  <c r="Q51" i="16"/>
  <c r="N51" i="16"/>
  <c r="R51" i="16"/>
  <c r="O51" i="16"/>
  <c r="S51" i="16"/>
  <c r="P51" i="16"/>
  <c r="AI249" i="16"/>
  <c r="AK249" i="16"/>
  <c r="AG249" i="16"/>
  <c r="AJ249" i="16"/>
  <c r="AH249" i="16"/>
  <c r="AF249" i="16"/>
  <c r="P249" i="16"/>
  <c r="Q249" i="16"/>
  <c r="S249" i="16"/>
  <c r="O249" i="16"/>
  <c r="N249" i="16"/>
  <c r="R249" i="16"/>
  <c r="AI211" i="16"/>
  <c r="AF211" i="16"/>
  <c r="AJ211" i="16"/>
  <c r="AG211" i="16"/>
  <c r="AK211" i="16"/>
  <c r="AH211" i="16"/>
  <c r="Q211" i="16"/>
  <c r="S211" i="16"/>
  <c r="P211" i="16"/>
  <c r="R211" i="16"/>
  <c r="O211" i="16"/>
  <c r="N211" i="16"/>
  <c r="AK231" i="16"/>
  <c r="AH231" i="16"/>
  <c r="AF231" i="16"/>
  <c r="AJ231" i="16"/>
  <c r="AG231" i="16"/>
  <c r="AI231" i="16"/>
  <c r="Q231" i="16"/>
  <c r="R231" i="16"/>
  <c r="S231" i="16"/>
  <c r="P231" i="16"/>
  <c r="N231" i="16"/>
  <c r="O231" i="16"/>
  <c r="AK312" i="16"/>
  <c r="AI312" i="16"/>
  <c r="AJ312" i="16"/>
  <c r="AH312" i="16"/>
  <c r="AG312" i="16"/>
  <c r="AF312" i="16"/>
  <c r="Q312" i="16"/>
  <c r="N312" i="16"/>
  <c r="R312" i="16"/>
  <c r="P312" i="16"/>
  <c r="S312" i="16"/>
  <c r="O312" i="16"/>
  <c r="AI411" i="16"/>
  <c r="AF411" i="16"/>
  <c r="AH411" i="16"/>
  <c r="AJ411" i="16"/>
  <c r="AG411" i="16"/>
  <c r="AK411" i="16"/>
  <c r="P411" i="16"/>
  <c r="R411" i="16"/>
  <c r="Q411" i="16"/>
  <c r="O411" i="16"/>
  <c r="S411" i="16"/>
  <c r="N411" i="16"/>
  <c r="AH370" i="16"/>
  <c r="AI370" i="16"/>
  <c r="AK370" i="16"/>
  <c r="AG370" i="16"/>
  <c r="AF370" i="16"/>
  <c r="AJ370" i="16"/>
  <c r="P370" i="16"/>
  <c r="R370" i="16"/>
  <c r="O370" i="16"/>
  <c r="S370" i="16"/>
  <c r="N370" i="16"/>
  <c r="Q370" i="16"/>
  <c r="AK386" i="16"/>
  <c r="AI386" i="16"/>
  <c r="AH386" i="16"/>
  <c r="AJ386" i="16"/>
  <c r="AF386" i="16"/>
  <c r="AG386" i="16"/>
  <c r="R386" i="16"/>
  <c r="P386" i="16"/>
  <c r="N386" i="16"/>
  <c r="O386" i="16"/>
  <c r="Q386" i="16"/>
  <c r="S386" i="16"/>
  <c r="AH336" i="16"/>
  <c r="AI336" i="16"/>
  <c r="AK336" i="16"/>
  <c r="AF336" i="16"/>
  <c r="AJ336" i="16"/>
  <c r="AG336" i="16"/>
  <c r="N336" i="16"/>
  <c r="Q336" i="16"/>
  <c r="O336" i="16"/>
  <c r="P336" i="16"/>
  <c r="S336" i="16"/>
  <c r="R336" i="16"/>
  <c r="AG416" i="16"/>
  <c r="AK416" i="16"/>
  <c r="AI416" i="16"/>
  <c r="AF416" i="16"/>
  <c r="AH416" i="16"/>
  <c r="AJ416" i="16"/>
  <c r="N416" i="16"/>
  <c r="R416" i="16"/>
  <c r="P416" i="16"/>
  <c r="Q416" i="16"/>
  <c r="O416" i="16"/>
  <c r="S416" i="16"/>
  <c r="AF429" i="16"/>
  <c r="AK429" i="16"/>
  <c r="AH429" i="16"/>
  <c r="AJ429" i="16"/>
  <c r="AI429" i="16"/>
  <c r="AG429" i="16"/>
  <c r="N429" i="16"/>
  <c r="Q429" i="16"/>
  <c r="R429" i="16"/>
  <c r="P429" i="16"/>
  <c r="O429" i="16"/>
  <c r="S429" i="16"/>
  <c r="F68" i="34"/>
  <c r="R68" i="34"/>
  <c r="Q68" i="34"/>
  <c r="I10" i="19"/>
  <c r="H11" i="19"/>
  <c r="P175" i="16"/>
  <c r="O175" i="16"/>
  <c r="N175" i="16"/>
  <c r="Q175" i="16"/>
  <c r="S175" i="16"/>
  <c r="R175" i="16"/>
  <c r="K19" i="34"/>
  <c r="O36" i="34"/>
  <c r="J22" i="34"/>
  <c r="O23" i="34"/>
  <c r="K38" i="34"/>
  <c r="N33" i="34"/>
  <c r="N42" i="34"/>
  <c r="J12" i="34"/>
  <c r="M19" i="34"/>
  <c r="N27" i="34"/>
  <c r="J29" i="34"/>
  <c r="O15" i="34"/>
  <c r="N6" i="34"/>
  <c r="M16" i="34"/>
  <c r="K16" i="34"/>
  <c r="O21" i="34"/>
  <c r="M21" i="34"/>
  <c r="K42" i="34"/>
  <c r="O28" i="34"/>
  <c r="J16" i="34"/>
  <c r="L5" i="34"/>
  <c r="M3" i="34"/>
  <c r="O25" i="34"/>
  <c r="L11" i="34"/>
  <c r="K30" i="34"/>
  <c r="K11" i="34"/>
  <c r="K22" i="34"/>
  <c r="M32" i="34"/>
  <c r="L38" i="34"/>
  <c r="O6" i="34"/>
  <c r="O27" i="34"/>
  <c r="L42" i="34"/>
  <c r="L17" i="34"/>
  <c r="J21" i="34"/>
  <c r="K33" i="34"/>
  <c r="J2" i="34"/>
  <c r="L12" i="34"/>
  <c r="N12" i="34"/>
  <c r="N11" i="34"/>
  <c r="J15" i="34"/>
  <c r="K28" i="34"/>
  <c r="K27" i="34"/>
  <c r="M11" i="34"/>
  <c r="K6" i="34"/>
  <c r="M23" i="34"/>
  <c r="O7" i="34"/>
  <c r="M30" i="34"/>
  <c r="K29" i="34"/>
  <c r="L28" i="34"/>
  <c r="N19" i="34"/>
  <c r="M38" i="34"/>
  <c r="N24" i="34"/>
  <c r="J26" i="34"/>
  <c r="N23" i="34"/>
  <c r="M15" i="34"/>
  <c r="L8" i="34"/>
  <c r="J18" i="34"/>
  <c r="J36" i="34"/>
  <c r="O24" i="34"/>
  <c r="O2" i="34"/>
  <c r="K25" i="34"/>
  <c r="L18" i="34"/>
  <c r="O38" i="34"/>
  <c r="M2" i="34"/>
  <c r="K5" i="34"/>
  <c r="O16" i="34"/>
  <c r="K12" i="34"/>
  <c r="J17" i="34"/>
  <c r="M8" i="34"/>
  <c r="O32" i="34"/>
  <c r="O29" i="34"/>
  <c r="J20" i="34"/>
  <c r="N7" i="34"/>
  <c r="O8" i="34"/>
  <c r="J7" i="34"/>
  <c r="K8" i="34"/>
  <c r="N2" i="34"/>
  <c r="K4" i="34"/>
  <c r="K36" i="34"/>
  <c r="K32" i="34"/>
  <c r="L27" i="34"/>
  <c r="K20" i="34"/>
  <c r="N17" i="34"/>
  <c r="K2" i="34"/>
  <c r="M7" i="34"/>
  <c r="O5" i="34"/>
  <c r="N8" i="34"/>
  <c r="L24" i="34"/>
  <c r="L15" i="34"/>
  <c r="M22" i="34"/>
  <c r="M4" i="34"/>
  <c r="N18" i="34"/>
  <c r="L44" i="34"/>
  <c r="L19" i="34"/>
  <c r="L36" i="34"/>
  <c r="N5" i="34"/>
  <c r="K10" i="34"/>
  <c r="O40" i="34"/>
  <c r="M36" i="34"/>
  <c r="L23" i="34"/>
  <c r="M28" i="34"/>
  <c r="L30" i="34"/>
  <c r="K23" i="34"/>
  <c r="N34" i="34"/>
  <c r="J10" i="34"/>
  <c r="M33" i="34"/>
  <c r="O31" i="34"/>
  <c r="O33" i="34"/>
  <c r="K3" i="34"/>
  <c r="L22" i="34"/>
  <c r="N10" i="34"/>
  <c r="M17" i="34"/>
  <c r="M25" i="34"/>
  <c r="N3" i="34"/>
  <c r="N26" i="34"/>
  <c r="M34" i="34"/>
  <c r="L3" i="34"/>
  <c r="K7" i="34"/>
  <c r="K18" i="34"/>
  <c r="L34" i="34"/>
  <c r="M31" i="34"/>
  <c r="M44" i="34"/>
  <c r="O26" i="34"/>
  <c r="O3" i="34"/>
  <c r="O34" i="34"/>
  <c r="L21" i="34"/>
  <c r="J34" i="34"/>
  <c r="N25" i="34"/>
  <c r="J38" i="34"/>
  <c r="L25" i="34"/>
  <c r="J5" i="34"/>
  <c r="O10" i="34"/>
  <c r="J19" i="34"/>
  <c r="O20" i="34"/>
  <c r="O30" i="34"/>
  <c r="M42" i="34"/>
  <c r="L31" i="34"/>
  <c r="L7" i="34"/>
  <c r="N28" i="34"/>
  <c r="J27" i="34"/>
  <c r="O22" i="34"/>
  <c r="N36" i="34"/>
  <c r="M10" i="34"/>
  <c r="N16" i="34"/>
  <c r="J44" i="34"/>
  <c r="L29" i="34"/>
  <c r="N29" i="34"/>
  <c r="O18" i="34"/>
  <c r="L10" i="34"/>
  <c r="L20" i="34"/>
  <c r="K17" i="34"/>
  <c r="J31" i="34"/>
  <c r="K34" i="34"/>
  <c r="M6" i="34"/>
  <c r="M26" i="34"/>
  <c r="M27" i="34"/>
  <c r="N22" i="34"/>
  <c r="J4" i="34"/>
  <c r="K21" i="34"/>
  <c r="K24" i="34"/>
  <c r="M29" i="34"/>
  <c r="L16" i="34"/>
  <c r="L4" i="34"/>
  <c r="J3" i="34"/>
  <c r="M5" i="34"/>
  <c r="O12" i="34"/>
  <c r="K15" i="34"/>
  <c r="N21" i="34"/>
  <c r="N15" i="34"/>
  <c r="O42" i="34"/>
  <c r="N44" i="34"/>
  <c r="L26" i="34"/>
  <c r="N32" i="34"/>
  <c r="M20" i="34"/>
  <c r="K31" i="34"/>
  <c r="O17" i="34"/>
  <c r="O4" i="34"/>
  <c r="L33" i="34"/>
  <c r="O19" i="34"/>
  <c r="K40" i="34"/>
  <c r="J8" i="34"/>
  <c r="M40" i="34"/>
  <c r="N38" i="34"/>
  <c r="L6" i="34"/>
  <c r="J25" i="34"/>
  <c r="N40" i="34"/>
  <c r="N20" i="34"/>
  <c r="N30" i="34"/>
  <c r="K44" i="34"/>
  <c r="O11" i="34"/>
  <c r="M24" i="34"/>
  <c r="O44" i="34"/>
  <c r="N4" i="34"/>
  <c r="L2" i="34"/>
  <c r="L32" i="34"/>
  <c r="M18" i="34"/>
  <c r="N31" i="34"/>
  <c r="L40" i="34"/>
  <c r="K26" i="34"/>
  <c r="M12" i="34"/>
  <c r="J30" i="34"/>
  <c r="J11" i="34"/>
  <c r="J43" i="34"/>
  <c r="N43" i="34"/>
  <c r="L43" i="34"/>
  <c r="J6" i="34"/>
  <c r="K43" i="34"/>
  <c r="O43" i="34"/>
  <c r="M43" i="34"/>
  <c r="J28" i="34"/>
  <c r="AS352" i="16" l="1"/>
  <c r="AT352" i="16" s="1"/>
  <c r="AV352" i="16" s="1"/>
  <c r="F352" i="16" s="1"/>
  <c r="AS285" i="16"/>
  <c r="AT285" i="16" s="1"/>
  <c r="AV285" i="16" s="1"/>
  <c r="H285" i="16" s="1"/>
  <c r="AS266" i="16"/>
  <c r="AT266" i="16" s="1"/>
  <c r="AV266" i="16" s="1"/>
  <c r="F266" i="16" s="1"/>
  <c r="AS320" i="16"/>
  <c r="AT320" i="16" s="1"/>
  <c r="AV320" i="16" s="1"/>
  <c r="F320" i="16" s="1"/>
  <c r="AS347" i="16"/>
  <c r="AT347" i="16" s="1"/>
  <c r="AV347" i="16" s="1"/>
  <c r="F347" i="16" s="1"/>
  <c r="AS139" i="16"/>
  <c r="AT139" i="16" s="1"/>
  <c r="AV139" i="16" s="1"/>
  <c r="F139" i="16" s="1"/>
  <c r="AS155" i="16"/>
  <c r="AT155" i="16" s="1"/>
  <c r="AV155" i="16" s="1"/>
  <c r="H155" i="16" s="1"/>
  <c r="AS330" i="16"/>
  <c r="AT330" i="16" s="1"/>
  <c r="AV330" i="16" s="1"/>
  <c r="F330" i="16" s="1"/>
  <c r="AS325" i="16"/>
  <c r="AT325" i="16" s="1"/>
  <c r="AV325" i="16" s="1"/>
  <c r="H325" i="16" s="1"/>
  <c r="AS286" i="16"/>
  <c r="AT286" i="16" s="1"/>
  <c r="AV286" i="16" s="1"/>
  <c r="F286" i="16" s="1"/>
  <c r="AS319" i="16"/>
  <c r="AT319" i="16" s="1"/>
  <c r="AV319" i="16" s="1"/>
  <c r="F319" i="16" s="1"/>
  <c r="AS205" i="16"/>
  <c r="AT205" i="16" s="1"/>
  <c r="AV205" i="16" s="1"/>
  <c r="H205" i="16" s="1"/>
  <c r="AS145" i="16"/>
  <c r="AT145" i="16" s="1"/>
  <c r="AV145" i="16" s="1"/>
  <c r="F145" i="16" s="1"/>
  <c r="AS126" i="16"/>
  <c r="AT126" i="16" s="1"/>
  <c r="AV126" i="16" s="1"/>
  <c r="H126" i="16" s="1"/>
  <c r="AS182" i="16"/>
  <c r="AT182" i="16" s="1"/>
  <c r="AV182" i="16" s="1"/>
  <c r="F182" i="16" s="1"/>
  <c r="AS202" i="16"/>
  <c r="AT202" i="16" s="1"/>
  <c r="AV202" i="16" s="1"/>
  <c r="H202" i="16" s="1"/>
  <c r="AS236" i="16"/>
  <c r="AT236" i="16" s="1"/>
  <c r="AV236" i="16" s="1"/>
  <c r="F236" i="16" s="1"/>
  <c r="AS172" i="16"/>
  <c r="AT172" i="16" s="1"/>
  <c r="AV172" i="16" s="1"/>
  <c r="H172" i="16" s="1"/>
  <c r="AS291" i="16"/>
  <c r="AT291" i="16" s="1"/>
  <c r="AV291" i="16" s="1"/>
  <c r="F291" i="16" s="1"/>
  <c r="AS241" i="16"/>
  <c r="AT241" i="16" s="1"/>
  <c r="AV241" i="16" s="1"/>
  <c r="F241" i="16" s="1"/>
  <c r="AS343" i="16"/>
  <c r="AT343" i="16" s="1"/>
  <c r="AV343" i="16" s="1"/>
  <c r="F343" i="16" s="1"/>
  <c r="AS175" i="16"/>
  <c r="AT175" i="16" s="1"/>
  <c r="AV175" i="16" s="1"/>
  <c r="F175" i="16" s="1"/>
  <c r="AS246" i="16"/>
  <c r="AT246" i="16" s="1"/>
  <c r="AV246" i="16" s="1"/>
  <c r="F246" i="16" s="1"/>
  <c r="AS288" i="16"/>
  <c r="AT288" i="16" s="1"/>
  <c r="AV288" i="16" s="1"/>
  <c r="H288" i="16" s="1"/>
  <c r="AS212" i="16"/>
  <c r="AT212" i="16" s="1"/>
  <c r="AV212" i="16" s="1"/>
  <c r="F212" i="16" s="1"/>
  <c r="AS154" i="16"/>
  <c r="AT154" i="16" s="1"/>
  <c r="AV154" i="16" s="1"/>
  <c r="H154" i="16" s="1"/>
  <c r="AS163" i="16"/>
  <c r="AT163" i="16" s="1"/>
  <c r="AV163" i="16" s="1"/>
  <c r="F163" i="16" s="1"/>
  <c r="AS303" i="16"/>
  <c r="AT303" i="16" s="1"/>
  <c r="AV303" i="16" s="1"/>
  <c r="F303" i="16" s="1"/>
  <c r="AS261" i="16"/>
  <c r="AT261" i="16" s="1"/>
  <c r="AV261" i="16" s="1"/>
  <c r="F261" i="16" s="1"/>
  <c r="AS333" i="16"/>
  <c r="AT333" i="16" s="1"/>
  <c r="AV333" i="16" s="1"/>
  <c r="F333" i="16" s="1"/>
  <c r="AS294" i="16"/>
  <c r="AT294" i="16" s="1"/>
  <c r="AV294" i="16" s="1"/>
  <c r="F294" i="16" s="1"/>
  <c r="AS208" i="16"/>
  <c r="AT208" i="16" s="1"/>
  <c r="AV208" i="16" s="1"/>
  <c r="H208" i="16" s="1"/>
  <c r="AS293" i="16"/>
  <c r="AT293" i="16" s="1"/>
  <c r="AV293" i="16" s="1"/>
  <c r="L52" i="34"/>
  <c r="M51" i="34"/>
  <c r="K51" i="34"/>
  <c r="L51" i="34"/>
  <c r="O51" i="34"/>
  <c r="N51" i="34"/>
  <c r="AS224" i="16"/>
  <c r="AT224" i="16" s="1"/>
  <c r="AV224" i="16" s="1"/>
  <c r="F224" i="16" s="1"/>
  <c r="AS339" i="16"/>
  <c r="AT339" i="16" s="1"/>
  <c r="AV339" i="16" s="1"/>
  <c r="F339" i="16" s="1"/>
  <c r="AS170" i="16"/>
  <c r="AT170" i="16" s="1"/>
  <c r="AV170" i="16" s="1"/>
  <c r="F170" i="16" s="1"/>
  <c r="AS177" i="16"/>
  <c r="AT177" i="16" s="1"/>
  <c r="AV177" i="16" s="1"/>
  <c r="F177" i="16" s="1"/>
  <c r="AS295" i="16"/>
  <c r="AT295" i="16" s="1"/>
  <c r="AV295" i="16" s="1"/>
  <c r="F295" i="16" s="1"/>
  <c r="AS148" i="16"/>
  <c r="AT148" i="16" s="1"/>
  <c r="AS174" i="16"/>
  <c r="AT174" i="16" s="1"/>
  <c r="AV174" i="16" s="1"/>
  <c r="F174" i="16" s="1"/>
  <c r="AS262" i="16"/>
  <c r="AT262" i="16" s="1"/>
  <c r="AV262" i="16" s="1"/>
  <c r="F262" i="16" s="1"/>
  <c r="AS130" i="16"/>
  <c r="AT130" i="16" s="1"/>
  <c r="AV130" i="16" s="1"/>
  <c r="H130" i="16" s="1"/>
  <c r="AS334" i="16"/>
  <c r="AT334" i="16" s="1"/>
  <c r="AV334" i="16" s="1"/>
  <c r="F334" i="16" s="1"/>
  <c r="AS222" i="16"/>
  <c r="AT222" i="16" s="1"/>
  <c r="AV222" i="16" s="1"/>
  <c r="H222" i="16" s="1"/>
  <c r="AS190" i="16"/>
  <c r="AT190" i="16" s="1"/>
  <c r="AV190" i="16" s="1"/>
  <c r="H190" i="16" s="1"/>
  <c r="AS341" i="16"/>
  <c r="AT341" i="16" s="1"/>
  <c r="AV341" i="16" s="1"/>
  <c r="F341" i="16" s="1"/>
  <c r="O52" i="34"/>
  <c r="M52" i="34"/>
  <c r="N52" i="34"/>
  <c r="AS158" i="16"/>
  <c r="AT158" i="16" s="1"/>
  <c r="AV158" i="16" s="1"/>
  <c r="H158" i="16" s="1"/>
  <c r="AS267" i="16"/>
  <c r="AT267" i="16" s="1"/>
  <c r="AV267" i="16" s="1"/>
  <c r="H267" i="16" s="1"/>
  <c r="AS322" i="16"/>
  <c r="AT322" i="16" s="1"/>
  <c r="AV322" i="16" s="1"/>
  <c r="F322" i="16" s="1"/>
  <c r="AS207" i="16"/>
  <c r="AT207" i="16" s="1"/>
  <c r="AV207" i="16" s="1"/>
  <c r="H207" i="16" s="1"/>
  <c r="AS356" i="16"/>
  <c r="AT356" i="16" s="1"/>
  <c r="AV356" i="16" s="1"/>
  <c r="H356" i="16" s="1"/>
  <c r="AS383" i="16"/>
  <c r="AT383" i="16" s="1"/>
  <c r="AV383" i="16" s="1"/>
  <c r="F383" i="16" s="1"/>
  <c r="AS273" i="16"/>
  <c r="AT273" i="16" s="1"/>
  <c r="AV273" i="16" s="1"/>
  <c r="H273" i="16" s="1"/>
  <c r="AS169" i="16"/>
  <c r="AT169" i="16" s="1"/>
  <c r="AV169" i="16" s="1"/>
  <c r="H169" i="16" s="1"/>
  <c r="AS225" i="16"/>
  <c r="AT225" i="16" s="1"/>
  <c r="AV225" i="16" s="1"/>
  <c r="H225" i="16" s="1"/>
  <c r="AS227" i="16"/>
  <c r="AT227" i="16" s="1"/>
  <c r="AV227" i="16" s="1"/>
  <c r="F227" i="16" s="1"/>
  <c r="AS4" i="16"/>
  <c r="AT4" i="16" s="1"/>
  <c r="AV4" i="16" s="1"/>
  <c r="F4" i="16" s="1"/>
  <c r="AS167" i="16"/>
  <c r="AT167" i="16" s="1"/>
  <c r="AV167" i="16" s="1"/>
  <c r="H167" i="16" s="1"/>
  <c r="AS97" i="16"/>
  <c r="AT97" i="16" s="1"/>
  <c r="AV97" i="16" s="1"/>
  <c r="F97" i="16" s="1"/>
  <c r="AS201" i="16"/>
  <c r="AT201" i="16" s="1"/>
  <c r="AV201" i="16" s="1"/>
  <c r="H201" i="16" s="1"/>
  <c r="AS305" i="16"/>
  <c r="AT305" i="16" s="1"/>
  <c r="AV305" i="16" s="1"/>
  <c r="F305" i="16" s="1"/>
  <c r="AS409" i="16"/>
  <c r="AT409" i="16" s="1"/>
  <c r="AV409" i="16" s="1"/>
  <c r="F409" i="16" s="1"/>
  <c r="AS254" i="16"/>
  <c r="AT254" i="16" s="1"/>
  <c r="AV254" i="16" s="1"/>
  <c r="F254" i="16" s="1"/>
  <c r="AS112" i="16"/>
  <c r="AT112" i="16" s="1"/>
  <c r="AV112" i="16" s="1"/>
  <c r="H112" i="16" s="1"/>
  <c r="AS42" i="16"/>
  <c r="AT42" i="16" s="1"/>
  <c r="AV42" i="16" s="1"/>
  <c r="F42" i="16" s="1"/>
  <c r="AS424" i="16"/>
  <c r="AT424" i="16" s="1"/>
  <c r="AV424" i="16" s="1"/>
  <c r="F424" i="16" s="1"/>
  <c r="AS165" i="16"/>
  <c r="AT165" i="16" s="1"/>
  <c r="AV165" i="16" s="1"/>
  <c r="F165" i="16" s="1"/>
  <c r="AS63" i="16"/>
  <c r="AT63" i="16" s="1"/>
  <c r="AV63" i="16" s="1"/>
  <c r="H63" i="16" s="1"/>
  <c r="AS260" i="16"/>
  <c r="AT260" i="16" s="1"/>
  <c r="AV260" i="16" s="1"/>
  <c r="H260" i="16" s="1"/>
  <c r="AS13" i="16"/>
  <c r="AT13" i="16" s="1"/>
  <c r="AV13" i="16" s="1"/>
  <c r="F13" i="16" s="1"/>
  <c r="AS433" i="16"/>
  <c r="AT433" i="16" s="1"/>
  <c r="AV433" i="16" s="1"/>
  <c r="F433" i="16" s="1"/>
  <c r="AS280" i="16"/>
  <c r="AT280" i="16" s="1"/>
  <c r="AV280" i="16" s="1"/>
  <c r="F280" i="16" s="1"/>
  <c r="AS56" i="16"/>
  <c r="AT56" i="16" s="1"/>
  <c r="AV56" i="16" s="1"/>
  <c r="H56" i="16" s="1"/>
  <c r="AS176" i="16"/>
  <c r="AT176" i="16" s="1"/>
  <c r="AV176" i="16" s="1"/>
  <c r="H176" i="16" s="1"/>
  <c r="AS346" i="16"/>
  <c r="AT346" i="16" s="1"/>
  <c r="AV346" i="16" s="1"/>
  <c r="F346" i="16" s="1"/>
  <c r="AS331" i="16"/>
  <c r="AT331" i="16" s="1"/>
  <c r="AV331" i="16" s="1"/>
  <c r="F331" i="16" s="1"/>
  <c r="AS48" i="16"/>
  <c r="AT48" i="16" s="1"/>
  <c r="AV48" i="16" s="1"/>
  <c r="F48" i="16" s="1"/>
  <c r="AS129" i="16"/>
  <c r="AT129" i="16" s="1"/>
  <c r="AV129" i="16" s="1"/>
  <c r="F129" i="16" s="1"/>
  <c r="AS94" i="16"/>
  <c r="AT94" i="16" s="1"/>
  <c r="AV94" i="16" s="1"/>
  <c r="F94" i="16" s="1"/>
  <c r="AS76" i="16"/>
  <c r="AT76" i="16" s="1"/>
  <c r="AV76" i="16" s="1"/>
  <c r="F76" i="16" s="1"/>
  <c r="AS35" i="16"/>
  <c r="AT35" i="16" s="1"/>
  <c r="AV35" i="16" s="1"/>
  <c r="F35" i="16" s="1"/>
  <c r="AS316" i="16"/>
  <c r="AT316" i="16" s="1"/>
  <c r="AV316" i="16" s="1"/>
  <c r="H316" i="16" s="1"/>
  <c r="AS348" i="16"/>
  <c r="AT348" i="16" s="1"/>
  <c r="AV348" i="16" s="1"/>
  <c r="H348" i="16" s="1"/>
  <c r="AS360" i="16"/>
  <c r="AT360" i="16" s="1"/>
  <c r="AV360" i="16" s="1"/>
  <c r="H360" i="16" s="1"/>
  <c r="AS363" i="16"/>
  <c r="AT363" i="16" s="1"/>
  <c r="AV363" i="16" s="1"/>
  <c r="F363" i="16" s="1"/>
  <c r="AS247" i="16"/>
  <c r="AT247" i="16" s="1"/>
  <c r="AV247" i="16" s="1"/>
  <c r="F247" i="16" s="1"/>
  <c r="AS184" i="16"/>
  <c r="AT184" i="16" s="1"/>
  <c r="AV184" i="16" s="1"/>
  <c r="F184" i="16" s="1"/>
  <c r="AS385" i="16"/>
  <c r="AT385" i="16" s="1"/>
  <c r="AV385" i="16" s="1"/>
  <c r="H385" i="16" s="1"/>
  <c r="AS418" i="16"/>
  <c r="AT418" i="16" s="1"/>
  <c r="AV418" i="16" s="1"/>
  <c r="F418" i="16" s="1"/>
  <c r="AS357" i="16"/>
  <c r="AT357" i="16" s="1"/>
  <c r="AV357" i="16" s="1"/>
  <c r="F357" i="16" s="1"/>
  <c r="AS396" i="16"/>
  <c r="AT396" i="16" s="1"/>
  <c r="AV396" i="16" s="1"/>
  <c r="H396" i="16" s="1"/>
  <c r="AS329" i="16"/>
  <c r="AT329" i="16" s="1"/>
  <c r="AV329" i="16" s="1"/>
  <c r="F329" i="16" s="1"/>
  <c r="AS198" i="16"/>
  <c r="AT198" i="16" s="1"/>
  <c r="AV198" i="16" s="1"/>
  <c r="H198" i="16" s="1"/>
  <c r="AS135" i="16"/>
  <c r="AT135" i="16" s="1"/>
  <c r="AV135" i="16" s="1"/>
  <c r="F135" i="16" s="1"/>
  <c r="AS111" i="16"/>
  <c r="AT111" i="16" s="1"/>
  <c r="AV111" i="16" s="1"/>
  <c r="F111" i="16" s="1"/>
  <c r="AS91" i="16"/>
  <c r="AT91" i="16" s="1"/>
  <c r="AV91" i="16" s="1"/>
  <c r="H91" i="16" s="1"/>
  <c r="AS75" i="16"/>
  <c r="AT75" i="16" s="1"/>
  <c r="AV75" i="16" s="1"/>
  <c r="H75" i="16" s="1"/>
  <c r="AS218" i="16"/>
  <c r="AT218" i="16" s="1"/>
  <c r="AV218" i="16" s="1"/>
  <c r="F218" i="16" s="1"/>
  <c r="AS105" i="16"/>
  <c r="AT105" i="16" s="1"/>
  <c r="AV105" i="16" s="1"/>
  <c r="H105" i="16" s="1"/>
  <c r="AS62" i="16"/>
  <c r="AT62" i="16" s="1"/>
  <c r="AV62" i="16" s="1"/>
  <c r="H62" i="16" s="1"/>
  <c r="AS24" i="16"/>
  <c r="AT24" i="16" s="1"/>
  <c r="AV24" i="16" s="1"/>
  <c r="H24" i="16" s="1"/>
  <c r="AS257" i="16"/>
  <c r="AT257" i="16" s="1"/>
  <c r="AV257" i="16" s="1"/>
  <c r="H257" i="16" s="1"/>
  <c r="AS216" i="16"/>
  <c r="AT216" i="16" s="1"/>
  <c r="AV216" i="16" s="1"/>
  <c r="F216" i="16" s="1"/>
  <c r="AS311" i="16"/>
  <c r="AT311" i="16" s="1"/>
  <c r="AV311" i="16" s="1"/>
  <c r="H311" i="16" s="1"/>
  <c r="AS66" i="16"/>
  <c r="AT66" i="16" s="1"/>
  <c r="AV66" i="16" s="1"/>
  <c r="H66" i="16" s="1"/>
  <c r="AS387" i="16"/>
  <c r="AT387" i="16" s="1"/>
  <c r="AV387" i="16" s="1"/>
  <c r="H387" i="16" s="1"/>
  <c r="AS371" i="16"/>
  <c r="AT371" i="16" s="1"/>
  <c r="AV371" i="16" s="1"/>
  <c r="H371" i="16" s="1"/>
  <c r="AS338" i="16"/>
  <c r="AT338" i="16" s="1"/>
  <c r="AV338" i="16" s="1"/>
  <c r="H338" i="16" s="1"/>
  <c r="AS388" i="16"/>
  <c r="AT388" i="16" s="1"/>
  <c r="AV388" i="16" s="1"/>
  <c r="H388" i="16" s="1"/>
  <c r="AS372" i="16"/>
  <c r="AT372" i="16" s="1"/>
  <c r="AV372" i="16" s="1"/>
  <c r="F372" i="16" s="1"/>
  <c r="AS351" i="16"/>
  <c r="AT351" i="16" s="1"/>
  <c r="AV351" i="16" s="1"/>
  <c r="H351" i="16" s="1"/>
  <c r="AS213" i="16"/>
  <c r="AT213" i="16" s="1"/>
  <c r="AV213" i="16" s="1"/>
  <c r="H213" i="16" s="1"/>
  <c r="AS140" i="16"/>
  <c r="AT140" i="16" s="1"/>
  <c r="AV140" i="16" s="1"/>
  <c r="H140" i="16" s="1"/>
  <c r="AS192" i="16"/>
  <c r="AT192" i="16" s="1"/>
  <c r="AV192" i="16" s="1"/>
  <c r="F192" i="16" s="1"/>
  <c r="AS394" i="16"/>
  <c r="AT394" i="16" s="1"/>
  <c r="AV394" i="16" s="1"/>
  <c r="H394" i="16" s="1"/>
  <c r="AS209" i="16"/>
  <c r="AT209" i="16" s="1"/>
  <c r="AV209" i="16" s="1"/>
  <c r="H209" i="16" s="1"/>
  <c r="AS180" i="16"/>
  <c r="AT180" i="16" s="1"/>
  <c r="AV180" i="16" s="1"/>
  <c r="H180" i="16" s="1"/>
  <c r="AS373" i="16"/>
  <c r="AT373" i="16" s="1"/>
  <c r="AV373" i="16" s="1"/>
  <c r="F373" i="16" s="1"/>
  <c r="AS374" i="16"/>
  <c r="AT374" i="16" s="1"/>
  <c r="AV374" i="16" s="1"/>
  <c r="F374" i="16" s="1"/>
  <c r="AS215" i="16"/>
  <c r="AT215" i="16" s="1"/>
  <c r="AV215" i="16" s="1"/>
  <c r="H215" i="16" s="1"/>
  <c r="AS92" i="16"/>
  <c r="AT92" i="16" s="1"/>
  <c r="AV92" i="16" s="1"/>
  <c r="F92" i="16" s="1"/>
  <c r="AS248" i="16"/>
  <c r="AT248" i="16" s="1"/>
  <c r="AV248" i="16" s="1"/>
  <c r="F248" i="16" s="1"/>
  <c r="AS367" i="16"/>
  <c r="AT367" i="16" s="1"/>
  <c r="AV367" i="16" s="1"/>
  <c r="F367" i="16" s="1"/>
  <c r="AS392" i="16"/>
  <c r="AT392" i="16" s="1"/>
  <c r="AV392" i="16" s="1"/>
  <c r="F392" i="16" s="1"/>
  <c r="AS376" i="16"/>
  <c r="AT376" i="16" s="1"/>
  <c r="AV376" i="16" s="1"/>
  <c r="F376" i="16" s="1"/>
  <c r="AS323" i="16"/>
  <c r="AT323" i="16" s="1"/>
  <c r="AV323" i="16" s="1"/>
  <c r="H323" i="16" s="1"/>
  <c r="AS287" i="16"/>
  <c r="AT287" i="16" s="1"/>
  <c r="AV287" i="16" s="1"/>
  <c r="F287" i="16" s="1"/>
  <c r="AS237" i="16"/>
  <c r="AT237" i="16" s="1"/>
  <c r="AV237" i="16" s="1"/>
  <c r="F237" i="16" s="1"/>
  <c r="AS270" i="16"/>
  <c r="AT270" i="16" s="1"/>
  <c r="AV270" i="16" s="1"/>
  <c r="H270" i="16" s="1"/>
  <c r="AS369" i="16"/>
  <c r="AT369" i="16" s="1"/>
  <c r="AV369" i="16" s="1"/>
  <c r="H369" i="16" s="1"/>
  <c r="AS407" i="16"/>
  <c r="AT407" i="16" s="1"/>
  <c r="AV407" i="16" s="1"/>
  <c r="H407" i="16" s="1"/>
  <c r="AS275" i="16"/>
  <c r="AT275" i="16" s="1"/>
  <c r="AV275" i="16" s="1"/>
  <c r="F275" i="16" s="1"/>
  <c r="AS149" i="16"/>
  <c r="AT149" i="16" s="1"/>
  <c r="AV149" i="16" s="1"/>
  <c r="F149" i="16" s="1"/>
  <c r="AS194" i="16"/>
  <c r="AT194" i="16" s="1"/>
  <c r="AV194" i="16" s="1"/>
  <c r="F194" i="16" s="1"/>
  <c r="AS124" i="16"/>
  <c r="AT124" i="16" s="1"/>
  <c r="AV124" i="16" s="1"/>
  <c r="F124" i="16" s="1"/>
  <c r="AS106" i="16"/>
  <c r="AT106" i="16" s="1"/>
  <c r="AS226" i="16"/>
  <c r="AT226" i="16" s="1"/>
  <c r="AV226" i="16" s="1"/>
  <c r="F226" i="16" s="1"/>
  <c r="AS84" i="16"/>
  <c r="AT84" i="16" s="1"/>
  <c r="AV84" i="16" s="1"/>
  <c r="H84" i="16" s="1"/>
  <c r="AS379" i="16"/>
  <c r="AT379" i="16" s="1"/>
  <c r="AV379" i="16" s="1"/>
  <c r="F379" i="16" s="1"/>
  <c r="AS358" i="16"/>
  <c r="AT358" i="16" s="1"/>
  <c r="AV358" i="16" s="1"/>
  <c r="F358" i="16" s="1"/>
  <c r="AS395" i="16"/>
  <c r="AT395" i="16" s="1"/>
  <c r="AV395" i="16" s="1"/>
  <c r="F395" i="16" s="1"/>
  <c r="AS324" i="16"/>
  <c r="AT324" i="16" s="1"/>
  <c r="AV324" i="16" s="1"/>
  <c r="F324" i="16" s="1"/>
  <c r="AS380" i="16"/>
  <c r="AT380" i="16" s="1"/>
  <c r="AV380" i="16" s="1"/>
  <c r="F380" i="16" s="1"/>
  <c r="AS364" i="16"/>
  <c r="AT364" i="16" s="1"/>
  <c r="AV364" i="16" s="1"/>
  <c r="H364" i="16" s="1"/>
  <c r="AS431" i="16"/>
  <c r="AT431" i="16" s="1"/>
  <c r="AV431" i="16" s="1"/>
  <c r="F431" i="16" s="1"/>
  <c r="AS281" i="16"/>
  <c r="AT281" i="16" s="1"/>
  <c r="AV281" i="16" s="1"/>
  <c r="F281" i="16" s="1"/>
  <c r="AS159" i="16"/>
  <c r="AT159" i="16" s="1"/>
  <c r="AV159" i="16" s="1"/>
  <c r="F159" i="16" s="1"/>
  <c r="AS264" i="16"/>
  <c r="AT264" i="16" s="1"/>
  <c r="AV264" i="16" s="1"/>
  <c r="F264" i="16" s="1"/>
  <c r="AS104" i="16"/>
  <c r="AT104" i="16" s="1"/>
  <c r="AV104" i="16" s="1"/>
  <c r="F104" i="16" s="1"/>
  <c r="AS69" i="16"/>
  <c r="AT69" i="16" s="1"/>
  <c r="AV69" i="16" s="1"/>
  <c r="F69" i="16" s="1"/>
  <c r="AS156" i="16"/>
  <c r="AT156" i="16" s="1"/>
  <c r="AV156" i="16" s="1"/>
  <c r="F156" i="16" s="1"/>
  <c r="AS300" i="16"/>
  <c r="AT300" i="16" s="1"/>
  <c r="AV300" i="16" s="1"/>
  <c r="F300" i="16" s="1"/>
  <c r="AS136" i="16"/>
  <c r="AT136" i="16" s="1"/>
  <c r="AV136" i="16" s="1"/>
  <c r="F136" i="16" s="1"/>
  <c r="AS116" i="16"/>
  <c r="AT116" i="16" s="1"/>
  <c r="AV116" i="16" s="1"/>
  <c r="H116" i="16" s="1"/>
  <c r="AS99" i="16"/>
  <c r="AT99" i="16" s="1"/>
  <c r="AV99" i="16" s="1"/>
  <c r="F99" i="16" s="1"/>
  <c r="AS82" i="16"/>
  <c r="AT82" i="16" s="1"/>
  <c r="AV82" i="16" s="1"/>
  <c r="F82" i="16" s="1"/>
  <c r="AS21" i="16"/>
  <c r="AT21" i="16" s="1"/>
  <c r="AV21" i="16" s="1"/>
  <c r="F21" i="16" s="1"/>
  <c r="AS90" i="16"/>
  <c r="AT90" i="16" s="1"/>
  <c r="AV90" i="16" s="1"/>
  <c r="H90" i="16" s="1"/>
  <c r="AS164" i="16"/>
  <c r="AT164" i="16" s="1"/>
  <c r="AV164" i="16" s="1"/>
  <c r="H164" i="16" s="1"/>
  <c r="N59" i="34"/>
  <c r="K59" i="34"/>
  <c r="L59" i="34"/>
  <c r="M59" i="34"/>
  <c r="O59" i="34"/>
  <c r="AS29" i="16"/>
  <c r="AT29" i="16" s="1"/>
  <c r="AS432" i="16"/>
  <c r="AT432" i="16" s="1"/>
  <c r="AV432" i="16" s="1"/>
  <c r="F432" i="16" s="1"/>
  <c r="AS289" i="16"/>
  <c r="AT289" i="16" s="1"/>
  <c r="AV289" i="16" s="1"/>
  <c r="H289" i="16" s="1"/>
  <c r="AS157" i="16"/>
  <c r="AT157" i="16" s="1"/>
  <c r="AV157" i="16" s="1"/>
  <c r="H157" i="16" s="1"/>
  <c r="AS152" i="16"/>
  <c r="AT152" i="16" s="1"/>
  <c r="AV152" i="16" s="1"/>
  <c r="F152" i="16" s="1"/>
  <c r="AS414" i="16"/>
  <c r="AT414" i="16" s="1"/>
  <c r="AV414" i="16" s="1"/>
  <c r="F414" i="16" s="1"/>
  <c r="AS405" i="16"/>
  <c r="AT405" i="16" s="1"/>
  <c r="AV405" i="16" s="1"/>
  <c r="F405" i="16" s="1"/>
  <c r="AS310" i="16"/>
  <c r="AT310" i="16" s="1"/>
  <c r="AV310" i="16" s="1"/>
  <c r="F310" i="16" s="1"/>
  <c r="AS277" i="16"/>
  <c r="AT277" i="16" s="1"/>
  <c r="AV277" i="16" s="1"/>
  <c r="F277" i="16" s="1"/>
  <c r="AS229" i="16"/>
  <c r="AT229" i="16" s="1"/>
  <c r="AV229" i="16" s="1"/>
  <c r="H229" i="16" s="1"/>
  <c r="AS301" i="16"/>
  <c r="AT301" i="16" s="1"/>
  <c r="AV301" i="16" s="1"/>
  <c r="H301" i="16" s="1"/>
  <c r="AS98" i="16"/>
  <c r="AT98" i="16" s="1"/>
  <c r="AV98" i="16" s="1"/>
  <c r="F98" i="16" s="1"/>
  <c r="AS81" i="16"/>
  <c r="AT81" i="16" s="1"/>
  <c r="AV81" i="16" s="1"/>
  <c r="F81" i="16" s="1"/>
  <c r="AS49" i="16"/>
  <c r="AT49" i="16" s="1"/>
  <c r="AV49" i="16" s="1"/>
  <c r="F49" i="16" s="1"/>
  <c r="AS402" i="16"/>
  <c r="AT402" i="16" s="1"/>
  <c r="AV402" i="16" s="1"/>
  <c r="H402" i="16" s="1"/>
  <c r="AS397" i="16"/>
  <c r="AT397" i="16" s="1"/>
  <c r="AV397" i="16" s="1"/>
  <c r="F397" i="16" s="1"/>
  <c r="AS401" i="16"/>
  <c r="AT401" i="16" s="1"/>
  <c r="AV401" i="16" s="1"/>
  <c r="H401" i="16" s="1"/>
  <c r="AS308" i="16"/>
  <c r="AT308" i="16" s="1"/>
  <c r="AV308" i="16" s="1"/>
  <c r="F308" i="16" s="1"/>
  <c r="AS309" i="16"/>
  <c r="AT309" i="16" s="1"/>
  <c r="AV309" i="16" s="1"/>
  <c r="H309" i="16" s="1"/>
  <c r="AS302" i="16"/>
  <c r="AT302" i="16" s="1"/>
  <c r="AV302" i="16" s="1"/>
  <c r="F302" i="16" s="1"/>
  <c r="AS191" i="16"/>
  <c r="AT191" i="16" s="1"/>
  <c r="AV191" i="16" s="1"/>
  <c r="F191" i="16" s="1"/>
  <c r="AS138" i="16"/>
  <c r="AT138" i="16" s="1"/>
  <c r="AV138" i="16" s="1"/>
  <c r="F138" i="16" s="1"/>
  <c r="AS30" i="16"/>
  <c r="AT30" i="16" s="1"/>
  <c r="AV30" i="16" s="1"/>
  <c r="F30" i="16" s="1"/>
  <c r="AS5" i="16"/>
  <c r="AT5" i="16" s="1"/>
  <c r="AV5" i="16" s="1"/>
  <c r="F5" i="16" s="1"/>
  <c r="AS200" i="16"/>
  <c r="AT200" i="16" s="1"/>
  <c r="AV200" i="16" s="1"/>
  <c r="F200" i="16" s="1"/>
  <c r="AS258" i="16"/>
  <c r="AT258" i="16" s="1"/>
  <c r="AV258" i="16" s="1"/>
  <c r="H258" i="16" s="1"/>
  <c r="AS297" i="16"/>
  <c r="AT297" i="16" s="1"/>
  <c r="AV297" i="16" s="1"/>
  <c r="F297" i="16" s="1"/>
  <c r="AS133" i="16"/>
  <c r="AT133" i="16" s="1"/>
  <c r="AV133" i="16" s="1"/>
  <c r="H133" i="16" s="1"/>
  <c r="AS120" i="16"/>
  <c r="AT120" i="16" s="1"/>
  <c r="AV120" i="16" s="1"/>
  <c r="F120" i="16" s="1"/>
  <c r="AS118" i="16"/>
  <c r="AT118" i="16" s="1"/>
  <c r="AS144" i="16"/>
  <c r="AT144" i="16" s="1"/>
  <c r="AV144" i="16" s="1"/>
  <c r="F144" i="16" s="1"/>
  <c r="AS362" i="16"/>
  <c r="AT362" i="16" s="1"/>
  <c r="AV362" i="16" s="1"/>
  <c r="H362" i="16" s="1"/>
  <c r="AS378" i="16"/>
  <c r="AT378" i="16" s="1"/>
  <c r="AV378" i="16" s="1"/>
  <c r="F378" i="16" s="1"/>
  <c r="AS67" i="16"/>
  <c r="AT67" i="16" s="1"/>
  <c r="AV67" i="16" s="1"/>
  <c r="F67" i="16" s="1"/>
  <c r="AS204" i="16"/>
  <c r="AT204" i="16" s="1"/>
  <c r="AV204" i="16" s="1"/>
  <c r="H204" i="16" s="1"/>
  <c r="AS187" i="16"/>
  <c r="AT187" i="16" s="1"/>
  <c r="AV187" i="16" s="1"/>
  <c r="F187" i="16" s="1"/>
  <c r="AS162" i="16"/>
  <c r="AT162" i="16" s="1"/>
  <c r="AV162" i="16" s="1"/>
  <c r="F162" i="16" s="1"/>
  <c r="AS114" i="16"/>
  <c r="AT114" i="16" s="1"/>
  <c r="AV114" i="16" s="1"/>
  <c r="H114" i="16" s="1"/>
  <c r="AS171" i="16"/>
  <c r="AT171" i="16" s="1"/>
  <c r="AV171" i="16" s="1"/>
  <c r="F171" i="16" s="1"/>
  <c r="AS263" i="16"/>
  <c r="AT263" i="16" s="1"/>
  <c r="AV263" i="16" s="1"/>
  <c r="F263" i="16" s="1"/>
  <c r="AS185" i="16"/>
  <c r="AT185" i="16" s="1"/>
  <c r="AV185" i="16" s="1"/>
  <c r="F185" i="16" s="1"/>
  <c r="AS183" i="16"/>
  <c r="AT183" i="16" s="1"/>
  <c r="AV183" i="16" s="1"/>
  <c r="H183" i="16" s="1"/>
  <c r="AS127" i="16"/>
  <c r="AT127" i="16" s="1"/>
  <c r="AV127" i="16" s="1"/>
  <c r="H127" i="16" s="1"/>
  <c r="AS110" i="16"/>
  <c r="AT110" i="16" s="1"/>
  <c r="AV110" i="16" s="1"/>
  <c r="F110" i="16" s="1"/>
  <c r="AS74" i="16"/>
  <c r="AT74" i="16" s="1"/>
  <c r="AV74" i="16" s="1"/>
  <c r="F74" i="16" s="1"/>
  <c r="AS161" i="16"/>
  <c r="AT161" i="16" s="1"/>
  <c r="AV161" i="16" s="1"/>
  <c r="F161" i="16" s="1"/>
  <c r="AS28" i="16"/>
  <c r="AT28" i="16" s="1"/>
  <c r="AV28" i="16" s="1"/>
  <c r="F28" i="16" s="1"/>
  <c r="AS355" i="16"/>
  <c r="AT355" i="16" s="1"/>
  <c r="AV355" i="16" s="1"/>
  <c r="F355" i="16" s="1"/>
  <c r="AS65" i="16"/>
  <c r="AT65" i="16" s="1"/>
  <c r="AV65" i="16" s="1"/>
  <c r="H65" i="16" s="1"/>
  <c r="AS276" i="16"/>
  <c r="AT276" i="16" s="1"/>
  <c r="AV276" i="16" s="1"/>
  <c r="F276" i="16" s="1"/>
  <c r="AS73" i="16"/>
  <c r="AT73" i="16" s="1"/>
  <c r="AV73" i="16" s="1"/>
  <c r="H73" i="16" s="1"/>
  <c r="AS3" i="16"/>
  <c r="AT3" i="16" s="1"/>
  <c r="AV3" i="16" s="1"/>
  <c r="F3" i="16" s="1"/>
  <c r="AS389" i="16"/>
  <c r="AT389" i="16" s="1"/>
  <c r="AV389" i="16" s="1"/>
  <c r="F389" i="16" s="1"/>
  <c r="AS350" i="16"/>
  <c r="AT350" i="16" s="1"/>
  <c r="E103" i="13" s="1"/>
  <c r="S103" i="13" s="1"/>
  <c r="N369" i="16" s="1"/>
  <c r="AS345" i="16"/>
  <c r="AT345" i="16" s="1"/>
  <c r="AV345" i="16" s="1"/>
  <c r="F345" i="16" s="1"/>
  <c r="AS390" i="16"/>
  <c r="AT390" i="16" s="1"/>
  <c r="AV390" i="16" s="1"/>
  <c r="F390" i="16" s="1"/>
  <c r="AS353" i="16"/>
  <c r="AT353" i="16" s="1"/>
  <c r="AV353" i="16" s="1"/>
  <c r="F353" i="16" s="1"/>
  <c r="AS361" i="16"/>
  <c r="AT361" i="16" s="1"/>
  <c r="AV361" i="16" s="1"/>
  <c r="F361" i="16" s="1"/>
  <c r="AS283" i="16"/>
  <c r="AT283" i="16" s="1"/>
  <c r="AV283" i="16" s="1"/>
  <c r="H283" i="16" s="1"/>
  <c r="AS282" i="16"/>
  <c r="AT282" i="16" s="1"/>
  <c r="AV282" i="16" s="1"/>
  <c r="F282" i="16" s="1"/>
  <c r="AS214" i="16"/>
  <c r="AT214" i="16" s="1"/>
  <c r="AV214" i="16" s="1"/>
  <c r="F214" i="16" s="1"/>
  <c r="AS95" i="16"/>
  <c r="AT95" i="16" s="1"/>
  <c r="AV95" i="16" s="1"/>
  <c r="H95" i="16" s="1"/>
  <c r="AS188" i="16"/>
  <c r="AT188" i="16" s="1"/>
  <c r="AV188" i="16" s="1"/>
  <c r="F188" i="16" s="1"/>
  <c r="AS16" i="16"/>
  <c r="AT16" i="16" s="1"/>
  <c r="AV16" i="16" s="1"/>
  <c r="F16" i="16" s="1"/>
  <c r="AS128" i="16"/>
  <c r="AT128" i="16" s="1"/>
  <c r="AV128" i="16" s="1"/>
  <c r="F128" i="16" s="1"/>
  <c r="AS89" i="16"/>
  <c r="AT89" i="16" s="1"/>
  <c r="AV89" i="16" s="1"/>
  <c r="F89" i="16" s="1"/>
  <c r="AS141" i="16"/>
  <c r="AT141" i="16" s="1"/>
  <c r="AV141" i="16" s="1"/>
  <c r="F141" i="16" s="1"/>
  <c r="AS103" i="16"/>
  <c r="AT103" i="16" s="1"/>
  <c r="AV103" i="16" s="1"/>
  <c r="F103" i="16" s="1"/>
  <c r="AS52" i="16"/>
  <c r="AT52" i="16" s="1"/>
  <c r="AV52" i="16" s="1"/>
  <c r="H52" i="16" s="1"/>
  <c r="AS107" i="16"/>
  <c r="AT107" i="16" s="1"/>
  <c r="AS268" i="16"/>
  <c r="AT268" i="16" s="1"/>
  <c r="AV268" i="16" s="1"/>
  <c r="H268" i="16" s="1"/>
  <c r="AS210" i="16"/>
  <c r="AT210" i="16" s="1"/>
  <c r="AV210" i="16" s="1"/>
  <c r="F210" i="16" s="1"/>
  <c r="AS143" i="16"/>
  <c r="AT143" i="16" s="1"/>
  <c r="AV143" i="16" s="1"/>
  <c r="F143" i="16" s="1"/>
  <c r="AS115" i="16"/>
  <c r="AT115" i="16" s="1"/>
  <c r="AV115" i="16" s="1"/>
  <c r="F115" i="16" s="1"/>
  <c r="AS96" i="16"/>
  <c r="AT96" i="16" s="1"/>
  <c r="AV96" i="16" s="1"/>
  <c r="F96" i="16" s="1"/>
  <c r="AS93" i="16"/>
  <c r="AT93" i="16" s="1"/>
  <c r="AV93" i="16" s="1"/>
  <c r="F93" i="16" s="1"/>
  <c r="AS271" i="16"/>
  <c r="AT271" i="16" s="1"/>
  <c r="AV271" i="16" s="1"/>
  <c r="F271" i="16" s="1"/>
  <c r="AS189" i="16"/>
  <c r="AT189" i="16" s="1"/>
  <c r="AV189" i="16" s="1"/>
  <c r="F189" i="16" s="1"/>
  <c r="AS393" i="16"/>
  <c r="AT393" i="16" s="1"/>
  <c r="AV393" i="16" s="1"/>
  <c r="F393" i="16" s="1"/>
  <c r="AS377" i="16"/>
  <c r="AT377" i="16" s="1"/>
  <c r="AV377" i="16" s="1"/>
  <c r="H377" i="16" s="1"/>
  <c r="AS349" i="16"/>
  <c r="AT349" i="16" s="1"/>
  <c r="AV349" i="16" s="1"/>
  <c r="F349" i="16" s="1"/>
  <c r="AS344" i="16"/>
  <c r="AT344" i="16" s="1"/>
  <c r="AV344" i="16" s="1"/>
  <c r="F344" i="16" s="1"/>
  <c r="AS279" i="16"/>
  <c r="AT279" i="16" s="1"/>
  <c r="AV279" i="16" s="1"/>
  <c r="H279" i="16" s="1"/>
  <c r="AS272" i="16"/>
  <c r="AT272" i="16" s="1"/>
  <c r="AV272" i="16" s="1"/>
  <c r="H272" i="16" s="1"/>
  <c r="AS186" i="16"/>
  <c r="AT186" i="16" s="1"/>
  <c r="AV186" i="16" s="1"/>
  <c r="F186" i="16" s="1"/>
  <c r="AS150" i="16"/>
  <c r="AT150" i="16" s="1"/>
  <c r="AV150" i="16" s="1"/>
  <c r="F150" i="16" s="1"/>
  <c r="AS100" i="16"/>
  <c r="AT100" i="16" s="1"/>
  <c r="AV100" i="16" s="1"/>
  <c r="F100" i="16" s="1"/>
  <c r="AS83" i="16"/>
  <c r="AT83" i="16" s="1"/>
  <c r="AV83" i="16" s="1"/>
  <c r="H83" i="16" s="1"/>
  <c r="AS59" i="16"/>
  <c r="AT59" i="16" s="1"/>
  <c r="AV59" i="16" s="1"/>
  <c r="H59" i="16" s="1"/>
  <c r="AS435" i="16"/>
  <c r="AT435" i="16" s="1"/>
  <c r="AV435" i="16" s="1"/>
  <c r="F435" i="16" s="1"/>
  <c r="AS134" i="16"/>
  <c r="AT134" i="16" s="1"/>
  <c r="AV134" i="16" s="1"/>
  <c r="F134" i="16" s="1"/>
  <c r="AS80" i="16"/>
  <c r="AT80" i="16" s="1"/>
  <c r="AV80" i="16" s="1"/>
  <c r="H80" i="16" s="1"/>
  <c r="AS102" i="16"/>
  <c r="AT102" i="16" s="1"/>
  <c r="AV102" i="16" s="1"/>
  <c r="H102" i="16" s="1"/>
  <c r="AS265" i="16"/>
  <c r="AT265" i="16" s="1"/>
  <c r="AV265" i="16" s="1"/>
  <c r="H265" i="16" s="1"/>
  <c r="AS242" i="16"/>
  <c r="AT242" i="16" s="1"/>
  <c r="AV242" i="16" s="1"/>
  <c r="F242" i="16" s="1"/>
  <c r="AS403" i="16"/>
  <c r="AT403" i="16" s="1"/>
  <c r="AV403" i="16" s="1"/>
  <c r="H403" i="16" s="1"/>
  <c r="K54" i="34"/>
  <c r="N54" i="34"/>
  <c r="M58" i="34"/>
  <c r="K50" i="34"/>
  <c r="O54" i="34"/>
  <c r="O58" i="34"/>
  <c r="M50" i="34"/>
  <c r="M54" i="34"/>
  <c r="N58" i="34"/>
  <c r="L50" i="34"/>
  <c r="O50" i="34"/>
  <c r="L54" i="34"/>
  <c r="N50" i="34"/>
  <c r="AS298" i="16"/>
  <c r="AT298" i="16" s="1"/>
  <c r="AV298" i="16" s="1"/>
  <c r="AS181" i="16"/>
  <c r="AT181" i="16" s="1"/>
  <c r="AV181" i="16" s="1"/>
  <c r="F181" i="16" s="1"/>
  <c r="AS317" i="16"/>
  <c r="AT317" i="16" s="1"/>
  <c r="AV317" i="16" s="1"/>
  <c r="F317" i="16" s="1"/>
  <c r="AS160" i="16"/>
  <c r="AT160" i="16" s="1"/>
  <c r="AV160" i="16" s="1"/>
  <c r="F160" i="16" s="1"/>
  <c r="AS199" i="16"/>
  <c r="AT199" i="16" s="1"/>
  <c r="AV199" i="16" s="1"/>
  <c r="F199" i="16" s="1"/>
  <c r="AS101" i="16"/>
  <c r="AT101" i="16" s="1"/>
  <c r="AV101" i="16" s="1"/>
  <c r="H101" i="16" s="1"/>
  <c r="AS34" i="16"/>
  <c r="AT34" i="16" s="1"/>
  <c r="AV34" i="16" s="1"/>
  <c r="H34" i="16" s="1"/>
  <c r="AS253" i="16"/>
  <c r="AT253" i="16" s="1"/>
  <c r="AV253" i="16" s="1"/>
  <c r="F253" i="16" s="1"/>
  <c r="AS413" i="16"/>
  <c r="AT413" i="16" s="1"/>
  <c r="AV413" i="16" s="1"/>
  <c r="F413" i="16" s="1"/>
  <c r="AS243" i="16"/>
  <c r="AT243" i="16" s="1"/>
  <c r="AV243" i="16" s="1"/>
  <c r="H243" i="16" s="1"/>
  <c r="AS318" i="16"/>
  <c r="AT318" i="16" s="1"/>
  <c r="AV318" i="16" s="1"/>
  <c r="F318" i="16" s="1"/>
  <c r="AS416" i="16"/>
  <c r="AT416" i="16" s="1"/>
  <c r="AV416" i="16" s="1"/>
  <c r="F416" i="16" s="1"/>
  <c r="AS336" i="16"/>
  <c r="AT336" i="16" s="1"/>
  <c r="AV336" i="16" s="1"/>
  <c r="F336" i="16" s="1"/>
  <c r="AS386" i="16"/>
  <c r="AT386" i="16" s="1"/>
  <c r="AV386" i="16" s="1"/>
  <c r="F386" i="16" s="1"/>
  <c r="AS370" i="16"/>
  <c r="AT370" i="16" s="1"/>
  <c r="AV370" i="16" s="1"/>
  <c r="F370" i="16" s="1"/>
  <c r="AS411" i="16"/>
  <c r="AT411" i="16" s="1"/>
  <c r="AV411" i="16" s="1"/>
  <c r="F411" i="16" s="1"/>
  <c r="AS249" i="16"/>
  <c r="AT249" i="16" s="1"/>
  <c r="AV249" i="16" s="1"/>
  <c r="F249" i="16" s="1"/>
  <c r="AS179" i="16"/>
  <c r="AT179" i="16" s="1"/>
  <c r="AV179" i="16" s="1"/>
  <c r="F179" i="16" s="1"/>
  <c r="AS142" i="16"/>
  <c r="AT142" i="16" s="1"/>
  <c r="AV142" i="16" s="1"/>
  <c r="F142" i="16" s="1"/>
  <c r="AS11" i="16"/>
  <c r="AT11" i="16" s="1"/>
  <c r="AV11" i="16" s="1"/>
  <c r="F11" i="16" s="1"/>
  <c r="AS391" i="16"/>
  <c r="AT391" i="16" s="1"/>
  <c r="AV391" i="16" s="1"/>
  <c r="F391" i="16" s="1"/>
  <c r="AS228" i="16"/>
  <c r="AT228" i="16" s="1"/>
  <c r="AV228" i="16" s="1"/>
  <c r="H228" i="16" s="1"/>
  <c r="AS193" i="16"/>
  <c r="AT193" i="16" s="1"/>
  <c r="AV193" i="16" s="1"/>
  <c r="F193" i="16" s="1"/>
  <c r="AS359" i="16"/>
  <c r="AT359" i="16" s="1"/>
  <c r="AV359" i="16" s="1"/>
  <c r="H359" i="16" s="1"/>
  <c r="AS113" i="16"/>
  <c r="AT113" i="16" s="1"/>
  <c r="AV113" i="16" s="1"/>
  <c r="F113" i="16" s="1"/>
  <c r="AS315" i="16"/>
  <c r="AT315" i="16" s="1"/>
  <c r="AV315" i="16" s="1"/>
  <c r="F315" i="16" s="1"/>
  <c r="AS269" i="16"/>
  <c r="AT269" i="16" s="1"/>
  <c r="AV269" i="16" s="1"/>
  <c r="F269" i="16" s="1"/>
  <c r="AS428" i="16"/>
  <c r="AT428" i="16" s="1"/>
  <c r="AV428" i="16" s="1"/>
  <c r="H428" i="16" s="1"/>
  <c r="AS421" i="16"/>
  <c r="AT421" i="16" s="1"/>
  <c r="AV421" i="16" s="1"/>
  <c r="F421" i="16" s="1"/>
  <c r="AS321" i="16"/>
  <c r="AT321" i="16" s="1"/>
  <c r="AV321" i="16" s="1"/>
  <c r="F321" i="16" s="1"/>
  <c r="AS53" i="16"/>
  <c r="AT53" i="16" s="1"/>
  <c r="AV53" i="16" s="1"/>
  <c r="F53" i="16" s="1"/>
  <c r="AS244" i="16"/>
  <c r="AT244" i="16" s="1"/>
  <c r="AV244" i="16" s="1"/>
  <c r="F244" i="16" s="1"/>
  <c r="AS43" i="16"/>
  <c r="AT43" i="16" s="1"/>
  <c r="AV43" i="16" s="1"/>
  <c r="H43" i="16" s="1"/>
  <c r="AS406" i="16"/>
  <c r="AT406" i="16" s="1"/>
  <c r="AV406" i="16" s="1"/>
  <c r="F406" i="16" s="1"/>
  <c r="AS27" i="16"/>
  <c r="AT27" i="16" s="1"/>
  <c r="AV27" i="16" s="1"/>
  <c r="F27" i="16" s="1"/>
  <c r="AS312" i="16"/>
  <c r="AT312" i="16" s="1"/>
  <c r="AV312" i="16" s="1"/>
  <c r="F312" i="16" s="1"/>
  <c r="AS231" i="16"/>
  <c r="AT231" i="16" s="1"/>
  <c r="AV231" i="16" s="1"/>
  <c r="F231" i="16" s="1"/>
  <c r="AS240" i="16"/>
  <c r="AT240" i="16" s="1"/>
  <c r="AV240" i="16" s="1"/>
  <c r="F240" i="16" s="1"/>
  <c r="AS256" i="16"/>
  <c r="AT256" i="16" s="1"/>
  <c r="AV256" i="16" s="1"/>
  <c r="F256" i="16" s="1"/>
  <c r="AS123" i="16"/>
  <c r="AT123" i="16" s="1"/>
  <c r="AV123" i="16" s="1"/>
  <c r="F123" i="16" s="1"/>
  <c r="AS88" i="16"/>
  <c r="AT88" i="16" s="1"/>
  <c r="AV88" i="16" s="1"/>
  <c r="F88" i="16" s="1"/>
  <c r="AS375" i="16"/>
  <c r="AT375" i="16" s="1"/>
  <c r="AV375" i="16" s="1"/>
  <c r="F375" i="16" s="1"/>
  <c r="AS337" i="16"/>
  <c r="AT337" i="16" s="1"/>
  <c r="AV337" i="16" s="1"/>
  <c r="F337" i="16" s="1"/>
  <c r="AS196" i="16"/>
  <c r="AT196" i="16" s="1"/>
  <c r="AV196" i="16" s="1"/>
  <c r="F196" i="16" s="1"/>
  <c r="AS109" i="16"/>
  <c r="AT109" i="16" s="1"/>
  <c r="AV109" i="16" s="1"/>
  <c r="F109" i="16" s="1"/>
  <c r="AS173" i="16"/>
  <c r="AT173" i="16" s="1"/>
  <c r="AV173" i="16" s="1"/>
  <c r="F173" i="16" s="1"/>
  <c r="AS121" i="16"/>
  <c r="AT121" i="16" s="1"/>
  <c r="AV121" i="16" s="1"/>
  <c r="F121" i="16" s="1"/>
  <c r="AS382" i="16"/>
  <c r="AT382" i="16" s="1"/>
  <c r="AV382" i="16" s="1"/>
  <c r="F382" i="16" s="1"/>
  <c r="AS335" i="16"/>
  <c r="AT335" i="16" s="1"/>
  <c r="AV335" i="16" s="1"/>
  <c r="F335" i="16" s="1"/>
  <c r="AS274" i="16"/>
  <c r="AT274" i="16" s="1"/>
  <c r="AV274" i="16" s="1"/>
  <c r="F274" i="16" s="1"/>
  <c r="AS168" i="16"/>
  <c r="AT168" i="16" s="1"/>
  <c r="AV168" i="16" s="1"/>
  <c r="F168" i="16" s="1"/>
  <c r="AS26" i="16"/>
  <c r="AT26" i="16" s="1"/>
  <c r="AV26" i="16" s="1"/>
  <c r="H26" i="16" s="1"/>
  <c r="AS18" i="16"/>
  <c r="AT18" i="16" s="1"/>
  <c r="AV18" i="16" s="1"/>
  <c r="F18" i="16" s="1"/>
  <c r="AS419" i="16"/>
  <c r="AT419" i="16" s="1"/>
  <c r="AV419" i="16" s="1"/>
  <c r="F419" i="16" s="1"/>
  <c r="AS410" i="16"/>
  <c r="AT410" i="16" s="1"/>
  <c r="AV410" i="16" s="1"/>
  <c r="F410" i="16" s="1"/>
  <c r="AS422" i="16"/>
  <c r="AT422" i="16" s="1"/>
  <c r="AV422" i="16" s="1"/>
  <c r="F422" i="16" s="1"/>
  <c r="AS251" i="16"/>
  <c r="AT251" i="16" s="1"/>
  <c r="AV251" i="16" s="1"/>
  <c r="H251" i="16" s="1"/>
  <c r="AS137" i="16"/>
  <c r="AT137" i="16" s="1"/>
  <c r="AV137" i="16" s="1"/>
  <c r="H137" i="16" s="1"/>
  <c r="AS326" i="16"/>
  <c r="AT326" i="16" s="1"/>
  <c r="AV326" i="16" s="1"/>
  <c r="F326" i="16" s="1"/>
  <c r="AS232" i="16"/>
  <c r="AT232" i="16" s="1"/>
  <c r="AV232" i="16" s="1"/>
  <c r="F232" i="16" s="1"/>
  <c r="AS38" i="16"/>
  <c r="AT38" i="16" s="1"/>
  <c r="AV38" i="16" s="1"/>
  <c r="H38" i="16" s="1"/>
  <c r="AS131" i="16"/>
  <c r="AT131" i="16" s="1"/>
  <c r="AV131" i="16" s="1"/>
  <c r="H131" i="16" s="1"/>
  <c r="AS78" i="16"/>
  <c r="AT78" i="16" s="1"/>
  <c r="AV78" i="16" s="1"/>
  <c r="F78" i="16" s="1"/>
  <c r="AS41" i="16"/>
  <c r="AT41" i="16" s="1"/>
  <c r="AV41" i="16" s="1"/>
  <c r="F41" i="16" s="1"/>
  <c r="AS14" i="16"/>
  <c r="AT14" i="16" s="1"/>
  <c r="AV14" i="16" s="1"/>
  <c r="F14" i="16" s="1"/>
  <c r="AS415" i="16"/>
  <c r="AT415" i="16" s="1"/>
  <c r="AV415" i="16" s="1"/>
  <c r="H415" i="16" s="1"/>
  <c r="AS234" i="16"/>
  <c r="AT234" i="16" s="1"/>
  <c r="AV234" i="16" s="1"/>
  <c r="F234" i="16" s="1"/>
  <c r="AS40" i="16"/>
  <c r="AT40" i="16" s="1"/>
  <c r="AS306" i="16"/>
  <c r="AT306" i="16" s="1"/>
  <c r="AV306" i="16" s="1"/>
  <c r="F306" i="16" s="1"/>
  <c r="AS307" i="16"/>
  <c r="AT307" i="16" s="1"/>
  <c r="AV307" i="16" s="1"/>
  <c r="H307" i="16" s="1"/>
  <c r="AS220" i="16"/>
  <c r="AT220" i="16" s="1"/>
  <c r="AV220" i="16" s="1"/>
  <c r="F220" i="16" s="1"/>
  <c r="AS108" i="16"/>
  <c r="AT108" i="16" s="1"/>
  <c r="AV108" i="16" s="1"/>
  <c r="F108" i="16" s="1"/>
  <c r="AS72" i="16"/>
  <c r="AT72" i="16" s="1"/>
  <c r="AV72" i="16" s="1"/>
  <c r="F72" i="16" s="1"/>
  <c r="AS427" i="16"/>
  <c r="AT427" i="16" s="1"/>
  <c r="AV427" i="16" s="1"/>
  <c r="H427" i="16" s="1"/>
  <c r="AS314" i="16"/>
  <c r="AT314" i="16" s="1"/>
  <c r="AV314" i="16" s="1"/>
  <c r="F314" i="16" s="1"/>
  <c r="AS117" i="16"/>
  <c r="AT117" i="16" s="1"/>
  <c r="AV117" i="16" s="1"/>
  <c r="F117" i="16" s="1"/>
  <c r="AS68" i="16"/>
  <c r="AT68" i="16" s="1"/>
  <c r="AV68" i="16" s="1"/>
  <c r="F68" i="16" s="1"/>
  <c r="AS299" i="16"/>
  <c r="AT299" i="16" s="1"/>
  <c r="AV299" i="16" s="1"/>
  <c r="H299" i="16" s="1"/>
  <c r="AS87" i="16"/>
  <c r="AT87" i="16" s="1"/>
  <c r="AV87" i="16" s="1"/>
  <c r="AS55" i="16"/>
  <c r="AT55" i="16" s="1"/>
  <c r="AV55" i="16" s="1"/>
  <c r="F55" i="16" s="1"/>
  <c r="AS420" i="16"/>
  <c r="AT420" i="16" s="1"/>
  <c r="AV420" i="16" s="1"/>
  <c r="F420" i="16" s="1"/>
  <c r="AS399" i="16"/>
  <c r="AT399" i="16" s="1"/>
  <c r="AV399" i="16" s="1"/>
  <c r="H399" i="16" s="1"/>
  <c r="AS17" i="16"/>
  <c r="AT17" i="16" s="1"/>
  <c r="AV17" i="16" s="1"/>
  <c r="F17" i="16" s="1"/>
  <c r="AS211" i="16"/>
  <c r="AT211" i="16" s="1"/>
  <c r="AV211" i="16" s="1"/>
  <c r="H211" i="16" s="1"/>
  <c r="AS20" i="16"/>
  <c r="AT20" i="16" s="1"/>
  <c r="AV20" i="16" s="1"/>
  <c r="F20" i="16" s="1"/>
  <c r="AS354" i="16"/>
  <c r="AT354" i="16" s="1"/>
  <c r="AV354" i="16" s="1"/>
  <c r="H354" i="16" s="1"/>
  <c r="AS332" i="16"/>
  <c r="AT332" i="16" s="1"/>
  <c r="AV332" i="16" s="1"/>
  <c r="F332" i="16" s="1"/>
  <c r="AS132" i="16"/>
  <c r="AT132" i="16" s="1"/>
  <c r="AV132" i="16" s="1"/>
  <c r="F132" i="16" s="1"/>
  <c r="AS290" i="16"/>
  <c r="AT290" i="16" s="1"/>
  <c r="AV290" i="16" s="1"/>
  <c r="H290" i="16" s="1"/>
  <c r="AS71" i="16"/>
  <c r="AT71" i="16" s="1"/>
  <c r="AV71" i="16" s="1"/>
  <c r="F71" i="16" s="1"/>
  <c r="AS39" i="16"/>
  <c r="AT39" i="16" s="1"/>
  <c r="AV39" i="16" s="1"/>
  <c r="F39" i="16" s="1"/>
  <c r="AS58" i="16"/>
  <c r="AT58" i="16" s="1"/>
  <c r="AV58" i="16" s="1"/>
  <c r="F58" i="16" s="1"/>
  <c r="AS327" i="16"/>
  <c r="AT327" i="16" s="1"/>
  <c r="AV327" i="16" s="1"/>
  <c r="H327" i="16" s="1"/>
  <c r="AS178" i="16"/>
  <c r="AT178" i="16" s="1"/>
  <c r="AV178" i="16" s="1"/>
  <c r="F178" i="16" s="1"/>
  <c r="AS45" i="16"/>
  <c r="AT45" i="16" s="1"/>
  <c r="AV45" i="16" s="1"/>
  <c r="F45" i="16" s="1"/>
  <c r="AS197" i="16"/>
  <c r="AT197" i="16" s="1"/>
  <c r="AV197" i="16" s="1"/>
  <c r="F197" i="16" s="1"/>
  <c r="AS64" i="16"/>
  <c r="AT64" i="16" s="1"/>
  <c r="AV64" i="16" s="1"/>
  <c r="H64" i="16" s="1"/>
  <c r="AS219" i="16"/>
  <c r="AT219" i="16" s="1"/>
  <c r="AV219" i="16" s="1"/>
  <c r="F219" i="16" s="1"/>
  <c r="AS423" i="16"/>
  <c r="AT423" i="16" s="1"/>
  <c r="AV423" i="16" s="1"/>
  <c r="F423" i="16" s="1"/>
  <c r="AS412" i="16"/>
  <c r="AT412" i="16" s="1"/>
  <c r="AV412" i="16" s="1"/>
  <c r="F412" i="16" s="1"/>
  <c r="AS426" i="16"/>
  <c r="AT426" i="16" s="1"/>
  <c r="AV426" i="16" s="1"/>
  <c r="H426" i="16" s="1"/>
  <c r="AS79" i="16"/>
  <c r="AT79" i="16" s="1"/>
  <c r="AV79" i="16" s="1"/>
  <c r="F79" i="16" s="1"/>
  <c r="AS417" i="16"/>
  <c r="AT417" i="16" s="1"/>
  <c r="AV417" i="16" s="1"/>
  <c r="H417" i="16" s="1"/>
  <c r="AS239" i="16"/>
  <c r="AT239" i="16" s="1"/>
  <c r="AV239" i="16" s="1"/>
  <c r="F239" i="16" s="1"/>
  <c r="AS221" i="16"/>
  <c r="AT221" i="16" s="1"/>
  <c r="AV221" i="16" s="1"/>
  <c r="H221" i="16" s="1"/>
  <c r="AS31" i="16"/>
  <c r="AT31" i="16" s="1"/>
  <c r="AV31" i="16" s="1"/>
  <c r="F31" i="16" s="1"/>
  <c r="AS15" i="16"/>
  <c r="AT15" i="16" s="1"/>
  <c r="AV15" i="16" s="1"/>
  <c r="F15" i="16" s="1"/>
  <c r="AS8" i="16"/>
  <c r="AT8" i="16" s="1"/>
  <c r="AV8" i="16" s="1"/>
  <c r="F8" i="16" s="1"/>
  <c r="AS425" i="16"/>
  <c r="AT425" i="16" s="1"/>
  <c r="AV425" i="16" s="1"/>
  <c r="H425" i="16" s="1"/>
  <c r="AS400" i="16"/>
  <c r="AT400" i="16" s="1"/>
  <c r="AV400" i="16" s="1"/>
  <c r="F400" i="16" s="1"/>
  <c r="AS223" i="16"/>
  <c r="AT223" i="16" s="1"/>
  <c r="AV223" i="16" s="1"/>
  <c r="H223" i="16" s="1"/>
  <c r="AS85" i="16"/>
  <c r="AT85" i="16" s="1"/>
  <c r="AV85" i="16" s="1"/>
  <c r="F85" i="16" s="1"/>
  <c r="AS33" i="16"/>
  <c r="AT33" i="16" s="1"/>
  <c r="AS25" i="16"/>
  <c r="AT25" i="16" s="1"/>
  <c r="AV25" i="16" s="1"/>
  <c r="F25" i="16" s="1"/>
  <c r="AS51" i="16"/>
  <c r="AT51" i="16" s="1"/>
  <c r="AV51" i="16" s="1"/>
  <c r="F51" i="16" s="1"/>
  <c r="AS296" i="16"/>
  <c r="AT296" i="16" s="1"/>
  <c r="AV296" i="16" s="1"/>
  <c r="F296" i="16" s="1"/>
  <c r="AS195" i="16"/>
  <c r="AT195" i="16" s="1"/>
  <c r="AV195" i="16" s="1"/>
  <c r="H195" i="16" s="1"/>
  <c r="AS384" i="16"/>
  <c r="AT384" i="16" s="1"/>
  <c r="AV384" i="16" s="1"/>
  <c r="H384" i="16" s="1"/>
  <c r="AS368" i="16"/>
  <c r="AT368" i="16" s="1"/>
  <c r="AV368" i="16" s="1"/>
  <c r="H368" i="16" s="1"/>
  <c r="AS342" i="16"/>
  <c r="AT342" i="16" s="1"/>
  <c r="AV342" i="16" s="1"/>
  <c r="F342" i="16" s="1"/>
  <c r="AS57" i="16"/>
  <c r="AT57" i="16" s="1"/>
  <c r="AV57" i="16" s="1"/>
  <c r="H57" i="16" s="1"/>
  <c r="AS23" i="16"/>
  <c r="AT23" i="16" s="1"/>
  <c r="AV23" i="16" s="1"/>
  <c r="H23" i="16" s="1"/>
  <c r="AS233" i="16"/>
  <c r="AT233" i="16" s="1"/>
  <c r="AV233" i="16" s="1"/>
  <c r="F233" i="16" s="1"/>
  <c r="AS77" i="16"/>
  <c r="AT77" i="16" s="1"/>
  <c r="AV77" i="16" s="1"/>
  <c r="H77" i="16" s="1"/>
  <c r="AS434" i="16"/>
  <c r="AT434" i="16" s="1"/>
  <c r="AV434" i="16" s="1"/>
  <c r="H434" i="16" s="1"/>
  <c r="AS313" i="16"/>
  <c r="AT313" i="16" s="1"/>
  <c r="AV313" i="16" s="1"/>
  <c r="F313" i="16" s="1"/>
  <c r="AS278" i="16"/>
  <c r="AT278" i="16" s="1"/>
  <c r="AV278" i="16" s="1"/>
  <c r="H278" i="16" s="1"/>
  <c r="AS230" i="16"/>
  <c r="AT230" i="16" s="1"/>
  <c r="AV230" i="16" s="1"/>
  <c r="F230" i="16" s="1"/>
  <c r="AS44" i="16"/>
  <c r="AT44" i="16" s="1"/>
  <c r="AV44" i="16" s="1"/>
  <c r="H44" i="16" s="1"/>
  <c r="AS404" i="16"/>
  <c r="AT404" i="16" s="1"/>
  <c r="AV404" i="16" s="1"/>
  <c r="F404" i="16" s="1"/>
  <c r="AS430" i="16"/>
  <c r="AT430" i="16" s="1"/>
  <c r="AV430" i="16" s="1"/>
  <c r="F430" i="16" s="1"/>
  <c r="AS304" i="16"/>
  <c r="AT304" i="16" s="1"/>
  <c r="AV304" i="16" s="1"/>
  <c r="H304" i="16" s="1"/>
  <c r="AS60" i="16"/>
  <c r="AT60" i="16" s="1"/>
  <c r="AV60" i="16" s="1"/>
  <c r="H60" i="16" s="1"/>
  <c r="AS47" i="16"/>
  <c r="AT47" i="16" s="1"/>
  <c r="AV47" i="16" s="1"/>
  <c r="F47" i="16" s="1"/>
  <c r="AS146" i="16"/>
  <c r="AT146" i="16" s="1"/>
  <c r="AV146" i="16" s="1"/>
  <c r="F146" i="16" s="1"/>
  <c r="AS9" i="16"/>
  <c r="AT9" i="16" s="1"/>
  <c r="AV9" i="16" s="1"/>
  <c r="F9" i="16" s="1"/>
  <c r="AS398" i="16"/>
  <c r="AT398" i="16" s="1"/>
  <c r="AV398" i="16" s="1"/>
  <c r="H398" i="16" s="1"/>
  <c r="AS122" i="16"/>
  <c r="AT122" i="16" s="1"/>
  <c r="AV122" i="16" s="1"/>
  <c r="F122" i="16" s="1"/>
  <c r="AS250" i="16"/>
  <c r="AT250" i="16" s="1"/>
  <c r="AV250" i="16" s="1"/>
  <c r="F250" i="16" s="1"/>
  <c r="AS125" i="16"/>
  <c r="AT125" i="16" s="1"/>
  <c r="AV125" i="16" s="1"/>
  <c r="H125" i="16" s="1"/>
  <c r="AS46" i="16"/>
  <c r="AT46" i="16" s="1"/>
  <c r="AV46" i="16" s="1"/>
  <c r="H46" i="16" s="1"/>
  <c r="AS2" i="16"/>
  <c r="AT2" i="16" s="1"/>
  <c r="AV2" i="16" s="1"/>
  <c r="F2" i="16" s="1"/>
  <c r="AS408" i="16"/>
  <c r="AT408" i="16" s="1"/>
  <c r="AV408" i="16" s="1"/>
  <c r="F408" i="16" s="1"/>
  <c r="AS259" i="16"/>
  <c r="AT259" i="16" s="1"/>
  <c r="AV259" i="16" s="1"/>
  <c r="F259" i="16" s="1"/>
  <c r="AS153" i="16"/>
  <c r="AT153" i="16" s="1"/>
  <c r="AV153" i="16" s="1"/>
  <c r="H153" i="16" s="1"/>
  <c r="AS147" i="16"/>
  <c r="AT147" i="16" s="1"/>
  <c r="AS151" i="16"/>
  <c r="AT151" i="16" s="1"/>
  <c r="AV151" i="16" s="1"/>
  <c r="F151" i="16" s="1"/>
  <c r="AS19" i="16"/>
  <c r="AT19" i="16" s="1"/>
  <c r="AV19" i="16" s="1"/>
  <c r="H19" i="16" s="1"/>
  <c r="AS50" i="16"/>
  <c r="AT50" i="16" s="1"/>
  <c r="AV50" i="16" s="1"/>
  <c r="H50" i="16" s="1"/>
  <c r="AS22" i="16"/>
  <c r="AT22" i="16" s="1"/>
  <c r="AV22" i="16" s="1"/>
  <c r="H22" i="16" s="1"/>
  <c r="AS429" i="16"/>
  <c r="AT429" i="16" s="1"/>
  <c r="AV429" i="16" s="1"/>
  <c r="F429" i="16" s="1"/>
  <c r="AS70" i="16"/>
  <c r="AT70" i="16" s="1"/>
  <c r="AV70" i="16" s="1"/>
  <c r="F70" i="16" s="1"/>
  <c r="AS86" i="16"/>
  <c r="AT86" i="16" s="1"/>
  <c r="AV86" i="16" s="1"/>
  <c r="AS32" i="16"/>
  <c r="AT32" i="16" s="1"/>
  <c r="AV32" i="16" s="1"/>
  <c r="F32" i="16" s="1"/>
  <c r="AS381" i="16"/>
  <c r="AT381" i="16" s="1"/>
  <c r="AV381" i="16" s="1"/>
  <c r="F381" i="16" s="1"/>
  <c r="AS365" i="16"/>
  <c r="AT365" i="16" s="1"/>
  <c r="AV365" i="16" s="1"/>
  <c r="H365" i="16" s="1"/>
  <c r="AS328" i="16"/>
  <c r="AT328" i="16" s="1"/>
  <c r="AV328" i="16" s="1"/>
  <c r="F328" i="16" s="1"/>
  <c r="AS366" i="16"/>
  <c r="AT366" i="16" s="1"/>
  <c r="AV366" i="16" s="1"/>
  <c r="F366" i="16" s="1"/>
  <c r="AS203" i="16"/>
  <c r="AT203" i="16" s="1"/>
  <c r="AV203" i="16" s="1"/>
  <c r="F203" i="16" s="1"/>
  <c r="AS119" i="16"/>
  <c r="AT119" i="16" s="1"/>
  <c r="AS206" i="16"/>
  <c r="AT206" i="16" s="1"/>
  <c r="AV206" i="16" s="1"/>
  <c r="H206" i="16" s="1"/>
  <c r="AS235" i="16"/>
  <c r="AT235" i="16" s="1"/>
  <c r="AV235" i="16" s="1"/>
  <c r="H235" i="16" s="1"/>
  <c r="AS252" i="16"/>
  <c r="AT252" i="16" s="1"/>
  <c r="AV252" i="16" s="1"/>
  <c r="F252" i="16" s="1"/>
  <c r="AS37" i="16"/>
  <c r="AT37" i="16" s="1"/>
  <c r="AV37" i="16" s="1"/>
  <c r="F37" i="16" s="1"/>
  <c r="AS54" i="16"/>
  <c r="AT54" i="16" s="1"/>
  <c r="AV54" i="16" s="1"/>
  <c r="F54" i="16" s="1"/>
  <c r="AS284" i="16"/>
  <c r="AT284" i="16" s="1"/>
  <c r="AV284" i="16" s="1"/>
  <c r="H284" i="16" s="1"/>
  <c r="AS238" i="16"/>
  <c r="AT238" i="16" s="1"/>
  <c r="AV238" i="16" s="1"/>
  <c r="F238" i="16" s="1"/>
  <c r="AS61" i="16"/>
  <c r="AT61" i="16" s="1"/>
  <c r="AV61" i="16" s="1"/>
  <c r="F61" i="16" s="1"/>
  <c r="AS7" i="16"/>
  <c r="AT7" i="16" s="1"/>
  <c r="AV7" i="16" s="1"/>
  <c r="H7" i="16" s="1"/>
  <c r="N86" i="34"/>
  <c r="M86" i="34"/>
  <c r="L65" i="34"/>
  <c r="M79" i="34"/>
  <c r="K92" i="34"/>
  <c r="O76" i="34"/>
  <c r="M77" i="34"/>
  <c r="O77" i="34"/>
  <c r="N88" i="34"/>
  <c r="L67" i="34"/>
  <c r="O60" i="34"/>
  <c r="J60" i="34"/>
  <c r="M55" i="34"/>
  <c r="O55" i="34"/>
  <c r="O82" i="34"/>
  <c r="M82" i="34"/>
  <c r="M73" i="34"/>
  <c r="O78" i="34"/>
  <c r="O71" i="34"/>
  <c r="N71" i="34"/>
  <c r="K84" i="34"/>
  <c r="N84" i="34"/>
  <c r="N56" i="34"/>
  <c r="O64" i="34"/>
  <c r="L64" i="34"/>
  <c r="L72" i="34"/>
  <c r="N80" i="34"/>
  <c r="L80" i="34"/>
  <c r="N68" i="34"/>
  <c r="M68" i="34"/>
  <c r="N90" i="34"/>
  <c r="L90" i="34"/>
  <c r="M69" i="34"/>
  <c r="O75" i="34"/>
  <c r="O65" i="34"/>
  <c r="L79" i="34"/>
  <c r="O79" i="34"/>
  <c r="M76" i="34"/>
  <c r="L77" i="34"/>
  <c r="M88" i="34"/>
  <c r="N60" i="34"/>
  <c r="N55" i="34"/>
  <c r="K55" i="34"/>
  <c r="N82" i="34"/>
  <c r="L82" i="34"/>
  <c r="O73" i="34"/>
  <c r="N78" i="34"/>
  <c r="O66" i="34"/>
  <c r="M66" i="34"/>
  <c r="M74" i="34"/>
  <c r="M64" i="34"/>
  <c r="N72" i="34"/>
  <c r="K80" i="34"/>
  <c r="M80" i="34"/>
  <c r="L68" i="34"/>
  <c r="M90" i="34"/>
  <c r="O90" i="34"/>
  <c r="N69" i="34"/>
  <c r="L75" i="34"/>
  <c r="O86" i="34"/>
  <c r="M65" i="34"/>
  <c r="K79" i="34"/>
  <c r="O92" i="34"/>
  <c r="L92" i="34"/>
  <c r="L76" i="34"/>
  <c r="K76" i="34"/>
  <c r="O70" i="34"/>
  <c r="L88" i="34"/>
  <c r="M67" i="34"/>
  <c r="K60" i="34"/>
  <c r="K82" i="34"/>
  <c r="K73" i="34"/>
  <c r="L73" i="34"/>
  <c r="M71" i="34"/>
  <c r="N66" i="34"/>
  <c r="N74" i="34"/>
  <c r="O74" i="34"/>
  <c r="M84" i="34"/>
  <c r="L56" i="34"/>
  <c r="M72" i="34"/>
  <c r="O68" i="34"/>
  <c r="K90" i="34"/>
  <c r="O69" i="34"/>
  <c r="J75" i="34"/>
  <c r="N75" i="34"/>
  <c r="N65" i="34"/>
  <c r="N79" i="34"/>
  <c r="N92" i="34"/>
  <c r="M92" i="34"/>
  <c r="N76" i="34"/>
  <c r="N77" i="34"/>
  <c r="N70" i="34"/>
  <c r="O88" i="34"/>
  <c r="K88" i="34"/>
  <c r="N67" i="34"/>
  <c r="O67" i="34"/>
  <c r="L60" i="34"/>
  <c r="M60" i="34"/>
  <c r="L55" i="34"/>
  <c r="N73" i="34"/>
  <c r="M78" i="34"/>
  <c r="L71" i="34"/>
  <c r="K74" i="34"/>
  <c r="L74" i="34"/>
  <c r="L84" i="34"/>
  <c r="O84" i="34"/>
  <c r="M56" i="34"/>
  <c r="O56" i="34"/>
  <c r="N64" i="34"/>
  <c r="O72" i="34"/>
  <c r="O80" i="34"/>
  <c r="M75" i="34"/>
  <c r="K75" i="34"/>
  <c r="F245" i="16"/>
  <c r="H245" i="16"/>
  <c r="AS12" i="16"/>
  <c r="AT12" i="16" s="1"/>
  <c r="AV12" i="16" s="1"/>
  <c r="AV292" i="16"/>
  <c r="F217" i="16"/>
  <c r="H217" i="16"/>
  <c r="AS6" i="16"/>
  <c r="AT6" i="16" s="1"/>
  <c r="AV6" i="16" s="1"/>
  <c r="AS36" i="16"/>
  <c r="AT36" i="16" s="1"/>
  <c r="AV36" i="16" s="1"/>
  <c r="AS10" i="16"/>
  <c r="AT10" i="16" s="1"/>
  <c r="AV10" i="16" s="1"/>
  <c r="F340" i="16"/>
  <c r="H340" i="16"/>
  <c r="F255" i="16"/>
  <c r="H255" i="16"/>
  <c r="F166" i="16"/>
  <c r="H166" i="16"/>
  <c r="I11" i="19"/>
  <c r="H12" i="19"/>
  <c r="N177" i="16"/>
  <c r="R177" i="16"/>
  <c r="P177" i="16"/>
  <c r="S177" i="16"/>
  <c r="Q177" i="16"/>
  <c r="O177" i="16"/>
  <c r="N172" i="16"/>
  <c r="S172" i="16"/>
  <c r="R172" i="16"/>
  <c r="P172" i="16"/>
  <c r="Q172" i="16"/>
  <c r="O172" i="16"/>
  <c r="O202" i="16"/>
  <c r="S202" i="16"/>
  <c r="R202" i="16"/>
  <c r="P202" i="16"/>
  <c r="N202" i="16"/>
  <c r="Q202" i="16"/>
  <c r="S170" i="16"/>
  <c r="N170" i="16"/>
  <c r="Q170" i="16"/>
  <c r="R170" i="16"/>
  <c r="P170" i="16"/>
  <c r="O170" i="16"/>
  <c r="S222" i="16"/>
  <c r="N222" i="16"/>
  <c r="Q222" i="16"/>
  <c r="R222" i="16"/>
  <c r="P222" i="16"/>
  <c r="O222" i="16"/>
  <c r="S145" i="16"/>
  <c r="R145" i="16"/>
  <c r="O145" i="16"/>
  <c r="Q145" i="16"/>
  <c r="N145" i="16"/>
  <c r="P145" i="16"/>
  <c r="S139" i="16"/>
  <c r="Q139" i="16"/>
  <c r="P139" i="16"/>
  <c r="R139" i="16"/>
  <c r="O139" i="16"/>
  <c r="N139" i="16"/>
  <c r="S166" i="16"/>
  <c r="N166" i="16"/>
  <c r="Q166" i="16"/>
  <c r="O166" i="16"/>
  <c r="R166" i="16"/>
  <c r="P166" i="16"/>
  <c r="Q155" i="16"/>
  <c r="R155" i="16"/>
  <c r="P155" i="16"/>
  <c r="O155" i="16"/>
  <c r="N155" i="16"/>
  <c r="S155" i="16"/>
  <c r="N126" i="16"/>
  <c r="Q126" i="16"/>
  <c r="R126" i="16"/>
  <c r="P126" i="16"/>
  <c r="O126" i="16"/>
  <c r="S126" i="16"/>
  <c r="O148" i="16"/>
  <c r="P148" i="16"/>
  <c r="S148" i="16"/>
  <c r="N148" i="16"/>
  <c r="Q148" i="16"/>
  <c r="R148" i="16"/>
  <c r="R190" i="16"/>
  <c r="P190" i="16"/>
  <c r="N190" i="16"/>
  <c r="O190" i="16"/>
  <c r="S190" i="16"/>
  <c r="Q190" i="16"/>
  <c r="S163" i="16"/>
  <c r="O163" i="16"/>
  <c r="N163" i="16"/>
  <c r="Q163" i="16"/>
  <c r="R163" i="16"/>
  <c r="P163" i="16"/>
  <c r="N158" i="16"/>
  <c r="R158" i="16"/>
  <c r="P158" i="16"/>
  <c r="Q158" i="16"/>
  <c r="O158" i="16"/>
  <c r="S158" i="16"/>
  <c r="S255" i="16"/>
  <c r="N255" i="16"/>
  <c r="R255" i="16"/>
  <c r="P255" i="16"/>
  <c r="Q255" i="16"/>
  <c r="O255" i="16"/>
  <c r="N130" i="16"/>
  <c r="R130" i="16"/>
  <c r="P130" i="16"/>
  <c r="Q130" i="16"/>
  <c r="O130" i="16"/>
  <c r="S130" i="16"/>
  <c r="O267" i="16"/>
  <c r="R267" i="16"/>
  <c r="S267" i="16"/>
  <c r="P267" i="16"/>
  <c r="N267" i="16"/>
  <c r="Q267" i="16"/>
  <c r="R242" i="16"/>
  <c r="S242" i="16"/>
  <c r="Q242" i="16"/>
  <c r="P242" i="16"/>
  <c r="O242" i="16"/>
  <c r="N242" i="16"/>
  <c r="S261" i="16"/>
  <c r="Q261" i="16"/>
  <c r="N261" i="16"/>
  <c r="O261" i="16"/>
  <c r="R261" i="16"/>
  <c r="P261" i="16"/>
  <c r="P266" i="16"/>
  <c r="O266" i="16"/>
  <c r="N266" i="16"/>
  <c r="S266" i="16"/>
  <c r="R266" i="16"/>
  <c r="Q266" i="16"/>
  <c r="O205" i="16"/>
  <c r="S205" i="16"/>
  <c r="N205" i="16"/>
  <c r="Q205" i="16"/>
  <c r="R205" i="16"/>
  <c r="P205" i="16"/>
  <c r="O224" i="16"/>
  <c r="S224" i="16"/>
  <c r="N224" i="16"/>
  <c r="Q224" i="16"/>
  <c r="R224" i="16"/>
  <c r="P224" i="16"/>
  <c r="N212" i="16"/>
  <c r="R212" i="16"/>
  <c r="P212" i="16"/>
  <c r="Q212" i="16"/>
  <c r="O212" i="16"/>
  <c r="S212" i="16"/>
  <c r="N182" i="16"/>
  <c r="R182" i="16"/>
  <c r="P182" i="16"/>
  <c r="O182" i="16"/>
  <c r="Q182" i="16"/>
  <c r="S182" i="16"/>
  <c r="R246" i="16"/>
  <c r="P246" i="16"/>
  <c r="Q246" i="16"/>
  <c r="O246" i="16"/>
  <c r="S246" i="16"/>
  <c r="N246" i="16"/>
  <c r="N207" i="16"/>
  <c r="Q207" i="16"/>
  <c r="R207" i="16"/>
  <c r="O207" i="16"/>
  <c r="P207" i="16"/>
  <c r="S207" i="16"/>
  <c r="O227" i="16"/>
  <c r="S227" i="16"/>
  <c r="N227" i="16"/>
  <c r="Q227" i="16"/>
  <c r="R227" i="16"/>
  <c r="P227" i="16"/>
  <c r="N285" i="16"/>
  <c r="O285" i="16"/>
  <c r="S285" i="16"/>
  <c r="R285" i="16"/>
  <c r="Q285" i="16"/>
  <c r="P285" i="16"/>
  <c r="P286" i="16"/>
  <c r="S286" i="16"/>
  <c r="N286" i="16"/>
  <c r="R286" i="16"/>
  <c r="Q286" i="16"/>
  <c r="O286" i="16"/>
  <c r="N208" i="16"/>
  <c r="Q208" i="16"/>
  <c r="R208" i="16"/>
  <c r="O208" i="16"/>
  <c r="P208" i="16"/>
  <c r="S208" i="16"/>
  <c r="N245" i="16"/>
  <c r="R245" i="16"/>
  <c r="Q245" i="16"/>
  <c r="O245" i="16"/>
  <c r="P245" i="16"/>
  <c r="S245" i="16"/>
  <c r="S217" i="16"/>
  <c r="P217" i="16"/>
  <c r="N217" i="16"/>
  <c r="Q217" i="16"/>
  <c r="R217" i="16"/>
  <c r="O217" i="16"/>
  <c r="P263" i="16"/>
  <c r="N263" i="16"/>
  <c r="Q263" i="16"/>
  <c r="R263" i="16"/>
  <c r="O263" i="16"/>
  <c r="S263" i="16"/>
  <c r="Q236" i="16"/>
  <c r="N236" i="16"/>
  <c r="R236" i="16"/>
  <c r="P236" i="16"/>
  <c r="O236" i="16"/>
  <c r="S236" i="16"/>
  <c r="Y9" i="18"/>
  <c r="AA9" i="18" s="1"/>
  <c r="B9" i="18" s="1"/>
  <c r="B22" i="18" s="1"/>
  <c r="L39" i="34"/>
  <c r="M7" i="18"/>
  <c r="L35" i="34"/>
  <c r="M35" i="34"/>
  <c r="N7" i="18"/>
  <c r="K4" i="18"/>
  <c r="J33" i="34"/>
  <c r="L7" i="18"/>
  <c r="N4" i="18"/>
  <c r="K7" i="18"/>
  <c r="K39" i="34"/>
  <c r="O39" i="34"/>
  <c r="M39" i="34"/>
  <c r="O35" i="34"/>
  <c r="N39" i="34"/>
  <c r="K35" i="34"/>
  <c r="N35" i="34"/>
  <c r="J35" i="34"/>
  <c r="J32" i="34"/>
  <c r="L4" i="18"/>
  <c r="O4" i="18"/>
  <c r="J39" i="34"/>
  <c r="O7" i="18"/>
  <c r="M4" i="18"/>
  <c r="AG9" i="18"/>
  <c r="E66" i="13" l="1"/>
  <c r="S66" i="13" s="1"/>
  <c r="H352" i="16"/>
  <c r="F285" i="16"/>
  <c r="H266" i="16"/>
  <c r="F155" i="16"/>
  <c r="H320" i="16"/>
  <c r="H139" i="16"/>
  <c r="H347" i="16"/>
  <c r="F325" i="16"/>
  <c r="H330" i="16"/>
  <c r="F126" i="16"/>
  <c r="H286" i="16"/>
  <c r="H319" i="16"/>
  <c r="F172" i="16"/>
  <c r="H236" i="16"/>
  <c r="H145" i="16"/>
  <c r="E70" i="13"/>
  <c r="S70" i="13" s="1"/>
  <c r="F205" i="16"/>
  <c r="H182" i="16"/>
  <c r="F288" i="16"/>
  <c r="H291" i="16"/>
  <c r="F202" i="16"/>
  <c r="H343" i="16"/>
  <c r="H175" i="16"/>
  <c r="H246" i="16"/>
  <c r="F154" i="16"/>
  <c r="H163" i="16"/>
  <c r="H212" i="16"/>
  <c r="H303" i="16"/>
  <c r="H333" i="16"/>
  <c r="H294" i="16"/>
  <c r="H261" i="16"/>
  <c r="F208" i="16"/>
  <c r="H224" i="16"/>
  <c r="H177" i="16"/>
  <c r="F316" i="16"/>
  <c r="H339" i="16"/>
  <c r="AE26" i="12"/>
  <c r="H341" i="16"/>
  <c r="H170" i="16"/>
  <c r="F130" i="16"/>
  <c r="F158" i="16"/>
  <c r="H295" i="16"/>
  <c r="F222" i="16"/>
  <c r="F229" i="16"/>
  <c r="F267" i="16"/>
  <c r="H174" i="16"/>
  <c r="F112" i="16"/>
  <c r="F190" i="16"/>
  <c r="H334" i="16"/>
  <c r="H322" i="16"/>
  <c r="F169" i="16"/>
  <c r="F207" i="16"/>
  <c r="F201" i="16"/>
  <c r="H276" i="16"/>
  <c r="H214" i="16"/>
  <c r="H138" i="16"/>
  <c r="H271" i="16"/>
  <c r="H49" i="16"/>
  <c r="F183" i="16"/>
  <c r="H129" i="16"/>
  <c r="F63" i="16"/>
  <c r="H161" i="16"/>
  <c r="F258" i="16"/>
  <c r="F356" i="16"/>
  <c r="H150" i="16"/>
  <c r="F176" i="16"/>
  <c r="H383" i="16"/>
  <c r="H135" i="16"/>
  <c r="H28" i="16"/>
  <c r="H227" i="16"/>
  <c r="H353" i="16"/>
  <c r="F167" i="16"/>
  <c r="H280" i="16"/>
  <c r="H331" i="16"/>
  <c r="F364" i="16"/>
  <c r="F273" i="16"/>
  <c r="H254" i="16"/>
  <c r="H97" i="16"/>
  <c r="F209" i="16"/>
  <c r="H346" i="16"/>
  <c r="H414" i="16"/>
  <c r="H344" i="16"/>
  <c r="H13" i="16"/>
  <c r="H424" i="16"/>
  <c r="H389" i="16"/>
  <c r="F114" i="16"/>
  <c r="H275" i="16"/>
  <c r="F311" i="16"/>
  <c r="H409" i="16"/>
  <c r="H4" i="16"/>
  <c r="H165" i="16"/>
  <c r="H67" i="16"/>
  <c r="H308" i="16"/>
  <c r="H392" i="16"/>
  <c r="H237" i="16"/>
  <c r="H300" i="16"/>
  <c r="F213" i="16"/>
  <c r="F52" i="16"/>
  <c r="H82" i="16"/>
  <c r="H184" i="16"/>
  <c r="F257" i="16"/>
  <c r="F348" i="16"/>
  <c r="H435" i="16"/>
  <c r="H72" i="16"/>
  <c r="F225" i="16"/>
  <c r="H42" i="16"/>
  <c r="H305" i="16"/>
  <c r="F260" i="16"/>
  <c r="F56" i="16"/>
  <c r="H48" i="16"/>
  <c r="F215" i="16"/>
  <c r="F105" i="16"/>
  <c r="F396" i="16"/>
  <c r="F338" i="16"/>
  <c r="E148" i="13"/>
  <c r="S148" i="13" s="1"/>
  <c r="N87" i="16" s="1"/>
  <c r="H264" i="16"/>
  <c r="H358" i="16"/>
  <c r="H216" i="16"/>
  <c r="H111" i="16"/>
  <c r="H143" i="16"/>
  <c r="H128" i="16"/>
  <c r="H94" i="16"/>
  <c r="H432" i="16"/>
  <c r="F44" i="16"/>
  <c r="F62" i="16"/>
  <c r="AV350" i="16"/>
  <c r="F350" i="16" s="1"/>
  <c r="H76" i="16"/>
  <c r="F385" i="16"/>
  <c r="F360" i="16"/>
  <c r="H35" i="16"/>
  <c r="H115" i="16"/>
  <c r="H405" i="16"/>
  <c r="F95" i="16"/>
  <c r="F140" i="16"/>
  <c r="F289" i="16"/>
  <c r="H329" i="16"/>
  <c r="F91" i="16"/>
  <c r="F309" i="16"/>
  <c r="F301" i="16"/>
  <c r="F204" i="16"/>
  <c r="F426" i="16"/>
  <c r="F127" i="16"/>
  <c r="F180" i="16"/>
  <c r="F388" i="16"/>
  <c r="F402" i="16"/>
  <c r="H431" i="16"/>
  <c r="F270" i="16"/>
  <c r="F66" i="16"/>
  <c r="H171" i="16"/>
  <c r="H17" i="16"/>
  <c r="H256" i="16"/>
  <c r="H142" i="16"/>
  <c r="F223" i="16"/>
  <c r="H78" i="16"/>
  <c r="H27" i="16"/>
  <c r="H151" i="16"/>
  <c r="F417" i="16"/>
  <c r="F24" i="16"/>
  <c r="H373" i="16"/>
  <c r="F75" i="16"/>
  <c r="F198" i="16"/>
  <c r="H410" i="16"/>
  <c r="H53" i="16"/>
  <c r="F84" i="16"/>
  <c r="H121" i="16"/>
  <c r="H269" i="16"/>
  <c r="F34" i="16"/>
  <c r="H332" i="16"/>
  <c r="F278" i="16"/>
  <c r="H250" i="16"/>
  <c r="H220" i="16"/>
  <c r="H381" i="16"/>
  <c r="H430" i="16"/>
  <c r="F368" i="16"/>
  <c r="H45" i="16"/>
  <c r="AD10" i="34" s="1"/>
  <c r="H418" i="16"/>
  <c r="H314" i="16"/>
  <c r="H233" i="16"/>
  <c r="H317" i="16"/>
  <c r="H51" i="16"/>
  <c r="H15" i="16"/>
  <c r="H98" i="16"/>
  <c r="F83" i="16"/>
  <c r="H363" i="16"/>
  <c r="F387" i="16"/>
  <c r="H234" i="16"/>
  <c r="H326" i="16"/>
  <c r="H168" i="16"/>
  <c r="H337" i="16"/>
  <c r="H429" i="16"/>
  <c r="H238" i="16"/>
  <c r="H252" i="16"/>
  <c r="H203" i="16"/>
  <c r="H193" i="16"/>
  <c r="H318" i="16"/>
  <c r="H408" i="16"/>
  <c r="H146" i="16"/>
  <c r="H423" i="16"/>
  <c r="H39" i="16"/>
  <c r="H370" i="16"/>
  <c r="H187" i="16"/>
  <c r="F272" i="16"/>
  <c r="F369" i="16"/>
  <c r="H345" i="16"/>
  <c r="H247" i="16"/>
  <c r="F90" i="16"/>
  <c r="F73" i="16"/>
  <c r="H248" i="16"/>
  <c r="H141" i="16"/>
  <c r="H310" i="16"/>
  <c r="F283" i="16"/>
  <c r="H355" i="16"/>
  <c r="H281" i="16"/>
  <c r="F133" i="16"/>
  <c r="F377" i="16"/>
  <c r="H188" i="16"/>
  <c r="F157" i="16"/>
  <c r="H357" i="16"/>
  <c r="H110" i="16"/>
  <c r="H218" i="16"/>
  <c r="H263" i="16"/>
  <c r="H96" i="16"/>
  <c r="F268" i="16"/>
  <c r="H194" i="16"/>
  <c r="F323" i="16"/>
  <c r="F116" i="16"/>
  <c r="F362" i="16"/>
  <c r="H5" i="16"/>
  <c r="H397" i="16"/>
  <c r="H69" i="16"/>
  <c r="H372" i="16"/>
  <c r="H324" i="16"/>
  <c r="H192" i="16"/>
  <c r="H302" i="16"/>
  <c r="H335" i="16"/>
  <c r="F351" i="16"/>
  <c r="H379" i="16"/>
  <c r="F371" i="16"/>
  <c r="F164" i="16"/>
  <c r="H287" i="16"/>
  <c r="H156" i="16"/>
  <c r="F407" i="16"/>
  <c r="H159" i="16"/>
  <c r="F394" i="16"/>
  <c r="H124" i="16"/>
  <c r="H380" i="16"/>
  <c r="H374" i="16"/>
  <c r="F243" i="16"/>
  <c r="H99" i="16"/>
  <c r="H367" i="16"/>
  <c r="H189" i="16"/>
  <c r="H89" i="16"/>
  <c r="H104" i="16"/>
  <c r="H30" i="16"/>
  <c r="H149" i="16"/>
  <c r="H21" i="16"/>
  <c r="H144" i="16"/>
  <c r="H395" i="16"/>
  <c r="H136" i="16"/>
  <c r="H92" i="16"/>
  <c r="H361" i="16"/>
  <c r="H376" i="16"/>
  <c r="H297" i="16"/>
  <c r="H226" i="16"/>
  <c r="F77" i="16"/>
  <c r="H68" i="16"/>
  <c r="H18" i="16"/>
  <c r="F153" i="16"/>
  <c r="F60" i="16"/>
  <c r="F221" i="16"/>
  <c r="F290" i="16"/>
  <c r="H420" i="16"/>
  <c r="F251" i="16"/>
  <c r="H88" i="16"/>
  <c r="H336" i="16"/>
  <c r="F50" i="16"/>
  <c r="F398" i="16"/>
  <c r="F57" i="16"/>
  <c r="F425" i="16"/>
  <c r="F327" i="16"/>
  <c r="F38" i="16"/>
  <c r="H109" i="16"/>
  <c r="F43" i="16"/>
  <c r="F64" i="16"/>
  <c r="H74" i="16"/>
  <c r="F65" i="16"/>
  <c r="F7" i="16"/>
  <c r="H160" i="16"/>
  <c r="H312" i="16"/>
  <c r="F359" i="16"/>
  <c r="H123" i="16"/>
  <c r="F80" i="16"/>
  <c r="H108" i="16"/>
  <c r="H422" i="16"/>
  <c r="F428" i="16"/>
  <c r="H277" i="16"/>
  <c r="F401" i="16"/>
  <c r="H16" i="16"/>
  <c r="H390" i="16"/>
  <c r="F131" i="16"/>
  <c r="H191" i="16"/>
  <c r="H93" i="16"/>
  <c r="H282" i="16"/>
  <c r="H81" i="16"/>
  <c r="F235" i="16"/>
  <c r="F206" i="16"/>
  <c r="F46" i="16"/>
  <c r="F434" i="16"/>
  <c r="F195" i="16"/>
  <c r="H274" i="16"/>
  <c r="J80" i="34"/>
  <c r="H3" i="16"/>
  <c r="H162" i="16"/>
  <c r="H306" i="16"/>
  <c r="H54" i="16"/>
  <c r="H113" i="16"/>
  <c r="H413" i="16"/>
  <c r="H231" i="16"/>
  <c r="H185" i="16"/>
  <c r="H103" i="16"/>
  <c r="H20" i="16"/>
  <c r="H152" i="16"/>
  <c r="H378" i="16"/>
  <c r="H210" i="16"/>
  <c r="H120" i="16"/>
  <c r="H200" i="16"/>
  <c r="H14" i="16"/>
  <c r="H421" i="16"/>
  <c r="H328" i="16"/>
  <c r="E145" i="13"/>
  <c r="S145" i="13" s="1"/>
  <c r="N86" i="16" s="1"/>
  <c r="H391" i="16"/>
  <c r="H249" i="16"/>
  <c r="H199" i="16"/>
  <c r="F59" i="16"/>
  <c r="F399" i="16"/>
  <c r="F307" i="16"/>
  <c r="F137" i="16"/>
  <c r="F228" i="16"/>
  <c r="F125" i="16"/>
  <c r="F279" i="16"/>
  <c r="F299" i="16"/>
  <c r="H419" i="16"/>
  <c r="H134" i="16"/>
  <c r="F427" i="16"/>
  <c r="F415" i="16"/>
  <c r="F101" i="16"/>
  <c r="H239" i="16"/>
  <c r="F26" i="16"/>
  <c r="H37" i="16"/>
  <c r="F365" i="16"/>
  <c r="F19" i="16"/>
  <c r="H85" i="16"/>
  <c r="H70" i="16"/>
  <c r="F304" i="16"/>
  <c r="H197" i="16"/>
  <c r="H393" i="16"/>
  <c r="H117" i="16"/>
  <c r="H232" i="16"/>
  <c r="H253" i="16"/>
  <c r="H259" i="16"/>
  <c r="H9" i="16"/>
  <c r="H230" i="16"/>
  <c r="F211" i="16"/>
  <c r="H55" i="16"/>
  <c r="H41" i="16"/>
  <c r="H61" i="16"/>
  <c r="H244" i="16"/>
  <c r="H11" i="16"/>
  <c r="H411" i="16"/>
  <c r="H342" i="16"/>
  <c r="H8" i="16"/>
  <c r="H412" i="16"/>
  <c r="H58" i="16"/>
  <c r="H196" i="16"/>
  <c r="H416" i="16"/>
  <c r="F102" i="16"/>
  <c r="F284" i="16"/>
  <c r="F22" i="16"/>
  <c r="F384" i="16"/>
  <c r="H71" i="16"/>
  <c r="F23" i="16"/>
  <c r="H349" i="16"/>
  <c r="H386" i="16"/>
  <c r="H181" i="16"/>
  <c r="H406" i="16"/>
  <c r="H321" i="16"/>
  <c r="H315" i="16"/>
  <c r="H366" i="16"/>
  <c r="H32" i="16"/>
  <c r="H179" i="16"/>
  <c r="H2" i="16"/>
  <c r="H122" i="16"/>
  <c r="H47" i="16"/>
  <c r="H404" i="16"/>
  <c r="H313" i="16"/>
  <c r="H25" i="16"/>
  <c r="H400" i="16"/>
  <c r="H31" i="16"/>
  <c r="H79" i="16"/>
  <c r="H219" i="16"/>
  <c r="H178" i="16"/>
  <c r="F354" i="16"/>
  <c r="H173" i="16"/>
  <c r="H375" i="16"/>
  <c r="H240" i="16"/>
  <c r="F403" i="16"/>
  <c r="F265" i="16"/>
  <c r="H242" i="16"/>
  <c r="N281" i="16"/>
  <c r="F298" i="16"/>
  <c r="H298" i="16"/>
  <c r="AJ14" i="12"/>
  <c r="AK16" i="12"/>
  <c r="AK24" i="12"/>
  <c r="AH25" i="12"/>
  <c r="AI25" i="12"/>
  <c r="AK15" i="12"/>
  <c r="AF17" i="12"/>
  <c r="AK14" i="12"/>
  <c r="AH24" i="12"/>
  <c r="AG15" i="12"/>
  <c r="AJ26" i="12"/>
  <c r="AF16" i="12"/>
  <c r="AI24" i="12"/>
  <c r="AJ15" i="12"/>
  <c r="AE27" i="12"/>
  <c r="AE17" i="12"/>
  <c r="AG16" i="12"/>
  <c r="AK23" i="12"/>
  <c r="AE16" i="12"/>
  <c r="AG25" i="12"/>
  <c r="AJ25" i="12"/>
  <c r="F6" i="16"/>
  <c r="H6" i="16"/>
  <c r="AK26" i="12"/>
  <c r="AW41" i="12"/>
  <c r="AX41" i="12" s="1"/>
  <c r="T41" i="12" s="1"/>
  <c r="AH26" i="12"/>
  <c r="F86" i="16"/>
  <c r="H86" i="16"/>
  <c r="AF27" i="12"/>
  <c r="AJ24" i="12"/>
  <c r="AI26" i="12"/>
  <c r="F10" i="16"/>
  <c r="H10" i="16"/>
  <c r="F292" i="16"/>
  <c r="H292" i="16"/>
  <c r="F36" i="16"/>
  <c r="H36" i="16"/>
  <c r="F293" i="16"/>
  <c r="H293" i="16"/>
  <c r="F12" i="16"/>
  <c r="H12" i="16"/>
  <c r="F87" i="16"/>
  <c r="H87" i="16"/>
  <c r="O87" i="34"/>
  <c r="N87" i="34"/>
  <c r="O83" i="34"/>
  <c r="M83" i="34"/>
  <c r="L87" i="34"/>
  <c r="N83" i="34"/>
  <c r="M87" i="34"/>
  <c r="L83" i="34"/>
  <c r="K83" i="34"/>
  <c r="N17" i="18"/>
  <c r="M20" i="18"/>
  <c r="N20" i="18"/>
  <c r="M17" i="18"/>
  <c r="O20" i="18"/>
  <c r="O17" i="18"/>
  <c r="I12" i="19"/>
  <c r="H13" i="19"/>
  <c r="D9" i="18"/>
  <c r="AK9" i="18"/>
  <c r="AM9" i="18" s="1"/>
  <c r="AL9" i="18"/>
  <c r="AN9" i="18"/>
  <c r="AO9" i="18"/>
  <c r="R9" i="18"/>
  <c r="J7" i="18"/>
  <c r="AH9" i="18"/>
  <c r="J24" i="34"/>
  <c r="AP9" i="18"/>
  <c r="J23" i="34"/>
  <c r="Q9" i="18"/>
  <c r="P9" i="18"/>
  <c r="AS9" i="18"/>
  <c r="AW40" i="12" l="1"/>
  <c r="AX40" i="12" s="1"/>
  <c r="T40" i="12" s="1"/>
  <c r="AW42" i="12"/>
  <c r="AX42" i="12" s="1"/>
  <c r="T42" i="12" s="1"/>
  <c r="N292" i="16"/>
  <c r="N282" i="16"/>
  <c r="N77" i="16"/>
  <c r="AJ17" i="12"/>
  <c r="AW54" i="12"/>
  <c r="AX54" i="12" s="1"/>
  <c r="T54" i="12" s="1"/>
  <c r="AW43" i="12"/>
  <c r="AX43" i="12" s="1"/>
  <c r="T43" i="12" s="1"/>
  <c r="AE41" i="12"/>
  <c r="AF41" i="12" s="1"/>
  <c r="B41" i="12" s="1"/>
  <c r="AE42" i="12"/>
  <c r="AF42" i="12" s="1"/>
  <c r="B42" i="12" s="1"/>
  <c r="AW50" i="12"/>
  <c r="AX50" i="12" s="1"/>
  <c r="T50" i="12" s="1"/>
  <c r="AW51" i="12"/>
  <c r="AX51" i="12" s="1"/>
  <c r="T51" i="12" s="1"/>
  <c r="AW44" i="12"/>
  <c r="AX44" i="12" s="1"/>
  <c r="T44" i="12" s="1"/>
  <c r="AE44" i="12"/>
  <c r="AF44" i="12" s="1"/>
  <c r="B44" i="12" s="1"/>
  <c r="AW46" i="12"/>
  <c r="AX46" i="12" s="1"/>
  <c r="T46" i="12" s="1"/>
  <c r="AW45" i="12"/>
  <c r="AX45" i="12" s="1"/>
  <c r="T45" i="12" s="1"/>
  <c r="AW53" i="12"/>
  <c r="AX53" i="12" s="1"/>
  <c r="T53" i="12" s="1"/>
  <c r="AW52" i="12"/>
  <c r="AX52" i="12" s="1"/>
  <c r="T52" i="12" s="1"/>
  <c r="AW47" i="12"/>
  <c r="AX47" i="12" s="1"/>
  <c r="T47" i="12" s="1"/>
  <c r="AW49" i="12"/>
  <c r="AX49" i="12" s="1"/>
  <c r="T49" i="12" s="1"/>
  <c r="AE40" i="12"/>
  <c r="AF40" i="12" s="1"/>
  <c r="B40" i="12" s="1"/>
  <c r="AE43" i="12"/>
  <c r="AF43" i="12" s="1"/>
  <c r="B43" i="12" s="1"/>
  <c r="N293" i="16"/>
  <c r="AI17" i="12"/>
  <c r="AD29" i="34"/>
  <c r="AD17" i="34"/>
  <c r="AC7" i="34"/>
  <c r="N103" i="34" s="1"/>
  <c r="AJ23" i="12"/>
  <c r="AF18" i="12"/>
  <c r="AG24" i="12"/>
  <c r="AD11" i="34"/>
  <c r="AE14" i="12"/>
  <c r="AD32" i="34"/>
  <c r="AC12" i="34"/>
  <c r="N108" i="34" s="1"/>
  <c r="AC38" i="34"/>
  <c r="N134" i="34" s="1"/>
  <c r="AD25" i="34"/>
  <c r="AC9" i="34"/>
  <c r="N105" i="34" s="1"/>
  <c r="AD18" i="34"/>
  <c r="AD12" i="34"/>
  <c r="AD35" i="34"/>
  <c r="AD7" i="34"/>
  <c r="AD6" i="34"/>
  <c r="AD20" i="34"/>
  <c r="E20" i="34" s="1"/>
  <c r="E68" i="34" s="1"/>
  <c r="AD34" i="34"/>
  <c r="E34" i="34" s="1"/>
  <c r="E82" i="34" s="1"/>
  <c r="F82" i="34" s="1"/>
  <c r="AD26" i="34"/>
  <c r="AD2" i="34"/>
  <c r="E2" i="34" s="1"/>
  <c r="E50" i="34" s="1"/>
  <c r="AQ33" i="33"/>
  <c r="AV41" i="33"/>
  <c r="AT41" i="33"/>
  <c r="AT35" i="33"/>
  <c r="AC40" i="34"/>
  <c r="N136" i="34" s="1"/>
  <c r="AC14" i="34"/>
  <c r="N110" i="34" s="1"/>
  <c r="AC13" i="34"/>
  <c r="N109" i="34" s="1"/>
  <c r="AC19" i="34"/>
  <c r="N115" i="34" s="1"/>
  <c r="AC26" i="34"/>
  <c r="N122" i="34" s="1"/>
  <c r="AC29" i="34"/>
  <c r="N125" i="34" s="1"/>
  <c r="AR37" i="33"/>
  <c r="AQ37" i="33"/>
  <c r="AF23" i="12"/>
  <c r="AE23" i="12"/>
  <c r="AI23" i="12"/>
  <c r="AG27" i="12"/>
  <c r="AE25" i="12"/>
  <c r="AF26" i="12"/>
  <c r="AH23" i="12"/>
  <c r="AR52" i="33"/>
  <c r="AS35" i="33"/>
  <c r="AI14" i="12"/>
  <c r="AE18" i="12"/>
  <c r="AF15" i="12"/>
  <c r="AH17" i="12"/>
  <c r="AI15" i="12"/>
  <c r="AF14" i="12"/>
  <c r="AE45" i="12"/>
  <c r="AF45" i="12" s="1"/>
  <c r="B45" i="12" s="1"/>
  <c r="AF24" i="12"/>
  <c r="AS37" i="33"/>
  <c r="AQ41" i="33"/>
  <c r="AW35" i="33"/>
  <c r="AQ39" i="33"/>
  <c r="AQ35" i="33"/>
  <c r="AV33" i="33"/>
  <c r="AW39" i="33"/>
  <c r="AW37" i="33"/>
  <c r="AV47" i="33"/>
  <c r="AW51" i="33"/>
  <c r="AU51" i="33"/>
  <c r="AC2" i="18"/>
  <c r="AB28" i="18" s="1"/>
  <c r="AR39" i="33"/>
  <c r="AR35" i="33"/>
  <c r="AU41" i="33"/>
  <c r="AW33" i="33"/>
  <c r="AE47" i="12"/>
  <c r="AF47" i="12" s="1"/>
  <c r="B47" i="12" s="1"/>
  <c r="AW48" i="12"/>
  <c r="AX48" i="12" s="1"/>
  <c r="T48" i="12" s="1"/>
  <c r="AE46" i="12"/>
  <c r="AF46" i="12" s="1"/>
  <c r="B46" i="12" s="1"/>
  <c r="AC23" i="34"/>
  <c r="N119" i="34" s="1"/>
  <c r="AG23" i="12"/>
  <c r="AH15" i="12"/>
  <c r="AD24" i="34"/>
  <c r="AK17" i="12"/>
  <c r="AD42" i="34"/>
  <c r="AH14" i="12"/>
  <c r="AD39" i="34"/>
  <c r="AG17" i="12"/>
  <c r="AD33" i="34"/>
  <c r="AN43" i="12"/>
  <c r="AO43" i="12" s="1"/>
  <c r="K43" i="12" s="1"/>
  <c r="AE50" i="12"/>
  <c r="AF50" i="12" s="1"/>
  <c r="B50" i="12" s="1"/>
  <c r="AE48" i="12"/>
  <c r="AF48" i="12" s="1"/>
  <c r="B48" i="12" s="1"/>
  <c r="AN51" i="12"/>
  <c r="AO51" i="12" s="1"/>
  <c r="K51" i="12" s="1"/>
  <c r="N76" i="16"/>
  <c r="AN50" i="12"/>
  <c r="AO50" i="12" s="1"/>
  <c r="K50" i="12" s="1"/>
  <c r="AN42" i="12"/>
  <c r="AO42" i="12" s="1"/>
  <c r="K42" i="12" s="1"/>
  <c r="AD19" i="34"/>
  <c r="AD21" i="34"/>
  <c r="AT47" i="33"/>
  <c r="AV37" i="33"/>
  <c r="AF25" i="12"/>
  <c r="AG26" i="12"/>
  <c r="AE15" i="12"/>
  <c r="AD38" i="34"/>
  <c r="AE24" i="12"/>
  <c r="AD30" i="34"/>
  <c r="I13" i="19"/>
  <c r="H14" i="19"/>
  <c r="F9" i="18"/>
  <c r="J4" i="18"/>
  <c r="J40" i="34"/>
  <c r="J42" i="34"/>
  <c r="J88" i="34" l="1"/>
  <c r="I14" i="19"/>
  <c r="H15" i="19"/>
  <c r="I15" i="19" l="1"/>
  <c r="H16" i="19"/>
  <c r="I16" i="19" l="1"/>
  <c r="AU8" i="12" s="1"/>
  <c r="H17" i="19"/>
  <c r="I17" i="19" l="1"/>
  <c r="H18" i="19"/>
  <c r="AS10" i="12"/>
  <c r="AT11" i="12" s="1"/>
  <c r="R11" i="12" s="1"/>
  <c r="AS11" i="12"/>
  <c r="Q11" i="12" s="1"/>
  <c r="AU7" i="12"/>
  <c r="AU6" i="12"/>
  <c r="AL6" i="12"/>
  <c r="AL7" i="12"/>
  <c r="AL5" i="12"/>
  <c r="AU5" i="12"/>
  <c r="AL8" i="12"/>
  <c r="Z45" i="34"/>
  <c r="AB45" i="34" s="1"/>
  <c r="AC45" i="34"/>
  <c r="N141" i="34" s="1"/>
  <c r="Z44" i="34"/>
  <c r="Z43" i="34"/>
  <c r="Z42" i="34"/>
  <c r="AC42" i="34"/>
  <c r="N138" i="34" s="1"/>
  <c r="Z41" i="34"/>
  <c r="AC41" i="34"/>
  <c r="N137" i="34" s="1"/>
  <c r="Z40" i="34"/>
  <c r="AB40" i="34" s="1"/>
  <c r="Z39" i="34"/>
  <c r="AC39" i="34"/>
  <c r="N135" i="34" s="1"/>
  <c r="Z38" i="34"/>
  <c r="AB38" i="34" s="1"/>
  <c r="E38" i="34" s="1"/>
  <c r="E86" i="34" s="1"/>
  <c r="Z37" i="34"/>
  <c r="AB37" i="34" s="1"/>
  <c r="AC37" i="34"/>
  <c r="N133" i="34" s="1"/>
  <c r="Z36" i="34"/>
  <c r="AC36" i="34"/>
  <c r="N132" i="34" s="1"/>
  <c r="AB35" i="34"/>
  <c r="E35" i="34" s="1"/>
  <c r="E83" i="34" s="1"/>
  <c r="AC35" i="34"/>
  <c r="N131" i="34" s="1"/>
  <c r="Z33" i="34"/>
  <c r="AC34" i="34"/>
  <c r="N130" i="34" s="1"/>
  <c r="AC33" i="34"/>
  <c r="N129" i="34" s="1"/>
  <c r="Z32" i="34"/>
  <c r="AC32" i="34"/>
  <c r="N128" i="34" s="1"/>
  <c r="Z31" i="34"/>
  <c r="AC31" i="34"/>
  <c r="N127" i="34" s="1"/>
  <c r="Z30" i="34"/>
  <c r="AB30" i="34" s="1"/>
  <c r="E30" i="34" s="1"/>
  <c r="E78" i="34" s="1"/>
  <c r="AC30" i="34"/>
  <c r="N126" i="34" s="1"/>
  <c r="Z29" i="34"/>
  <c r="Z28" i="34"/>
  <c r="Z27" i="34"/>
  <c r="Z26" i="34"/>
  <c r="AB26" i="34" s="1"/>
  <c r="E26" i="34" s="1"/>
  <c r="E74" i="34" s="1"/>
  <c r="Z25" i="34"/>
  <c r="AQ25" i="34" s="1"/>
  <c r="AR25" i="34" s="1"/>
  <c r="S25" i="34" s="1"/>
  <c r="AC25" i="34"/>
  <c r="N121" i="34" s="1"/>
  <c r="Z24" i="34"/>
  <c r="AQ24" i="34" s="1"/>
  <c r="AR24" i="34" s="1"/>
  <c r="S24" i="34" s="1"/>
  <c r="AC24" i="34"/>
  <c r="N120" i="34" s="1"/>
  <c r="Z23" i="34"/>
  <c r="AQ23" i="34" s="1"/>
  <c r="AR23" i="34" s="1"/>
  <c r="S23" i="34" s="1"/>
  <c r="Z22" i="34"/>
  <c r="AC22" i="34"/>
  <c r="N118" i="34" s="1"/>
  <c r="AB21" i="34"/>
  <c r="E21" i="34" s="1"/>
  <c r="E69" i="34" s="1"/>
  <c r="AC21" i="34"/>
  <c r="N117" i="34" s="1"/>
  <c r="X10" i="18"/>
  <c r="Y10" i="18" s="1"/>
  <c r="AB42" i="34" l="1"/>
  <c r="E42" i="34" s="1"/>
  <c r="AF42" i="34"/>
  <c r="AE42" i="34"/>
  <c r="F74" i="34"/>
  <c r="I18" i="19"/>
  <c r="H19" i="19"/>
  <c r="AB28" i="34"/>
  <c r="AE28" i="34"/>
  <c r="AF28" i="34"/>
  <c r="F86" i="34"/>
  <c r="AB32" i="34"/>
  <c r="E32" i="34" s="1"/>
  <c r="E80" i="34" s="1"/>
  <c r="AF32" i="34"/>
  <c r="AE32" i="34"/>
  <c r="AB31" i="34"/>
  <c r="AE31" i="34"/>
  <c r="AF31" i="34"/>
  <c r="AB33" i="34"/>
  <c r="E33" i="34" s="1"/>
  <c r="AE33" i="34"/>
  <c r="AF33" i="34"/>
  <c r="AB39" i="34"/>
  <c r="E39" i="34" s="1"/>
  <c r="AF39" i="34"/>
  <c r="AE39" i="34"/>
  <c r="AB24" i="34"/>
  <c r="E24" i="34" s="1"/>
  <c r="AF24" i="34"/>
  <c r="AE24" i="34"/>
  <c r="AB36" i="34"/>
  <c r="AF36" i="34"/>
  <c r="AE36" i="34"/>
  <c r="AB23" i="34"/>
  <c r="AF23" i="34"/>
  <c r="AE23" i="34"/>
  <c r="AM11" i="12"/>
  <c r="K11" i="12" s="1"/>
  <c r="AP10" i="12"/>
  <c r="AO11" i="12"/>
  <c r="M11" i="12" s="1"/>
  <c r="AQ10" i="12"/>
  <c r="AP11" i="12" s="1"/>
  <c r="N11" i="12" s="1"/>
  <c r="AG10" i="12"/>
  <c r="AD11" i="12"/>
  <c r="B11" i="12" s="1"/>
  <c r="AR10" i="12"/>
  <c r="AR11" i="12" s="1"/>
  <c r="P11" i="12" s="1"/>
  <c r="AQ11" i="12"/>
  <c r="O11" i="12" s="1"/>
  <c r="AH11" i="12"/>
  <c r="F11" i="12" s="1"/>
  <c r="AI10" i="12"/>
  <c r="AI11" i="12" s="1"/>
  <c r="G11" i="12" s="1"/>
  <c r="AJ10" i="12"/>
  <c r="AK11" i="12" s="1"/>
  <c r="I11" i="12" s="1"/>
  <c r="AJ11" i="12"/>
  <c r="H11" i="12" s="1"/>
  <c r="AH10" i="12"/>
  <c r="AG11" i="12" s="1"/>
  <c r="E11" i="12" s="1"/>
  <c r="AF11" i="12"/>
  <c r="D11" i="12" s="1"/>
  <c r="AB22" i="34"/>
  <c r="AQ22" i="34"/>
  <c r="AR22" i="34" s="1"/>
  <c r="S22" i="34" s="1"/>
  <c r="AB44" i="34"/>
  <c r="AE44" i="34"/>
  <c r="AF44" i="34"/>
  <c r="AB29" i="34"/>
  <c r="E29" i="34" s="1"/>
  <c r="AE29" i="34"/>
  <c r="AF29" i="34"/>
  <c r="AB43" i="34"/>
  <c r="AE43" i="34"/>
  <c r="AF43" i="34"/>
  <c r="AB27" i="34"/>
  <c r="AF27" i="34"/>
  <c r="AE27" i="34"/>
  <c r="AB41" i="34"/>
  <c r="AF41" i="34"/>
  <c r="AE41" i="34"/>
  <c r="AB25" i="34"/>
  <c r="E25" i="34" s="1"/>
  <c r="AF25" i="34"/>
  <c r="AE25" i="34"/>
  <c r="AA10" i="18"/>
  <c r="B10" i="18" s="1"/>
  <c r="B23" i="18" s="1"/>
  <c r="AK10" i="18"/>
  <c r="AM10" i="18" s="1"/>
  <c r="AL10" i="18"/>
  <c r="AN10" i="18"/>
  <c r="AO10" i="18"/>
  <c r="Z19" i="34"/>
  <c r="AC20" i="34"/>
  <c r="N116" i="34" s="1"/>
  <c r="W31" i="18"/>
  <c r="U31" i="18"/>
  <c r="AB5" i="18"/>
  <c r="AB18" i="34"/>
  <c r="E18" i="34" s="1"/>
  <c r="E66" i="34" s="1"/>
  <c r="W35" i="18"/>
  <c r="S35" i="18" s="1"/>
  <c r="W32" i="18"/>
  <c r="Z6" i="18"/>
  <c r="W36" i="18"/>
  <c r="P36" i="18" s="1"/>
  <c r="Z10" i="18"/>
  <c r="U36" i="18" s="1"/>
  <c r="Z17" i="34"/>
  <c r="AQ17" i="34" s="1"/>
  <c r="AR17" i="34" s="1"/>
  <c r="S17" i="34" s="1"/>
  <c r="AC18" i="34"/>
  <c r="N114" i="34" s="1"/>
  <c r="R35" i="18"/>
  <c r="Q10" i="18"/>
  <c r="AP10" i="18"/>
  <c r="AH10" i="18"/>
  <c r="AG10" i="18"/>
  <c r="R10" i="18"/>
  <c r="P10" i="18"/>
  <c r="AS10" i="18"/>
  <c r="C42" i="34" l="1"/>
  <c r="C90" i="34" s="1"/>
  <c r="I19" i="19"/>
  <c r="AL15" i="12" s="1"/>
  <c r="H20" i="19"/>
  <c r="AL14" i="12"/>
  <c r="C32" i="34"/>
  <c r="C80" i="34" s="1"/>
  <c r="C28" i="34"/>
  <c r="C76" i="34" s="1"/>
  <c r="F66" i="34"/>
  <c r="AF19" i="34"/>
  <c r="AE19" i="34"/>
  <c r="C31" i="34"/>
  <c r="C79" i="34" s="1"/>
  <c r="D79" i="34" s="1"/>
  <c r="C36" i="34"/>
  <c r="C84" i="34" s="1"/>
  <c r="C33" i="34"/>
  <c r="C81" i="34" s="1"/>
  <c r="C24" i="34"/>
  <c r="C72" i="34" s="1"/>
  <c r="D72" i="34" s="1"/>
  <c r="C39" i="34"/>
  <c r="C87" i="34" s="1"/>
  <c r="C23" i="34"/>
  <c r="C71" i="34" s="1"/>
  <c r="C44" i="34"/>
  <c r="C92" i="34" s="1"/>
  <c r="C43" i="34"/>
  <c r="C91" i="34" s="1"/>
  <c r="C29" i="34"/>
  <c r="C77" i="34" s="1"/>
  <c r="C27" i="34"/>
  <c r="C75" i="34" s="1"/>
  <c r="D75" i="34" s="1"/>
  <c r="U32" i="18"/>
  <c r="AA32" i="18" s="1"/>
  <c r="AE6" i="18"/>
  <c r="AF6" i="18"/>
  <c r="Y31" i="18"/>
  <c r="AF10" i="18"/>
  <c r="AE10" i="18"/>
  <c r="AQ10" i="18"/>
  <c r="AR10" i="18" s="1"/>
  <c r="S10" i="18" s="1"/>
  <c r="R18" i="33"/>
  <c r="C25" i="34"/>
  <c r="C73" i="34" s="1"/>
  <c r="D73" i="34" s="1"/>
  <c r="AB19" i="34"/>
  <c r="E19" i="34" s="1"/>
  <c r="AQ19" i="34"/>
  <c r="AR19" i="34" s="1"/>
  <c r="S19" i="34" s="1"/>
  <c r="C41" i="34"/>
  <c r="C89" i="34" s="1"/>
  <c r="R36" i="18"/>
  <c r="Z31" i="18"/>
  <c r="O36" i="18"/>
  <c r="D10" i="18"/>
  <c r="R23" i="18"/>
  <c r="F10" i="18"/>
  <c r="X36" i="18"/>
  <c r="T35" i="18"/>
  <c r="R29" i="33" s="1"/>
  <c r="Q36" i="18"/>
  <c r="T36" i="18"/>
  <c r="S36" i="18"/>
  <c r="AB10" i="18"/>
  <c r="Y36" i="18" s="1"/>
  <c r="AB6" i="18"/>
  <c r="AA31" i="18"/>
  <c r="AA36" i="18"/>
  <c r="Z36" i="18"/>
  <c r="X31" i="18"/>
  <c r="AB17" i="34"/>
  <c r="E17" i="34" s="1"/>
  <c r="E65" i="34" s="1"/>
  <c r="W33" i="18"/>
  <c r="Z7" i="18"/>
  <c r="AQ7" i="18" s="1"/>
  <c r="AR7" i="18" s="1"/>
  <c r="S7" i="18" s="1"/>
  <c r="AC17" i="34"/>
  <c r="N113" i="34" s="1"/>
  <c r="Z9" i="18"/>
  <c r="AQ9" i="18" s="1"/>
  <c r="AR9" i="18" s="1"/>
  <c r="S9" i="18" s="1"/>
  <c r="Q35" i="18"/>
  <c r="O35" i="18"/>
  <c r="W29" i="18"/>
  <c r="P29" i="18" s="1"/>
  <c r="P35" i="18"/>
  <c r="A3" i="32"/>
  <c r="Z2" i="34"/>
  <c r="AB2" i="34" s="1"/>
  <c r="Z16" i="34"/>
  <c r="Z8" i="18"/>
  <c r="AQ8" i="18" s="1"/>
  <c r="AR8" i="18" s="1"/>
  <c r="S8" i="18" s="1"/>
  <c r="W34" i="18"/>
  <c r="S34" i="18" s="1"/>
  <c r="R34" i="18"/>
  <c r="AC2" i="34"/>
  <c r="N98" i="34" s="1"/>
  <c r="AC10" i="18"/>
  <c r="AB36" i="18" s="1"/>
  <c r="V36" i="18"/>
  <c r="Z15" i="34"/>
  <c r="Z3" i="34"/>
  <c r="E73" i="34" l="1"/>
  <c r="D90" i="34"/>
  <c r="E90" i="34" s="1"/>
  <c r="F90" i="34" s="1"/>
  <c r="D76" i="34"/>
  <c r="E72" i="34"/>
  <c r="AD20" i="12"/>
  <c r="B20" i="12" s="1"/>
  <c r="AG19" i="12"/>
  <c r="I20" i="19"/>
  <c r="H21" i="19"/>
  <c r="AH19" i="12"/>
  <c r="AG20" i="12" s="1"/>
  <c r="E20" i="12" s="1"/>
  <c r="AF20" i="12"/>
  <c r="D20" i="12" s="1"/>
  <c r="C19" i="34"/>
  <c r="C67" i="34" s="1"/>
  <c r="D67" i="34" s="1"/>
  <c r="E67" i="34" s="1"/>
  <c r="D71" i="34"/>
  <c r="D81" i="34"/>
  <c r="E81" i="34" s="1"/>
  <c r="F81" i="34" s="1"/>
  <c r="AB3" i="34"/>
  <c r="AE3" i="34"/>
  <c r="AF3" i="34"/>
  <c r="AF16" i="34"/>
  <c r="AE16" i="34"/>
  <c r="F77" i="34"/>
  <c r="D77" i="34"/>
  <c r="P67" i="34"/>
  <c r="Q67" i="34"/>
  <c r="Q91" i="34"/>
  <c r="P91" i="34"/>
  <c r="E87" i="34"/>
  <c r="F65" i="34"/>
  <c r="AB16" i="34"/>
  <c r="AQ16" i="34"/>
  <c r="AR16" i="34" s="1"/>
  <c r="S16" i="34" s="1"/>
  <c r="E77" i="34"/>
  <c r="D91" i="34"/>
  <c r="AB15" i="34"/>
  <c r="AE15" i="34"/>
  <c r="AF15" i="34"/>
  <c r="D89" i="34"/>
  <c r="C6" i="18"/>
  <c r="C19" i="18" s="1"/>
  <c r="Z32" i="18"/>
  <c r="X32" i="18"/>
  <c r="C56" i="33"/>
  <c r="C10" i="18"/>
  <c r="C23" i="18" s="1"/>
  <c r="U34" i="18"/>
  <c r="Z34" i="18" s="1"/>
  <c r="AF8" i="18"/>
  <c r="AE8" i="18"/>
  <c r="AB9" i="18"/>
  <c r="AE9" i="18"/>
  <c r="AF9" i="18"/>
  <c r="Y32" i="18"/>
  <c r="AB7" i="18"/>
  <c r="AF7" i="18"/>
  <c r="AE7" i="18"/>
  <c r="R3" i="33"/>
  <c r="R17" i="33"/>
  <c r="C58" i="33"/>
  <c r="C55" i="33"/>
  <c r="H58" i="33"/>
  <c r="C57" i="33"/>
  <c r="AU9" i="32"/>
  <c r="AU10" i="32"/>
  <c r="AT10" i="32"/>
  <c r="P34" i="18"/>
  <c r="T34" i="18"/>
  <c r="R15" i="33" s="1"/>
  <c r="Q34" i="18"/>
  <c r="AB8" i="18"/>
  <c r="O29" i="18"/>
  <c r="U33" i="18"/>
  <c r="X33" i="18" s="1"/>
  <c r="O34" i="18"/>
  <c r="U35" i="18"/>
  <c r="R33" i="18"/>
  <c r="AC9" i="18"/>
  <c r="AB35" i="18" s="1"/>
  <c r="V35" i="18"/>
  <c r="AC3" i="34"/>
  <c r="N99" i="34" s="1"/>
  <c r="Q33" i="18"/>
  <c r="AF32" i="18"/>
  <c r="Q32" i="18"/>
  <c r="AF31" i="18"/>
  <c r="Q31" i="18"/>
  <c r="S33" i="18"/>
  <c r="T33" i="18"/>
  <c r="P33" i="18"/>
  <c r="O33" i="18"/>
  <c r="Z14" i="34"/>
  <c r="S31" i="18"/>
  <c r="T31" i="18"/>
  <c r="B130" i="13"/>
  <c r="B131" i="13" s="1"/>
  <c r="R32" i="18"/>
  <c r="V34" i="18"/>
  <c r="W30" i="18"/>
  <c r="T30" i="18" s="1"/>
  <c r="U30" i="18"/>
  <c r="Y30" i="18"/>
  <c r="J15" i="32"/>
  <c r="Y16" i="32" s="1"/>
  <c r="O32" i="18"/>
  <c r="T32" i="18"/>
  <c r="P32" i="18"/>
  <c r="S32" i="18"/>
  <c r="AB5" i="34"/>
  <c r="Z13" i="34"/>
  <c r="C148" i="13"/>
  <c r="M205" i="16"/>
  <c r="B22" i="13"/>
  <c r="B23" i="13" s="1"/>
  <c r="D25" i="13"/>
  <c r="C25" i="13" s="1"/>
  <c r="M246" i="16"/>
  <c r="C70" i="13"/>
  <c r="M286" i="16"/>
  <c r="Z3" i="18"/>
  <c r="D135" i="13"/>
  <c r="C135" i="13" s="1"/>
  <c r="M266" i="16"/>
  <c r="M267" i="16"/>
  <c r="M261" i="16"/>
  <c r="C145" i="13"/>
  <c r="M212" i="16"/>
  <c r="M208" i="16"/>
  <c r="M224" i="16"/>
  <c r="M242" i="16"/>
  <c r="M182" i="16"/>
  <c r="M245" i="16"/>
  <c r="M263" i="16"/>
  <c r="R31" i="18"/>
  <c r="M285" i="16"/>
  <c r="C66" i="13"/>
  <c r="M217" i="16"/>
  <c r="V33" i="18"/>
  <c r="M207" i="16"/>
  <c r="M236" i="16"/>
  <c r="P31" i="18"/>
  <c r="O31" i="18"/>
  <c r="M227" i="16"/>
  <c r="Z12" i="34"/>
  <c r="Z6" i="34"/>
  <c r="AB6" i="34" s="1"/>
  <c r="E6" i="34" s="1"/>
  <c r="E54" i="34" s="1"/>
  <c r="B69" i="13"/>
  <c r="B70" i="13" s="1"/>
  <c r="Q70" i="13" s="1"/>
  <c r="B137" i="13"/>
  <c r="B138" i="13" s="1"/>
  <c r="Q138" i="13" s="1"/>
  <c r="D138" i="13"/>
  <c r="C138" i="13" s="1"/>
  <c r="M130" i="16"/>
  <c r="M175" i="16"/>
  <c r="B96" i="13"/>
  <c r="B97" i="13" s="1"/>
  <c r="D98" i="13"/>
  <c r="C98" i="13" s="1"/>
  <c r="M166" i="16"/>
  <c r="M145" i="16"/>
  <c r="B116" i="13"/>
  <c r="B117" i="13" s="1"/>
  <c r="Q117" i="13" s="1"/>
  <c r="D117" i="13"/>
  <c r="C117" i="13" s="1"/>
  <c r="R28" i="18"/>
  <c r="B83" i="13"/>
  <c r="B84" i="13" s="1"/>
  <c r="Q84" i="13" s="1"/>
  <c r="D84" i="13"/>
  <c r="C84" i="13" s="1"/>
  <c r="D133" i="13"/>
  <c r="C133" i="13" s="1"/>
  <c r="D132" i="13"/>
  <c r="C132" i="13" s="1"/>
  <c r="H433" i="16"/>
  <c r="M202" i="16"/>
  <c r="R30" i="18"/>
  <c r="M172" i="16"/>
  <c r="M255" i="16"/>
  <c r="M155" i="16"/>
  <c r="M190" i="16"/>
  <c r="B33" i="13"/>
  <c r="B34" i="13" s="1"/>
  <c r="D35" i="13"/>
  <c r="C35" i="13" s="1"/>
  <c r="W28" i="18"/>
  <c r="S28" i="18" s="1"/>
  <c r="Z2" i="18"/>
  <c r="AQ2" i="18" s="1"/>
  <c r="AR2" i="18" s="1"/>
  <c r="S2" i="18" s="1"/>
  <c r="AF29" i="18"/>
  <c r="Q29" i="18"/>
  <c r="M158" i="16"/>
  <c r="M170" i="16"/>
  <c r="M177" i="16"/>
  <c r="V32" i="18"/>
  <c r="Q66" i="13"/>
  <c r="B55" i="13"/>
  <c r="B56" i="13" s="1"/>
  <c r="D56" i="13"/>
  <c r="C56" i="13" s="1"/>
  <c r="M148" i="16"/>
  <c r="M176" i="16"/>
  <c r="M222" i="16"/>
  <c r="AC6" i="34"/>
  <c r="N102" i="34" s="1"/>
  <c r="M126" i="16"/>
  <c r="M139" i="16"/>
  <c r="M163" i="16"/>
  <c r="M288" i="16"/>
  <c r="Z11" i="34"/>
  <c r="Z7" i="34"/>
  <c r="B6" i="13"/>
  <c r="B7" i="13" s="1"/>
  <c r="D9" i="13"/>
  <c r="C9" i="13" s="1"/>
  <c r="D7" i="13"/>
  <c r="C7" i="13" s="1"/>
  <c r="B150" i="13"/>
  <c r="Q150" i="13" s="1"/>
  <c r="D123" i="13"/>
  <c r="C123" i="13" s="1"/>
  <c r="B122" i="13"/>
  <c r="B123" i="13" s="1"/>
  <c r="Q123" i="13" s="1"/>
  <c r="B45" i="13"/>
  <c r="B46" i="13" s="1"/>
  <c r="Q46" i="13" s="1"/>
  <c r="D46" i="13"/>
  <c r="C46" i="13" s="1"/>
  <c r="D24" i="13"/>
  <c r="C24" i="13" s="1"/>
  <c r="B50" i="13"/>
  <c r="B51" i="13" s="1"/>
  <c r="Q51" i="13" s="1"/>
  <c r="D51" i="13"/>
  <c r="C51" i="13" s="1"/>
  <c r="D34" i="13"/>
  <c r="C34" i="13" s="1"/>
  <c r="B93" i="13"/>
  <c r="Q93" i="13" s="1"/>
  <c r="D93" i="13"/>
  <c r="C93" i="13" s="1"/>
  <c r="B76" i="13"/>
  <c r="Q76" i="13" s="1"/>
  <c r="D16" i="13"/>
  <c r="C16" i="13" s="1"/>
  <c r="B15" i="13"/>
  <c r="B16" i="13" s="1"/>
  <c r="D23" i="13"/>
  <c r="C23" i="13" s="1"/>
  <c r="B106" i="13"/>
  <c r="B107" i="13" s="1"/>
  <c r="D128" i="13"/>
  <c r="C128" i="13" s="1"/>
  <c r="Q67" i="13"/>
  <c r="D131" i="13"/>
  <c r="C131" i="13" s="1"/>
  <c r="D11" i="13"/>
  <c r="C11" i="13" s="1"/>
  <c r="B11" i="13"/>
  <c r="Q11" i="13" s="1"/>
  <c r="B39" i="13"/>
  <c r="B40" i="13" s="1"/>
  <c r="D41" i="13"/>
  <c r="C41" i="13" s="1"/>
  <c r="B78" i="13"/>
  <c r="B79" i="13" s="1"/>
  <c r="Q79" i="13" s="1"/>
  <c r="D79" i="13"/>
  <c r="C79" i="13" s="1"/>
  <c r="B5" i="13"/>
  <c r="Q5" i="13" s="1"/>
  <c r="D5" i="13"/>
  <c r="C5" i="13" s="1"/>
  <c r="B155" i="13"/>
  <c r="Q155" i="13" s="1"/>
  <c r="D155" i="13"/>
  <c r="C155" i="13" s="1"/>
  <c r="D22" i="13"/>
  <c r="C22" i="13" s="1"/>
  <c r="D97" i="13"/>
  <c r="C97" i="13" s="1"/>
  <c r="B124" i="13"/>
  <c r="Q124" i="13" s="1"/>
  <c r="D124" i="13"/>
  <c r="C124" i="13" s="1"/>
  <c r="B110" i="13"/>
  <c r="Q110" i="13" s="1"/>
  <c r="B111" i="13"/>
  <c r="Q111" i="13" s="1"/>
  <c r="D111" i="13"/>
  <c r="C111" i="13" s="1"/>
  <c r="B152" i="13"/>
  <c r="B153" i="13" s="1"/>
  <c r="Q153" i="13" s="1"/>
  <c r="B53" i="13"/>
  <c r="Q53" i="13" s="1"/>
  <c r="D53" i="13"/>
  <c r="C53" i="13" s="1"/>
  <c r="B129" i="13"/>
  <c r="Q129" i="13" s="1"/>
  <c r="D129" i="13"/>
  <c r="C129" i="13" s="1"/>
  <c r="D96" i="13"/>
  <c r="C96" i="13" s="1"/>
  <c r="D126" i="13"/>
  <c r="C126" i="13" s="1"/>
  <c r="B126" i="13"/>
  <c r="Q126" i="13" s="1"/>
  <c r="B114" i="13"/>
  <c r="Q114" i="13" s="1"/>
  <c r="D72" i="13"/>
  <c r="C72" i="13" s="1"/>
  <c r="B72" i="13"/>
  <c r="Q72" i="13" s="1"/>
  <c r="Q144" i="13"/>
  <c r="D36" i="13"/>
  <c r="C36" i="13" s="1"/>
  <c r="B36" i="13"/>
  <c r="Q36" i="13" s="1"/>
  <c r="B29" i="13"/>
  <c r="B30" i="13" s="1"/>
  <c r="D31" i="13"/>
  <c r="C31" i="13" s="1"/>
  <c r="D154" i="13"/>
  <c r="C154" i="13" s="1"/>
  <c r="D28" i="13"/>
  <c r="C28" i="13" s="1"/>
  <c r="B28" i="13"/>
  <c r="Q28" i="13" s="1"/>
  <c r="D60" i="13"/>
  <c r="C60" i="13" s="1"/>
  <c r="B60" i="13"/>
  <c r="Q60" i="13" s="1"/>
  <c r="B90" i="13"/>
  <c r="Q90" i="13" s="1"/>
  <c r="D86" i="13"/>
  <c r="C86" i="13" s="1"/>
  <c r="B86" i="13"/>
  <c r="Q86" i="13" s="1"/>
  <c r="B52" i="13"/>
  <c r="Q52" i="13" s="1"/>
  <c r="D52" i="13"/>
  <c r="C52" i="13" s="1"/>
  <c r="D152" i="13"/>
  <c r="C152" i="13" s="1"/>
  <c r="D39" i="13"/>
  <c r="C39" i="13" s="1"/>
  <c r="D158" i="13"/>
  <c r="C158" i="13" s="1"/>
  <c r="B157" i="13"/>
  <c r="B158" i="13" s="1"/>
  <c r="Q158" i="13" s="1"/>
  <c r="B20" i="13"/>
  <c r="B21" i="13" s="1"/>
  <c r="Q21" i="13" s="1"/>
  <c r="D21" i="13"/>
  <c r="C21" i="13" s="1"/>
  <c r="Q147" i="13"/>
  <c r="B94" i="13"/>
  <c r="B95" i="13" s="1"/>
  <c r="Q95" i="13" s="1"/>
  <c r="D91" i="13"/>
  <c r="C91" i="13" s="1"/>
  <c r="D44" i="13"/>
  <c r="C44" i="13" s="1"/>
  <c r="B44" i="13"/>
  <c r="Q44" i="13" s="1"/>
  <c r="D100" i="13"/>
  <c r="C100" i="13" s="1"/>
  <c r="B100" i="13"/>
  <c r="Q100" i="13" s="1"/>
  <c r="D121" i="13"/>
  <c r="C121" i="13" s="1"/>
  <c r="B121" i="13"/>
  <c r="Q121" i="13" s="1"/>
  <c r="D58" i="13"/>
  <c r="C58" i="13" s="1"/>
  <c r="B58" i="13"/>
  <c r="Q58" i="13" s="1"/>
  <c r="D134" i="13"/>
  <c r="C134" i="13" s="1"/>
  <c r="D19" i="13"/>
  <c r="C19" i="13" s="1"/>
  <c r="D55" i="13"/>
  <c r="C55" i="13" s="1"/>
  <c r="D54" i="13"/>
  <c r="C54" i="13" s="1"/>
  <c r="B89" i="13"/>
  <c r="Q89" i="13" s="1"/>
  <c r="D89" i="13"/>
  <c r="C89" i="13" s="1"/>
  <c r="D80" i="13"/>
  <c r="C80" i="13" s="1"/>
  <c r="B80" i="13"/>
  <c r="Q80" i="13" s="1"/>
  <c r="B139" i="13"/>
  <c r="Q139" i="13" s="1"/>
  <c r="D139" i="13"/>
  <c r="C139" i="13" s="1"/>
  <c r="D156" i="13"/>
  <c r="C156" i="13" s="1"/>
  <c r="B156" i="13"/>
  <c r="Q156" i="13" s="1"/>
  <c r="D32" i="13"/>
  <c r="C32" i="13" s="1"/>
  <c r="B32" i="13"/>
  <c r="Q32" i="13" s="1"/>
  <c r="D27" i="13"/>
  <c r="C27" i="13" s="1"/>
  <c r="B27" i="13"/>
  <c r="Q27" i="13" s="1"/>
  <c r="D43" i="13"/>
  <c r="C43" i="13" s="1"/>
  <c r="D115" i="13"/>
  <c r="C115" i="13" s="1"/>
  <c r="B115" i="13"/>
  <c r="Q115" i="13" s="1"/>
  <c r="D20" i="13"/>
  <c r="C20" i="13" s="1"/>
  <c r="D33" i="13"/>
  <c r="C33" i="13" s="1"/>
  <c r="D8" i="13"/>
  <c r="C8" i="13" s="1"/>
  <c r="D73" i="13"/>
  <c r="C73" i="13" s="1"/>
  <c r="D82" i="13"/>
  <c r="C82" i="13" s="1"/>
  <c r="B14" i="13"/>
  <c r="Q14" i="13" s="1"/>
  <c r="D14" i="13"/>
  <c r="C14" i="13" s="1"/>
  <c r="D130" i="13"/>
  <c r="C130" i="13" s="1"/>
  <c r="D38" i="13"/>
  <c r="C38" i="13" s="1"/>
  <c r="B38" i="13"/>
  <c r="Q38" i="13" s="1"/>
  <c r="B12" i="13"/>
  <c r="Q12" i="13" s="1"/>
  <c r="D12" i="13"/>
  <c r="C12" i="13" s="1"/>
  <c r="B42" i="13"/>
  <c r="Q42" i="13" s="1"/>
  <c r="D42" i="13"/>
  <c r="C42" i="13" s="1"/>
  <c r="D110" i="13"/>
  <c r="C110" i="13" s="1"/>
  <c r="D116" i="13"/>
  <c r="C116" i="13" s="1"/>
  <c r="B2" i="13"/>
  <c r="Q2" i="13" s="1"/>
  <c r="D2" i="13"/>
  <c r="C2" i="13" s="1"/>
  <c r="B18" i="13"/>
  <c r="Q18" i="13" s="1"/>
  <c r="B19" i="13"/>
  <c r="Q19" i="13" s="1"/>
  <c r="D18" i="13"/>
  <c r="C18" i="13" s="1"/>
  <c r="B112" i="13"/>
  <c r="Q112" i="13" s="1"/>
  <c r="D112" i="13"/>
  <c r="C112" i="13" s="1"/>
  <c r="B61" i="13"/>
  <c r="Q61" i="13" s="1"/>
  <c r="D61" i="13"/>
  <c r="C61" i="13" s="1"/>
  <c r="D45" i="13"/>
  <c r="C45" i="13" s="1"/>
  <c r="D62" i="13"/>
  <c r="C62" i="13" s="1"/>
  <c r="D29" i="13"/>
  <c r="C29" i="13" s="1"/>
  <c r="D157" i="13"/>
  <c r="C157" i="13" s="1"/>
  <c r="B77" i="13"/>
  <c r="Q77" i="13" s="1"/>
  <c r="D77" i="13"/>
  <c r="C77" i="13" s="1"/>
  <c r="D6" i="13"/>
  <c r="C6" i="13" s="1"/>
  <c r="B113" i="13"/>
  <c r="Q113" i="13" s="1"/>
  <c r="D113" i="13"/>
  <c r="C113" i="13" s="1"/>
  <c r="D57" i="13"/>
  <c r="C57" i="13" s="1"/>
  <c r="D74" i="13"/>
  <c r="C74" i="13" s="1"/>
  <c r="B74" i="13"/>
  <c r="B75" i="13" s="1"/>
  <c r="Q75" i="13" s="1"/>
  <c r="D92" i="13"/>
  <c r="C92" i="13" s="1"/>
  <c r="AC11" i="34"/>
  <c r="N107" i="34" s="1"/>
  <c r="B87" i="13"/>
  <c r="Q87" i="13" s="1"/>
  <c r="B140" i="13"/>
  <c r="Q140" i="13" s="1"/>
  <c r="D140" i="13"/>
  <c r="C140" i="13" s="1"/>
  <c r="D26" i="13"/>
  <c r="C26" i="13" s="1"/>
  <c r="D30" i="13"/>
  <c r="C30" i="13" s="1"/>
  <c r="B104" i="13"/>
  <c r="B105" i="13" s="1"/>
  <c r="Q105" i="13" s="1"/>
  <c r="D105" i="13"/>
  <c r="C105" i="13" s="1"/>
  <c r="D85" i="13"/>
  <c r="C85" i="13" s="1"/>
  <c r="D59" i="13"/>
  <c r="C59" i="13" s="1"/>
  <c r="B59" i="13"/>
  <c r="Q59" i="13" s="1"/>
  <c r="D151" i="13"/>
  <c r="C151" i="13" s="1"/>
  <c r="B102" i="13"/>
  <c r="B109" i="13"/>
  <c r="Q109" i="13" s="1"/>
  <c r="D109" i="13"/>
  <c r="C109" i="13" s="1"/>
  <c r="D49" i="13"/>
  <c r="C49" i="13" s="1"/>
  <c r="B49" i="13"/>
  <c r="Q49" i="13" s="1"/>
  <c r="Q65" i="13"/>
  <c r="D3" i="13"/>
  <c r="C3" i="13" s="1"/>
  <c r="B3" i="13"/>
  <c r="Q3" i="13" s="1"/>
  <c r="S29" i="18"/>
  <c r="T29" i="18"/>
  <c r="B159" i="13"/>
  <c r="Q159" i="13" s="1"/>
  <c r="D159" i="13"/>
  <c r="C159" i="13" s="1"/>
  <c r="D99" i="13"/>
  <c r="C99" i="13" s="1"/>
  <c r="D104" i="13"/>
  <c r="C104" i="13" s="1"/>
  <c r="D50" i="13"/>
  <c r="C50" i="13" s="1"/>
  <c r="D17" i="13"/>
  <c r="C17" i="13" s="1"/>
  <c r="D48" i="13"/>
  <c r="C48" i="13" s="1"/>
  <c r="B48" i="13"/>
  <c r="Q48" i="13" s="1"/>
  <c r="B141" i="13"/>
  <c r="B143" i="13" s="1"/>
  <c r="Q143" i="13" s="1"/>
  <c r="D141" i="13"/>
  <c r="C141" i="13" s="1"/>
  <c r="B125" i="13"/>
  <c r="Q125" i="13" s="1"/>
  <c r="D40" i="13"/>
  <c r="C40" i="13" s="1"/>
  <c r="D108" i="13"/>
  <c r="C108" i="13" s="1"/>
  <c r="D4" i="13"/>
  <c r="C4" i="13" s="1"/>
  <c r="B4" i="13"/>
  <c r="Q4" i="13" s="1"/>
  <c r="D47" i="13"/>
  <c r="C47" i="13" s="1"/>
  <c r="B47" i="13"/>
  <c r="Q47" i="13" s="1"/>
  <c r="D88" i="13"/>
  <c r="C88" i="13" s="1"/>
  <c r="D15" i="13"/>
  <c r="C15" i="13" s="1"/>
  <c r="B13" i="13"/>
  <c r="Q13" i="13" s="1"/>
  <c r="D13" i="13"/>
  <c r="C13" i="13" s="1"/>
  <c r="D10" i="13"/>
  <c r="C10" i="13" s="1"/>
  <c r="B10" i="13"/>
  <c r="Q10" i="13" s="1"/>
  <c r="D122" i="13"/>
  <c r="C122" i="13" s="1"/>
  <c r="D160" i="13"/>
  <c r="C160" i="13" s="1"/>
  <c r="B162" i="13"/>
  <c r="B163" i="13" s="1"/>
  <c r="B164" i="13" s="1"/>
  <c r="B166" i="13" s="1"/>
  <c r="B160" i="13"/>
  <c r="Q160" i="13" s="1"/>
  <c r="B37" i="13"/>
  <c r="Q37" i="13" s="1"/>
  <c r="D37" i="13"/>
  <c r="C37" i="13" s="1"/>
  <c r="R29" i="18"/>
  <c r="D95" i="13"/>
  <c r="C95" i="13" s="1"/>
  <c r="V31" i="18"/>
  <c r="Z8" i="34"/>
  <c r="Z10" i="34"/>
  <c r="AB10" i="34" s="1"/>
  <c r="E10" i="34" s="1"/>
  <c r="E58" i="34" s="1"/>
  <c r="C165" i="16"/>
  <c r="C256" i="16"/>
  <c r="C74" i="16"/>
  <c r="K435" i="16"/>
  <c r="L435" i="16"/>
  <c r="O433" i="16"/>
  <c r="P433" i="16"/>
  <c r="R433" i="16"/>
  <c r="N433" i="16"/>
  <c r="S433" i="16"/>
  <c r="Q433" i="16"/>
  <c r="AC10" i="34"/>
  <c r="N106" i="34" s="1"/>
  <c r="AC8" i="34"/>
  <c r="N104" i="34" s="1"/>
  <c r="C347" i="16"/>
  <c r="V28" i="18"/>
  <c r="Z9" i="34"/>
  <c r="AB9" i="34" s="1"/>
  <c r="V30" i="18"/>
  <c r="C375" i="16"/>
  <c r="C102" i="16"/>
  <c r="C193" i="16"/>
  <c r="AC3" i="18"/>
  <c r="AB29" i="18" s="1"/>
  <c r="V29" i="18"/>
  <c r="C228" i="16"/>
  <c r="F27" i="12"/>
  <c r="G27" i="12" s="1"/>
  <c r="H27" i="12" s="1"/>
  <c r="I27" i="12" s="1"/>
  <c r="C28" i="12" s="1"/>
  <c r="C284" i="16"/>
  <c r="K434" i="16"/>
  <c r="L434" i="16"/>
  <c r="C319" i="16"/>
  <c r="Z435" i="16"/>
  <c r="X435" i="16"/>
  <c r="Y435" i="16"/>
  <c r="W435" i="16"/>
  <c r="C137" i="16"/>
  <c r="E18" i="12"/>
  <c r="F18" i="12" s="1"/>
  <c r="G18" i="12" s="1"/>
  <c r="H18" i="12" s="1"/>
  <c r="I18" i="12" s="1"/>
  <c r="C19" i="12" s="1"/>
  <c r="M433" i="16"/>
  <c r="U435" i="16"/>
  <c r="T435" i="16"/>
  <c r="V435" i="16"/>
  <c r="C5" i="12"/>
  <c r="L5" i="12"/>
  <c r="AN5" i="12" s="1"/>
  <c r="U23" i="12"/>
  <c r="V23" i="12" s="1"/>
  <c r="AX23" i="12" s="1"/>
  <c r="L32" i="12"/>
  <c r="M32" i="12" s="1"/>
  <c r="L14" i="12"/>
  <c r="M14" i="12" s="1"/>
  <c r="U32" i="12"/>
  <c r="V32" i="12" s="1"/>
  <c r="W32" i="12" s="1"/>
  <c r="K432" i="16"/>
  <c r="L432" i="16"/>
  <c r="L23" i="12"/>
  <c r="M23" i="12" s="1"/>
  <c r="U14" i="12"/>
  <c r="AW14" i="12" s="1"/>
  <c r="C32" i="12"/>
  <c r="AK25" i="12"/>
  <c r="AG14" i="12"/>
  <c r="K433" i="16"/>
  <c r="L433" i="16"/>
  <c r="W434" i="16"/>
  <c r="X434" i="16"/>
  <c r="Z434" i="16"/>
  <c r="Y434" i="16"/>
  <c r="I35" i="34"/>
  <c r="B435" i="16"/>
  <c r="I7" i="18"/>
  <c r="I39" i="34"/>
  <c r="I4" i="18"/>
  <c r="AB12" i="34" l="1"/>
  <c r="E12" i="34" s="1"/>
  <c r="AF12" i="34"/>
  <c r="AE12" i="34"/>
  <c r="AB14" i="34"/>
  <c r="AF14" i="34"/>
  <c r="AE14" i="34"/>
  <c r="I21" i="19"/>
  <c r="AL17" i="12" s="1"/>
  <c r="H22" i="19"/>
  <c r="AL16" i="12"/>
  <c r="AH20" i="12" s="1"/>
  <c r="F20" i="12" s="1"/>
  <c r="C3" i="34"/>
  <c r="C51" i="34" s="1"/>
  <c r="Q102" i="13"/>
  <c r="B103" i="13"/>
  <c r="Q103" i="13" s="1"/>
  <c r="C16" i="34"/>
  <c r="C64" i="34" s="1"/>
  <c r="Q62" i="34"/>
  <c r="P62" i="34"/>
  <c r="AB8" i="34"/>
  <c r="AE8" i="34"/>
  <c r="AF8" i="34"/>
  <c r="AB7" i="34"/>
  <c r="E7" i="34" s="1"/>
  <c r="AE7" i="34"/>
  <c r="AF7" i="34"/>
  <c r="Q166" i="13"/>
  <c r="B167" i="13"/>
  <c r="Q167" i="13" s="1"/>
  <c r="C15" i="34"/>
  <c r="C63" i="34" s="1"/>
  <c r="AB13" i="34"/>
  <c r="AF13" i="34"/>
  <c r="AE13" i="34"/>
  <c r="D23" i="18"/>
  <c r="D19" i="18"/>
  <c r="H57" i="33"/>
  <c r="H55" i="33"/>
  <c r="AF3" i="18"/>
  <c r="AE3" i="18"/>
  <c r="Q122" i="13"/>
  <c r="Q50" i="13"/>
  <c r="Q83" i="13"/>
  <c r="Y35" i="18"/>
  <c r="AA34" i="18"/>
  <c r="X34" i="18"/>
  <c r="Y33" i="18"/>
  <c r="C8" i="18"/>
  <c r="C21" i="18" s="1"/>
  <c r="U28" i="18"/>
  <c r="Z28" i="18" s="1"/>
  <c r="AF2" i="18"/>
  <c r="AE2" i="18"/>
  <c r="C9" i="18"/>
  <c r="C22" i="18" s="1"/>
  <c r="Y34" i="18"/>
  <c r="Q137" i="13"/>
  <c r="Q116" i="13"/>
  <c r="Q78" i="13"/>
  <c r="Q45" i="13"/>
  <c r="Q96" i="13"/>
  <c r="B22" i="33"/>
  <c r="Q29" i="13"/>
  <c r="B36" i="33"/>
  <c r="H56" i="33"/>
  <c r="B41" i="33"/>
  <c r="B34" i="33"/>
  <c r="C7" i="18"/>
  <c r="C20" i="18" s="1"/>
  <c r="B38" i="33"/>
  <c r="U29" i="18"/>
  <c r="AA29" i="18" s="1"/>
  <c r="AQ3" i="18"/>
  <c r="AR3" i="18" s="1"/>
  <c r="S3" i="18" s="1"/>
  <c r="B51" i="33"/>
  <c r="B45" i="33"/>
  <c r="B21" i="33"/>
  <c r="AS10" i="32"/>
  <c r="G3" i="32" s="1"/>
  <c r="B37" i="33"/>
  <c r="B46" i="33"/>
  <c r="B17" i="33"/>
  <c r="B29" i="33"/>
  <c r="B15" i="33"/>
  <c r="B43" i="33"/>
  <c r="B18" i="33"/>
  <c r="B26" i="33"/>
  <c r="Q15" i="13"/>
  <c r="Q69" i="13"/>
  <c r="B40" i="33"/>
  <c r="B44" i="33"/>
  <c r="B9" i="33"/>
  <c r="B39" i="33"/>
  <c r="B8" i="33"/>
  <c r="B28" i="33"/>
  <c r="B13" i="33"/>
  <c r="Q6" i="13"/>
  <c r="B24" i="33"/>
  <c r="B49" i="33"/>
  <c r="B42" i="33"/>
  <c r="B10" i="33"/>
  <c r="B23" i="33"/>
  <c r="B11" i="33"/>
  <c r="B48" i="33"/>
  <c r="B52" i="33"/>
  <c r="B32" i="33"/>
  <c r="B19" i="33"/>
  <c r="B7" i="33"/>
  <c r="B25" i="33"/>
  <c r="B16" i="33"/>
  <c r="B53" i="33"/>
  <c r="B12" i="33"/>
  <c r="B27" i="33"/>
  <c r="B33" i="33"/>
  <c r="B31" i="33"/>
  <c r="B50" i="33"/>
  <c r="B30" i="33"/>
  <c r="B14" i="33"/>
  <c r="B35" i="33"/>
  <c r="B47" i="33"/>
  <c r="B20" i="33"/>
  <c r="H2" i="33"/>
  <c r="C3" i="33"/>
  <c r="H3" i="33"/>
  <c r="F2" i="33"/>
  <c r="M3" i="33"/>
  <c r="C2" i="33"/>
  <c r="M2" i="33"/>
  <c r="M55" i="33"/>
  <c r="K2" i="33"/>
  <c r="AT16" i="33"/>
  <c r="R2" i="33"/>
  <c r="L3" i="32"/>
  <c r="Q3" i="32"/>
  <c r="AT9" i="32"/>
  <c r="AS9" i="32" s="1"/>
  <c r="G2" i="32" s="1"/>
  <c r="O2" i="32"/>
  <c r="AL1" i="32"/>
  <c r="L2" i="32"/>
  <c r="Q56" i="32"/>
  <c r="B127" i="13"/>
  <c r="Q127" i="13" s="1"/>
  <c r="Q33" i="13"/>
  <c r="Q55" i="13"/>
  <c r="Q106" i="13"/>
  <c r="Q22" i="13"/>
  <c r="Q157" i="13"/>
  <c r="AW32" i="12"/>
  <c r="AA33" i="18"/>
  <c r="Z33" i="18"/>
  <c r="B81" i="13"/>
  <c r="Q81" i="13" s="1"/>
  <c r="AE32" i="12"/>
  <c r="D32" i="12"/>
  <c r="M5" i="12"/>
  <c r="AO5" i="12" s="1"/>
  <c r="B91" i="13"/>
  <c r="AO14" i="12"/>
  <c r="N14" i="12"/>
  <c r="AE5" i="12"/>
  <c r="D5" i="12"/>
  <c r="AB11" i="34"/>
  <c r="E11" i="34" s="1"/>
  <c r="AF11" i="34"/>
  <c r="AE11" i="34"/>
  <c r="Q39" i="13"/>
  <c r="AF51" i="12"/>
  <c r="B51" i="12" s="1"/>
  <c r="AF52" i="12"/>
  <c r="B52" i="12" s="1"/>
  <c r="AO49" i="12"/>
  <c r="K49" i="12" s="1"/>
  <c r="AO44" i="12"/>
  <c r="K44" i="12" s="1"/>
  <c r="AF53" i="12"/>
  <c r="B53" i="12" s="1"/>
  <c r="AO52" i="12"/>
  <c r="K52" i="12" s="1"/>
  <c r="AO53" i="12"/>
  <c r="K53" i="12" s="1"/>
  <c r="AF49" i="12"/>
  <c r="B49" i="12" s="1"/>
  <c r="AO41" i="12"/>
  <c r="K41" i="12" s="1"/>
  <c r="AO47" i="12"/>
  <c r="K47" i="12" s="1"/>
  <c r="AO46" i="12"/>
  <c r="K46" i="12" s="1"/>
  <c r="AO48" i="12"/>
  <c r="K48" i="12" s="1"/>
  <c r="P28" i="18"/>
  <c r="AO45" i="12"/>
  <c r="K45" i="12" s="1"/>
  <c r="AF54" i="12"/>
  <c r="B54" i="12" s="1"/>
  <c r="B31" i="13"/>
  <c r="Q31" i="13" s="1"/>
  <c r="Q30" i="13"/>
  <c r="Q20" i="13"/>
  <c r="Q152" i="13"/>
  <c r="Y15" i="32"/>
  <c r="Q94" i="13"/>
  <c r="Q28" i="18"/>
  <c r="Q107" i="13"/>
  <c r="B108" i="13"/>
  <c r="Q108" i="13" s="1"/>
  <c r="AB2" i="18"/>
  <c r="J17" i="32"/>
  <c r="Z15" i="32"/>
  <c r="Z16" i="32"/>
  <c r="AN23" i="12"/>
  <c r="AA30" i="18"/>
  <c r="AW23" i="12"/>
  <c r="AN14" i="12"/>
  <c r="Q130" i="13"/>
  <c r="B73" i="13"/>
  <c r="Q73" i="13" s="1"/>
  <c r="B54" i="13"/>
  <c r="Q54" i="13" s="1"/>
  <c r="O30" i="18"/>
  <c r="P30" i="18"/>
  <c r="Q30" i="18"/>
  <c r="B151" i="13"/>
  <c r="Q151" i="13" s="1"/>
  <c r="S30" i="18"/>
  <c r="M53" i="33"/>
  <c r="Q104" i="13"/>
  <c r="T28" i="18"/>
  <c r="Z30" i="18"/>
  <c r="C53" i="33"/>
  <c r="AX32" i="12"/>
  <c r="B88" i="13"/>
  <c r="Q88" i="13" s="1"/>
  <c r="L53" i="32"/>
  <c r="X30" i="18"/>
  <c r="W23" i="12"/>
  <c r="X23" i="12" s="1"/>
  <c r="AZ23" i="12" s="1"/>
  <c r="B43" i="13"/>
  <c r="Q43" i="13" s="1"/>
  <c r="H53" i="33"/>
  <c r="Q74" i="13"/>
  <c r="O28" i="18"/>
  <c r="AB3" i="18"/>
  <c r="X32" i="12"/>
  <c r="AY32" i="12"/>
  <c r="B57" i="13"/>
  <c r="Q57" i="13" s="1"/>
  <c r="Q56" i="13"/>
  <c r="Q23" i="13"/>
  <c r="B24" i="13"/>
  <c r="AO32" i="12"/>
  <c r="N32" i="12"/>
  <c r="D19" i="12"/>
  <c r="AF19" i="12" s="1"/>
  <c r="D28" i="12"/>
  <c r="AF28" i="12" s="1"/>
  <c r="Q16" i="13"/>
  <c r="B17" i="13"/>
  <c r="Q17" i="13" s="1"/>
  <c r="B8" i="13"/>
  <c r="Q7" i="13"/>
  <c r="B41" i="13"/>
  <c r="Q41" i="13" s="1"/>
  <c r="Q40" i="13"/>
  <c r="Q131" i="13"/>
  <c r="B132" i="13"/>
  <c r="AO23" i="12"/>
  <c r="N23" i="12"/>
  <c r="B35" i="13"/>
  <c r="Q35" i="13" s="1"/>
  <c r="Q34" i="13"/>
  <c r="Q97" i="13"/>
  <c r="B98" i="13"/>
  <c r="V14" i="12"/>
  <c r="AN32" i="12"/>
  <c r="B62" i="13"/>
  <c r="Q62" i="13" s="1"/>
  <c r="B154" i="13"/>
  <c r="Q154" i="13" s="1"/>
  <c r="B85" i="13"/>
  <c r="Q85" i="13" s="1"/>
  <c r="AA35" i="18"/>
  <c r="Z35" i="18"/>
  <c r="X35" i="18"/>
  <c r="Q141" i="13"/>
  <c r="C435" i="16"/>
  <c r="T434" i="16"/>
  <c r="V434" i="16"/>
  <c r="U434" i="16"/>
  <c r="B434" i="16"/>
  <c r="C12" i="34" l="1"/>
  <c r="C60" i="34" s="1"/>
  <c r="D60" i="34" s="1"/>
  <c r="C14" i="34"/>
  <c r="C62" i="34" s="1"/>
  <c r="D62" i="34" s="1"/>
  <c r="I22" i="19"/>
  <c r="H23" i="19"/>
  <c r="AI19" i="12"/>
  <c r="AI20" i="12" s="1"/>
  <c r="G20" i="12" s="1"/>
  <c r="AJ19" i="12"/>
  <c r="AK20" i="12" s="1"/>
  <c r="I20" i="12" s="1"/>
  <c r="AJ20" i="12"/>
  <c r="D51" i="34"/>
  <c r="Q63" i="34"/>
  <c r="D63" i="34"/>
  <c r="C8" i="34"/>
  <c r="C56" i="34" s="1"/>
  <c r="C7" i="34"/>
  <c r="C55" i="34" s="1"/>
  <c r="N5" i="12"/>
  <c r="O5" i="12" s="1"/>
  <c r="C13" i="34"/>
  <c r="C61" i="34" s="1"/>
  <c r="D61" i="34" s="1"/>
  <c r="B128" i="13"/>
  <c r="Q128" i="13" s="1"/>
  <c r="Y23" i="12"/>
  <c r="BA23" i="12" s="1"/>
  <c r="G37" i="33"/>
  <c r="D22" i="18"/>
  <c r="D21" i="18"/>
  <c r="Y29" i="18"/>
  <c r="C3" i="18"/>
  <c r="C16" i="18" s="1"/>
  <c r="Y28" i="18"/>
  <c r="D20" i="18"/>
  <c r="M56" i="33"/>
  <c r="G52" i="33"/>
  <c r="C2" i="18"/>
  <c r="C15" i="18" s="1"/>
  <c r="X28" i="18"/>
  <c r="AA28" i="18"/>
  <c r="G8" i="33"/>
  <c r="G21" i="33"/>
  <c r="G26" i="33"/>
  <c r="G28" i="33"/>
  <c r="Z29" i="18"/>
  <c r="G22" i="33"/>
  <c r="G45" i="33"/>
  <c r="G11" i="33"/>
  <c r="G34" i="33"/>
  <c r="G46" i="33"/>
  <c r="G38" i="33"/>
  <c r="G13" i="33"/>
  <c r="X29" i="18"/>
  <c r="G50" i="33"/>
  <c r="G43" i="33"/>
  <c r="G15" i="33"/>
  <c r="G32" i="33"/>
  <c r="G36" i="33"/>
  <c r="G31" i="33"/>
  <c r="G9" i="33"/>
  <c r="G47" i="33"/>
  <c r="G35" i="33"/>
  <c r="G20" i="33"/>
  <c r="G33" i="33"/>
  <c r="G23" i="33"/>
  <c r="G48" i="33"/>
  <c r="G16" i="33"/>
  <c r="G41" i="33"/>
  <c r="G12" i="33"/>
  <c r="G40" i="33"/>
  <c r="G51" i="33"/>
  <c r="G7" i="33"/>
  <c r="G19" i="33"/>
  <c r="G53" i="33"/>
  <c r="G10" i="33"/>
  <c r="G18" i="33"/>
  <c r="G17" i="33"/>
  <c r="G39" i="33"/>
  <c r="G24" i="33"/>
  <c r="G49" i="33"/>
  <c r="G14" i="33"/>
  <c r="G27" i="33"/>
  <c r="G29" i="33"/>
  <c r="G44" i="33"/>
  <c r="G25" i="33"/>
  <c r="G42" i="33"/>
  <c r="G30" i="33"/>
  <c r="M57" i="33"/>
  <c r="M58" i="33"/>
  <c r="Q2" i="32"/>
  <c r="Q58" i="32"/>
  <c r="Q55" i="32"/>
  <c r="Q53" i="32"/>
  <c r="Q57" i="32"/>
  <c r="B82" i="13"/>
  <c r="Q82" i="13" s="1"/>
  <c r="C11" i="34"/>
  <c r="C59" i="34" s="1"/>
  <c r="B92" i="13"/>
  <c r="Q92" i="13" s="1"/>
  <c r="Q91" i="13"/>
  <c r="E32" i="12"/>
  <c r="AF32" i="12"/>
  <c r="AP23" i="12"/>
  <c r="O23" i="12"/>
  <c r="E5" i="12"/>
  <c r="O14" i="12"/>
  <c r="AP14" i="12"/>
  <c r="J19" i="32"/>
  <c r="Y17" i="32"/>
  <c r="Z18" i="32"/>
  <c r="Y18" i="32"/>
  <c r="Z17" i="32"/>
  <c r="AY23" i="12"/>
  <c r="L58" i="32"/>
  <c r="I5" i="32" s="1"/>
  <c r="AL61" i="32"/>
  <c r="B25" i="13"/>
  <c r="Q24" i="13"/>
  <c r="AZ32" i="12"/>
  <c r="Y32" i="12"/>
  <c r="B133" i="13"/>
  <c r="Q132" i="13"/>
  <c r="Q8" i="13"/>
  <c r="B9" i="13"/>
  <c r="Q9" i="13" s="1"/>
  <c r="B99" i="13"/>
  <c r="Q99" i="13" s="1"/>
  <c r="Q98" i="13"/>
  <c r="AX14" i="12"/>
  <c r="W14" i="12"/>
  <c r="AP32" i="12"/>
  <c r="O32" i="12"/>
  <c r="C434" i="16"/>
  <c r="Z433" i="16"/>
  <c r="X433" i="16"/>
  <c r="Y433" i="16"/>
  <c r="W433" i="16"/>
  <c r="V433" i="16"/>
  <c r="U433" i="16"/>
  <c r="T433" i="16"/>
  <c r="K431" i="16"/>
  <c r="L431" i="16"/>
  <c r="U432" i="16"/>
  <c r="T432" i="16"/>
  <c r="V432" i="16"/>
  <c r="B433" i="16"/>
  <c r="E60" i="34" l="1"/>
  <c r="D59" i="34"/>
  <c r="I23" i="19"/>
  <c r="H24" i="19"/>
  <c r="AU14" i="12"/>
  <c r="H20" i="12"/>
  <c r="D55" i="34"/>
  <c r="AP5" i="12"/>
  <c r="Z23" i="12"/>
  <c r="BB23" i="12" s="1"/>
  <c r="AL58" i="32"/>
  <c r="L56" i="32"/>
  <c r="E5" i="32" s="1"/>
  <c r="AL59" i="32"/>
  <c r="D15" i="18"/>
  <c r="D16" i="18"/>
  <c r="AL60" i="32"/>
  <c r="L57" i="32"/>
  <c r="G5" i="32" s="1"/>
  <c r="L55" i="32"/>
  <c r="L47" i="33"/>
  <c r="L34" i="33"/>
  <c r="P12" i="32"/>
  <c r="L13" i="33"/>
  <c r="L11" i="33"/>
  <c r="P8" i="32"/>
  <c r="P7" i="32"/>
  <c r="P16" i="32"/>
  <c r="P9" i="32"/>
  <c r="P10" i="32"/>
  <c r="L52" i="33"/>
  <c r="L10" i="33"/>
  <c r="L16" i="33"/>
  <c r="L49" i="33"/>
  <c r="L35" i="33"/>
  <c r="L32" i="33"/>
  <c r="L12" i="33"/>
  <c r="P46" i="32"/>
  <c r="L36" i="33"/>
  <c r="L43" i="33"/>
  <c r="L46" i="33"/>
  <c r="L51" i="33"/>
  <c r="L29" i="33"/>
  <c r="L14" i="33"/>
  <c r="L15" i="33"/>
  <c r="L39" i="33"/>
  <c r="L33" i="33"/>
  <c r="L22" i="33"/>
  <c r="L30" i="33"/>
  <c r="L53" i="33"/>
  <c r="L23" i="33"/>
  <c r="P36" i="32"/>
  <c r="P48" i="32"/>
  <c r="P15" i="32"/>
  <c r="P11" i="32"/>
  <c r="P14" i="32"/>
  <c r="P32" i="32"/>
  <c r="P34" i="32"/>
  <c r="P38" i="32"/>
  <c r="P40" i="32"/>
  <c r="L27" i="33"/>
  <c r="L21" i="33"/>
  <c r="L7" i="33"/>
  <c r="L8" i="33"/>
  <c r="L48" i="33"/>
  <c r="L50" i="33"/>
  <c r="L31" i="33"/>
  <c r="L38" i="33"/>
  <c r="L20" i="33"/>
  <c r="L19" i="33"/>
  <c r="L18" i="33"/>
  <c r="L28" i="33"/>
  <c r="L9" i="33"/>
  <c r="P42" i="32"/>
  <c r="P44" i="32"/>
  <c r="P13" i="32"/>
  <c r="L17" i="33"/>
  <c r="L37" i="33"/>
  <c r="L41" i="33"/>
  <c r="L24" i="33"/>
  <c r="L40" i="33"/>
  <c r="L25" i="33"/>
  <c r="L26" i="33"/>
  <c r="L44" i="33"/>
  <c r="L45" i="33"/>
  <c r="L42" i="33"/>
  <c r="AQ32" i="12"/>
  <c r="P32" i="12"/>
  <c r="F5" i="12"/>
  <c r="F32" i="12"/>
  <c r="AG32" i="12"/>
  <c r="AQ5" i="12"/>
  <c r="P5" i="12"/>
  <c r="P14" i="12"/>
  <c r="AQ14" i="12"/>
  <c r="P23" i="12"/>
  <c r="AQ23" i="12"/>
  <c r="P17" i="32"/>
  <c r="J21" i="32"/>
  <c r="Z19" i="32"/>
  <c r="Y20" i="32"/>
  <c r="Y19" i="32"/>
  <c r="Z20" i="32"/>
  <c r="P18" i="32"/>
  <c r="B134" i="13"/>
  <c r="Q133" i="13"/>
  <c r="X14" i="12"/>
  <c r="AY14" i="12"/>
  <c r="Z32" i="12"/>
  <c r="BA32" i="12"/>
  <c r="B26" i="13"/>
  <c r="Q26" i="13" s="1"/>
  <c r="Q25" i="13"/>
  <c r="C433" i="16"/>
  <c r="Y432" i="16"/>
  <c r="W432" i="16"/>
  <c r="Z432" i="16"/>
  <c r="X432" i="16"/>
  <c r="B432" i="16"/>
  <c r="E59" i="34" l="1"/>
  <c r="F59" i="34" s="1"/>
  <c r="E55" i="34"/>
  <c r="AU15" i="12"/>
  <c r="I24" i="19"/>
  <c r="H25" i="19"/>
  <c r="AM20" i="12"/>
  <c r="K20" i="12" s="1"/>
  <c r="AP19" i="12"/>
  <c r="AA23" i="12"/>
  <c r="BC23" i="12" s="1"/>
  <c r="K34" i="32"/>
  <c r="K38" i="32"/>
  <c r="K8" i="32"/>
  <c r="K7" i="32"/>
  <c r="K12" i="32"/>
  <c r="K36" i="32"/>
  <c r="K46" i="32"/>
  <c r="B5" i="32"/>
  <c r="K32" i="32"/>
  <c r="K13" i="32"/>
  <c r="K44" i="32"/>
  <c r="K16" i="32"/>
  <c r="K14" i="32"/>
  <c r="K40" i="32"/>
  <c r="K42" i="32"/>
  <c r="K15" i="32"/>
  <c r="K10" i="32"/>
  <c r="K17" i="32"/>
  <c r="K18" i="32"/>
  <c r="K9" i="32"/>
  <c r="K48" i="32"/>
  <c r="K11" i="32"/>
  <c r="K19" i="32"/>
  <c r="AR23" i="12"/>
  <c r="Q23" i="12"/>
  <c r="AR5" i="12"/>
  <c r="Q5" i="12"/>
  <c r="G32" i="12"/>
  <c r="AH32" i="12"/>
  <c r="BB32" i="12"/>
  <c r="AA32" i="12"/>
  <c r="Q32" i="12"/>
  <c r="AR32" i="12"/>
  <c r="Q14" i="12"/>
  <c r="AR14" i="12"/>
  <c r="AH5" i="12"/>
  <c r="G5" i="12"/>
  <c r="K20" i="32"/>
  <c r="Z21" i="32"/>
  <c r="Y22" i="32"/>
  <c r="Z22" i="32"/>
  <c r="J23" i="32"/>
  <c r="Y21" i="32"/>
  <c r="P20" i="32"/>
  <c r="P19" i="32"/>
  <c r="B135" i="13"/>
  <c r="Q134" i="13"/>
  <c r="Y14" i="12"/>
  <c r="AZ14" i="12"/>
  <c r="C432" i="16"/>
  <c r="Y431" i="16"/>
  <c r="X431" i="16"/>
  <c r="Z431" i="16"/>
  <c r="W431" i="16"/>
  <c r="K430" i="16"/>
  <c r="L430" i="16"/>
  <c r="U431" i="16"/>
  <c r="V431" i="16"/>
  <c r="T431" i="16"/>
  <c r="U430" i="16"/>
  <c r="V430" i="16"/>
  <c r="T430" i="16"/>
  <c r="B431" i="16"/>
  <c r="I25" i="19" l="1"/>
  <c r="H26" i="19"/>
  <c r="AU16" i="12"/>
  <c r="AQ19" i="12"/>
  <c r="AP20" i="12" s="1"/>
  <c r="N20" i="12" s="1"/>
  <c r="AO20" i="12"/>
  <c r="M20" i="12" s="1"/>
  <c r="U24" i="12"/>
  <c r="V24" i="12" s="1"/>
  <c r="R23" i="12"/>
  <c r="AS23" i="12"/>
  <c r="R5" i="12"/>
  <c r="AS5" i="12"/>
  <c r="R14" i="12"/>
  <c r="AS14" i="12"/>
  <c r="U33" i="12"/>
  <c r="BC32" i="12"/>
  <c r="H32" i="12"/>
  <c r="AI32" i="12"/>
  <c r="BA14" i="12"/>
  <c r="Z14" i="12"/>
  <c r="R32" i="12"/>
  <c r="AS32" i="12"/>
  <c r="H5" i="12"/>
  <c r="AI5" i="12"/>
  <c r="P21" i="32"/>
  <c r="K21" i="32"/>
  <c r="P22" i="32"/>
  <c r="K22" i="32"/>
  <c r="J25" i="32"/>
  <c r="Z23" i="32"/>
  <c r="Z24" i="32"/>
  <c r="Y23" i="32"/>
  <c r="Y24" i="32"/>
  <c r="B136" i="13"/>
  <c r="Q136" i="13" s="1"/>
  <c r="Q135" i="13"/>
  <c r="C431" i="16"/>
  <c r="W430" i="16"/>
  <c r="Y430" i="16"/>
  <c r="Z430" i="16"/>
  <c r="X430" i="16"/>
  <c r="K429" i="16"/>
  <c r="L429" i="16"/>
  <c r="Z429" i="16"/>
  <c r="W429" i="16"/>
  <c r="X429" i="16"/>
  <c r="Y429" i="16"/>
  <c r="U429" i="16"/>
  <c r="V429" i="16"/>
  <c r="T429" i="16"/>
  <c r="K428" i="16"/>
  <c r="L428" i="16"/>
  <c r="B430" i="16"/>
  <c r="AU17" i="12" l="1"/>
  <c r="AS19" i="12" s="1"/>
  <c r="AT20" i="12" s="1"/>
  <c r="R20" i="12" s="1"/>
  <c r="I26" i="19"/>
  <c r="H27" i="19"/>
  <c r="AR19" i="12"/>
  <c r="AR20" i="12" s="1"/>
  <c r="P20" i="12" s="1"/>
  <c r="AQ20" i="12"/>
  <c r="O20" i="12" s="1"/>
  <c r="AW24" i="12"/>
  <c r="L24" i="12"/>
  <c r="AT23" i="12"/>
  <c r="AT5" i="12"/>
  <c r="L6" i="12"/>
  <c r="M6" i="12" s="1"/>
  <c r="V33" i="12"/>
  <c r="AW33" i="12"/>
  <c r="L33" i="12"/>
  <c r="AT32" i="12"/>
  <c r="AA14" i="12"/>
  <c r="BB14" i="12"/>
  <c r="W24" i="12"/>
  <c r="AX24" i="12"/>
  <c r="I32" i="12"/>
  <c r="AJ32" i="12"/>
  <c r="AT14" i="12"/>
  <c r="L15" i="12"/>
  <c r="I5" i="12"/>
  <c r="AJ5" i="12"/>
  <c r="P24" i="32"/>
  <c r="K24" i="32"/>
  <c r="Y25" i="32"/>
  <c r="Z26" i="32"/>
  <c r="J27" i="32"/>
  <c r="Y26" i="32"/>
  <c r="Z25" i="32"/>
  <c r="P23" i="32"/>
  <c r="K23" i="32"/>
  <c r="C430" i="16"/>
  <c r="K427" i="16"/>
  <c r="L427" i="16"/>
  <c r="B429" i="16"/>
  <c r="AS20" i="12" l="1"/>
  <c r="Q20" i="12" s="1"/>
  <c r="I27" i="19"/>
  <c r="H28" i="19"/>
  <c r="BD14" i="12"/>
  <c r="M24" i="12"/>
  <c r="AN24" i="12"/>
  <c r="N6" i="12"/>
  <c r="AO6" i="12"/>
  <c r="W33" i="12"/>
  <c r="AX33" i="12"/>
  <c r="X24" i="12"/>
  <c r="AY24" i="12"/>
  <c r="AN33" i="12"/>
  <c r="M33" i="12"/>
  <c r="M15" i="12"/>
  <c r="AN15" i="12"/>
  <c r="C6" i="12"/>
  <c r="AK5" i="12"/>
  <c r="C33" i="12"/>
  <c r="AK32" i="12"/>
  <c r="U15" i="12"/>
  <c r="BC14" i="12"/>
  <c r="J29" i="32"/>
  <c r="Z27" i="32"/>
  <c r="Y28" i="32"/>
  <c r="Z28" i="32"/>
  <c r="Y27" i="32"/>
  <c r="K26" i="32"/>
  <c r="P26" i="32"/>
  <c r="P25" i="32"/>
  <c r="K25" i="32"/>
  <c r="C429" i="16"/>
  <c r="W428" i="16"/>
  <c r="Z428" i="16"/>
  <c r="Y428" i="16"/>
  <c r="X428" i="16"/>
  <c r="T428" i="16"/>
  <c r="V428" i="16"/>
  <c r="U428" i="16"/>
  <c r="B428" i="16"/>
  <c r="I28" i="19" l="1"/>
  <c r="BD16" i="12" s="1"/>
  <c r="H29" i="19"/>
  <c r="BD15" i="12"/>
  <c r="AY19" i="12"/>
  <c r="AV20" i="12"/>
  <c r="T20" i="12" s="1"/>
  <c r="N24" i="12"/>
  <c r="AO24" i="12"/>
  <c r="O6" i="12"/>
  <c r="AP6" i="12"/>
  <c r="D33" i="12"/>
  <c r="AE33" i="12"/>
  <c r="X33" i="12"/>
  <c r="AY33" i="12"/>
  <c r="AO33" i="12"/>
  <c r="N33" i="12"/>
  <c r="V15" i="12"/>
  <c r="AW15" i="12"/>
  <c r="D6" i="12"/>
  <c r="Y24" i="12"/>
  <c r="AZ24" i="12"/>
  <c r="N15" i="12"/>
  <c r="AO15" i="12"/>
  <c r="K27" i="32"/>
  <c r="P27" i="32"/>
  <c r="Z30" i="32"/>
  <c r="Z29" i="32"/>
  <c r="J31" i="32"/>
  <c r="Y30" i="32"/>
  <c r="Y29" i="32"/>
  <c r="P28" i="32"/>
  <c r="K28" i="32"/>
  <c r="C428" i="16"/>
  <c r="Z427" i="16"/>
  <c r="X427" i="16"/>
  <c r="W427" i="16"/>
  <c r="Y427" i="16"/>
  <c r="K426" i="16"/>
  <c r="L426" i="16"/>
  <c r="T427" i="16"/>
  <c r="V427" i="16"/>
  <c r="U427" i="16"/>
  <c r="K425" i="16"/>
  <c r="L425" i="16"/>
  <c r="B427" i="16"/>
  <c r="I29" i="19" l="1"/>
  <c r="BD17" i="12" s="1"/>
  <c r="H30" i="19"/>
  <c r="BA19" i="12"/>
  <c r="BA20" i="12" s="1"/>
  <c r="Y20" i="12" s="1"/>
  <c r="AZ20" i="12"/>
  <c r="X20" i="12" s="1"/>
  <c r="AX20" i="12"/>
  <c r="V20" i="12" s="1"/>
  <c r="AZ19" i="12"/>
  <c r="AY20" i="12" s="1"/>
  <c r="W20" i="12" s="1"/>
  <c r="O24" i="12"/>
  <c r="AP24" i="12"/>
  <c r="P6" i="12"/>
  <c r="AQ6" i="12"/>
  <c r="O15" i="12"/>
  <c r="AP15" i="12"/>
  <c r="E6" i="12"/>
  <c r="AF6" i="12"/>
  <c r="O33" i="12"/>
  <c r="AP33" i="12"/>
  <c r="W15" i="12"/>
  <c r="AX15" i="12"/>
  <c r="Y33" i="12"/>
  <c r="AZ33" i="12"/>
  <c r="Z24" i="12"/>
  <c r="BA24" i="12"/>
  <c r="E33" i="12"/>
  <c r="AF33" i="12"/>
  <c r="Z33" i="32"/>
  <c r="Z31" i="32"/>
  <c r="Y33" i="32"/>
  <c r="Y31" i="32"/>
  <c r="J35" i="32"/>
  <c r="P29" i="32"/>
  <c r="K29" i="32"/>
  <c r="K30" i="32"/>
  <c r="P30" i="32"/>
  <c r="C427" i="16"/>
  <c r="Z426" i="16"/>
  <c r="X426" i="16"/>
  <c r="Y426" i="16"/>
  <c r="W426" i="16"/>
  <c r="V426" i="16"/>
  <c r="U426" i="16"/>
  <c r="T426" i="16"/>
  <c r="B426" i="16"/>
  <c r="I30" i="19" l="1"/>
  <c r="H31" i="19"/>
  <c r="BB20" i="12"/>
  <c r="BB19" i="12"/>
  <c r="BC20" i="12" s="1"/>
  <c r="AA20" i="12" s="1"/>
  <c r="P24" i="12"/>
  <c r="AQ24" i="12"/>
  <c r="Q6" i="12"/>
  <c r="R6" i="12" s="1"/>
  <c r="AR6" i="12"/>
  <c r="AA24" i="12"/>
  <c r="BB24" i="12"/>
  <c r="X15" i="12"/>
  <c r="AY15" i="12"/>
  <c r="P33" i="12"/>
  <c r="AQ33" i="12"/>
  <c r="P15" i="12"/>
  <c r="AQ15" i="12"/>
  <c r="AG33" i="12"/>
  <c r="F33" i="12"/>
  <c r="Z33" i="12"/>
  <c r="BA33" i="12"/>
  <c r="AG6" i="12"/>
  <c r="F6" i="12"/>
  <c r="J39" i="32"/>
  <c r="Z35" i="32"/>
  <c r="Y37" i="32"/>
  <c r="Z37" i="32"/>
  <c r="Y35" i="32"/>
  <c r="K33" i="32"/>
  <c r="P33" i="32"/>
  <c r="K31" i="32"/>
  <c r="P31" i="32"/>
  <c r="C426" i="16"/>
  <c r="Z425" i="16"/>
  <c r="X425" i="16"/>
  <c r="Y425" i="16"/>
  <c r="W425" i="16"/>
  <c r="K424" i="16"/>
  <c r="L424" i="16"/>
  <c r="U425" i="16"/>
  <c r="T425" i="16"/>
  <c r="V425" i="16"/>
  <c r="B425" i="16"/>
  <c r="AL23" i="12" l="1"/>
  <c r="I31" i="19"/>
  <c r="AL24" i="12" s="1"/>
  <c r="H32" i="19"/>
  <c r="Z20" i="12"/>
  <c r="Q24" i="12"/>
  <c r="AR24" i="12"/>
  <c r="AT6" i="12"/>
  <c r="L7" i="12"/>
  <c r="Q33" i="12"/>
  <c r="AR33" i="12"/>
  <c r="BC24" i="12"/>
  <c r="U25" i="12"/>
  <c r="G6" i="12"/>
  <c r="AH6" i="12"/>
  <c r="G33" i="12"/>
  <c r="AH33" i="12"/>
  <c r="AA33" i="12"/>
  <c r="BB33" i="12"/>
  <c r="Q15" i="12"/>
  <c r="AR15" i="12"/>
  <c r="Y15" i="12"/>
  <c r="AZ15" i="12"/>
  <c r="K35" i="32"/>
  <c r="P35" i="32"/>
  <c r="Y39" i="32"/>
  <c r="Z41" i="32"/>
  <c r="Z39" i="32"/>
  <c r="J43" i="32"/>
  <c r="Y41" i="32"/>
  <c r="P37" i="32"/>
  <c r="K37" i="32"/>
  <c r="C425" i="16"/>
  <c r="T424" i="16"/>
  <c r="V424" i="16"/>
  <c r="U424" i="16"/>
  <c r="K423" i="16"/>
  <c r="L423" i="16"/>
  <c r="X424" i="16"/>
  <c r="Z424" i="16"/>
  <c r="W424" i="16"/>
  <c r="Y424" i="16"/>
  <c r="U423" i="16"/>
  <c r="V423" i="16"/>
  <c r="T423" i="16"/>
  <c r="B424" i="16"/>
  <c r="AG28" i="12" l="1"/>
  <c r="AD29" i="12"/>
  <c r="B29" i="12" s="1"/>
  <c r="I32" i="19"/>
  <c r="H33" i="19"/>
  <c r="AF29" i="12"/>
  <c r="D29" i="12" s="1"/>
  <c r="AH28" i="12"/>
  <c r="AG29" i="12" s="1"/>
  <c r="E29" i="12" s="1"/>
  <c r="R24" i="12"/>
  <c r="AS24" i="12"/>
  <c r="M7" i="12"/>
  <c r="AN7" i="12"/>
  <c r="R15" i="12"/>
  <c r="AS15" i="12"/>
  <c r="H6" i="12"/>
  <c r="I6" i="12" s="1"/>
  <c r="AI6" i="12"/>
  <c r="R33" i="12"/>
  <c r="AS33" i="12"/>
  <c r="Z15" i="12"/>
  <c r="BA15" i="12"/>
  <c r="U34" i="12"/>
  <c r="BC33" i="12"/>
  <c r="H33" i="12"/>
  <c r="AI33" i="12"/>
  <c r="V25" i="12"/>
  <c r="AW25" i="12"/>
  <c r="P41" i="32"/>
  <c r="K41" i="32"/>
  <c r="P39" i="32"/>
  <c r="K39" i="32"/>
  <c r="Z43" i="32"/>
  <c r="Y45" i="32"/>
  <c r="Z45" i="32"/>
  <c r="J47" i="32"/>
  <c r="Y43" i="32"/>
  <c r="C424" i="16"/>
  <c r="Z423" i="16"/>
  <c r="X423" i="16"/>
  <c r="Y423" i="16"/>
  <c r="W423" i="16"/>
  <c r="K422" i="16"/>
  <c r="L422" i="16"/>
  <c r="T422" i="16"/>
  <c r="U422" i="16"/>
  <c r="V422" i="16"/>
  <c r="B423" i="16"/>
  <c r="I33" i="19" l="1"/>
  <c r="AL26" i="12" s="1"/>
  <c r="H34" i="19"/>
  <c r="AL25" i="12"/>
  <c r="L25" i="12"/>
  <c r="AT24" i="12"/>
  <c r="N7" i="12"/>
  <c r="AO7" i="12"/>
  <c r="I33" i="12"/>
  <c r="AJ33" i="12"/>
  <c r="AA15" i="12"/>
  <c r="BB15" i="12"/>
  <c r="L34" i="12"/>
  <c r="AT33" i="12"/>
  <c r="L16" i="12"/>
  <c r="AT15" i="12"/>
  <c r="AX25" i="12"/>
  <c r="W25" i="12"/>
  <c r="V34" i="12"/>
  <c r="AW34" i="12"/>
  <c r="AK6" i="12"/>
  <c r="C7" i="12"/>
  <c r="P43" i="32"/>
  <c r="K43" i="32"/>
  <c r="K45" i="32"/>
  <c r="P45" i="32"/>
  <c r="J50" i="32"/>
  <c r="Y49" i="32"/>
  <c r="Y47" i="32"/>
  <c r="Z47" i="32"/>
  <c r="Z49" i="32"/>
  <c r="C423" i="16"/>
  <c r="W422" i="16"/>
  <c r="Z422" i="16"/>
  <c r="X422" i="16"/>
  <c r="Y422" i="16"/>
  <c r="K421" i="16"/>
  <c r="L421" i="16"/>
  <c r="K419" i="16"/>
  <c r="L419" i="16"/>
  <c r="K420" i="16"/>
  <c r="L420" i="16"/>
  <c r="X421" i="16"/>
  <c r="W421" i="16"/>
  <c r="Z421" i="16"/>
  <c r="Y421" i="16"/>
  <c r="V421" i="16"/>
  <c r="U421" i="16"/>
  <c r="T421" i="16"/>
  <c r="C422" i="16"/>
  <c r="C421" i="16"/>
  <c r="Y420" i="16"/>
  <c r="W420" i="16"/>
  <c r="X420" i="16"/>
  <c r="Z420" i="16"/>
  <c r="V420" i="16"/>
  <c r="T420" i="16"/>
  <c r="U420" i="16"/>
  <c r="V419" i="16"/>
  <c r="U419" i="16"/>
  <c r="T419" i="16"/>
  <c r="C420" i="16"/>
  <c r="W419" i="16"/>
  <c r="Z419" i="16"/>
  <c r="Y419" i="16"/>
  <c r="X419" i="16"/>
  <c r="K418" i="16"/>
  <c r="L418" i="16"/>
  <c r="U418" i="16"/>
  <c r="T418" i="16"/>
  <c r="V418" i="16"/>
  <c r="L417" i="16"/>
  <c r="K417" i="16"/>
  <c r="C419" i="16"/>
  <c r="Y418" i="16"/>
  <c r="X418" i="16"/>
  <c r="Z418" i="16"/>
  <c r="W418" i="16"/>
  <c r="K416" i="16"/>
  <c r="L416" i="16"/>
  <c r="W417" i="16"/>
  <c r="Z417" i="16"/>
  <c r="Y417" i="16"/>
  <c r="X417" i="16"/>
  <c r="C418" i="16"/>
  <c r="T417" i="16"/>
  <c r="U417" i="16"/>
  <c r="V417" i="16"/>
  <c r="K415" i="16"/>
  <c r="L415" i="16"/>
  <c r="C417" i="16"/>
  <c r="Z416" i="16"/>
  <c r="W416" i="16"/>
  <c r="Y416" i="16"/>
  <c r="X416" i="16"/>
  <c r="T416" i="16"/>
  <c r="U416" i="16"/>
  <c r="V416" i="16"/>
  <c r="T415" i="16"/>
  <c r="V415" i="16"/>
  <c r="U415" i="16"/>
  <c r="C416" i="16"/>
  <c r="W415" i="16"/>
  <c r="Z415" i="16"/>
  <c r="Y415" i="16"/>
  <c r="X415" i="16"/>
  <c r="K414" i="16"/>
  <c r="L414" i="16"/>
  <c r="K412" i="16"/>
  <c r="L412" i="16"/>
  <c r="B421" i="16"/>
  <c r="B420" i="16"/>
  <c r="B417" i="16"/>
  <c r="B418" i="16"/>
  <c r="B415" i="16"/>
  <c r="B419" i="16"/>
  <c r="B422" i="16"/>
  <c r="B416" i="16"/>
  <c r="I34" i="19" l="1"/>
  <c r="H35" i="19"/>
  <c r="AJ29" i="12"/>
  <c r="H29" i="12" s="1"/>
  <c r="AJ28" i="12"/>
  <c r="AK29" i="12" s="1"/>
  <c r="I29" i="12" s="1"/>
  <c r="AH29" i="12"/>
  <c r="AI28" i="12"/>
  <c r="AI29" i="12" s="1"/>
  <c r="G29" i="12" s="1"/>
  <c r="M25" i="12"/>
  <c r="AN25" i="12"/>
  <c r="O7" i="12"/>
  <c r="AP7" i="12"/>
  <c r="AN34" i="12"/>
  <c r="M34" i="12"/>
  <c r="C34" i="12"/>
  <c r="AK33" i="12"/>
  <c r="X25" i="12"/>
  <c r="AY25" i="12"/>
  <c r="W34" i="12"/>
  <c r="AX34" i="12"/>
  <c r="M16" i="12"/>
  <c r="AN16" i="12"/>
  <c r="U16" i="12"/>
  <c r="BC15" i="12"/>
  <c r="D7" i="12"/>
  <c r="AE7" i="12"/>
  <c r="Y51" i="32"/>
  <c r="J52" i="32"/>
  <c r="Y50" i="32"/>
  <c r="Z51" i="32"/>
  <c r="Z50" i="32"/>
  <c r="K49" i="32"/>
  <c r="P49" i="32"/>
  <c r="K47" i="32"/>
  <c r="P47" i="32"/>
  <c r="C415" i="16"/>
  <c r="Y414" i="16"/>
  <c r="W414" i="16"/>
  <c r="X414" i="16"/>
  <c r="Z414" i="16"/>
  <c r="K413" i="16"/>
  <c r="L413" i="16"/>
  <c r="U414" i="16"/>
  <c r="T414" i="16"/>
  <c r="V414" i="16"/>
  <c r="B414" i="16"/>
  <c r="I35" i="19" l="1"/>
  <c r="AU23" i="12" s="1"/>
  <c r="H36" i="19"/>
  <c r="F29" i="12"/>
  <c r="N25" i="12"/>
  <c r="AO25" i="12"/>
  <c r="P7" i="12"/>
  <c r="AQ7" i="12"/>
  <c r="V16" i="12"/>
  <c r="AW16" i="12"/>
  <c r="X34" i="12"/>
  <c r="AY34" i="12"/>
  <c r="E7" i="12"/>
  <c r="AF7" i="12"/>
  <c r="N16" i="12"/>
  <c r="AO16" i="12"/>
  <c r="AZ25" i="12"/>
  <c r="Y25" i="12"/>
  <c r="D34" i="12"/>
  <c r="AE34" i="12"/>
  <c r="N34" i="12"/>
  <c r="AO34" i="12"/>
  <c r="P51" i="32"/>
  <c r="K51" i="32"/>
  <c r="Y53" i="32"/>
  <c r="Z53" i="32"/>
  <c r="Z52" i="32"/>
  <c r="Y52" i="32"/>
  <c r="K50" i="32"/>
  <c r="P50" i="32"/>
  <c r="C414" i="16"/>
  <c r="U413" i="16"/>
  <c r="T413" i="16"/>
  <c r="V413" i="16"/>
  <c r="W413" i="16"/>
  <c r="Y413" i="16"/>
  <c r="X413" i="16"/>
  <c r="Z413" i="16"/>
  <c r="K411" i="16"/>
  <c r="L411" i="16"/>
  <c r="U412" i="16"/>
  <c r="V412" i="16"/>
  <c r="T412" i="16"/>
  <c r="W412" i="16"/>
  <c r="Z412" i="16"/>
  <c r="Y412" i="16"/>
  <c r="X412" i="16"/>
  <c r="C413" i="16"/>
  <c r="U411" i="16"/>
  <c r="V411" i="16"/>
  <c r="T411" i="16"/>
  <c r="K410" i="16"/>
  <c r="L410" i="16"/>
  <c r="C412" i="16"/>
  <c r="W411" i="16"/>
  <c r="Y411" i="16"/>
  <c r="Z411" i="16"/>
  <c r="X411" i="16"/>
  <c r="V410" i="16"/>
  <c r="T410" i="16"/>
  <c r="U410" i="16"/>
  <c r="C411" i="16"/>
  <c r="X410" i="16"/>
  <c r="Z410" i="16"/>
  <c r="Y410" i="16"/>
  <c r="W410" i="16"/>
  <c r="K409" i="16"/>
  <c r="L409" i="16"/>
  <c r="V409" i="16"/>
  <c r="T409" i="16"/>
  <c r="U409" i="16"/>
  <c r="Z409" i="16"/>
  <c r="W409" i="16"/>
  <c r="X409" i="16"/>
  <c r="Y409" i="16"/>
  <c r="C410" i="16"/>
  <c r="K408" i="16"/>
  <c r="L408" i="16"/>
  <c r="V408" i="16"/>
  <c r="U408" i="16"/>
  <c r="T408" i="16"/>
  <c r="Y408" i="16"/>
  <c r="W408" i="16"/>
  <c r="X408" i="16"/>
  <c r="Z408" i="16"/>
  <c r="C409" i="16"/>
  <c r="L407" i="16"/>
  <c r="K407" i="16"/>
  <c r="V407" i="16"/>
  <c r="T407" i="16"/>
  <c r="U407" i="16"/>
  <c r="K406" i="16"/>
  <c r="L406" i="16"/>
  <c r="B413" i="16"/>
  <c r="B410" i="16"/>
  <c r="B408" i="16"/>
  <c r="B409" i="16"/>
  <c r="B411" i="16"/>
  <c r="B412" i="16"/>
  <c r="AP28" i="12" l="1"/>
  <c r="AM29" i="12"/>
  <c r="K29" i="12" s="1"/>
  <c r="I36" i="19"/>
  <c r="AU24" i="12" s="1"/>
  <c r="H37" i="19"/>
  <c r="O25" i="12"/>
  <c r="AP25" i="12"/>
  <c r="Q7" i="12"/>
  <c r="AR7" i="12"/>
  <c r="W16" i="12"/>
  <c r="AX16" i="12"/>
  <c r="E34" i="12"/>
  <c r="AF34" i="12"/>
  <c r="O34" i="12"/>
  <c r="AP34" i="12"/>
  <c r="F7" i="12"/>
  <c r="AG7" i="12"/>
  <c r="Y34" i="12"/>
  <c r="AZ34" i="12"/>
  <c r="O16" i="12"/>
  <c r="AP16" i="12"/>
  <c r="Z25" i="12"/>
  <c r="AA25" i="12" s="1"/>
  <c r="BA25" i="12"/>
  <c r="P52" i="32"/>
  <c r="K52" i="32"/>
  <c r="P53" i="32"/>
  <c r="K53" i="32"/>
  <c r="C408" i="16"/>
  <c r="Y407" i="16"/>
  <c r="Z407" i="16"/>
  <c r="W407" i="16"/>
  <c r="X407" i="16"/>
  <c r="U406" i="16"/>
  <c r="V406" i="16"/>
  <c r="T406" i="16"/>
  <c r="Y406" i="16"/>
  <c r="X406" i="16"/>
  <c r="Z406" i="16"/>
  <c r="K404" i="16"/>
  <c r="L404" i="16"/>
  <c r="C407" i="16"/>
  <c r="K405" i="16"/>
  <c r="L405" i="16"/>
  <c r="Y405" i="16"/>
  <c r="X405" i="16"/>
  <c r="Z405" i="16"/>
  <c r="K74" i="21"/>
  <c r="U405" i="16"/>
  <c r="V405" i="16"/>
  <c r="T405" i="16"/>
  <c r="C406" i="16"/>
  <c r="Z404" i="16"/>
  <c r="X404" i="16"/>
  <c r="W404" i="16"/>
  <c r="Y404" i="16"/>
  <c r="K403" i="16"/>
  <c r="L403" i="16"/>
  <c r="V404" i="16"/>
  <c r="T404" i="16"/>
  <c r="U404" i="16"/>
  <c r="C405" i="16"/>
  <c r="C404" i="16"/>
  <c r="W403" i="16"/>
  <c r="Z403" i="16"/>
  <c r="X403" i="16"/>
  <c r="Y403" i="16"/>
  <c r="V403" i="16"/>
  <c r="T403" i="16"/>
  <c r="U403" i="16"/>
  <c r="K402" i="16"/>
  <c r="L402" i="16"/>
  <c r="C403" i="16"/>
  <c r="X402" i="16"/>
  <c r="Y402" i="16"/>
  <c r="Z402" i="16"/>
  <c r="W402" i="16"/>
  <c r="K401" i="16"/>
  <c r="L401" i="16"/>
  <c r="T402" i="16"/>
  <c r="V402" i="16"/>
  <c r="U402" i="16"/>
  <c r="K399" i="16"/>
  <c r="L399" i="16"/>
  <c r="U401" i="16"/>
  <c r="T401" i="16"/>
  <c r="V401" i="16"/>
  <c r="K400" i="16"/>
  <c r="L400" i="16"/>
  <c r="B403" i="16"/>
  <c r="B407" i="16"/>
  <c r="B402" i="16"/>
  <c r="B404" i="16"/>
  <c r="B405" i="16"/>
  <c r="B406" i="16"/>
  <c r="I37" i="19" l="1"/>
  <c r="AU25" i="12" s="1"/>
  <c r="H38" i="19"/>
  <c r="AQ28" i="12"/>
  <c r="AP29" i="12" s="1"/>
  <c r="N29" i="12" s="1"/>
  <c r="AO29" i="12"/>
  <c r="M29" i="12" s="1"/>
  <c r="P25" i="12"/>
  <c r="AQ25" i="12"/>
  <c r="R7" i="12"/>
  <c r="AS7" i="12"/>
  <c r="P16" i="12"/>
  <c r="AQ16" i="12"/>
  <c r="G7" i="12"/>
  <c r="AH7" i="12"/>
  <c r="X16" i="12"/>
  <c r="AY16" i="12"/>
  <c r="U26" i="12"/>
  <c r="BC25" i="12"/>
  <c r="Z34" i="12"/>
  <c r="BA34" i="12"/>
  <c r="P34" i="12"/>
  <c r="AQ34" i="12"/>
  <c r="F34" i="12"/>
  <c r="AG34" i="12"/>
  <c r="C402" i="16"/>
  <c r="X401" i="16"/>
  <c r="W401" i="16"/>
  <c r="Z401" i="16"/>
  <c r="Y401" i="16"/>
  <c r="T400" i="16"/>
  <c r="U400" i="16"/>
  <c r="V400" i="16"/>
  <c r="C401" i="16"/>
  <c r="Y400" i="16"/>
  <c r="W400" i="16"/>
  <c r="X400" i="16"/>
  <c r="Z400" i="16"/>
  <c r="U399" i="16"/>
  <c r="T399" i="16"/>
  <c r="V399" i="16"/>
  <c r="K398" i="16"/>
  <c r="L398" i="16"/>
  <c r="X399" i="16"/>
  <c r="Y399" i="16"/>
  <c r="Z399" i="16"/>
  <c r="C400" i="16"/>
  <c r="K397" i="16"/>
  <c r="L397" i="16"/>
  <c r="V398" i="16"/>
  <c r="T398" i="16"/>
  <c r="U398" i="16"/>
  <c r="C399" i="16"/>
  <c r="Z398" i="16"/>
  <c r="Y398" i="16"/>
  <c r="K73" i="21"/>
  <c r="X398" i="16"/>
  <c r="K396" i="16"/>
  <c r="L396" i="16"/>
  <c r="C398" i="16"/>
  <c r="Z397" i="16"/>
  <c r="Y397" i="16"/>
  <c r="W397" i="16"/>
  <c r="X397" i="16"/>
  <c r="U397" i="16"/>
  <c r="T397" i="16"/>
  <c r="V397" i="16"/>
  <c r="L395" i="16"/>
  <c r="K395" i="16"/>
  <c r="C397" i="16"/>
  <c r="Z396" i="16"/>
  <c r="X396" i="16"/>
  <c r="W396" i="16"/>
  <c r="Y396" i="16"/>
  <c r="T396" i="16"/>
  <c r="V396" i="16"/>
  <c r="U396" i="16"/>
  <c r="K393" i="16"/>
  <c r="L393" i="16"/>
  <c r="K394" i="16"/>
  <c r="L394" i="16"/>
  <c r="U395" i="16"/>
  <c r="T395" i="16"/>
  <c r="V395" i="16"/>
  <c r="B396" i="16"/>
  <c r="B397" i="16"/>
  <c r="B398" i="16"/>
  <c r="B399" i="16"/>
  <c r="B400" i="16"/>
  <c r="B401" i="16"/>
  <c r="I38" i="19" l="1"/>
  <c r="AU26" i="12" s="1"/>
  <c r="AS29" i="12" s="1"/>
  <c r="Q29" i="12" s="1"/>
  <c r="H39" i="19"/>
  <c r="AQ29" i="12"/>
  <c r="O29" i="12" s="1"/>
  <c r="AR28" i="12"/>
  <c r="AR29" i="12" s="1"/>
  <c r="P29" i="12" s="1"/>
  <c r="Q25" i="12"/>
  <c r="AR25" i="12"/>
  <c r="AT7" i="12"/>
  <c r="L8" i="12"/>
  <c r="AZ16" i="12"/>
  <c r="Y16" i="12"/>
  <c r="Q34" i="12"/>
  <c r="AR34" i="12"/>
  <c r="V26" i="12"/>
  <c r="AW26" i="12"/>
  <c r="Q16" i="12"/>
  <c r="AR16" i="12"/>
  <c r="G34" i="12"/>
  <c r="AH34" i="12"/>
  <c r="AA34" i="12"/>
  <c r="BB34" i="12"/>
  <c r="H7" i="12"/>
  <c r="AI7" i="12"/>
  <c r="C396" i="16"/>
  <c r="Y395" i="16"/>
  <c r="X395" i="16"/>
  <c r="Z395" i="16"/>
  <c r="C395" i="16"/>
  <c r="T394" i="16"/>
  <c r="U394" i="16"/>
  <c r="V394" i="16"/>
  <c r="X394" i="16"/>
  <c r="Y394" i="16"/>
  <c r="Z394" i="16"/>
  <c r="K72" i="21"/>
  <c r="K391" i="16"/>
  <c r="L391" i="16"/>
  <c r="K392" i="16"/>
  <c r="L392" i="16"/>
  <c r="B394" i="16"/>
  <c r="B395" i="16"/>
  <c r="I39" i="19" l="1"/>
  <c r="H40" i="19"/>
  <c r="AS28" i="12"/>
  <c r="AT29" i="12" s="1"/>
  <c r="R29" i="12" s="1"/>
  <c r="AS25" i="12"/>
  <c r="R25" i="12"/>
  <c r="M8" i="12"/>
  <c r="AN8" i="12"/>
  <c r="Z16" i="12"/>
  <c r="BA16" i="12"/>
  <c r="H34" i="12"/>
  <c r="AI34" i="12"/>
  <c r="W26" i="12"/>
  <c r="AX26" i="12"/>
  <c r="I7" i="12"/>
  <c r="AJ7" i="12"/>
  <c r="U35" i="12"/>
  <c r="BC34" i="12"/>
  <c r="R16" i="12"/>
  <c r="AS16" i="12"/>
  <c r="R34" i="12"/>
  <c r="AS34" i="12"/>
  <c r="C394" i="16"/>
  <c r="W393" i="16"/>
  <c r="X393" i="16"/>
  <c r="Y393" i="16"/>
  <c r="Z393" i="16"/>
  <c r="T393" i="16"/>
  <c r="U393" i="16"/>
  <c r="V393" i="16"/>
  <c r="K390" i="16"/>
  <c r="L390" i="16"/>
  <c r="C393" i="16"/>
  <c r="W392" i="16"/>
  <c r="Y392" i="16"/>
  <c r="X392" i="16"/>
  <c r="Z392" i="16"/>
  <c r="U392" i="16"/>
  <c r="T392" i="16"/>
  <c r="V392" i="16"/>
  <c r="V391" i="16"/>
  <c r="T391" i="16"/>
  <c r="U391" i="16"/>
  <c r="C392" i="16"/>
  <c r="X391" i="16"/>
  <c r="Y391" i="16"/>
  <c r="W391" i="16"/>
  <c r="Z391" i="16"/>
  <c r="T390" i="16"/>
  <c r="U390" i="16"/>
  <c r="V390" i="16"/>
  <c r="Z390" i="16"/>
  <c r="Y390" i="16"/>
  <c r="X390" i="16"/>
  <c r="W390" i="16"/>
  <c r="C391" i="16"/>
  <c r="K389" i="16"/>
  <c r="L389" i="16"/>
  <c r="K387" i="16"/>
  <c r="L387" i="16"/>
  <c r="T389" i="16"/>
  <c r="U389" i="16"/>
  <c r="V389" i="16"/>
  <c r="B393" i="16"/>
  <c r="B391" i="16"/>
  <c r="B390" i="16"/>
  <c r="B392" i="16"/>
  <c r="I40" i="19" l="1"/>
  <c r="BD24" i="12" s="1"/>
  <c r="H41" i="19"/>
  <c r="BD23" i="12"/>
  <c r="L26" i="12"/>
  <c r="AT25" i="12"/>
  <c r="N8" i="12"/>
  <c r="AO8" i="12"/>
  <c r="L17" i="12"/>
  <c r="AT16" i="12"/>
  <c r="C8" i="12"/>
  <c r="AK7" i="12"/>
  <c r="I34" i="12"/>
  <c r="AJ34" i="12"/>
  <c r="L35" i="12"/>
  <c r="AT34" i="12"/>
  <c r="V35" i="12"/>
  <c r="AW35" i="12"/>
  <c r="X26" i="12"/>
  <c r="AY26" i="12"/>
  <c r="AA16" i="12"/>
  <c r="BB16" i="12"/>
  <c r="C390" i="16"/>
  <c r="Y389" i="16"/>
  <c r="Z389" i="16"/>
  <c r="W389" i="16"/>
  <c r="X389" i="16"/>
  <c r="K388" i="16"/>
  <c r="L388" i="16"/>
  <c r="U388" i="16"/>
  <c r="V388" i="16"/>
  <c r="T388" i="16"/>
  <c r="W388" i="16"/>
  <c r="Z388" i="16"/>
  <c r="X388" i="16"/>
  <c r="Y388" i="16"/>
  <c r="C389" i="16"/>
  <c r="K385" i="16"/>
  <c r="L385" i="16"/>
  <c r="H382" i="16"/>
  <c r="AD45" i="34" s="1"/>
  <c r="E45" i="34" s="1"/>
  <c r="E93" i="34" s="1"/>
  <c r="F93" i="34" s="1"/>
  <c r="C388" i="16"/>
  <c r="K386" i="16"/>
  <c r="L386" i="16"/>
  <c r="X387" i="16"/>
  <c r="Y387" i="16"/>
  <c r="W387" i="16"/>
  <c r="Z387" i="16"/>
  <c r="T387" i="16"/>
  <c r="U387" i="16"/>
  <c r="V387" i="16"/>
  <c r="T386" i="16"/>
  <c r="U386" i="16"/>
  <c r="V386" i="16"/>
  <c r="C387" i="16"/>
  <c r="Y386" i="16"/>
  <c r="W386" i="16"/>
  <c r="X386" i="16"/>
  <c r="Z386" i="16"/>
  <c r="C386" i="16"/>
  <c r="X385" i="16"/>
  <c r="Y385" i="16"/>
  <c r="Z385" i="16"/>
  <c r="W385" i="16"/>
  <c r="R382" i="16"/>
  <c r="O382" i="16"/>
  <c r="N382" i="16"/>
  <c r="P382" i="16"/>
  <c r="Q382" i="16"/>
  <c r="S382" i="16"/>
  <c r="K384" i="16"/>
  <c r="L384" i="16"/>
  <c r="T385" i="16"/>
  <c r="V385" i="16"/>
  <c r="U385" i="16"/>
  <c r="N45" i="34"/>
  <c r="K45" i="34"/>
  <c r="B386" i="16"/>
  <c r="O45" i="34"/>
  <c r="B388" i="16"/>
  <c r="B389" i="16"/>
  <c r="L45" i="34"/>
  <c r="M45" i="34"/>
  <c r="B385" i="16"/>
  <c r="J45" i="34"/>
  <c r="B387" i="16"/>
  <c r="I41" i="19" l="1"/>
  <c r="H42" i="19"/>
  <c r="AZ28" i="12"/>
  <c r="AY29" i="12" s="1"/>
  <c r="W29" i="12" s="1"/>
  <c r="AX29" i="12"/>
  <c r="V29" i="12" s="1"/>
  <c r="AV29" i="12"/>
  <c r="T29" i="12" s="1"/>
  <c r="AY28" i="12"/>
  <c r="L93" i="34"/>
  <c r="O93" i="34"/>
  <c r="M93" i="34"/>
  <c r="N93" i="34"/>
  <c r="M26" i="12"/>
  <c r="AN26" i="12"/>
  <c r="O8" i="12"/>
  <c r="AP8" i="12"/>
  <c r="Y26" i="12"/>
  <c r="AZ26" i="12"/>
  <c r="M35" i="12"/>
  <c r="AN35" i="12"/>
  <c r="M17" i="12"/>
  <c r="AN17" i="12"/>
  <c r="U17" i="12"/>
  <c r="BC16" i="12"/>
  <c r="W35" i="12"/>
  <c r="AX35" i="12"/>
  <c r="C35" i="12"/>
  <c r="AK34" i="12"/>
  <c r="D8" i="12"/>
  <c r="AE8" i="12"/>
  <c r="C385" i="16"/>
  <c r="K383" i="16"/>
  <c r="L383" i="16"/>
  <c r="U384" i="16"/>
  <c r="T384" i="16"/>
  <c r="V384" i="16"/>
  <c r="M382" i="16"/>
  <c r="Y384" i="16"/>
  <c r="Z384" i="16"/>
  <c r="X384" i="16"/>
  <c r="W384" i="16"/>
  <c r="K382" i="16"/>
  <c r="L382" i="16"/>
  <c r="U383" i="16"/>
  <c r="V383" i="16"/>
  <c r="T383" i="16"/>
  <c r="C384" i="16"/>
  <c r="Y383" i="16"/>
  <c r="X383" i="16"/>
  <c r="Z383" i="16"/>
  <c r="W383" i="16"/>
  <c r="K380" i="16"/>
  <c r="L380" i="16"/>
  <c r="C383" i="16"/>
  <c r="Z382" i="16"/>
  <c r="W382" i="16"/>
  <c r="X382" i="16"/>
  <c r="Y382" i="16"/>
  <c r="K381" i="16"/>
  <c r="L381" i="16"/>
  <c r="V382" i="16"/>
  <c r="T382" i="16"/>
  <c r="U382" i="16"/>
  <c r="C382" i="16"/>
  <c r="V381" i="16"/>
  <c r="T381" i="16"/>
  <c r="U381" i="16"/>
  <c r="Y381" i="16"/>
  <c r="X381" i="16"/>
  <c r="Z381" i="16"/>
  <c r="W381" i="16"/>
  <c r="C381" i="16"/>
  <c r="K379" i="16"/>
  <c r="L379" i="16"/>
  <c r="V380" i="16"/>
  <c r="T380" i="16"/>
  <c r="U380" i="16"/>
  <c r="Z380" i="16"/>
  <c r="W380" i="16"/>
  <c r="X380" i="16"/>
  <c r="Y380" i="16"/>
  <c r="K378" i="16"/>
  <c r="L378" i="16"/>
  <c r="U379" i="16"/>
  <c r="V379" i="16"/>
  <c r="T379" i="16"/>
  <c r="C380" i="16"/>
  <c r="Y379" i="16"/>
  <c r="X379" i="16"/>
  <c r="Z379" i="16"/>
  <c r="W379" i="16"/>
  <c r="Z378" i="16"/>
  <c r="W378" i="16"/>
  <c r="X378" i="16"/>
  <c r="Y378" i="16"/>
  <c r="U378" i="16"/>
  <c r="V378" i="16"/>
  <c r="T378" i="16"/>
  <c r="C379" i="16"/>
  <c r="K377" i="16"/>
  <c r="L377" i="16"/>
  <c r="U377" i="16"/>
  <c r="T377" i="16"/>
  <c r="V377" i="16"/>
  <c r="K376" i="16"/>
  <c r="L376" i="16"/>
  <c r="Z377" i="16"/>
  <c r="X377" i="16"/>
  <c r="Y377" i="16"/>
  <c r="W377" i="16"/>
  <c r="B381" i="16"/>
  <c r="B379" i="16"/>
  <c r="B378" i="16"/>
  <c r="B380" i="16"/>
  <c r="B384" i="16"/>
  <c r="B382" i="16"/>
  <c r="I45" i="34"/>
  <c r="B383" i="16"/>
  <c r="I42" i="19" l="1"/>
  <c r="BD26" i="12" s="1"/>
  <c r="BB29" i="12" s="1"/>
  <c r="Z29" i="12" s="1"/>
  <c r="H43" i="19"/>
  <c r="BD25" i="12"/>
  <c r="N26" i="12"/>
  <c r="AO26" i="12"/>
  <c r="P8" i="12"/>
  <c r="AQ8" i="12"/>
  <c r="T33" i="12"/>
  <c r="T34" i="12" s="1"/>
  <c r="T35" i="12" s="1"/>
  <c r="D35" i="12"/>
  <c r="AE35" i="12"/>
  <c r="V17" i="12"/>
  <c r="AW17" i="12"/>
  <c r="N17" i="12"/>
  <c r="AO17" i="12"/>
  <c r="BA26" i="12"/>
  <c r="Z26" i="12"/>
  <c r="AF8" i="12"/>
  <c r="E8" i="12"/>
  <c r="AY35" i="12"/>
  <c r="X35" i="12"/>
  <c r="N35" i="12"/>
  <c r="AO35" i="12"/>
  <c r="C378" i="16"/>
  <c r="K375" i="16"/>
  <c r="L375" i="16"/>
  <c r="C377" i="16"/>
  <c r="Y376" i="16"/>
  <c r="W376" i="16"/>
  <c r="Z376" i="16"/>
  <c r="X376" i="16"/>
  <c r="V376" i="16"/>
  <c r="T376" i="16"/>
  <c r="U376" i="16"/>
  <c r="C376" i="16"/>
  <c r="K374" i="16"/>
  <c r="L374" i="16"/>
  <c r="X375" i="16"/>
  <c r="Y375" i="16"/>
  <c r="W375" i="16"/>
  <c r="Z375" i="16"/>
  <c r="V375" i="16"/>
  <c r="T375" i="16"/>
  <c r="U375" i="16"/>
  <c r="V374" i="16"/>
  <c r="T374" i="16"/>
  <c r="U374" i="16"/>
  <c r="K373" i="16"/>
  <c r="L373" i="16"/>
  <c r="Z374" i="16"/>
  <c r="W374" i="16"/>
  <c r="X374" i="16"/>
  <c r="Y374" i="16"/>
  <c r="K371" i="16"/>
  <c r="L371" i="16"/>
  <c r="K372" i="16"/>
  <c r="L372" i="16"/>
  <c r="B375" i="16"/>
  <c r="B376" i="16"/>
  <c r="B374" i="16"/>
  <c r="B377" i="16"/>
  <c r="I43" i="19" l="1"/>
  <c r="AL32" i="12" s="1"/>
  <c r="H44" i="19"/>
  <c r="BB28" i="12"/>
  <c r="BC29" i="12" s="1"/>
  <c r="AA29" i="12" s="1"/>
  <c r="BA28" i="12"/>
  <c r="BA29" i="12" s="1"/>
  <c r="Y29" i="12" s="1"/>
  <c r="AZ29" i="12"/>
  <c r="O26" i="12"/>
  <c r="AP26" i="12"/>
  <c r="AR8" i="12"/>
  <c r="Q8" i="12"/>
  <c r="T32" i="12"/>
  <c r="W17" i="12"/>
  <c r="AX17" i="12"/>
  <c r="Y35" i="12"/>
  <c r="AZ35" i="12"/>
  <c r="AA26" i="12"/>
  <c r="BB26" i="12"/>
  <c r="O35" i="12"/>
  <c r="AP35" i="12"/>
  <c r="O17" i="12"/>
  <c r="AP17" i="12"/>
  <c r="E35" i="12"/>
  <c r="AF35" i="12"/>
  <c r="F8" i="12"/>
  <c r="AG8" i="12"/>
  <c r="C374" i="16"/>
  <c r="X373" i="16"/>
  <c r="Z373" i="16"/>
  <c r="Y373" i="16"/>
  <c r="W373" i="16"/>
  <c r="U373" i="16"/>
  <c r="T373" i="16"/>
  <c r="V373" i="16"/>
  <c r="C373" i="16"/>
  <c r="Y372" i="16"/>
  <c r="Z372" i="16"/>
  <c r="W372" i="16"/>
  <c r="X372" i="16"/>
  <c r="U372" i="16"/>
  <c r="V372" i="16"/>
  <c r="T372" i="16"/>
  <c r="U371" i="16"/>
  <c r="T371" i="16"/>
  <c r="V371" i="16"/>
  <c r="C372" i="16"/>
  <c r="Y371" i="16"/>
  <c r="Z371" i="16"/>
  <c r="W371" i="16"/>
  <c r="X371" i="16"/>
  <c r="K370" i="16"/>
  <c r="L370" i="16"/>
  <c r="K369" i="16"/>
  <c r="L369" i="16"/>
  <c r="X370" i="16"/>
  <c r="Y370" i="16"/>
  <c r="W370" i="16"/>
  <c r="Z370" i="16"/>
  <c r="V370" i="16"/>
  <c r="U370" i="16"/>
  <c r="T370" i="16"/>
  <c r="B371" i="16"/>
  <c r="B373" i="16"/>
  <c r="B372" i="16"/>
  <c r="AG37" i="12" l="1"/>
  <c r="AD38" i="12"/>
  <c r="B38" i="12" s="1"/>
  <c r="I44" i="19"/>
  <c r="AL33" i="12" s="1"/>
  <c r="H45" i="19"/>
  <c r="X29" i="12"/>
  <c r="P26" i="12"/>
  <c r="AQ26" i="12"/>
  <c r="R8" i="12"/>
  <c r="AS8" i="12"/>
  <c r="U27" i="12"/>
  <c r="BC26" i="12"/>
  <c r="P17" i="12"/>
  <c r="AQ17" i="12"/>
  <c r="P35" i="12"/>
  <c r="AQ35" i="12"/>
  <c r="Z35" i="12"/>
  <c r="BA35" i="12"/>
  <c r="AG35" i="12"/>
  <c r="F35" i="12"/>
  <c r="X17" i="12"/>
  <c r="AY17" i="12"/>
  <c r="AH8" i="12"/>
  <c r="G8" i="12"/>
  <c r="C371" i="16"/>
  <c r="T369" i="16"/>
  <c r="U369" i="16"/>
  <c r="V369" i="16"/>
  <c r="C370" i="16"/>
  <c r="K368" i="16"/>
  <c r="L368" i="16"/>
  <c r="Y369" i="16"/>
  <c r="Z369" i="16"/>
  <c r="X369" i="16"/>
  <c r="W369" i="16"/>
  <c r="K367" i="16"/>
  <c r="L367" i="16"/>
  <c r="U368" i="16"/>
  <c r="V368" i="16"/>
  <c r="T368" i="16"/>
  <c r="B370" i="16"/>
  <c r="B369" i="16"/>
  <c r="AH37" i="12" l="1"/>
  <c r="AG38" i="12" s="1"/>
  <c r="E38" i="12" s="1"/>
  <c r="AF38" i="12"/>
  <c r="D38" i="12" s="1"/>
  <c r="I45" i="19"/>
  <c r="H46" i="19"/>
  <c r="Q26" i="12"/>
  <c r="AR26" i="12"/>
  <c r="AT8" i="12"/>
  <c r="L9" i="12"/>
  <c r="Q35" i="12"/>
  <c r="AR35" i="12"/>
  <c r="V27" i="12"/>
  <c r="AW27" i="12"/>
  <c r="Y17" i="12"/>
  <c r="AZ17" i="12"/>
  <c r="AA35" i="12"/>
  <c r="BB35" i="12"/>
  <c r="Q17" i="12"/>
  <c r="AR17" i="12"/>
  <c r="AI8" i="12"/>
  <c r="H8" i="12"/>
  <c r="I8" i="12" s="1"/>
  <c r="G35" i="12"/>
  <c r="AH35" i="12"/>
  <c r="C369" i="16"/>
  <c r="Y368" i="16"/>
  <c r="W368" i="16"/>
  <c r="Z368" i="16"/>
  <c r="X368" i="16"/>
  <c r="C368" i="16"/>
  <c r="W367" i="16"/>
  <c r="X367" i="16"/>
  <c r="Y367" i="16"/>
  <c r="Z367" i="16"/>
  <c r="L366" i="16"/>
  <c r="K366" i="16"/>
  <c r="V367" i="16"/>
  <c r="U367" i="16"/>
  <c r="T367" i="16"/>
  <c r="K365" i="16"/>
  <c r="L365" i="16"/>
  <c r="B367" i="16"/>
  <c r="B368" i="16"/>
  <c r="I46" i="19" l="1"/>
  <c r="AL35" i="12" s="1"/>
  <c r="H47" i="19"/>
  <c r="AL34" i="12"/>
  <c r="R26" i="12"/>
  <c r="AS26" i="12"/>
  <c r="M9" i="12"/>
  <c r="AN9" i="12"/>
  <c r="AS17" i="12"/>
  <c r="R17" i="12"/>
  <c r="Z17" i="12"/>
  <c r="BA17" i="12"/>
  <c r="R35" i="12"/>
  <c r="AS35" i="12"/>
  <c r="AK8" i="12"/>
  <c r="C9" i="12"/>
  <c r="H35" i="12"/>
  <c r="AI35" i="12"/>
  <c r="U36" i="12"/>
  <c r="BC35" i="12"/>
  <c r="W27" i="12"/>
  <c r="AX27" i="12"/>
  <c r="C367" i="16"/>
  <c r="Y366" i="16"/>
  <c r="Z366" i="16"/>
  <c r="W366" i="16"/>
  <c r="X366" i="16"/>
  <c r="U366" i="16"/>
  <c r="V366" i="16"/>
  <c r="T366" i="16"/>
  <c r="U365" i="16"/>
  <c r="V365" i="16"/>
  <c r="T365" i="16"/>
  <c r="C366" i="16"/>
  <c r="Y365" i="16"/>
  <c r="W365" i="16"/>
  <c r="Z365" i="16"/>
  <c r="X365" i="16"/>
  <c r="K364" i="16"/>
  <c r="L364" i="16"/>
  <c r="K362" i="16"/>
  <c r="L362" i="16"/>
  <c r="T364" i="16"/>
  <c r="V364" i="16"/>
  <c r="U364" i="16"/>
  <c r="L363" i="16"/>
  <c r="K363" i="16"/>
  <c r="X364" i="16"/>
  <c r="Z364" i="16"/>
  <c r="Y364" i="16"/>
  <c r="B366" i="16"/>
  <c r="B365" i="16"/>
  <c r="I47" i="19" l="1"/>
  <c r="H48" i="19"/>
  <c r="AI37" i="12"/>
  <c r="AI38" i="12" s="1"/>
  <c r="G38" i="12" s="1"/>
  <c r="AH38" i="12"/>
  <c r="AJ37" i="12"/>
  <c r="AK38" i="12" s="1"/>
  <c r="I38" i="12" s="1"/>
  <c r="AJ38" i="12"/>
  <c r="H38" i="12" s="1"/>
  <c r="L27" i="12"/>
  <c r="AT26" i="12"/>
  <c r="N9" i="12"/>
  <c r="AO9" i="12"/>
  <c r="V36" i="12"/>
  <c r="AW36" i="12"/>
  <c r="T36" i="12"/>
  <c r="I35" i="12"/>
  <c r="AJ35" i="12"/>
  <c r="L36" i="12"/>
  <c r="AT35" i="12"/>
  <c r="L18" i="12"/>
  <c r="M18" i="12" s="1"/>
  <c r="AT17" i="12"/>
  <c r="X27" i="12"/>
  <c r="AY27" i="12"/>
  <c r="AA17" i="12"/>
  <c r="BB17" i="12"/>
  <c r="D9" i="12"/>
  <c r="C365" i="16"/>
  <c r="V363" i="16"/>
  <c r="T363" i="16"/>
  <c r="U363" i="16"/>
  <c r="C364" i="16"/>
  <c r="K71" i="21"/>
  <c r="Y363" i="16"/>
  <c r="X363" i="16"/>
  <c r="Z363" i="16"/>
  <c r="U362" i="16"/>
  <c r="T362" i="16"/>
  <c r="V362" i="16"/>
  <c r="K361" i="16"/>
  <c r="L361" i="16"/>
  <c r="C363" i="16"/>
  <c r="Z362" i="16"/>
  <c r="Y362" i="16"/>
  <c r="K70" i="21"/>
  <c r="X362" i="16"/>
  <c r="K360" i="16"/>
  <c r="L360" i="16"/>
  <c r="T361" i="16"/>
  <c r="V361" i="16"/>
  <c r="U361" i="16"/>
  <c r="C362" i="16"/>
  <c r="W361" i="16"/>
  <c r="Y361" i="16"/>
  <c r="X361" i="16"/>
  <c r="Z361" i="16"/>
  <c r="K359" i="16"/>
  <c r="L359" i="16"/>
  <c r="Z360" i="16"/>
  <c r="W360" i="16"/>
  <c r="X360" i="16"/>
  <c r="Y360" i="16"/>
  <c r="V360" i="16"/>
  <c r="U360" i="16"/>
  <c r="T360" i="16"/>
  <c r="C361" i="16"/>
  <c r="T359" i="16"/>
  <c r="U359" i="16"/>
  <c r="V359" i="16"/>
  <c r="K358" i="16"/>
  <c r="L358" i="16"/>
  <c r="C360" i="16"/>
  <c r="Z359" i="16"/>
  <c r="X359" i="16"/>
  <c r="Y359" i="16"/>
  <c r="K356" i="16"/>
  <c r="L356" i="16"/>
  <c r="C359" i="16"/>
  <c r="Y358" i="16"/>
  <c r="Z358" i="16"/>
  <c r="X358" i="16"/>
  <c r="K69" i="21"/>
  <c r="L357" i="16"/>
  <c r="K357" i="16"/>
  <c r="V358" i="16"/>
  <c r="U358" i="16"/>
  <c r="T358" i="16"/>
  <c r="C358" i="16"/>
  <c r="Z357" i="16"/>
  <c r="Y357" i="16"/>
  <c r="W357" i="16"/>
  <c r="X357" i="16"/>
  <c r="K355" i="16"/>
  <c r="L355" i="16"/>
  <c r="V357" i="16"/>
  <c r="T357" i="16"/>
  <c r="U357" i="16"/>
  <c r="C357" i="16"/>
  <c r="Z356" i="16"/>
  <c r="Y356" i="16"/>
  <c r="W356" i="16"/>
  <c r="X356" i="16"/>
  <c r="V356" i="16"/>
  <c r="T356" i="16"/>
  <c r="U356" i="16"/>
  <c r="H350" i="16"/>
  <c r="AD14" i="34" s="1"/>
  <c r="E14" i="34" s="1"/>
  <c r="E62" i="34" s="1"/>
  <c r="F62" i="34" s="1"/>
  <c r="K354" i="16"/>
  <c r="L354" i="16"/>
  <c r="C356" i="16"/>
  <c r="Z355" i="16"/>
  <c r="Y355" i="16"/>
  <c r="W355" i="16"/>
  <c r="X355" i="16"/>
  <c r="V355" i="16"/>
  <c r="T355" i="16"/>
  <c r="U355" i="16"/>
  <c r="C355" i="16"/>
  <c r="Z354" i="16"/>
  <c r="W354" i="16"/>
  <c r="X354" i="16"/>
  <c r="Y354" i="16"/>
  <c r="K353" i="16"/>
  <c r="L353" i="16"/>
  <c r="V354" i="16"/>
  <c r="T354" i="16"/>
  <c r="U354" i="16"/>
  <c r="P350" i="16"/>
  <c r="S350" i="16"/>
  <c r="R350" i="16"/>
  <c r="Q350" i="16"/>
  <c r="O350" i="16"/>
  <c r="N350" i="16"/>
  <c r="L352" i="16"/>
  <c r="K352" i="16"/>
  <c r="W353" i="16"/>
  <c r="X353" i="16"/>
  <c r="Y353" i="16"/>
  <c r="Z353" i="16"/>
  <c r="T353" i="16"/>
  <c r="V353" i="16"/>
  <c r="U353" i="16"/>
  <c r="B361" i="16"/>
  <c r="B362" i="16"/>
  <c r="N6" i="18"/>
  <c r="N14" i="34"/>
  <c r="N13" i="34"/>
  <c r="O14" i="34"/>
  <c r="B354" i="16"/>
  <c r="L13" i="34"/>
  <c r="J14" i="34"/>
  <c r="K13" i="34"/>
  <c r="L6" i="18"/>
  <c r="O6" i="18"/>
  <c r="B355" i="16"/>
  <c r="K6" i="18"/>
  <c r="M6" i="18"/>
  <c r="B363" i="16"/>
  <c r="M14" i="34"/>
  <c r="B359" i="16"/>
  <c r="B358" i="16"/>
  <c r="B357" i="16"/>
  <c r="B360" i="16"/>
  <c r="O13" i="34"/>
  <c r="B364" i="16"/>
  <c r="M13" i="34"/>
  <c r="B356" i="16"/>
  <c r="J13" i="34"/>
  <c r="L14" i="34"/>
  <c r="K14" i="34"/>
  <c r="J6" i="18"/>
  <c r="I48" i="19" l="1"/>
  <c r="AU33" i="12" s="1"/>
  <c r="H49" i="19"/>
  <c r="AU32" i="12"/>
  <c r="F38" i="12"/>
  <c r="L62" i="34"/>
  <c r="M62" i="34"/>
  <c r="O62" i="34"/>
  <c r="N62" i="34"/>
  <c r="K62" i="34"/>
  <c r="M61" i="34"/>
  <c r="N61" i="34"/>
  <c r="O61" i="34"/>
  <c r="L61" i="34"/>
  <c r="AD13" i="34"/>
  <c r="E13" i="34" s="1"/>
  <c r="E61" i="34" s="1"/>
  <c r="O19" i="18"/>
  <c r="N19" i="18"/>
  <c r="M19" i="18"/>
  <c r="L19" i="18"/>
  <c r="M27" i="12"/>
  <c r="AN27" i="12"/>
  <c r="O9" i="12"/>
  <c r="AP9" i="12"/>
  <c r="W36" i="12"/>
  <c r="AX36" i="12"/>
  <c r="U18" i="12"/>
  <c r="BC17" i="12"/>
  <c r="Y27" i="12"/>
  <c r="AZ27" i="12"/>
  <c r="M36" i="12"/>
  <c r="AN36" i="12"/>
  <c r="AF9" i="12"/>
  <c r="E9" i="12"/>
  <c r="N18" i="12"/>
  <c r="AO18" i="12"/>
  <c r="AK35" i="12"/>
  <c r="C36" i="12"/>
  <c r="C354" i="16"/>
  <c r="M350" i="16"/>
  <c r="V352" i="16"/>
  <c r="T352" i="16"/>
  <c r="U352" i="16"/>
  <c r="L351" i="16"/>
  <c r="K351" i="16"/>
  <c r="C353" i="16"/>
  <c r="X352" i="16"/>
  <c r="Y352" i="16"/>
  <c r="Z352" i="16"/>
  <c r="W352" i="16"/>
  <c r="T351" i="16"/>
  <c r="U351" i="16"/>
  <c r="V351" i="16"/>
  <c r="K350" i="16"/>
  <c r="L350" i="16"/>
  <c r="C352" i="16"/>
  <c r="W351" i="16"/>
  <c r="X351" i="16"/>
  <c r="Z351" i="16"/>
  <c r="Y351" i="16"/>
  <c r="C351" i="16"/>
  <c r="Y350" i="16"/>
  <c r="X350" i="16"/>
  <c r="Z350" i="16"/>
  <c r="W350" i="16"/>
  <c r="V350" i="16"/>
  <c r="T350" i="16"/>
  <c r="U350" i="16"/>
  <c r="K349" i="16"/>
  <c r="L349" i="16"/>
  <c r="X349" i="16"/>
  <c r="Y349" i="16"/>
  <c r="Z349" i="16"/>
  <c r="W349" i="16"/>
  <c r="C350" i="16"/>
  <c r="K348" i="16"/>
  <c r="L348" i="16"/>
  <c r="T349" i="16"/>
  <c r="V349" i="16"/>
  <c r="U349" i="16"/>
  <c r="K346" i="16"/>
  <c r="L346" i="16"/>
  <c r="K347" i="16"/>
  <c r="L347" i="16"/>
  <c r="X348" i="16"/>
  <c r="W348" i="16"/>
  <c r="Y348" i="16"/>
  <c r="Z348" i="16"/>
  <c r="C349" i="16"/>
  <c r="T348" i="16"/>
  <c r="V348" i="16"/>
  <c r="U348" i="16"/>
  <c r="Y347" i="16"/>
  <c r="Z347" i="16"/>
  <c r="W347" i="16"/>
  <c r="X347" i="16"/>
  <c r="C348" i="16"/>
  <c r="T347" i="16"/>
  <c r="V347" i="16"/>
  <c r="U347" i="16"/>
  <c r="K344" i="16"/>
  <c r="L344" i="16"/>
  <c r="Z346" i="16"/>
  <c r="X346" i="16"/>
  <c r="Y346" i="16"/>
  <c r="L345" i="16"/>
  <c r="K345" i="16"/>
  <c r="U346" i="16"/>
  <c r="T346" i="16"/>
  <c r="V346" i="16"/>
  <c r="K343" i="16"/>
  <c r="L343" i="16"/>
  <c r="V345" i="16"/>
  <c r="T345" i="16"/>
  <c r="U345" i="16"/>
  <c r="B350" i="16"/>
  <c r="B347" i="16"/>
  <c r="B348" i="16"/>
  <c r="I14" i="34"/>
  <c r="I13" i="34"/>
  <c r="B353" i="16"/>
  <c r="B346" i="16"/>
  <c r="B349" i="16"/>
  <c r="B351" i="16"/>
  <c r="B352" i="16"/>
  <c r="I6" i="18"/>
  <c r="AM38" i="12" l="1"/>
  <c r="K38" i="12" s="1"/>
  <c r="AP37" i="12"/>
  <c r="I49" i="19"/>
  <c r="H50" i="19"/>
  <c r="AQ37" i="12"/>
  <c r="AP38" i="12" s="1"/>
  <c r="N38" i="12" s="1"/>
  <c r="AO38" i="12"/>
  <c r="M38" i="12" s="1"/>
  <c r="N27" i="12"/>
  <c r="AO27" i="12"/>
  <c r="AQ9" i="12"/>
  <c r="P9" i="12"/>
  <c r="Q9" i="12" s="1"/>
  <c r="R9" i="12" s="1"/>
  <c r="L10" i="12" s="1"/>
  <c r="M10" i="12" s="1"/>
  <c r="AO10" i="12" s="1"/>
  <c r="BA27" i="12"/>
  <c r="Z27" i="12"/>
  <c r="X36" i="12"/>
  <c r="AY36" i="12"/>
  <c r="N36" i="12"/>
  <c r="AO36" i="12"/>
  <c r="V18" i="12"/>
  <c r="AW18" i="12"/>
  <c r="AP18" i="12"/>
  <c r="O18" i="12"/>
  <c r="D36" i="12"/>
  <c r="AE36" i="12"/>
  <c r="F9" i="12"/>
  <c r="AG9" i="12"/>
  <c r="C346" i="16"/>
  <c r="X345" i="16"/>
  <c r="Y345" i="16"/>
  <c r="Z345" i="16"/>
  <c r="K68" i="21"/>
  <c r="K342" i="16"/>
  <c r="L342" i="16"/>
  <c r="C345" i="16"/>
  <c r="K67" i="21"/>
  <c r="X344" i="16"/>
  <c r="Z344" i="16"/>
  <c r="Y344" i="16"/>
  <c r="V344" i="16"/>
  <c r="U344" i="16"/>
  <c r="T344" i="16"/>
  <c r="C344" i="16"/>
  <c r="X343" i="16"/>
  <c r="Y343" i="16"/>
  <c r="Z343" i="16"/>
  <c r="T343" i="16"/>
  <c r="V343" i="16"/>
  <c r="U343" i="16"/>
  <c r="C343" i="16"/>
  <c r="Z342" i="16"/>
  <c r="Y342" i="16"/>
  <c r="K66" i="21"/>
  <c r="X342" i="16"/>
  <c r="L341" i="16"/>
  <c r="K341" i="16"/>
  <c r="U342" i="16"/>
  <c r="T342" i="16"/>
  <c r="V342" i="16"/>
  <c r="K340" i="16"/>
  <c r="L340" i="16"/>
  <c r="Z341" i="16"/>
  <c r="Y341" i="16"/>
  <c r="X341" i="16"/>
  <c r="V341" i="16"/>
  <c r="U341" i="16"/>
  <c r="T341" i="16"/>
  <c r="C342" i="16"/>
  <c r="T340" i="16"/>
  <c r="U340" i="16"/>
  <c r="V340" i="16"/>
  <c r="L339" i="16"/>
  <c r="K339" i="16"/>
  <c r="B342" i="16"/>
  <c r="B344" i="16"/>
  <c r="B345" i="16"/>
  <c r="B341" i="16"/>
  <c r="B343" i="16"/>
  <c r="I50" i="19" l="1"/>
  <c r="AU35" i="12" s="1"/>
  <c r="H51" i="19"/>
  <c r="AU34" i="12"/>
  <c r="O27" i="12"/>
  <c r="AP27" i="12"/>
  <c r="K33" i="12"/>
  <c r="K34" i="12" s="1"/>
  <c r="K35" i="12" s="1"/>
  <c r="K36" i="12" s="1"/>
  <c r="AQ18" i="12"/>
  <c r="P18" i="12"/>
  <c r="AA27" i="12"/>
  <c r="BB27" i="12"/>
  <c r="G9" i="12"/>
  <c r="H9" i="12" s="1"/>
  <c r="I9" i="12" s="1"/>
  <c r="C10" i="12" s="1"/>
  <c r="AH9" i="12"/>
  <c r="O36" i="12"/>
  <c r="AP36" i="12"/>
  <c r="E36" i="12"/>
  <c r="AF36" i="12"/>
  <c r="W18" i="12"/>
  <c r="AX18" i="12"/>
  <c r="Y36" i="12"/>
  <c r="AZ36" i="12"/>
  <c r="C341" i="16"/>
  <c r="Y340" i="16"/>
  <c r="Z340" i="16"/>
  <c r="K65" i="21"/>
  <c r="X340" i="16"/>
  <c r="K338" i="16"/>
  <c r="L338" i="16"/>
  <c r="V339" i="16"/>
  <c r="U339" i="16"/>
  <c r="T339" i="16"/>
  <c r="C340" i="16"/>
  <c r="X339" i="16"/>
  <c r="Z339" i="16"/>
  <c r="W339" i="16"/>
  <c r="Y339" i="16"/>
  <c r="K337" i="16"/>
  <c r="L337" i="16"/>
  <c r="V338" i="16"/>
  <c r="T338" i="16"/>
  <c r="U338" i="16"/>
  <c r="C339" i="16"/>
  <c r="X338" i="16"/>
  <c r="W338" i="16"/>
  <c r="Y338" i="16"/>
  <c r="Z338" i="16"/>
  <c r="K335" i="16"/>
  <c r="L335" i="16"/>
  <c r="C338" i="16"/>
  <c r="Z337" i="16"/>
  <c r="W337" i="16"/>
  <c r="X337" i="16"/>
  <c r="Y337" i="16"/>
  <c r="T337" i="16"/>
  <c r="U337" i="16"/>
  <c r="V337" i="16"/>
  <c r="L336" i="16"/>
  <c r="K336" i="16"/>
  <c r="K334" i="16"/>
  <c r="L334" i="16"/>
  <c r="C337" i="16"/>
  <c r="X336" i="16"/>
  <c r="W336" i="16"/>
  <c r="Y336" i="16"/>
  <c r="Z336" i="16"/>
  <c r="U336" i="16"/>
  <c r="V336" i="16"/>
  <c r="T336" i="16"/>
  <c r="T335" i="16"/>
  <c r="V335" i="16"/>
  <c r="U335" i="16"/>
  <c r="C336" i="16"/>
  <c r="W335" i="16"/>
  <c r="Y335" i="16"/>
  <c r="Z335" i="16"/>
  <c r="X335" i="16"/>
  <c r="W334" i="16"/>
  <c r="Y334" i="16"/>
  <c r="Z334" i="16"/>
  <c r="X334" i="16"/>
  <c r="K333" i="16"/>
  <c r="L333" i="16"/>
  <c r="C335" i="16"/>
  <c r="U334" i="16"/>
  <c r="V334" i="16"/>
  <c r="T334" i="16"/>
  <c r="C334" i="16"/>
  <c r="W333" i="16"/>
  <c r="Y333" i="16"/>
  <c r="X333" i="16"/>
  <c r="Z333" i="16"/>
  <c r="K332" i="16"/>
  <c r="L332" i="16"/>
  <c r="T333" i="16"/>
  <c r="V333" i="16"/>
  <c r="U333" i="16"/>
  <c r="C333" i="16"/>
  <c r="K331" i="16"/>
  <c r="L331" i="16"/>
  <c r="Y332" i="16"/>
  <c r="X332" i="16"/>
  <c r="W332" i="16"/>
  <c r="Z332" i="16"/>
  <c r="T332" i="16"/>
  <c r="V332" i="16"/>
  <c r="U332" i="16"/>
  <c r="K330" i="16"/>
  <c r="L330" i="16"/>
  <c r="B335" i="16"/>
  <c r="B334" i="16"/>
  <c r="B339" i="16"/>
  <c r="B340" i="16"/>
  <c r="B338" i="16"/>
  <c r="B336" i="16"/>
  <c r="B332" i="16"/>
  <c r="B337" i="16"/>
  <c r="B333" i="16"/>
  <c r="I51" i="19" l="1"/>
  <c r="H52" i="19"/>
  <c r="AS37" i="12"/>
  <c r="AT38" i="12" s="1"/>
  <c r="R38" i="12" s="1"/>
  <c r="AS38" i="12"/>
  <c r="Q38" i="12" s="1"/>
  <c r="AQ38" i="12"/>
  <c r="AR37" i="12"/>
  <c r="AR38" i="12" s="1"/>
  <c r="P38" i="12" s="1"/>
  <c r="P27" i="12"/>
  <c r="AQ27" i="12"/>
  <c r="K32" i="12"/>
  <c r="AY18" i="12"/>
  <c r="X18" i="12"/>
  <c r="D10" i="12"/>
  <c r="AF10" i="12" s="1"/>
  <c r="U28" i="12"/>
  <c r="BC27" i="12"/>
  <c r="Z36" i="12"/>
  <c r="BA36" i="12"/>
  <c r="AG36" i="12"/>
  <c r="F36" i="12"/>
  <c r="P36" i="12"/>
  <c r="AQ36" i="12"/>
  <c r="AR18" i="12"/>
  <c r="Q18" i="12"/>
  <c r="R18" i="12" s="1"/>
  <c r="L19" i="12" s="1"/>
  <c r="C332" i="16"/>
  <c r="X331" i="16"/>
  <c r="Z331" i="16"/>
  <c r="Y331" i="16"/>
  <c r="W331" i="16"/>
  <c r="T331" i="16"/>
  <c r="V331" i="16"/>
  <c r="U331" i="16"/>
  <c r="V330" i="16"/>
  <c r="T330" i="16"/>
  <c r="U330" i="16"/>
  <c r="K329" i="16"/>
  <c r="L329" i="16"/>
  <c r="B331" i="16"/>
  <c r="BD32" i="12" l="1"/>
  <c r="I52" i="19"/>
  <c r="BD33" i="12" s="1"/>
  <c r="H53" i="19"/>
  <c r="O38" i="12"/>
  <c r="Q27" i="12"/>
  <c r="AR27" i="12"/>
  <c r="Y18" i="12"/>
  <c r="AZ18" i="12"/>
  <c r="AH36" i="12"/>
  <c r="G36" i="12"/>
  <c r="H36" i="12" s="1"/>
  <c r="I36" i="12" s="1"/>
  <c r="C37" i="12" s="1"/>
  <c r="D37" i="12" s="1"/>
  <c r="AF37" i="12" s="1"/>
  <c r="AW28" i="12"/>
  <c r="V28" i="12"/>
  <c r="AX28" i="12" s="1"/>
  <c r="M19" i="12"/>
  <c r="AO19" i="12" s="1"/>
  <c r="AR36" i="12"/>
  <c r="Q36" i="12"/>
  <c r="AA36" i="12"/>
  <c r="BB36" i="12"/>
  <c r="C331" i="16"/>
  <c r="X330" i="16"/>
  <c r="Z330" i="16"/>
  <c r="Y330" i="16"/>
  <c r="W330" i="16"/>
  <c r="C330" i="16"/>
  <c r="K328" i="16"/>
  <c r="L328" i="16"/>
  <c r="X329" i="16"/>
  <c r="Z329" i="16"/>
  <c r="Y329" i="16"/>
  <c r="W329" i="16"/>
  <c r="T329" i="16"/>
  <c r="U329" i="16"/>
  <c r="V329" i="16"/>
  <c r="K326" i="16"/>
  <c r="L326" i="16"/>
  <c r="U328" i="16"/>
  <c r="V328" i="16"/>
  <c r="T328" i="16"/>
  <c r="C329" i="16"/>
  <c r="Z328" i="16"/>
  <c r="Y328" i="16"/>
  <c r="X328" i="16"/>
  <c r="K327" i="16"/>
  <c r="L327" i="16"/>
  <c r="K325" i="16"/>
  <c r="L325" i="16"/>
  <c r="V327" i="16"/>
  <c r="T327" i="16"/>
  <c r="U327" i="16"/>
  <c r="B328" i="16"/>
  <c r="B329" i="16"/>
  <c r="B330" i="16"/>
  <c r="AX38" i="12" l="1"/>
  <c r="V38" i="12" s="1"/>
  <c r="AZ37" i="12"/>
  <c r="AY38" i="12" s="1"/>
  <c r="W38" i="12" s="1"/>
  <c r="I53" i="19"/>
  <c r="H54" i="19"/>
  <c r="I54" i="19" s="1"/>
  <c r="AV38" i="12"/>
  <c r="T38" i="12" s="1"/>
  <c r="AY37" i="12"/>
  <c r="AS27" i="12"/>
  <c r="R27" i="12"/>
  <c r="L28" i="12" s="1"/>
  <c r="M28" i="12" s="1"/>
  <c r="AO28" i="12" s="1"/>
  <c r="U37" i="12"/>
  <c r="BC36" i="12"/>
  <c r="BA18" i="12"/>
  <c r="Z18" i="12"/>
  <c r="AS36" i="12"/>
  <c r="R36" i="12"/>
  <c r="L37" i="12" s="1"/>
  <c r="C328" i="16"/>
  <c r="Y327" i="16"/>
  <c r="Z327" i="16"/>
  <c r="X327" i="16"/>
  <c r="K64" i="21"/>
  <c r="K324" i="16"/>
  <c r="L324" i="16"/>
  <c r="V326" i="16"/>
  <c r="T326" i="16"/>
  <c r="U326" i="16"/>
  <c r="B327" i="16"/>
  <c r="AU27" i="12" l="1"/>
  <c r="AT28" i="12" s="1"/>
  <c r="AN29" i="12" s="1"/>
  <c r="L29" i="12" s="1"/>
  <c r="AL36" i="12"/>
  <c r="AK37" i="12" s="1"/>
  <c r="AE38" i="12" s="1"/>
  <c r="C38" i="12" s="1"/>
  <c r="BD35" i="12"/>
  <c r="AL9" i="12"/>
  <c r="AK10" i="12" s="1"/>
  <c r="AE11" i="12" s="1"/>
  <c r="BD18" i="12"/>
  <c r="BC19" i="12" s="1"/>
  <c r="AW20" i="12" s="1"/>
  <c r="BD36" i="12"/>
  <c r="BC37" i="12" s="1"/>
  <c r="AW38" i="12" s="1"/>
  <c r="U38" i="12" s="1"/>
  <c r="BD27" i="12"/>
  <c r="BC28" i="12" s="1"/>
  <c r="AW29" i="12" s="1"/>
  <c r="AU9" i="12"/>
  <c r="AT10" i="12" s="1"/>
  <c r="AN11" i="12" s="1"/>
  <c r="AL27" i="12"/>
  <c r="AK28" i="12" s="1"/>
  <c r="AE29" i="12" s="1"/>
  <c r="AU18" i="12"/>
  <c r="AT19" i="12" s="1"/>
  <c r="AN20" i="12" s="1"/>
  <c r="AL18" i="12"/>
  <c r="AK19" i="12" s="1"/>
  <c r="AE20" i="12" s="1"/>
  <c r="BD34" i="12"/>
  <c r="AU36" i="12"/>
  <c r="AT37" i="12" s="1"/>
  <c r="AN38" i="12" s="1"/>
  <c r="V37" i="12"/>
  <c r="AX37" i="12" s="1"/>
  <c r="AW37" i="12"/>
  <c r="T37" i="12"/>
  <c r="M37" i="12"/>
  <c r="AO37" i="12" s="1"/>
  <c r="K37" i="12"/>
  <c r="BB18" i="12"/>
  <c r="AA18" i="12"/>
  <c r="C327" i="16"/>
  <c r="Z326" i="16"/>
  <c r="W326" i="16"/>
  <c r="X326" i="16"/>
  <c r="Y326" i="16"/>
  <c r="K323" i="16"/>
  <c r="L323" i="16"/>
  <c r="T325" i="16"/>
  <c r="U325" i="16"/>
  <c r="V325" i="16"/>
  <c r="X325" i="16"/>
  <c r="Z325" i="16"/>
  <c r="Y325" i="16"/>
  <c r="C326" i="16"/>
  <c r="T324" i="16"/>
  <c r="V324" i="16"/>
  <c r="U324" i="16"/>
  <c r="C325" i="16"/>
  <c r="Z324" i="16"/>
  <c r="K63" i="21"/>
  <c r="Y324" i="16"/>
  <c r="X324" i="16"/>
  <c r="L322" i="16"/>
  <c r="K322" i="16"/>
  <c r="B326" i="16"/>
  <c r="B325" i="16"/>
  <c r="B324" i="16"/>
  <c r="AU28" i="12" l="1"/>
  <c r="AL37" i="12"/>
  <c r="L20" i="12"/>
  <c r="AU19" i="12"/>
  <c r="AL28" i="12"/>
  <c r="C29" i="12"/>
  <c r="BD19" i="12"/>
  <c r="U20" i="12"/>
  <c r="L38" i="12"/>
  <c r="AU37" i="12"/>
  <c r="BA37" i="12"/>
  <c r="BA38" i="12" s="1"/>
  <c r="Y38" i="12" s="1"/>
  <c r="AZ38" i="12"/>
  <c r="AU10" i="12"/>
  <c r="L11" i="12"/>
  <c r="AL10" i="12"/>
  <c r="C11" i="12"/>
  <c r="C20" i="12"/>
  <c r="AL19" i="12"/>
  <c r="BD28" i="12"/>
  <c r="U29" i="12"/>
  <c r="BB37" i="12"/>
  <c r="BC38" i="12" s="1"/>
  <c r="AA38" i="12" s="1"/>
  <c r="BB38" i="12"/>
  <c r="Z38" i="12" s="1"/>
  <c r="BC18" i="12"/>
  <c r="U19" i="12"/>
  <c r="V19" i="12" s="1"/>
  <c r="AX19" i="12" s="1"/>
  <c r="C324" i="16"/>
  <c r="Y323" i="16"/>
  <c r="Z323" i="16"/>
  <c r="X323" i="16"/>
  <c r="W323" i="16"/>
  <c r="T323" i="16"/>
  <c r="U323" i="16"/>
  <c r="V323" i="16"/>
  <c r="C323" i="16"/>
  <c r="K321" i="16"/>
  <c r="L321" i="16"/>
  <c r="W322" i="16"/>
  <c r="X322" i="16"/>
  <c r="Z322" i="16"/>
  <c r="Y322" i="16"/>
  <c r="T322" i="16"/>
  <c r="V322" i="16"/>
  <c r="U322" i="16"/>
  <c r="T321" i="16"/>
  <c r="U321" i="16"/>
  <c r="V321" i="16"/>
  <c r="Z321" i="16"/>
  <c r="W321" i="16"/>
  <c r="Y321" i="16"/>
  <c r="X321" i="16"/>
  <c r="K320" i="16"/>
  <c r="L320" i="16"/>
  <c r="C322" i="16"/>
  <c r="K319" i="16"/>
  <c r="L319" i="16"/>
  <c r="V320" i="16"/>
  <c r="T320" i="16"/>
  <c r="U320" i="16"/>
  <c r="C321" i="16"/>
  <c r="X320" i="16"/>
  <c r="Z320" i="16"/>
  <c r="W320" i="16"/>
  <c r="Y320" i="16"/>
  <c r="U319" i="16"/>
  <c r="T319" i="16"/>
  <c r="V319" i="16"/>
  <c r="K318" i="16"/>
  <c r="L318" i="16"/>
  <c r="C320" i="16"/>
  <c r="Y319" i="16"/>
  <c r="Z319" i="16"/>
  <c r="W319" i="16"/>
  <c r="X319" i="16"/>
  <c r="T318" i="16"/>
  <c r="U318" i="16"/>
  <c r="V318" i="16"/>
  <c r="Z318" i="16"/>
  <c r="W318" i="16"/>
  <c r="Y318" i="16"/>
  <c r="X318" i="16"/>
  <c r="K317" i="16"/>
  <c r="L317" i="16"/>
  <c r="K315" i="16"/>
  <c r="L315" i="16"/>
  <c r="U317" i="16"/>
  <c r="T317" i="16"/>
  <c r="V317" i="16"/>
  <c r="K316" i="16"/>
  <c r="L316" i="16"/>
  <c r="B322" i="16"/>
  <c r="B318" i="16"/>
  <c r="B320" i="16"/>
  <c r="B323" i="16"/>
  <c r="B321" i="16"/>
  <c r="B319" i="16"/>
  <c r="X38" i="12" l="1"/>
  <c r="BD37" i="12"/>
  <c r="C318" i="16"/>
  <c r="W317" i="16"/>
  <c r="Y317" i="16"/>
  <c r="X317" i="16"/>
  <c r="Z317" i="16"/>
  <c r="T316" i="16"/>
  <c r="U316" i="16"/>
  <c r="V316" i="16"/>
  <c r="C317" i="16"/>
  <c r="X316" i="16"/>
  <c r="Y316" i="16"/>
  <c r="W316" i="16"/>
  <c r="Z316" i="16"/>
  <c r="K313" i="16"/>
  <c r="L313" i="16"/>
  <c r="C316" i="16"/>
  <c r="X315" i="16"/>
  <c r="Y315" i="16"/>
  <c r="W315" i="16"/>
  <c r="Z315" i="16"/>
  <c r="V315" i="16"/>
  <c r="U315" i="16"/>
  <c r="T315" i="16"/>
  <c r="K314" i="16"/>
  <c r="L314" i="16"/>
  <c r="K312" i="16"/>
  <c r="L312" i="16"/>
  <c r="T314" i="16"/>
  <c r="U314" i="16"/>
  <c r="V314" i="16"/>
  <c r="C315" i="16"/>
  <c r="X314" i="16"/>
  <c r="Z314" i="16"/>
  <c r="Y314" i="16"/>
  <c r="U313" i="16"/>
  <c r="V313" i="16"/>
  <c r="T313" i="16"/>
  <c r="C314" i="16"/>
  <c r="X313" i="16"/>
  <c r="Z313" i="16"/>
  <c r="Y313" i="16"/>
  <c r="K62" i="21"/>
  <c r="W406" i="16" s="1"/>
  <c r="K311" i="16"/>
  <c r="L311" i="16"/>
  <c r="W312" i="16"/>
  <c r="Z312" i="16"/>
  <c r="Y312" i="16"/>
  <c r="X312" i="16"/>
  <c r="C313" i="16"/>
  <c r="U312" i="16"/>
  <c r="V312" i="16"/>
  <c r="T312" i="16"/>
  <c r="K310" i="16"/>
  <c r="L310" i="16"/>
  <c r="C312" i="16"/>
  <c r="Z311" i="16"/>
  <c r="W311" i="16"/>
  <c r="Y311" i="16"/>
  <c r="X311" i="16"/>
  <c r="V311" i="16"/>
  <c r="T311" i="16"/>
  <c r="U311" i="16"/>
  <c r="C311" i="16"/>
  <c r="Z310" i="16"/>
  <c r="Y310" i="16"/>
  <c r="W310" i="16"/>
  <c r="X310" i="16"/>
  <c r="L309" i="16"/>
  <c r="K309" i="16"/>
  <c r="V310" i="16"/>
  <c r="U310" i="16"/>
  <c r="T310" i="16"/>
  <c r="B314" i="16"/>
  <c r="B310" i="16"/>
  <c r="B312" i="16"/>
  <c r="B317" i="16"/>
  <c r="B316" i="16"/>
  <c r="B315" i="16"/>
  <c r="B313" i="16"/>
  <c r="B311" i="16"/>
  <c r="W405" i="16" l="1"/>
  <c r="B33" i="12"/>
  <c r="B34" i="12" s="1"/>
  <c r="B35" i="12" s="1"/>
  <c r="B36" i="12" s="1"/>
  <c r="B37" i="12" s="1"/>
  <c r="C310" i="16"/>
  <c r="W309" i="16"/>
  <c r="X309" i="16"/>
  <c r="Y309" i="16"/>
  <c r="Z309" i="16"/>
  <c r="V309" i="16"/>
  <c r="U309" i="16"/>
  <c r="T309" i="16"/>
  <c r="K308" i="16"/>
  <c r="L308" i="16"/>
  <c r="C309" i="16"/>
  <c r="L307" i="16"/>
  <c r="K307" i="16"/>
  <c r="U308" i="16"/>
  <c r="V308" i="16"/>
  <c r="T308" i="16"/>
  <c r="Z308" i="16"/>
  <c r="W308" i="16"/>
  <c r="Y308" i="16"/>
  <c r="X308" i="16"/>
  <c r="K305" i="16"/>
  <c r="L305" i="16"/>
  <c r="U307" i="16"/>
  <c r="T307" i="16"/>
  <c r="V307" i="16"/>
  <c r="K306" i="16"/>
  <c r="L306" i="16"/>
  <c r="C308" i="16"/>
  <c r="X307" i="16"/>
  <c r="Z307" i="16"/>
  <c r="Y307" i="16"/>
  <c r="W307" i="16"/>
  <c r="C307" i="16"/>
  <c r="T306" i="16"/>
  <c r="U306" i="16"/>
  <c r="V306" i="16"/>
  <c r="X306" i="16"/>
  <c r="W306" i="16"/>
  <c r="Z306" i="16"/>
  <c r="Y306" i="16"/>
  <c r="C306" i="16"/>
  <c r="X305" i="16"/>
  <c r="Y305" i="16"/>
  <c r="Z305" i="16"/>
  <c r="T305" i="16"/>
  <c r="U305" i="16"/>
  <c r="V305" i="16"/>
  <c r="K304" i="16"/>
  <c r="L304" i="16"/>
  <c r="K303" i="16"/>
  <c r="L303" i="16"/>
  <c r="U304" i="16"/>
  <c r="V304" i="16"/>
  <c r="T304" i="16"/>
  <c r="X304" i="16"/>
  <c r="Z304" i="16"/>
  <c r="K61" i="21"/>
  <c r="W399" i="16" s="1"/>
  <c r="Y304" i="16"/>
  <c r="C305" i="16"/>
  <c r="C304" i="16"/>
  <c r="X303" i="16"/>
  <c r="Y303" i="16"/>
  <c r="Z303" i="16"/>
  <c r="W303" i="16"/>
  <c r="K302" i="16"/>
  <c r="L302" i="16"/>
  <c r="V303" i="16"/>
  <c r="T303" i="16"/>
  <c r="U303" i="16"/>
  <c r="K301" i="16"/>
  <c r="L301" i="16"/>
  <c r="X302" i="16"/>
  <c r="W302" i="16"/>
  <c r="Y302" i="16"/>
  <c r="Z302" i="16"/>
  <c r="B303" i="16"/>
  <c r="B305" i="16"/>
  <c r="B306" i="16"/>
  <c r="B308" i="16"/>
  <c r="B307" i="16"/>
  <c r="B309" i="16"/>
  <c r="B304" i="16"/>
  <c r="W398" i="16" l="1"/>
  <c r="B32" i="12"/>
  <c r="C303" i="16"/>
  <c r="U302" i="16"/>
  <c r="V302" i="16"/>
  <c r="T302" i="16"/>
  <c r="H296" i="16"/>
  <c r="AD22" i="34" s="1"/>
  <c r="E22" i="34" s="1"/>
  <c r="E70" i="34" s="1"/>
  <c r="K300" i="16"/>
  <c r="L300" i="16"/>
  <c r="C302" i="16"/>
  <c r="W301" i="16"/>
  <c r="X301" i="16"/>
  <c r="Z301" i="16"/>
  <c r="Y301" i="16"/>
  <c r="V301" i="16"/>
  <c r="T301" i="16"/>
  <c r="U301" i="16"/>
  <c r="K298" i="16"/>
  <c r="L298" i="16"/>
  <c r="L299" i="16"/>
  <c r="K299" i="16"/>
  <c r="U300" i="16"/>
  <c r="T300" i="16"/>
  <c r="V300" i="16"/>
  <c r="C301" i="16"/>
  <c r="Z300" i="16"/>
  <c r="W300" i="16"/>
  <c r="X300" i="16"/>
  <c r="Y300" i="16"/>
  <c r="C300" i="16"/>
  <c r="X299" i="16"/>
  <c r="Y299" i="16"/>
  <c r="W299" i="16"/>
  <c r="Z299" i="16"/>
  <c r="N296" i="16"/>
  <c r="Q296" i="16"/>
  <c r="S296" i="16"/>
  <c r="O296" i="16"/>
  <c r="P296" i="16"/>
  <c r="R296" i="16"/>
  <c r="T299" i="16"/>
  <c r="U299" i="16"/>
  <c r="V299" i="16"/>
  <c r="M296" i="16"/>
  <c r="K297" i="16"/>
  <c r="L297" i="16"/>
  <c r="W298" i="16"/>
  <c r="Y298" i="16"/>
  <c r="Z298" i="16"/>
  <c r="X298" i="16"/>
  <c r="C299" i="16"/>
  <c r="U298" i="16"/>
  <c r="V298" i="16"/>
  <c r="T298" i="16"/>
  <c r="K296" i="16"/>
  <c r="L296" i="16"/>
  <c r="Y297" i="16"/>
  <c r="Z297" i="16"/>
  <c r="X297" i="16"/>
  <c r="W297" i="16"/>
  <c r="C298" i="16"/>
  <c r="T297" i="16"/>
  <c r="U297" i="16"/>
  <c r="V297" i="16"/>
  <c r="K294" i="16"/>
  <c r="L294" i="16"/>
  <c r="C297" i="16"/>
  <c r="K295" i="16"/>
  <c r="L295" i="16"/>
  <c r="T296" i="16"/>
  <c r="V296" i="16"/>
  <c r="U296" i="16"/>
  <c r="Y296" i="16"/>
  <c r="W296" i="16"/>
  <c r="X296" i="16"/>
  <c r="Z296" i="16"/>
  <c r="C296" i="16"/>
  <c r="Y295" i="16"/>
  <c r="X295" i="16"/>
  <c r="W295" i="16"/>
  <c r="Z295" i="16"/>
  <c r="T295" i="16"/>
  <c r="U295" i="16"/>
  <c r="V295" i="16"/>
  <c r="K293" i="16"/>
  <c r="L293" i="16"/>
  <c r="U294" i="16"/>
  <c r="V294" i="16"/>
  <c r="T294" i="16"/>
  <c r="C295" i="16"/>
  <c r="X294" i="16"/>
  <c r="Z294" i="16"/>
  <c r="W294" i="16"/>
  <c r="Y294" i="16"/>
  <c r="C294" i="16"/>
  <c r="W293" i="16"/>
  <c r="X293" i="16"/>
  <c r="Y293" i="16"/>
  <c r="Z293" i="16"/>
  <c r="K292" i="16"/>
  <c r="L292" i="16"/>
  <c r="V293" i="16"/>
  <c r="T293" i="16"/>
  <c r="U293" i="16"/>
  <c r="U292" i="16"/>
  <c r="V292" i="16"/>
  <c r="T292" i="16"/>
  <c r="W292" i="16"/>
  <c r="Y292" i="16"/>
  <c r="Z292" i="16"/>
  <c r="X292" i="16"/>
  <c r="C293" i="16"/>
  <c r="K291" i="16"/>
  <c r="L291" i="16"/>
  <c r="K289" i="16"/>
  <c r="L289" i="16"/>
  <c r="V291" i="16"/>
  <c r="T291" i="16"/>
  <c r="U291" i="16"/>
  <c r="B293" i="16"/>
  <c r="B296" i="16"/>
  <c r="B297" i="16"/>
  <c r="B300" i="16"/>
  <c r="B298" i="16"/>
  <c r="B295" i="16"/>
  <c r="B301" i="16"/>
  <c r="B302" i="16"/>
  <c r="B294" i="16"/>
  <c r="B299" i="16"/>
  <c r="B292" i="16"/>
  <c r="C292" i="16" l="1"/>
  <c r="X291" i="16"/>
  <c r="Z291" i="16"/>
  <c r="W291" i="16"/>
  <c r="Y291" i="16"/>
  <c r="K290" i="16"/>
  <c r="L290" i="16"/>
  <c r="X290" i="16"/>
  <c r="Z290" i="16"/>
  <c r="Y290" i="16"/>
  <c r="C291" i="16"/>
  <c r="U290" i="16"/>
  <c r="V290" i="16"/>
  <c r="T290" i="16"/>
  <c r="C290" i="16"/>
  <c r="U289" i="16"/>
  <c r="V289" i="16"/>
  <c r="T289" i="16"/>
  <c r="Y289" i="16"/>
  <c r="K60" i="21"/>
  <c r="W395" i="16" s="1"/>
  <c r="X289" i="16"/>
  <c r="Z289" i="16"/>
  <c r="K288" i="16"/>
  <c r="L288" i="16"/>
  <c r="K287" i="16"/>
  <c r="L287" i="16"/>
  <c r="T288" i="16"/>
  <c r="V288" i="16"/>
  <c r="U288" i="16"/>
  <c r="B291" i="16"/>
  <c r="B289" i="16"/>
  <c r="B290" i="16"/>
  <c r="W394" i="16" l="1"/>
  <c r="T24" i="12"/>
  <c r="T25" i="12" s="1"/>
  <c r="T26" i="12" s="1"/>
  <c r="T27" i="12" s="1"/>
  <c r="T28" i="12" s="1"/>
  <c r="C289" i="16"/>
  <c r="Z288" i="16"/>
  <c r="W288" i="16"/>
  <c r="Y288" i="16"/>
  <c r="X288" i="16"/>
  <c r="C288" i="16"/>
  <c r="X287" i="16"/>
  <c r="Z287" i="16"/>
  <c r="W287" i="16"/>
  <c r="Y287" i="16"/>
  <c r="L286" i="16"/>
  <c r="K286" i="16"/>
  <c r="T287" i="16"/>
  <c r="V287" i="16"/>
  <c r="U287" i="16"/>
  <c r="U286" i="16"/>
  <c r="T286" i="16"/>
  <c r="V286" i="16"/>
  <c r="K285" i="16"/>
  <c r="L285" i="16"/>
  <c r="Z286" i="16"/>
  <c r="X286" i="16"/>
  <c r="Y286" i="16"/>
  <c r="W286" i="16"/>
  <c r="B288" i="16"/>
  <c r="B287" i="16"/>
  <c r="T23" i="12" l="1"/>
  <c r="C287" i="16"/>
  <c r="C286" i="16"/>
  <c r="W285" i="16"/>
  <c r="Y285" i="16"/>
  <c r="Z285" i="16"/>
  <c r="X285" i="16"/>
  <c r="K284" i="16"/>
  <c r="L284" i="16"/>
  <c r="U285" i="16"/>
  <c r="T285" i="16"/>
  <c r="V285" i="16"/>
  <c r="U284" i="16"/>
  <c r="V284" i="16"/>
  <c r="T284" i="16"/>
  <c r="C285" i="16"/>
  <c r="Y284" i="16"/>
  <c r="W284" i="16"/>
  <c r="X284" i="16"/>
  <c r="Z284" i="16"/>
  <c r="K283" i="16"/>
  <c r="L283" i="16"/>
  <c r="K282" i="16"/>
  <c r="L282" i="16"/>
  <c r="V283" i="16"/>
  <c r="T283" i="16"/>
  <c r="U283" i="16"/>
  <c r="B285" i="16"/>
  <c r="B284" i="16"/>
  <c r="B286" i="16"/>
  <c r="W283" i="16" l="1"/>
  <c r="X283" i="16"/>
  <c r="Y283" i="16"/>
  <c r="Z283" i="16"/>
  <c r="K281" i="16"/>
  <c r="L281" i="16"/>
  <c r="T282" i="16"/>
  <c r="U282" i="16"/>
  <c r="V282" i="16"/>
  <c r="C283" i="16"/>
  <c r="W282" i="16"/>
  <c r="Y282" i="16"/>
  <c r="X282" i="16"/>
  <c r="Z282" i="16"/>
  <c r="K280" i="16"/>
  <c r="L280" i="16"/>
  <c r="C282" i="16"/>
  <c r="Z281" i="16"/>
  <c r="W281" i="16"/>
  <c r="X281" i="16"/>
  <c r="Y281" i="16"/>
  <c r="T281" i="16"/>
  <c r="V281" i="16"/>
  <c r="U281" i="16"/>
  <c r="K278" i="16"/>
  <c r="L278" i="16"/>
  <c r="C281" i="16"/>
  <c r="K279" i="16"/>
  <c r="L279" i="16"/>
  <c r="X280" i="16"/>
  <c r="Z280" i="16"/>
  <c r="W280" i="16"/>
  <c r="Y280" i="16"/>
  <c r="V280" i="16"/>
  <c r="T280" i="16"/>
  <c r="U280" i="16"/>
  <c r="T279" i="16"/>
  <c r="U279" i="16"/>
  <c r="V279" i="16"/>
  <c r="C280" i="16"/>
  <c r="Y279" i="16"/>
  <c r="Z279" i="16"/>
  <c r="W279" i="16"/>
  <c r="X279" i="16"/>
  <c r="K277" i="16"/>
  <c r="L277" i="16"/>
  <c r="T278" i="16"/>
  <c r="U278" i="16"/>
  <c r="V278" i="16"/>
  <c r="C279" i="16"/>
  <c r="X278" i="16"/>
  <c r="Y278" i="16"/>
  <c r="W278" i="16"/>
  <c r="Z278" i="16"/>
  <c r="C278" i="16"/>
  <c r="K276" i="16"/>
  <c r="L276" i="16"/>
  <c r="U277" i="16"/>
  <c r="V277" i="16"/>
  <c r="T277" i="16"/>
  <c r="X277" i="16"/>
  <c r="W277" i="16"/>
  <c r="Y277" i="16"/>
  <c r="Z277" i="16"/>
  <c r="K274" i="16"/>
  <c r="L274" i="16"/>
  <c r="T276" i="16"/>
  <c r="V276" i="16"/>
  <c r="U276" i="16"/>
  <c r="C277" i="16"/>
  <c r="X276" i="16"/>
  <c r="Z276" i="16"/>
  <c r="W276" i="16"/>
  <c r="Y276" i="16"/>
  <c r="K275" i="16"/>
  <c r="L275" i="16"/>
  <c r="K273" i="16"/>
  <c r="L273" i="16"/>
  <c r="Z275" i="16"/>
  <c r="X275" i="16"/>
  <c r="Y275" i="16"/>
  <c r="W275" i="16"/>
  <c r="T275" i="16"/>
  <c r="U275" i="16"/>
  <c r="V275" i="16"/>
  <c r="C276" i="16"/>
  <c r="K272" i="16"/>
  <c r="L272" i="16"/>
  <c r="T274" i="16"/>
  <c r="U274" i="16"/>
  <c r="V274" i="16"/>
  <c r="C275" i="16"/>
  <c r="Y274" i="16"/>
  <c r="X274" i="16"/>
  <c r="W274" i="16"/>
  <c r="Z274" i="16"/>
  <c r="V273" i="16"/>
  <c r="U273" i="16"/>
  <c r="T273" i="16"/>
  <c r="C274" i="16"/>
  <c r="X273" i="16"/>
  <c r="W273" i="16"/>
  <c r="Y273" i="16"/>
  <c r="Z273" i="16"/>
  <c r="L271" i="16"/>
  <c r="K271" i="16"/>
  <c r="C273" i="16"/>
  <c r="X272" i="16"/>
  <c r="Y272" i="16"/>
  <c r="Z272" i="16"/>
  <c r="W272" i="16"/>
  <c r="T272" i="16"/>
  <c r="U272" i="16"/>
  <c r="V272" i="16"/>
  <c r="C272" i="16"/>
  <c r="Z271" i="16"/>
  <c r="W271" i="16"/>
  <c r="X271" i="16"/>
  <c r="Y271" i="16"/>
  <c r="K270" i="16"/>
  <c r="L270" i="16"/>
  <c r="T271" i="16"/>
  <c r="U271" i="16"/>
  <c r="V271" i="16"/>
  <c r="K269" i="16"/>
  <c r="L269" i="16"/>
  <c r="B274" i="16"/>
  <c r="B271" i="16"/>
  <c r="B273" i="16"/>
  <c r="B283" i="16"/>
  <c r="B281" i="16"/>
  <c r="B275" i="16"/>
  <c r="B282" i="16"/>
  <c r="B278" i="16"/>
  <c r="B280" i="16"/>
  <c r="B272" i="16"/>
  <c r="B279" i="16"/>
  <c r="B276" i="16"/>
  <c r="B277" i="16"/>
  <c r="C271" i="16" l="1"/>
  <c r="W270" i="16"/>
  <c r="Z270" i="16"/>
  <c r="Y270" i="16"/>
  <c r="X270" i="16"/>
  <c r="U270" i="16"/>
  <c r="T270" i="16"/>
  <c r="V270" i="16"/>
  <c r="K268" i="16"/>
  <c r="L268" i="16"/>
  <c r="V269" i="16"/>
  <c r="T269" i="16"/>
  <c r="U269" i="16"/>
  <c r="C270" i="16"/>
  <c r="W269" i="16"/>
  <c r="Y269" i="16"/>
  <c r="Z269" i="16"/>
  <c r="X269" i="16"/>
  <c r="K267" i="16"/>
  <c r="L267" i="16"/>
  <c r="C269" i="16"/>
  <c r="W268" i="16"/>
  <c r="Y268" i="16"/>
  <c r="Z268" i="16"/>
  <c r="X268" i="16"/>
  <c r="V268" i="16"/>
  <c r="T268" i="16"/>
  <c r="U268" i="16"/>
  <c r="H262" i="16"/>
  <c r="W267" i="16"/>
  <c r="Z267" i="16"/>
  <c r="X267" i="16"/>
  <c r="Y267" i="16"/>
  <c r="K266" i="16"/>
  <c r="L266" i="16"/>
  <c r="C268" i="16"/>
  <c r="V267" i="16"/>
  <c r="T267" i="16"/>
  <c r="U267" i="16"/>
  <c r="K264" i="16"/>
  <c r="L264" i="16"/>
  <c r="L265" i="16"/>
  <c r="K265" i="16"/>
  <c r="B269" i="16"/>
  <c r="B267" i="16"/>
  <c r="B270" i="16"/>
  <c r="B268" i="16"/>
  <c r="C267" i="16" l="1"/>
  <c r="Y266" i="16"/>
  <c r="X266" i="16"/>
  <c r="Z266" i="16"/>
  <c r="W266" i="16"/>
  <c r="T266" i="16"/>
  <c r="U266" i="16"/>
  <c r="V266" i="16"/>
  <c r="N262" i="16"/>
  <c r="O262" i="16"/>
  <c r="Q262" i="16"/>
  <c r="R262" i="16"/>
  <c r="P262" i="16"/>
  <c r="S262" i="16"/>
  <c r="C266" i="16"/>
  <c r="Z265" i="16"/>
  <c r="W265" i="16"/>
  <c r="Y265" i="16"/>
  <c r="X265" i="16"/>
  <c r="T265" i="16"/>
  <c r="U265" i="16"/>
  <c r="V265" i="16"/>
  <c r="K263" i="16"/>
  <c r="L263" i="16"/>
  <c r="C265" i="16"/>
  <c r="W264" i="16"/>
  <c r="Z264" i="16"/>
  <c r="X264" i="16"/>
  <c r="Y264" i="16"/>
  <c r="M262" i="16"/>
  <c r="T264" i="16"/>
  <c r="U264" i="16"/>
  <c r="V264" i="16"/>
  <c r="K261" i="16"/>
  <c r="L261" i="16"/>
  <c r="K262" i="16"/>
  <c r="L262" i="16"/>
  <c r="C264" i="16"/>
  <c r="V263" i="16"/>
  <c r="T263" i="16"/>
  <c r="U263" i="16"/>
  <c r="Y263" i="16"/>
  <c r="Z263" i="16"/>
  <c r="X263" i="16"/>
  <c r="C263" i="16"/>
  <c r="K59" i="21"/>
  <c r="W364" i="16" s="1"/>
  <c r="Y262" i="16"/>
  <c r="K58" i="21"/>
  <c r="Z262" i="16"/>
  <c r="T262" i="16"/>
  <c r="V262" i="16"/>
  <c r="U262" i="16"/>
  <c r="C262" i="16"/>
  <c r="Z261" i="16"/>
  <c r="X261" i="16"/>
  <c r="Y261" i="16"/>
  <c r="V261" i="16"/>
  <c r="T261" i="16"/>
  <c r="U261" i="16"/>
  <c r="K260" i="16"/>
  <c r="L260" i="16"/>
  <c r="T260" i="16"/>
  <c r="U260" i="16"/>
  <c r="V260" i="16"/>
  <c r="C261" i="16"/>
  <c r="Y260" i="16"/>
  <c r="W260" i="16"/>
  <c r="Z260" i="16"/>
  <c r="X260" i="16"/>
  <c r="K259" i="16"/>
  <c r="L259" i="16"/>
  <c r="K257" i="16"/>
  <c r="L257" i="16"/>
  <c r="T259" i="16"/>
  <c r="U259" i="16"/>
  <c r="V259" i="16"/>
  <c r="W259" i="16"/>
  <c r="Z259" i="16"/>
  <c r="Y259" i="16"/>
  <c r="X259" i="16"/>
  <c r="B263" i="16"/>
  <c r="B261" i="16"/>
  <c r="B262" i="16"/>
  <c r="B265" i="16"/>
  <c r="B260" i="16"/>
  <c r="B266" i="16"/>
  <c r="B264" i="16"/>
  <c r="W362" i="16" l="1"/>
  <c r="W363" i="16"/>
  <c r="C260" i="16"/>
  <c r="K258" i="16"/>
  <c r="L258" i="16"/>
  <c r="K256" i="16"/>
  <c r="L256" i="16"/>
  <c r="V258" i="16"/>
  <c r="U258" i="16"/>
  <c r="T258" i="16"/>
  <c r="C259" i="16"/>
  <c r="X258" i="16"/>
  <c r="W258" i="16"/>
  <c r="Y258" i="16"/>
  <c r="Z258" i="16"/>
  <c r="C258" i="16"/>
  <c r="W257" i="16"/>
  <c r="X257" i="16"/>
  <c r="Y257" i="16"/>
  <c r="Z257" i="16"/>
  <c r="U257" i="16"/>
  <c r="V257" i="16"/>
  <c r="T257" i="16"/>
  <c r="L255" i="16"/>
  <c r="K255" i="16"/>
  <c r="Y256" i="16"/>
  <c r="Z256" i="16"/>
  <c r="W256" i="16"/>
  <c r="X256" i="16"/>
  <c r="T256" i="16"/>
  <c r="U256" i="16"/>
  <c r="V256" i="16"/>
  <c r="C257" i="16"/>
  <c r="T255" i="16"/>
  <c r="U255" i="16"/>
  <c r="V255" i="16"/>
  <c r="Y255" i="16"/>
  <c r="X255" i="16"/>
  <c r="Z255" i="16"/>
  <c r="W255" i="16"/>
  <c r="K254" i="16"/>
  <c r="L254" i="16"/>
  <c r="V254" i="16"/>
  <c r="U254" i="16"/>
  <c r="T254" i="16"/>
  <c r="K253" i="16"/>
  <c r="L253" i="16"/>
  <c r="C255" i="16"/>
  <c r="W254" i="16"/>
  <c r="X254" i="16"/>
  <c r="Z254" i="16"/>
  <c r="Y254" i="16"/>
  <c r="K252" i="16"/>
  <c r="L252" i="16"/>
  <c r="U253" i="16"/>
  <c r="V253" i="16"/>
  <c r="T253" i="16"/>
  <c r="C254" i="16"/>
  <c r="W253" i="16"/>
  <c r="X253" i="16"/>
  <c r="Y253" i="16"/>
  <c r="Z253" i="16"/>
  <c r="T252" i="16"/>
  <c r="U252" i="16"/>
  <c r="V252" i="16"/>
  <c r="K251" i="16"/>
  <c r="L251" i="16"/>
  <c r="C253" i="16"/>
  <c r="Y252" i="16"/>
  <c r="Z252" i="16"/>
  <c r="X252" i="16"/>
  <c r="W252" i="16"/>
  <c r="K250" i="16"/>
  <c r="L250" i="16"/>
  <c r="U251" i="16"/>
  <c r="T251" i="16"/>
  <c r="V251" i="16"/>
  <c r="C252" i="16"/>
  <c r="X251" i="16"/>
  <c r="Z251" i="16"/>
  <c r="W251" i="16"/>
  <c r="Y251" i="16"/>
  <c r="C251" i="16"/>
  <c r="V250" i="16"/>
  <c r="U250" i="16"/>
  <c r="T250" i="16"/>
  <c r="K249" i="16"/>
  <c r="L249" i="16"/>
  <c r="Y250" i="16"/>
  <c r="W250" i="16"/>
  <c r="Z250" i="16"/>
  <c r="X250" i="16"/>
  <c r="K248" i="16"/>
  <c r="L248" i="16"/>
  <c r="C250" i="16"/>
  <c r="Y249" i="16"/>
  <c r="Z249" i="16"/>
  <c r="X249" i="16"/>
  <c r="W249" i="16"/>
  <c r="U249" i="16"/>
  <c r="T249" i="16"/>
  <c r="V249" i="16"/>
  <c r="T248" i="16"/>
  <c r="U248" i="16"/>
  <c r="V248" i="16"/>
  <c r="Y248" i="16"/>
  <c r="Z248" i="16"/>
  <c r="W248" i="16"/>
  <c r="X248" i="16"/>
  <c r="C249" i="16"/>
  <c r="K247" i="16"/>
  <c r="L247" i="16"/>
  <c r="C248" i="16"/>
  <c r="V247" i="16"/>
  <c r="T247" i="16"/>
  <c r="U247" i="16"/>
  <c r="K246" i="16"/>
  <c r="L246" i="16"/>
  <c r="Y247" i="16"/>
  <c r="Z247" i="16"/>
  <c r="X247" i="16"/>
  <c r="H241" i="16"/>
  <c r="AD23" i="34" s="1"/>
  <c r="E23" i="34" s="1"/>
  <c r="E71" i="34" s="1"/>
  <c r="C247" i="16"/>
  <c r="X246" i="16"/>
  <c r="Z246" i="16"/>
  <c r="K57" i="21"/>
  <c r="W359" i="16" s="1"/>
  <c r="Y246" i="16"/>
  <c r="K245" i="16"/>
  <c r="L245" i="16"/>
  <c r="T246" i="16"/>
  <c r="U246" i="16"/>
  <c r="V246" i="16"/>
  <c r="V245" i="16"/>
  <c r="U245" i="16"/>
  <c r="T245" i="16"/>
  <c r="K244" i="16"/>
  <c r="L244" i="16"/>
  <c r="C246" i="16"/>
  <c r="X245" i="16"/>
  <c r="Y245" i="16"/>
  <c r="Z245" i="16"/>
  <c r="W245" i="16"/>
  <c r="U244" i="16"/>
  <c r="V244" i="16"/>
  <c r="T244" i="16"/>
  <c r="S241" i="16"/>
  <c r="Q241" i="16"/>
  <c r="R241" i="16"/>
  <c r="P241" i="16"/>
  <c r="N241" i="16"/>
  <c r="O241" i="16"/>
  <c r="W244" i="16"/>
  <c r="X244" i="16"/>
  <c r="Y244" i="16"/>
  <c r="Z244" i="16"/>
  <c r="C245" i="16"/>
  <c r="K243" i="16"/>
  <c r="L243" i="16"/>
  <c r="U243" i="16"/>
  <c r="V243" i="16"/>
  <c r="T243" i="16"/>
  <c r="K242" i="16"/>
  <c r="L242" i="16"/>
  <c r="M241" i="16"/>
  <c r="B256" i="16"/>
  <c r="B254" i="16"/>
  <c r="B251" i="16"/>
  <c r="I2" i="18"/>
  <c r="J2" i="18"/>
  <c r="M2" i="18"/>
  <c r="B252" i="16"/>
  <c r="L2" i="18"/>
  <c r="B259" i="16"/>
  <c r="B247" i="16"/>
  <c r="B257" i="16"/>
  <c r="J9" i="18"/>
  <c r="O9" i="18"/>
  <c r="N2" i="18"/>
  <c r="B258" i="16"/>
  <c r="M9" i="18"/>
  <c r="B246" i="16"/>
  <c r="B248" i="16"/>
  <c r="B255" i="16"/>
  <c r="B249" i="16"/>
  <c r="N9" i="18"/>
  <c r="K2" i="18"/>
  <c r="B244" i="16"/>
  <c r="K9" i="18"/>
  <c r="B250" i="16"/>
  <c r="B245" i="16"/>
  <c r="L9" i="18"/>
  <c r="B253" i="16"/>
  <c r="O2" i="18"/>
  <c r="I9" i="18"/>
  <c r="W358" i="16" l="1"/>
  <c r="N15" i="18"/>
  <c r="L15" i="18"/>
  <c r="O15" i="18"/>
  <c r="M15" i="18"/>
  <c r="AD9" i="18"/>
  <c r="AC35" i="18" s="1"/>
  <c r="AD2" i="18"/>
  <c r="L22" i="18"/>
  <c r="N22" i="18"/>
  <c r="O22" i="18"/>
  <c r="M22" i="18"/>
  <c r="K24" i="12"/>
  <c r="K25" i="12" s="1"/>
  <c r="K26" i="12" s="1"/>
  <c r="K27" i="12" s="1"/>
  <c r="K28" i="12" s="1"/>
  <c r="C244" i="16"/>
  <c r="W243" i="16"/>
  <c r="X243" i="16"/>
  <c r="Y243" i="16"/>
  <c r="Z243" i="16"/>
  <c r="U242" i="16"/>
  <c r="V242" i="16"/>
  <c r="T242" i="16"/>
  <c r="C243" i="16"/>
  <c r="Y242" i="16"/>
  <c r="Z242" i="16"/>
  <c r="W242" i="16"/>
  <c r="X242" i="16"/>
  <c r="K241" i="16"/>
  <c r="L241" i="16"/>
  <c r="C242" i="16"/>
  <c r="V241" i="16"/>
  <c r="T241" i="16"/>
  <c r="U241" i="16"/>
  <c r="K240" i="16"/>
  <c r="L240" i="16"/>
  <c r="X241" i="16"/>
  <c r="Y241" i="16"/>
  <c r="W241" i="16"/>
  <c r="Z241" i="16"/>
  <c r="C241" i="16"/>
  <c r="Y240" i="16"/>
  <c r="X240" i="16"/>
  <c r="Z240" i="16"/>
  <c r="W240" i="16"/>
  <c r="K239" i="16"/>
  <c r="L239" i="16"/>
  <c r="U240" i="16"/>
  <c r="V240" i="16"/>
  <c r="T240" i="16"/>
  <c r="K238" i="16"/>
  <c r="L238" i="16"/>
  <c r="B243" i="16"/>
  <c r="B241" i="16"/>
  <c r="B240" i="16"/>
  <c r="B242" i="16"/>
  <c r="E9" i="18" l="1"/>
  <c r="E22" i="18" s="1"/>
  <c r="F22" i="18" s="1"/>
  <c r="AC28" i="18"/>
  <c r="E2" i="18"/>
  <c r="E15" i="18" s="1"/>
  <c r="F15" i="18" s="1"/>
  <c r="X18" i="33"/>
  <c r="K23" i="12"/>
  <c r="C240" i="16"/>
  <c r="W239" i="16"/>
  <c r="X239" i="16"/>
  <c r="Z239" i="16"/>
  <c r="Y239" i="16"/>
  <c r="T239" i="16"/>
  <c r="U239" i="16"/>
  <c r="V239" i="16"/>
  <c r="C239" i="16"/>
  <c r="W238" i="16"/>
  <c r="X238" i="16"/>
  <c r="Z238" i="16"/>
  <c r="Y238" i="16"/>
  <c r="K237" i="16"/>
  <c r="L237" i="16"/>
  <c r="V238" i="16"/>
  <c r="T238" i="16"/>
  <c r="U238" i="16"/>
  <c r="K236" i="16"/>
  <c r="L236" i="16"/>
  <c r="V237" i="16"/>
  <c r="U237" i="16"/>
  <c r="T237" i="16"/>
  <c r="Y237" i="16"/>
  <c r="W237" i="16"/>
  <c r="X237" i="16"/>
  <c r="Z237" i="16"/>
  <c r="C238" i="16"/>
  <c r="T236" i="16"/>
  <c r="U236" i="16"/>
  <c r="V236" i="16"/>
  <c r="K235" i="16"/>
  <c r="L235" i="16"/>
  <c r="C237" i="16"/>
  <c r="Y236" i="16"/>
  <c r="W236" i="16"/>
  <c r="Z236" i="16"/>
  <c r="X236" i="16"/>
  <c r="K234" i="16"/>
  <c r="L234" i="16"/>
  <c r="C236" i="16"/>
  <c r="Z235" i="16"/>
  <c r="Y235" i="16"/>
  <c r="W235" i="16"/>
  <c r="X235" i="16"/>
  <c r="V235" i="16"/>
  <c r="T235" i="16"/>
  <c r="U235" i="16"/>
  <c r="C235" i="16"/>
  <c r="Y234" i="16"/>
  <c r="X234" i="16"/>
  <c r="Z234" i="16"/>
  <c r="W234" i="16"/>
  <c r="K233" i="16"/>
  <c r="L233" i="16"/>
  <c r="U234" i="16"/>
  <c r="V234" i="16"/>
  <c r="T234" i="16"/>
  <c r="C234" i="16"/>
  <c r="T233" i="16"/>
  <c r="U233" i="16"/>
  <c r="V233" i="16"/>
  <c r="Z233" i="16"/>
  <c r="W233" i="16"/>
  <c r="Y233" i="16"/>
  <c r="X233" i="16"/>
  <c r="L232" i="16"/>
  <c r="K232" i="16"/>
  <c r="K230" i="16"/>
  <c r="L230" i="16"/>
  <c r="L231" i="16"/>
  <c r="K231" i="16"/>
  <c r="U232" i="16"/>
  <c r="V232" i="16"/>
  <c r="T232" i="16"/>
  <c r="W232" i="16"/>
  <c r="Z232" i="16"/>
  <c r="Y232" i="16"/>
  <c r="X232" i="16"/>
  <c r="C233" i="16"/>
  <c r="C232" i="16"/>
  <c r="Y231" i="16"/>
  <c r="W231" i="16"/>
  <c r="Z231" i="16"/>
  <c r="X231" i="16"/>
  <c r="U231" i="16"/>
  <c r="V231" i="16"/>
  <c r="T231" i="16"/>
  <c r="K229" i="16"/>
  <c r="L229" i="16"/>
  <c r="T230" i="16"/>
  <c r="U230" i="16"/>
  <c r="V230" i="16"/>
  <c r="Z230" i="16"/>
  <c r="Y230" i="16"/>
  <c r="X230" i="16"/>
  <c r="W230" i="16"/>
  <c r="C231" i="16"/>
  <c r="C230" i="16"/>
  <c r="W229" i="16"/>
  <c r="X229" i="16"/>
  <c r="Z229" i="16"/>
  <c r="Y229" i="16"/>
  <c r="K228" i="16"/>
  <c r="L228" i="16"/>
  <c r="T229" i="16"/>
  <c r="U229" i="16"/>
  <c r="V229" i="16"/>
  <c r="T228" i="16"/>
  <c r="U228" i="16"/>
  <c r="V228" i="16"/>
  <c r="Z228" i="16"/>
  <c r="W228" i="16"/>
  <c r="Y228" i="16"/>
  <c r="X228" i="16"/>
  <c r="C229" i="16"/>
  <c r="K227" i="16"/>
  <c r="L227" i="16"/>
  <c r="K225" i="16"/>
  <c r="L225" i="16"/>
  <c r="K226" i="16"/>
  <c r="L226" i="16"/>
  <c r="V227" i="16"/>
  <c r="T227" i="16"/>
  <c r="U227" i="16"/>
  <c r="B235" i="16"/>
  <c r="B238" i="16"/>
  <c r="B237" i="16"/>
  <c r="B234" i="16"/>
  <c r="B229" i="16"/>
  <c r="B230" i="16"/>
  <c r="B232" i="16"/>
  <c r="B233" i="16"/>
  <c r="B239" i="16"/>
  <c r="B236" i="16"/>
  <c r="B228" i="16"/>
  <c r="B231" i="16"/>
  <c r="W227" i="16" l="1"/>
  <c r="X227" i="16"/>
  <c r="Z227" i="16"/>
  <c r="Y227" i="16"/>
  <c r="U226" i="16"/>
  <c r="T226" i="16"/>
  <c r="V226" i="16"/>
  <c r="C227" i="16"/>
  <c r="X226" i="16"/>
  <c r="W226" i="16"/>
  <c r="Y226" i="16"/>
  <c r="Z226" i="16"/>
  <c r="K224" i="16"/>
  <c r="L224" i="16"/>
  <c r="C226" i="16"/>
  <c r="Z225" i="16"/>
  <c r="Y225" i="16"/>
  <c r="X225" i="16"/>
  <c r="W225" i="16"/>
  <c r="T225" i="16"/>
  <c r="U225" i="16"/>
  <c r="V225" i="16"/>
  <c r="C225" i="16"/>
  <c r="X224" i="16"/>
  <c r="Z224" i="16"/>
  <c r="Y224" i="16"/>
  <c r="W224" i="16"/>
  <c r="T224" i="16"/>
  <c r="U224" i="16"/>
  <c r="V224" i="16"/>
  <c r="K223" i="16"/>
  <c r="L223" i="16"/>
  <c r="K221" i="16"/>
  <c r="L221" i="16"/>
  <c r="C224" i="16"/>
  <c r="K222" i="16"/>
  <c r="L222" i="16"/>
  <c r="T223" i="16"/>
  <c r="U223" i="16"/>
  <c r="V223" i="16"/>
  <c r="Y223" i="16"/>
  <c r="Z223" i="16"/>
  <c r="X223" i="16"/>
  <c r="W223" i="16"/>
  <c r="T222" i="16"/>
  <c r="U222" i="16"/>
  <c r="V222" i="16"/>
  <c r="Y222" i="16"/>
  <c r="X222" i="16"/>
  <c r="W222" i="16"/>
  <c r="Z222" i="16"/>
  <c r="C223" i="16"/>
  <c r="C222" i="16"/>
  <c r="Z221" i="16"/>
  <c r="W221" i="16"/>
  <c r="X221" i="16"/>
  <c r="Y221" i="16"/>
  <c r="T221" i="16"/>
  <c r="U221" i="16"/>
  <c r="V221" i="16"/>
  <c r="K220" i="16"/>
  <c r="L220" i="16"/>
  <c r="V220" i="16"/>
  <c r="U220" i="16"/>
  <c r="T220" i="16"/>
  <c r="Z220" i="16"/>
  <c r="X220" i="16"/>
  <c r="Y220" i="16"/>
  <c r="W220" i="16"/>
  <c r="K219" i="16"/>
  <c r="L219" i="16"/>
  <c r="C221" i="16"/>
  <c r="K217" i="16"/>
  <c r="L217" i="16"/>
  <c r="W219" i="16"/>
  <c r="Y219" i="16"/>
  <c r="X219" i="16"/>
  <c r="Z219" i="16"/>
  <c r="K218" i="16"/>
  <c r="L218" i="16"/>
  <c r="U219" i="16"/>
  <c r="T219" i="16"/>
  <c r="V219" i="16"/>
  <c r="C220" i="16"/>
  <c r="C219" i="16"/>
  <c r="W218" i="16"/>
  <c r="X218" i="16"/>
  <c r="Z218" i="16"/>
  <c r="Y218" i="16"/>
  <c r="U218" i="16"/>
  <c r="V218" i="16"/>
  <c r="T218" i="16"/>
  <c r="V217" i="16"/>
  <c r="T217" i="16"/>
  <c r="U217" i="16"/>
  <c r="K216" i="16"/>
  <c r="L216" i="16"/>
  <c r="C218" i="16"/>
  <c r="X217" i="16"/>
  <c r="Z217" i="16"/>
  <c r="W217" i="16"/>
  <c r="Y217" i="16"/>
  <c r="W216" i="16"/>
  <c r="X216" i="16"/>
  <c r="Y216" i="16"/>
  <c r="Z216" i="16"/>
  <c r="C217" i="16"/>
  <c r="K215" i="16"/>
  <c r="L215" i="16"/>
  <c r="V216" i="16"/>
  <c r="T216" i="16"/>
  <c r="U216" i="16"/>
  <c r="U215" i="16"/>
  <c r="V215" i="16"/>
  <c r="T215" i="16"/>
  <c r="K214" i="16"/>
  <c r="L214" i="16"/>
  <c r="C216" i="16"/>
  <c r="W215" i="16"/>
  <c r="X215" i="16"/>
  <c r="Y215" i="16"/>
  <c r="Z215" i="16"/>
  <c r="C215" i="16"/>
  <c r="Y214" i="16"/>
  <c r="X214" i="16"/>
  <c r="Z214" i="16"/>
  <c r="W214" i="16"/>
  <c r="K213" i="16"/>
  <c r="L213" i="16"/>
  <c r="T214" i="16"/>
  <c r="V214" i="16"/>
  <c r="U214" i="16"/>
  <c r="T213" i="16"/>
  <c r="U213" i="16"/>
  <c r="V213" i="16"/>
  <c r="L212" i="16"/>
  <c r="K212" i="16"/>
  <c r="C214" i="16"/>
  <c r="Z213" i="16"/>
  <c r="X213" i="16"/>
  <c r="Y213" i="16"/>
  <c r="W213" i="16"/>
  <c r="K210" i="16"/>
  <c r="L210" i="16"/>
  <c r="W212" i="16"/>
  <c r="Z212" i="16"/>
  <c r="X212" i="16"/>
  <c r="Y212" i="16"/>
  <c r="K211" i="16"/>
  <c r="L211" i="16"/>
  <c r="B224" i="16"/>
  <c r="B218" i="16"/>
  <c r="B225" i="16"/>
  <c r="B221" i="16"/>
  <c r="B227" i="16"/>
  <c r="B219" i="16"/>
  <c r="B214" i="16"/>
  <c r="B215" i="16"/>
  <c r="B226" i="16"/>
  <c r="B213" i="16"/>
  <c r="B223" i="16"/>
  <c r="B220" i="16"/>
  <c r="B222" i="16"/>
  <c r="B216" i="16"/>
  <c r="B217" i="16"/>
  <c r="B24" i="12" l="1"/>
  <c r="B25" i="12" s="1"/>
  <c r="B26" i="12" s="1"/>
  <c r="B27" i="12" s="1"/>
  <c r="B28" i="12" s="1"/>
  <c r="C213" i="16"/>
  <c r="T212" i="16"/>
  <c r="U212" i="16"/>
  <c r="V212" i="16"/>
  <c r="T211" i="16"/>
  <c r="V211" i="16"/>
  <c r="U211" i="16"/>
  <c r="C212" i="16"/>
  <c r="Y211" i="16"/>
  <c r="X211" i="16"/>
  <c r="Z211" i="16"/>
  <c r="C211" i="16"/>
  <c r="K56" i="21"/>
  <c r="W346" i="16" s="1"/>
  <c r="Z210" i="16"/>
  <c r="Y210" i="16"/>
  <c r="K55" i="21"/>
  <c r="K209" i="16"/>
  <c r="L209" i="16"/>
  <c r="T210" i="16"/>
  <c r="U210" i="16"/>
  <c r="V210" i="16"/>
  <c r="U209" i="16"/>
  <c r="T209" i="16"/>
  <c r="V209" i="16"/>
  <c r="K208" i="16"/>
  <c r="L208" i="16"/>
  <c r="C210" i="16"/>
  <c r="Z209" i="16"/>
  <c r="W209" i="16"/>
  <c r="X209" i="16"/>
  <c r="Y209" i="16"/>
  <c r="K207" i="16"/>
  <c r="L207" i="16"/>
  <c r="T208" i="16"/>
  <c r="U208" i="16"/>
  <c r="V208" i="16"/>
  <c r="C209" i="16"/>
  <c r="X208" i="16"/>
  <c r="Y208" i="16"/>
  <c r="Z208" i="16"/>
  <c r="W208" i="16"/>
  <c r="K205" i="16"/>
  <c r="L205" i="16"/>
  <c r="T207" i="16"/>
  <c r="U207" i="16"/>
  <c r="V207" i="16"/>
  <c r="K206" i="16"/>
  <c r="L206" i="16"/>
  <c r="B212" i="16"/>
  <c r="B208" i="16"/>
  <c r="B209" i="16"/>
  <c r="B210" i="16"/>
  <c r="B211" i="16"/>
  <c r="W344" i="16" l="1"/>
  <c r="W345" i="16"/>
  <c r="B23" i="12"/>
  <c r="C208" i="16"/>
  <c r="W207" i="16"/>
  <c r="Z207" i="16"/>
  <c r="X207" i="16"/>
  <c r="Y207" i="16"/>
  <c r="C207" i="16"/>
  <c r="W206" i="16"/>
  <c r="X206" i="16"/>
  <c r="Y206" i="16"/>
  <c r="Z206" i="16"/>
  <c r="V206" i="16"/>
  <c r="T206" i="16"/>
  <c r="U206" i="16"/>
  <c r="T205" i="16"/>
  <c r="U205" i="16"/>
  <c r="V205" i="16"/>
  <c r="C206" i="16"/>
  <c r="K204" i="16"/>
  <c r="L204" i="16"/>
  <c r="X205" i="16"/>
  <c r="Z205" i="16"/>
  <c r="Y205" i="16"/>
  <c r="W205" i="16"/>
  <c r="C205" i="16"/>
  <c r="W204" i="16"/>
  <c r="Y204" i="16"/>
  <c r="Z204" i="16"/>
  <c r="X204" i="16"/>
  <c r="U204" i="16"/>
  <c r="V204" i="16"/>
  <c r="T204" i="16"/>
  <c r="K203" i="16"/>
  <c r="L203" i="16"/>
  <c r="K201" i="16"/>
  <c r="L201" i="16"/>
  <c r="C204" i="16"/>
  <c r="X203" i="16"/>
  <c r="Y203" i="16"/>
  <c r="Z203" i="16"/>
  <c r="L202" i="16"/>
  <c r="K202" i="16"/>
  <c r="U203" i="16"/>
  <c r="T203" i="16"/>
  <c r="V203" i="16"/>
  <c r="K200" i="16"/>
  <c r="L200" i="16"/>
  <c r="T202" i="16"/>
  <c r="U202" i="16"/>
  <c r="V202" i="16"/>
  <c r="B204" i="16"/>
  <c r="B206" i="16"/>
  <c r="B203" i="16"/>
  <c r="B205" i="16"/>
  <c r="B207" i="16"/>
  <c r="C203" i="16" l="1"/>
  <c r="K54" i="21"/>
  <c r="W343" i="16" s="1"/>
  <c r="X202" i="16"/>
  <c r="Y202" i="16"/>
  <c r="Z202" i="16"/>
  <c r="T201" i="16"/>
  <c r="U201" i="16"/>
  <c r="V201" i="16"/>
  <c r="Y201" i="16"/>
  <c r="X201" i="16"/>
  <c r="Z201" i="16"/>
  <c r="W201" i="16"/>
  <c r="C202" i="16"/>
  <c r="K199" i="16"/>
  <c r="L199" i="16"/>
  <c r="C201" i="16"/>
  <c r="Z200" i="16"/>
  <c r="W200" i="16"/>
  <c r="X200" i="16"/>
  <c r="Y200" i="16"/>
  <c r="U200" i="16"/>
  <c r="V200" i="16"/>
  <c r="T200" i="16"/>
  <c r="K197" i="16"/>
  <c r="L197" i="16"/>
  <c r="U199" i="16"/>
  <c r="V199" i="16"/>
  <c r="T199" i="16"/>
  <c r="K198" i="16"/>
  <c r="L198" i="16"/>
  <c r="Z199" i="16"/>
  <c r="W199" i="16"/>
  <c r="X199" i="16"/>
  <c r="Y199" i="16"/>
  <c r="C200" i="16"/>
  <c r="K196" i="16"/>
  <c r="L196" i="16"/>
  <c r="U198" i="16"/>
  <c r="V198" i="16"/>
  <c r="T198" i="16"/>
  <c r="C199" i="16"/>
  <c r="W198" i="16"/>
  <c r="X198" i="16"/>
  <c r="Z198" i="16"/>
  <c r="Y198" i="16"/>
  <c r="T197" i="16"/>
  <c r="U197" i="16"/>
  <c r="V197" i="16"/>
  <c r="C198" i="16"/>
  <c r="W197" i="16"/>
  <c r="X197" i="16"/>
  <c r="Z197" i="16"/>
  <c r="Y197" i="16"/>
  <c r="K195" i="16"/>
  <c r="L195" i="16"/>
  <c r="C197" i="16"/>
  <c r="Z196" i="16"/>
  <c r="W196" i="16"/>
  <c r="Y196" i="16"/>
  <c r="X196" i="16"/>
  <c r="T196" i="16"/>
  <c r="U196" i="16"/>
  <c r="V196" i="16"/>
  <c r="C196" i="16"/>
  <c r="K194" i="16"/>
  <c r="L194" i="16"/>
  <c r="Z195" i="16"/>
  <c r="X195" i="16"/>
  <c r="Y195" i="16"/>
  <c r="W195" i="16"/>
  <c r="T195" i="16"/>
  <c r="U195" i="16"/>
  <c r="V195" i="16"/>
  <c r="K192" i="16"/>
  <c r="L192" i="16"/>
  <c r="T194" i="16"/>
  <c r="V194" i="16"/>
  <c r="U194" i="16"/>
  <c r="K193" i="16"/>
  <c r="L193" i="16"/>
  <c r="B195" i="16"/>
  <c r="B197" i="16"/>
  <c r="B196" i="16"/>
  <c r="B200" i="16"/>
  <c r="B198" i="16"/>
  <c r="B201" i="16"/>
  <c r="B199" i="16"/>
  <c r="B202" i="16"/>
  <c r="W342" i="16" l="1"/>
  <c r="T15" i="12"/>
  <c r="T16" i="12" s="1"/>
  <c r="T17" i="12" s="1"/>
  <c r="T18" i="12" s="1"/>
  <c r="T19" i="12" s="1"/>
  <c r="C195" i="16"/>
  <c r="X194" i="16"/>
  <c r="Z194" i="16"/>
  <c r="W194" i="16"/>
  <c r="Y194" i="16"/>
  <c r="U193" i="16"/>
  <c r="T193" i="16"/>
  <c r="V193" i="16"/>
  <c r="C194" i="16"/>
  <c r="W193" i="16"/>
  <c r="Y193" i="16"/>
  <c r="Z193" i="16"/>
  <c r="X193" i="16"/>
  <c r="L191" i="16"/>
  <c r="K191" i="16"/>
  <c r="B193" i="16"/>
  <c r="B194" i="16"/>
  <c r="T14" i="12" l="1"/>
  <c r="W192" i="16"/>
  <c r="X192" i="16"/>
  <c r="Z192" i="16"/>
  <c r="Y192" i="16"/>
  <c r="T192" i="16"/>
  <c r="V192" i="16"/>
  <c r="U192" i="16"/>
  <c r="T191" i="16"/>
  <c r="V191" i="16"/>
  <c r="U191" i="16"/>
  <c r="Z191" i="16"/>
  <c r="Y191" i="16"/>
  <c r="X191" i="16"/>
  <c r="W191" i="16"/>
  <c r="K190" i="16"/>
  <c r="L190" i="16"/>
  <c r="C192" i="16"/>
  <c r="H186" i="16"/>
  <c r="T190" i="16"/>
  <c r="V190" i="16"/>
  <c r="U190" i="16"/>
  <c r="K189" i="16"/>
  <c r="L189" i="16"/>
  <c r="C191" i="16"/>
  <c r="W190" i="16"/>
  <c r="Z190" i="16"/>
  <c r="X190" i="16"/>
  <c r="Y190" i="16"/>
  <c r="U189" i="16"/>
  <c r="V189" i="16"/>
  <c r="T189" i="16"/>
  <c r="C190" i="16"/>
  <c r="Z189" i="16"/>
  <c r="X189" i="16"/>
  <c r="Y189" i="16"/>
  <c r="W189" i="16"/>
  <c r="K188" i="16"/>
  <c r="L188" i="16"/>
  <c r="Q186" i="16"/>
  <c r="S186" i="16"/>
  <c r="R186" i="16"/>
  <c r="P186" i="16"/>
  <c r="O186" i="16"/>
  <c r="N186" i="16"/>
  <c r="K186" i="16"/>
  <c r="L186" i="16"/>
  <c r="K187" i="16"/>
  <c r="L187" i="16"/>
  <c r="V188" i="16"/>
  <c r="T188" i="16"/>
  <c r="U188" i="16"/>
  <c r="X188" i="16"/>
  <c r="W188" i="16"/>
  <c r="Y188" i="16"/>
  <c r="Z188" i="16"/>
  <c r="C189" i="16"/>
  <c r="M186" i="16"/>
  <c r="K185" i="16"/>
  <c r="L185" i="16"/>
  <c r="C188" i="16"/>
  <c r="Z187" i="16"/>
  <c r="Y187" i="16"/>
  <c r="W187" i="16"/>
  <c r="X187" i="16"/>
  <c r="V187" i="16"/>
  <c r="T187" i="16"/>
  <c r="U187" i="16"/>
  <c r="K184" i="16"/>
  <c r="L184" i="16"/>
  <c r="C187" i="16"/>
  <c r="W186" i="16"/>
  <c r="Z186" i="16"/>
  <c r="X186" i="16"/>
  <c r="Y186" i="16"/>
  <c r="T186" i="16"/>
  <c r="V186" i="16"/>
  <c r="U186" i="16"/>
  <c r="C186" i="16"/>
  <c r="Y185" i="16"/>
  <c r="W185" i="16"/>
  <c r="X185" i="16"/>
  <c r="Z185" i="16"/>
  <c r="V185" i="16"/>
  <c r="T185" i="16"/>
  <c r="U185" i="16"/>
  <c r="U184" i="16"/>
  <c r="T184" i="16"/>
  <c r="V184" i="16"/>
  <c r="C185" i="16"/>
  <c r="Y184" i="16"/>
  <c r="X184" i="16"/>
  <c r="Z184" i="16"/>
  <c r="W184" i="16"/>
  <c r="L183" i="16"/>
  <c r="K183" i="16"/>
  <c r="T183" i="16"/>
  <c r="U183" i="16"/>
  <c r="V183" i="16"/>
  <c r="K182" i="16"/>
  <c r="L182" i="16"/>
  <c r="J3" i="18"/>
  <c r="M3" i="18"/>
  <c r="B190" i="16"/>
  <c r="B184" i="16"/>
  <c r="N3" i="18"/>
  <c r="K10" i="18"/>
  <c r="J10" i="18"/>
  <c r="B192" i="16"/>
  <c r="O3" i="18"/>
  <c r="B188" i="16"/>
  <c r="L3" i="18"/>
  <c r="B189" i="16"/>
  <c r="B185" i="16"/>
  <c r="K3" i="18"/>
  <c r="B191" i="16"/>
  <c r="L10" i="18"/>
  <c r="B187" i="16"/>
  <c r="B186" i="16"/>
  <c r="O10" i="18"/>
  <c r="N10" i="18"/>
  <c r="M10" i="18"/>
  <c r="I3" i="18"/>
  <c r="I10" i="18"/>
  <c r="AD31" i="34" l="1"/>
  <c r="E31" i="34" s="1"/>
  <c r="E79" i="34" s="1"/>
  <c r="AD3" i="34"/>
  <c r="E3" i="34" s="1"/>
  <c r="E51" i="34" s="1"/>
  <c r="M16" i="18"/>
  <c r="O16" i="18"/>
  <c r="N16" i="18"/>
  <c r="AD10" i="18"/>
  <c r="E10" i="18" s="1"/>
  <c r="E23" i="18" s="1"/>
  <c r="AD3" i="18"/>
  <c r="M23" i="18"/>
  <c r="O23" i="18"/>
  <c r="N23" i="18"/>
  <c r="C184" i="16"/>
  <c r="Y183" i="16"/>
  <c r="Z183" i="16"/>
  <c r="W183" i="16"/>
  <c r="X183" i="16"/>
  <c r="K180" i="16"/>
  <c r="L180" i="16"/>
  <c r="L181" i="16"/>
  <c r="K181" i="16"/>
  <c r="W182" i="16"/>
  <c r="X182" i="16"/>
  <c r="Z182" i="16"/>
  <c r="Y182" i="16"/>
  <c r="B183" i="16"/>
  <c r="F51" i="34" l="1"/>
  <c r="F23" i="18"/>
  <c r="AC29" i="18"/>
  <c r="E3" i="18"/>
  <c r="E16" i="18" s="1"/>
  <c r="F16" i="18" s="1"/>
  <c r="AC36" i="18"/>
  <c r="C183" i="16"/>
  <c r="V182" i="16"/>
  <c r="U182" i="16"/>
  <c r="T182" i="16"/>
  <c r="C182" i="16"/>
  <c r="X181" i="16"/>
  <c r="Y181" i="16"/>
  <c r="W181" i="16"/>
  <c r="Z181" i="16"/>
  <c r="T181" i="16"/>
  <c r="U181" i="16"/>
  <c r="V181" i="16"/>
  <c r="K179" i="16"/>
  <c r="L179" i="16"/>
  <c r="C181" i="16"/>
  <c r="Z180" i="16"/>
  <c r="W180" i="16"/>
  <c r="X180" i="16"/>
  <c r="Y180" i="16"/>
  <c r="U180" i="16"/>
  <c r="T180" i="16"/>
  <c r="V180" i="16"/>
  <c r="K178" i="16"/>
  <c r="L178" i="16"/>
  <c r="V179" i="16"/>
  <c r="T179" i="16"/>
  <c r="U179" i="16"/>
  <c r="C180" i="16"/>
  <c r="Z179" i="16"/>
  <c r="Y179" i="16"/>
  <c r="W179" i="16"/>
  <c r="X179" i="16"/>
  <c r="V178" i="16"/>
  <c r="T178" i="16"/>
  <c r="U178" i="16"/>
  <c r="Z178" i="16"/>
  <c r="X178" i="16"/>
  <c r="W178" i="16"/>
  <c r="Y178" i="16"/>
  <c r="C179" i="16"/>
  <c r="K177" i="16"/>
  <c r="L177" i="16"/>
  <c r="K175" i="16"/>
  <c r="L175" i="16"/>
  <c r="V177" i="16"/>
  <c r="T177" i="16"/>
  <c r="U177" i="16"/>
  <c r="B181" i="16"/>
  <c r="B178" i="16"/>
  <c r="B182" i="16"/>
  <c r="B179" i="16"/>
  <c r="B180" i="16"/>
  <c r="O3" i="32" l="1"/>
  <c r="C178" i="16"/>
  <c r="Y177" i="16"/>
  <c r="Z177" i="16"/>
  <c r="W177" i="16"/>
  <c r="X177" i="16"/>
  <c r="K176" i="16"/>
  <c r="L176" i="16"/>
  <c r="C177" i="16"/>
  <c r="Y176" i="16"/>
  <c r="W176" i="16"/>
  <c r="Z176" i="16"/>
  <c r="X176" i="16"/>
  <c r="T176" i="16"/>
  <c r="V176" i="16"/>
  <c r="U176" i="16"/>
  <c r="L174" i="16"/>
  <c r="K174" i="16"/>
  <c r="C176" i="16"/>
  <c r="X175" i="16"/>
  <c r="W175" i="16"/>
  <c r="Y175" i="16"/>
  <c r="Z175" i="16"/>
  <c r="T175" i="16"/>
  <c r="V175" i="16"/>
  <c r="U175" i="16"/>
  <c r="K172" i="16"/>
  <c r="L172" i="16"/>
  <c r="Y174" i="16"/>
  <c r="X174" i="16"/>
  <c r="Z174" i="16"/>
  <c r="W174" i="16"/>
  <c r="K173" i="16"/>
  <c r="L173" i="16"/>
  <c r="C175" i="16"/>
  <c r="T174" i="16"/>
  <c r="V174" i="16"/>
  <c r="U174" i="16"/>
  <c r="C174" i="16"/>
  <c r="X173" i="16"/>
  <c r="Z173" i="16"/>
  <c r="Y173" i="16"/>
  <c r="T173" i="16"/>
  <c r="U173" i="16"/>
  <c r="V173" i="16"/>
  <c r="U172" i="16"/>
  <c r="V172" i="16"/>
  <c r="T172" i="16"/>
  <c r="L171" i="16"/>
  <c r="K171" i="16"/>
  <c r="C173" i="16"/>
  <c r="K53" i="21"/>
  <c r="W341" i="16" s="1"/>
  <c r="X172" i="16"/>
  <c r="Y172" i="16"/>
  <c r="Z172" i="16"/>
  <c r="T171" i="16"/>
  <c r="U171" i="16"/>
  <c r="V171" i="16"/>
  <c r="K52" i="21"/>
  <c r="W328" i="16" s="1"/>
  <c r="X171" i="16"/>
  <c r="Y171" i="16"/>
  <c r="Z171" i="16"/>
  <c r="C172" i="16"/>
  <c r="K170" i="16"/>
  <c r="L170" i="16"/>
  <c r="C171" i="16"/>
  <c r="X170" i="16"/>
  <c r="Z170" i="16"/>
  <c r="Y170" i="16"/>
  <c r="V170" i="16"/>
  <c r="U170" i="16"/>
  <c r="T170" i="16"/>
  <c r="K169" i="16"/>
  <c r="L169" i="16"/>
  <c r="T169" i="16"/>
  <c r="V169" i="16"/>
  <c r="U169" i="16"/>
  <c r="C170" i="16"/>
  <c r="K168" i="16"/>
  <c r="L168" i="16"/>
  <c r="W169" i="16"/>
  <c r="X169" i="16"/>
  <c r="Z169" i="16"/>
  <c r="Y169" i="16"/>
  <c r="K167" i="16"/>
  <c r="L167" i="16"/>
  <c r="V168" i="16"/>
  <c r="U168" i="16"/>
  <c r="T168" i="16"/>
  <c r="B169" i="16"/>
  <c r="B175" i="16"/>
  <c r="B172" i="16"/>
  <c r="B177" i="16"/>
  <c r="B171" i="16"/>
  <c r="B170" i="16"/>
  <c r="B176" i="16"/>
  <c r="B173" i="16"/>
  <c r="B174" i="16"/>
  <c r="W340" i="16" l="1"/>
  <c r="W327" i="16"/>
  <c r="C169" i="16"/>
  <c r="X168" i="16"/>
  <c r="Z168" i="16"/>
  <c r="W168" i="16"/>
  <c r="Y168" i="16"/>
  <c r="U167" i="16"/>
  <c r="V167" i="16"/>
  <c r="T167" i="16"/>
  <c r="C168" i="16"/>
  <c r="Y167" i="16"/>
  <c r="W167" i="16"/>
  <c r="X167" i="16"/>
  <c r="Z167" i="16"/>
  <c r="K166" i="16"/>
  <c r="L166" i="16"/>
  <c r="L165" i="16"/>
  <c r="K165" i="16"/>
  <c r="V166" i="16"/>
  <c r="U166" i="16"/>
  <c r="T166" i="16"/>
  <c r="Z166" i="16"/>
  <c r="Y166" i="16"/>
  <c r="W166" i="16"/>
  <c r="X166" i="16"/>
  <c r="C167" i="16"/>
  <c r="U165" i="16"/>
  <c r="V165" i="16"/>
  <c r="T165" i="16"/>
  <c r="K164" i="16"/>
  <c r="L164" i="16"/>
  <c r="C166" i="16"/>
  <c r="W165" i="16"/>
  <c r="Y165" i="16"/>
  <c r="Z165" i="16"/>
  <c r="X165" i="16"/>
  <c r="U164" i="16"/>
  <c r="V164" i="16"/>
  <c r="T164" i="16"/>
  <c r="Y164" i="16"/>
  <c r="W164" i="16"/>
  <c r="Z164" i="16"/>
  <c r="X164" i="16"/>
  <c r="K163" i="16"/>
  <c r="L163" i="16"/>
  <c r="K161" i="16"/>
  <c r="L161" i="16"/>
  <c r="U163" i="16"/>
  <c r="T163" i="16"/>
  <c r="V163" i="16"/>
  <c r="L162" i="16"/>
  <c r="K162" i="16"/>
  <c r="B166" i="16"/>
  <c r="B168" i="16"/>
  <c r="B165" i="16"/>
  <c r="B167" i="16"/>
  <c r="B164" i="16"/>
  <c r="C164" i="16" l="1"/>
  <c r="Z163" i="16"/>
  <c r="Y163" i="16"/>
  <c r="W163" i="16"/>
  <c r="X163" i="16"/>
  <c r="C163" i="16"/>
  <c r="X162" i="16"/>
  <c r="Y162" i="16"/>
  <c r="W162" i="16"/>
  <c r="Z162" i="16"/>
  <c r="T162" i="16"/>
  <c r="U162" i="16"/>
  <c r="V162" i="16"/>
  <c r="C162" i="16"/>
  <c r="Y161" i="16"/>
  <c r="Z161" i="16"/>
  <c r="X161" i="16"/>
  <c r="T161" i="16"/>
  <c r="U161" i="16"/>
  <c r="V161" i="16"/>
  <c r="K160" i="16"/>
  <c r="L160" i="16"/>
  <c r="L159" i="16"/>
  <c r="K159" i="16"/>
  <c r="T160" i="16"/>
  <c r="U160" i="16"/>
  <c r="V160" i="16"/>
  <c r="C161" i="16"/>
  <c r="Y160" i="16"/>
  <c r="Z160" i="16"/>
  <c r="K51" i="21"/>
  <c r="W325" i="16" s="1"/>
  <c r="X160" i="16"/>
  <c r="W159" i="16"/>
  <c r="X159" i="16"/>
  <c r="Z159" i="16"/>
  <c r="Y159" i="16"/>
  <c r="C160" i="16"/>
  <c r="K158" i="16"/>
  <c r="L158" i="16"/>
  <c r="T159" i="16"/>
  <c r="V159" i="16"/>
  <c r="U159" i="16"/>
  <c r="K156" i="16"/>
  <c r="L156" i="16"/>
  <c r="K157" i="16"/>
  <c r="L157" i="16"/>
  <c r="V158" i="16"/>
  <c r="U158" i="16"/>
  <c r="T158" i="16"/>
  <c r="C159" i="16"/>
  <c r="W158" i="16"/>
  <c r="X158" i="16"/>
  <c r="Z158" i="16"/>
  <c r="Y158" i="16"/>
  <c r="U157" i="16"/>
  <c r="V157" i="16"/>
  <c r="T157" i="16"/>
  <c r="C158" i="16"/>
  <c r="X157" i="16"/>
  <c r="Z157" i="16"/>
  <c r="Y157" i="16"/>
  <c r="W157" i="16"/>
  <c r="T156" i="16"/>
  <c r="U156" i="16"/>
  <c r="V156" i="16"/>
  <c r="C157" i="16"/>
  <c r="W156" i="16"/>
  <c r="X156" i="16"/>
  <c r="Z156" i="16"/>
  <c r="Y156" i="16"/>
  <c r="K155" i="16"/>
  <c r="L155" i="16"/>
  <c r="W155" i="16"/>
  <c r="Y155" i="16"/>
  <c r="X155" i="16"/>
  <c r="Z155" i="16"/>
  <c r="K153" i="16"/>
  <c r="L153" i="16"/>
  <c r="B162" i="16"/>
  <c r="B160" i="16"/>
  <c r="B158" i="16"/>
  <c r="B163" i="16"/>
  <c r="B159" i="16"/>
  <c r="B156" i="16"/>
  <c r="B157" i="16"/>
  <c r="B161" i="16"/>
  <c r="W324" i="16" l="1"/>
  <c r="K15" i="12"/>
  <c r="K16" i="12" s="1"/>
  <c r="K17" i="12" s="1"/>
  <c r="K18" i="12" s="1"/>
  <c r="K19" i="12" s="1"/>
  <c r="C156" i="16"/>
  <c r="L154" i="16"/>
  <c r="K154" i="16"/>
  <c r="T155" i="16"/>
  <c r="V155" i="16"/>
  <c r="U155" i="16"/>
  <c r="K152" i="16"/>
  <c r="L152" i="16"/>
  <c r="T154" i="16"/>
  <c r="U154" i="16"/>
  <c r="V154" i="16"/>
  <c r="B155" i="16"/>
  <c r="K14" i="12" l="1"/>
  <c r="C155" i="16"/>
  <c r="Y154" i="16"/>
  <c r="Z154" i="16"/>
  <c r="X154" i="16"/>
  <c r="W154" i="16"/>
  <c r="W153" i="16"/>
  <c r="X153" i="16"/>
  <c r="Y153" i="16"/>
  <c r="Z153" i="16"/>
  <c r="U153" i="16"/>
  <c r="T153" i="16"/>
  <c r="V153" i="16"/>
  <c r="K151" i="16"/>
  <c r="L151" i="16"/>
  <c r="C154" i="16"/>
  <c r="K150" i="16"/>
  <c r="L150" i="16"/>
  <c r="C153" i="16"/>
  <c r="Z152" i="16"/>
  <c r="Y152" i="16"/>
  <c r="X152" i="16"/>
  <c r="T152" i="16"/>
  <c r="U152" i="16"/>
  <c r="V152" i="16"/>
  <c r="K149" i="16"/>
  <c r="L149" i="16"/>
  <c r="C152" i="16"/>
  <c r="T151" i="16"/>
  <c r="U151" i="16"/>
  <c r="V151" i="16"/>
  <c r="X151" i="16"/>
  <c r="K50" i="21"/>
  <c r="Y151" i="16"/>
  <c r="Z151" i="16"/>
  <c r="C151" i="16"/>
  <c r="Z150" i="16"/>
  <c r="Y150" i="16"/>
  <c r="K48" i="21"/>
  <c r="W290" i="16" s="1"/>
  <c r="K49" i="21"/>
  <c r="W305" i="16" s="1"/>
  <c r="T150" i="16"/>
  <c r="U150" i="16"/>
  <c r="V150" i="16"/>
  <c r="C150" i="16"/>
  <c r="Y149" i="16"/>
  <c r="Z149" i="16"/>
  <c r="K47" i="21"/>
  <c r="X149" i="16"/>
  <c r="K148" i="16"/>
  <c r="L148" i="16"/>
  <c r="U149" i="16"/>
  <c r="V149" i="16"/>
  <c r="T149" i="16"/>
  <c r="K146" i="16"/>
  <c r="L146" i="16"/>
  <c r="V148" i="16"/>
  <c r="T148" i="16"/>
  <c r="U148" i="16"/>
  <c r="C149" i="16"/>
  <c r="Y148" i="16"/>
  <c r="K45" i="21"/>
  <c r="K46" i="21"/>
  <c r="W261" i="16" s="1"/>
  <c r="Z148" i="16"/>
  <c r="K147" i="16"/>
  <c r="L147" i="16"/>
  <c r="K145" i="16"/>
  <c r="L145" i="16"/>
  <c r="T147" i="16"/>
  <c r="V147" i="16"/>
  <c r="U147" i="16"/>
  <c r="B150" i="16"/>
  <c r="B151" i="16"/>
  <c r="B148" i="16"/>
  <c r="B149" i="16"/>
  <c r="B153" i="16"/>
  <c r="B154" i="16"/>
  <c r="B152" i="16"/>
  <c r="X262" i="16" l="1"/>
  <c r="W263" i="16"/>
  <c r="W246" i="16"/>
  <c r="W247" i="16"/>
  <c r="W313" i="16"/>
  <c r="W314" i="16"/>
  <c r="X148" i="16"/>
  <c r="W262" i="16"/>
  <c r="X150" i="16"/>
  <c r="W304" i="16"/>
  <c r="W289" i="16"/>
  <c r="W152" i="16"/>
  <c r="C148" i="16"/>
  <c r="X147" i="16"/>
  <c r="Y147" i="16"/>
  <c r="Z147" i="16"/>
  <c r="K44" i="21"/>
  <c r="W211" i="16" s="1"/>
  <c r="V146" i="16"/>
  <c r="U146" i="16"/>
  <c r="T146" i="16"/>
  <c r="C147" i="16"/>
  <c r="W146" i="16"/>
  <c r="X146" i="16"/>
  <c r="Z146" i="16"/>
  <c r="Y146" i="16"/>
  <c r="L144" i="16"/>
  <c r="K144" i="16"/>
  <c r="Y145" i="16"/>
  <c r="Z145" i="16"/>
  <c r="X145" i="16"/>
  <c r="W145" i="16"/>
  <c r="C146" i="16"/>
  <c r="T145" i="16"/>
  <c r="U145" i="16"/>
  <c r="V145" i="16"/>
  <c r="X144" i="16"/>
  <c r="Y144" i="16"/>
  <c r="Z144" i="16"/>
  <c r="W144" i="16"/>
  <c r="C145" i="16"/>
  <c r="T144" i="16"/>
  <c r="U144" i="16"/>
  <c r="V144" i="16"/>
  <c r="L143" i="16"/>
  <c r="K143" i="16"/>
  <c r="V143" i="16"/>
  <c r="U143" i="16"/>
  <c r="T143" i="16"/>
  <c r="K142" i="16"/>
  <c r="L142" i="16"/>
  <c r="C144" i="16"/>
  <c r="Y143" i="16"/>
  <c r="Z143" i="16"/>
  <c r="X143" i="16"/>
  <c r="K43" i="21"/>
  <c r="W203" i="16" s="1"/>
  <c r="K140" i="16"/>
  <c r="L140" i="16"/>
  <c r="T142" i="16"/>
  <c r="V142" i="16"/>
  <c r="U142" i="16"/>
  <c r="X142" i="16"/>
  <c r="Y142" i="16"/>
  <c r="Z142" i="16"/>
  <c r="W142" i="16"/>
  <c r="C143" i="16"/>
  <c r="K141" i="16"/>
  <c r="L141" i="16"/>
  <c r="W141" i="16"/>
  <c r="X141" i="16"/>
  <c r="Y141" i="16"/>
  <c r="Z141" i="16"/>
  <c r="T141" i="16"/>
  <c r="U141" i="16"/>
  <c r="V141" i="16"/>
  <c r="C142" i="16"/>
  <c r="K138" i="16"/>
  <c r="L138" i="16"/>
  <c r="K139" i="16"/>
  <c r="L139" i="16"/>
  <c r="B145" i="16"/>
  <c r="B142" i="16"/>
  <c r="B146" i="16"/>
  <c r="B147" i="16"/>
  <c r="B141" i="16"/>
  <c r="B144" i="16"/>
  <c r="B143" i="16"/>
  <c r="W143" i="16" l="1"/>
  <c r="W210" i="16"/>
  <c r="X210" i="16"/>
  <c r="C141" i="16"/>
  <c r="Z140" i="16"/>
  <c r="Y140" i="16"/>
  <c r="X140" i="16"/>
  <c r="W140" i="16"/>
  <c r="T140" i="16"/>
  <c r="U140" i="16"/>
  <c r="V140" i="16"/>
  <c r="C140" i="16"/>
  <c r="Z139" i="16"/>
  <c r="Y139" i="16"/>
  <c r="W139" i="16"/>
  <c r="X139" i="16"/>
  <c r="V139" i="16"/>
  <c r="T139" i="16"/>
  <c r="U139" i="16"/>
  <c r="C139" i="16"/>
  <c r="K137" i="16"/>
  <c r="L137" i="16"/>
  <c r="W138" i="16"/>
  <c r="Z138" i="16"/>
  <c r="Y138" i="16"/>
  <c r="X138" i="16"/>
  <c r="V138" i="16"/>
  <c r="T138" i="16"/>
  <c r="U138" i="16"/>
  <c r="K135" i="16"/>
  <c r="L135" i="16"/>
  <c r="H132" i="16"/>
  <c r="V137" i="16"/>
  <c r="U137" i="16"/>
  <c r="T137" i="16"/>
  <c r="K136" i="16"/>
  <c r="L136" i="16"/>
  <c r="C138" i="16"/>
  <c r="Z137" i="16"/>
  <c r="W137" i="16"/>
  <c r="X137" i="16"/>
  <c r="Y137" i="16"/>
  <c r="W136" i="16"/>
  <c r="X136" i="16"/>
  <c r="Y136" i="16"/>
  <c r="Z136" i="16"/>
  <c r="K134" i="16"/>
  <c r="L134" i="16"/>
  <c r="T136" i="16"/>
  <c r="V136" i="16"/>
  <c r="U136" i="16"/>
  <c r="V135" i="16"/>
  <c r="U135" i="16"/>
  <c r="T135" i="16"/>
  <c r="N132" i="16"/>
  <c r="P132" i="16"/>
  <c r="R132" i="16"/>
  <c r="O132" i="16"/>
  <c r="Q132" i="16"/>
  <c r="S132" i="16"/>
  <c r="C136" i="16"/>
  <c r="Y135" i="16"/>
  <c r="Z135" i="16"/>
  <c r="X135" i="16"/>
  <c r="W135" i="16"/>
  <c r="M132" i="16"/>
  <c r="T134" i="16"/>
  <c r="U134" i="16"/>
  <c r="V134" i="16"/>
  <c r="K133" i="16"/>
  <c r="L133" i="16"/>
  <c r="C135" i="16"/>
  <c r="W134" i="16"/>
  <c r="Z134" i="16"/>
  <c r="X134" i="16"/>
  <c r="Y134" i="16"/>
  <c r="T133" i="16"/>
  <c r="U133" i="16"/>
  <c r="V133" i="16"/>
  <c r="C134" i="16"/>
  <c r="W133" i="16"/>
  <c r="Y133" i="16"/>
  <c r="X133" i="16"/>
  <c r="Z133" i="16"/>
  <c r="K132" i="16"/>
  <c r="L132" i="16"/>
  <c r="K131" i="16"/>
  <c r="L131" i="16"/>
  <c r="U132" i="16"/>
  <c r="T132" i="16"/>
  <c r="V132" i="16"/>
  <c r="Y132" i="16"/>
  <c r="W132" i="16"/>
  <c r="X132" i="16"/>
  <c r="Z132" i="16"/>
  <c r="L41" i="34"/>
  <c r="M41" i="34"/>
  <c r="M5" i="18"/>
  <c r="J41" i="34"/>
  <c r="B137" i="16"/>
  <c r="B140" i="16"/>
  <c r="N5" i="18"/>
  <c r="B133" i="16"/>
  <c r="B134" i="16"/>
  <c r="B136" i="16"/>
  <c r="I5" i="18"/>
  <c r="O5" i="18"/>
  <c r="L5" i="18"/>
  <c r="K41" i="34"/>
  <c r="B135" i="16"/>
  <c r="B139" i="16"/>
  <c r="J5" i="18"/>
  <c r="K5" i="18"/>
  <c r="B138" i="16"/>
  <c r="I41" i="34"/>
  <c r="O41" i="34"/>
  <c r="N41" i="34"/>
  <c r="AD40" i="34" l="1"/>
  <c r="E40" i="34" s="1"/>
  <c r="E88" i="34" s="1"/>
  <c r="N89" i="34"/>
  <c r="K89" i="34"/>
  <c r="M89" i="34"/>
  <c r="O89" i="34"/>
  <c r="L89" i="34"/>
  <c r="AD41" i="34"/>
  <c r="E41" i="34" s="1"/>
  <c r="E89" i="34" s="1"/>
  <c r="N18" i="18"/>
  <c r="M18" i="18"/>
  <c r="O18" i="18"/>
  <c r="L18" i="18"/>
  <c r="B15" i="12"/>
  <c r="B14" i="12" s="1"/>
  <c r="C133" i="16"/>
  <c r="L130" i="16"/>
  <c r="K130" i="16"/>
  <c r="U131" i="16"/>
  <c r="V131" i="16"/>
  <c r="T131" i="16"/>
  <c r="C132" i="16"/>
  <c r="X131" i="16"/>
  <c r="Y131" i="16"/>
  <c r="W131" i="16"/>
  <c r="Z131" i="16"/>
  <c r="T130" i="16"/>
  <c r="V130" i="16"/>
  <c r="U130" i="16"/>
  <c r="L129" i="16"/>
  <c r="K129" i="16"/>
  <c r="C131" i="16"/>
  <c r="Y130" i="16"/>
  <c r="X130" i="16"/>
  <c r="Z130" i="16"/>
  <c r="W130" i="16"/>
  <c r="U129" i="16"/>
  <c r="V129" i="16"/>
  <c r="T129" i="16"/>
  <c r="C130" i="16"/>
  <c r="Z129" i="16"/>
  <c r="W129" i="16"/>
  <c r="X129" i="16"/>
  <c r="Y129" i="16"/>
  <c r="K128" i="16"/>
  <c r="L128" i="16"/>
  <c r="T128" i="16"/>
  <c r="U128" i="16"/>
  <c r="V128" i="16"/>
  <c r="C129" i="16"/>
  <c r="X128" i="16"/>
  <c r="Y128" i="16"/>
  <c r="Z128" i="16"/>
  <c r="W128" i="16"/>
  <c r="K127" i="16"/>
  <c r="L127" i="16"/>
  <c r="K125" i="16"/>
  <c r="L125" i="16"/>
  <c r="V127" i="16"/>
  <c r="T127" i="16"/>
  <c r="U127" i="16"/>
  <c r="K126" i="16"/>
  <c r="L126" i="16"/>
  <c r="X127" i="16"/>
  <c r="Y127" i="16"/>
  <c r="W127" i="16"/>
  <c r="Z127" i="16"/>
  <c r="B131" i="16"/>
  <c r="B132" i="16"/>
  <c r="B130" i="16"/>
  <c r="B128" i="16"/>
  <c r="B129" i="16"/>
  <c r="F89" i="34" l="1"/>
  <c r="B16" i="12"/>
  <c r="B17" i="12" s="1"/>
  <c r="B18" i="12" s="1"/>
  <c r="B19" i="12" s="1"/>
  <c r="C128" i="16"/>
  <c r="K124" i="16"/>
  <c r="L124" i="16"/>
  <c r="V126" i="16"/>
  <c r="U126" i="16"/>
  <c r="T126" i="16"/>
  <c r="C127" i="16"/>
  <c r="Z126" i="16"/>
  <c r="X126" i="16"/>
  <c r="Y126" i="16"/>
  <c r="W126" i="16"/>
  <c r="C126" i="16"/>
  <c r="Y125" i="16"/>
  <c r="Z125" i="16"/>
  <c r="W125" i="16"/>
  <c r="X125" i="16"/>
  <c r="U125" i="16"/>
  <c r="T125" i="16"/>
  <c r="V125" i="16"/>
  <c r="K122" i="16"/>
  <c r="L122" i="16"/>
  <c r="K123" i="16"/>
  <c r="L123" i="16"/>
  <c r="B126" i="16"/>
  <c r="B127" i="16"/>
  <c r="B125" i="16"/>
  <c r="C125" i="16" l="1"/>
  <c r="X124" i="16"/>
  <c r="W124" i="16"/>
  <c r="Z124" i="16"/>
  <c r="Y124" i="16"/>
  <c r="T124" i="16"/>
  <c r="V124" i="16"/>
  <c r="U124" i="16"/>
  <c r="K121" i="16"/>
  <c r="L121" i="16"/>
  <c r="X123" i="16"/>
  <c r="W123" i="16"/>
  <c r="Y123" i="16"/>
  <c r="Z123" i="16"/>
  <c r="U123" i="16"/>
  <c r="V123" i="16"/>
  <c r="T123" i="16"/>
  <c r="C124" i="16"/>
  <c r="C123" i="16"/>
  <c r="Y122" i="16"/>
  <c r="Z122" i="16"/>
  <c r="W122" i="16"/>
  <c r="X122" i="16"/>
  <c r="U122" i="16"/>
  <c r="T122" i="16"/>
  <c r="V122" i="16"/>
  <c r="X121" i="16"/>
  <c r="Y121" i="16"/>
  <c r="Z121" i="16"/>
  <c r="W121" i="16"/>
  <c r="C122" i="16"/>
  <c r="K120" i="16"/>
  <c r="L120" i="16"/>
  <c r="U121" i="16"/>
  <c r="V121" i="16"/>
  <c r="T121" i="16"/>
  <c r="K119" i="16"/>
  <c r="L119" i="16"/>
  <c r="U120" i="16"/>
  <c r="V120" i="16"/>
  <c r="T120" i="16"/>
  <c r="C121" i="16"/>
  <c r="Z120" i="16"/>
  <c r="W120" i="16"/>
  <c r="X120" i="16"/>
  <c r="Y120" i="16"/>
  <c r="K117" i="16"/>
  <c r="L117" i="16"/>
  <c r="T119" i="16"/>
  <c r="U119" i="16"/>
  <c r="V119" i="16"/>
  <c r="L118" i="16"/>
  <c r="K118" i="16"/>
  <c r="C120" i="16"/>
  <c r="Z119" i="16"/>
  <c r="X119" i="16"/>
  <c r="Y119" i="16"/>
  <c r="C119" i="16"/>
  <c r="Y118" i="16"/>
  <c r="Z118" i="16"/>
  <c r="X118" i="16"/>
  <c r="K42" i="21"/>
  <c r="T118" i="16"/>
  <c r="U118" i="16"/>
  <c r="V118" i="16"/>
  <c r="K116" i="16"/>
  <c r="L116" i="16"/>
  <c r="U117" i="16"/>
  <c r="V117" i="16"/>
  <c r="T117" i="16"/>
  <c r="Z117" i="16"/>
  <c r="X117" i="16"/>
  <c r="W117" i="16"/>
  <c r="Y117" i="16"/>
  <c r="C118" i="16"/>
  <c r="C117" i="16"/>
  <c r="Z116" i="16"/>
  <c r="X116" i="16"/>
  <c r="Y116" i="16"/>
  <c r="W116" i="16"/>
  <c r="K115" i="16"/>
  <c r="L115" i="16"/>
  <c r="V116" i="16"/>
  <c r="T116" i="16"/>
  <c r="U116" i="16"/>
  <c r="U115" i="16"/>
  <c r="V115" i="16"/>
  <c r="T115" i="16"/>
  <c r="C116" i="16"/>
  <c r="Z115" i="16"/>
  <c r="W115" i="16"/>
  <c r="X115" i="16"/>
  <c r="Y115" i="16"/>
  <c r="K114" i="16"/>
  <c r="L114" i="16"/>
  <c r="K113" i="16"/>
  <c r="L113" i="16"/>
  <c r="V114" i="16"/>
  <c r="T114" i="16"/>
  <c r="U114" i="16"/>
  <c r="B123" i="16"/>
  <c r="B115" i="16"/>
  <c r="B124" i="16"/>
  <c r="B116" i="16"/>
  <c r="B121" i="16"/>
  <c r="B118" i="16"/>
  <c r="B122" i="16"/>
  <c r="B119" i="16"/>
  <c r="B120" i="16"/>
  <c r="B117" i="16"/>
  <c r="W202" i="16" l="1"/>
  <c r="C115" i="16"/>
  <c r="Z114" i="16"/>
  <c r="W114" i="16"/>
  <c r="X114" i="16"/>
  <c r="Y114" i="16"/>
  <c r="U113" i="16"/>
  <c r="V113" i="16"/>
  <c r="T113" i="16"/>
  <c r="C114" i="16"/>
  <c r="X113" i="16"/>
  <c r="Y113" i="16"/>
  <c r="Z113" i="16"/>
  <c r="W113" i="16"/>
  <c r="K112" i="16"/>
  <c r="L112" i="16"/>
  <c r="U112" i="16"/>
  <c r="V112" i="16"/>
  <c r="T112" i="16"/>
  <c r="K111" i="16"/>
  <c r="L111" i="16"/>
  <c r="X112" i="16"/>
  <c r="W112" i="16"/>
  <c r="Y112" i="16"/>
  <c r="Z112" i="16"/>
  <c r="C113" i="16"/>
  <c r="K109" i="16"/>
  <c r="L109" i="16"/>
  <c r="T111" i="16"/>
  <c r="V111" i="16"/>
  <c r="U111" i="16"/>
  <c r="C112" i="16"/>
  <c r="X111" i="16"/>
  <c r="Z111" i="16"/>
  <c r="Y111" i="16"/>
  <c r="W111" i="16"/>
  <c r="K110" i="16"/>
  <c r="L110" i="16"/>
  <c r="T110" i="16"/>
  <c r="U110" i="16"/>
  <c r="V110" i="16"/>
  <c r="C111" i="16"/>
  <c r="W110" i="16"/>
  <c r="X110" i="16"/>
  <c r="Z110" i="16"/>
  <c r="Y110" i="16"/>
  <c r="C110" i="16"/>
  <c r="X109" i="16"/>
  <c r="Z109" i="16"/>
  <c r="Y109" i="16"/>
  <c r="W109" i="16"/>
  <c r="L108" i="16"/>
  <c r="K108" i="16"/>
  <c r="V109" i="16"/>
  <c r="T109" i="16"/>
  <c r="U109" i="16"/>
  <c r="C109" i="16"/>
  <c r="Z108" i="16"/>
  <c r="X108" i="16"/>
  <c r="W108" i="16"/>
  <c r="Y108" i="16"/>
  <c r="U108" i="16"/>
  <c r="V108" i="16"/>
  <c r="T108" i="16"/>
  <c r="K107" i="16"/>
  <c r="L107" i="16"/>
  <c r="T107" i="16"/>
  <c r="U107" i="16"/>
  <c r="V107" i="16"/>
  <c r="K106" i="16"/>
  <c r="L106" i="16"/>
  <c r="Z107" i="16"/>
  <c r="Y107" i="16"/>
  <c r="X107" i="16"/>
  <c r="C108" i="16"/>
  <c r="K104" i="16"/>
  <c r="L104" i="16"/>
  <c r="U106" i="16"/>
  <c r="V106" i="16"/>
  <c r="T106" i="16"/>
  <c r="K105" i="16"/>
  <c r="L105" i="16"/>
  <c r="AI44" i="34"/>
  <c r="B113" i="16"/>
  <c r="AI42" i="34"/>
  <c r="AJ41" i="34"/>
  <c r="B112" i="16"/>
  <c r="AI13" i="34"/>
  <c r="AJ43" i="34"/>
  <c r="AJ15" i="34"/>
  <c r="AI14" i="34"/>
  <c r="B111" i="16"/>
  <c r="AJ13" i="34"/>
  <c r="AI18" i="34"/>
  <c r="AI17" i="34"/>
  <c r="AI15" i="34"/>
  <c r="B114" i="16"/>
  <c r="AI41" i="34"/>
  <c r="AJ16" i="34"/>
  <c r="B109" i="16"/>
  <c r="B110" i="16"/>
  <c r="AI45" i="34"/>
  <c r="AJ44" i="34"/>
  <c r="AJ42" i="34"/>
  <c r="AJ18" i="34"/>
  <c r="AI16" i="34"/>
  <c r="B108" i="16"/>
  <c r="AJ14" i="34"/>
  <c r="AI43" i="34"/>
  <c r="AJ45" i="34"/>
  <c r="B107" i="16"/>
  <c r="AJ17" i="34"/>
  <c r="H18" i="34" l="1"/>
  <c r="G14" i="34"/>
  <c r="G62" i="34" s="1"/>
  <c r="H13" i="34"/>
  <c r="H61" i="34" s="1"/>
  <c r="G16" i="34"/>
  <c r="G64" i="34" s="1"/>
  <c r="G17" i="34"/>
  <c r="G65" i="34" s="1"/>
  <c r="H14" i="34"/>
  <c r="H62" i="34" s="1"/>
  <c r="G15" i="34"/>
  <c r="G63" i="34" s="1"/>
  <c r="H16" i="34"/>
  <c r="G13" i="34"/>
  <c r="G61" i="34" s="1"/>
  <c r="H17" i="34"/>
  <c r="H65" i="34" s="1"/>
  <c r="H15" i="34"/>
  <c r="G18" i="34"/>
  <c r="G66" i="34" s="1"/>
  <c r="W44" i="34"/>
  <c r="W92" i="34" s="1"/>
  <c r="W16" i="34"/>
  <c r="W64" i="34" s="1"/>
  <c r="T45" i="34"/>
  <c r="T17" i="34"/>
  <c r="T65" i="34" s="1"/>
  <c r="V44" i="34"/>
  <c r="V92" i="34" s="1"/>
  <c r="V16" i="34"/>
  <c r="V64" i="34" s="1"/>
  <c r="V45" i="34"/>
  <c r="V93" i="34" s="1"/>
  <c r="V17" i="34"/>
  <c r="V65" i="34" s="1"/>
  <c r="U44" i="34"/>
  <c r="U92" i="34" s="1"/>
  <c r="U16" i="34"/>
  <c r="U64" i="34" s="1"/>
  <c r="W45" i="34"/>
  <c r="W93" i="34" s="1"/>
  <c r="W17" i="34"/>
  <c r="W65" i="34" s="1"/>
  <c r="U45" i="34"/>
  <c r="U93" i="34" s="1"/>
  <c r="U17" i="34"/>
  <c r="U65" i="34" s="1"/>
  <c r="H45" i="34"/>
  <c r="H93" i="34" s="1"/>
  <c r="G41" i="34"/>
  <c r="G89" i="34" s="1"/>
  <c r="G42" i="34"/>
  <c r="G90" i="34" s="1"/>
  <c r="P90" i="34" s="1"/>
  <c r="H41" i="34"/>
  <c r="H89" i="34" s="1"/>
  <c r="G44" i="34"/>
  <c r="G92" i="34" s="1"/>
  <c r="G45" i="34"/>
  <c r="G93" i="34" s="1"/>
  <c r="G43" i="34"/>
  <c r="G91" i="34" s="1"/>
  <c r="H44" i="34"/>
  <c r="H42" i="34"/>
  <c r="H90" i="34" s="1"/>
  <c r="H43" i="34"/>
  <c r="H91" i="34" s="1"/>
  <c r="C107" i="16"/>
  <c r="Z106" i="16"/>
  <c r="K41" i="21"/>
  <c r="Y106" i="16"/>
  <c r="X106" i="16"/>
  <c r="V105" i="16"/>
  <c r="T105" i="16"/>
  <c r="U105" i="16"/>
  <c r="H100" i="16"/>
  <c r="AD8" i="34" s="1"/>
  <c r="E8" i="34" s="1"/>
  <c r="E56" i="34" s="1"/>
  <c r="C106" i="16"/>
  <c r="X105" i="16"/>
  <c r="Y105" i="16"/>
  <c r="Z105" i="16"/>
  <c r="W105" i="16"/>
  <c r="K103" i="16"/>
  <c r="L103" i="16"/>
  <c r="C105" i="16"/>
  <c r="X104" i="16"/>
  <c r="Z104" i="16"/>
  <c r="Y104" i="16"/>
  <c r="K40" i="21"/>
  <c r="W170" i="16" s="1"/>
  <c r="U104" i="16"/>
  <c r="V104" i="16"/>
  <c r="T104" i="16"/>
  <c r="K101" i="16"/>
  <c r="L101" i="16"/>
  <c r="L102" i="16"/>
  <c r="K102" i="16"/>
  <c r="B106" i="16"/>
  <c r="AJ10" i="34"/>
  <c r="AJ11" i="34"/>
  <c r="B104" i="16"/>
  <c r="AJ12" i="34"/>
  <c r="AJ40" i="34"/>
  <c r="AI38" i="34"/>
  <c r="AJ38" i="34"/>
  <c r="AI10" i="34"/>
  <c r="AI11" i="34"/>
  <c r="AI12" i="34"/>
  <c r="B105" i="16"/>
  <c r="AJ39" i="34"/>
  <c r="AI39" i="34"/>
  <c r="AI40" i="34"/>
  <c r="W172" i="16" l="1"/>
  <c r="W173" i="16"/>
  <c r="W104" i="16"/>
  <c r="T41" i="34" s="1"/>
  <c r="T89" i="34" s="1"/>
  <c r="W171" i="16"/>
  <c r="I61" i="34"/>
  <c r="J61" i="34" s="1"/>
  <c r="K61" i="34" s="1"/>
  <c r="L66" i="34"/>
  <c r="Q66" i="34"/>
  <c r="K65" i="34"/>
  <c r="I65" i="34"/>
  <c r="J65" i="34" s="1"/>
  <c r="I93" i="34"/>
  <c r="AD9" i="34"/>
  <c r="E9" i="34" s="1"/>
  <c r="E57" i="34" s="1"/>
  <c r="AD36" i="34"/>
  <c r="E36" i="34" s="1"/>
  <c r="E84" i="34" s="1"/>
  <c r="I89" i="34"/>
  <c r="J89" i="34" s="1"/>
  <c r="P89" i="34" s="1"/>
  <c r="H66" i="34"/>
  <c r="G12" i="34"/>
  <c r="G60" i="34" s="1"/>
  <c r="G11" i="34"/>
  <c r="G59" i="34" s="1"/>
  <c r="H12" i="34"/>
  <c r="H60" i="34" s="1"/>
  <c r="H10" i="34"/>
  <c r="H58" i="34" s="1"/>
  <c r="H11" i="34"/>
  <c r="H59" i="34" s="1"/>
  <c r="G10" i="34"/>
  <c r="G58" i="34" s="1"/>
  <c r="I62" i="34"/>
  <c r="J62" i="34" s="1"/>
  <c r="W43" i="34"/>
  <c r="W91" i="34" s="1"/>
  <c r="W15" i="34"/>
  <c r="W63" i="34" s="1"/>
  <c r="W42" i="34"/>
  <c r="W90" i="34" s="1"/>
  <c r="W14" i="34"/>
  <c r="W62" i="34" s="1"/>
  <c r="U41" i="34"/>
  <c r="U89" i="34" s="1"/>
  <c r="U13" i="34"/>
  <c r="U61" i="34" s="1"/>
  <c r="W41" i="34"/>
  <c r="W89" i="34" s="1"/>
  <c r="W13" i="34"/>
  <c r="W61" i="34" s="1"/>
  <c r="U42" i="34"/>
  <c r="U90" i="34" s="1"/>
  <c r="U14" i="34"/>
  <c r="U62" i="34" s="1"/>
  <c r="V41" i="34"/>
  <c r="V89" i="34" s="1"/>
  <c r="V13" i="34"/>
  <c r="V61" i="34" s="1"/>
  <c r="V42" i="34"/>
  <c r="V90" i="34" s="1"/>
  <c r="V14" i="34"/>
  <c r="V62" i="34" s="1"/>
  <c r="V43" i="34"/>
  <c r="V91" i="34" s="1"/>
  <c r="V15" i="34"/>
  <c r="V63" i="34" s="1"/>
  <c r="U43" i="34"/>
  <c r="U91" i="34" s="1"/>
  <c r="U15" i="34"/>
  <c r="U63" i="34" s="1"/>
  <c r="G38" i="34"/>
  <c r="G86" i="34" s="1"/>
  <c r="H38" i="34"/>
  <c r="H86" i="34" s="1"/>
  <c r="G40" i="34"/>
  <c r="G88" i="34" s="1"/>
  <c r="H39" i="34"/>
  <c r="G39" i="34"/>
  <c r="G87" i="34" s="1"/>
  <c r="H40" i="34"/>
  <c r="H88" i="34" s="1"/>
  <c r="I90" i="34"/>
  <c r="J90" i="34" s="1"/>
  <c r="AD37" i="34"/>
  <c r="E37" i="34" s="1"/>
  <c r="E85" i="34" s="1"/>
  <c r="C104" i="16"/>
  <c r="Y103" i="16"/>
  <c r="X103" i="16"/>
  <c r="K39" i="21"/>
  <c r="W161" i="16" s="1"/>
  <c r="Z103" i="16"/>
  <c r="S100" i="16"/>
  <c r="N100" i="16"/>
  <c r="O100" i="16"/>
  <c r="Q100" i="16"/>
  <c r="P100" i="16"/>
  <c r="R100" i="16"/>
  <c r="V103" i="16"/>
  <c r="U103" i="16"/>
  <c r="T103" i="16"/>
  <c r="C103" i="16"/>
  <c r="W102" i="16"/>
  <c r="Z102" i="16"/>
  <c r="X102" i="16"/>
  <c r="Y102" i="16"/>
  <c r="T102" i="16"/>
  <c r="V102" i="16"/>
  <c r="U102" i="16"/>
  <c r="M100" i="16"/>
  <c r="T101" i="16"/>
  <c r="U101" i="16"/>
  <c r="V101" i="16"/>
  <c r="Y101" i="16"/>
  <c r="W101" i="16"/>
  <c r="Z101" i="16"/>
  <c r="X101" i="16"/>
  <c r="K100" i="16"/>
  <c r="L100" i="16"/>
  <c r="C101" i="16"/>
  <c r="Y100" i="16"/>
  <c r="X100" i="16"/>
  <c r="W100" i="16"/>
  <c r="Z100" i="16"/>
  <c r="L99" i="16"/>
  <c r="K99" i="16"/>
  <c r="T100" i="16"/>
  <c r="V100" i="16"/>
  <c r="U100" i="16"/>
  <c r="K97" i="16"/>
  <c r="L97" i="16"/>
  <c r="K98" i="16"/>
  <c r="L98" i="16"/>
  <c r="U99" i="16"/>
  <c r="V99" i="16"/>
  <c r="T99" i="16"/>
  <c r="Z99" i="16"/>
  <c r="W99" i="16"/>
  <c r="X99" i="16"/>
  <c r="Y99" i="16"/>
  <c r="C100" i="16"/>
  <c r="C99" i="16"/>
  <c r="W98" i="16"/>
  <c r="X98" i="16"/>
  <c r="Z98" i="16"/>
  <c r="Y98" i="16"/>
  <c r="U98" i="16"/>
  <c r="V98" i="16"/>
  <c r="T98" i="16"/>
  <c r="C98" i="16"/>
  <c r="W97" i="16"/>
  <c r="Z97" i="16"/>
  <c r="X97" i="16"/>
  <c r="Y97" i="16"/>
  <c r="K96" i="16"/>
  <c r="L96" i="16"/>
  <c r="U97" i="16"/>
  <c r="T97" i="16"/>
  <c r="V97" i="16"/>
  <c r="V96" i="16"/>
  <c r="T96" i="16"/>
  <c r="U96" i="16"/>
  <c r="C97" i="16"/>
  <c r="W96" i="16"/>
  <c r="Z96" i="16"/>
  <c r="X96" i="16"/>
  <c r="Y96" i="16"/>
  <c r="K95" i="16"/>
  <c r="L95" i="16"/>
  <c r="K94" i="16"/>
  <c r="L94" i="16"/>
  <c r="U95" i="16"/>
  <c r="V95" i="16"/>
  <c r="T95" i="16"/>
  <c r="O8" i="18"/>
  <c r="B100" i="16"/>
  <c r="N9" i="34"/>
  <c r="AI35" i="34"/>
  <c r="AI36" i="34"/>
  <c r="AJ36" i="34"/>
  <c r="AI7" i="34"/>
  <c r="K37" i="34"/>
  <c r="AJ33" i="34"/>
  <c r="B97" i="16"/>
  <c r="J37" i="34"/>
  <c r="AI32" i="34"/>
  <c r="B96" i="16"/>
  <c r="K9" i="34"/>
  <c r="B98" i="16"/>
  <c r="AJ8" i="34"/>
  <c r="AJ4" i="34"/>
  <c r="AJ9" i="34"/>
  <c r="AJ5" i="34"/>
  <c r="AJ35" i="34"/>
  <c r="AJ7" i="34"/>
  <c r="AI3" i="34"/>
  <c r="I8" i="18"/>
  <c r="O9" i="34"/>
  <c r="AI6" i="34"/>
  <c r="N37" i="34"/>
  <c r="AJ6" i="34"/>
  <c r="K8" i="18"/>
  <c r="O37" i="34"/>
  <c r="AJ37" i="34"/>
  <c r="AI4" i="34"/>
  <c r="J9" i="34"/>
  <c r="AI5" i="34"/>
  <c r="M37" i="34"/>
  <c r="N8" i="18"/>
  <c r="AJ34" i="34"/>
  <c r="AI33" i="34"/>
  <c r="I37" i="34"/>
  <c r="B101" i="16"/>
  <c r="AJ3" i="34"/>
  <c r="AJ31" i="34"/>
  <c r="L37" i="34"/>
  <c r="AI31" i="34"/>
  <c r="AI34" i="34"/>
  <c r="M8" i="18"/>
  <c r="M9" i="34"/>
  <c r="AI37" i="34"/>
  <c r="L9" i="34"/>
  <c r="J8" i="18"/>
  <c r="AI8" i="34"/>
  <c r="B99" i="16"/>
  <c r="L8" i="18"/>
  <c r="B103" i="16"/>
  <c r="AJ32" i="34"/>
  <c r="B102" i="16"/>
  <c r="AI9" i="34"/>
  <c r="I9" i="34"/>
  <c r="T13" i="34" l="1"/>
  <c r="T61" i="34" s="1"/>
  <c r="W103" i="16"/>
  <c r="T40" i="34" s="1"/>
  <c r="T88" i="34" s="1"/>
  <c r="W160" i="16"/>
  <c r="H87" i="34"/>
  <c r="I87" i="34" s="1"/>
  <c r="P65" i="34"/>
  <c r="P61" i="34"/>
  <c r="K64" i="34"/>
  <c r="P64" i="34" s="1"/>
  <c r="I58" i="34"/>
  <c r="J58" i="34" s="1"/>
  <c r="P59" i="34"/>
  <c r="S64" i="34"/>
  <c r="I60" i="34"/>
  <c r="P60" i="34" s="1"/>
  <c r="J93" i="34"/>
  <c r="T14" i="34"/>
  <c r="T62" i="34" s="1"/>
  <c r="H110" i="34" s="1"/>
  <c r="I66" i="34"/>
  <c r="D137" i="34"/>
  <c r="C137" i="34"/>
  <c r="L137" i="34"/>
  <c r="E137" i="34"/>
  <c r="I59" i="34"/>
  <c r="J59" i="34" s="1"/>
  <c r="I86" i="34"/>
  <c r="J86" i="34" s="1"/>
  <c r="I88" i="34"/>
  <c r="I137" i="34"/>
  <c r="X89" i="34"/>
  <c r="H137" i="34"/>
  <c r="F137" i="34"/>
  <c r="M137" i="34"/>
  <c r="J137" i="34"/>
  <c r="G137" i="34"/>
  <c r="K137" i="34"/>
  <c r="G3" i="34"/>
  <c r="G51" i="34" s="1"/>
  <c r="G6" i="34"/>
  <c r="G54" i="34" s="1"/>
  <c r="G8" i="34"/>
  <c r="G56" i="34" s="1"/>
  <c r="G9" i="34"/>
  <c r="G57" i="34" s="1"/>
  <c r="N57" i="34"/>
  <c r="J57" i="34"/>
  <c r="H3" i="34"/>
  <c r="H51" i="34" s="1"/>
  <c r="G5" i="34"/>
  <c r="G53" i="34" s="1"/>
  <c r="H6" i="34"/>
  <c r="H54" i="34" s="1"/>
  <c r="H9" i="34"/>
  <c r="K57" i="34"/>
  <c r="G4" i="34"/>
  <c r="G52" i="34" s="1"/>
  <c r="H5" i="34"/>
  <c r="H53" i="34" s="1"/>
  <c r="G7" i="34"/>
  <c r="G55" i="34" s="1"/>
  <c r="M57" i="34"/>
  <c r="H4" i="34"/>
  <c r="H52" i="34" s="1"/>
  <c r="H7" i="34"/>
  <c r="H55" i="34" s="1"/>
  <c r="H8" i="34"/>
  <c r="H56" i="34" s="1"/>
  <c r="L57" i="34"/>
  <c r="O57" i="34"/>
  <c r="W36" i="34"/>
  <c r="W84" i="34" s="1"/>
  <c r="W8" i="34"/>
  <c r="W56" i="34" s="1"/>
  <c r="V40" i="34"/>
  <c r="V88" i="34" s="1"/>
  <c r="V12" i="34"/>
  <c r="V60" i="34" s="1"/>
  <c r="T33" i="34"/>
  <c r="W34" i="34"/>
  <c r="W82" i="34" s="1"/>
  <c r="W6" i="34"/>
  <c r="W54" i="34" s="1"/>
  <c r="U35" i="34"/>
  <c r="U83" i="34" s="1"/>
  <c r="U7" i="34"/>
  <c r="U55" i="34" s="1"/>
  <c r="V36" i="34"/>
  <c r="V84" i="34" s="1"/>
  <c r="V8" i="34"/>
  <c r="V56" i="34" s="1"/>
  <c r="W37" i="34"/>
  <c r="W85" i="34" s="1"/>
  <c r="W9" i="34"/>
  <c r="W57" i="34" s="1"/>
  <c r="W38" i="34"/>
  <c r="W86" i="34" s="1"/>
  <c r="W10" i="34"/>
  <c r="W58" i="34" s="1"/>
  <c r="W39" i="34"/>
  <c r="W87" i="34" s="1"/>
  <c r="W11" i="34"/>
  <c r="W59" i="34" s="1"/>
  <c r="W40" i="34"/>
  <c r="W88" i="34" s="1"/>
  <c r="W12" i="34"/>
  <c r="W60" i="34" s="1"/>
  <c r="U34" i="34"/>
  <c r="U82" i="34" s="1"/>
  <c r="U6" i="34"/>
  <c r="U54" i="34" s="1"/>
  <c r="U38" i="34"/>
  <c r="U86" i="34" s="1"/>
  <c r="U10" i="34"/>
  <c r="U58" i="34" s="1"/>
  <c r="W35" i="34"/>
  <c r="W83" i="34" s="1"/>
  <c r="W7" i="34"/>
  <c r="W55" i="34" s="1"/>
  <c r="V37" i="34"/>
  <c r="V85" i="34" s="1"/>
  <c r="V9" i="34"/>
  <c r="V57" i="34" s="1"/>
  <c r="U33" i="34"/>
  <c r="U81" i="34" s="1"/>
  <c r="U5" i="34"/>
  <c r="U53" i="34" s="1"/>
  <c r="V34" i="34"/>
  <c r="V82" i="34" s="1"/>
  <c r="V6" i="34"/>
  <c r="V54" i="34" s="1"/>
  <c r="V35" i="34"/>
  <c r="V83" i="34" s="1"/>
  <c r="V7" i="34"/>
  <c r="V55" i="34" s="1"/>
  <c r="T36" i="34"/>
  <c r="T8" i="34"/>
  <c r="U37" i="34"/>
  <c r="U85" i="34" s="1"/>
  <c r="U9" i="34"/>
  <c r="U57" i="34" s="1"/>
  <c r="V38" i="34"/>
  <c r="V86" i="34" s="1"/>
  <c r="V10" i="34"/>
  <c r="V58" i="34" s="1"/>
  <c r="V39" i="34"/>
  <c r="V87" i="34" s="1"/>
  <c r="V11" i="34"/>
  <c r="V59" i="34" s="1"/>
  <c r="U40" i="34"/>
  <c r="U88" i="34" s="1"/>
  <c r="U12" i="34"/>
  <c r="U60" i="34" s="1"/>
  <c r="W33" i="34"/>
  <c r="W81" i="34" s="1"/>
  <c r="W5" i="34"/>
  <c r="W53" i="34" s="1"/>
  <c r="U39" i="34"/>
  <c r="U87" i="34" s="1"/>
  <c r="U11" i="34"/>
  <c r="U59" i="34" s="1"/>
  <c r="V33" i="34"/>
  <c r="V81" i="34" s="1"/>
  <c r="V5" i="34"/>
  <c r="V53" i="34" s="1"/>
  <c r="T34" i="34"/>
  <c r="T82" i="34" s="1"/>
  <c r="T6" i="34"/>
  <c r="T54" i="34" s="1"/>
  <c r="T35" i="34"/>
  <c r="T7" i="34"/>
  <c r="U36" i="34"/>
  <c r="U84" i="34" s="1"/>
  <c r="U8" i="34"/>
  <c r="U56" i="34" s="1"/>
  <c r="T37" i="34"/>
  <c r="T85" i="34" s="1"/>
  <c r="T9" i="34"/>
  <c r="T38" i="34"/>
  <c r="T86" i="34" s="1"/>
  <c r="T10" i="34"/>
  <c r="T39" i="34"/>
  <c r="T87" i="34" s="1"/>
  <c r="T11" i="34"/>
  <c r="T59" i="34" s="1"/>
  <c r="G34" i="34"/>
  <c r="G82" i="34" s="1"/>
  <c r="G36" i="34"/>
  <c r="G84" i="34" s="1"/>
  <c r="G37" i="34"/>
  <c r="G85" i="34" s="1"/>
  <c r="N85" i="34"/>
  <c r="G31" i="34"/>
  <c r="G79" i="34" s="1"/>
  <c r="H31" i="34"/>
  <c r="H79" i="34" s="1"/>
  <c r="G33" i="34"/>
  <c r="G81" i="34" s="1"/>
  <c r="H34" i="34"/>
  <c r="H82" i="34" s="1"/>
  <c r="H37" i="34"/>
  <c r="H85" i="34" s="1"/>
  <c r="G32" i="34"/>
  <c r="G80" i="34" s="1"/>
  <c r="H33" i="34"/>
  <c r="H81" i="34" s="1"/>
  <c r="G35" i="34"/>
  <c r="G83" i="34" s="1"/>
  <c r="M85" i="34"/>
  <c r="H32" i="34"/>
  <c r="H80" i="34" s="1"/>
  <c r="H35" i="34"/>
  <c r="H83" i="34" s="1"/>
  <c r="H36" i="34"/>
  <c r="H84" i="34" s="1"/>
  <c r="L85" i="34"/>
  <c r="O85" i="34"/>
  <c r="C96" i="16"/>
  <c r="W95" i="16"/>
  <c r="X95" i="16"/>
  <c r="Y95" i="16"/>
  <c r="Z95" i="16"/>
  <c r="T94" i="16"/>
  <c r="U94" i="16"/>
  <c r="V94" i="16"/>
  <c r="K93" i="16"/>
  <c r="L93" i="16"/>
  <c r="X94" i="16"/>
  <c r="W94" i="16"/>
  <c r="Y94" i="16"/>
  <c r="Z94" i="16"/>
  <c r="C95" i="16"/>
  <c r="V93" i="16"/>
  <c r="T93" i="16"/>
  <c r="U93" i="16"/>
  <c r="L92" i="16"/>
  <c r="K92" i="16"/>
  <c r="C94" i="16"/>
  <c r="W93" i="16"/>
  <c r="X93" i="16"/>
  <c r="U30" i="34" s="1"/>
  <c r="U78" i="34" s="1"/>
  <c r="Z93" i="16"/>
  <c r="W30" i="34" s="1"/>
  <c r="W78" i="34" s="1"/>
  <c r="Y93" i="16"/>
  <c r="V30" i="34" s="1"/>
  <c r="V78" i="34" s="1"/>
  <c r="T92" i="16"/>
  <c r="U92" i="16"/>
  <c r="V92" i="16"/>
  <c r="Z92" i="16"/>
  <c r="W92" i="16"/>
  <c r="T29" i="34" s="1"/>
  <c r="T77" i="34" s="1"/>
  <c r="Y92" i="16"/>
  <c r="X92" i="16"/>
  <c r="U29" i="34" s="1"/>
  <c r="U77" i="34" s="1"/>
  <c r="C93" i="16"/>
  <c r="K91" i="16"/>
  <c r="L91" i="16"/>
  <c r="U91" i="16"/>
  <c r="T91" i="16"/>
  <c r="V91" i="16"/>
  <c r="K90" i="16"/>
  <c r="L90" i="16"/>
  <c r="AI27" i="34"/>
  <c r="AJ27" i="34"/>
  <c r="B92" i="16"/>
  <c r="AI28" i="34"/>
  <c r="B95" i="16"/>
  <c r="B93" i="16"/>
  <c r="B94" i="16"/>
  <c r="AJ30" i="34"/>
  <c r="AJ28" i="34"/>
  <c r="AI30" i="34"/>
  <c r="AJ29" i="34"/>
  <c r="AI29" i="34"/>
  <c r="P137" i="34"/>
  <c r="T12" i="34" l="1"/>
  <c r="T60" i="34" s="1"/>
  <c r="I83" i="34"/>
  <c r="J83" i="34" s="1"/>
  <c r="I109" i="34"/>
  <c r="E109" i="34"/>
  <c r="Q65" i="34"/>
  <c r="C109" i="34"/>
  <c r="D109" i="34"/>
  <c r="F109" i="34"/>
  <c r="J109" i="34"/>
  <c r="I79" i="34"/>
  <c r="J79" i="34" s="1"/>
  <c r="H57" i="34"/>
  <c r="I57" i="34" s="1"/>
  <c r="X61" i="34"/>
  <c r="H109" i="34"/>
  <c r="K109" i="34"/>
  <c r="L109" i="34"/>
  <c r="M109" i="34"/>
  <c r="G109" i="34"/>
  <c r="J66" i="34"/>
  <c r="K66" i="34" s="1"/>
  <c r="P66" i="34" s="1"/>
  <c r="K58" i="34"/>
  <c r="L58" i="34" s="1"/>
  <c r="E110" i="34"/>
  <c r="X62" i="34"/>
  <c r="G110" i="34"/>
  <c r="I110" i="34"/>
  <c r="M110" i="34"/>
  <c r="C110" i="34"/>
  <c r="K110" i="34"/>
  <c r="J110" i="34"/>
  <c r="F110" i="34"/>
  <c r="D110" i="34"/>
  <c r="L110" i="34"/>
  <c r="T83" i="34"/>
  <c r="K86" i="34"/>
  <c r="L86" i="34" s="1"/>
  <c r="P86" i="34" s="1"/>
  <c r="C134" i="34" s="1"/>
  <c r="Q60" i="34"/>
  <c r="I80" i="34"/>
  <c r="Q64" i="34"/>
  <c r="R64" i="34"/>
  <c r="I55" i="34"/>
  <c r="J87" i="34"/>
  <c r="K87" i="34" s="1"/>
  <c r="K93" i="34"/>
  <c r="P93" i="34" s="1"/>
  <c r="I56" i="34"/>
  <c r="J56" i="34" s="1"/>
  <c r="V29" i="34"/>
  <c r="V77" i="34" s="1"/>
  <c r="T30" i="34"/>
  <c r="T78" i="34" s="1"/>
  <c r="W29" i="34"/>
  <c r="W77" i="34" s="1"/>
  <c r="L63" i="34"/>
  <c r="M63" i="34" s="1"/>
  <c r="K63" i="34"/>
  <c r="J136" i="34"/>
  <c r="I84" i="34"/>
  <c r="I81" i="34"/>
  <c r="J81" i="34" s="1"/>
  <c r="K81" i="34" s="1"/>
  <c r="L81" i="34" s="1"/>
  <c r="E136" i="34"/>
  <c r="I136" i="34"/>
  <c r="L136" i="34"/>
  <c r="D136" i="34"/>
  <c r="G136" i="34"/>
  <c r="O137" i="34"/>
  <c r="X88" i="34"/>
  <c r="C136" i="34"/>
  <c r="K136" i="34"/>
  <c r="M136" i="34"/>
  <c r="H136" i="34"/>
  <c r="F136" i="34"/>
  <c r="I85" i="34"/>
  <c r="I51" i="34"/>
  <c r="I54" i="34"/>
  <c r="U31" i="34"/>
  <c r="U79" i="34" s="1"/>
  <c r="U3" i="34"/>
  <c r="U51" i="34" s="1"/>
  <c r="F107" i="34"/>
  <c r="D107" i="34"/>
  <c r="C107" i="34"/>
  <c r="E107" i="34"/>
  <c r="M107" i="34"/>
  <c r="G107" i="34"/>
  <c r="I107" i="34"/>
  <c r="J107" i="34"/>
  <c r="L107" i="34"/>
  <c r="K107" i="34"/>
  <c r="X59" i="34"/>
  <c r="H107" i="34"/>
  <c r="T31" i="34"/>
  <c r="T3" i="34"/>
  <c r="V32" i="34"/>
  <c r="V80" i="34" s="1"/>
  <c r="V4" i="34"/>
  <c r="V52" i="34" s="1"/>
  <c r="U32" i="34"/>
  <c r="U80" i="34" s="1"/>
  <c r="U4" i="34"/>
  <c r="U52" i="34" s="1"/>
  <c r="V31" i="34"/>
  <c r="V79" i="34" s="1"/>
  <c r="V3" i="34"/>
  <c r="V51" i="34" s="1"/>
  <c r="W32" i="34"/>
  <c r="W80" i="34" s="1"/>
  <c r="W4" i="34"/>
  <c r="W52" i="34" s="1"/>
  <c r="W31" i="34"/>
  <c r="W79" i="34" s="1"/>
  <c r="W3" i="34"/>
  <c r="W51" i="34" s="1"/>
  <c r="T32" i="34"/>
  <c r="T80" i="34" s="1"/>
  <c r="G29" i="34"/>
  <c r="G77" i="34" s="1"/>
  <c r="G30" i="34"/>
  <c r="G78" i="34" s="1"/>
  <c r="H27" i="34"/>
  <c r="H30" i="34"/>
  <c r="H78" i="34" s="1"/>
  <c r="G28" i="34"/>
  <c r="G76" i="34" s="1"/>
  <c r="G27" i="34"/>
  <c r="G75" i="34" s="1"/>
  <c r="H28" i="34"/>
  <c r="H76" i="34" s="1"/>
  <c r="H29" i="34"/>
  <c r="H77" i="34" s="1"/>
  <c r="I82" i="34"/>
  <c r="J82" i="34" s="1"/>
  <c r="C92" i="16"/>
  <c r="W91" i="16"/>
  <c r="Y91" i="16"/>
  <c r="V28" i="34" s="1"/>
  <c r="V76" i="34" s="1"/>
  <c r="Z91" i="16"/>
  <c r="W28" i="34" s="1"/>
  <c r="W76" i="34" s="1"/>
  <c r="X91" i="16"/>
  <c r="U28" i="34" s="1"/>
  <c r="U76" i="34" s="1"/>
  <c r="K88" i="16"/>
  <c r="L88" i="16"/>
  <c r="C91" i="16"/>
  <c r="X90" i="16"/>
  <c r="U27" i="34" s="1"/>
  <c r="W90" i="16"/>
  <c r="Y90" i="16"/>
  <c r="V27" i="34" s="1"/>
  <c r="V75" i="34" s="1"/>
  <c r="Z90" i="16"/>
  <c r="W27" i="34" s="1"/>
  <c r="W75" i="34" s="1"/>
  <c r="K89" i="16"/>
  <c r="L89" i="16"/>
  <c r="T90" i="16"/>
  <c r="V90" i="16"/>
  <c r="U90" i="16"/>
  <c r="C90" i="16"/>
  <c r="X89" i="16"/>
  <c r="U26" i="34" s="1"/>
  <c r="U74" i="34" s="1"/>
  <c r="Z89" i="16"/>
  <c r="W26" i="34" s="1"/>
  <c r="W74" i="34" s="1"/>
  <c r="W89" i="16"/>
  <c r="Y89" i="16"/>
  <c r="V26" i="34" s="1"/>
  <c r="V74" i="34" s="1"/>
  <c r="U89" i="16"/>
  <c r="V89" i="16"/>
  <c r="T89" i="16"/>
  <c r="K87" i="16"/>
  <c r="L87" i="16"/>
  <c r="C89" i="16"/>
  <c r="W88" i="16"/>
  <c r="T25" i="34" s="1"/>
  <c r="X88" i="16"/>
  <c r="U25" i="34" s="1"/>
  <c r="U73" i="34" s="1"/>
  <c r="Y88" i="16"/>
  <c r="Z88" i="16"/>
  <c r="W25" i="34" s="1"/>
  <c r="W73" i="34" s="1"/>
  <c r="T88" i="16"/>
  <c r="U88" i="16"/>
  <c r="V88" i="16"/>
  <c r="K86" i="16"/>
  <c r="L86" i="16"/>
  <c r="C88" i="16"/>
  <c r="X87" i="16"/>
  <c r="Y87" i="16"/>
  <c r="W87" i="16"/>
  <c r="Z87" i="16"/>
  <c r="V87" i="16"/>
  <c r="T87" i="16"/>
  <c r="U87" i="16"/>
  <c r="K85" i="16"/>
  <c r="L85" i="16"/>
  <c r="AI24" i="34"/>
  <c r="AI3" i="18"/>
  <c r="B90" i="16"/>
  <c r="AJ10" i="18"/>
  <c r="B87" i="16"/>
  <c r="AI22" i="34"/>
  <c r="AI26" i="34"/>
  <c r="AI25" i="34"/>
  <c r="B88" i="16"/>
  <c r="AJ24" i="34"/>
  <c r="AJ3" i="18"/>
  <c r="AJ23" i="34"/>
  <c r="AI9" i="18"/>
  <c r="AJ7" i="18"/>
  <c r="B89" i="16"/>
  <c r="AJ26" i="34"/>
  <c r="AI8" i="18"/>
  <c r="AJ22" i="34"/>
  <c r="AJ9" i="18"/>
  <c r="AI23" i="34"/>
  <c r="AI7" i="18"/>
  <c r="AJ25" i="34"/>
  <c r="AJ8" i="18"/>
  <c r="AI10" i="18"/>
  <c r="B91" i="16"/>
  <c r="P136" i="34"/>
  <c r="P110" i="34"/>
  <c r="P107" i="34"/>
  <c r="P109" i="34"/>
  <c r="L108" i="34" l="1"/>
  <c r="P55" i="34"/>
  <c r="J55" i="34"/>
  <c r="H131" i="34"/>
  <c r="S65" i="34"/>
  <c r="C113" i="34" s="1"/>
  <c r="D135" i="34"/>
  <c r="D108" i="34"/>
  <c r="E108" i="34"/>
  <c r="K56" i="34"/>
  <c r="K52" i="34"/>
  <c r="T58" i="34"/>
  <c r="I106" i="34" s="1"/>
  <c r="J85" i="34"/>
  <c r="K85" i="34" s="1"/>
  <c r="P56" i="34"/>
  <c r="R56" i="34" s="1"/>
  <c r="P57" i="34"/>
  <c r="Q57" i="34" s="1"/>
  <c r="J108" i="34"/>
  <c r="F108" i="34"/>
  <c r="C108" i="34"/>
  <c r="G108" i="34"/>
  <c r="X60" i="34"/>
  <c r="C135" i="34"/>
  <c r="E135" i="34"/>
  <c r="D134" i="34"/>
  <c r="O109" i="34"/>
  <c r="O110" i="34"/>
  <c r="J131" i="34"/>
  <c r="T55" i="34"/>
  <c r="M131" i="34"/>
  <c r="K131" i="34"/>
  <c r="G131" i="34"/>
  <c r="F131" i="34"/>
  <c r="C131" i="34"/>
  <c r="E131" i="34"/>
  <c r="D131" i="34"/>
  <c r="L131" i="34"/>
  <c r="I131" i="34"/>
  <c r="X83" i="34"/>
  <c r="E134" i="34"/>
  <c r="K108" i="34"/>
  <c r="I108" i="34"/>
  <c r="M108" i="34"/>
  <c r="H108" i="34"/>
  <c r="T79" i="34"/>
  <c r="H127" i="34" s="1"/>
  <c r="G134" i="34"/>
  <c r="H134" i="34"/>
  <c r="F134" i="34"/>
  <c r="J134" i="34"/>
  <c r="L134" i="34"/>
  <c r="K134" i="34"/>
  <c r="I134" i="34"/>
  <c r="M134" i="34"/>
  <c r="X86" i="34"/>
  <c r="J130" i="34"/>
  <c r="F135" i="34"/>
  <c r="K135" i="34"/>
  <c r="J135" i="34"/>
  <c r="I135" i="34"/>
  <c r="M135" i="34"/>
  <c r="G135" i="34"/>
  <c r="L135" i="34"/>
  <c r="H135" i="34"/>
  <c r="X87" i="34"/>
  <c r="T93" i="34"/>
  <c r="F141" i="34" s="1"/>
  <c r="H75" i="34"/>
  <c r="V25" i="34"/>
  <c r="V73" i="34" s="1"/>
  <c r="T26" i="34"/>
  <c r="N63" i="34"/>
  <c r="I78" i="34"/>
  <c r="J78" i="34" s="1"/>
  <c r="J54" i="34"/>
  <c r="M102" i="34" s="1"/>
  <c r="M81" i="34"/>
  <c r="J84" i="34"/>
  <c r="P84" i="34" s="1"/>
  <c r="O136" i="34"/>
  <c r="E128" i="34"/>
  <c r="J51" i="34"/>
  <c r="P51" i="34" s="1"/>
  <c r="Q51" i="34" s="1"/>
  <c r="J128" i="34"/>
  <c r="G128" i="34"/>
  <c r="M128" i="34"/>
  <c r="O107" i="34"/>
  <c r="K128" i="34"/>
  <c r="F128" i="34"/>
  <c r="I128" i="34"/>
  <c r="H128" i="34"/>
  <c r="L128" i="34"/>
  <c r="C128" i="34"/>
  <c r="X80" i="34"/>
  <c r="D128" i="34"/>
  <c r="C130" i="34"/>
  <c r="H23" i="34"/>
  <c r="H71" i="34" s="1"/>
  <c r="G24" i="34"/>
  <c r="G72" i="34" s="1"/>
  <c r="H26" i="34"/>
  <c r="G25" i="34"/>
  <c r="G73" i="34" s="1"/>
  <c r="S73" i="34" s="1"/>
  <c r="G26" i="34"/>
  <c r="G74" i="34" s="1"/>
  <c r="H22" i="34"/>
  <c r="H24" i="34"/>
  <c r="H25" i="34"/>
  <c r="H73" i="34" s="1"/>
  <c r="G22" i="34"/>
  <c r="G70" i="34" s="1"/>
  <c r="G23" i="34"/>
  <c r="G71" i="34" s="1"/>
  <c r="I77" i="34"/>
  <c r="J77" i="34" s="1"/>
  <c r="L130" i="34"/>
  <c r="M130" i="34"/>
  <c r="G130" i="34"/>
  <c r="K130" i="34"/>
  <c r="D130" i="34"/>
  <c r="F130" i="34"/>
  <c r="H130" i="34"/>
  <c r="E130" i="34"/>
  <c r="X82" i="34"/>
  <c r="I130" i="34"/>
  <c r="V9" i="18"/>
  <c r="V22" i="18" s="1"/>
  <c r="V24" i="34"/>
  <c r="V72" i="34" s="1"/>
  <c r="T24" i="34"/>
  <c r="W9" i="18"/>
  <c r="W22" i="18" s="1"/>
  <c r="W24" i="34"/>
  <c r="W72" i="34" s="1"/>
  <c r="U9" i="18"/>
  <c r="U24" i="34"/>
  <c r="U72" i="34" s="1"/>
  <c r="G3" i="18"/>
  <c r="G16" i="18" s="1"/>
  <c r="H3" i="18"/>
  <c r="W10" i="18"/>
  <c r="W23" i="18" s="1"/>
  <c r="W3" i="18"/>
  <c r="W16" i="18" s="1"/>
  <c r="U10" i="18"/>
  <c r="U23" i="18" s="1"/>
  <c r="U3" i="18"/>
  <c r="U16" i="18" s="1"/>
  <c r="V10" i="18"/>
  <c r="V23" i="18" s="1"/>
  <c r="V3" i="18"/>
  <c r="V16" i="18" s="1"/>
  <c r="G8" i="18"/>
  <c r="H8" i="18"/>
  <c r="G7" i="18"/>
  <c r="G9" i="18"/>
  <c r="G22" i="18" s="1"/>
  <c r="G10" i="18"/>
  <c r="G23" i="18" s="1"/>
  <c r="H7" i="18"/>
  <c r="H9" i="18"/>
  <c r="H10" i="18"/>
  <c r="C87" i="16"/>
  <c r="Z86" i="16"/>
  <c r="Y86" i="16"/>
  <c r="W86" i="16"/>
  <c r="X86" i="16"/>
  <c r="V86" i="16"/>
  <c r="U86" i="16"/>
  <c r="T86" i="16"/>
  <c r="T85" i="16"/>
  <c r="U85" i="16"/>
  <c r="V85" i="16"/>
  <c r="C86" i="16"/>
  <c r="W85" i="16"/>
  <c r="Z85" i="16"/>
  <c r="X85" i="16"/>
  <c r="Y85" i="16"/>
  <c r="L84" i="16"/>
  <c r="K84" i="16"/>
  <c r="T84" i="16"/>
  <c r="U84" i="16"/>
  <c r="V84" i="16"/>
  <c r="X84" i="16"/>
  <c r="Y84" i="16"/>
  <c r="Z84" i="16"/>
  <c r="W84" i="16"/>
  <c r="AI6" i="18"/>
  <c r="B85" i="16"/>
  <c r="AI21" i="34"/>
  <c r="AJ6" i="18"/>
  <c r="AJ21" i="34"/>
  <c r="B86" i="16"/>
  <c r="P128" i="34"/>
  <c r="P131" i="34"/>
  <c r="P134" i="34"/>
  <c r="P135" i="34"/>
  <c r="P108" i="34"/>
  <c r="P130" i="34"/>
  <c r="M103" i="34" l="1"/>
  <c r="J113" i="34"/>
  <c r="K113" i="34"/>
  <c r="D113" i="34"/>
  <c r="E113" i="34"/>
  <c r="L113" i="34"/>
  <c r="F113" i="34"/>
  <c r="G113" i="34"/>
  <c r="X65" i="34"/>
  <c r="M113" i="34"/>
  <c r="H113" i="34"/>
  <c r="I113" i="34"/>
  <c r="H23" i="18"/>
  <c r="I23" i="18" s="1"/>
  <c r="J23" i="18" s="1"/>
  <c r="C133" i="34"/>
  <c r="E106" i="34"/>
  <c r="H106" i="34"/>
  <c r="K106" i="34"/>
  <c r="J106" i="34"/>
  <c r="F106" i="34"/>
  <c r="X58" i="34"/>
  <c r="M106" i="34"/>
  <c r="G106" i="34"/>
  <c r="L106" i="34"/>
  <c r="D133" i="34"/>
  <c r="T57" i="34"/>
  <c r="I133" i="34"/>
  <c r="H133" i="34"/>
  <c r="L133" i="34"/>
  <c r="G133" i="34"/>
  <c r="J133" i="34"/>
  <c r="K133" i="34"/>
  <c r="M133" i="34"/>
  <c r="F133" i="34"/>
  <c r="E133" i="34"/>
  <c r="Q56" i="34"/>
  <c r="X85" i="34"/>
  <c r="D106" i="34"/>
  <c r="C106" i="34"/>
  <c r="K78" i="34"/>
  <c r="K103" i="34"/>
  <c r="C127" i="34"/>
  <c r="I103" i="34"/>
  <c r="C103" i="34"/>
  <c r="E141" i="34"/>
  <c r="M127" i="34"/>
  <c r="F103" i="34"/>
  <c r="H103" i="34"/>
  <c r="C141" i="34"/>
  <c r="E103" i="34"/>
  <c r="L127" i="34"/>
  <c r="X79" i="34"/>
  <c r="D103" i="34"/>
  <c r="J103" i="34"/>
  <c r="L103" i="34"/>
  <c r="D127" i="34"/>
  <c r="E127" i="34"/>
  <c r="X55" i="34"/>
  <c r="G103" i="34"/>
  <c r="T51" i="34"/>
  <c r="L99" i="34" s="1"/>
  <c r="I127" i="34"/>
  <c r="K127" i="34"/>
  <c r="G127" i="34"/>
  <c r="O131" i="34"/>
  <c r="F127" i="34"/>
  <c r="J127" i="34"/>
  <c r="O135" i="34"/>
  <c r="O134" i="34"/>
  <c r="O108" i="34"/>
  <c r="I141" i="34"/>
  <c r="H141" i="34"/>
  <c r="G141" i="34"/>
  <c r="J141" i="34"/>
  <c r="T84" i="34"/>
  <c r="D132" i="34" s="1"/>
  <c r="P70" i="34"/>
  <c r="Q70" i="34"/>
  <c r="U75" i="34"/>
  <c r="M141" i="34"/>
  <c r="D141" i="34"/>
  <c r="L70" i="34"/>
  <c r="M70" i="34"/>
  <c r="L141" i="34"/>
  <c r="X93" i="34"/>
  <c r="K141" i="34"/>
  <c r="H70" i="34"/>
  <c r="I70" i="34" s="1"/>
  <c r="J70" i="34" s="1"/>
  <c r="K70" i="34" s="1"/>
  <c r="O63" i="34"/>
  <c r="K77" i="34"/>
  <c r="L125" i="34" s="1"/>
  <c r="I71" i="34"/>
  <c r="J71" i="34" s="1"/>
  <c r="J73" i="34"/>
  <c r="I73" i="34"/>
  <c r="H74" i="34"/>
  <c r="C102" i="34"/>
  <c r="J102" i="34"/>
  <c r="H102" i="34"/>
  <c r="F102" i="34"/>
  <c r="K102" i="34"/>
  <c r="D102" i="34"/>
  <c r="X54" i="34"/>
  <c r="G102" i="34"/>
  <c r="I102" i="34"/>
  <c r="E102" i="34"/>
  <c r="H72" i="34"/>
  <c r="T72" i="34" s="1"/>
  <c r="L102" i="34"/>
  <c r="N81" i="34"/>
  <c r="O128" i="34"/>
  <c r="H21" i="34"/>
  <c r="H69" i="34" s="1"/>
  <c r="G21" i="34"/>
  <c r="G69" i="34" s="1"/>
  <c r="O130" i="34"/>
  <c r="W6" i="18"/>
  <c r="W19" i="18" s="1"/>
  <c r="W21" i="34"/>
  <c r="W69" i="34" s="1"/>
  <c r="V7" i="18"/>
  <c r="V20" i="18" s="1"/>
  <c r="V22" i="34"/>
  <c r="V70" i="34" s="1"/>
  <c r="T23" i="34"/>
  <c r="T22" i="34"/>
  <c r="T70" i="34" s="1"/>
  <c r="U8" i="18"/>
  <c r="U21" i="18" s="1"/>
  <c r="U23" i="34"/>
  <c r="U71" i="34" s="1"/>
  <c r="U6" i="18"/>
  <c r="U21" i="34"/>
  <c r="W7" i="18"/>
  <c r="W20" i="18" s="1"/>
  <c r="W22" i="34"/>
  <c r="W70" i="34" s="1"/>
  <c r="W8" i="18"/>
  <c r="W21" i="18" s="1"/>
  <c r="W23" i="34"/>
  <c r="W71" i="34" s="1"/>
  <c r="T21" i="34"/>
  <c r="V6" i="18"/>
  <c r="V19" i="18" s="1"/>
  <c r="V21" i="34"/>
  <c r="V69" i="34" s="1"/>
  <c r="U7" i="18"/>
  <c r="U22" i="34"/>
  <c r="U70" i="34" s="1"/>
  <c r="V8" i="18"/>
  <c r="V21" i="18" s="1"/>
  <c r="V23" i="34"/>
  <c r="V71" i="34" s="1"/>
  <c r="H16" i="18"/>
  <c r="I16" i="18" s="1"/>
  <c r="J16" i="18" s="1"/>
  <c r="H22" i="18"/>
  <c r="I22" i="18" s="1"/>
  <c r="H6" i="18"/>
  <c r="G6" i="18"/>
  <c r="C85" i="16"/>
  <c r="K83" i="16"/>
  <c r="L83" i="16"/>
  <c r="X83" i="16"/>
  <c r="W83" i="16"/>
  <c r="Y83" i="16"/>
  <c r="Z83" i="16"/>
  <c r="V83" i="16"/>
  <c r="T83" i="16"/>
  <c r="U83" i="16"/>
  <c r="K82" i="16"/>
  <c r="L82" i="16"/>
  <c r="C84" i="16"/>
  <c r="C83" i="16"/>
  <c r="Y82" i="16"/>
  <c r="V18" i="34" s="1"/>
  <c r="V66" i="34" s="1"/>
  <c r="Z82" i="16"/>
  <c r="W18" i="34" s="1"/>
  <c r="W66" i="34" s="1"/>
  <c r="X82" i="16"/>
  <c r="U18" i="34" s="1"/>
  <c r="U66" i="34" s="1"/>
  <c r="W82" i="16"/>
  <c r="T18" i="34" s="1"/>
  <c r="T66" i="34" s="1"/>
  <c r="V82" i="16"/>
  <c r="U82" i="16"/>
  <c r="T82" i="16"/>
  <c r="V81" i="16"/>
  <c r="T81" i="16"/>
  <c r="U81" i="16"/>
  <c r="C82" i="16"/>
  <c r="V80" i="16"/>
  <c r="U80" i="16"/>
  <c r="T80" i="16"/>
  <c r="C81" i="16"/>
  <c r="T79" i="16"/>
  <c r="U79" i="16"/>
  <c r="V79" i="16"/>
  <c r="C80" i="16"/>
  <c r="C79" i="16"/>
  <c r="U78" i="16"/>
  <c r="T78" i="16"/>
  <c r="V78" i="16"/>
  <c r="V77" i="16"/>
  <c r="T77" i="16"/>
  <c r="U77" i="16"/>
  <c r="C78" i="16"/>
  <c r="C77" i="16"/>
  <c r="U76" i="16"/>
  <c r="T76" i="16"/>
  <c r="V76" i="16"/>
  <c r="U75" i="16"/>
  <c r="V75" i="16"/>
  <c r="T75" i="16"/>
  <c r="C76" i="16"/>
  <c r="V74" i="16"/>
  <c r="T74" i="16"/>
  <c r="U74" i="16"/>
  <c r="C75" i="16"/>
  <c r="T73" i="16"/>
  <c r="U73" i="16"/>
  <c r="V73" i="16"/>
  <c r="T72" i="16"/>
  <c r="V72" i="16"/>
  <c r="U72" i="16"/>
  <c r="C73" i="16"/>
  <c r="T71" i="16"/>
  <c r="U71" i="16"/>
  <c r="V71" i="16"/>
  <c r="C72" i="16"/>
  <c r="U70" i="16"/>
  <c r="V70" i="16"/>
  <c r="T70" i="16"/>
  <c r="C71" i="16"/>
  <c r="C70" i="16"/>
  <c r="T69" i="16"/>
  <c r="U69" i="16"/>
  <c r="V69" i="16"/>
  <c r="C69" i="16"/>
  <c r="T68" i="16"/>
  <c r="V68" i="16"/>
  <c r="U68" i="16"/>
  <c r="T67" i="16"/>
  <c r="V67" i="16"/>
  <c r="U67" i="16"/>
  <c r="C68" i="16"/>
  <c r="C67" i="16"/>
  <c r="T66" i="16"/>
  <c r="U66" i="16"/>
  <c r="V66" i="16"/>
  <c r="C66" i="16"/>
  <c r="V65" i="16"/>
  <c r="T65" i="16"/>
  <c r="U65" i="16"/>
  <c r="C65" i="16"/>
  <c r="T64" i="16"/>
  <c r="U64" i="16"/>
  <c r="V64" i="16"/>
  <c r="V63" i="16"/>
  <c r="T63" i="16"/>
  <c r="U63" i="16"/>
  <c r="C64" i="16"/>
  <c r="V62" i="16"/>
  <c r="U62" i="16"/>
  <c r="T62" i="16"/>
  <c r="C63" i="16"/>
  <c r="C62" i="16"/>
  <c r="V61" i="16"/>
  <c r="T61" i="16"/>
  <c r="U61" i="16"/>
  <c r="U60" i="16"/>
  <c r="T60" i="16"/>
  <c r="V60" i="16"/>
  <c r="C61" i="16"/>
  <c r="T59" i="16"/>
  <c r="V59" i="16"/>
  <c r="U59" i="16"/>
  <c r="C60" i="16"/>
  <c r="C59" i="16"/>
  <c r="T58" i="16"/>
  <c r="U58" i="16"/>
  <c r="V58" i="16"/>
  <c r="C58" i="16"/>
  <c r="V57" i="16"/>
  <c r="U57" i="16"/>
  <c r="T57" i="16"/>
  <c r="C57" i="16"/>
  <c r="T56" i="16"/>
  <c r="U56" i="16"/>
  <c r="V56" i="16"/>
  <c r="T55" i="16"/>
  <c r="U55" i="16"/>
  <c r="V55" i="16"/>
  <c r="C56" i="16"/>
  <c r="U54" i="16"/>
  <c r="V54" i="16"/>
  <c r="T54" i="16"/>
  <c r="C55" i="16"/>
  <c r="U53" i="16"/>
  <c r="V53" i="16"/>
  <c r="T53" i="16"/>
  <c r="C54" i="16"/>
  <c r="C53" i="16"/>
  <c r="T52" i="16"/>
  <c r="U52" i="16"/>
  <c r="V52" i="16"/>
  <c r="C52" i="16"/>
  <c r="V51" i="16"/>
  <c r="T51" i="16"/>
  <c r="U51" i="16"/>
  <c r="T50" i="16"/>
  <c r="V50" i="16"/>
  <c r="U50" i="16"/>
  <c r="C51" i="16"/>
  <c r="C50" i="16"/>
  <c r="U49" i="16"/>
  <c r="T49" i="16"/>
  <c r="V49" i="16"/>
  <c r="C49" i="16"/>
  <c r="U48" i="16"/>
  <c r="T48" i="16"/>
  <c r="V48" i="16"/>
  <c r="V47" i="16"/>
  <c r="U47" i="16"/>
  <c r="T47" i="16"/>
  <c r="C48" i="16"/>
  <c r="C47" i="16"/>
  <c r="T46" i="16"/>
  <c r="U46" i="16"/>
  <c r="V46" i="16"/>
  <c r="V45" i="16"/>
  <c r="T45" i="16"/>
  <c r="U45" i="16"/>
  <c r="B119" i="13"/>
  <c r="Q119" i="13" s="1"/>
  <c r="D119" i="13"/>
  <c r="C119" i="13" s="1"/>
  <c r="B74" i="16"/>
  <c r="B60" i="16"/>
  <c r="B55" i="16"/>
  <c r="B57" i="16"/>
  <c r="B63" i="16"/>
  <c r="B47" i="16"/>
  <c r="B82" i="16"/>
  <c r="B81" i="16"/>
  <c r="AJ20" i="34"/>
  <c r="B48" i="16"/>
  <c r="B69" i="16"/>
  <c r="B73" i="16"/>
  <c r="B59" i="16"/>
  <c r="AJ4" i="18"/>
  <c r="B62" i="16"/>
  <c r="B53" i="16"/>
  <c r="B45" i="16"/>
  <c r="B67" i="16"/>
  <c r="AI19" i="34"/>
  <c r="B61" i="16"/>
  <c r="B50" i="16"/>
  <c r="B77" i="16"/>
  <c r="AI5" i="18"/>
  <c r="B54" i="16"/>
  <c r="B75" i="16"/>
  <c r="B71" i="16"/>
  <c r="AI20" i="34"/>
  <c r="B79" i="16"/>
  <c r="B58" i="16"/>
  <c r="B51" i="16"/>
  <c r="B66" i="16"/>
  <c r="AJ19" i="34"/>
  <c r="B65" i="16"/>
  <c r="B52" i="16"/>
  <c r="B49" i="16"/>
  <c r="B46" i="16"/>
  <c r="B64" i="16"/>
  <c r="B80" i="16"/>
  <c r="B68" i="16"/>
  <c r="B72" i="16"/>
  <c r="B70" i="16"/>
  <c r="AJ5" i="18"/>
  <c r="B78" i="16"/>
  <c r="B83" i="16"/>
  <c r="AI4" i="18"/>
  <c r="B76" i="16"/>
  <c r="B56" i="16"/>
  <c r="B84" i="16"/>
  <c r="P113" i="34"/>
  <c r="P102" i="34"/>
  <c r="P127" i="34"/>
  <c r="P133" i="34"/>
  <c r="P106" i="34"/>
  <c r="P103" i="34"/>
  <c r="P141" i="34"/>
  <c r="O113" i="34" l="1"/>
  <c r="C99" i="34"/>
  <c r="E99" i="34"/>
  <c r="J125" i="34"/>
  <c r="J105" i="34"/>
  <c r="C105" i="34"/>
  <c r="D105" i="34"/>
  <c r="T56" i="34"/>
  <c r="J104" i="34" s="1"/>
  <c r="E105" i="34"/>
  <c r="O133" i="34"/>
  <c r="M105" i="34"/>
  <c r="L105" i="34"/>
  <c r="F105" i="34"/>
  <c r="G105" i="34"/>
  <c r="I105" i="34"/>
  <c r="X57" i="34"/>
  <c r="O106" i="34"/>
  <c r="K105" i="34"/>
  <c r="H105" i="34"/>
  <c r="L78" i="34"/>
  <c r="C126" i="34" s="1"/>
  <c r="K71" i="34"/>
  <c r="S71" i="34" s="1"/>
  <c r="I74" i="34"/>
  <c r="D99" i="34"/>
  <c r="G99" i="34"/>
  <c r="I99" i="34"/>
  <c r="H99" i="34"/>
  <c r="K99" i="34"/>
  <c r="O127" i="34"/>
  <c r="G132" i="34"/>
  <c r="O103" i="34"/>
  <c r="X51" i="34"/>
  <c r="M99" i="34"/>
  <c r="F99" i="34"/>
  <c r="J99" i="34"/>
  <c r="F132" i="34"/>
  <c r="M132" i="34"/>
  <c r="X84" i="34"/>
  <c r="T73" i="34"/>
  <c r="C121" i="34" s="1"/>
  <c r="K132" i="34"/>
  <c r="L132" i="34"/>
  <c r="J132" i="34"/>
  <c r="I132" i="34"/>
  <c r="C132" i="34"/>
  <c r="H132" i="34"/>
  <c r="E132" i="34"/>
  <c r="I72" i="34"/>
  <c r="O141" i="34"/>
  <c r="P63" i="34"/>
  <c r="R69" i="34"/>
  <c r="Q69" i="34"/>
  <c r="P69" i="34"/>
  <c r="S70" i="34"/>
  <c r="E118" i="34" s="1"/>
  <c r="J72" i="34"/>
  <c r="K72" i="34" s="1"/>
  <c r="K125" i="34"/>
  <c r="G125" i="34"/>
  <c r="C125" i="34"/>
  <c r="M125" i="34"/>
  <c r="X77" i="34"/>
  <c r="H125" i="34"/>
  <c r="E125" i="34"/>
  <c r="D125" i="34"/>
  <c r="I125" i="34"/>
  <c r="D114" i="34"/>
  <c r="C114" i="34"/>
  <c r="E114" i="34"/>
  <c r="F125" i="34"/>
  <c r="F114" i="34"/>
  <c r="H114" i="34"/>
  <c r="J114" i="34"/>
  <c r="G114" i="34"/>
  <c r="I114" i="34"/>
  <c r="K114" i="34"/>
  <c r="M114" i="34"/>
  <c r="X66" i="34"/>
  <c r="L114" i="34"/>
  <c r="O102" i="34"/>
  <c r="I69" i="34"/>
  <c r="O81" i="34"/>
  <c r="P81" i="34" s="1"/>
  <c r="G20" i="34"/>
  <c r="G68" i="34" s="1"/>
  <c r="P68" i="34" s="1"/>
  <c r="H20" i="34"/>
  <c r="H68" i="34" s="1"/>
  <c r="G19" i="34"/>
  <c r="G67" i="34" s="1"/>
  <c r="H19" i="34"/>
  <c r="T20" i="34"/>
  <c r="U4" i="18"/>
  <c r="U17" i="18" s="1"/>
  <c r="U19" i="34"/>
  <c r="U67" i="34" s="1"/>
  <c r="V5" i="18"/>
  <c r="V18" i="18" s="1"/>
  <c r="V20" i="34"/>
  <c r="V68" i="34" s="1"/>
  <c r="T19" i="34"/>
  <c r="T67" i="34" s="1"/>
  <c r="W5" i="18"/>
  <c r="W18" i="18" s="1"/>
  <c r="W20" i="34"/>
  <c r="W68" i="34" s="1"/>
  <c r="W4" i="18"/>
  <c r="W17" i="18" s="1"/>
  <c r="W19" i="34"/>
  <c r="W67" i="34" s="1"/>
  <c r="V4" i="18"/>
  <c r="V17" i="18" s="1"/>
  <c r="V19" i="34"/>
  <c r="V67" i="34" s="1"/>
  <c r="U5" i="18"/>
  <c r="U18" i="18" s="1"/>
  <c r="U20" i="34"/>
  <c r="U68" i="34" s="1"/>
  <c r="K16" i="18"/>
  <c r="L16" i="18" s="1"/>
  <c r="K23" i="18"/>
  <c r="L23" i="18" s="1"/>
  <c r="H5" i="18"/>
  <c r="G4" i="18"/>
  <c r="G17" i="18" s="1"/>
  <c r="H4" i="18"/>
  <c r="G5" i="18"/>
  <c r="G18" i="18" s="1"/>
  <c r="J22" i="18"/>
  <c r="K22" i="18" s="1"/>
  <c r="P22" i="18" s="1"/>
  <c r="K6" i="12"/>
  <c r="K7" i="12" s="1"/>
  <c r="K8" i="12" s="1"/>
  <c r="K9" i="12" s="1"/>
  <c r="K10" i="12" s="1"/>
  <c r="B120" i="13"/>
  <c r="Q120" i="13" s="1"/>
  <c r="C45" i="16"/>
  <c r="Z13" i="16"/>
  <c r="W13" i="16"/>
  <c r="X13" i="16"/>
  <c r="Y13" i="16"/>
  <c r="Z31" i="16"/>
  <c r="Y31" i="16"/>
  <c r="X31" i="16"/>
  <c r="W31" i="16"/>
  <c r="W30" i="16"/>
  <c r="Z30" i="16"/>
  <c r="X30" i="16"/>
  <c r="Y30" i="16"/>
  <c r="Y29" i="16"/>
  <c r="Z29" i="16"/>
  <c r="K36" i="21"/>
  <c r="W149" i="16" s="1"/>
  <c r="X29" i="16"/>
  <c r="Y28" i="16"/>
  <c r="X28" i="16"/>
  <c r="W28" i="16"/>
  <c r="Z28" i="16"/>
  <c r="Z5" i="16"/>
  <c r="X5" i="16"/>
  <c r="Y5" i="16"/>
  <c r="W5" i="16"/>
  <c r="X10" i="16"/>
  <c r="Z10" i="16"/>
  <c r="W10" i="16"/>
  <c r="Y10" i="16"/>
  <c r="W37" i="16"/>
  <c r="Y37" i="16"/>
  <c r="Z37" i="16"/>
  <c r="X37" i="16"/>
  <c r="Y36" i="16"/>
  <c r="X36" i="16"/>
  <c r="Z36" i="16"/>
  <c r="W36" i="16"/>
  <c r="Z17" i="16"/>
  <c r="X17" i="16"/>
  <c r="Y17" i="16"/>
  <c r="W17" i="16"/>
  <c r="Y7" i="16"/>
  <c r="W7" i="16"/>
  <c r="X7" i="16"/>
  <c r="Z7" i="16"/>
  <c r="Z33" i="16"/>
  <c r="K37" i="21"/>
  <c r="W151" i="16" s="1"/>
  <c r="Y33" i="16"/>
  <c r="X33" i="16"/>
  <c r="X32" i="16"/>
  <c r="W32" i="16"/>
  <c r="Y32" i="16"/>
  <c r="Z32" i="16"/>
  <c r="Y35" i="16"/>
  <c r="W35" i="16"/>
  <c r="X35" i="16"/>
  <c r="Z35" i="16"/>
  <c r="W2" i="16"/>
  <c r="Z2" i="16"/>
  <c r="Y2" i="16"/>
  <c r="X2" i="16"/>
  <c r="W4" i="16"/>
  <c r="X4" i="16"/>
  <c r="Z4" i="16"/>
  <c r="Y4" i="16"/>
  <c r="X27" i="16"/>
  <c r="Y27" i="16"/>
  <c r="W27" i="16"/>
  <c r="Z27" i="16"/>
  <c r="X26" i="16"/>
  <c r="Z26" i="16"/>
  <c r="Y26" i="16"/>
  <c r="W26" i="16"/>
  <c r="Z25" i="16"/>
  <c r="W25" i="16"/>
  <c r="X25" i="16"/>
  <c r="Y25" i="16"/>
  <c r="Z8" i="16"/>
  <c r="Y8" i="16"/>
  <c r="W8" i="16"/>
  <c r="X8" i="16"/>
  <c r="W11" i="16"/>
  <c r="X11" i="16"/>
  <c r="Y11" i="16"/>
  <c r="Z11" i="16"/>
  <c r="T44" i="16"/>
  <c r="U44" i="16"/>
  <c r="V44" i="16"/>
  <c r="X34" i="16"/>
  <c r="W34" i="16"/>
  <c r="Z34" i="16"/>
  <c r="Y34" i="16"/>
  <c r="Z16" i="16"/>
  <c r="X16" i="16"/>
  <c r="Y16" i="16"/>
  <c r="W16" i="16"/>
  <c r="Z15" i="16"/>
  <c r="Y15" i="16"/>
  <c r="W15" i="16"/>
  <c r="X15" i="16"/>
  <c r="W14" i="16"/>
  <c r="X14" i="16"/>
  <c r="Y14" i="16"/>
  <c r="Z14" i="16"/>
  <c r="W9" i="16"/>
  <c r="Z9" i="16"/>
  <c r="Y9" i="16"/>
  <c r="X9" i="16"/>
  <c r="W21" i="16"/>
  <c r="Z21" i="16"/>
  <c r="X21" i="16"/>
  <c r="Y21" i="16"/>
  <c r="W6" i="16"/>
  <c r="Z6" i="16"/>
  <c r="X6" i="16"/>
  <c r="Y6" i="16"/>
  <c r="D120" i="13"/>
  <c r="C120" i="13" s="1"/>
  <c r="X24" i="16"/>
  <c r="Z24" i="16"/>
  <c r="W24" i="16"/>
  <c r="Y24" i="16"/>
  <c r="Y23" i="16"/>
  <c r="Z23" i="16"/>
  <c r="X23" i="16"/>
  <c r="W23" i="16"/>
  <c r="Y22" i="16"/>
  <c r="X22" i="16"/>
  <c r="Z22" i="16"/>
  <c r="W22" i="16"/>
  <c r="Y3" i="16"/>
  <c r="X3" i="16"/>
  <c r="W3" i="16"/>
  <c r="Z3" i="16"/>
  <c r="Z20" i="16"/>
  <c r="W20" i="16"/>
  <c r="X20" i="16"/>
  <c r="Y20" i="16"/>
  <c r="Z19" i="16"/>
  <c r="W19" i="16"/>
  <c r="X19" i="16"/>
  <c r="Y19" i="16"/>
  <c r="Z18" i="16"/>
  <c r="W18" i="16"/>
  <c r="X18" i="16"/>
  <c r="Y18" i="16"/>
  <c r="Y12" i="16"/>
  <c r="Z12" i="16"/>
  <c r="W12" i="16"/>
  <c r="X12" i="16"/>
  <c r="V43" i="16"/>
  <c r="T43" i="16"/>
  <c r="U43" i="16"/>
  <c r="C44" i="16"/>
  <c r="J33" i="21"/>
  <c r="K33" i="21"/>
  <c r="J97" i="21"/>
  <c r="K97" i="21"/>
  <c r="J129" i="21"/>
  <c r="K129" i="21"/>
  <c r="J161" i="21"/>
  <c r="K161" i="21"/>
  <c r="J193" i="21"/>
  <c r="K193" i="21"/>
  <c r="J34" i="21"/>
  <c r="K34" i="21"/>
  <c r="J98" i="21"/>
  <c r="K98" i="21"/>
  <c r="J130" i="21"/>
  <c r="K130" i="21"/>
  <c r="J162" i="21"/>
  <c r="K162" i="21"/>
  <c r="J194" i="21"/>
  <c r="K194" i="21"/>
  <c r="J226" i="21"/>
  <c r="K226" i="21"/>
  <c r="J213" i="21"/>
  <c r="K213" i="21"/>
  <c r="J31" i="21"/>
  <c r="AL33" i="16" s="1"/>
  <c r="AU33" i="16" s="1"/>
  <c r="AV33" i="16" s="1"/>
  <c r="K31" i="21"/>
  <c r="J95" i="21"/>
  <c r="K95" i="21"/>
  <c r="J127" i="21"/>
  <c r="K127" i="21"/>
  <c r="J159" i="21"/>
  <c r="K159" i="21"/>
  <c r="J191" i="21"/>
  <c r="K191" i="21"/>
  <c r="J32" i="21"/>
  <c r="AL40" i="16" s="1"/>
  <c r="AU40" i="16" s="1"/>
  <c r="AV40" i="16" s="1"/>
  <c r="K32" i="21"/>
  <c r="W40" i="16" s="1"/>
  <c r="J96" i="21"/>
  <c r="K96" i="21"/>
  <c r="J128" i="21"/>
  <c r="K128" i="21"/>
  <c r="J160" i="21"/>
  <c r="K160" i="21"/>
  <c r="J192" i="21"/>
  <c r="K192" i="21"/>
  <c r="J224" i="21"/>
  <c r="K224" i="21"/>
  <c r="J205" i="21"/>
  <c r="K205" i="21"/>
  <c r="J21" i="21"/>
  <c r="K21" i="21"/>
  <c r="J85" i="21"/>
  <c r="K85" i="21"/>
  <c r="J117" i="21"/>
  <c r="K117" i="21"/>
  <c r="J149" i="21"/>
  <c r="K149" i="21"/>
  <c r="J181" i="21"/>
  <c r="K181" i="21"/>
  <c r="J22" i="21"/>
  <c r="K22" i="21"/>
  <c r="J86" i="21"/>
  <c r="K86" i="21"/>
  <c r="J118" i="21"/>
  <c r="K118" i="21"/>
  <c r="J150" i="21"/>
  <c r="K150" i="21"/>
  <c r="J182" i="21"/>
  <c r="K182" i="21"/>
  <c r="J214" i="21"/>
  <c r="K214" i="21"/>
  <c r="J207" i="21"/>
  <c r="K207" i="21"/>
  <c r="C43" i="16"/>
  <c r="J221" i="21"/>
  <c r="K221" i="21"/>
  <c r="J3" i="21"/>
  <c r="K3" i="21"/>
  <c r="J35" i="21"/>
  <c r="K35" i="21"/>
  <c r="W147" i="16" s="1"/>
  <c r="J99" i="21"/>
  <c r="K99" i="21"/>
  <c r="J131" i="21"/>
  <c r="K131" i="21"/>
  <c r="J163" i="21"/>
  <c r="K163" i="21"/>
  <c r="J4" i="21"/>
  <c r="K4" i="21"/>
  <c r="K100" i="21"/>
  <c r="J100" i="21"/>
  <c r="K132" i="21"/>
  <c r="J132" i="21"/>
  <c r="J164" i="21"/>
  <c r="K164" i="21"/>
  <c r="J196" i="21"/>
  <c r="K196" i="21"/>
  <c r="J228" i="21"/>
  <c r="K228" i="21"/>
  <c r="J2" i="21"/>
  <c r="K2" i="21"/>
  <c r="J9" i="21"/>
  <c r="K9" i="21"/>
  <c r="K17" i="21"/>
  <c r="J17" i="21"/>
  <c r="J25" i="21"/>
  <c r="K25" i="21"/>
  <c r="K81" i="21"/>
  <c r="J81" i="21"/>
  <c r="J89" i="21"/>
  <c r="K89" i="21"/>
  <c r="J105" i="21"/>
  <c r="K105" i="21"/>
  <c r="K113" i="21"/>
  <c r="J113" i="21"/>
  <c r="J121" i="21"/>
  <c r="K121" i="21"/>
  <c r="J137" i="21"/>
  <c r="K137" i="21"/>
  <c r="K145" i="21"/>
  <c r="J145" i="21"/>
  <c r="J153" i="21"/>
  <c r="K153" i="21"/>
  <c r="J169" i="21"/>
  <c r="K169" i="21"/>
  <c r="K177" i="21"/>
  <c r="J177" i="21"/>
  <c r="J185" i="21"/>
  <c r="K185" i="21"/>
  <c r="J10" i="21"/>
  <c r="K10" i="21"/>
  <c r="K18" i="21"/>
  <c r="J18" i="21"/>
  <c r="J26" i="21"/>
  <c r="K26" i="21"/>
  <c r="J82" i="21"/>
  <c r="K82" i="21"/>
  <c r="K90" i="21"/>
  <c r="J90" i="21"/>
  <c r="J106" i="21"/>
  <c r="K106" i="21"/>
  <c r="J114" i="21"/>
  <c r="K114" i="21"/>
  <c r="K122" i="21"/>
  <c r="J122" i="21"/>
  <c r="J138" i="21"/>
  <c r="K138" i="21"/>
  <c r="K146" i="21"/>
  <c r="J146" i="21"/>
  <c r="J154" i="21"/>
  <c r="K154" i="21"/>
  <c r="J170" i="21"/>
  <c r="K170" i="21"/>
  <c r="K178" i="21"/>
  <c r="J178" i="21"/>
  <c r="J186" i="21"/>
  <c r="K186" i="21"/>
  <c r="J202" i="21"/>
  <c r="K202" i="21"/>
  <c r="K210" i="21"/>
  <c r="J210" i="21"/>
  <c r="K218" i="21"/>
  <c r="J218" i="21"/>
  <c r="J201" i="21"/>
  <c r="K201" i="21"/>
  <c r="K233" i="21"/>
  <c r="J233" i="21"/>
  <c r="J223" i="21"/>
  <c r="K223" i="21"/>
  <c r="J203" i="21"/>
  <c r="K203" i="21"/>
  <c r="V42" i="16"/>
  <c r="T42" i="16"/>
  <c r="U42" i="16"/>
  <c r="J7" i="21"/>
  <c r="K7" i="21"/>
  <c r="K15" i="21"/>
  <c r="J15" i="21"/>
  <c r="K23" i="21"/>
  <c r="J23" i="21"/>
  <c r="K79" i="21"/>
  <c r="J79" i="21"/>
  <c r="K87" i="21"/>
  <c r="J87" i="21"/>
  <c r="J103" i="21"/>
  <c r="K103" i="21"/>
  <c r="K111" i="21"/>
  <c r="J111" i="21"/>
  <c r="K119" i="21"/>
  <c r="J119" i="21"/>
  <c r="J135" i="21"/>
  <c r="K135" i="21"/>
  <c r="K143" i="21"/>
  <c r="J143" i="21"/>
  <c r="K151" i="21"/>
  <c r="J151" i="21"/>
  <c r="J167" i="21"/>
  <c r="K167" i="21"/>
  <c r="K175" i="21"/>
  <c r="J175" i="21"/>
  <c r="K183" i="21"/>
  <c r="J183" i="21"/>
  <c r="J8" i="21"/>
  <c r="K8" i="21"/>
  <c r="K16" i="21"/>
  <c r="J16" i="21"/>
  <c r="K24" i="21"/>
  <c r="J24" i="21"/>
  <c r="K80" i="21"/>
  <c r="J80" i="21"/>
  <c r="K88" i="21"/>
  <c r="J88" i="21"/>
  <c r="J104" i="21"/>
  <c r="K104" i="21"/>
  <c r="K112" i="21"/>
  <c r="J112" i="21"/>
  <c r="K120" i="21"/>
  <c r="J120" i="21"/>
  <c r="J136" i="21"/>
  <c r="K136" i="21"/>
  <c r="K144" i="21"/>
  <c r="J144" i="21"/>
  <c r="K152" i="21"/>
  <c r="J152" i="21"/>
  <c r="J168" i="21"/>
  <c r="K168" i="21"/>
  <c r="K176" i="21"/>
  <c r="J176" i="21"/>
  <c r="K184" i="21"/>
  <c r="J184" i="21"/>
  <c r="J200" i="21"/>
  <c r="K200" i="21"/>
  <c r="K208" i="21"/>
  <c r="J208" i="21"/>
  <c r="K216" i="21"/>
  <c r="J216" i="21"/>
  <c r="J232" i="21"/>
  <c r="K232" i="21"/>
  <c r="K225" i="21"/>
  <c r="J225" i="21"/>
  <c r="K215" i="21"/>
  <c r="J215" i="21"/>
  <c r="J195" i="21"/>
  <c r="K195" i="21"/>
  <c r="K227" i="21"/>
  <c r="J227" i="21"/>
  <c r="K5" i="21"/>
  <c r="J5" i="21"/>
  <c r="K13" i="21"/>
  <c r="J13" i="21"/>
  <c r="J29" i="21"/>
  <c r="K29" i="21"/>
  <c r="K77" i="21"/>
  <c r="J77" i="21"/>
  <c r="J93" i="21"/>
  <c r="K93" i="21"/>
  <c r="K101" i="21"/>
  <c r="J101" i="21"/>
  <c r="K109" i="21"/>
  <c r="J109" i="21"/>
  <c r="J125" i="21"/>
  <c r="K125" i="21"/>
  <c r="K133" i="21"/>
  <c r="J133" i="21"/>
  <c r="K141" i="21"/>
  <c r="J141" i="21"/>
  <c r="J157" i="21"/>
  <c r="K157" i="21"/>
  <c r="K165" i="21"/>
  <c r="J165" i="21"/>
  <c r="K173" i="21"/>
  <c r="J173" i="21"/>
  <c r="J189" i="21"/>
  <c r="K189" i="21"/>
  <c r="K6" i="21"/>
  <c r="J6" i="21"/>
  <c r="K14" i="21"/>
  <c r="J14" i="21"/>
  <c r="J30" i="21"/>
  <c r="AL29" i="16" s="1"/>
  <c r="AU29" i="16" s="1"/>
  <c r="AV29" i="16" s="1"/>
  <c r="K30" i="21"/>
  <c r="K78" i="21"/>
  <c r="J78" i="21"/>
  <c r="J94" i="21"/>
  <c r="K94" i="21"/>
  <c r="K102" i="21"/>
  <c r="J102" i="21"/>
  <c r="K110" i="21"/>
  <c r="J110" i="21"/>
  <c r="J126" i="21"/>
  <c r="K126" i="21"/>
  <c r="K134" i="21"/>
  <c r="J134" i="21"/>
  <c r="K142" i="21"/>
  <c r="J142" i="21"/>
  <c r="J158" i="21"/>
  <c r="K158" i="21"/>
  <c r="K166" i="21"/>
  <c r="J166" i="21"/>
  <c r="K174" i="21"/>
  <c r="J174" i="21"/>
  <c r="J190" i="21"/>
  <c r="K190" i="21"/>
  <c r="K198" i="21"/>
  <c r="J198" i="21"/>
  <c r="K206" i="21"/>
  <c r="J206" i="21"/>
  <c r="J222" i="21"/>
  <c r="K222" i="21"/>
  <c r="K230" i="21"/>
  <c r="J230" i="21"/>
  <c r="K217" i="21"/>
  <c r="J217" i="21"/>
  <c r="J197" i="21"/>
  <c r="K197" i="21"/>
  <c r="K229" i="21"/>
  <c r="J229" i="21"/>
  <c r="J219" i="21"/>
  <c r="K219" i="21"/>
  <c r="B118" i="13"/>
  <c r="Q118" i="13" s="1"/>
  <c r="D118" i="13"/>
  <c r="C118" i="13" s="1"/>
  <c r="J11" i="21"/>
  <c r="K11" i="21"/>
  <c r="K19" i="21"/>
  <c r="J19" i="21"/>
  <c r="K27" i="21"/>
  <c r="J27" i="21"/>
  <c r="J75" i="21"/>
  <c r="K75" i="21"/>
  <c r="K83" i="21"/>
  <c r="J83" i="21"/>
  <c r="K91" i="21"/>
  <c r="J91" i="21"/>
  <c r="J107" i="21"/>
  <c r="K107" i="21"/>
  <c r="K115" i="21"/>
  <c r="J115" i="21"/>
  <c r="K123" i="21"/>
  <c r="J123" i="21"/>
  <c r="J139" i="21"/>
  <c r="K139" i="21"/>
  <c r="K147" i="21"/>
  <c r="J147" i="21"/>
  <c r="K155" i="21"/>
  <c r="J155" i="21"/>
  <c r="J171" i="21"/>
  <c r="K171" i="21"/>
  <c r="K179" i="21"/>
  <c r="J179" i="21"/>
  <c r="K187" i="21"/>
  <c r="J187" i="21"/>
  <c r="J12" i="21"/>
  <c r="K12" i="21"/>
  <c r="K20" i="21"/>
  <c r="J20" i="21"/>
  <c r="K28" i="21"/>
  <c r="J28" i="21"/>
  <c r="J76" i="21"/>
  <c r="K76" i="21"/>
  <c r="K84" i="21"/>
  <c r="J84" i="21"/>
  <c r="K92" i="21"/>
  <c r="J92" i="21"/>
  <c r="J108" i="21"/>
  <c r="K108" i="21"/>
  <c r="K116" i="21"/>
  <c r="J116" i="21"/>
  <c r="K124" i="21"/>
  <c r="J124" i="21"/>
  <c r="J140" i="21"/>
  <c r="K140" i="21"/>
  <c r="K148" i="21"/>
  <c r="J148" i="21"/>
  <c r="K156" i="21"/>
  <c r="J156" i="21"/>
  <c r="J172" i="21"/>
  <c r="K172" i="21"/>
  <c r="K180" i="21"/>
  <c r="J180" i="21"/>
  <c r="K188" i="21"/>
  <c r="J188" i="21"/>
  <c r="J204" i="21"/>
  <c r="K204" i="21"/>
  <c r="K212" i="21"/>
  <c r="J212" i="21"/>
  <c r="K220" i="21"/>
  <c r="J220" i="21"/>
  <c r="J209" i="21"/>
  <c r="K209" i="21"/>
  <c r="K199" i="21"/>
  <c r="J199" i="21"/>
  <c r="J231" i="21"/>
  <c r="K231" i="21"/>
  <c r="J211" i="21"/>
  <c r="K211" i="21"/>
  <c r="T41" i="16"/>
  <c r="U41" i="16"/>
  <c r="V41" i="16"/>
  <c r="C42" i="16"/>
  <c r="C41" i="16"/>
  <c r="V40" i="16"/>
  <c r="U40" i="16"/>
  <c r="T40" i="16"/>
  <c r="C40" i="16"/>
  <c r="U39" i="16"/>
  <c r="V39" i="16"/>
  <c r="T39" i="16"/>
  <c r="C39" i="16"/>
  <c r="AD33" i="18"/>
  <c r="AD31" i="18"/>
  <c r="AD32" i="18"/>
  <c r="AD29" i="18"/>
  <c r="U38" i="16"/>
  <c r="V38" i="16"/>
  <c r="T38" i="16"/>
  <c r="K37" i="16"/>
  <c r="L37" i="16"/>
  <c r="C38" i="16"/>
  <c r="AF33" i="18"/>
  <c r="V37" i="16"/>
  <c r="U37" i="16"/>
  <c r="T37" i="16"/>
  <c r="K36" i="16"/>
  <c r="L36" i="16"/>
  <c r="C37" i="16"/>
  <c r="B32" i="11"/>
  <c r="S31" i="11"/>
  <c r="F32" i="11"/>
  <c r="C32" i="11"/>
  <c r="F39" i="11"/>
  <c r="C39" i="11"/>
  <c r="B39" i="11"/>
  <c r="F29" i="11"/>
  <c r="C29" i="11"/>
  <c r="B29" i="11"/>
  <c r="S28" i="11"/>
  <c r="F36" i="11"/>
  <c r="C36" i="11"/>
  <c r="B36" i="11"/>
  <c r="S35" i="11"/>
  <c r="C30" i="11"/>
  <c r="F30" i="11"/>
  <c r="B30" i="11"/>
  <c r="S29" i="11"/>
  <c r="F33" i="11"/>
  <c r="C33" i="11"/>
  <c r="B33" i="11"/>
  <c r="S32" i="11"/>
  <c r="F34" i="11"/>
  <c r="C34" i="11"/>
  <c r="B34" i="11"/>
  <c r="S33" i="11"/>
  <c r="C37" i="11"/>
  <c r="B37" i="11"/>
  <c r="F37" i="11"/>
  <c r="C31" i="11"/>
  <c r="B31" i="11"/>
  <c r="S30" i="11"/>
  <c r="F31" i="11"/>
  <c r="F40" i="11"/>
  <c r="C40" i="11"/>
  <c r="B40" i="11"/>
  <c r="F41" i="11"/>
  <c r="B41" i="11"/>
  <c r="C41" i="11"/>
  <c r="C35" i="11"/>
  <c r="F35" i="11"/>
  <c r="B35" i="11"/>
  <c r="S34" i="11"/>
  <c r="B38" i="11"/>
  <c r="C38" i="11"/>
  <c r="F38" i="11"/>
  <c r="T36" i="16"/>
  <c r="U36" i="16"/>
  <c r="V36" i="16"/>
  <c r="K35" i="16"/>
  <c r="L35" i="16"/>
  <c r="K33" i="16"/>
  <c r="L33" i="16"/>
  <c r="L34" i="16"/>
  <c r="K34" i="16"/>
  <c r="C36" i="16"/>
  <c r="T35" i="16"/>
  <c r="U35" i="16"/>
  <c r="V35" i="16"/>
  <c r="T34" i="16"/>
  <c r="V34" i="16"/>
  <c r="U34" i="16"/>
  <c r="C35" i="16"/>
  <c r="C34" i="16"/>
  <c r="U33" i="16"/>
  <c r="V33" i="16"/>
  <c r="T33" i="16"/>
  <c r="K32" i="16"/>
  <c r="L32" i="16"/>
  <c r="U32" i="16"/>
  <c r="T32" i="16"/>
  <c r="V32" i="16"/>
  <c r="K31" i="16"/>
  <c r="L31" i="16"/>
  <c r="C33" i="16"/>
  <c r="AJ9" i="12"/>
  <c r="AK9" i="12"/>
  <c r="AW3" i="12"/>
  <c r="AV3" i="12" s="1"/>
  <c r="AN6" i="12"/>
  <c r="AI9" i="12"/>
  <c r="AS9" i="12"/>
  <c r="AN10" i="12"/>
  <c r="AJ6" i="12"/>
  <c r="AE9" i="12"/>
  <c r="AR9" i="12"/>
  <c r="AT9" i="12"/>
  <c r="AS6" i="12"/>
  <c r="AE6" i="12"/>
  <c r="AJ8" i="12"/>
  <c r="AE10" i="12"/>
  <c r="T31" i="16"/>
  <c r="V31" i="16"/>
  <c r="U31" i="16"/>
  <c r="K30" i="16"/>
  <c r="L30" i="16"/>
  <c r="C32" i="16"/>
  <c r="BB25" i="12"/>
  <c r="AT18" i="12"/>
  <c r="AJ18" i="12"/>
  <c r="AN19" i="12"/>
  <c r="AI18" i="12"/>
  <c r="AH18" i="12"/>
  <c r="AS18" i="12"/>
  <c r="AE19" i="12"/>
  <c r="AW19" i="12"/>
  <c r="AG18" i="12"/>
  <c r="AN18" i="12"/>
  <c r="AK18" i="12"/>
  <c r="C31" i="16"/>
  <c r="K29" i="16"/>
  <c r="L29" i="16"/>
  <c r="T30" i="16"/>
  <c r="V30" i="16"/>
  <c r="U30" i="16"/>
  <c r="AI27" i="12"/>
  <c r="AK27" i="12"/>
  <c r="AN37" i="12"/>
  <c r="AH27" i="12"/>
  <c r="AN28" i="12"/>
  <c r="AT36" i="12"/>
  <c r="AT27" i="12"/>
  <c r="AJ36" i="12"/>
  <c r="AE37" i="12"/>
  <c r="C30" i="16"/>
  <c r="W1" i="10"/>
  <c r="AJ27" i="12"/>
  <c r="AE28" i="12"/>
  <c r="AI36" i="12"/>
  <c r="AK36" i="12"/>
  <c r="V29" i="16"/>
  <c r="T29" i="16"/>
  <c r="U29" i="16"/>
  <c r="K28" i="16"/>
  <c r="L28" i="16"/>
  <c r="K26" i="16"/>
  <c r="L26" i="16"/>
  <c r="U28" i="16"/>
  <c r="T28" i="16"/>
  <c r="V28" i="16"/>
  <c r="L27" i="16"/>
  <c r="K27" i="16"/>
  <c r="C29" i="16"/>
  <c r="K25" i="16"/>
  <c r="L25" i="16"/>
  <c r="C28" i="16"/>
  <c r="U27" i="16"/>
  <c r="V27" i="16"/>
  <c r="T27" i="16"/>
  <c r="O10" i="23"/>
  <c r="K24" i="16"/>
  <c r="L24" i="16"/>
  <c r="T26" i="16"/>
  <c r="U26" i="16"/>
  <c r="V26" i="16"/>
  <c r="B43" i="16"/>
  <c r="AJ2" i="34"/>
  <c r="B27" i="16"/>
  <c r="B37" i="16"/>
  <c r="B44" i="16"/>
  <c r="B29" i="16"/>
  <c r="AI2" i="18"/>
  <c r="AJ2" i="18"/>
  <c r="B40" i="16"/>
  <c r="B34" i="16"/>
  <c r="B31" i="16"/>
  <c r="B42" i="16"/>
  <c r="B39" i="16"/>
  <c r="B35" i="16"/>
  <c r="B36" i="16"/>
  <c r="B38" i="16"/>
  <c r="B28" i="16"/>
  <c r="AI2" i="34"/>
  <c r="B33" i="16"/>
  <c r="B30" i="16"/>
  <c r="B32" i="16"/>
  <c r="B41" i="16"/>
  <c r="B131" i="34"/>
  <c r="B140" i="34"/>
  <c r="B103" i="34"/>
  <c r="B132" i="34"/>
  <c r="B116" i="34"/>
  <c r="P105" i="34"/>
  <c r="B119" i="34"/>
  <c r="B108" i="34"/>
  <c r="B111" i="34"/>
  <c r="B117" i="34"/>
  <c r="B134" i="34"/>
  <c r="B101" i="34"/>
  <c r="B124" i="34"/>
  <c r="B98" i="34"/>
  <c r="B109" i="34"/>
  <c r="B138" i="34"/>
  <c r="B126" i="34"/>
  <c r="B100" i="34"/>
  <c r="B128" i="34"/>
  <c r="B136" i="34"/>
  <c r="B141" i="34"/>
  <c r="B120" i="34"/>
  <c r="B137" i="34"/>
  <c r="B125" i="34"/>
  <c r="B107" i="34"/>
  <c r="P125" i="34"/>
  <c r="B122" i="34"/>
  <c r="B130" i="34"/>
  <c r="B129" i="34"/>
  <c r="B110" i="34"/>
  <c r="P114" i="34"/>
  <c r="B118" i="34"/>
  <c r="B113" i="34"/>
  <c r="B115" i="34"/>
  <c r="B105" i="34"/>
  <c r="B139" i="34"/>
  <c r="B112" i="34"/>
  <c r="P99" i="34"/>
  <c r="B121" i="34"/>
  <c r="B99" i="34"/>
  <c r="B104" i="34"/>
  <c r="B133" i="34"/>
  <c r="B106" i="34"/>
  <c r="B102" i="34"/>
  <c r="P132" i="34"/>
  <c r="B135" i="34"/>
  <c r="B127" i="34"/>
  <c r="B114" i="34"/>
  <c r="B123" i="34"/>
  <c r="T10" i="18" l="1"/>
  <c r="T3" i="18"/>
  <c r="W118" i="16"/>
  <c r="T27" i="34" s="1"/>
  <c r="T75" i="34" s="1"/>
  <c r="W119" i="16"/>
  <c r="AL118" i="16"/>
  <c r="AU118" i="16" s="1"/>
  <c r="AV118" i="16" s="1"/>
  <c r="F118" i="16" s="1"/>
  <c r="AL119" i="16"/>
  <c r="AU119" i="16" s="1"/>
  <c r="AV119" i="16" s="1"/>
  <c r="AL147" i="16"/>
  <c r="AU147" i="16" s="1"/>
  <c r="AV147" i="16" s="1"/>
  <c r="H147" i="16" s="1"/>
  <c r="AL148" i="16"/>
  <c r="AU148" i="16" s="1"/>
  <c r="AV148" i="16" s="1"/>
  <c r="W106" i="16"/>
  <c r="T43" i="34" s="1"/>
  <c r="T91" i="34" s="1"/>
  <c r="W107" i="16"/>
  <c r="T16" i="34" s="1"/>
  <c r="AL106" i="16"/>
  <c r="AU106" i="16" s="1"/>
  <c r="AV106" i="16" s="1"/>
  <c r="F106" i="16" s="1"/>
  <c r="AL107" i="16"/>
  <c r="AU107" i="16" s="1"/>
  <c r="AV107" i="16" s="1"/>
  <c r="J118" i="34"/>
  <c r="T42" i="34"/>
  <c r="T90" i="34" s="1"/>
  <c r="I138" i="34" s="1"/>
  <c r="T4" i="34"/>
  <c r="T5" i="34"/>
  <c r="H33" i="16"/>
  <c r="F33" i="16"/>
  <c r="W29" i="16"/>
  <c r="W148" i="16"/>
  <c r="W33" i="16"/>
  <c r="W150" i="16"/>
  <c r="T9" i="18" s="1"/>
  <c r="H40" i="16"/>
  <c r="F40" i="16"/>
  <c r="F29" i="16"/>
  <c r="H29" i="16"/>
  <c r="T4" i="18"/>
  <c r="L118" i="34"/>
  <c r="H118" i="34"/>
  <c r="G104" i="34"/>
  <c r="M104" i="34"/>
  <c r="H104" i="34"/>
  <c r="I104" i="34"/>
  <c r="K104" i="34"/>
  <c r="J126" i="34"/>
  <c r="E126" i="34"/>
  <c r="D126" i="34"/>
  <c r="F104" i="34"/>
  <c r="E104" i="34"/>
  <c r="C104" i="34"/>
  <c r="D104" i="34"/>
  <c r="L104" i="34"/>
  <c r="X56" i="34"/>
  <c r="X70" i="34"/>
  <c r="G118" i="34"/>
  <c r="D118" i="34"/>
  <c r="K118" i="34"/>
  <c r="C118" i="34"/>
  <c r="I118" i="34"/>
  <c r="F118" i="34"/>
  <c r="M118" i="34"/>
  <c r="O105" i="34"/>
  <c r="S72" i="34"/>
  <c r="L120" i="34" s="1"/>
  <c r="T71" i="34"/>
  <c r="M119" i="34" s="1"/>
  <c r="J74" i="34"/>
  <c r="T74" i="34" s="1"/>
  <c r="M126" i="34"/>
  <c r="I126" i="34"/>
  <c r="K126" i="34"/>
  <c r="L126" i="34"/>
  <c r="G126" i="34"/>
  <c r="F126" i="34"/>
  <c r="X78" i="34"/>
  <c r="H126" i="34"/>
  <c r="X73" i="34"/>
  <c r="I121" i="34"/>
  <c r="D121" i="34"/>
  <c r="H121" i="34"/>
  <c r="M121" i="34"/>
  <c r="K121" i="34"/>
  <c r="O132" i="34"/>
  <c r="L121" i="34"/>
  <c r="G121" i="34"/>
  <c r="F121" i="34"/>
  <c r="E121" i="34"/>
  <c r="O99" i="34"/>
  <c r="H67" i="34"/>
  <c r="I67" i="34" s="1"/>
  <c r="J67" i="34" s="1"/>
  <c r="K67" i="34" s="1"/>
  <c r="J121" i="34"/>
  <c r="O125" i="34"/>
  <c r="T81" i="34"/>
  <c r="M129" i="34" s="1"/>
  <c r="J69" i="34"/>
  <c r="O114" i="34"/>
  <c r="I68" i="34"/>
  <c r="AX3" i="12"/>
  <c r="AZ3" i="12" s="1"/>
  <c r="AY3" i="12"/>
  <c r="AV7" i="12"/>
  <c r="BD7" i="12" s="1"/>
  <c r="AV6" i="12"/>
  <c r="BD6" i="12" s="1"/>
  <c r="AV9" i="12"/>
  <c r="BD9" i="12" s="1"/>
  <c r="BC10" i="12" s="1"/>
  <c r="AV5" i="12"/>
  <c r="BD5" i="12" s="1"/>
  <c r="AV8" i="12"/>
  <c r="BD8" i="12" s="1"/>
  <c r="R22" i="18"/>
  <c r="Q22" i="18"/>
  <c r="P16" i="18"/>
  <c r="Q16" i="18" s="1"/>
  <c r="S16" i="18" s="1"/>
  <c r="P23" i="18"/>
  <c r="Q23" i="18" s="1"/>
  <c r="S23" i="18" s="1"/>
  <c r="P1" i="33"/>
  <c r="F1" i="33"/>
  <c r="P2" i="33"/>
  <c r="K1" i="33"/>
  <c r="O1" i="32"/>
  <c r="B6" i="12"/>
  <c r="B7" i="12" s="1"/>
  <c r="B8" i="12" s="1"/>
  <c r="B9" i="12" s="1"/>
  <c r="B10" i="12" s="1"/>
  <c r="K5" i="12"/>
  <c r="H2" i="34"/>
  <c r="H2" i="18"/>
  <c r="G2" i="34"/>
  <c r="G50" i="34" s="1"/>
  <c r="G2" i="18"/>
  <c r="G15" i="18" s="1"/>
  <c r="U2" i="34"/>
  <c r="U50" i="34" s="1"/>
  <c r="U2" i="18"/>
  <c r="T2" i="34"/>
  <c r="T50" i="34" s="1"/>
  <c r="G9" i="23"/>
  <c r="F9" i="23" s="1"/>
  <c r="P10" i="23"/>
  <c r="Q10" i="23" s="1"/>
  <c r="V2" i="34"/>
  <c r="V50" i="34" s="1"/>
  <c r="V2" i="18"/>
  <c r="V15" i="18" s="1"/>
  <c r="W2" i="34"/>
  <c r="W50" i="34" s="1"/>
  <c r="W2" i="18"/>
  <c r="W15" i="18" s="1"/>
  <c r="O18" i="23"/>
  <c r="Z9" i="23" s="1"/>
  <c r="C27" i="16"/>
  <c r="W4" i="23"/>
  <c r="D12" i="23"/>
  <c r="X11" i="23"/>
  <c r="V25" i="16"/>
  <c r="U25" i="16"/>
  <c r="T25" i="16"/>
  <c r="C26" i="16"/>
  <c r="B25" i="16"/>
  <c r="B26" i="16"/>
  <c r="P104" i="34"/>
  <c r="P118" i="34"/>
  <c r="P126" i="34"/>
  <c r="P121" i="34"/>
  <c r="T15" i="34" l="1"/>
  <c r="T63" i="34" s="1"/>
  <c r="T6" i="18"/>
  <c r="T28" i="34"/>
  <c r="T8" i="18"/>
  <c r="T44" i="34"/>
  <c r="T2" i="18"/>
  <c r="T5" i="18"/>
  <c r="T7" i="18"/>
  <c r="H118" i="16"/>
  <c r="AD27" i="34" s="1"/>
  <c r="E27" i="34" s="1"/>
  <c r="E75" i="34" s="1"/>
  <c r="I75" i="34" s="1"/>
  <c r="F147" i="16"/>
  <c r="H106" i="16"/>
  <c r="AD15" i="34" s="1"/>
  <c r="E15" i="34" s="1"/>
  <c r="E63" i="34" s="1"/>
  <c r="F119" i="16"/>
  <c r="H119" i="16"/>
  <c r="AD28" i="34" s="1"/>
  <c r="E28" i="34" s="1"/>
  <c r="E76" i="34" s="1"/>
  <c r="H107" i="16"/>
  <c r="AD16" i="34" s="1"/>
  <c r="E16" i="34" s="1"/>
  <c r="E64" i="34" s="1"/>
  <c r="F107" i="16"/>
  <c r="H148" i="16"/>
  <c r="F148" i="16"/>
  <c r="F63" i="34"/>
  <c r="AC27" i="34"/>
  <c r="N123" i="34" s="1"/>
  <c r="AC43" i="34"/>
  <c r="N139" i="34" s="1"/>
  <c r="AC15" i="34"/>
  <c r="N111" i="34" s="1"/>
  <c r="H138" i="34"/>
  <c r="AS39" i="33"/>
  <c r="J138" i="34"/>
  <c r="M138" i="34"/>
  <c r="X90" i="34"/>
  <c r="C138" i="34"/>
  <c r="L138" i="34"/>
  <c r="D138" i="34"/>
  <c r="E138" i="34"/>
  <c r="F138" i="34"/>
  <c r="G138" i="34"/>
  <c r="K138" i="34"/>
  <c r="AU35" i="33"/>
  <c r="AC5" i="18"/>
  <c r="AB31" i="18" s="1"/>
  <c r="AC5" i="34"/>
  <c r="N101" i="34" s="1"/>
  <c r="AG5" i="12"/>
  <c r="AR41" i="33"/>
  <c r="AS41" i="33"/>
  <c r="AU39" i="33"/>
  <c r="AV39" i="33"/>
  <c r="AD5" i="34"/>
  <c r="E5" i="34" s="1"/>
  <c r="E53" i="34" s="1"/>
  <c r="AC4" i="18"/>
  <c r="AB30" i="18" s="1"/>
  <c r="AC4" i="34"/>
  <c r="N100" i="34" s="1"/>
  <c r="AF5" i="12"/>
  <c r="AD4" i="18"/>
  <c r="AD4" i="34"/>
  <c r="E4" i="34" s="1"/>
  <c r="E52" i="34" s="1"/>
  <c r="C119" i="34"/>
  <c r="K120" i="34"/>
  <c r="C120" i="34"/>
  <c r="O104" i="34"/>
  <c r="D122" i="34"/>
  <c r="D119" i="34"/>
  <c r="E119" i="34"/>
  <c r="H122" i="34"/>
  <c r="C122" i="34"/>
  <c r="F119" i="34"/>
  <c r="O118" i="34"/>
  <c r="L119" i="34"/>
  <c r="F120" i="34"/>
  <c r="E120" i="34"/>
  <c r="X72" i="34"/>
  <c r="D120" i="34"/>
  <c r="H120" i="34"/>
  <c r="J119" i="34"/>
  <c r="M120" i="34"/>
  <c r="J120" i="34"/>
  <c r="I120" i="34"/>
  <c r="K119" i="34"/>
  <c r="G120" i="34"/>
  <c r="X71" i="34"/>
  <c r="E122" i="34"/>
  <c r="I119" i="34"/>
  <c r="H119" i="34"/>
  <c r="L122" i="34"/>
  <c r="I122" i="34"/>
  <c r="X74" i="34"/>
  <c r="J122" i="34"/>
  <c r="F122" i="34"/>
  <c r="M122" i="34"/>
  <c r="G119" i="34"/>
  <c r="G122" i="34"/>
  <c r="K122" i="34"/>
  <c r="O126" i="34"/>
  <c r="S22" i="18"/>
  <c r="T22" i="18" s="1"/>
  <c r="U22" i="18" s="1"/>
  <c r="T23" i="18"/>
  <c r="C36" i="18" s="1"/>
  <c r="O121" i="34"/>
  <c r="C129" i="34"/>
  <c r="K129" i="34"/>
  <c r="J129" i="34"/>
  <c r="F129" i="34"/>
  <c r="H129" i="34"/>
  <c r="D129" i="34"/>
  <c r="X81" i="34"/>
  <c r="I129" i="34"/>
  <c r="L129" i="34"/>
  <c r="G129" i="34"/>
  <c r="E129" i="34"/>
  <c r="K69" i="34"/>
  <c r="S67" i="34"/>
  <c r="C115" i="34" s="1"/>
  <c r="F2" i="23"/>
  <c r="J68" i="34"/>
  <c r="T16" i="18"/>
  <c r="X16" i="18" s="1"/>
  <c r="U5" i="12"/>
  <c r="AV11" i="12"/>
  <c r="AY10" i="12"/>
  <c r="AW11" i="12" s="1"/>
  <c r="U11" i="12" s="1"/>
  <c r="BB10" i="12"/>
  <c r="BC11" i="12" s="1"/>
  <c r="AA11" i="12" s="1"/>
  <c r="BB11" i="12"/>
  <c r="Z11" i="12" s="1"/>
  <c r="AZ11" i="12"/>
  <c r="X11" i="12" s="1"/>
  <c r="BA10" i="12"/>
  <c r="BA11" i="12" s="1"/>
  <c r="Y11" i="12" s="1"/>
  <c r="AZ10" i="12"/>
  <c r="AY11" i="12" s="1"/>
  <c r="W11" i="12" s="1"/>
  <c r="AX11" i="12"/>
  <c r="V11" i="12" s="1"/>
  <c r="H15" i="18"/>
  <c r="R10" i="23"/>
  <c r="S10" i="23" s="1"/>
  <c r="T10" i="23" s="1"/>
  <c r="U10" i="23" s="1"/>
  <c r="K9" i="23"/>
  <c r="Q18" i="23"/>
  <c r="AD9" i="23" s="1"/>
  <c r="B5" i="12"/>
  <c r="H50" i="34"/>
  <c r="I9" i="23"/>
  <c r="P18" i="23"/>
  <c r="AB9" i="23" s="1"/>
  <c r="C25" i="16"/>
  <c r="K23" i="16"/>
  <c r="L23" i="16"/>
  <c r="U24" i="16"/>
  <c r="V24" i="16"/>
  <c r="T24" i="16"/>
  <c r="C24" i="16"/>
  <c r="U23" i="16"/>
  <c r="V23" i="16"/>
  <c r="T23" i="16"/>
  <c r="K22" i="16"/>
  <c r="L22" i="16"/>
  <c r="X13" i="23"/>
  <c r="V22" i="16"/>
  <c r="T22" i="16"/>
  <c r="U22" i="16"/>
  <c r="K21" i="16"/>
  <c r="L21" i="16"/>
  <c r="B23" i="16"/>
  <c r="B24" i="16"/>
  <c r="P138" i="34"/>
  <c r="P129" i="34"/>
  <c r="P122" i="34"/>
  <c r="P120" i="34"/>
  <c r="P119" i="34"/>
  <c r="AD7" i="18" l="1"/>
  <c r="E7" i="18" s="1"/>
  <c r="E20" i="18" s="1"/>
  <c r="F20" i="18" s="1"/>
  <c r="G20" i="18" s="1"/>
  <c r="H64" i="34"/>
  <c r="I64" i="34" s="1"/>
  <c r="H63" i="34"/>
  <c r="AC7" i="18"/>
  <c r="AB33" i="18" s="1"/>
  <c r="AT37" i="33"/>
  <c r="AC28" i="34"/>
  <c r="N124" i="34" s="1"/>
  <c r="AC44" i="34"/>
  <c r="N140" i="34" s="1"/>
  <c r="AC16" i="34"/>
  <c r="N112" i="34" s="1"/>
  <c r="AD43" i="34"/>
  <c r="E43" i="34" s="1"/>
  <c r="E91" i="34" s="1"/>
  <c r="I91" i="34" s="1"/>
  <c r="J91" i="34" s="1"/>
  <c r="K91" i="34" s="1"/>
  <c r="AD8" i="18"/>
  <c r="AC34" i="18" s="1"/>
  <c r="AD44" i="34"/>
  <c r="E44" i="34" s="1"/>
  <c r="E92" i="34" s="1"/>
  <c r="H92" i="34" s="1"/>
  <c r="I63" i="34"/>
  <c r="J63" i="34" s="1"/>
  <c r="AU37" i="33"/>
  <c r="AC6" i="18"/>
  <c r="AB32" i="18" s="1"/>
  <c r="AD5" i="18"/>
  <c r="E5" i="18" s="1"/>
  <c r="E18" i="18" s="1"/>
  <c r="AD6" i="18"/>
  <c r="AH16" i="12"/>
  <c r="AT39" i="33"/>
  <c r="AV35" i="33"/>
  <c r="AC8" i="18"/>
  <c r="AB34" i="18" s="1"/>
  <c r="AT51" i="33"/>
  <c r="AV49" i="33"/>
  <c r="G123" i="34"/>
  <c r="AJ16" i="12"/>
  <c r="AI16" i="12"/>
  <c r="F76" i="34"/>
  <c r="I76" i="34" s="1"/>
  <c r="J76" i="34" s="1"/>
  <c r="C123" i="34"/>
  <c r="M123" i="34"/>
  <c r="X75" i="34"/>
  <c r="L123" i="34"/>
  <c r="F123" i="34"/>
  <c r="D123" i="34"/>
  <c r="K123" i="34"/>
  <c r="H123" i="34"/>
  <c r="E123" i="34"/>
  <c r="J123" i="34"/>
  <c r="I123" i="34"/>
  <c r="I53" i="34"/>
  <c r="J53" i="34" s="1"/>
  <c r="K53" i="34" s="1"/>
  <c r="L53" i="34" s="1"/>
  <c r="O138" i="34"/>
  <c r="AC1" i="33"/>
  <c r="AQ1" i="32"/>
  <c r="E4" i="18"/>
  <c r="E17" i="18" s="1"/>
  <c r="AC30" i="18"/>
  <c r="I52" i="34"/>
  <c r="J52" i="34" s="1"/>
  <c r="O120" i="34"/>
  <c r="O119" i="34"/>
  <c r="O122" i="34"/>
  <c r="M36" i="18"/>
  <c r="I35" i="18"/>
  <c r="L35" i="18"/>
  <c r="D35" i="18"/>
  <c r="I36" i="18"/>
  <c r="G36" i="18"/>
  <c r="J35" i="18"/>
  <c r="C35" i="18"/>
  <c r="X22" i="18"/>
  <c r="K35" i="18"/>
  <c r="E35" i="18"/>
  <c r="M35" i="18"/>
  <c r="H35" i="18"/>
  <c r="G35" i="18"/>
  <c r="F35" i="18"/>
  <c r="X23" i="18"/>
  <c r="K36" i="18"/>
  <c r="D36" i="18"/>
  <c r="H36" i="18"/>
  <c r="F36" i="18"/>
  <c r="E36" i="18"/>
  <c r="J36" i="18"/>
  <c r="L36" i="18"/>
  <c r="O129" i="34"/>
  <c r="L69" i="34"/>
  <c r="I50" i="34"/>
  <c r="E115" i="34"/>
  <c r="D115" i="34"/>
  <c r="F115" i="34"/>
  <c r="L115" i="34"/>
  <c r="H115" i="34"/>
  <c r="G115" i="34"/>
  <c r="K115" i="34"/>
  <c r="X67" i="34"/>
  <c r="J115" i="34"/>
  <c r="M115" i="34"/>
  <c r="I115" i="34"/>
  <c r="K68" i="34"/>
  <c r="D29" i="18"/>
  <c r="L29" i="18"/>
  <c r="E29" i="18"/>
  <c r="C29" i="18"/>
  <c r="J29" i="18"/>
  <c r="H29" i="18"/>
  <c r="M29" i="18"/>
  <c r="F29" i="18"/>
  <c r="K29" i="18"/>
  <c r="I29" i="18"/>
  <c r="G29" i="18"/>
  <c r="V5" i="12"/>
  <c r="AW5" i="12"/>
  <c r="T11" i="12"/>
  <c r="BD10" i="12"/>
  <c r="I15" i="18"/>
  <c r="C98" i="34"/>
  <c r="O11" i="23"/>
  <c r="T8" i="23"/>
  <c r="S8" i="23" s="1"/>
  <c r="R8" i="23" s="1"/>
  <c r="Q8" i="23" s="1"/>
  <c r="P8" i="23" s="1"/>
  <c r="O8" i="23" s="1"/>
  <c r="C23" i="16"/>
  <c r="B22" i="16"/>
  <c r="AK29" i="18"/>
  <c r="AK35" i="18"/>
  <c r="P123" i="34"/>
  <c r="P115" i="34"/>
  <c r="AK36" i="18"/>
  <c r="AC33" i="18" l="1"/>
  <c r="J64" i="34"/>
  <c r="AM1" i="33"/>
  <c r="T76" i="34"/>
  <c r="K124" i="34" s="1"/>
  <c r="I92" i="34"/>
  <c r="J92" i="34" s="1"/>
  <c r="C111" i="34"/>
  <c r="E8" i="18"/>
  <c r="E21" i="18" s="1"/>
  <c r="F21" i="18" s="1"/>
  <c r="G21" i="18" s="1"/>
  <c r="H111" i="34"/>
  <c r="J111" i="34"/>
  <c r="K111" i="34"/>
  <c r="M111" i="34"/>
  <c r="G111" i="34"/>
  <c r="F111" i="34"/>
  <c r="I111" i="34"/>
  <c r="X63" i="34"/>
  <c r="L111" i="34"/>
  <c r="D111" i="34"/>
  <c r="E111" i="34"/>
  <c r="AH1" i="33"/>
  <c r="AC31" i="18"/>
  <c r="AC32" i="18"/>
  <c r="E6" i="18"/>
  <c r="E19" i="18" s="1"/>
  <c r="F19" i="18" s="1"/>
  <c r="X3" i="33"/>
  <c r="AT1" i="33"/>
  <c r="O123" i="34"/>
  <c r="H20" i="18"/>
  <c r="I20" i="18" s="1"/>
  <c r="L91" i="34"/>
  <c r="M53" i="34"/>
  <c r="F18" i="18"/>
  <c r="H18" i="18" s="1"/>
  <c r="T3" i="32"/>
  <c r="T52" i="34"/>
  <c r="K100" i="34" s="1"/>
  <c r="F17" i="18"/>
  <c r="R19" i="33"/>
  <c r="J50" i="34"/>
  <c r="P50" i="34" s="1"/>
  <c r="L98" i="34" s="1"/>
  <c r="AJ35" i="18"/>
  <c r="AJ36" i="18"/>
  <c r="S69" i="34"/>
  <c r="T69" i="34" s="1"/>
  <c r="U69" i="34" s="1"/>
  <c r="O115" i="34"/>
  <c r="S68" i="34"/>
  <c r="L13" i="32"/>
  <c r="L12" i="32"/>
  <c r="L11" i="32"/>
  <c r="L14" i="32"/>
  <c r="AJ29" i="18"/>
  <c r="L4" i="32"/>
  <c r="AX5" i="12"/>
  <c r="W5" i="12"/>
  <c r="J15" i="18"/>
  <c r="K15" i="18" s="1"/>
  <c r="P15" i="18" s="1"/>
  <c r="P11" i="23"/>
  <c r="G17" i="23"/>
  <c r="O19" i="23"/>
  <c r="Z17" i="23" s="1"/>
  <c r="C22" i="16"/>
  <c r="T21" i="16"/>
  <c r="U21" i="16"/>
  <c r="V21" i="16"/>
  <c r="K20" i="16"/>
  <c r="L20" i="16"/>
  <c r="L12" i="24"/>
  <c r="X11" i="24"/>
  <c r="W4" i="24"/>
  <c r="O10" i="24"/>
  <c r="P10" i="24" s="1"/>
  <c r="Q10" i="24" s="1"/>
  <c r="R10" i="24" s="1"/>
  <c r="R18" i="24" s="1"/>
  <c r="Z9" i="24" s="1"/>
  <c r="K19" i="16"/>
  <c r="L19" i="16"/>
  <c r="U20" i="16"/>
  <c r="T20" i="16"/>
  <c r="V20" i="16"/>
  <c r="B21" i="16"/>
  <c r="P111" i="34"/>
  <c r="G19" i="18" l="1"/>
  <c r="H19" i="18" s="1"/>
  <c r="P3" i="33"/>
  <c r="T64" i="34"/>
  <c r="X64" i="34" s="1"/>
  <c r="T92" i="34"/>
  <c r="D140" i="34" s="1"/>
  <c r="C124" i="34"/>
  <c r="D124" i="34"/>
  <c r="F124" i="34"/>
  <c r="M124" i="34"/>
  <c r="E124" i="34"/>
  <c r="G124" i="34"/>
  <c r="L124" i="34"/>
  <c r="J124" i="34"/>
  <c r="I124" i="34"/>
  <c r="H124" i="34"/>
  <c r="X76" i="34"/>
  <c r="O111" i="34"/>
  <c r="H21" i="18"/>
  <c r="I21" i="18" s="1"/>
  <c r="K3" i="33"/>
  <c r="F3" i="33"/>
  <c r="M91" i="34"/>
  <c r="N53" i="34"/>
  <c r="O53" i="34" s="1"/>
  <c r="J20" i="18"/>
  <c r="K20" i="18" s="1"/>
  <c r="L20" i="18" s="1"/>
  <c r="P20" i="18" s="1"/>
  <c r="H17" i="18"/>
  <c r="I18" i="18"/>
  <c r="D100" i="34"/>
  <c r="E100" i="34"/>
  <c r="F100" i="34"/>
  <c r="C100" i="34"/>
  <c r="M100" i="34"/>
  <c r="L100" i="34"/>
  <c r="G100" i="34"/>
  <c r="X52" i="34"/>
  <c r="I100" i="34"/>
  <c r="H100" i="34"/>
  <c r="J100" i="34"/>
  <c r="H9" i="23" s="1"/>
  <c r="D98" i="34"/>
  <c r="H98" i="34"/>
  <c r="M98" i="34"/>
  <c r="F98" i="34"/>
  <c r="K98" i="34"/>
  <c r="E98" i="34"/>
  <c r="X50" i="34"/>
  <c r="J98" i="34"/>
  <c r="I98" i="34"/>
  <c r="G98" i="34"/>
  <c r="I117" i="34"/>
  <c r="C117" i="34"/>
  <c r="X69" i="34"/>
  <c r="L117" i="34"/>
  <c r="M117" i="34"/>
  <c r="K117" i="34"/>
  <c r="F117" i="34"/>
  <c r="J117" i="34"/>
  <c r="G117" i="34"/>
  <c r="H117" i="34"/>
  <c r="D117" i="34"/>
  <c r="E117" i="34"/>
  <c r="T68" i="34"/>
  <c r="X68" i="34" s="1"/>
  <c r="AY5" i="12"/>
  <c r="X5" i="12"/>
  <c r="Q15" i="18"/>
  <c r="R15" i="18"/>
  <c r="Q11" i="23"/>
  <c r="P19" i="23"/>
  <c r="AB17" i="23" s="1"/>
  <c r="I17" i="23"/>
  <c r="F17" i="23"/>
  <c r="F10" i="23"/>
  <c r="S10" i="24"/>
  <c r="E9" i="24"/>
  <c r="C21" i="16"/>
  <c r="K18" i="16"/>
  <c r="L18" i="16"/>
  <c r="K2" i="16"/>
  <c r="L2" i="16"/>
  <c r="V19" i="16"/>
  <c r="T19" i="16"/>
  <c r="U19" i="16"/>
  <c r="C20" i="16"/>
  <c r="U18" i="16"/>
  <c r="V18" i="16"/>
  <c r="T18" i="16"/>
  <c r="C19" i="16"/>
  <c r="K3" i="16"/>
  <c r="L3" i="16"/>
  <c r="V2" i="16"/>
  <c r="T2" i="16"/>
  <c r="U2" i="16"/>
  <c r="K17" i="16"/>
  <c r="L17" i="16"/>
  <c r="X13" i="24"/>
  <c r="AW47" i="33"/>
  <c r="AS50" i="33"/>
  <c r="AS51" i="33"/>
  <c r="AW49" i="33"/>
  <c r="AR51" i="33"/>
  <c r="AV50" i="33"/>
  <c r="AR47" i="33"/>
  <c r="AQ51" i="33"/>
  <c r="AS52" i="33"/>
  <c r="AQ52" i="33"/>
  <c r="AU47" i="33"/>
  <c r="AW41" i="33"/>
  <c r="AU50" i="33"/>
  <c r="AW50" i="33"/>
  <c r="AT52" i="33"/>
  <c r="AV51" i="33"/>
  <c r="AQ50" i="33"/>
  <c r="AS47" i="33"/>
  <c r="AR50" i="33"/>
  <c r="AT50" i="33"/>
  <c r="AS49" i="33"/>
  <c r="AT49" i="33"/>
  <c r="AR49" i="33"/>
  <c r="AU49" i="33"/>
  <c r="AQ47" i="33"/>
  <c r="AR34" i="33"/>
  <c r="AQ34" i="33"/>
  <c r="AV52" i="33"/>
  <c r="AU52" i="33"/>
  <c r="AW52" i="33"/>
  <c r="AT33" i="33"/>
  <c r="AR33" i="33"/>
  <c r="AS33" i="33"/>
  <c r="AU34" i="33"/>
  <c r="AV34" i="33"/>
  <c r="AU33" i="33"/>
  <c r="AW34" i="33"/>
  <c r="AS34" i="33"/>
  <c r="AT34" i="33"/>
  <c r="AQ49" i="33"/>
  <c r="B20" i="16"/>
  <c r="B19" i="16"/>
  <c r="B2" i="16"/>
  <c r="P117" i="34"/>
  <c r="P98" i="34"/>
  <c r="P124" i="34"/>
  <c r="P100" i="34"/>
  <c r="I19" i="18" l="1"/>
  <c r="J19" i="18" s="1"/>
  <c r="C140" i="34"/>
  <c r="X92" i="34"/>
  <c r="M112" i="34"/>
  <c r="H112" i="34"/>
  <c r="G112" i="34"/>
  <c r="K112" i="34"/>
  <c r="E112" i="34"/>
  <c r="I112" i="34"/>
  <c r="C112" i="34"/>
  <c r="D112" i="34"/>
  <c r="L112" i="34"/>
  <c r="F112" i="34"/>
  <c r="J112" i="34"/>
  <c r="K140" i="34"/>
  <c r="I140" i="34"/>
  <c r="J140" i="34"/>
  <c r="H140" i="34"/>
  <c r="L140" i="34"/>
  <c r="M140" i="34"/>
  <c r="E140" i="34"/>
  <c r="F140" i="34"/>
  <c r="G140" i="34"/>
  <c r="O124" i="34"/>
  <c r="J21" i="18"/>
  <c r="K21" i="18" s="1"/>
  <c r="N91" i="34"/>
  <c r="T53" i="34"/>
  <c r="C101" i="34" s="1"/>
  <c r="J18" i="18"/>
  <c r="K18" i="18" s="1"/>
  <c r="I17" i="18"/>
  <c r="R20" i="18"/>
  <c r="Q20" i="18"/>
  <c r="H2" i="23"/>
  <c r="O100" i="34"/>
  <c r="O98" i="34"/>
  <c r="J116" i="34"/>
  <c r="K116" i="34"/>
  <c r="L116" i="34"/>
  <c r="G116" i="34"/>
  <c r="F116" i="34"/>
  <c r="E116" i="34"/>
  <c r="O117" i="34"/>
  <c r="M116" i="34"/>
  <c r="D116" i="34"/>
  <c r="H116" i="34"/>
  <c r="I116" i="34"/>
  <c r="C116" i="34"/>
  <c r="AZ5" i="12"/>
  <c r="Y5" i="12"/>
  <c r="S15" i="18"/>
  <c r="T15" i="18" s="1"/>
  <c r="R11" i="23"/>
  <c r="S11" i="23" s="1"/>
  <c r="T11" i="23" s="1"/>
  <c r="U11" i="23" s="1"/>
  <c r="O12" i="23" s="1"/>
  <c r="K17" i="23"/>
  <c r="Q19" i="23"/>
  <c r="AD17" i="23" s="1"/>
  <c r="H17" i="23"/>
  <c r="H10" i="23"/>
  <c r="T10" i="24"/>
  <c r="G9" i="24"/>
  <c r="S18" i="24"/>
  <c r="AB9" i="24" s="1"/>
  <c r="D9" i="24"/>
  <c r="D2" i="24"/>
  <c r="C2" i="16"/>
  <c r="U17" i="16"/>
  <c r="V17" i="16"/>
  <c r="T17" i="16"/>
  <c r="V3" i="16"/>
  <c r="T3" i="16"/>
  <c r="U3" i="16"/>
  <c r="L4" i="16"/>
  <c r="K4" i="16"/>
  <c r="K16" i="16"/>
  <c r="L16" i="16"/>
  <c r="B18" i="16"/>
  <c r="P112" i="34"/>
  <c r="P116" i="34"/>
  <c r="P140" i="34"/>
  <c r="K19" i="18" l="1"/>
  <c r="P19" i="18" s="1"/>
  <c r="Q19" i="18" s="1"/>
  <c r="O112" i="34"/>
  <c r="O140" i="34"/>
  <c r="L21" i="18"/>
  <c r="O91" i="34"/>
  <c r="K139" i="34" s="1"/>
  <c r="L101" i="34"/>
  <c r="H101" i="34"/>
  <c r="I101" i="34"/>
  <c r="F101" i="34"/>
  <c r="M101" i="34"/>
  <c r="E101" i="34"/>
  <c r="G101" i="34"/>
  <c r="K101" i="34"/>
  <c r="X53" i="34"/>
  <c r="J101" i="34"/>
  <c r="D101" i="34"/>
  <c r="S20" i="18"/>
  <c r="T20" i="18" s="1"/>
  <c r="J17" i="18"/>
  <c r="P18" i="18"/>
  <c r="Q18" i="18" s="1"/>
  <c r="O116" i="34"/>
  <c r="BA5" i="12"/>
  <c r="Z5" i="12"/>
  <c r="U15" i="18"/>
  <c r="P12" i="23"/>
  <c r="G25" i="23"/>
  <c r="O20" i="23"/>
  <c r="Z25" i="23" s="1"/>
  <c r="J17" i="23"/>
  <c r="J10" i="23"/>
  <c r="U10" i="24"/>
  <c r="I9" i="24"/>
  <c r="T18" i="24"/>
  <c r="AD9" i="24" s="1"/>
  <c r="F9" i="24"/>
  <c r="F2" i="24"/>
  <c r="C18" i="16"/>
  <c r="B17" i="16"/>
  <c r="P101" i="34"/>
  <c r="R19" i="18" l="1"/>
  <c r="T19" i="18" s="1"/>
  <c r="U19" i="18" s="1"/>
  <c r="E32" i="18" s="1"/>
  <c r="M21" i="18"/>
  <c r="J9" i="23"/>
  <c r="U20" i="18"/>
  <c r="K33" i="18" s="1"/>
  <c r="C139" i="34"/>
  <c r="F139" i="34"/>
  <c r="G139" i="34"/>
  <c r="E139" i="34"/>
  <c r="D139" i="34"/>
  <c r="H139" i="34"/>
  <c r="J139" i="34"/>
  <c r="L139" i="34"/>
  <c r="X91" i="34"/>
  <c r="I139" i="34"/>
  <c r="M139" i="34"/>
  <c r="J2" i="23"/>
  <c r="O101" i="34"/>
  <c r="K17" i="18"/>
  <c r="L17" i="18" s="1"/>
  <c r="S18" i="18"/>
  <c r="J28" i="18"/>
  <c r="C28" i="18"/>
  <c r="BB5" i="12"/>
  <c r="AA5" i="12"/>
  <c r="D28" i="18"/>
  <c r="I28" i="18"/>
  <c r="K28" i="18"/>
  <c r="F28" i="18"/>
  <c r="M28" i="18"/>
  <c r="H28" i="18"/>
  <c r="G28" i="18"/>
  <c r="X15" i="18"/>
  <c r="E28" i="18"/>
  <c r="L28" i="18"/>
  <c r="Q12" i="23"/>
  <c r="P20" i="23"/>
  <c r="AB25" i="23" s="1"/>
  <c r="I25" i="23"/>
  <c r="F18" i="23"/>
  <c r="F25" i="23"/>
  <c r="O11" i="24"/>
  <c r="P11" i="24" s="1"/>
  <c r="Q11" i="24" s="1"/>
  <c r="R11" i="24" s="1"/>
  <c r="K9" i="24"/>
  <c r="T8" i="24"/>
  <c r="S8" i="24" s="1"/>
  <c r="R8" i="24" s="1"/>
  <c r="Q8" i="24" s="1"/>
  <c r="P8" i="24" s="1"/>
  <c r="O8" i="24" s="1"/>
  <c r="U18" i="24"/>
  <c r="AF9" i="24" s="1"/>
  <c r="H2" i="24"/>
  <c r="H9" i="24"/>
  <c r="C17" i="16"/>
  <c r="V4" i="16"/>
  <c r="T4" i="16"/>
  <c r="U4" i="16"/>
  <c r="K7" i="16"/>
  <c r="L7" i="16"/>
  <c r="B3" i="16"/>
  <c r="AK28" i="18"/>
  <c r="P139" i="34"/>
  <c r="F32" i="18" l="1"/>
  <c r="G32" i="18"/>
  <c r="C32" i="18"/>
  <c r="H32" i="18"/>
  <c r="D32" i="18"/>
  <c r="L32" i="18"/>
  <c r="K32" i="18"/>
  <c r="M32" i="18"/>
  <c r="J32" i="18"/>
  <c r="X19" i="18"/>
  <c r="I32" i="18"/>
  <c r="N21" i="18"/>
  <c r="C33" i="18"/>
  <c r="E33" i="18"/>
  <c r="F33" i="18"/>
  <c r="D33" i="18"/>
  <c r="L33" i="18"/>
  <c r="G33" i="18"/>
  <c r="X20" i="18"/>
  <c r="I33" i="18"/>
  <c r="H33" i="18"/>
  <c r="J33" i="18"/>
  <c r="M33" i="18"/>
  <c r="O139" i="34"/>
  <c r="T18" i="18"/>
  <c r="L31" i="18" s="1"/>
  <c r="P17" i="18"/>
  <c r="M12" i="33"/>
  <c r="U6" i="12"/>
  <c r="BC5" i="12"/>
  <c r="AJ28" i="18"/>
  <c r="R12" i="23"/>
  <c r="S12" i="23" s="1"/>
  <c r="T12" i="23" s="1"/>
  <c r="U12" i="23" s="1"/>
  <c r="O13" i="23" s="1"/>
  <c r="Q20" i="23"/>
  <c r="AD25" i="23" s="1"/>
  <c r="K25" i="23"/>
  <c r="H25" i="23"/>
  <c r="H18" i="23"/>
  <c r="J9" i="24"/>
  <c r="J2" i="24"/>
  <c r="S11" i="24"/>
  <c r="E17" i="24"/>
  <c r="R19" i="24"/>
  <c r="Z17" i="24" s="1"/>
  <c r="C3" i="16"/>
  <c r="K6" i="16"/>
  <c r="L6" i="16"/>
  <c r="K15" i="16"/>
  <c r="L15" i="16"/>
  <c r="K5" i="16"/>
  <c r="L5" i="16"/>
  <c r="T16" i="16"/>
  <c r="V16" i="16"/>
  <c r="U16" i="16"/>
  <c r="AK32" i="18"/>
  <c r="B16" i="16"/>
  <c r="AK33" i="18"/>
  <c r="H4" i="33" l="1"/>
  <c r="H12" i="33"/>
  <c r="H11" i="33"/>
  <c r="H14" i="33"/>
  <c r="H13" i="33"/>
  <c r="AJ32" i="18"/>
  <c r="O21" i="18"/>
  <c r="P21" i="18" s="1"/>
  <c r="Q21" i="18" s="1"/>
  <c r="M13" i="33"/>
  <c r="M11" i="33"/>
  <c r="M14" i="33"/>
  <c r="AJ33" i="18"/>
  <c r="M4" i="33"/>
  <c r="J31" i="18"/>
  <c r="C13" i="33"/>
  <c r="E31" i="18"/>
  <c r="I31" i="18"/>
  <c r="H31" i="18"/>
  <c r="G31" i="18"/>
  <c r="F31" i="18"/>
  <c r="M31" i="18"/>
  <c r="K31" i="18"/>
  <c r="C31" i="18"/>
  <c r="X18" i="18"/>
  <c r="D31" i="18"/>
  <c r="Q17" i="18"/>
  <c r="S17" i="18" s="1"/>
  <c r="T6" i="12"/>
  <c r="AW6" i="12"/>
  <c r="V6" i="12"/>
  <c r="P13" i="23"/>
  <c r="O21" i="23"/>
  <c r="Z33" i="23" s="1"/>
  <c r="G33" i="23"/>
  <c r="J18" i="23"/>
  <c r="J25" i="23"/>
  <c r="T11" i="24"/>
  <c r="G17" i="24"/>
  <c r="S19" i="24"/>
  <c r="AB17" i="24" s="1"/>
  <c r="D17" i="24"/>
  <c r="D10" i="24"/>
  <c r="C16" i="16"/>
  <c r="C4" i="16"/>
  <c r="U6" i="16"/>
  <c r="T6" i="16"/>
  <c r="V6" i="16"/>
  <c r="T5" i="16"/>
  <c r="U5" i="16"/>
  <c r="V5" i="16"/>
  <c r="L14" i="16"/>
  <c r="K14" i="16"/>
  <c r="V15" i="16"/>
  <c r="U15" i="16"/>
  <c r="T15" i="16"/>
  <c r="C6" i="16"/>
  <c r="C5" i="16"/>
  <c r="C15" i="16"/>
  <c r="K13" i="16"/>
  <c r="L13" i="16"/>
  <c r="T14" i="16"/>
  <c r="U14" i="16"/>
  <c r="V14" i="16"/>
  <c r="T7" i="16"/>
  <c r="V7" i="16"/>
  <c r="U7" i="16"/>
  <c r="C7" i="16"/>
  <c r="V13" i="16"/>
  <c r="T13" i="16"/>
  <c r="U13" i="16"/>
  <c r="K12" i="16"/>
  <c r="L12" i="16"/>
  <c r="C14" i="16"/>
  <c r="K8" i="16"/>
  <c r="L8" i="16"/>
  <c r="C13" i="16"/>
  <c r="T12" i="16"/>
  <c r="U12" i="16"/>
  <c r="V12" i="16"/>
  <c r="U8" i="16"/>
  <c r="V8" i="16"/>
  <c r="T8" i="16"/>
  <c r="C12" i="16"/>
  <c r="C8" i="16"/>
  <c r="C11" i="16"/>
  <c r="K9" i="16"/>
  <c r="L9" i="16"/>
  <c r="C9" i="16"/>
  <c r="V9" i="16"/>
  <c r="U9" i="16"/>
  <c r="T9" i="16"/>
  <c r="C10" i="16"/>
  <c r="V10" i="16"/>
  <c r="U10" i="16"/>
  <c r="T10" i="16"/>
  <c r="K10" i="16"/>
  <c r="L10" i="16"/>
  <c r="A50" i="34"/>
  <c r="A51" i="34"/>
  <c r="A52" i="34"/>
  <c r="A53" i="34"/>
  <c r="A54" i="34"/>
  <c r="A55" i="34"/>
  <c r="A56" i="34"/>
  <c r="H55" i="19"/>
  <c r="H56" i="19" s="1"/>
  <c r="H57" i="19" s="1"/>
  <c r="H58" i="19" s="1"/>
  <c r="H59" i="19" s="1"/>
  <c r="H60" i="19" s="1"/>
  <c r="H61" i="19" s="1"/>
  <c r="H62" i="19" s="1"/>
  <c r="H63" i="19" s="1"/>
  <c r="H64" i="19" s="1"/>
  <c r="H65" i="19" s="1"/>
  <c r="A58" i="34"/>
  <c r="A57" i="34"/>
  <c r="A59" i="34"/>
  <c r="A60" i="34"/>
  <c r="A61" i="34"/>
  <c r="A62" i="34"/>
  <c r="A63" i="34"/>
  <c r="A64" i="34"/>
  <c r="A65" i="34"/>
  <c r="A66" i="34"/>
  <c r="A67" i="34"/>
  <c r="A68" i="34"/>
  <c r="A69" i="34"/>
  <c r="A70" i="34"/>
  <c r="A71" i="34"/>
  <c r="A72" i="34"/>
  <c r="A74" i="34"/>
  <c r="A73" i="34"/>
  <c r="A75" i="34"/>
  <c r="A76" i="34"/>
  <c r="A78" i="34"/>
  <c r="A77" i="34"/>
  <c r="A79" i="34"/>
  <c r="A80" i="34"/>
  <c r="A81" i="34"/>
  <c r="A82" i="34"/>
  <c r="A83" i="34"/>
  <c r="AF35" i="18"/>
  <c r="AF28" i="18"/>
  <c r="AF30" i="18"/>
  <c r="AF34" i="18"/>
  <c r="AF36" i="18"/>
  <c r="AD28" i="18"/>
  <c r="AD34" i="18"/>
  <c r="AD36" i="18"/>
  <c r="AD35" i="18"/>
  <c r="AD30" i="18"/>
  <c r="AE36" i="18"/>
  <c r="AE35" i="18"/>
  <c r="AE34" i="18"/>
  <c r="AE33" i="18"/>
  <c r="AE32" i="18"/>
  <c r="AE31" i="18"/>
  <c r="AE30" i="18"/>
  <c r="AE28" i="18"/>
  <c r="AE29" i="18"/>
  <c r="A84" i="34"/>
  <c r="A85" i="34"/>
  <c r="A86" i="34"/>
  <c r="A87" i="34"/>
  <c r="A88" i="34"/>
  <c r="A89" i="34"/>
  <c r="A90" i="34"/>
  <c r="A91" i="34"/>
  <c r="A92" i="34"/>
  <c r="A93" i="34"/>
  <c r="F5" i="11"/>
  <c r="F7" i="11"/>
  <c r="F9" i="11"/>
  <c r="F11" i="11"/>
  <c r="F13" i="11"/>
  <c r="F15" i="11"/>
  <c r="F17" i="11"/>
  <c r="F19" i="11"/>
  <c r="F21" i="11"/>
  <c r="F23" i="11"/>
  <c r="F25" i="11"/>
  <c r="T1" i="11"/>
  <c r="F4" i="11"/>
  <c r="F6" i="11"/>
  <c r="F8" i="11"/>
  <c r="F10" i="11"/>
  <c r="F12" i="11"/>
  <c r="F14" i="11"/>
  <c r="F16" i="11"/>
  <c r="F18" i="11"/>
  <c r="F20" i="11"/>
  <c r="F22" i="11"/>
  <c r="F24" i="11"/>
  <c r="F26" i="11"/>
  <c r="E25" i="9"/>
  <c r="F2" i="9"/>
  <c r="B8" i="16"/>
  <c r="B15" i="16"/>
  <c r="B7" i="16"/>
  <c r="B14" i="16"/>
  <c r="B12" i="16"/>
  <c r="B13" i="16"/>
  <c r="B4" i="16"/>
  <c r="B10" i="16"/>
  <c r="B6" i="16"/>
  <c r="B5" i="16"/>
  <c r="B9" i="16"/>
  <c r="B11" i="16"/>
  <c r="AK31" i="18"/>
  <c r="S21" i="18" l="1"/>
  <c r="T21" i="18" s="1"/>
  <c r="J34" i="18" s="1"/>
  <c r="C11" i="33"/>
  <c r="C14" i="33"/>
  <c r="C12" i="33"/>
  <c r="C4" i="33"/>
  <c r="AJ31" i="18"/>
  <c r="T17" i="18"/>
  <c r="I30" i="18" s="1"/>
  <c r="F153" i="9"/>
  <c r="F184" i="9"/>
  <c r="F202" i="9"/>
  <c r="F82" i="9"/>
  <c r="F99" i="9"/>
  <c r="F126" i="9"/>
  <c r="F47" i="9"/>
  <c r="F206" i="9"/>
  <c r="F199" i="9"/>
  <c r="F204" i="9"/>
  <c r="F97" i="9"/>
  <c r="F152" i="9"/>
  <c r="F73" i="9"/>
  <c r="F143" i="9"/>
  <c r="F64" i="9"/>
  <c r="F67" i="9"/>
  <c r="F200" i="9"/>
  <c r="F138" i="9"/>
  <c r="F166" i="9"/>
  <c r="F203" i="9"/>
  <c r="F176" i="9"/>
  <c r="F125" i="9"/>
  <c r="F58" i="9"/>
  <c r="F100" i="9"/>
  <c r="F155" i="9"/>
  <c r="F92" i="9"/>
  <c r="F36" i="9"/>
  <c r="F163" i="9"/>
  <c r="F140" i="9"/>
  <c r="F122" i="9"/>
  <c r="F118" i="9"/>
  <c r="F55" i="9"/>
  <c r="F181" i="9"/>
  <c r="F159" i="9"/>
  <c r="F189" i="9"/>
  <c r="F121" i="9"/>
  <c r="F144" i="9"/>
  <c r="F65" i="9"/>
  <c r="F119" i="9"/>
  <c r="F114" i="9"/>
  <c r="F101" i="9"/>
  <c r="F84" i="9"/>
  <c r="F179" i="9"/>
  <c r="F124" i="9"/>
  <c r="F68" i="9"/>
  <c r="F110" i="9"/>
  <c r="F173" i="9"/>
  <c r="F198" i="9"/>
  <c r="F209" i="9"/>
  <c r="F145" i="9"/>
  <c r="F78" i="9"/>
  <c r="F120" i="9"/>
  <c r="F57" i="9"/>
  <c r="F127" i="9"/>
  <c r="F185" i="9"/>
  <c r="F117" i="9"/>
  <c r="F106" i="9"/>
  <c r="F177" i="9"/>
  <c r="F210" i="9"/>
  <c r="F169" i="9"/>
  <c r="F192" i="9"/>
  <c r="F109" i="9"/>
  <c r="F148" i="9"/>
  <c r="F85" i="9"/>
  <c r="F139" i="9"/>
  <c r="F76" i="9"/>
  <c r="F146" i="9"/>
  <c r="F168" i="9"/>
  <c r="F61" i="9"/>
  <c r="F91" i="9"/>
  <c r="F102" i="9"/>
  <c r="F39" i="9"/>
  <c r="F182" i="9"/>
  <c r="F175" i="9"/>
  <c r="F164" i="9"/>
  <c r="F105" i="9"/>
  <c r="F128" i="9"/>
  <c r="F49" i="9"/>
  <c r="F88" i="9"/>
  <c r="F165" i="9"/>
  <c r="F34" i="9"/>
  <c r="F98" i="9"/>
  <c r="F186" i="9"/>
  <c r="F77" i="9"/>
  <c r="F79" i="9"/>
  <c r="F197" i="9"/>
  <c r="F167" i="9"/>
  <c r="F156" i="9"/>
  <c r="F129" i="9"/>
  <c r="F62" i="9"/>
  <c r="F104" i="9"/>
  <c r="F41" i="9"/>
  <c r="F95" i="9"/>
  <c r="F194" i="9"/>
  <c r="F50" i="9"/>
  <c r="F59" i="9"/>
  <c r="F178" i="9"/>
  <c r="F171" i="9"/>
  <c r="F162" i="9"/>
  <c r="F208" i="9"/>
  <c r="F90" i="9"/>
  <c r="F132" i="9"/>
  <c r="F53" i="9"/>
  <c r="F123" i="9"/>
  <c r="F60" i="9"/>
  <c r="F35" i="9"/>
  <c r="F149" i="9"/>
  <c r="F131" i="9"/>
  <c r="F150" i="9"/>
  <c r="F87" i="9"/>
  <c r="F161" i="9"/>
  <c r="F191" i="9"/>
  <c r="F180" i="9"/>
  <c r="F86" i="9"/>
  <c r="F96" i="9"/>
  <c r="F151" i="9"/>
  <c r="F72" i="9"/>
  <c r="F94" i="9"/>
  <c r="F211" i="9"/>
  <c r="F93" i="9"/>
  <c r="F51" i="9"/>
  <c r="F133" i="9"/>
  <c r="F147" i="9"/>
  <c r="F142" i="9"/>
  <c r="F63" i="9"/>
  <c r="F174" i="9"/>
  <c r="F183" i="9"/>
  <c r="F188" i="9"/>
  <c r="F113" i="9"/>
  <c r="F46" i="9"/>
  <c r="F89" i="9"/>
  <c r="F80" i="9"/>
  <c r="F130" i="9"/>
  <c r="F193" i="9"/>
  <c r="F45" i="9"/>
  <c r="F43" i="9"/>
  <c r="F157" i="9"/>
  <c r="F187" i="9"/>
  <c r="F160" i="9"/>
  <c r="F141" i="9"/>
  <c r="F74" i="9"/>
  <c r="F116" i="9"/>
  <c r="F37" i="9"/>
  <c r="F107" i="9"/>
  <c r="F44" i="9"/>
  <c r="F158" i="9"/>
  <c r="F66" i="9"/>
  <c r="F154" i="9"/>
  <c r="F134" i="9"/>
  <c r="F71" i="9"/>
  <c r="F190" i="9"/>
  <c r="F207" i="9"/>
  <c r="F196" i="9"/>
  <c r="F81" i="9"/>
  <c r="F135" i="9"/>
  <c r="F40" i="9"/>
  <c r="F28" i="9"/>
  <c r="F205" i="9"/>
  <c r="F54" i="9"/>
  <c r="F83" i="9"/>
  <c r="F108" i="9"/>
  <c r="F31" i="9"/>
  <c r="F52" i="9"/>
  <c r="F170" i="9"/>
  <c r="F195" i="9"/>
  <c r="F29" i="9"/>
  <c r="F212" i="9"/>
  <c r="F103" i="9"/>
  <c r="F136" i="9"/>
  <c r="F201" i="9"/>
  <c r="F69" i="9"/>
  <c r="F137" i="9"/>
  <c r="F112" i="9"/>
  <c r="F115" i="9"/>
  <c r="F38" i="9"/>
  <c r="F172" i="9"/>
  <c r="F42" i="9"/>
  <c r="F70" i="9"/>
  <c r="F48" i="9"/>
  <c r="F32" i="9"/>
  <c r="F33" i="9"/>
  <c r="F30" i="9"/>
  <c r="F111" i="9"/>
  <c r="F26" i="9"/>
  <c r="F56" i="9"/>
  <c r="F213" i="9"/>
  <c r="F25" i="9"/>
  <c r="F75" i="9"/>
  <c r="T7" i="12"/>
  <c r="T8" i="12" s="1"/>
  <c r="T5" i="12"/>
  <c r="AX6" i="12"/>
  <c r="W6" i="12"/>
  <c r="X1" i="33"/>
  <c r="X2" i="33"/>
  <c r="X16" i="33"/>
  <c r="X17" i="33"/>
  <c r="T1" i="32"/>
  <c r="T2" i="32"/>
  <c r="Q13" i="23"/>
  <c r="P21" i="23"/>
  <c r="AB33" i="23" s="1"/>
  <c r="I33" i="23"/>
  <c r="F26" i="23"/>
  <c r="F33" i="23"/>
  <c r="I17" i="24"/>
  <c r="U11" i="24"/>
  <c r="T19" i="24"/>
  <c r="AD17" i="24" s="1"/>
  <c r="F17" i="24"/>
  <c r="F10" i="24"/>
  <c r="F27" i="9"/>
  <c r="C34" i="18" l="1"/>
  <c r="K34" i="18"/>
  <c r="D34" i="18"/>
  <c r="F34" i="18"/>
  <c r="L34" i="18"/>
  <c r="X21" i="18"/>
  <c r="H34" i="18"/>
  <c r="M34" i="18"/>
  <c r="G34" i="18"/>
  <c r="I34" i="18"/>
  <c r="E34" i="18"/>
  <c r="H30" i="18"/>
  <c r="L30" i="18"/>
  <c r="K30" i="18"/>
  <c r="C30" i="18"/>
  <c r="X17" i="18"/>
  <c r="J30" i="18"/>
  <c r="E30" i="18"/>
  <c r="D30" i="18"/>
  <c r="G30" i="18"/>
  <c r="F30" i="18"/>
  <c r="M30" i="18"/>
  <c r="G62" i="9"/>
  <c r="X6" i="12"/>
  <c r="AY6" i="12"/>
  <c r="R13" i="23"/>
  <c r="S13" i="23" s="1"/>
  <c r="T13" i="23" s="1"/>
  <c r="U13" i="23" s="1"/>
  <c r="O14" i="23" s="1"/>
  <c r="K33" i="23"/>
  <c r="Q21" i="23"/>
  <c r="AD33" i="23" s="1"/>
  <c r="H33" i="23"/>
  <c r="H26" i="23"/>
  <c r="K17" i="24"/>
  <c r="U19" i="24"/>
  <c r="AF17" i="24" s="1"/>
  <c r="O12" i="24"/>
  <c r="P12" i="24" s="1"/>
  <c r="Q12" i="24" s="1"/>
  <c r="R12" i="24" s="1"/>
  <c r="H17" i="24"/>
  <c r="H10" i="24"/>
  <c r="G117" i="9"/>
  <c r="G83" i="9"/>
  <c r="G38" i="9"/>
  <c r="G20" i="9"/>
  <c r="G146" i="9"/>
  <c r="G58" i="9"/>
  <c r="G133" i="9"/>
  <c r="G35" i="9"/>
  <c r="G98" i="9"/>
  <c r="G15" i="9"/>
  <c r="G101" i="9"/>
  <c r="G4" i="9"/>
  <c r="G67" i="9"/>
  <c r="G130" i="9"/>
  <c r="G13" i="9"/>
  <c r="G82" i="9"/>
  <c r="G149" i="9"/>
  <c r="G51" i="9"/>
  <c r="G114" i="9"/>
  <c r="G54" i="9"/>
  <c r="G32" i="9"/>
  <c r="G64" i="9"/>
  <c r="G48" i="9"/>
  <c r="G143" i="9"/>
  <c r="G127" i="9"/>
  <c r="G80" i="9"/>
  <c r="G96" i="9"/>
  <c r="G111" i="9"/>
  <c r="G14" i="9"/>
  <c r="G95" i="9"/>
  <c r="G7" i="9"/>
  <c r="G61" i="9"/>
  <c r="G45" i="9"/>
  <c r="G184" i="9"/>
  <c r="G128" i="9"/>
  <c r="G29" i="9"/>
  <c r="G112" i="9"/>
  <c r="G195" i="9"/>
  <c r="G77" i="9"/>
  <c r="G144" i="9"/>
  <c r="G159" i="9"/>
  <c r="G212" i="9"/>
  <c r="G197" i="9"/>
  <c r="G191" i="9"/>
  <c r="G181" i="9"/>
  <c r="G198" i="9"/>
  <c r="G180" i="9"/>
  <c r="G188" i="9"/>
  <c r="G165" i="9"/>
  <c r="G199" i="9"/>
  <c r="G31" i="9"/>
  <c r="G10" i="9"/>
  <c r="G193" i="9"/>
  <c r="G141" i="9"/>
  <c r="G56" i="9"/>
  <c r="G152" i="9"/>
  <c r="G207" i="9"/>
  <c r="G163" i="9"/>
  <c r="G66" i="9"/>
  <c r="G8" i="9"/>
  <c r="G182" i="9"/>
  <c r="G206" i="9"/>
  <c r="G129" i="9"/>
  <c r="G107" i="9"/>
  <c r="G187" i="9"/>
  <c r="G70" i="9"/>
  <c r="G23" i="9"/>
  <c r="G85" i="9"/>
  <c r="G186" i="9"/>
  <c r="G121" i="9"/>
  <c r="G55" i="9"/>
  <c r="G52" i="9"/>
  <c r="G166" i="9"/>
  <c r="G158" i="9"/>
  <c r="G50" i="9"/>
  <c r="G44" i="9"/>
  <c r="G140" i="9"/>
  <c r="G168" i="9"/>
  <c r="G106" i="9"/>
  <c r="G22" i="9"/>
  <c r="G205" i="9"/>
  <c r="G118" i="9"/>
  <c r="G68" i="9"/>
  <c r="G81" i="9"/>
  <c r="G213" i="9"/>
  <c r="G30" i="9"/>
  <c r="G94" i="9"/>
  <c r="G73" i="9"/>
  <c r="G162" i="9"/>
  <c r="G43" i="9"/>
  <c r="G119" i="9"/>
  <c r="G160" i="9"/>
  <c r="G131" i="9"/>
  <c r="G100" i="9"/>
  <c r="G201" i="9"/>
  <c r="G113" i="9"/>
  <c r="G16" i="9"/>
  <c r="G79" i="9"/>
  <c r="G142" i="9"/>
  <c r="G28" i="9"/>
  <c r="G92" i="9"/>
  <c r="G155" i="9"/>
  <c r="G57" i="9"/>
  <c r="G124" i="9"/>
  <c r="G208" i="9"/>
  <c r="G177" i="9"/>
  <c r="G176" i="9"/>
  <c r="G210" i="9"/>
  <c r="G46" i="9"/>
  <c r="G125" i="9"/>
  <c r="G27" i="9"/>
  <c r="G91" i="9"/>
  <c r="G154" i="9"/>
  <c r="G40" i="9"/>
  <c r="G103" i="9"/>
  <c r="G6" i="9"/>
  <c r="G69" i="9"/>
  <c r="G136" i="9"/>
  <c r="G179" i="9"/>
  <c r="G189" i="9"/>
  <c r="G203" i="9"/>
  <c r="G18" i="9"/>
  <c r="G19" i="9"/>
  <c r="G153" i="9"/>
  <c r="G170" i="9"/>
  <c r="G148" i="9"/>
  <c r="G115" i="9"/>
  <c r="G102" i="9"/>
  <c r="G105" i="9"/>
  <c r="G192" i="9"/>
  <c r="G132" i="9"/>
  <c r="G99" i="9"/>
  <c r="G87" i="9"/>
  <c r="G2" i="9"/>
  <c r="H2" i="9" s="1"/>
  <c r="G97" i="9"/>
  <c r="G74" i="9"/>
  <c r="G63" i="9"/>
  <c r="G126" i="9"/>
  <c r="G9" i="9"/>
  <c r="G76" i="9"/>
  <c r="G139" i="9"/>
  <c r="G41" i="9"/>
  <c r="G108" i="9"/>
  <c r="G164" i="9"/>
  <c r="G161" i="9"/>
  <c r="G183" i="9"/>
  <c r="G194" i="9"/>
  <c r="G3" i="9"/>
  <c r="G109" i="9"/>
  <c r="G12" i="9"/>
  <c r="G75" i="9"/>
  <c r="G138" i="9"/>
  <c r="G21" i="9"/>
  <c r="G88" i="9"/>
  <c r="G151" i="9"/>
  <c r="G53" i="9"/>
  <c r="G120" i="9"/>
  <c r="G200" i="9"/>
  <c r="G173" i="9"/>
  <c r="G174" i="9"/>
  <c r="G185" i="9"/>
  <c r="G65" i="9"/>
  <c r="G36" i="9"/>
  <c r="G39" i="9"/>
  <c r="G42" i="9"/>
  <c r="G171" i="9"/>
  <c r="G26" i="9"/>
  <c r="G150" i="9"/>
  <c r="G137" i="9"/>
  <c r="G202" i="9"/>
  <c r="G196" i="9"/>
  <c r="G147" i="9"/>
  <c r="G134" i="9"/>
  <c r="G78" i="9"/>
  <c r="G145" i="9"/>
  <c r="G47" i="9"/>
  <c r="G110" i="9"/>
  <c r="G34" i="9"/>
  <c r="G60" i="9"/>
  <c r="G123" i="9"/>
  <c r="G25" i="9"/>
  <c r="G89" i="9"/>
  <c r="G167" i="9"/>
  <c r="G172" i="9"/>
  <c r="G209" i="9"/>
  <c r="G178" i="9"/>
  <c r="G190" i="9"/>
  <c r="G90" i="9"/>
  <c r="G11" i="9"/>
  <c r="G59" i="9"/>
  <c r="G122" i="9"/>
  <c r="G5" i="9"/>
  <c r="G72" i="9"/>
  <c r="G135" i="9"/>
  <c r="G37" i="9"/>
  <c r="G104" i="9"/>
  <c r="G211" i="9"/>
  <c r="G157" i="9"/>
  <c r="G175" i="9"/>
  <c r="G156" i="9"/>
  <c r="G116" i="9"/>
  <c r="G84" i="9"/>
  <c r="G71" i="9"/>
  <c r="G86" i="9"/>
  <c r="G169" i="9"/>
  <c r="G49" i="9"/>
  <c r="G17" i="9"/>
  <c r="G24" i="9"/>
  <c r="G93" i="9"/>
  <c r="G204" i="9"/>
  <c r="G33" i="9"/>
  <c r="AK30" i="18"/>
  <c r="AK34" i="18"/>
  <c r="AJ34" i="18" l="1"/>
  <c r="R4" i="33"/>
  <c r="Q14" i="32"/>
  <c r="Q12" i="32"/>
  <c r="Q11" i="32"/>
  <c r="Q13" i="32"/>
  <c r="AJ30" i="18"/>
  <c r="Q4" i="32"/>
  <c r="Y6" i="12"/>
  <c r="AZ6" i="12"/>
  <c r="O22" i="23"/>
  <c r="Z41" i="23" s="1"/>
  <c r="P14" i="23"/>
  <c r="G41" i="23"/>
  <c r="J26" i="23"/>
  <c r="J33" i="23"/>
  <c r="J17" i="24"/>
  <c r="J10" i="24"/>
  <c r="R20" i="24"/>
  <c r="Z25" i="24" s="1"/>
  <c r="S12" i="24"/>
  <c r="E25" i="24"/>
  <c r="P15" i="5"/>
  <c r="L65" i="19"/>
  <c r="Z6" i="12" l="1"/>
  <c r="BA6" i="12"/>
  <c r="Q14" i="23"/>
  <c r="I41" i="23"/>
  <c r="P22" i="23"/>
  <c r="AB41" i="23" s="1"/>
  <c r="F34" i="23"/>
  <c r="F41" i="23"/>
  <c r="D25" i="24"/>
  <c r="D18" i="24"/>
  <c r="T12" i="24"/>
  <c r="G25" i="24"/>
  <c r="S20" i="24"/>
  <c r="AB25" i="24" s="1"/>
  <c r="AA6" i="12" l="1"/>
  <c r="BB6" i="12"/>
  <c r="R14" i="23"/>
  <c r="S14" i="23" s="1"/>
  <c r="T14" i="23" s="1"/>
  <c r="U14" i="23" s="1"/>
  <c r="O15" i="23" s="1"/>
  <c r="Q22" i="23"/>
  <c r="AD41" i="23" s="1"/>
  <c r="K41" i="23"/>
  <c r="H41" i="23"/>
  <c r="H34" i="23"/>
  <c r="U12" i="24"/>
  <c r="T20" i="24"/>
  <c r="AD25" i="24" s="1"/>
  <c r="I25" i="24"/>
  <c r="F25" i="24"/>
  <c r="F18" i="24"/>
  <c r="U7" i="12" l="1"/>
  <c r="BC6" i="12"/>
  <c r="P15" i="23"/>
  <c r="G49" i="23"/>
  <c r="O23" i="23"/>
  <c r="Z49" i="23" s="1"/>
  <c r="J34" i="23"/>
  <c r="J41" i="23"/>
  <c r="O13" i="24"/>
  <c r="P13" i="24" s="1"/>
  <c r="Q13" i="24" s="1"/>
  <c r="R13" i="24" s="1"/>
  <c r="K25" i="24"/>
  <c r="U20" i="24"/>
  <c r="AF25" i="24" s="1"/>
  <c r="H25" i="24"/>
  <c r="H18" i="24"/>
  <c r="AW7" i="12" l="1"/>
  <c r="V7" i="12"/>
  <c r="Q15" i="23"/>
  <c r="P23" i="23"/>
  <c r="AB49" i="23" s="1"/>
  <c r="I49" i="23"/>
  <c r="F49" i="23"/>
  <c r="F42" i="23"/>
  <c r="S13" i="24"/>
  <c r="E33" i="24"/>
  <c r="R21" i="24"/>
  <c r="Z33" i="24" s="1"/>
  <c r="J18" i="24"/>
  <c r="J25" i="24"/>
  <c r="W7" i="12" l="1"/>
  <c r="AX7" i="12"/>
  <c r="R15" i="23"/>
  <c r="S15" i="23" s="1"/>
  <c r="T15" i="23" s="1"/>
  <c r="U15" i="23" s="1"/>
  <c r="K49" i="23"/>
  <c r="Q23" i="23"/>
  <c r="AD49" i="23" s="1"/>
  <c r="H42" i="23"/>
  <c r="H49" i="23"/>
  <c r="T13" i="24"/>
  <c r="G33" i="24"/>
  <c r="S21" i="24"/>
  <c r="AB33" i="24" s="1"/>
  <c r="D26" i="24"/>
  <c r="D33" i="24"/>
  <c r="X7" i="12" l="1"/>
  <c r="AY7" i="12"/>
  <c r="J42" i="23"/>
  <c r="J49" i="23"/>
  <c r="U13" i="24"/>
  <c r="I33" i="24"/>
  <c r="T21" i="24"/>
  <c r="AD33" i="24" s="1"/>
  <c r="F33" i="24"/>
  <c r="F26" i="24"/>
  <c r="Y7" i="12" l="1"/>
  <c r="AZ7" i="12"/>
  <c r="O14" i="24"/>
  <c r="P14" i="24" s="1"/>
  <c r="Q14" i="24" s="1"/>
  <c r="R14" i="24" s="1"/>
  <c r="K33" i="24"/>
  <c r="U21" i="24"/>
  <c r="AF33" i="24" s="1"/>
  <c r="H33" i="24"/>
  <c r="H26" i="24"/>
  <c r="BA7" i="12" l="1"/>
  <c r="Z7" i="12"/>
  <c r="S14" i="24"/>
  <c r="E41" i="24"/>
  <c r="R22" i="24"/>
  <c r="Z41" i="24" s="1"/>
  <c r="J33" i="24"/>
  <c r="J26" i="24"/>
  <c r="AA7" i="12" l="1"/>
  <c r="BB7" i="12"/>
  <c r="T14" i="24"/>
  <c r="S22" i="24"/>
  <c r="AB41" i="24" s="1"/>
  <c r="G41" i="24"/>
  <c r="D41" i="24"/>
  <c r="D34" i="24"/>
  <c r="U8" i="12" l="1"/>
  <c r="BC7" i="12"/>
  <c r="U14" i="24"/>
  <c r="T22" i="24"/>
  <c r="AD41" i="24" s="1"/>
  <c r="I41" i="24"/>
  <c r="F41" i="24"/>
  <c r="F34" i="24"/>
  <c r="AW8" i="12" l="1"/>
  <c r="V8" i="12"/>
  <c r="U22" i="24"/>
  <c r="AF41" i="24" s="1"/>
  <c r="O15" i="24"/>
  <c r="P15" i="24" s="1"/>
  <c r="Q15" i="24" s="1"/>
  <c r="R15" i="24" s="1"/>
  <c r="K41" i="24"/>
  <c r="H34" i="24"/>
  <c r="H41" i="24"/>
  <c r="W8" i="12" l="1"/>
  <c r="AX8" i="12"/>
  <c r="S15" i="24"/>
  <c r="R23" i="24"/>
  <c r="Z49" i="24" s="1"/>
  <c r="E49" i="24"/>
  <c r="J34" i="24"/>
  <c r="J41" i="24"/>
  <c r="X8" i="12" l="1"/>
  <c r="AY8" i="12"/>
  <c r="G49" i="24"/>
  <c r="T15" i="24"/>
  <c r="S23" i="24"/>
  <c r="AB49" i="24" s="1"/>
  <c r="D42" i="24"/>
  <c r="D49" i="24"/>
  <c r="Y8" i="12" l="1"/>
  <c r="AZ8" i="12"/>
  <c r="U15" i="24"/>
  <c r="I49" i="24"/>
  <c r="T23" i="24"/>
  <c r="AD49" i="24" s="1"/>
  <c r="F49" i="24"/>
  <c r="F42" i="24"/>
  <c r="BA8" i="12" l="1"/>
  <c r="Z8" i="12"/>
  <c r="H42" i="24"/>
  <c r="H49" i="24"/>
  <c r="K49" i="24"/>
  <c r="U23" i="24"/>
  <c r="AF49" i="24" s="1"/>
  <c r="BB8" i="12" l="1"/>
  <c r="AA8" i="12"/>
  <c r="J49" i="24"/>
  <c r="J42" i="24"/>
  <c r="U9" i="12" l="1"/>
  <c r="BC8" i="12"/>
  <c r="V9" i="12" l="1"/>
  <c r="AW9" i="12"/>
  <c r="T9" i="12"/>
  <c r="AX9" i="12" l="1"/>
  <c r="W9" i="12"/>
  <c r="AY9" i="12" l="1"/>
  <c r="X9" i="12"/>
  <c r="AZ9" i="12" l="1"/>
  <c r="Y9" i="12"/>
  <c r="Z9" i="12" l="1"/>
  <c r="BA9" i="12"/>
  <c r="BB9" i="12" l="1"/>
  <c r="AA9" i="12"/>
  <c r="U10" i="12" l="1"/>
  <c r="BC9" i="12"/>
  <c r="AW10" i="12" l="1"/>
  <c r="V10" i="12"/>
  <c r="AX10" i="12" s="1"/>
  <c r="T10" i="12"/>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alendar-re" type="4" refreshedVersion="0" background="1">
    <webPr xml="1" sourceData="1" url="C:\Users\Gopala\Google Drive\ISKCON\GPlan2019R4\calendar-re.xml" htmlTables="1" htmlFormat="all"/>
  </connection>
  <connection id="2" xr16:uid="{00000000-0015-0000-FFFF-FFFF01000000}" name="calendar-re1" type="4" refreshedVersion="0" background="1">
    <webPr xml="1" sourceData="1" url="C:\Users\Gopala\Downloads\GPlan2019R1\calendar-re.xml" htmlTables="1" htmlFormat="all"/>
  </connection>
</connections>
</file>

<file path=xl/sharedStrings.xml><?xml version="1.0" encoding="utf-8"?>
<sst xmlns="http://schemas.openxmlformats.org/spreadsheetml/2006/main" count="32883" uniqueCount="9716">
  <si>
    <t>dst</t>
  </si>
  <si>
    <t>Fr</t>
  </si>
  <si>
    <t>Sa</t>
  </si>
  <si>
    <t>Su</t>
  </si>
  <si>
    <t>Mo</t>
  </si>
  <si>
    <t>Tu</t>
  </si>
  <si>
    <t>We</t>
  </si>
  <si>
    <t>Th</t>
  </si>
  <si>
    <t>Trayodasi</t>
  </si>
  <si>
    <t>Caturdasi</t>
  </si>
  <si>
    <t>Purnima</t>
  </si>
  <si>
    <t>Pratipat</t>
  </si>
  <si>
    <t>Dvitiya</t>
  </si>
  <si>
    <t>Caturthi</t>
  </si>
  <si>
    <t>Pancami</t>
  </si>
  <si>
    <t>Sasti</t>
  </si>
  <si>
    <t>Saptami</t>
  </si>
  <si>
    <t>Astami</t>
  </si>
  <si>
    <t>Navami</t>
  </si>
  <si>
    <t>Dasami</t>
  </si>
  <si>
    <t>Ekadasi</t>
  </si>
  <si>
    <t>Dvadasi</t>
  </si>
  <si>
    <t>Amavasya</t>
  </si>
  <si>
    <t>Tritiya</t>
  </si>
  <si>
    <t>G</t>
  </si>
  <si>
    <t>K</t>
  </si>
  <si>
    <t>no</t>
  </si>
  <si>
    <t>yes</t>
  </si>
  <si>
    <t>PRATIPAT</t>
  </si>
  <si>
    <t>Fasting for Saphala Ekadasi</t>
  </si>
  <si>
    <t>Fasting for Putrada Ekadasi</t>
  </si>
  <si>
    <t>Fasting for Sat-tila Ekadasi</t>
  </si>
  <si>
    <t>Ganga Sagara Mela</t>
  </si>
  <si>
    <t>Fasting for Bhaimi Ekadasi</t>
  </si>
  <si>
    <t>Fasting for Vijaya Ekadasi</t>
  </si>
  <si>
    <t>Fasting for Amalaki vrata Ekadasi</t>
  </si>
  <si>
    <t>Gaura Purnima: Appearance of Sri Caitanya Mahaprabhu</t>
  </si>
  <si>
    <t>(Fast today)</t>
  </si>
  <si>
    <t>Festival of Jagannatha Misra</t>
  </si>
  <si>
    <t>Fasting for Papamocani Ekadasi</t>
  </si>
  <si>
    <t>Rama Navami: Appearance of Lord Sri Ramacandra</t>
  </si>
  <si>
    <t>Fasting for Kamada Ekadasi</t>
  </si>
  <si>
    <t>Tulasi Jala Dan begins.</t>
  </si>
  <si>
    <t>Fasting for Mohini Ekadasi</t>
  </si>
  <si>
    <t>Fasting for Apara Ekadasi</t>
  </si>
  <si>
    <t>Tulasi Jala Dan ends.</t>
  </si>
  <si>
    <t>Fasting for Padmini Ekadasi</t>
  </si>
  <si>
    <t>Fasting for Parama Ekadasi</t>
  </si>
  <si>
    <t>Fasting for Pandava Nirjala Ekadasi</t>
  </si>
  <si>
    <t>(Total fast, even from water, if you have broken Ekadasi)</t>
  </si>
  <si>
    <t>Fasting for Yogini Ekadasi</t>
  </si>
  <si>
    <t>Gundica Marjana</t>
  </si>
  <si>
    <t>Ratha Yatra</t>
  </si>
  <si>
    <t>Hera Pancami (4 days after Ratha Yatra)</t>
  </si>
  <si>
    <t>Return Ratha (8 days after Ratha Yatra)</t>
  </si>
  <si>
    <t>Fasting for Sayana Ekadasi</t>
  </si>
  <si>
    <t>Fasting for Kamika Ekadasi</t>
  </si>
  <si>
    <t>Fasting for Pavitraropana Ekadasi</t>
  </si>
  <si>
    <t>Sri Krsna Janmastami: Appearance of Lord Sri Krsna</t>
  </si>
  <si>
    <t>Nandotsava</t>
  </si>
  <si>
    <t>Srila Prabhupada -- Appearance</t>
  </si>
  <si>
    <t>Fasting for Annada Ekadasi</t>
  </si>
  <si>
    <t>Fasting for Parsva Ekadasi</t>
  </si>
  <si>
    <t>Fasting for Indira Ekadasi</t>
  </si>
  <si>
    <t>Fasting for Pasankusa Ekadasi</t>
  </si>
  <si>
    <t>Fasting for Rama Ekadasi</t>
  </si>
  <si>
    <t>Go Puja. Go Krda. Govardhana Puja.</t>
  </si>
  <si>
    <t>Fasting for Utthana Ekadasi</t>
  </si>
  <si>
    <t>First day of Bhisma Pancaka</t>
  </si>
  <si>
    <t>Last day of Bhisma Pancaka</t>
  </si>
  <si>
    <t>Fasting for Utpanna Ekadasi</t>
  </si>
  <si>
    <t>Fasting for Moksada Ekadasi</t>
  </si>
  <si>
    <t>*</t>
  </si>
  <si>
    <t>Dhanus</t>
  </si>
  <si>
    <t>Makara</t>
  </si>
  <si>
    <t>Kumbha</t>
  </si>
  <si>
    <t>Mina</t>
  </si>
  <si>
    <t>Mesa</t>
  </si>
  <si>
    <t>Vrsabha</t>
  </si>
  <si>
    <t>Mithuna</t>
  </si>
  <si>
    <t>Karka</t>
  </si>
  <si>
    <t>Simha</t>
  </si>
  <si>
    <t>Kanya</t>
  </si>
  <si>
    <t>Tula</t>
  </si>
  <si>
    <t>Vrscika</t>
  </si>
  <si>
    <t>Calendar</t>
  </si>
  <si>
    <t>GCal 11, Build 2</t>
  </si>
  <si>
    <t>longitude</t>
  </si>
  <si>
    <t>latitude</t>
  </si>
  <si>
    <t>timezone</t>
  </si>
  <si>
    <t>startdate</t>
  </si>
  <si>
    <t>daycount</t>
  </si>
  <si>
    <t>-3:00 America/Recife</t>
  </si>
  <si>
    <t>https://www.freeformatter.com/xsd-generator.html</t>
  </si>
  <si>
    <t>http://www.tomasvasquez.com.br/artigos/Mapeando_arquivos_XML.html</t>
  </si>
  <si>
    <t>Request</t>
  </si>
  <si>
    <t>Version</t>
  </si>
  <si>
    <t>Result</t>
  </si>
  <si>
    <t>DST System</t>
  </si>
  <si>
    <t>Brazil</t>
  </si>
  <si>
    <t>Recife|Brazil|-34,881111|-8,053889|-3:00 America/Recife</t>
  </si>
  <si>
    <t>Recife</t>
  </si>
  <si>
    <t>Devanagari</t>
  </si>
  <si>
    <t>Selecionado</t>
  </si>
  <si>
    <t>Calculado</t>
  </si>
  <si>
    <t>Cidade</t>
  </si>
  <si>
    <t>País</t>
  </si>
  <si>
    <t>Longitude</t>
  </si>
  <si>
    <t>Latitude</t>
  </si>
  <si>
    <t>Fuso Horário</t>
  </si>
  <si>
    <t>DST</t>
  </si>
  <si>
    <t>Start Date</t>
  </si>
  <si>
    <t>Pronto</t>
  </si>
  <si>
    <t>Day Count</t>
  </si>
  <si>
    <t>Atualizar</t>
  </si>
  <si>
    <t>End Date</t>
  </si>
  <si>
    <t>Capa</t>
  </si>
  <si>
    <t>Hemisphere</t>
  </si>
  <si>
    <t>Gcal Version</t>
  </si>
  <si>
    <t>Caturmasya System</t>
  </si>
  <si>
    <t>Line Feed</t>
  </si>
  <si>
    <t>Contact</t>
  </si>
  <si>
    <t>Linguagem</t>
  </si>
  <si>
    <t>Português</t>
  </si>
  <si>
    <t>ISO-8859-1</t>
  </si>
  <si>
    <t>File</t>
  </si>
  <si>
    <t xml:space="preserve"> </t>
  </si>
  <si>
    <t>Salve as</t>
  </si>
  <si>
    <t>Gcal Path</t>
  </si>
  <si>
    <t>Gcal not found</t>
  </si>
  <si>
    <t>Load Error</t>
  </si>
  <si>
    <t>Ocorreu um erro:</t>
  </si>
  <si>
    <t>Gcal Download</t>
  </si>
  <si>
    <t>Baixe o Gcal 11, descompacte, e copie para a mesma pasta deste arquivo.</t>
  </si>
  <si>
    <t>Atualização Automática dos Dados do Calendário</t>
  </si>
  <si>
    <t>Calcular os dados do calendário para a seguinte localidade e ano?</t>
  </si>
  <si>
    <t>GCalWebsite</t>
  </si>
  <si>
    <t>http://www.krishnadays.com</t>
  </si>
  <si>
    <t>btGerar</t>
  </si>
  <si>
    <t>Geração Automática da Agenda</t>
  </si>
  <si>
    <t>A geração automática da Agenda pode levar alguns minutos. O processo pode ser interrompido a qualquer momento, ao manter pressionada a tecla 'Esc'.</t>
  </si>
  <si>
    <t>Gerar a agenda GPlan em formato pdf?</t>
  </si>
  <si>
    <t>Em caso afirmativo, não mexa no mouse ou no teclado até o Gcal concluir o cálculo e fechar.</t>
  </si>
  <si>
    <t>Contact-Left</t>
  </si>
  <si>
    <t>Contact-Right</t>
  </si>
  <si>
    <t>A B C D</t>
  </si>
  <si>
    <t>E F G H</t>
  </si>
  <si>
    <t>I J K L</t>
  </si>
  <si>
    <t>M N O P</t>
  </si>
  <si>
    <t>Q R S T U</t>
  </si>
  <si>
    <t>V W X Y Z</t>
  </si>
  <si>
    <t xml:space="preserve">Fórmula de Validação de Cidade </t>
  </si>
  <si>
    <t>Holydays</t>
  </si>
  <si>
    <t>Personal Data</t>
  </si>
  <si>
    <t>Parameter</t>
  </si>
  <si>
    <t>Auxiliar Validacao Cidade</t>
  </si>
  <si>
    <t>Language</t>
  </si>
  <si>
    <t>Numero total de cidades na Listagem</t>
  </si>
  <si>
    <t>ISO Language</t>
  </si>
  <si>
    <t>País selecionado</t>
  </si>
  <si>
    <t>Country</t>
  </si>
  <si>
    <t>Primeira linha do país selecionado</t>
  </si>
  <si>
    <t>Location</t>
  </si>
  <si>
    <t>Quantidade de Cidades do País  na Listagem</t>
  </si>
  <si>
    <t>Location Reference</t>
  </si>
  <si>
    <t>Quantidade Corrigida de Cidades do País  na Listagem</t>
  </si>
  <si>
    <t>City</t>
  </si>
  <si>
    <t>Appearance Days of the Lord and His Incarnations</t>
  </si>
  <si>
    <t>Events in the Pastimes of the Lord and His Associates</t>
  </si>
  <si>
    <t>Appearance and Disappearance Days of Recent Acaryas</t>
  </si>
  <si>
    <t>DST Ref</t>
  </si>
  <si>
    <t>Appearance and Disappearance Days of Mahaprabhu's Associates and Other Acaryas</t>
  </si>
  <si>
    <t>Year</t>
  </si>
  <si>
    <t>ISKCON's Historical Events</t>
  </si>
  <si>
    <t>Bengal-specific Holidays</t>
  </si>
  <si>
    <t>Cover Title</t>
  </si>
  <si>
    <t>Current calculated calendar</t>
  </si>
  <si>
    <t>R</t>
  </si>
  <si>
    <t>calendar</t>
  </si>
  <si>
    <t>N</t>
  </si>
  <si>
    <t>L</t>
  </si>
  <si>
    <t>TZ</t>
  </si>
  <si>
    <t>SG</t>
  </si>
  <si>
    <t>EG</t>
  </si>
  <si>
    <t>O</t>
  </si>
  <si>
    <t>Command Line</t>
  </si>
  <si>
    <t>Gcal Name</t>
  </si>
  <si>
    <t>gcal.exe</t>
  </si>
  <si>
    <t>Google Map City</t>
  </si>
  <si>
    <t>Parameters Worksheet File Name Path</t>
  </si>
  <si>
    <t>Holydays Worksheet File Name Path</t>
  </si>
  <si>
    <t>Personal Data Worksheet File Name Path</t>
  </si>
  <si>
    <t>Mensage 1 Title</t>
  </si>
  <si>
    <t>Mensage 1 Text 1</t>
  </si>
  <si>
    <t>Mensage 1 Text 2</t>
  </si>
  <si>
    <t>Mensage 2 Title</t>
  </si>
  <si>
    <t>Mensage 2 Text 1</t>
  </si>
  <si>
    <t>Mensage 2 Text 2</t>
  </si>
  <si>
    <t>Botton5</t>
  </si>
  <si>
    <t>Botton11</t>
  </si>
  <si>
    <t>CARACT(10)-&gt;</t>
  </si>
  <si>
    <t>Selecionada:</t>
  </si>
  <si>
    <t>English</t>
  </si>
  <si>
    <t>Espanhol</t>
  </si>
  <si>
    <t>Sri Abhirama Thakura -- Disappearance</t>
  </si>
  <si>
    <t>Sri Abhirama Thakura - Disappearance</t>
  </si>
  <si>
    <t>Sri Abhirama Thakura - Desaparecimento</t>
  </si>
  <si>
    <t>Srila Vrndavana Dasa Thakura -- Disappearance</t>
  </si>
  <si>
    <t>Srila Vrndavana Dasa Thakura - Disappearance</t>
  </si>
  <si>
    <t>Srila Vrndavana Dasa Thakura - Desaparecimento</t>
  </si>
  <si>
    <t>Sri Gadadhara Pandita -- Appearance</t>
  </si>
  <si>
    <t>Sri Gadadhara Pandita - Appearance</t>
  </si>
  <si>
    <t>Sri Gadadhara Pandita - Aparecimento</t>
  </si>
  <si>
    <t>Aksaya Trtiya. Candana Yatra starts. (Continues for 21 days)</t>
  </si>
  <si>
    <t>Aksaya Trtiya. Candana Yatra começa. (Continua por 21 dias)</t>
  </si>
  <si>
    <t>Srimati Sita Devi (consort of Lord Sri Rama) -- Appearance</t>
  </si>
  <si>
    <t>Srimati Sita Devi (consort of Lord Sri Rama) - Appearance</t>
  </si>
  <si>
    <t>Srimati Sita Devi (consorte do Senhor Sri Rama) - Aparecimento</t>
  </si>
  <si>
    <t>Sri Madhu Pandita -- Disappearance</t>
  </si>
  <si>
    <t>Sri Madhu Pandita - Disappearance</t>
  </si>
  <si>
    <t>Sri Madhu Pandita - Desaparecimento</t>
  </si>
  <si>
    <t>Srimati Jahnava Devi -- Appearance</t>
  </si>
  <si>
    <t>Srimati Jahnava Devi - Appearance</t>
  </si>
  <si>
    <t>Srimati Jahnava Devi - Aparecimento</t>
  </si>
  <si>
    <t>Sri Jayananda Prabhu -- Disappearance</t>
  </si>
  <si>
    <t>Sri Jayananda Prabhu - Disappearance</t>
  </si>
  <si>
    <t>Sri Jayananda Prabhu - Desaparecimento</t>
  </si>
  <si>
    <t>Nrsimha Caturdasi: Appearance of Lord Nrsimhadeva</t>
  </si>
  <si>
    <t>Nrsimha Caturdasi: Aparecimento do Senhor Nrsimhadeva</t>
  </si>
  <si>
    <t>Sri Paramesvari Dasa Thakura -- Disappearance</t>
  </si>
  <si>
    <t>Sri Paramesvari Dasa Thakura - Disappearance</t>
  </si>
  <si>
    <t>Sri Paramesvari Dasa Thakura -  Desaparecimento</t>
  </si>
  <si>
    <t>Sri Paramesvari Dasa Thakura - Desaparecimento</t>
  </si>
  <si>
    <t>Sri Sri Radha-Ramana Devaji -- Appearance</t>
  </si>
  <si>
    <t>Sri Sri Radha-Ramana Devaji - Appearance</t>
  </si>
  <si>
    <t>Sri Sri Radha-Ramana Devaji - Aparecimento</t>
  </si>
  <si>
    <t>Sri Madhavendra Puri -- Appearance</t>
  </si>
  <si>
    <t>Sri Madhavendra Puri - App.</t>
  </si>
  <si>
    <t>Sri Madhavendra Puri - Ap.</t>
  </si>
  <si>
    <t>Sri Srinivasa Acarya -- Appearance</t>
  </si>
  <si>
    <t>Sri Srinivasa Acarya - App.</t>
  </si>
  <si>
    <t>Sri Srinivasa Acarya - Ap.</t>
  </si>
  <si>
    <t>Sri Ramananda Raya -- Disappearance</t>
  </si>
  <si>
    <t>Sri Ramananda Raya - Disappearance</t>
  </si>
  <si>
    <t>Sri Ramananda Raya - Desaparecimento</t>
  </si>
  <si>
    <t>Srila Vrndavana Dasa Thakura -- Appearance</t>
  </si>
  <si>
    <t>Srila Vrndavana Dasa Thakura - Appearance</t>
  </si>
  <si>
    <t>Srila Vrndavana Dasa Thakura - Aparecimento</t>
  </si>
  <si>
    <t>Sri Baladeva Vidyabhusana -- Disappearance</t>
  </si>
  <si>
    <t>Sri Baladeva Vidyabhusana - Disappearance</t>
  </si>
  <si>
    <t>Sri Baladeva Vidyabhusana - Desaparecimento</t>
  </si>
  <si>
    <t>Srimati Gangamata Gosvamini -- Appearance</t>
  </si>
  <si>
    <t>Srimati Gangamata Gosvamini - Appearance</t>
  </si>
  <si>
    <t>Srimati Gangamata Gosvamini - Aparecimento</t>
  </si>
  <si>
    <t>Sri Mukunda Datta -- Disappearance</t>
  </si>
  <si>
    <t>Sri Mukunda Datta - Disappearance</t>
  </si>
  <si>
    <t>Sri Mukunda Datta - Desaparecimento</t>
  </si>
  <si>
    <t>Sri Sridhara Pandita -- Disappearance</t>
  </si>
  <si>
    <t>Sri Sridhara Pandita - Disappearance</t>
  </si>
  <si>
    <t>Sri Sridhara Pandita - Desaparecimento</t>
  </si>
  <si>
    <t>Sri Syamananda Prabhu -- Disappearance</t>
  </si>
  <si>
    <t>Sri Syamananda Prabhu - Disappearance</t>
  </si>
  <si>
    <t>Sri Syamananda Prabhu - Desaparecimento</t>
  </si>
  <si>
    <t>Sri Vakresvara Pandita -- Appearance</t>
  </si>
  <si>
    <t>Sri Vakresvara Pandita - Appearance</t>
  </si>
  <si>
    <t>Sri Vakresvara Pandita - Aparecimento</t>
  </si>
  <si>
    <t>Sri Srivasa Pandita -- Disappearance</t>
  </si>
  <si>
    <t>Sri Srivasa Pandita - Disappearance</t>
  </si>
  <si>
    <t>Sri Srivasa Pandita - Desaparecimento</t>
  </si>
  <si>
    <t>Sri Gadadhara Pandita -- Disappearance</t>
  </si>
  <si>
    <t>Sri Gadadhara Pandita - Disappearance</t>
  </si>
  <si>
    <t>Sri Gadadhara Pandita - Desaparecimento</t>
  </si>
  <si>
    <t>Srila Bhaktivinoda Thakura -- Disappearance</t>
  </si>
  <si>
    <t>Srila Bhaktivinoda Thakura - Disappearance</t>
  </si>
  <si>
    <t>Srila Bhaktivinoda Thakura - Desaparecimento</t>
  </si>
  <si>
    <t>Sri Svarupa Damodara Gosvami -- Disappearance</t>
  </si>
  <si>
    <t>Sri Svarupa Damodara Gosvami - Disappearance</t>
  </si>
  <si>
    <t>Sri Svarupa Damodara Gosvami - Desaparecimento</t>
  </si>
  <si>
    <t>Sri Sivananda Sena -- Disappearance</t>
  </si>
  <si>
    <t>Sri Sivananda Sena - Disappearance</t>
  </si>
  <si>
    <t>Sri Sivananda Sena - Desaparecimento</t>
  </si>
  <si>
    <t>Sri Vakresvara Pandita -- Disappearance</t>
  </si>
  <si>
    <t>Sri Vakresvara Pandita - Disappearance</t>
  </si>
  <si>
    <t>Sri Vakresvara Pandita - Desaparecimento</t>
  </si>
  <si>
    <t>Srila Sanatana Gosvami -- Disappearance</t>
  </si>
  <si>
    <t>Srila Sanatana Gosvami - Disappearance</t>
  </si>
  <si>
    <t>Srila Sanatana Gosvami - Desaparecimento</t>
  </si>
  <si>
    <t>Srila Gopala Bhatta Gosvami -- Disappearance</t>
  </si>
  <si>
    <t>Srila Gopala Bhatta Gosvami - Disappearance</t>
  </si>
  <si>
    <t>Srila Gopala Bhatta Gosvami - Desaparecimento</t>
  </si>
  <si>
    <t>Srila Lokanatha Gosvami -- Disappearance</t>
  </si>
  <si>
    <t>Srila Lokanatha Gosvami - Disappearance</t>
  </si>
  <si>
    <t>Srila Lokanatha Gosvami - Desaparecimento</t>
  </si>
  <si>
    <t>The incorporation of ISKCON in New York</t>
  </si>
  <si>
    <t>Fundação da ISKCON em Nova Iorque</t>
  </si>
  <si>
    <t>Sri Raghunandana Thakura -- Disappearance</t>
  </si>
  <si>
    <t>Sri Raghunandana Thakura - Disappearance</t>
  </si>
  <si>
    <t>Sri Raghunandana Thakura - Desaparecimento</t>
  </si>
  <si>
    <t>Sri Vamsidasa Babaji -- Disappearance</t>
  </si>
  <si>
    <t>Sri Vamsidasa Babaji - Disappearance</t>
  </si>
  <si>
    <t>Sri Vamsidasa Babaji - Desaparecimento</t>
  </si>
  <si>
    <t>Radha Govinda Jhulana Yatra begins</t>
  </si>
  <si>
    <t>Radha Govinda Jhulana Yatra começa</t>
  </si>
  <si>
    <t>Srila Rupa Gosvami -- Disappearance</t>
  </si>
  <si>
    <t>Srila Rupa Gosvami - Disappearance</t>
  </si>
  <si>
    <t>Srila Rupa Gosvami - Desaparecimento</t>
  </si>
  <si>
    <t>Sri Gauridasa Pandita -- Disappearance</t>
  </si>
  <si>
    <t>Sri Gauridasa Pandita - Disappearance</t>
  </si>
  <si>
    <t>Sri Gauridasa Pandita - Desaparecimento</t>
  </si>
  <si>
    <t>Jhulana Yatra ends</t>
  </si>
  <si>
    <t>Jhulana Yatra termina</t>
  </si>
  <si>
    <t>Lord Balarama -- Appearance</t>
  </si>
  <si>
    <t>Lord Balarama - Appearance</t>
  </si>
  <si>
    <t>Senhor Balarama - Aparecimento</t>
  </si>
  <si>
    <t>Srila Prabhupada's departure for the USA</t>
  </si>
  <si>
    <t>Partida de Srila Prabhupada para os Estados Unidos</t>
  </si>
  <si>
    <t>Srimati Sita Thakurani (Sri Advaita's consort) -- Appearance</t>
  </si>
  <si>
    <t>Srimati Sita Thakurani (Sri Advaita's consort) - Appearance</t>
  </si>
  <si>
    <t>Srimati Sita Thakurani (Consorte de Sri Advaita) - Aparecimento</t>
  </si>
  <si>
    <t>Radhastami: Appearance of Srimati Radharani</t>
  </si>
  <si>
    <t>Radhastami: Aparecimento de Srimati Radharani</t>
  </si>
  <si>
    <t>Sri Vamana Dvadasi: Appearance of Lord Vamanadeva</t>
  </si>
  <si>
    <t>Sri Vamana Dvadasi: Aparecimento do Senhor Vamanadeva</t>
  </si>
  <si>
    <t>Srila Jiva Gosvami -- Appearance</t>
  </si>
  <si>
    <t>Srila Jiva Gosvami - Appearance</t>
  </si>
  <si>
    <t>Srila Jiva Gosvami - Aparecimento</t>
  </si>
  <si>
    <t>Srila Bhaktivinoda Thakura -- Appearance</t>
  </si>
  <si>
    <t>Srila Bhaktivinoda Thakura - Appearance</t>
  </si>
  <si>
    <t>Srila Bhaktivinoda Thakura - Aparecimento</t>
  </si>
  <si>
    <t>Srila Haridasa Thakura -- Disappearance</t>
  </si>
  <si>
    <t>Srila Haridasa Thakura - Disappearance</t>
  </si>
  <si>
    <t>Srila Haridasa Thakura - Desaparecimento</t>
  </si>
  <si>
    <t>Acceptance of sannyasa by Srila Prabhupada</t>
  </si>
  <si>
    <t>Aceitação de sannyasa por Srila Prabhupada</t>
  </si>
  <si>
    <t>Srila Prabhupada's arrival in the USA</t>
  </si>
  <si>
    <t>Chegada de Srila Prabhupada aos Estados Unidos</t>
  </si>
  <si>
    <t>Sri Madhvacarya -- Appearance</t>
  </si>
  <si>
    <t>Sri Madhvacarya - Appearance</t>
  </si>
  <si>
    <t>Sri Madhvacarya - Aparecimento</t>
  </si>
  <si>
    <t>Srila Raghunatha Dasa Gosvami -- Disappearance</t>
  </si>
  <si>
    <t>Srila Raghunatha Dasa Gosvami - Disappearance</t>
  </si>
  <si>
    <t>Srila Raghunatha Dasa Gosvami - Desaparecimento</t>
  </si>
  <si>
    <t>Srila Raghunatha Bhatta Gosvami -- Disappearance</t>
  </si>
  <si>
    <t>Srila Raghunatha Bhatta Gosvami - Disappearance</t>
  </si>
  <si>
    <t>Srila Raghunatha Bhatta Gosvami - Desaparecimento</t>
  </si>
  <si>
    <t>Srila Krsnadasa Kaviraja Gosvami -- Disappearance</t>
  </si>
  <si>
    <t>Srila Krsnadasa Kaviraja Gosvami - Disappearance</t>
  </si>
  <si>
    <t>Srila Krsnadasa Kaviraja Gosvami - Desaparecimento</t>
  </si>
  <si>
    <t>Sri Murari Gupta -- Disappearance</t>
  </si>
  <si>
    <t>Sri Murari Gupta - Disappearance</t>
  </si>
  <si>
    <t>Sri Murari Gupta - Desaparecimento</t>
  </si>
  <si>
    <t>Srila Narottama Dasa Thakura -- Disappearance</t>
  </si>
  <si>
    <t>Srila Narottama Dasa Thakura - Disappearance</t>
  </si>
  <si>
    <t>Srila Narottama Dasa Thakura - Desaparecimento</t>
  </si>
  <si>
    <t>Appearance of Radha Kunda, snana dana</t>
  </si>
  <si>
    <t>Aparecimento do Radha Kunda, snana dana</t>
  </si>
  <si>
    <t>Sri Virabhadra -- Appearance</t>
  </si>
  <si>
    <t>Sri Virabhadra - Appearance</t>
  </si>
  <si>
    <t>Sri Virabhadra - Aparecimento</t>
  </si>
  <si>
    <t>Sri Rasikananda -- Appearance</t>
  </si>
  <si>
    <t>Sri Rasikananda - Appearance</t>
  </si>
  <si>
    <t>Sri Rasikananda - Aparecimento</t>
  </si>
  <si>
    <t>Sri Vasudeva Ghosh -- Disappearance</t>
  </si>
  <si>
    <t>Sri Vasudeva Ghosh - Disappearance</t>
  </si>
  <si>
    <t>Sri Vasudeva Ghosh - Desaparecimento</t>
  </si>
  <si>
    <t>Srila Prabhupada -- Disappearance</t>
  </si>
  <si>
    <t>Srila Prabhupada - Disappearance</t>
  </si>
  <si>
    <t>Srila Prabhupada - Desaparecimento</t>
  </si>
  <si>
    <t>Sri Gadadhara Dasa Gosvami -- Disappearance</t>
  </si>
  <si>
    <t>Sri Gadadhara Dasa Gosvami - Disappearance</t>
  </si>
  <si>
    <t>Sri Gadadhara Dasa Gosvami - Desaparecimento</t>
  </si>
  <si>
    <t>Sri Dhananjaya Pandita -- Disappearance</t>
  </si>
  <si>
    <t>Sri Dhananjaya Pandita - Disappearance</t>
  </si>
  <si>
    <t>Sri Dhananjaya Pandita - Desaparecimento</t>
  </si>
  <si>
    <t>Sri Srinivasa Acarya -- Disappearance</t>
  </si>
  <si>
    <t>Sri Srinivasa Acarya - Disappearance</t>
  </si>
  <si>
    <t>Sri Srinivasa Acarya - Desaparecimento</t>
  </si>
  <si>
    <t>Srila Gaura Kisora Dasa Babaji -- Disappearance</t>
  </si>
  <si>
    <t>Srila Gaura Kisora Dasa Babaji - Disappearance</t>
  </si>
  <si>
    <t>Srila Gaura Kisora Dasa Babaji - Desaparecimento</t>
  </si>
  <si>
    <t>Sri Bhugarbha Gosvami -- Disappearance</t>
  </si>
  <si>
    <t>Sri Bhugarbha Gosvami - Disappearance</t>
  </si>
  <si>
    <t>Sri Bhugarbha Gosvami - Desaparecimento</t>
  </si>
  <si>
    <t>Sri Kasisvara Pandita -- Disappearance</t>
  </si>
  <si>
    <t>Sri Kasisvara Pandita - Disappearance</t>
  </si>
  <si>
    <t>Sri Kasisvara Pandita - Desaparecimento</t>
  </si>
  <si>
    <t>Tulasi-Saligrama Vivaha (marriage)</t>
  </si>
  <si>
    <t>Tulasi-Saligrama Vivaha (casamento)</t>
  </si>
  <si>
    <t>Sri Nimbarkacarya -- Appearance</t>
  </si>
  <si>
    <t>Sri Nimbarkacarya - Appearance</t>
  </si>
  <si>
    <t>Sri Nimbarkacarya - Aparecimento</t>
  </si>
  <si>
    <t>Katyayani vrata begins</t>
  </si>
  <si>
    <t>Katyayani vrata começa</t>
  </si>
  <si>
    <t>Sri Narahari Sarakara Thakura -- Disappearance</t>
  </si>
  <si>
    <t>Sri Narahari Sarakara Thakura - Disappearance</t>
  </si>
  <si>
    <t>Sri Narahari Sarakara Thakura - Desaparecimento</t>
  </si>
  <si>
    <t>Sri Kaliya Krsnadasa -- Disappearance</t>
  </si>
  <si>
    <t>Sri Kaliya Krsnadasa - Disappearance</t>
  </si>
  <si>
    <t>Sri Kaliya Krsnadasa - Desaparecimento</t>
  </si>
  <si>
    <t>Sri Saranga Thakura -- Disappearance</t>
  </si>
  <si>
    <t>Sri Saranga Thakura - Disappearance</t>
  </si>
  <si>
    <t>Sri Saranga Thakura - Desaparecimento</t>
  </si>
  <si>
    <t>Advent of Srimad Bhagavad-gita</t>
  </si>
  <si>
    <t>Advento do Srimad Bhagavad-gita</t>
  </si>
  <si>
    <t>Katyayani vrata ends</t>
  </si>
  <si>
    <t>Katyayani vrata termina</t>
  </si>
  <si>
    <t>Srila Bhaktisiddhanta Sarasvati Thakura -- Disappearance</t>
  </si>
  <si>
    <t>Srila Bhaktisiddhanta Sarasvati Thakura - Disappearance</t>
  </si>
  <si>
    <t>Srila Bhaktisiddhanta Sarasvati Thakura - Desaparecimento</t>
  </si>
  <si>
    <t>Sri Devananda Pandita -- Disappearance</t>
  </si>
  <si>
    <t>Sri Devananda Pandita - Disappearance</t>
  </si>
  <si>
    <t>Sri Devananda Pandita - Desaparecimento</t>
  </si>
  <si>
    <t>Sri Mahesa Pandita -- Disappearance</t>
  </si>
  <si>
    <t>Sri Mahesa Pandita - Disappearance</t>
  </si>
  <si>
    <t>Sri Mahesa Pandita - Desaparecimento</t>
  </si>
  <si>
    <t>Sri Uddharana Datta Thakura -- Disappearance</t>
  </si>
  <si>
    <t>Sri Uddharana Datta Thakura - Disappearance</t>
  </si>
  <si>
    <t>Sri Uddharana Datta Thakura - Desaparecimento</t>
  </si>
  <si>
    <t>Sri Locana Dasa Thakura -- Appearance</t>
  </si>
  <si>
    <t>Sri Locana Dasa Thakura - Appearance</t>
  </si>
  <si>
    <t>Sri Locana Dasa Thakura - Aparecimento</t>
  </si>
  <si>
    <t>Srila Jiva Gosvami -- Disappearance</t>
  </si>
  <si>
    <t>Srila Jiva Gosvami - Disappearance</t>
  </si>
  <si>
    <t>Srila Jiva Gosvami - Desaparecimento</t>
  </si>
  <si>
    <t>Sri Jagadisa Pandita -- Disappearance</t>
  </si>
  <si>
    <t>Sri Jagadisa Pandita - Disappearance</t>
  </si>
  <si>
    <t>Sri Jagadisa Pandita - Desaparecimento</t>
  </si>
  <si>
    <t>Sri Jagadisa Pandita -- Appearance</t>
  </si>
  <si>
    <t>Sri Jagadisa Pandita - Appearance</t>
  </si>
  <si>
    <t>Sri Jagadisa Pandita - Aparecimento</t>
  </si>
  <si>
    <t>Sri Ramacandra Kaviraja -- Disappearance</t>
  </si>
  <si>
    <t>Sri Ramacandra Kaviraja - Disappearance</t>
  </si>
  <si>
    <t>Sri Ramacandra Kaviraja - Desaparecimento</t>
  </si>
  <si>
    <t>Srila Gopala Bhatta Gosvami -- Appearance</t>
  </si>
  <si>
    <t>Srila Gopala Bhatta Gosvami - Appearance</t>
  </si>
  <si>
    <t>Srila Gopala Bhatta Gosvami - Aparecimento</t>
  </si>
  <si>
    <t>Sri Jayadeva Gosvami -- Disappearance</t>
  </si>
  <si>
    <t>Sri Jayadeva Gosvami - Disappearance</t>
  </si>
  <si>
    <t>Sri Jayadeva Gosvami - Desaparecimento</t>
  </si>
  <si>
    <t>Sri Locana Dasa Thakura -- Disappearance</t>
  </si>
  <si>
    <t>Sri Locana Dasa Thakura - Disappearance</t>
  </si>
  <si>
    <t>Sri Locana Dasa Thakura - Desaparecimento</t>
  </si>
  <si>
    <t>Srimati Visnupriya Devi -- Appearance</t>
  </si>
  <si>
    <t>Srimati Visnupriya Devi - Appearance</t>
  </si>
  <si>
    <t>Srimati Visnupriya Devi - Aparecimento</t>
  </si>
  <si>
    <t>Srila Visvanatha Cakravarti Thakura -- Disappearance</t>
  </si>
  <si>
    <t>Srila Visvanatha Cakravarti Thakura - Disappearance</t>
  </si>
  <si>
    <t>Srila Visvanatha Cakravarti Thakura - Desaparecimento</t>
  </si>
  <si>
    <t>Sri Pundarika Vidyanidhi -- Appearance</t>
  </si>
  <si>
    <t>Sri Pundarika Vidyanidhi - Appearance</t>
  </si>
  <si>
    <t>Sri Pundarika Vidyanidhi - Aparecimento</t>
  </si>
  <si>
    <t>Sri Raghunandana Thakura -- Appearance</t>
  </si>
  <si>
    <t>Sri Raghunandana Thakura - Appearance</t>
  </si>
  <si>
    <t>Sri Raghunandana Thakura - Aparecimento</t>
  </si>
  <si>
    <t>Srila Raghunatha Dasa Gosvami -- Appearance</t>
  </si>
  <si>
    <t>Srila Raghunatha Dasa Gosvami - Appearance</t>
  </si>
  <si>
    <t>Srila Raghunatha Dasa Gosvami - Aparecimento</t>
  </si>
  <si>
    <t>Sri Advaita Acarya -- Appearance</t>
  </si>
  <si>
    <t>Sri Advaita Acarya - Appearance</t>
  </si>
  <si>
    <t>Sri Advaita Acarya - Aparecimento</t>
  </si>
  <si>
    <t>Sri Madhvacarya -- Disappearance</t>
  </si>
  <si>
    <t>Sri Madhvacarya - Disappearance</t>
  </si>
  <si>
    <t>Sri Madhvacarya - Desaparecimento</t>
  </si>
  <si>
    <t>Sri Ramanujacarya -- Disappearance</t>
  </si>
  <si>
    <t>Sri Ramanujacarya - Disappearance</t>
  </si>
  <si>
    <t>Sri Ramanujacarya - Desaparecimento</t>
  </si>
  <si>
    <t>Varaha Dvadasi: Appearance of Lord Varahadeva</t>
  </si>
  <si>
    <t>Varaha Dvadasi: Aparecimento do Senhor Varahadeva</t>
  </si>
  <si>
    <t>Nityananda Trayodasi: Appearance of Sri Nityananda Prabhu</t>
  </si>
  <si>
    <t>Nityananda Trayodasi: Aparecimento de Sri Nityananda Prabhu</t>
  </si>
  <si>
    <t>Srila Narottama Dasa Thakura -- Appearance</t>
  </si>
  <si>
    <t>Srila Narottama Dasa Thakura - Appearance</t>
  </si>
  <si>
    <t>Srila Narottama Dasa Thakura - Aparecimento</t>
  </si>
  <si>
    <t>Sri Purusottama Das Thakura -- Disappearance</t>
  </si>
  <si>
    <t>Sri Purusottama Das Thakura - Disappearance</t>
  </si>
  <si>
    <t>Sri Purusottama Das Thakura - Desaparecimento</t>
  </si>
  <si>
    <t>Srila Bhaktisiddhanta Sarasvati Thakura -- Appearance</t>
  </si>
  <si>
    <t>Srila Bhaktisiddhanta Sarasvati Thakura - Appearance</t>
  </si>
  <si>
    <t>Srila Bhaktisiddhanta Sarasvati Thakura - Aparecimento</t>
  </si>
  <si>
    <t>Sri Isvara Puri -- Disappearance</t>
  </si>
  <si>
    <t>Sri Isvara Puri - Disappearance</t>
  </si>
  <si>
    <t>Sri Isvara Puri - Desaparecimento</t>
  </si>
  <si>
    <t>Srila Jagannatha Dasa Babaji -- Disappearance</t>
  </si>
  <si>
    <t>Srila Jagannatha Dasa Babaji - Disappearance</t>
  </si>
  <si>
    <t>Srila Jagannatha Dasa Babaji - Desaparecimento</t>
  </si>
  <si>
    <t>Sri Rasikananda -- Disappearance</t>
  </si>
  <si>
    <t>Sri Rasikananda - Disappearance</t>
  </si>
  <si>
    <t>Sri Rasikananda - Desaparecimento</t>
  </si>
  <si>
    <t>Sri Purusottama Dasa Thakura -- Appearance</t>
  </si>
  <si>
    <t>Sri Purusottama Dasa Thakura - Appearance</t>
  </si>
  <si>
    <t>Sri Purusottama Dasa Thakura - Aparecimento</t>
  </si>
  <si>
    <t>Sri Madhavendra Puri -- Disappearance</t>
  </si>
  <si>
    <t>Sri Madhavendra Puri - Disappearance</t>
  </si>
  <si>
    <t>Sri Madhavendra Puri - Desaparecimento</t>
  </si>
  <si>
    <t>Sri Srivasa Pandita -- Appearance</t>
  </si>
  <si>
    <t>Sri Srivasa Pandita - Appearance</t>
  </si>
  <si>
    <t>Sri Srivasa Pandita - Aparecimento</t>
  </si>
  <si>
    <t>Sri Govinda Ghosh -- Disappearance</t>
  </si>
  <si>
    <t>Sri Govinda Ghosh - Disappearance</t>
  </si>
  <si>
    <t>Sri Govinda Ghosh - Desaparecimento</t>
  </si>
  <si>
    <t>Sri Ramanujacarya -- Appearance</t>
  </si>
  <si>
    <t>Sri Ramanujacarya - Appearance</t>
  </si>
  <si>
    <t>Sri Ramanujacarya - Aparecimento</t>
  </si>
  <si>
    <t>Sri Vamsivadana Thakura -- Appearance</t>
  </si>
  <si>
    <t>Sri Vamsivadana Thakura - Appearance</t>
  </si>
  <si>
    <t>Sri Vamsivadana Thakura - Aparecimento</t>
  </si>
  <si>
    <t>Sri Syamananda Prabhu -- Appearance</t>
  </si>
  <si>
    <t>Sri Syamananda Prabhu - Appearance</t>
  </si>
  <si>
    <t>Sri Syamananda Prabhu - Aparecimento</t>
  </si>
  <si>
    <t>Sri Krsna Janmastami: Aparecimento do Senhor Sri Krsna</t>
  </si>
  <si>
    <t>Gaura Purnima: Aparecimento de Sri Caitanya Mahaprabhu</t>
  </si>
  <si>
    <t>Retorno do Ratha (8 dias após o Ratha Yatra)</t>
  </si>
  <si>
    <t>Hera Pancami (4 dias após o Ratha Yatra)</t>
  </si>
  <si>
    <t>Rama Navami: Aparecimento do Senhor Sri Ramacandra</t>
  </si>
  <si>
    <t>Srila Prabhupada - Appearance</t>
  </si>
  <si>
    <t>Srila Prabhupada - Aparecimento</t>
  </si>
  <si>
    <t>Festival de Jagannatha Misra</t>
  </si>
  <si>
    <t>Tulasi Jala Dan começa.</t>
  </si>
  <si>
    <t>Tulasi Jala Dan termina.</t>
  </si>
  <si>
    <t>Primeiro dia de Bhisma Pancaka</t>
  </si>
  <si>
    <t>Último dia de Bhisma Pancaka</t>
  </si>
  <si>
    <t>(Fasting is done yesterday, today is feast)</t>
  </si>
  <si>
    <t>(O jejum foi feito ontem, hoje é a festa)</t>
  </si>
  <si>
    <t>Arunodaya at</t>
  </si>
  <si>
    <t>Arunodaya às</t>
  </si>
  <si>
    <t>(Daylight Saving Time not considered)</t>
  </si>
  <si>
    <t>(Horário de verão não-considerado)</t>
  </si>
  <si>
    <t>[EKADASI SYSTEM]</t>
  </si>
  <si>
    <t>[PURNIMA SYSTEM]</t>
  </si>
  <si>
    <t>[SISTEMA PURNIMA]</t>
  </si>
  <si>
    <t>[PRATIPAT SYSTEM]</t>
  </si>
  <si>
    <t>[SISTEMA PRATIPAT]</t>
  </si>
  <si>
    <t>1first</t>
  </si>
  <si>
    <t>First month of Caturmasya begins</t>
  </si>
  <si>
    <t>Primeiro mês de Caturmasya começa</t>
  </si>
  <si>
    <t>Last day of the first Caturmasya month</t>
  </si>
  <si>
    <t>Último dia do primeiro mês de Caturmasya</t>
  </si>
  <si>
    <t>(green leafy vegetable fast for one month)</t>
  </si>
  <si>
    <t>(jejum de vegetais de folhas verdes durante um mês)</t>
  </si>
  <si>
    <t>First month of Caturmasya continues</t>
  </si>
  <si>
    <t>Primeiro mês de Caturmasya continua</t>
  </si>
  <si>
    <t>2first</t>
  </si>
  <si>
    <t>Second month of Caturmasya begins</t>
  </si>
  <si>
    <t>Segundo mês de Caturmasya começa</t>
  </si>
  <si>
    <t>Last day of the second Caturmasya month</t>
  </si>
  <si>
    <t>Último dia do segundo mês de Caturmasya</t>
  </si>
  <si>
    <t>(yogurt fast for one month)</t>
  </si>
  <si>
    <t>(jejum de iogurte por um mês)</t>
  </si>
  <si>
    <t>Second month of Caturmasya continues</t>
  </si>
  <si>
    <t>Segundo mês de Caturmasya continua</t>
  </si>
  <si>
    <t>3first</t>
  </si>
  <si>
    <t>Third month of Caturmasya begins</t>
  </si>
  <si>
    <t>Terceiro mês de Caturmasya começa</t>
  </si>
  <si>
    <t>Last day of the third Caturmasya month</t>
  </si>
  <si>
    <t>Último dia do terceiro mês de Caturmasya</t>
  </si>
  <si>
    <t>(milk fast for one month)</t>
  </si>
  <si>
    <t>(jejum de leite por um mês)</t>
  </si>
  <si>
    <t>Third month of Caturmasya continues</t>
  </si>
  <si>
    <t>Terceiro mês de Caturmasya continua</t>
  </si>
  <si>
    <t>4first</t>
  </si>
  <si>
    <t>Fourth month of Caturmasya begins</t>
  </si>
  <si>
    <t>Quarto mês de Caturmasya começa</t>
  </si>
  <si>
    <t>Last day of the fourth Caturmasya month</t>
  </si>
  <si>
    <t>Último dia do quarto mês de Caturmasya</t>
  </si>
  <si>
    <t>(urad dal fast for one month)</t>
  </si>
  <si>
    <t>(jejum de urad dal por um mês)</t>
  </si>
  <si>
    <t>Fourth month of Caturmasya continues</t>
  </si>
  <si>
    <t>Quarto mês de Caturmasya continua</t>
  </si>
  <si>
    <t>noCaturmasya</t>
  </si>
  <si>
    <t>(Caturmasya is not observed during Purusottama Adhika Masa.)</t>
  </si>
  <si>
    <t>(Caturmasya não é observado durante o Purusottama Adhika Masa).</t>
  </si>
  <si>
    <t>(Fast till noon)</t>
  </si>
  <si>
    <t>(Jejum até o meio-dia)</t>
  </si>
  <si>
    <t>(Fast till sunset)</t>
  </si>
  <si>
    <t>(Jejum até o pôr do sol)</t>
  </si>
  <si>
    <t>(Fast till moonrise)</t>
  </si>
  <si>
    <t>(Jejum até o nascer da lua)</t>
  </si>
  <si>
    <t>(Fast till dusk)</t>
  </si>
  <si>
    <t>(jejum até o anoitecer)</t>
  </si>
  <si>
    <t>(Fast till midnight)</t>
  </si>
  <si>
    <t>(jejum até a meia-noite)</t>
  </si>
  <si>
    <t>(Jejum hoje)</t>
  </si>
  <si>
    <t>(Fasting is done yesterday)</t>
  </si>
  <si>
    <t>(O jejum foi feito ontem)</t>
  </si>
  <si>
    <t>(O jejum foi feito ontem, hoje é festa)</t>
  </si>
  <si>
    <t>(Fasting till noon, with feast tomorrow)</t>
  </si>
  <si>
    <t>(Jejum até o meio-dia, com festa amanhã)</t>
  </si>
  <si>
    <t>Jejum por Mohini Ekadasi</t>
  </si>
  <si>
    <t>Jejum por Apara Ekadasi</t>
  </si>
  <si>
    <t>Jejum por Pandava Nirjala Ekadasi</t>
  </si>
  <si>
    <t>Jejum por Yogini Ekadasi</t>
  </si>
  <si>
    <t>Jejum por Sayana Ekadasi</t>
  </si>
  <si>
    <t>Jejum por Kamika Ekadasi</t>
  </si>
  <si>
    <t>Fasting for Pavitropana Ekadasi</t>
  </si>
  <si>
    <t>Jejum por Pavitropana Ekadasi</t>
  </si>
  <si>
    <t>Jejum por Annada Ekadasi</t>
  </si>
  <si>
    <t>Jejum por Parsva Ekadasi</t>
  </si>
  <si>
    <t>Jejum por Indira Ekadasi</t>
  </si>
  <si>
    <t>Jejum por Pasankusa Ekadasi</t>
  </si>
  <si>
    <t>Jejum por Rama Ekadasi</t>
  </si>
  <si>
    <t>Jejum por Utthana Ekadasi</t>
  </si>
  <si>
    <t>Jejum por Utpanna Ekadasi</t>
  </si>
  <si>
    <t>Jejum por Moksada Ekadasi</t>
  </si>
  <si>
    <t>Jejum por Saphala Ekadasi</t>
  </si>
  <si>
    <t>Jejum por Putrada Ekadasi</t>
  </si>
  <si>
    <t>Jejum por Sat-tila Ekadasi</t>
  </si>
  <si>
    <t>Jejum por Bhaimi Ekadasi</t>
  </si>
  <si>
    <t>Jejum por Vijaya Ekadasi</t>
  </si>
  <si>
    <t>Jejum por Amalaki vrata Ekadasi</t>
  </si>
  <si>
    <t>Jejum por Papamocani Ekadasi</t>
  </si>
  <si>
    <t>Jejum por Kamada Ekadasi</t>
  </si>
  <si>
    <t>Jejum por Parama Ekadasi</t>
  </si>
  <si>
    <t>Jejum por Padmini Ekadasi</t>
  </si>
  <si>
    <t>(DST not considered)</t>
  </si>
  <si>
    <t>(horário de verão não considerado)</t>
  </si>
  <si>
    <t>(Jejum total, até mesmo de água, se tiver quebrado Ekadasi)</t>
  </si>
  <si>
    <t>break_fast_after</t>
  </si>
  <si>
    <t>Break fast after #hh:mm# (hora local)</t>
  </si>
  <si>
    <t>Romper el ayuno  #hh:mm# (hora local)</t>
  </si>
  <si>
    <t>Quebra de jejum após  #hh:mm# (hora local)</t>
  </si>
  <si>
    <t>break_fast_at</t>
  </si>
  <si>
    <t>Break fast #start_hour# - #end_hour# (hora local)</t>
  </si>
  <si>
    <t>Romper el ayuno #start_hour# - #end_hour# (hora local)</t>
  </si>
  <si>
    <t>Quebra de jejum #start_hour# - #end_hour# (hora local)</t>
  </si>
  <si>
    <t>Mesa Sankranti (Sun enters Aries on #dd mm#, #hh:mm# hora local)</t>
  </si>
  <si>
    <t>Mesa Sankranti (Sol entra em Áries #dd mm#, às #hh:mm# hora local)</t>
  </si>
  <si>
    <t>Vrsabha Sankranti (Sun enters Taurus #dd mm#, on #hh:mm# hora local)</t>
  </si>
  <si>
    <t>Vrsabha Sankranti (Sol entra em Touro #dd mm#, às #hh:mm# hora local)</t>
  </si>
  <si>
    <t>Mithuna Sankranti (Sun enters Gemini on #dd mm#, #hh:mm# hora local)</t>
  </si>
  <si>
    <t>Mithuna Sankranti (Sol entra em Gêmeos #dd mm#, às #hh:mm# hora local)</t>
  </si>
  <si>
    <t>Karka Sankranti (Sun enters Cancer on #dd mm#, #hh:mm# hora local)</t>
  </si>
  <si>
    <t>Karka Sankranti (Sol entra em Câncer #dd mm#, às #hh:mm# hora local)</t>
  </si>
  <si>
    <t>Simha Sankranti (Sun enters Leo on #dd mm#, #hh:mm# hora local)</t>
  </si>
  <si>
    <t>Simha Sankranti (Sol entra em Leão #dd mm#, às #hh:mm# hora local)</t>
  </si>
  <si>
    <t>Kanya Sankranti (Sun enters Virgo on #dd mm#, #hh:mm# hora local)</t>
  </si>
  <si>
    <t>Kanya Sankranti (Sol entra em Virgem #dd mm#, às #hh:mm# hora local)</t>
  </si>
  <si>
    <t>Tula Sankranti (Sun enters Libra on #dd mm#, #hh:mm# hora local)</t>
  </si>
  <si>
    <t>Tula Sankranti (Sol entra em Libra #dd mm#, às #hh:mm# hora local)</t>
  </si>
  <si>
    <t>Vrscika Sankranti (Sun enters Scorpio on #dd mm#, #hh:mm# hora local)</t>
  </si>
  <si>
    <t>Vrscika Sankranti (Sol entra em Escorpião #dd mm#, às #hh:mm# hora local)</t>
  </si>
  <si>
    <t>Dhanus Sankranti (Sun enters Sagittarius on #dd mm#, #hh:mm# hora local)</t>
  </si>
  <si>
    <t>Dhanus Sankranti (Sol entra em Sagitário #dd mm#, às #hh:mm# hora local)</t>
  </si>
  <si>
    <t>Makara Sankranti (Sun enters Capricorn on #dd mm#, #hh:mm# hora local)</t>
  </si>
  <si>
    <t>Makara Sankranti (Sol entra em Capricórnio #dd mm#, às #hh:mm# hora local)</t>
  </si>
  <si>
    <t>Kumbha Sankranti (Sun enters Aquarius on #dd mm#, #hh:mm# hora local)</t>
  </si>
  <si>
    <t>Kumbha Sankranti (Sol entra em Aquário #dd mm#, às #hh:mm# hora local)</t>
  </si>
  <si>
    <t>Mina Sankranti (Sun enters Pisces on #dd mm#, #hh:mm# hora local)</t>
  </si>
  <si>
    <t>Mina Sankranti (Sol entra em Peixes #dd mm#, às #hh:mm# hora local)</t>
  </si>
  <si>
    <t>(Fast till noon for Varahadeva, with feast tomorrow)</t>
  </si>
  <si>
    <t>(jejum até o meio dia por Varahadeva, com festa amanhã)</t>
  </si>
  <si>
    <t>(Fast today for Vamanadeva)</t>
  </si>
  <si>
    <t>(Jejum hoje por Vamanadeva)</t>
  </si>
  <si>
    <t>(Fast today for Varahadeva)</t>
  </si>
  <si>
    <t>(Jejum hoje por Varahadeva)</t>
  </si>
  <si>
    <t>dayweekid1</t>
  </si>
  <si>
    <t>Monday</t>
  </si>
  <si>
    <t>Lunes</t>
  </si>
  <si>
    <t>Segunda</t>
  </si>
  <si>
    <t>dayweekid2</t>
  </si>
  <si>
    <t>Tuesday</t>
  </si>
  <si>
    <t>Martes</t>
  </si>
  <si>
    <t>Terça</t>
  </si>
  <si>
    <t>dayweekid3</t>
  </si>
  <si>
    <t>Wednesday</t>
  </si>
  <si>
    <t>Miercoles</t>
  </si>
  <si>
    <t>Quarta</t>
  </si>
  <si>
    <t>dayweekid4</t>
  </si>
  <si>
    <t>Tursday</t>
  </si>
  <si>
    <t>Jueves</t>
  </si>
  <si>
    <t>Quinta</t>
  </si>
  <si>
    <t>dayweekid5</t>
  </si>
  <si>
    <t>Friday</t>
  </si>
  <si>
    <t>Viernes</t>
  </si>
  <si>
    <t>Sexta</t>
  </si>
  <si>
    <t>dayweekid6</t>
  </si>
  <si>
    <t>Saturday</t>
  </si>
  <si>
    <t>Sabado</t>
  </si>
  <si>
    <t>Sábado</t>
  </si>
  <si>
    <t>dayweekid7</t>
  </si>
  <si>
    <t>Sunday</t>
  </si>
  <si>
    <t>Domingo</t>
  </si>
  <si>
    <t>si</t>
  </si>
  <si>
    <t>sim</t>
  </si>
  <si>
    <t>não</t>
  </si>
  <si>
    <t>(suitable for fasting)</t>
  </si>
  <si>
    <t>(adequado para jejum)</t>
  </si>
  <si>
    <t>NM</t>
  </si>
  <si>
    <t>New M.</t>
  </si>
  <si>
    <t>Nueva</t>
  </si>
  <si>
    <t>Nova</t>
  </si>
  <si>
    <t>FQ</t>
  </si>
  <si>
    <t>First Q.</t>
  </si>
  <si>
    <t>Crec</t>
  </si>
  <si>
    <t>Cresc</t>
  </si>
  <si>
    <t>FM</t>
  </si>
  <si>
    <t>Full M.</t>
  </si>
  <si>
    <t>Plena</t>
  </si>
  <si>
    <t>Cheia</t>
  </si>
  <si>
    <t>LQ</t>
  </si>
  <si>
    <t>Last Q.</t>
  </si>
  <si>
    <t>Meng</t>
  </si>
  <si>
    <t>Ming</t>
  </si>
  <si>
    <t>: :</t>
  </si>
  <si>
    <t>ISKCON incorporation in NY</t>
  </si>
  <si>
    <t>ISKCON - incorporation in NY</t>
  </si>
  <si>
    <t>ISKCON - fundação em NY</t>
  </si>
  <si>
    <t>Prabhupada go to USA</t>
  </si>
  <si>
    <t>Prabhupada - go to USA</t>
  </si>
  <si>
    <t>Prabhupada - vai para EUA</t>
  </si>
  <si>
    <t>Prabhupada sannyasa</t>
  </si>
  <si>
    <t>Prabhupada - accepts sannyasa</t>
  </si>
  <si>
    <t>Prabhupada - aceita sannyasa</t>
  </si>
  <si>
    <t>Prabhupada arrival in USA</t>
  </si>
  <si>
    <t>Prabhupada - arrives in USA</t>
  </si>
  <si>
    <t>Prabhupada - chega aos EUA</t>
  </si>
  <si>
    <t>Radha Kunda appearance</t>
  </si>
  <si>
    <t>Radha Kunda - Appearance</t>
  </si>
  <si>
    <t>Radha Kunda - Aparecimento</t>
  </si>
  <si>
    <t>Bhagavad-gita advent</t>
  </si>
  <si>
    <t>Bhagavad-gita - Advent</t>
  </si>
  <si>
    <t>Bhagavad-gita - Advento</t>
  </si>
  <si>
    <t>Referência</t>
  </si>
  <si>
    <t>Codigo</t>
  </si>
  <si>
    <t>Selecinado</t>
  </si>
  <si>
    <t>cover_section</t>
  </si>
  <si>
    <t>Cover</t>
  </si>
  <si>
    <t>Cubierta</t>
  </si>
  <si>
    <t>cover_plan</t>
  </si>
  <si>
    <t>cover_encoding</t>
  </si>
  <si>
    <t>cover_title</t>
  </si>
  <si>
    <t>VAISHNAVA PLANNER GPLAN</t>
  </si>
  <si>
    <t>AGENDA VAISHNAVA GPLAN</t>
  </si>
  <si>
    <t>cover_text</t>
  </si>
  <si>
    <t>A transcendental planner for you don't lose sight of what's really important</t>
  </si>
  <si>
    <r>
      <t>Un</t>
    </r>
    <r>
      <rPr>
        <sz val="10"/>
        <rFont val="Arial"/>
        <family val="2"/>
      </rPr>
      <t xml:space="preserve"> agenda trascendental, para que usted no pierda de vista lo que realmente importa.</t>
    </r>
  </si>
  <si>
    <t>Uma agenda transcendental, para você não perder de vista o que realmente importa.</t>
  </si>
  <si>
    <t>cover_version</t>
  </si>
  <si>
    <t>Versión</t>
  </si>
  <si>
    <t>Versão</t>
  </si>
  <si>
    <t>tit_section</t>
  </si>
  <si>
    <t>Title</t>
  </si>
  <si>
    <t>Título</t>
  </si>
  <si>
    <t>tit_plan</t>
  </si>
  <si>
    <t>Titulo</t>
  </si>
  <si>
    <t>tit_title</t>
  </si>
  <si>
    <t>tit_text</t>
  </si>
  <si>
    <t>tit_copyright1</t>
  </si>
  <si>
    <t>tit_copyright2</t>
  </si>
  <si>
    <t>Permission is granted to copy, distribute and/or modify this document under the terms of the GNU Free Documentation License, Version 1.3 or any later version published by the Free Software Foundation; with the Invariant Sections being "Dedicatória", "Agradecimentos", "Apresentação" and "Apresentação - Notas e Links", with the Front-Cover Texts being "AGENDA VAISHNAVA", and with the Back-Cover Texts being "Uma agenda transcendental, para você não perder de vista o que realmente importa". A copy of the license is included in the section entitled "GNU Free Documentation License".</t>
  </si>
  <si>
    <t>Permission is granted to copy, distribute and/or modify this document under the terms of the GNU Free Documentation License, Version 1.3 or any later version published by the Free Software Foundation; with the Invariant Sections being  "Dedicación", " Agradecimientos", "Presentación",  and "Presentación - Notas e Links" and "Presentación", with the Front-Cover Texts being "AGENDA VAISHNAVA", and with the Back-Cover Texts being " Una agenda trascendental, para que usted no pierda de vista lo que realmente importa". A copy of the license is included in the section entitled "GNU Free Documentation License".</t>
  </si>
  <si>
    <t>Permission is granted to copy, distribute and/or modify this document under the terms of the GNU Free Documentation License, Version 1.3 or any later version published by the Free Software Foundation; with the Invariant Sections being "Dedicatória", "Agradecimentos", "Apresentação"  and "Apresentação - Notas e Links", with the Front-Cover Texts being "AGENDA VAISHNAVA", and with the Back-Cover Texts being "Uma agenda transcendental, para você não perder de vista o que realmente importa". A copy of the license is included in the section entitled "GNU Free Documentation License".</t>
  </si>
  <si>
    <t>tit_copyright3</t>
  </si>
  <si>
    <t>tit_copyright4</t>
  </si>
  <si>
    <t>Se concede permiso para copiar, distribuir y / o modificar este documento bajo las condiciones de la GNU Free Documentation License (GNU Free Documentation License), Versión 1.3 o cualquier versión posterior publicada por la Free Software Foundation; con las Secciones Invariantes  "Dedicación", " Agradecimientos", "Presentación",  y "Presentación - Notas e Links", y con los textos de Cubierta Delantera siendo "AGENDA VAISHNAVA", y con los Cubierta Posterior siendo " Una agenda trascendental, para que usted no pierda de vista lo que realmente importa". Una copia de la licencia está incluida en la sección titulada "GNU Free Documentation License".</t>
  </si>
  <si>
    <t>É garantida a permissão para copiar, distribuir e/ou modificar este documento sob os termos da Licença de Documentação Livre GNU (GNU Free Documentation License), Versão 1.3 ou qualquer versão posterior publicada pela Free Software Foundation; com as Seções Invariantes sendo "Dedicatória", "Agradecimentos", "Apresentação"  e "Apresentação - Notas e Links", com os Textos de Capa Frontal sendo "AGENDA VAISHNAVA", e com os Textos de Quarta Capa sendo "Uma agenda semanal transcendental, para você não perder de vista o que realmente importa". Uma cópia da licença é incluída na seção intitulada "GNU Free Documentation License".</t>
  </si>
  <si>
    <t>tit_noWarranty1</t>
  </si>
  <si>
    <t>NO WARRANTY</t>
  </si>
  <si>
    <t>tit_noWarranty2</t>
  </si>
  <si>
    <t>This document could include technical or other mistakes, inaccuracies, or typographical errors. This document is distributed in the hope that it will be useful, but it is provided "as is" WITHOUT WARRANTY OF ANY KIND, either express or implied, including, but not limited to, the implied warranties of express or implied, including, but not limited to, the implied warranties of merchantability or fitness for a particular purpose, or the warranty of non-infringement. See the GNU General Public License for more details.</t>
  </si>
  <si>
    <t>tit_noWarranty3</t>
  </si>
  <si>
    <t>In case that you or any reader of this document sends a reply with information,  feedback, data, questions, commentaries, suggestions, etc. with relation to the content of this document, this reply the author will be considered NOT confidential and he reserves the right to reproduce, to use, to divulge and to distribute the reply for third, without restrictions. You agree to allowing that the author uses any idea, technique or concept contained in its reply with any end, including, but not limited to, the perfectioning of this document.</t>
  </si>
  <si>
    <t>tit_noWarranty4</t>
  </si>
  <si>
    <t>NINGUNA GARANTÍA</t>
  </si>
  <si>
    <t>AUSÊNCIA DE GARANTIAS</t>
  </si>
  <si>
    <t>tit_noWarranty5</t>
  </si>
  <si>
    <t>Este documento puede contener imprecisiones técnicas o errores tipográficos o de otro tipo. Este documento es proporcionado con la esperanza de que sea útil, pero en "la forma en que es "SIN GARANTÍA DE NINGÚN TIPO",  expresa o implícita, incluyendo pero no limitado a garantías implícitas de comercialización, adecuación para un propósito particular o no-infracción. Consulte la GNU General Public License para más detalles.</t>
  </si>
  <si>
    <t>Este documento poderá conter imprecisões técnicas, ou erros tipográficos ou de outros tipos. Este documento é fornecido na expectativa de que seja útil, mas "da maneira como se encontra", SEM GARANTIAS DE QUALQUER ESPÉCIE, expressas ou implícitas, incluindo, mas não limitadas, às garantias implícitas de comerciabilidade, adequação a um determinado propósito ou não-infração. Consulte a Licença Pública Geral GNU para obter mais detalhes.</t>
  </si>
  <si>
    <t>tit_noWarranty6</t>
  </si>
  <si>
    <t>Si usted o cualquier lector de este documento enviar una respuesta con información, retroalimentación, datos, cuestiones, comentarios, sugerencias, etc. sobre el contenido de este documento, esta respuesta se considerará como NO confidencial y se reserva el derecho de autor para reproducir, usar, revelar y distribuir la respuesta a otros sin restricción. Usted se compromete a permitir al autor usar cualquier idea, concepto o técnica contenida en su respuesta para cualquier propósito, incluyendo pero en no limitado, a mejorar este documento.</t>
  </si>
  <si>
    <t>Caso você ou qualquer leitor deste documento envie uma resposta com informações, feedback, dados, perguntas, comentários, sugestões etc. com relação ao conteúdo deste documento, essa resposta será considerada NÃO confidencial e o autor se reserva o direito de reproduzir, usar, divulgar e distribuir a resposta para terceiros, sem restrições. Você concorda em permitir que o autor utilize qualquer idéia, técnica ou conceito contido na sua resposta com qualquer fim, incluindo, mas não se limitando, ao aperfeiçoamento deste documento.</t>
  </si>
  <si>
    <t>ind_section</t>
  </si>
  <si>
    <t>Index</t>
  </si>
  <si>
    <t>Índice</t>
  </si>
  <si>
    <t>ind_plan</t>
  </si>
  <si>
    <t>Indice</t>
  </si>
  <si>
    <t>ind_title</t>
  </si>
  <si>
    <t>Vaishnava Planner Gplan</t>
  </si>
  <si>
    <t>Agenda Vaishnava Gplan</t>
  </si>
  <si>
    <t>ind_language</t>
  </si>
  <si>
    <t>Lenguaje</t>
  </si>
  <si>
    <t>ind_gcalBase</t>
  </si>
  <si>
    <t>Base calendar</t>
  </si>
  <si>
    <t>Calendario base</t>
  </si>
  <si>
    <t>Calendário base</t>
  </si>
  <si>
    <t>ind_country</t>
  </si>
  <si>
    <t>ind_location</t>
  </si>
  <si>
    <t>Localidad</t>
  </si>
  <si>
    <t>Localidade</t>
  </si>
  <si>
    <t>ind_year</t>
  </si>
  <si>
    <t>Año</t>
  </si>
  <si>
    <t>Ano</t>
  </si>
  <si>
    <t>ind_options</t>
  </si>
  <si>
    <r>
      <t>Options</t>
    </r>
    <r>
      <rPr>
        <sz val="10"/>
        <rFont val="Arial"/>
        <family val="2"/>
      </rPr>
      <t xml:space="preserve"> of the planner</t>
    </r>
  </si>
  <si>
    <t>Opciones en la agenda</t>
  </si>
  <si>
    <t>Opções da agenda</t>
  </si>
  <si>
    <t>ind_cityNameOnCover</t>
  </si>
  <si>
    <t>Name of the location on the Cover</t>
  </si>
  <si>
    <t>Nombre de la ciudad en la Cubierta</t>
  </si>
  <si>
    <t>Nome da localidade na Capa</t>
  </si>
  <si>
    <t>ind_edit</t>
  </si>
  <si>
    <t>Edit</t>
  </si>
  <si>
    <t>Editar</t>
  </si>
  <si>
    <t>ind_ready</t>
  </si>
  <si>
    <t>Ready</t>
  </si>
  <si>
    <t>Pronto!</t>
  </si>
  <si>
    <t>ind_persdata</t>
  </si>
  <si>
    <t>Update</t>
  </si>
  <si>
    <t>Actualizar</t>
  </si>
  <si>
    <t>Datos Personales</t>
  </si>
  <si>
    <t>Dados Pessoais</t>
  </si>
  <si>
    <t>ind_holiday</t>
  </si>
  <si>
    <t>Días de Fiesta</t>
  </si>
  <si>
    <t>Feriados</t>
  </si>
  <si>
    <t>ind_weekfront</t>
  </si>
  <si>
    <t>Week-Front</t>
  </si>
  <si>
    <t>Semana-Frente</t>
  </si>
  <si>
    <t>ind_calendarFor</t>
  </si>
  <si>
    <t>Current Calendar calculated for</t>
  </si>
  <si>
    <t>Corriente Calendario calculado para</t>
  </si>
  <si>
    <t>Calendário atual calculado para</t>
  </si>
  <si>
    <t>ind_finweekback</t>
  </si>
  <si>
    <t>Show</t>
  </si>
  <si>
    <t>Ver</t>
  </si>
  <si>
    <t>ind_finweekfront</t>
  </si>
  <si>
    <t>Fin. Week-Front</t>
  </si>
  <si>
    <t>Fin. Semana-Frente</t>
  </si>
  <si>
    <t>ind_finPerson</t>
  </si>
  <si>
    <t>Fin. Person.</t>
  </si>
  <si>
    <t>ind_NotesLeft</t>
  </si>
  <si>
    <t>Notes-Left</t>
  </si>
  <si>
    <t>Anotaciones-Esquerda</t>
  </si>
  <si>
    <t>Anotações-Esquerda</t>
  </si>
  <si>
    <t>ind_NotesRight</t>
  </si>
  <si>
    <t>Notes-Right</t>
  </si>
  <si>
    <t>Anotaciones-Direita</t>
  </si>
  <si>
    <t>Anotações-Direita</t>
  </si>
  <si>
    <t>ind_contact</t>
  </si>
  <si>
    <t>Contacts</t>
  </si>
  <si>
    <t>Contactos</t>
  </si>
  <si>
    <t>Contatos</t>
  </si>
  <si>
    <t>ind_contatEsq</t>
  </si>
  <si>
    <t>Contacts-Left</t>
  </si>
  <si>
    <t>Contacto-Esquerda</t>
  </si>
  <si>
    <t>Contato-Esquerda</t>
  </si>
  <si>
    <t>ind_contatDir</t>
  </si>
  <si>
    <t>Contacts-Rigth</t>
  </si>
  <si>
    <t>Contacto-Direita</t>
  </si>
  <si>
    <t>Contato-Direita</t>
  </si>
  <si>
    <t>ind_citacoes</t>
  </si>
  <si>
    <t>Quotes</t>
  </si>
  <si>
    <t>Citaciones</t>
  </si>
  <si>
    <t>Citações</t>
  </si>
  <si>
    <t>ind_vaishnava</t>
  </si>
  <si>
    <t>Vaishnava</t>
  </si>
  <si>
    <t>ind_updateExtData</t>
  </si>
  <si>
    <t>Calcular</t>
  </si>
  <si>
    <t>ind_instFonts</t>
  </si>
  <si>
    <t>Install Fonts</t>
  </si>
  <si>
    <t>Instalar Fuentes</t>
  </si>
  <si>
    <t>Instalar Fontes</t>
  </si>
  <si>
    <t>ind_generate</t>
  </si>
  <si>
    <t>Generate</t>
  </si>
  <si>
    <t>Generar</t>
  </si>
  <si>
    <t>Gerar</t>
  </si>
  <si>
    <t>ind_msPdfGenerate</t>
  </si>
  <si>
    <t>Generate the GPlan planner in pdf format?</t>
  </si>
  <si>
    <t>Generar la agenda GPlan en formato pdf?</t>
  </si>
  <si>
    <t>ind_wsNotHandle</t>
  </si>
  <si>
    <t>If so, do not handle the mouse or keyboard until Gcal complete the calculation and close.</t>
  </si>
  <si>
    <t>Si es así, no mueva el ratón o el teclado a la Gcal completa el cálculo y se cierre.</t>
  </si>
  <si>
    <t>ind_msPdfCancel</t>
  </si>
  <si>
    <t>Canceled GPlan planner generation in pdf format!</t>
  </si>
  <si>
    <t>La generación de la agenda GPlan en formato pdf fue cancelada!</t>
  </si>
  <si>
    <t>A geração da agenda GPlan em formato pdf foi cancelada!</t>
  </si>
  <si>
    <t>ind_Validation</t>
  </si>
  <si>
    <t xml:space="preserve"> Validation</t>
  </si>
  <si>
    <t xml:space="preserve"> Validação</t>
  </si>
  <si>
    <t>ind_CaturmasyaTides</t>
  </si>
  <si>
    <t>Sistema Caturmasya</t>
  </si>
  <si>
    <t>ind_msAutGen</t>
  </si>
  <si>
    <t>Automatic generation of Planner may take several minutes. The process can be interrupted at any time by pressing and holding the 'Esc' key.</t>
  </si>
  <si>
    <t>Generación automática de la Agenda puede tardar varios minutos. El proceso se puede interrumpir en cualquier momento manteniendo pulsada la tecla "Esc".</t>
  </si>
  <si>
    <t>ind_msAutGenTit</t>
  </si>
  <si>
    <t>Automatic Generation of Planner</t>
  </si>
  <si>
    <t>Generación Automática de la Agenda</t>
  </si>
  <si>
    <t>ind_msAutCalc</t>
  </si>
  <si>
    <t>Calculate the calendar data to the following location and year?</t>
  </si>
  <si>
    <t>Calcular los datos de calendario a la siguiente localización y año?</t>
  </si>
  <si>
    <t>ind_msAutCalTit</t>
  </si>
  <si>
    <t>ind_Dbpreparing</t>
  </si>
  <si>
    <r>
      <t>Preparing</t>
    </r>
    <r>
      <rPr>
        <sz val="10"/>
        <rFont val="Arial"/>
        <family val="2"/>
      </rPr>
      <t xml:space="preserve"> DB ...</t>
    </r>
  </si>
  <si>
    <r>
      <t>Preparación de</t>
    </r>
    <r>
      <rPr>
        <sz val="10"/>
        <rFont val="Arial"/>
        <family val="2"/>
      </rPr>
      <t xml:space="preserve"> DB ...</t>
    </r>
  </si>
  <si>
    <t>Preparando DB...</t>
  </si>
  <si>
    <t>ind_GcalDataLoad</t>
  </si>
  <si>
    <t>Loading data from GCal ...</t>
  </si>
  <si>
    <t>Carga de datos de GCal ...</t>
  </si>
  <si>
    <t>Carregando dados do GCal...</t>
  </si>
  <si>
    <t>ind_HolydaysDataLoad</t>
  </si>
  <si>
    <t>Loading data from Holiday ...</t>
  </si>
  <si>
    <t>Carga de datos de las vacaciones ...</t>
  </si>
  <si>
    <t>Carregando dados dos Feriados...</t>
  </si>
  <si>
    <t>ind_gnuFreDocLic</t>
  </si>
  <si>
    <t>GNU Free Documentation License</t>
  </si>
  <si>
    <t>ind_horaInicial</t>
  </si>
  <si>
    <t>Start hour (on week planner)</t>
  </si>
  <si>
    <t>Hora de inicio (en el agenda semanal)</t>
  </si>
  <si>
    <t>Hora Inicial (na agenda semanal)</t>
  </si>
  <si>
    <t>ind_autogen</t>
  </si>
  <si>
    <t>Automatically generate</t>
  </si>
  <si>
    <t>Generación automática</t>
  </si>
  <si>
    <t>Geração Automática</t>
  </si>
  <si>
    <t>ind_planner</t>
  </si>
  <si>
    <t>Planner:</t>
  </si>
  <si>
    <t>Agenda:</t>
  </si>
  <si>
    <t>ind_select</t>
  </si>
  <si>
    <t>(select)</t>
  </si>
  <si>
    <t>(seleccione)</t>
  </si>
  <si>
    <t>(selecione)</t>
  </si>
  <si>
    <t>ind_monthtly</t>
  </si>
  <si>
    <t>Monthly</t>
  </si>
  <si>
    <t>Mensual</t>
  </si>
  <si>
    <t>Mensal</t>
  </si>
  <si>
    <t>ind_finmonthtly</t>
  </si>
  <si>
    <t>Fin. Monthly</t>
  </si>
  <si>
    <t>Fin. Mensual</t>
  </si>
  <si>
    <t>Fin. Mensal</t>
  </si>
  <si>
    <t>ind_weekly</t>
  </si>
  <si>
    <t>Weekly</t>
  </si>
  <si>
    <t>Semanal</t>
  </si>
  <si>
    <t>ind_finweekly</t>
  </si>
  <si>
    <t>Fin. Weekly</t>
  </si>
  <si>
    <t>Fin. Semanal</t>
  </si>
  <si>
    <t>ind_complete</t>
  </si>
  <si>
    <t>Complete</t>
  </si>
  <si>
    <t>Completa</t>
  </si>
  <si>
    <t>ind_fincomplete</t>
  </si>
  <si>
    <t>Fin. Complete</t>
  </si>
  <si>
    <t>Fin. Completa</t>
  </si>
  <si>
    <t>ind_latitude</t>
  </si>
  <si>
    <t>ind_longitude</t>
  </si>
  <si>
    <t>ind_timezone</t>
  </si>
  <si>
    <t>Time Zone</t>
  </si>
  <si>
    <t>ind_ref</t>
  </si>
  <si>
    <t>Planner calculated for</t>
  </si>
  <si>
    <t>Agenda calculada para</t>
  </si>
  <si>
    <t>ded_section</t>
  </si>
  <si>
    <t>Dedication</t>
  </si>
  <si>
    <t>Dedicación</t>
  </si>
  <si>
    <t>Dedicatória</t>
  </si>
  <si>
    <t>ded_plan</t>
  </si>
  <si>
    <t>Dedicacion</t>
  </si>
  <si>
    <t>Dedicatoria</t>
  </si>
  <si>
    <t>ded_title1</t>
  </si>
  <si>
    <t>ded_title2</t>
  </si>
  <si>
    <t>ded_dedic</t>
  </si>
  <si>
    <t>I dedicate this work to all the servants of the Lord, especially the Vaishnava devotees, of which the most dear is  to my initiating spiritual master, His Holiness Hridayananda Dasa Goswami Maharaj (1), one afternoon in May 1991 kindly accepted me as his disciple, and without the aid of which remain shrouded in the darkness of material consciousness, in search of false hopes brought about by selfish philosophies and practices.</t>
  </si>
  <si>
    <t>Dedico este trabajo a todos los siervos del Señor, especialmente los devotos Vaisnavas, de los cuales el más querido es mi maestro espiritual iniciador, Su Santidad Hridayananda Dasa Goswami Maharaj (1), que en una tarde de mayo de 1991, amablemente me aceptó como su discípulo, y sin su ayuda Yo permanecería envuelto en la oscuridad de la conciencia material, en busca de falsas esperanzas provocada por la filosofía egoísta y prácticas.</t>
  </si>
  <si>
    <t>Dedico o presente trabalho a todos os servos do Senhor, em especial aos devotos vaishnavas, dos quais o mais querido é o meu mestre espiritual iniciador, Sua Santidade Hridayananda Dasa Goswami Maharaj(1), que numa tarde de maio de 1991 gentilmente me aceitou como seu discípulo, e sem a ajuda do qual continuaria envolto na escuridão da consciência material, em busca das falsas esperanças trazidas pelas filosofias e práticas egoístas.</t>
  </si>
  <si>
    <t>ded_assin1</t>
  </si>
  <si>
    <t>Gopala Dasa Adhikari</t>
  </si>
  <si>
    <t>ded_assin2</t>
  </si>
  <si>
    <t>(Paulo Sergio de Araujo)</t>
  </si>
  <si>
    <t>ded_nota1</t>
  </si>
  <si>
    <t>Note 1:</t>
  </si>
  <si>
    <t>Nota 1:</t>
  </si>
  <si>
    <t>ded_nota2</t>
  </si>
  <si>
    <t>SS Hridayananda dasa Goswami Maharaj (Dr. Howard J. Resnick), is one of the most prominent spiritual leaders of the International Society of Krishna Consciousness - ISKCON.</t>
  </si>
  <si>
    <t>SS Hridayananda dasa Goswami Maharaj (Dr. Howard J. Resnick), es uno de los líderes espirituales más importantes de la Sociedad Internacional de la Conciencia de Krishna - ISKCON.</t>
  </si>
  <si>
    <t>S.S. Hridayananda dasa Goswami Maharaj (Dr. Howard J. Resnick), é um dos mais destacados líderes espirituais da Sociedade Internacional da Consciência de Krishna - ISKCON.</t>
  </si>
  <si>
    <t>agr_section</t>
  </si>
  <si>
    <t>Acknowledgements</t>
  </si>
  <si>
    <t>Agradecimientos</t>
  </si>
  <si>
    <t>Agradecimentos</t>
  </si>
  <si>
    <t>agr_plan</t>
  </si>
  <si>
    <t>agr_title</t>
  </si>
  <si>
    <t>apr_section</t>
  </si>
  <si>
    <t>Apresentation</t>
  </si>
  <si>
    <t>Presentación</t>
  </si>
  <si>
    <t>Apresentação</t>
  </si>
  <si>
    <t>apr_plan</t>
  </si>
  <si>
    <t>Apresentacao</t>
  </si>
  <si>
    <t>apr_title</t>
  </si>
  <si>
    <t>apr_name1</t>
  </si>
  <si>
    <t>Apresentation 1</t>
  </si>
  <si>
    <t>Presentacion 1</t>
  </si>
  <si>
    <t>Apresentacao 1</t>
  </si>
  <si>
    <t>apr_name2</t>
  </si>
  <si>
    <t>Apresentation 2</t>
  </si>
  <si>
    <t>Presentacion 2</t>
  </si>
  <si>
    <t>Apresentacao 2</t>
  </si>
  <si>
    <t>com_section</t>
  </si>
  <si>
    <t>What Using</t>
  </si>
  <si>
    <t>Utilización</t>
  </si>
  <si>
    <t>Como Usar</t>
  </si>
  <si>
    <t>com_plan</t>
  </si>
  <si>
    <t>com_title</t>
  </si>
  <si>
    <t>dps_section</t>
  </si>
  <si>
    <t>dps_plan</t>
  </si>
  <si>
    <t>dps_title1</t>
  </si>
  <si>
    <t>PERSONAL DATA</t>
  </si>
  <si>
    <t>DATOS PERSONALES</t>
  </si>
  <si>
    <t>DADOS PESSOAIS</t>
  </si>
  <si>
    <t>dps_title2</t>
  </si>
  <si>
    <t>COMMERCIAL DATA</t>
  </si>
  <si>
    <t>DATOS COMERCIALES</t>
  </si>
  <si>
    <t>DADOS COMERCIAIS</t>
  </si>
  <si>
    <t>dps_title3</t>
  </si>
  <si>
    <t>EMERGENCY</t>
  </si>
  <si>
    <t>EMERGENCIA</t>
  </si>
  <si>
    <t>EMERGÊNCIA</t>
  </si>
  <si>
    <t>dps_pNome</t>
  </si>
  <si>
    <t>Name</t>
  </si>
  <si>
    <t>Nombre</t>
  </si>
  <si>
    <t>Nome</t>
  </si>
  <si>
    <t>dps_pEnder</t>
  </si>
  <si>
    <t>Address</t>
  </si>
  <si>
    <t>Dirección</t>
  </si>
  <si>
    <t>Endereço</t>
  </si>
  <si>
    <t>dps_pCidad</t>
  </si>
  <si>
    <t>Ciudad</t>
  </si>
  <si>
    <t>dps_pCep</t>
  </si>
  <si>
    <t>Zip code</t>
  </si>
  <si>
    <t>Z.P.</t>
  </si>
  <si>
    <t>CEP</t>
  </si>
  <si>
    <t>dps_pEstad</t>
  </si>
  <si>
    <t>State</t>
  </si>
  <si>
    <t>Depto</t>
  </si>
  <si>
    <t>Estado</t>
  </si>
  <si>
    <t>dps_pFone</t>
  </si>
  <si>
    <t>Phone</t>
  </si>
  <si>
    <t>Teléfono</t>
  </si>
  <si>
    <t>Fone</t>
  </si>
  <si>
    <t>dps_pCelul</t>
  </si>
  <si>
    <t>Mobile</t>
  </si>
  <si>
    <t>Celular</t>
  </si>
  <si>
    <t>dps_pFax</t>
  </si>
  <si>
    <t>Fax</t>
  </si>
  <si>
    <t>dps_pEmail</t>
  </si>
  <si>
    <t>E-mail</t>
  </si>
  <si>
    <t>dps_pRG</t>
  </si>
  <si>
    <t>ID</t>
  </si>
  <si>
    <t>RG</t>
  </si>
  <si>
    <t>dps_pCPF</t>
  </si>
  <si>
    <t>CPF</t>
  </si>
  <si>
    <t>dps_pTEleit</t>
  </si>
  <si>
    <t>T. Elector</t>
  </si>
  <si>
    <t>R. de Votantes</t>
  </si>
  <si>
    <t>T. Eleitor</t>
  </si>
  <si>
    <t>dps_pZona</t>
  </si>
  <si>
    <t>Zone</t>
  </si>
  <si>
    <t>Área</t>
  </si>
  <si>
    <t>Zona</t>
  </si>
  <si>
    <t>dps_pSecao</t>
  </si>
  <si>
    <t>Section</t>
  </si>
  <si>
    <t>Sección</t>
  </si>
  <si>
    <t>Seção</t>
  </si>
  <si>
    <t>dps_pPassp</t>
  </si>
  <si>
    <t>Passport</t>
  </si>
  <si>
    <t>Pasaporte</t>
  </si>
  <si>
    <t>Passaporte</t>
  </si>
  <si>
    <t>dps_pValid</t>
  </si>
  <si>
    <t>Validity</t>
  </si>
  <si>
    <t>Vigencia</t>
  </si>
  <si>
    <t>Validade</t>
  </si>
  <si>
    <t>dps_pCartMil</t>
  </si>
  <si>
    <t>Cart. Military</t>
  </si>
  <si>
    <t>Id. Militar</t>
  </si>
  <si>
    <t>Cart. Militar</t>
  </si>
  <si>
    <t>dps_pReserv</t>
  </si>
  <si>
    <t>Certif. Reservist</t>
  </si>
  <si>
    <t>Cert.Reservista</t>
  </si>
  <si>
    <t>Certif. Reservista</t>
  </si>
  <si>
    <t>dps_pHabil</t>
  </si>
  <si>
    <t>License</t>
  </si>
  <si>
    <t>L. Conduzir</t>
  </si>
  <si>
    <t>Habilitação</t>
  </si>
  <si>
    <t>dps_pVESaude</t>
  </si>
  <si>
    <t>Vcto. Ex Health</t>
  </si>
  <si>
    <t>Vcto.   Ex.  Saúde</t>
  </si>
  <si>
    <t>dps_pVeic</t>
  </si>
  <si>
    <t>Vehicle</t>
  </si>
  <si>
    <t>Vehículo</t>
  </si>
  <si>
    <t>Veículo</t>
  </si>
  <si>
    <t>dps_pPlaca</t>
  </si>
  <si>
    <t>Board</t>
  </si>
  <si>
    <t>Placa</t>
  </si>
  <si>
    <t>dps_pNChassi</t>
  </si>
  <si>
    <t>Chassis No.</t>
  </si>
  <si>
    <t>Chasis</t>
  </si>
  <si>
    <t>Nº Chassi</t>
  </si>
  <si>
    <t xml:space="preserve">dps_pRenavam </t>
  </si>
  <si>
    <t>Code Renavam</t>
  </si>
  <si>
    <t>Cód</t>
  </si>
  <si>
    <t>Cód. Renavam</t>
  </si>
  <si>
    <t xml:space="preserve">dps_pseguro </t>
  </si>
  <si>
    <t>Insurance Co.</t>
  </si>
  <si>
    <t>Seguro</t>
  </si>
  <si>
    <t>Cia. Seguro</t>
  </si>
  <si>
    <t>dps_pVctoSeg</t>
  </si>
  <si>
    <t>Vcto. Insurance Obr.</t>
  </si>
  <si>
    <t>Vcto. Seguro Obr.</t>
  </si>
  <si>
    <t>dps_cNome</t>
  </si>
  <si>
    <t>dps_cEnder</t>
  </si>
  <si>
    <t>Domicilio</t>
  </si>
  <si>
    <t>dps_cCidad</t>
  </si>
  <si>
    <t>dps_cCep</t>
  </si>
  <si>
    <t>dps_cEstad</t>
  </si>
  <si>
    <t>dps_cFones</t>
  </si>
  <si>
    <t>Teléfonos</t>
  </si>
  <si>
    <t>Fones</t>
  </si>
  <si>
    <t>dps_cFax</t>
  </si>
  <si>
    <t>dps_cEmail1</t>
  </si>
  <si>
    <t>E-mail 1</t>
  </si>
  <si>
    <t>dps_cEmail2</t>
  </si>
  <si>
    <t>E-mail 2</t>
  </si>
  <si>
    <t>dps_cWSite</t>
  </si>
  <si>
    <t>WebSite</t>
  </si>
  <si>
    <t>dps_cCNPJ</t>
  </si>
  <si>
    <t>N.I.</t>
  </si>
  <si>
    <t>I.N.</t>
  </si>
  <si>
    <t>CNPJ</t>
  </si>
  <si>
    <t>dps_cIE</t>
  </si>
  <si>
    <t>E.I.</t>
  </si>
  <si>
    <t>I.E.</t>
  </si>
  <si>
    <t>dps_cIM</t>
  </si>
  <si>
    <t>C.I</t>
  </si>
  <si>
    <t>I.M</t>
  </si>
  <si>
    <t>I.M.</t>
  </si>
  <si>
    <t>dps_eGS</t>
  </si>
  <si>
    <t>Blood Group</t>
  </si>
  <si>
    <t>Grupo Sanguíneo</t>
  </si>
  <si>
    <t>Grupo Sangüíneo</t>
  </si>
  <si>
    <t>dps_eRH</t>
  </si>
  <si>
    <t>RH Type</t>
  </si>
  <si>
    <t>RH Factor</t>
  </si>
  <si>
    <t>Tipo RH</t>
  </si>
  <si>
    <t>dps_eMedic</t>
  </si>
  <si>
    <t>Doctor</t>
  </si>
  <si>
    <t>Medico</t>
  </si>
  <si>
    <t>Médico</t>
  </si>
  <si>
    <t>dps_eCel</t>
  </si>
  <si>
    <t>dps_eFConsult</t>
  </si>
  <si>
    <t>Phone Office</t>
  </si>
  <si>
    <t>Tel. Consultorio</t>
  </si>
  <si>
    <t>Tel. Consultório</t>
  </si>
  <si>
    <t>dps_eFResid</t>
  </si>
  <si>
    <t>Phone Residence</t>
  </si>
  <si>
    <t>Tel. Residencia</t>
  </si>
  <si>
    <t>Tel. Residência</t>
  </si>
  <si>
    <t>dps_ePSaude</t>
  </si>
  <si>
    <t>Health Security</t>
  </si>
  <si>
    <t>Seg. Salud</t>
  </si>
  <si>
    <t>Plano Saúde</t>
  </si>
  <si>
    <t>dps_eFone</t>
  </si>
  <si>
    <t>dps_eHosp</t>
  </si>
  <si>
    <t>Hospital</t>
  </si>
  <si>
    <t>dps_eAlerg</t>
  </si>
  <si>
    <t>I'm allergic to</t>
  </si>
  <si>
    <t>Soy alérgico a</t>
  </si>
  <si>
    <t>Sou alérgico à</t>
  </si>
  <si>
    <t>dps_eVTetan</t>
  </si>
  <si>
    <t>Vaccination against tetanus:</t>
  </si>
  <si>
    <r>
      <t>Vacunación</t>
    </r>
    <r>
      <rPr>
        <sz val="10"/>
        <rFont val="Arial"/>
        <family val="2"/>
      </rPr>
      <t xml:space="preserve"> contra tétano:</t>
    </r>
  </si>
  <si>
    <t>Vacinação contra tétano:</t>
  </si>
  <si>
    <t>dps_eVsim</t>
  </si>
  <si>
    <t>sí</t>
  </si>
  <si>
    <t>dps_eVnao</t>
  </si>
  <si>
    <t>not</t>
  </si>
  <si>
    <t>dps_eSofr</t>
  </si>
  <si>
    <t>I suffer from:</t>
  </si>
  <si>
    <r>
      <t>Sufro</t>
    </r>
    <r>
      <rPr>
        <sz val="10"/>
        <rFont val="Arial"/>
        <family val="2"/>
      </rPr>
      <t xml:space="preserve"> de:</t>
    </r>
  </si>
  <si>
    <t>Sofro de:</t>
  </si>
  <si>
    <t>dps_eCorac</t>
  </si>
  <si>
    <t>Heart</t>
  </si>
  <si>
    <t>Corazón</t>
  </si>
  <si>
    <t>Coração</t>
  </si>
  <si>
    <t>dps_eHemof</t>
  </si>
  <si>
    <t>Hemophilia</t>
  </si>
  <si>
    <t>Hemofilia</t>
  </si>
  <si>
    <t>dps_eEplep</t>
  </si>
  <si>
    <t>Epilepsy report</t>
  </si>
  <si>
    <t>Epilepsia</t>
  </si>
  <si>
    <t>Eplepsia</t>
  </si>
  <si>
    <t>dps_eEDiab</t>
  </si>
  <si>
    <t>Diabetes</t>
  </si>
  <si>
    <t>dps_eAvisar</t>
  </si>
  <si>
    <t>In case of emergency notify:</t>
  </si>
  <si>
    <t>En caso de emergencia avisar:</t>
  </si>
  <si>
    <t>Em caso de emergência avisar:</t>
  </si>
  <si>
    <t>dps_eNome1</t>
  </si>
  <si>
    <t>Name:</t>
  </si>
  <si>
    <t>Nombre:</t>
  </si>
  <si>
    <t>Nome:</t>
  </si>
  <si>
    <t>dps_eFone1</t>
  </si>
  <si>
    <t>Phone:</t>
  </si>
  <si>
    <t>Teléfono:</t>
  </si>
  <si>
    <t>Fone:</t>
  </si>
  <si>
    <t>dps_eNome2</t>
  </si>
  <si>
    <t>dps_eFone2</t>
  </si>
  <si>
    <t>fer_section</t>
  </si>
  <si>
    <t>Holidays</t>
  </si>
  <si>
    <t>fer_plan</t>
  </si>
  <si>
    <t>DíasDeFiesta</t>
  </si>
  <si>
    <t>fer_title1</t>
  </si>
  <si>
    <t>HOLYDAYS, CELEBRATIONS AND BIRTHDAYS</t>
  </si>
  <si>
    <t>DÍAS DE FIESTA, CELEBRACIONES, CUMPLEAÑOS</t>
  </si>
  <si>
    <t>FERIADOS, COMEMORAÇÕES E ANIVERSÁRIOS</t>
  </si>
  <si>
    <t>fer_title2</t>
  </si>
  <si>
    <r>
      <t>AUXILIARY</t>
    </r>
    <r>
      <rPr>
        <sz val="10"/>
        <rFont val="Arial"/>
        <family val="2"/>
      </rPr>
      <t xml:space="preserve"> EASTER</t>
    </r>
  </si>
  <si>
    <r>
      <t>AUXILIAR</t>
    </r>
    <r>
      <rPr>
        <sz val="10"/>
        <rFont val="Arial"/>
        <family val="2"/>
      </rPr>
      <t xml:space="preserve"> DE PASCUA</t>
    </r>
  </si>
  <si>
    <t>AUXILIAR PÁSCOA</t>
  </si>
  <si>
    <t>fer_subTitulo1</t>
  </si>
  <si>
    <t>FIXED</t>
  </si>
  <si>
    <t>FIJOS</t>
  </si>
  <si>
    <t>FIXOS</t>
  </si>
  <si>
    <t>fer_subTitulo2</t>
  </si>
  <si>
    <t>MOBILE WITH EASTER</t>
  </si>
  <si>
    <t>MUEBLES CON LA PASCUA</t>
  </si>
  <si>
    <t>MÓVEIS COM A PÁSCOA</t>
  </si>
  <si>
    <t>fer_subTitulo3</t>
  </si>
  <si>
    <t>MOBILE - A PARTICULAR DAY WEEK FOR A PARTICULAR MONTH</t>
  </si>
  <si>
    <t>MUEBLES - UM DÍA  DETERMINADO DE UM DETERMINADO MÊS</t>
  </si>
  <si>
    <t>MÓVEIS - CERTO DIA DA SEMANA DE CERTO MÊS</t>
  </si>
  <si>
    <t>fer_subTitulo4</t>
  </si>
  <si>
    <t>SEASONS OF THE YEAR</t>
  </si>
  <si>
    <t>ESTACIONES DEL AÑO</t>
  </si>
  <si>
    <t>ESTAÇÕES DO ANO</t>
  </si>
  <si>
    <t>fer_subTitulo5</t>
  </si>
  <si>
    <t>AUXILIAR WEEKDAY</t>
  </si>
  <si>
    <t>AUXILIAR DÍA DE LA SEMANA</t>
  </si>
  <si>
    <t>AUXILIAR DIA DA SEMANA</t>
  </si>
  <si>
    <t>fer_dia</t>
  </si>
  <si>
    <t>Day</t>
  </si>
  <si>
    <t>Día</t>
  </si>
  <si>
    <t>Dia</t>
  </si>
  <si>
    <t>fer_mes</t>
  </si>
  <si>
    <t>Month</t>
  </si>
  <si>
    <t>Mes</t>
  </si>
  <si>
    <t>Mês</t>
  </si>
  <si>
    <t>fer_data</t>
  </si>
  <si>
    <t>Date</t>
  </si>
  <si>
    <t>Fecha</t>
  </si>
  <si>
    <t>Data</t>
  </si>
  <si>
    <t>fer_name</t>
  </si>
  <si>
    <t>fer_diaSem</t>
  </si>
  <si>
    <t>Week Day</t>
  </si>
  <si>
    <t>Día Sem.</t>
  </si>
  <si>
    <t>Dia Sem.</t>
  </si>
  <si>
    <t>fer_compens</t>
  </si>
  <si>
    <t>Compen-sation</t>
  </si>
  <si>
    <t>Compen-sación</t>
  </si>
  <si>
    <t>Compen-sação</t>
  </si>
  <si>
    <t>fer_tipo</t>
  </si>
  <si>
    <t>Type</t>
  </si>
  <si>
    <t>Tipo</t>
  </si>
  <si>
    <t>fer_holyday</t>
  </si>
  <si>
    <t>Holyday</t>
  </si>
  <si>
    <t>Feriado</t>
  </si>
  <si>
    <t>fer_event</t>
  </si>
  <si>
    <t>Event</t>
  </si>
  <si>
    <t>Evento</t>
  </si>
  <si>
    <t>fer_diaSem1</t>
  </si>
  <si>
    <t>fer_diaSem2</t>
  </si>
  <si>
    <t>fer_diaSem3</t>
  </si>
  <si>
    <t>fer_diaSem4</t>
  </si>
  <si>
    <t>fer_diaSem5</t>
  </si>
  <si>
    <t>fer_diaSem6</t>
  </si>
  <si>
    <t>fer_diaSem7</t>
  </si>
  <si>
    <t>fer_autumn</t>
  </si>
  <si>
    <t>Autumn</t>
  </si>
  <si>
    <t>Otoño</t>
  </si>
  <si>
    <t>Outono</t>
  </si>
  <si>
    <t>fer_winter</t>
  </si>
  <si>
    <t>Winter</t>
  </si>
  <si>
    <t>Invierno</t>
  </si>
  <si>
    <t>Inverno</t>
  </si>
  <si>
    <t>fer_spring</t>
  </si>
  <si>
    <t>Spring</t>
  </si>
  <si>
    <t>Primavera</t>
  </si>
  <si>
    <t>fer_summer</t>
  </si>
  <si>
    <t>Summer</t>
  </si>
  <si>
    <t>Verano</t>
  </si>
  <si>
    <t>Verão</t>
  </si>
  <si>
    <t>Halloween</t>
  </si>
  <si>
    <t>All Saints' Day</t>
  </si>
  <si>
    <t>Todos os Santos</t>
  </si>
  <si>
    <t>All Souls' Day</t>
  </si>
  <si>
    <t>Finados</t>
  </si>
  <si>
    <t>Advent</t>
  </si>
  <si>
    <t>Advento</t>
  </si>
  <si>
    <t>Christmas</t>
  </si>
  <si>
    <t>Natal</t>
  </si>
  <si>
    <t>Childermas</t>
  </si>
  <si>
    <t>Santos Inocentes</t>
  </si>
  <si>
    <t>Epiphany</t>
  </si>
  <si>
    <t>Epifania</t>
  </si>
  <si>
    <t>Candlemas</t>
  </si>
  <si>
    <t>Candelária</t>
  </si>
  <si>
    <t>Palm Sunday</t>
  </si>
  <si>
    <t>Ramos</t>
  </si>
  <si>
    <t>Domingo de Ramos</t>
  </si>
  <si>
    <t>Carnival</t>
  </si>
  <si>
    <t>Carnaval</t>
  </si>
  <si>
    <t>Ash Wednesday</t>
  </si>
  <si>
    <t>Quarta-feira de Cinzas</t>
  </si>
  <si>
    <t>Holy Thursday</t>
  </si>
  <si>
    <t>Quinta-feira Santa</t>
  </si>
  <si>
    <t>Good Friday</t>
  </si>
  <si>
    <t>Paixão de Cristo</t>
  </si>
  <si>
    <t>Holy Saturday</t>
  </si>
  <si>
    <t>Sábado de Aleluia</t>
  </si>
  <si>
    <t>Easter</t>
  </si>
  <si>
    <t>Páscoa</t>
  </si>
  <si>
    <t>Easter Monday</t>
  </si>
  <si>
    <t>Segunda-feira de Páscoa</t>
  </si>
  <si>
    <t>Ascension Thursday</t>
  </si>
  <si>
    <t>Ascensão de Jesus</t>
  </si>
  <si>
    <t>Pentecost or Whitsun</t>
  </si>
  <si>
    <t>Pentecostes</t>
  </si>
  <si>
    <t>Trinity Sunday</t>
  </si>
  <si>
    <t>Trindade</t>
  </si>
  <si>
    <t>Corpus Christi</t>
  </si>
  <si>
    <t>Assumption of Mary</t>
  </si>
  <si>
    <t>Ascensão de Maria</t>
  </si>
  <si>
    <t>Watch Night</t>
  </si>
  <si>
    <t>Réveillon</t>
  </si>
  <si>
    <t>cal_section</t>
  </si>
  <si>
    <t>Calendario</t>
  </si>
  <si>
    <t>Calendário</t>
  </si>
  <si>
    <t>cal_plan</t>
  </si>
  <si>
    <t>cal_cal</t>
  </si>
  <si>
    <t>January</t>
  </si>
  <si>
    <t>Enero</t>
  </si>
  <si>
    <t>Janeiro</t>
  </si>
  <si>
    <t>February</t>
  </si>
  <si>
    <t>Febrero</t>
  </si>
  <si>
    <t>Fevereiro</t>
  </si>
  <si>
    <t>March</t>
  </si>
  <si>
    <t>Marzo</t>
  </si>
  <si>
    <t>Março</t>
  </si>
  <si>
    <t>April</t>
  </si>
  <si>
    <t>Abril</t>
  </si>
  <si>
    <t>May</t>
  </si>
  <si>
    <t>Mayo</t>
  </si>
  <si>
    <t>Maio</t>
  </si>
  <si>
    <t>June</t>
  </si>
  <si>
    <t>Junio</t>
  </si>
  <si>
    <t>Junho</t>
  </si>
  <si>
    <t>July</t>
  </si>
  <si>
    <t>Julio</t>
  </si>
  <si>
    <t>Julho</t>
  </si>
  <si>
    <t>August</t>
  </si>
  <si>
    <t>Agosto</t>
  </si>
  <si>
    <t>September</t>
  </si>
  <si>
    <t>Septiembre</t>
  </si>
  <si>
    <t>Setembro</t>
  </si>
  <si>
    <t>October</t>
  </si>
  <si>
    <t>Octubre</t>
  </si>
  <si>
    <t>Outubro</t>
  </si>
  <si>
    <t>November</t>
  </si>
  <si>
    <t>Noviembre</t>
  </si>
  <si>
    <t>Novembro</t>
  </si>
  <si>
    <t>December</t>
  </si>
  <si>
    <t>Diciembre</t>
  </si>
  <si>
    <t>Dezembro</t>
  </si>
  <si>
    <t>men_section</t>
  </si>
  <si>
    <t>men_plan</t>
  </si>
  <si>
    <t>men_title</t>
  </si>
  <si>
    <t>MONTHLY PLANNING</t>
  </si>
  <si>
    <t>PLANIFICACIÓN MENSUAL</t>
  </si>
  <si>
    <t>PLANEJAMENTO MENSAL</t>
  </si>
  <si>
    <t>men_prior</t>
  </si>
  <si>
    <t>PRIORITIES</t>
  </si>
  <si>
    <t>PRIORIDADES</t>
  </si>
  <si>
    <t>men_obsev</t>
  </si>
  <si>
    <t>Notes:</t>
  </si>
  <si>
    <t>Notas:</t>
  </si>
  <si>
    <t>Obs.:</t>
  </si>
  <si>
    <t>smv_section</t>
  </si>
  <si>
    <t>Week-Back</t>
  </si>
  <si>
    <t>Semana-Verso</t>
  </si>
  <si>
    <t>smv_plan</t>
  </si>
  <si>
    <t>smv_title</t>
  </si>
  <si>
    <t>---</t>
  </si>
  <si>
    <t>smv_day</t>
  </si>
  <si>
    <t>smv_holiday</t>
  </si>
  <si>
    <t>Holiday</t>
  </si>
  <si>
    <t>Fiesta</t>
  </si>
  <si>
    <t>smv_celebration</t>
  </si>
  <si>
    <t>Celebration</t>
  </si>
  <si>
    <t>Conmemoración</t>
  </si>
  <si>
    <t>Comemoração</t>
  </si>
  <si>
    <t>smv_fast</t>
  </si>
  <si>
    <t>Fast</t>
  </si>
  <si>
    <t>Ayuno</t>
  </si>
  <si>
    <t>Jejum</t>
  </si>
  <si>
    <t>smf_section</t>
  </si>
  <si>
    <t>smf_plan</t>
  </si>
  <si>
    <t>smf_title</t>
  </si>
  <si>
    <t>smf_semana</t>
  </si>
  <si>
    <t>Week</t>
  </si>
  <si>
    <t>Semana</t>
  </si>
  <si>
    <t>smf_aperf</t>
  </si>
  <si>
    <t>Self Improvement</t>
  </si>
  <si>
    <t>Mejora Personal</t>
  </si>
  <si>
    <t>Aperfeiçoamento Pessoal</t>
  </si>
  <si>
    <t>smf_aperfItem1</t>
  </si>
  <si>
    <t>Espiritual</t>
  </si>
  <si>
    <t>smf_aperfItem2</t>
  </si>
  <si>
    <t>Emotional</t>
  </si>
  <si>
    <t>Emocional</t>
  </si>
  <si>
    <t>smf_aperfItem3</t>
  </si>
  <si>
    <t>Intelectual</t>
  </si>
  <si>
    <t>smf_aperfItem4</t>
  </si>
  <si>
    <t>Fisical</t>
  </si>
  <si>
    <t>Físico</t>
  </si>
  <si>
    <t>smf_impot</t>
  </si>
  <si>
    <t>Important</t>
  </si>
  <si>
    <t>Importante</t>
  </si>
  <si>
    <t>smf_areas</t>
  </si>
  <si>
    <t>Areas</t>
  </si>
  <si>
    <t>Áreas</t>
  </si>
  <si>
    <t>smf_goals</t>
  </si>
  <si>
    <t>Goals</t>
  </si>
  <si>
    <t>Objetivos</t>
  </si>
  <si>
    <t>smf_nm</t>
  </si>
  <si>
    <t>smf_fq</t>
  </si>
  <si>
    <t>Creciente</t>
  </si>
  <si>
    <t>smf_fm</t>
  </si>
  <si>
    <t>smf_lq</t>
  </si>
  <si>
    <t>Menguante</t>
  </si>
  <si>
    <t>smf_day</t>
  </si>
  <si>
    <t>smf_holiday</t>
  </si>
  <si>
    <t>smf_celebration</t>
  </si>
  <si>
    <t>smf_fast</t>
  </si>
  <si>
    <t>smf_breakfast</t>
  </si>
  <si>
    <t>Break fast</t>
  </si>
  <si>
    <t>Romper el ayuno</t>
  </si>
  <si>
    <t>Quebra de jejum</t>
  </si>
  <si>
    <t>smf_time</t>
  </si>
  <si>
    <t>Time</t>
  </si>
  <si>
    <t>Hora</t>
  </si>
  <si>
    <t>smf_yoga</t>
  </si>
  <si>
    <t>Yoga</t>
  </si>
  <si>
    <t>smf_naksatra</t>
  </si>
  <si>
    <t>Naksatra</t>
  </si>
  <si>
    <t>Tables (for Conditional Formatting)</t>
  </si>
  <si>
    <t>Tablas (para formato condicional)</t>
  </si>
  <si>
    <t>Tabelas (para Formatação Condicional)</t>
  </si>
  <si>
    <t>fms_section</t>
  </si>
  <si>
    <t>fms_plan</t>
  </si>
  <si>
    <t>Fin.-Monthly</t>
  </si>
  <si>
    <t>Fin.-Mensual</t>
  </si>
  <si>
    <t>Fin.-Mensal</t>
  </si>
  <si>
    <t>fms_title</t>
  </si>
  <si>
    <t>fms_planej</t>
  </si>
  <si>
    <t>Planning</t>
  </si>
  <si>
    <t>Planificación</t>
  </si>
  <si>
    <t>Planejamento</t>
  </si>
  <si>
    <t>fms_aperf</t>
  </si>
  <si>
    <t>fms_aperfItem1</t>
  </si>
  <si>
    <t>fms_aperfItem2</t>
  </si>
  <si>
    <t>fms_aperfItem3</t>
  </si>
  <si>
    <t>fms_aperfItem4</t>
  </si>
  <si>
    <t>fms_detal</t>
  </si>
  <si>
    <t>Detailing</t>
  </si>
  <si>
    <t>Detallado</t>
  </si>
  <si>
    <t>Detalhamentos</t>
  </si>
  <si>
    <t>fms_diaSem1</t>
  </si>
  <si>
    <t>Do</t>
  </si>
  <si>
    <t>D</t>
  </si>
  <si>
    <t>fms_diaSem2</t>
  </si>
  <si>
    <t>Lu</t>
  </si>
  <si>
    <t>S</t>
  </si>
  <si>
    <t>fms_diaSem3</t>
  </si>
  <si>
    <t>Ma</t>
  </si>
  <si>
    <t>T</t>
  </si>
  <si>
    <t>fms_diaSem4</t>
  </si>
  <si>
    <t>Mi</t>
  </si>
  <si>
    <t>Q</t>
  </si>
  <si>
    <t>fms_diaSem5</t>
  </si>
  <si>
    <t>Ju</t>
  </si>
  <si>
    <t>fms_diaSem6</t>
  </si>
  <si>
    <t>Vi</t>
  </si>
  <si>
    <t>fms_diaSem7</t>
  </si>
  <si>
    <t>fsv_section</t>
  </si>
  <si>
    <t>Fin. Week-Back</t>
  </si>
  <si>
    <t>Fin. Semana-Verso</t>
  </si>
  <si>
    <t>fsv_plan</t>
  </si>
  <si>
    <t>fsv_title</t>
  </si>
  <si>
    <t>fsf_section</t>
  </si>
  <si>
    <t>fsf_plan</t>
  </si>
  <si>
    <t>fsf_title</t>
  </si>
  <si>
    <t>fsf_aperf</t>
  </si>
  <si>
    <t>fsf_impot</t>
  </si>
  <si>
    <t>ane_section</t>
  </si>
  <si>
    <t>ane_plan</t>
  </si>
  <si>
    <t>Anotacoes-Esquerda</t>
  </si>
  <si>
    <t>ane_title</t>
  </si>
  <si>
    <t>Notes</t>
  </si>
  <si>
    <t>Anotaciones</t>
  </si>
  <si>
    <t>Anotações</t>
  </si>
  <si>
    <t>and_section</t>
  </si>
  <si>
    <t>and_plan</t>
  </si>
  <si>
    <t>Anotacoes-Direita</t>
  </si>
  <si>
    <t>and_title</t>
  </si>
  <si>
    <t>cte_section</t>
  </si>
  <si>
    <t>cte_plan</t>
  </si>
  <si>
    <t>cte_title</t>
  </si>
  <si>
    <t>CONTACT</t>
  </si>
  <si>
    <t>CONTACTO</t>
  </si>
  <si>
    <t>CONTATO</t>
  </si>
  <si>
    <t>cte_name</t>
  </si>
  <si>
    <t>cte_ender</t>
  </si>
  <si>
    <t>cte_telef</t>
  </si>
  <si>
    <t>Telefone</t>
  </si>
  <si>
    <t>cte_celul</t>
  </si>
  <si>
    <t>ctd_section</t>
  </si>
  <si>
    <t>ctd_plan</t>
  </si>
  <si>
    <t>ctd_title</t>
  </si>
  <si>
    <t>ctd_name</t>
  </si>
  <si>
    <t>ctd_ender</t>
  </si>
  <si>
    <t>ctd_telef</t>
  </si>
  <si>
    <t>ctd_celul</t>
  </si>
  <si>
    <t>fps_section</t>
  </si>
  <si>
    <t>Fin-Personalization</t>
  </si>
  <si>
    <r>
      <t>Fin</t>
    </r>
    <r>
      <rPr>
        <sz val="10"/>
        <rFont val="Arial"/>
        <family val="2"/>
      </rPr>
      <t>-Personalización</t>
    </r>
  </si>
  <si>
    <t>Fin-Person</t>
  </si>
  <si>
    <t>fps_plan</t>
  </si>
  <si>
    <r>
      <t>Fin</t>
    </r>
    <r>
      <rPr>
        <sz val="10"/>
        <rFont val="Arial"/>
        <family val="2"/>
      </rPr>
      <t>-Personalizacion</t>
    </r>
  </si>
  <si>
    <t>fps_title</t>
  </si>
  <si>
    <t>Financial Planner - Personalization</t>
  </si>
  <si>
    <r>
      <t>Agenda</t>
    </r>
    <r>
      <rPr>
        <sz val="10"/>
        <rFont val="Arial"/>
        <family val="2"/>
      </rPr>
      <t xml:space="preserve"> Financiera - Personalización</t>
    </r>
  </si>
  <si>
    <t>Agenda Financeira - Personalização</t>
  </si>
  <si>
    <t>cit_section</t>
  </si>
  <si>
    <t>cit_plan</t>
  </si>
  <si>
    <t>Citacoes</t>
  </si>
  <si>
    <t>cit_title</t>
  </si>
  <si>
    <t>Quo-tes</t>
  </si>
  <si>
    <t>Cita-ciones</t>
  </si>
  <si>
    <t>Cita-ções</t>
  </si>
  <si>
    <t>cit_linha1</t>
  </si>
  <si>
    <t>Line 1</t>
  </si>
  <si>
    <t>Línea 1</t>
  </si>
  <si>
    <t>Linha 1</t>
  </si>
  <si>
    <t>cit_linha2</t>
  </si>
  <si>
    <t>Line 2</t>
  </si>
  <si>
    <t>Línea 2</t>
  </si>
  <si>
    <t>Linha 2</t>
  </si>
  <si>
    <t>cit_linha3</t>
  </si>
  <si>
    <t>Line 3</t>
  </si>
  <si>
    <t>Línea 3</t>
  </si>
  <si>
    <t>Linha 3</t>
  </si>
  <si>
    <t>cit_linha4</t>
  </si>
  <si>
    <t>Line 4</t>
  </si>
  <si>
    <t>Línea 4</t>
  </si>
  <si>
    <t>Linha 4</t>
  </si>
  <si>
    <t>cit_linha5</t>
  </si>
  <si>
    <t>Line 5</t>
  </si>
  <si>
    <t>Línea 5</t>
  </si>
  <si>
    <t>Linha 5</t>
  </si>
  <si>
    <t>cit_linha6</t>
  </si>
  <si>
    <t>Line 6</t>
  </si>
  <si>
    <t>Línea 6</t>
  </si>
  <si>
    <t>Linha 6</t>
  </si>
  <si>
    <t>cit_linha7</t>
  </si>
  <si>
    <t>Line 7</t>
  </si>
  <si>
    <t>Línea 7</t>
  </si>
  <si>
    <t>Linha 7</t>
  </si>
  <si>
    <t>sys_section</t>
  </si>
  <si>
    <t>sys_cstrWaitLoad</t>
  </si>
  <si>
    <t>Wait: Load calendar data...</t>
  </si>
  <si>
    <t>Aguarde: carregando dados do calendário</t>
  </si>
  <si>
    <t>sys_cstrLoadError</t>
  </si>
  <si>
    <t xml:space="preserve">An error has occurred: </t>
  </si>
  <si>
    <t>sys_cstrGCalNotFound</t>
  </si>
  <si>
    <t>the gcal.exe file not found on current folder.</t>
  </si>
  <si>
    <t>el archivo gcal.exe no se encuentra en el directorio actual.</t>
  </si>
  <si>
    <t>o arquivo gcal.exe não foi encontrado na pasta atual.</t>
  </si>
  <si>
    <t>sys_cstrGCalDownload</t>
  </si>
  <si>
    <t>Download Gcal 11, unzip and copy to the same folder of this file.</t>
  </si>
  <si>
    <t>Descargue Gcal 11, descomprima y copie en el mismo directorio de este archivo.</t>
  </si>
  <si>
    <t>sys_cstrGCalWebsite</t>
  </si>
  <si>
    <t>sys_cstrWorking</t>
  </si>
  <si>
    <t>Working...</t>
  </si>
  <si>
    <t>Carregando...</t>
  </si>
  <si>
    <t>sys_cstrWait</t>
  </si>
  <si>
    <t>sys_cstrOldFilesDel</t>
  </si>
  <si>
    <t>Wait: deleting old files...</t>
  </si>
  <si>
    <r>
      <t>Espere</t>
    </r>
    <r>
      <rPr>
        <sz val="10"/>
        <rFont val="Arial"/>
        <family val="2"/>
      </rPr>
      <t>: eliminar archivos viejos...</t>
    </r>
  </si>
  <si>
    <t>Aguarde: excluindo arquivos anteriores...</t>
  </si>
  <si>
    <t>sys_cstrGCalOpen</t>
  </si>
  <si>
    <t>Wait: opening GCal...</t>
  </si>
  <si>
    <t>Espere: abriendo GCal...</t>
  </si>
  <si>
    <t>Aguarde: abrindo Gcal...</t>
  </si>
  <si>
    <t>sys_cstrLocSelect</t>
  </si>
  <si>
    <t>Wait: selecting location...</t>
  </si>
  <si>
    <t>Espere: selección de la localización...</t>
  </si>
  <si>
    <t>Aguarde: selecionando a localidade...</t>
  </si>
  <si>
    <t>sys_cstrGCalCalc</t>
  </si>
  <si>
    <t>Wait: calculating calendar...</t>
  </si>
  <si>
    <t>Espere: cálculo del calendario...</t>
  </si>
  <si>
    <t>Aguarde: calculando calendário...</t>
  </si>
  <si>
    <t>sys_cstrXMLSave</t>
  </si>
  <si>
    <t>Wait: saving XML Calendar...</t>
  </si>
  <si>
    <t>Espere: guardar Calendario en el xml...</t>
  </si>
  <si>
    <t>Aguarde: salvando Calendário em xml...</t>
  </si>
  <si>
    <t>sys_cstrHTMLSave</t>
  </si>
  <si>
    <t>Wait: saving HTML Calendar...</t>
  </si>
  <si>
    <t>Espere: guardar Calendario en el html...</t>
  </si>
  <si>
    <t>Aguarde: salvando Calendário em html...</t>
  </si>
  <si>
    <t>sys_cstrGCalClose</t>
  </si>
  <si>
    <t>Wait: closing GCal...</t>
  </si>
  <si>
    <t>Espera: cerrando GCal ...</t>
  </si>
  <si>
    <t>Aguarde: fechando Gcal...</t>
  </si>
  <si>
    <t>mhp_section</t>
  </si>
  <si>
    <t>mhp_strMacr_GetWeekDayOfMonth</t>
  </si>
  <si>
    <t>GetWeekDayOfMonth</t>
  </si>
  <si>
    <t>mhp_strCate_GetWeekDayOfMonth</t>
  </si>
  <si>
    <t>CalendarXML</t>
  </si>
  <si>
    <t>mhp_strDesc_GetWeekDayOfMonth</t>
  </si>
  <si>
    <t>Retorna uma data do tipo 'segundo domingo de maio', fornecidos: o ano, o mês, o 'dia da semana' (domingo, segunda, etc.) e o número de 'dias da semana' contados a partir do primeiro dia do mês, inclusive</t>
  </si>
  <si>
    <t>mhp_intNarg_GetWeekDayOfMonth</t>
  </si>
  <si>
    <t>mhp_strArg1_GetWeekDayOfMonth</t>
  </si>
  <si>
    <t>is the desired year</t>
  </si>
  <si>
    <r>
      <t>es</t>
    </r>
    <r>
      <rPr>
        <sz val="10"/>
        <rFont val="Arial"/>
        <family val="2"/>
      </rPr>
      <t xml:space="preserve"> el año deseado</t>
    </r>
  </si>
  <si>
    <t>é o ano desejado</t>
  </si>
  <si>
    <t>mhp_strArg2_GetWeekDayOfMonth</t>
  </si>
  <si>
    <r>
      <t>is</t>
    </r>
    <r>
      <rPr>
        <sz val="10"/>
        <rFont val="Arial"/>
        <family val="2"/>
      </rPr>
      <t xml:space="preserve"> desired month: 1-12 (if less than 1 is considered 1 and greater than 12 is considered 12)</t>
    </r>
  </si>
  <si>
    <r>
      <t>es el mes</t>
    </r>
    <r>
      <rPr>
        <sz val="10"/>
        <rFont val="Arial"/>
        <family val="2"/>
      </rPr>
      <t xml:space="preserve"> deseado: 1-12 (si es inferior a 1 se considera 1 y más de 12 se considera 12)</t>
    </r>
  </si>
  <si>
    <t>é o mês desejado, de 1 a 12 (se menor que 1 será considerado 1 e se maior que 12 será considerado 12)</t>
  </si>
  <si>
    <t>mhp_strArg3_GetWeekDayOfMonth</t>
  </si>
  <si>
    <t>is the 'weekday' searched in month: 1 for Sunday, 2 for Monday, 3 for Tuesday, 4 for Wednesday, 5 for Thursday, 6 to Friday and 7 for Saturday (if less than 1 will be considered 1 and if more than 7 will be considered 7)</t>
  </si>
  <si>
    <t>es el "día de la semana" buscado en el mes: 1 para el domingo, 2 para el lunes, 3 para el martes, 4 para el miércoles, 5 para el jueves, viernes y de 6 a 7 para el sábado (si es inferior a 1 se considera 1, y si más de 7 se considera 7)</t>
  </si>
  <si>
    <t>é o 'dia da semana' procurado no mês: 1 para domingo, 2 para segunda, 3 para terça, 4 para quarta, 5 para quinta, 6 para sexta e 7 para sábado (se menor que 1 será considerado 1 e se maior que 7 será considerado 7)</t>
  </si>
  <si>
    <t>mhp_strArg4_GetWeekDayOfMonth</t>
  </si>
  <si>
    <t>1 to return the first 'day of the week "(Sunday, Monday, etc.) of the month, 2 for second, 3 for third, 4 for fourth, and greater than 4 for the last (returns the fourth if there is not a fifth 'day of the week' in the month)</t>
  </si>
  <si>
    <r>
      <t>1 para retornar el</t>
    </r>
    <r>
      <rPr>
        <sz val="10"/>
        <rFont val="Arial"/>
        <family val="2"/>
      </rPr>
      <t xml:space="preserve"> primer "día de la semana" (domingo, lunes, etc) de cada mes, 2 al segundo, 3 para el tercero, 4 para el cuarto, y más de 4 para lo último (retorna el cuarto si no hay un quinto 'día de la semana' en el mes)</t>
    </r>
  </si>
  <si>
    <t>1 para retornar o primeiro 'dia da semana' (domingo, segunda, etc.) do mês, 2 para segundo, 3 para terceiro, 4 para quarto, e maior que 4 para o último (retorna o quarto se não houver um quinto  'dia da semana' no mês)</t>
  </si>
  <si>
    <t>ref</t>
  </si>
  <si>
    <t>city</t>
  </si>
  <si>
    <t>lon</t>
  </si>
  <si>
    <t>lat</t>
  </si>
  <si>
    <t>tzone</t>
  </si>
  <si>
    <t>tzHours</t>
  </si>
  <si>
    <t>countryInitials</t>
  </si>
  <si>
    <t>country</t>
  </si>
  <si>
    <t>tzName</t>
  </si>
  <si>
    <t>CityValidation</t>
  </si>
  <si>
    <t>Herat</t>
  </si>
  <si>
    <t>+4:30</t>
  </si>
  <si>
    <t>AF</t>
  </si>
  <si>
    <t>Afghanistan</t>
  </si>
  <si>
    <t>+4:30 Asia/Kabul</t>
  </si>
  <si>
    <t>Herat|Afghanistan|62,189999|34,340000|+4:30 Asia/Kabul</t>
  </si>
  <si>
    <t>Jalalabad</t>
  </si>
  <si>
    <t>Jalalabad|Afghanistan|70,449997|34,419998|+4:30 Asia/Kabul</t>
  </si>
  <si>
    <t>Kabul</t>
  </si>
  <si>
    <t>Kabul|Afghanistan|69,183334|34,516666|+4:30 Asia/Kabul</t>
  </si>
  <si>
    <t>Kandahar</t>
  </si>
  <si>
    <t>Kandahar|Afghanistan|65,699997|31,610001|+4:30 Asia/Kabul</t>
  </si>
  <si>
    <t>Kuhestan</t>
  </si>
  <si>
    <t>Kuhestan|Afghanistan|61,197777|34,653889|+4:30 Asia/Kabul</t>
  </si>
  <si>
    <t>Mazar-e Sharif</t>
  </si>
  <si>
    <t>Mazar-e Sharif|Afghanistan|67,112221|36,706944|+4:30 Asia/Kabul</t>
  </si>
  <si>
    <t>Tokzar</t>
  </si>
  <si>
    <t>Tokzar|Afghanistan|66,419998|35,948891|+4:30 Asia/Kabul</t>
  </si>
  <si>
    <t>Zendeh Jan</t>
  </si>
  <si>
    <t>Zendeh Jan|Afghanistan|61,731667|34,345554|+4:30 Asia/Kabul</t>
  </si>
  <si>
    <t>Polican</t>
  </si>
  <si>
    <t>+1:00</t>
  </si>
  <si>
    <t>AL</t>
  </si>
  <si>
    <t>Albania</t>
  </si>
  <si>
    <t>+1:00 Europe/Tirane</t>
  </si>
  <si>
    <t>Polican|Albania|20,098055|40,612221|+1:00 Europe/Tirane</t>
  </si>
  <si>
    <t>Sarande</t>
  </si>
  <si>
    <t>Sarande|Albania|20,005278|39,875557|+1:00 Europe/Tirane</t>
  </si>
  <si>
    <t>Tepelene</t>
  </si>
  <si>
    <t>Tepelene|Albania|20,019167|40,295834|+1:00 Europe/Tirane</t>
  </si>
  <si>
    <t>Tirana</t>
  </si>
  <si>
    <t>Tirana|Albania|19,818890|41,327499|+1:00 Europe/Tirane</t>
  </si>
  <si>
    <t>Algiers</t>
  </si>
  <si>
    <t>DZ</t>
  </si>
  <si>
    <t>Algeria</t>
  </si>
  <si>
    <t>+1:00 Africa/Algiers</t>
  </si>
  <si>
    <t>Algiers|Algeria|3,050556|36,763054|+1:00 Africa/Algiers</t>
  </si>
  <si>
    <t>Annaba</t>
  </si>
  <si>
    <t>Annaba|Algeria|7,766667|36,900002|+1:00 Africa/Algiers</t>
  </si>
  <si>
    <t>Bab Ezzouar</t>
  </si>
  <si>
    <t>Bab Ezzouar|Algeria|3,183333|36,716667|+1:00 Africa/Algiers</t>
  </si>
  <si>
    <t>Batna</t>
  </si>
  <si>
    <t>Batna|Algeria|6,174145|35,555969|+1:00 Africa/Algiers</t>
  </si>
  <si>
    <t>Constantine</t>
  </si>
  <si>
    <t>Constantine|Algeria|6,614722|36,365002|+1:00 Africa/Algiers</t>
  </si>
  <si>
    <t>Oran</t>
  </si>
  <si>
    <t>Oran|Algeria|-0,641667|35,691113|+1:00 Africa/Algiers</t>
  </si>
  <si>
    <t>Zemmora</t>
  </si>
  <si>
    <t>Zemmora|Algeria|0,760000|35,722500|+1:00 Africa/Algiers</t>
  </si>
  <si>
    <t>Zeralda</t>
  </si>
  <si>
    <t>Zeralda|Algeria|2,843333|36,714722|+1:00 Africa/Algiers</t>
  </si>
  <si>
    <t>Zeribet el Oued</t>
  </si>
  <si>
    <t>Zeribet el Oued|Algeria|6,516667|34,683334|+1:00 Africa/Algiers</t>
  </si>
  <si>
    <t>Tafuna</t>
  </si>
  <si>
    <t>-11:00</t>
  </si>
  <si>
    <t>AS</t>
  </si>
  <si>
    <t>American Samoa</t>
  </si>
  <si>
    <t>-11:00 Pacific/Pago_Pago</t>
  </si>
  <si>
    <t>Tafuna|American Samoa|-170,720001|-14,335830|-11:00 Pacific/Pago_Pago</t>
  </si>
  <si>
    <t>la Massana</t>
  </si>
  <si>
    <t>AD</t>
  </si>
  <si>
    <t>Andorra</t>
  </si>
  <si>
    <t>+1:00 Europe/Andorra</t>
  </si>
  <si>
    <t>la Massana|Andorra|1,514826|42,544987|+1:00 Europe/Andorra</t>
  </si>
  <si>
    <t>les Escaldes</t>
  </si>
  <si>
    <t>les Escaldes|Andorra|1,534138|42,507286|+1:00 Europe/Andorra</t>
  </si>
  <si>
    <t>Sant Julia de Loria</t>
  </si>
  <si>
    <t>Sant Julia de Loria|Andorra|1,491287|42,463722|+1:00 Europe/Andorra</t>
  </si>
  <si>
    <t>Huambo</t>
  </si>
  <si>
    <t>AO</t>
  </si>
  <si>
    <t>Angola</t>
  </si>
  <si>
    <t>+1:00 Africa/Luanda</t>
  </si>
  <si>
    <t>Huambo|Angola|15,739166|-12,776111|+1:00 Africa/Luanda</t>
  </si>
  <si>
    <t>Lobito</t>
  </si>
  <si>
    <t>Lobito|Angola|13,545556|-12,348056|+1:00 Africa/Luanda</t>
  </si>
  <si>
    <t>Luanda</t>
  </si>
  <si>
    <t>Luanda|Angola|13,234445|-8,838333|+1:00 Africa/Luanda</t>
  </si>
  <si>
    <t>Luau</t>
  </si>
  <si>
    <t>Luau|Angola|22,233334|-10,700000|+1:00 Africa/Luanda</t>
  </si>
  <si>
    <t>Lucapa</t>
  </si>
  <si>
    <t>Lucapa|Angola|20,750000|-8,416667|+1:00 Africa/Luanda</t>
  </si>
  <si>
    <t>Saurimo</t>
  </si>
  <si>
    <t>Saurimo|Angola|20,400000|-9,650000|+1:00 Africa/Luanda</t>
  </si>
  <si>
    <t>Saint John's</t>
  </si>
  <si>
    <t>-4:00</t>
  </si>
  <si>
    <t>AG</t>
  </si>
  <si>
    <t>Antigua</t>
  </si>
  <si>
    <t>-4:00 America/Antigua</t>
  </si>
  <si>
    <t>Saint John's|Antigua|-61,849998|17,116667|-4:00 America/Antigua</t>
  </si>
  <si>
    <t>Bahia Blanca</t>
  </si>
  <si>
    <t>-3:00</t>
  </si>
  <si>
    <t>AR</t>
  </si>
  <si>
    <t>Argentina</t>
  </si>
  <si>
    <t>-3:00 America/Argentina/Buenos_Aires</t>
  </si>
  <si>
    <t>Bahia Blanca|Argentina|-62,283333|-38,716667|-3:00 America/Argentina/Buenos_Aires</t>
  </si>
  <si>
    <t>Buenos Aires</t>
  </si>
  <si>
    <t>Buenos Aires|Argentina|-58,408813|-34,576126|-3:00 America/Argentina/Buenos_Aires</t>
  </si>
  <si>
    <t>Cordoba</t>
  </si>
  <si>
    <t>-3:00 America/Argentina/Cordoba</t>
  </si>
  <si>
    <t>Cordoba|Argentina|-64,183334|-31,400000|-3:00 America/Argentina/Cordoba</t>
  </si>
  <si>
    <t>Corrientes</t>
  </si>
  <si>
    <t>-3:00 America/Argentina/Tucuman</t>
  </si>
  <si>
    <t>Corrientes|Argentina|-58,833332|-27,466667|-3:00 America/Argentina/Tucuman</t>
  </si>
  <si>
    <t>Formosa</t>
  </si>
  <si>
    <t>Formosa|Argentina|-58,183334|-26,183332|-3:00 America/Argentina/Tucuman</t>
  </si>
  <si>
    <t>La Plata</t>
  </si>
  <si>
    <t>La Plata|Argentina|-57,948891|-34,931389|-3:00 America/Argentina/Buenos_Aires</t>
  </si>
  <si>
    <t>Mar del Plata</t>
  </si>
  <si>
    <t>Mar del Plata|Argentina|-57,549999|-38,000000|-3:00 America/Argentina/Buenos_Aires</t>
  </si>
  <si>
    <t>Mendoza</t>
  </si>
  <si>
    <t>-3:00 America/Argentina/Mendoza</t>
  </si>
  <si>
    <t>Mendoza|Argentina|-68,816666|-32,883335|-3:00 America/Argentina/Mendoza</t>
  </si>
  <si>
    <t>Neuquen</t>
  </si>
  <si>
    <t>Neuquen|Argentina|-68,066666|-38,950001|-3:00 America/Argentina/Mendoza</t>
  </si>
  <si>
    <t>Parana</t>
  </si>
  <si>
    <t>Parana|Argentina|-60,533333|-31,733334|-3:00 America/Argentina/Cordoba</t>
  </si>
  <si>
    <t>Posadas</t>
  </si>
  <si>
    <t>Posadas|Argentina|-55,883335|-27,383333|-3:00 America/Argentina/Buenos_Aires</t>
  </si>
  <si>
    <t>Quilmes</t>
  </si>
  <si>
    <t>Quilmes|Argentina|-58,269444|-34,720280|-3:00 America/Argentina/Buenos_Aires</t>
  </si>
  <si>
    <t>Resistencia</t>
  </si>
  <si>
    <t>Resistencia|Argentina|-58,983334|-27,450001|-3:00 America/Argentina/Tucuman</t>
  </si>
  <si>
    <t>Rosario</t>
  </si>
  <si>
    <t>Rosario|Argentina|-60,666389|-32,951111|-3:00 America/Argentina/Buenos_Aires</t>
  </si>
  <si>
    <t>Salta</t>
  </si>
  <si>
    <t>-3:00 America/Argentina/Jujuy</t>
  </si>
  <si>
    <t>Salta|Argentina|-65,416664|-24,783333|-3:00 America/Argentina/Jujuy</t>
  </si>
  <si>
    <t>San Juan</t>
  </si>
  <si>
    <t>-3:00 America/Argentina/San_Juan</t>
  </si>
  <si>
    <t>San Juan|Argentina|-68,536392|-31,537500|-3:00 America/Argentina/San_Juan</t>
  </si>
  <si>
    <t>San Lorenzo</t>
  </si>
  <si>
    <t>San Lorenzo|Argentina|-58,766666|-28,133333|-3:00 America/Argentina/Cordoba</t>
  </si>
  <si>
    <t>San Miguel de Tucuman</t>
  </si>
  <si>
    <t>San Miguel de Tucuman|Argentina|-65,216667|-26,816668|-3:00 America/Argentina/Tucuman</t>
  </si>
  <si>
    <t>San Salvador de Jujuy</t>
  </si>
  <si>
    <t>San Salvador de Jujuy|Argentina|-65,300003|-24,183332|-3:00 America/Argentina/Jujuy</t>
  </si>
  <si>
    <t>Santa Fe</t>
  </si>
  <si>
    <t>Santa Fe|Argentina|-60,700001|-31,633333|-3:00 America/Argentina/Cordoba</t>
  </si>
  <si>
    <t>Santiago del Estero</t>
  </si>
  <si>
    <t>Santiago del Estero|Argentina|-64,266670|-27,783333|-3:00 America/Argentina/Tucuman</t>
  </si>
  <si>
    <t>Tandil</t>
  </si>
  <si>
    <t>Tandil|Argentina|-59,150002|-37,316666|-3:00 America/Argentina/Buenos_Aires</t>
  </si>
  <si>
    <t>Zarate</t>
  </si>
  <si>
    <t>Zarate|Argentina|-59,035000|-34,092220|-3:00 America/Argentina/Buenos_Aires</t>
  </si>
  <si>
    <t>Kapan</t>
  </si>
  <si>
    <t>+4:00</t>
  </si>
  <si>
    <t>AM</t>
  </si>
  <si>
    <t>Armenia</t>
  </si>
  <si>
    <t>+4:00 Asia/Yerevan</t>
  </si>
  <si>
    <t>Kapan|Armenia|46,415001|39,201111|+4:00 Asia/Yerevan</t>
  </si>
  <si>
    <t>Vayk'</t>
  </si>
  <si>
    <t>Vayk'|Armenia|45,465279|39,691666|+4:00 Asia/Yerevan</t>
  </si>
  <si>
    <t>Vedi</t>
  </si>
  <si>
    <t>Vedi|Armenia|44,727779|39,910557|+4:00 Asia/Yerevan</t>
  </si>
  <si>
    <t>Yerevan</t>
  </si>
  <si>
    <t>Yerevan|Armenia|44,513611|40,181110|+4:00 Asia/Yerevan</t>
  </si>
  <si>
    <t>Oranjestad</t>
  </si>
  <si>
    <t>AW</t>
  </si>
  <si>
    <t>Aruba</t>
  </si>
  <si>
    <t>-4:00 America/Aruba</t>
  </si>
  <si>
    <t>Oranjestad|Aruba|-70,033333|12,516666|-4:00 America/Aruba</t>
  </si>
  <si>
    <t>Adelaide</t>
  </si>
  <si>
    <t>+9:30</t>
  </si>
  <si>
    <t>AU</t>
  </si>
  <si>
    <t>Australia</t>
  </si>
  <si>
    <t>+9:30 Australia/Adelaide</t>
  </si>
  <si>
    <t>Adelaide|Australia|138,600006|-34,933334|+9:30 Australia/Adelaide</t>
  </si>
  <si>
    <t>Brisbane</t>
  </si>
  <si>
    <t>+10:00</t>
  </si>
  <si>
    <t>+10:00 Australia/Brisbane</t>
  </si>
  <si>
    <t>Brisbane|Australia|153,016663|-27,500000|+10:00 Australia/Brisbane</t>
  </si>
  <si>
    <t>Canberra</t>
  </si>
  <si>
    <t>+10:00 Australia/Sydney</t>
  </si>
  <si>
    <t>Canberra|Australia|149,128067|-35,283463|+10:00 Australia/Sydney</t>
  </si>
  <si>
    <t>Melbourne</t>
  </si>
  <si>
    <t>+10:00 Australia/Melbourne</t>
  </si>
  <si>
    <t>Melbourne|Australia|144,963318|-37,813995|+10:00 Australia/Melbourne</t>
  </si>
  <si>
    <t>Murwilumbah</t>
  </si>
  <si>
    <t>Murwilumbah|Australia|153,394592|-28,329203|+10:00 Australia/Sydney</t>
  </si>
  <si>
    <t>Newcastle</t>
  </si>
  <si>
    <t>Newcastle|Australia|151,750000|-32,916668|+10:00 Australia/Sydney</t>
  </si>
  <si>
    <t>Perth</t>
  </si>
  <si>
    <t>+8:00</t>
  </si>
  <si>
    <t>+8:00 Australia/Perth</t>
  </si>
  <si>
    <t>Perth|Australia|115,833336|-31,933332|+8:00 Australia/Perth</t>
  </si>
  <si>
    <t>Roebourne</t>
  </si>
  <si>
    <t>Roebourne|Australia|117,133331|-20,783333|+8:00 Australia/Perth</t>
  </si>
  <si>
    <t>Sydney</t>
  </si>
  <si>
    <t>Sydney|Australia|151,207321|-33,867851|+10:00 Australia/Sydney</t>
  </si>
  <si>
    <t>Victor Harbour</t>
  </si>
  <si>
    <t>Victor Harbour|Australia|138,616669|-35,566666|+9:30 Australia/Adelaide</t>
  </si>
  <si>
    <t>Whyalla</t>
  </si>
  <si>
    <t>Whyalla|Australia|137,583328|-33,033333|+9:30 Australia/Adelaide</t>
  </si>
  <si>
    <t>Wollongong</t>
  </si>
  <si>
    <t>Wollongong|Australia|150,883331|-34,433334|+10:00 Australia/Sydney</t>
  </si>
  <si>
    <t>Graz</t>
  </si>
  <si>
    <t>AT</t>
  </si>
  <si>
    <t>Austria</t>
  </si>
  <si>
    <t>+1:00 Europe/Vienna</t>
  </si>
  <si>
    <t>Graz|Austria|15,450000|47,066666|+1:00 Europe/Vienna</t>
  </si>
  <si>
    <t>Neu-Guntramsdorf</t>
  </si>
  <si>
    <t>Neu-Guntramsdorf|Austria|16,316668|48,066666|+1:00 Europe/Vienna</t>
  </si>
  <si>
    <t>Wien</t>
  </si>
  <si>
    <t>Wien|Austria|16,372076|48,208488|+1:00 Europe/Vienna</t>
  </si>
  <si>
    <t>Zistersdorf</t>
  </si>
  <si>
    <t>Zistersdorf|Austria|16,750000|48,533333|+1:00 Europe/Vienna</t>
  </si>
  <si>
    <t>Zwettl Stift</t>
  </si>
  <si>
    <t>Zwettl Stift|Austria|15,200000|48,616665|+1:00 Europe/Vienna</t>
  </si>
  <si>
    <t>Baku</t>
  </si>
  <si>
    <t>AZ</t>
  </si>
  <si>
    <t>Azerbaijan</t>
  </si>
  <si>
    <t>+4:00 Asia/Baku</t>
  </si>
  <si>
    <t>Baku|Azerbaijan|49,882221|40,395279|+4:00 Asia/Baku</t>
  </si>
  <si>
    <t>Ganca</t>
  </si>
  <si>
    <t>Ganca|Azerbaijan|46,360554|40,682777|+4:00 Asia/Baku</t>
  </si>
  <si>
    <t>Goytapa</t>
  </si>
  <si>
    <t>Goytapa|Azerbaijan|48,595280|39,116665|+4:00 Asia/Baku</t>
  </si>
  <si>
    <t>Icari</t>
  </si>
  <si>
    <t>Icari|Azerbaijan|46,654999|39,082222|+4:00 Asia/Baku</t>
  </si>
  <si>
    <t>Sumqayit</t>
  </si>
  <si>
    <t>Sumqayit|Azerbaijan|49,668610|40,589722|+4:00 Asia/Baku</t>
  </si>
  <si>
    <t>Xocavand</t>
  </si>
  <si>
    <t>Xocavand|Azerbaijan|47,113056|39,795277|+4:00 Asia/Baku</t>
  </si>
  <si>
    <t>Marsh Harbour</t>
  </si>
  <si>
    <t>-5:00</t>
  </si>
  <si>
    <t>BS</t>
  </si>
  <si>
    <t>Bahamas</t>
  </si>
  <si>
    <t>-5:00 America/Nassau</t>
  </si>
  <si>
    <t>Marsh Harbour|Bahamas|-77,050003|26,549999|-5:00 America/Nassau</t>
  </si>
  <si>
    <t>Nassau</t>
  </si>
  <si>
    <t>Nassau|Bahamas|-77,349998|25,083334|-5:00 America/Nassau</t>
  </si>
  <si>
    <t>West End</t>
  </si>
  <si>
    <t>West End|Bahamas|-78,966667|26,683332|-5:00 America/Nassau</t>
  </si>
  <si>
    <t>Jidd Hafs</t>
  </si>
  <si>
    <t>+3:00</t>
  </si>
  <si>
    <t>BH</t>
  </si>
  <si>
    <t>Bahrain</t>
  </si>
  <si>
    <t>+3:00 Asia/Bahrain</t>
  </si>
  <si>
    <t>Jidd Hafs|Bahrain|50,547779|26,218611|+3:00 Asia/Bahrain</t>
  </si>
  <si>
    <t>Madinat `Isa</t>
  </si>
  <si>
    <t>Madinat `Isa|Bahrain|50,547779|26,173611|+3:00 Asia/Bahrain</t>
  </si>
  <si>
    <t>Manama</t>
  </si>
  <si>
    <t>Manama|Bahrain|50,583000|26,218611|+3:00 Asia/Bahrain</t>
  </si>
  <si>
    <t>Sitrah</t>
  </si>
  <si>
    <t>Sitrah|Bahrain|50,620556|26,154722|+3:00 Asia/Bahrain</t>
  </si>
  <si>
    <t>Barisal</t>
  </si>
  <si>
    <t>+6:00</t>
  </si>
  <si>
    <t>BD</t>
  </si>
  <si>
    <t>Bangladesh</t>
  </si>
  <si>
    <t>+6:00 Asia/Dhaka</t>
  </si>
  <si>
    <t>Barisal|Bangladesh|90,371109|22,701944|+6:00 Asia/Dhaka</t>
  </si>
  <si>
    <t>Chittagong</t>
  </si>
  <si>
    <t>Chittagong|Bangladesh|91,836388|22,333055|+6:00 Asia/Dhaka</t>
  </si>
  <si>
    <t>Comilla</t>
  </si>
  <si>
    <t>Comilla|Bangladesh|91,204445|23,457777|+6:00 Asia/Dhaka</t>
  </si>
  <si>
    <t>Cox's Bazar</t>
  </si>
  <si>
    <t>Cox's Bazar|Bangladesh|91,978058|21,442223|+6:00 Asia/Dhaka</t>
  </si>
  <si>
    <t>Dhaka</t>
  </si>
  <si>
    <t>Dhaka|Bangladesh|90,408607|23,723055|+6:00 Asia/Dhaka</t>
  </si>
  <si>
    <t>Dinajpur</t>
  </si>
  <si>
    <t>Dinajpur|Bangladesh|88,633331|25,633333|+6:00 Asia/Dhaka</t>
  </si>
  <si>
    <t>Jessore</t>
  </si>
  <si>
    <t>Jessore|Bangladesh|89,216667|23,166666|+6:00 Asia/Dhaka</t>
  </si>
  <si>
    <t>Khulna</t>
  </si>
  <si>
    <t>Khulna|Bangladesh|89,550003|22,799999|+6:00 Asia/Dhaka</t>
  </si>
  <si>
    <t>Mymensingh</t>
  </si>
  <si>
    <t>Mymensingh|Bangladesh|90,400002|24,750000|+6:00 Asia/Dhaka</t>
  </si>
  <si>
    <t>Narayanganj</t>
  </si>
  <si>
    <t>Narayanganj|Bangladesh|90,501114|23,623333|+6:00 Asia/Dhaka</t>
  </si>
  <si>
    <t>Narsingdi</t>
  </si>
  <si>
    <t>Narsingdi|Bangladesh|90,718056|23,920834|+6:00 Asia/Dhaka</t>
  </si>
  <si>
    <t>Rajshahi</t>
  </si>
  <si>
    <t>Rajshahi|Bangladesh|88,599998|24,366667|+6:00 Asia/Dhaka</t>
  </si>
  <si>
    <t>Rangpur</t>
  </si>
  <si>
    <t>Rangpur|Bangladesh|89,250000|25,750000|+6:00 Asia/Dhaka</t>
  </si>
  <si>
    <t>Sylhet</t>
  </si>
  <si>
    <t>Sylhet|Bangladesh|91,871666|24,896667|+6:00 Asia/Dhaka</t>
  </si>
  <si>
    <t>Teknaf</t>
  </si>
  <si>
    <t>Teknaf|Bangladesh|92,300003|20,866667|+6:00 Asia/Dhaka</t>
  </si>
  <si>
    <t>Thakurgaon</t>
  </si>
  <si>
    <t>Thakurgaon|Bangladesh|88,466667|26,033333|+6:00 Asia/Dhaka</t>
  </si>
  <si>
    <t>Tungi</t>
  </si>
  <si>
    <t>Tungi|Bangladesh|90,405830|23,889999|+6:00 Asia/Dhaka</t>
  </si>
  <si>
    <t>Bridgetown</t>
  </si>
  <si>
    <t>BB</t>
  </si>
  <si>
    <t>Barbados</t>
  </si>
  <si>
    <t>-4:00 America/Barbados</t>
  </si>
  <si>
    <t>Bridgetown|Barbados|-59,616665|13,100000|-4:00 America/Barbados</t>
  </si>
  <si>
    <t>Babruysk</t>
  </si>
  <si>
    <t>+2:00</t>
  </si>
  <si>
    <t>BY</t>
  </si>
  <si>
    <t>Belarus</t>
  </si>
  <si>
    <t>+2:00 Europe/Minsk</t>
  </si>
  <si>
    <t>Babruysk|Belarus|29,233334|53,150002|+2:00 Europe/Minsk</t>
  </si>
  <si>
    <t>Brest</t>
  </si>
  <si>
    <t>Brest|Belarus|23,700001|52,099998|+2:00 Europe/Minsk</t>
  </si>
  <si>
    <t>Homyel'</t>
  </si>
  <si>
    <t>Homyel'|Belarus|30,983334|52,441666|+2:00 Europe/Minsk</t>
  </si>
  <si>
    <t>Hrodna</t>
  </si>
  <si>
    <t>Hrodna|Belarus|23,814722|53,681389|+2:00 Europe/Minsk</t>
  </si>
  <si>
    <t>Minsk</t>
  </si>
  <si>
    <t>Minsk|Belarus|27,566668|53,900002|+2:00 Europe/Minsk</t>
  </si>
  <si>
    <t>Zhabinka</t>
  </si>
  <si>
    <t>Zhabinka|Belarus|24,023333|52,200554|+2:00 Europe/Minsk</t>
  </si>
  <si>
    <t>Zhodzina</t>
  </si>
  <si>
    <t>Zhodzina|Belarus|28,332500|54,098331|+2:00 Europe/Minsk</t>
  </si>
  <si>
    <t>Zhytkavichy</t>
  </si>
  <si>
    <t>Zhytkavichy|Belarus|27,863611|52,228611|+2:00 Europe/Minsk</t>
  </si>
  <si>
    <t>Antwerp</t>
  </si>
  <si>
    <t>BE</t>
  </si>
  <si>
    <t>Belgium</t>
  </si>
  <si>
    <t>+1:00 Europe/Brussels</t>
  </si>
  <si>
    <t>Antwerp|Belgium|4,416667|51,216667|+1:00 Europe/Brussels</t>
  </si>
  <si>
    <t>Brussels</t>
  </si>
  <si>
    <t>Brussels|Belgium|4,352775|50,846596|+1:00 Europe/Brussels</t>
  </si>
  <si>
    <t>Charleroi</t>
  </si>
  <si>
    <t>Charleroi|Belgium|4,433333|50,416668|+1:00 Europe/Brussels</t>
  </si>
  <si>
    <t>Gent</t>
  </si>
  <si>
    <t>Gent|Belgium|3,716667|51,049999|+1:00 Europe/Brussels</t>
  </si>
  <si>
    <t>Zutendaal</t>
  </si>
  <si>
    <t>Zutendaal|Belgium|5,566667|50,933334|+1:00 Europe/Brussels</t>
  </si>
  <si>
    <t>Zwevegem</t>
  </si>
  <si>
    <t>Zwevegem|Belgium|3,333333|50,799999|+1:00 Europe/Brussels</t>
  </si>
  <si>
    <t>Zwijndrecht</t>
  </si>
  <si>
    <t>Zwijndrecht|Belgium|4,333333|51,216667|+1:00 Europe/Brussels</t>
  </si>
  <si>
    <t>Punta Gorda</t>
  </si>
  <si>
    <t>-6:00</t>
  </si>
  <si>
    <t>BZ</t>
  </si>
  <si>
    <t>Belize</t>
  </si>
  <si>
    <t>-6:00 America/Belize</t>
  </si>
  <si>
    <t>Punta Gorda|Belize|-88,800003|16,100000|-6:00 America/Belize</t>
  </si>
  <si>
    <t>San Ignacio</t>
  </si>
  <si>
    <t>San Ignacio|Belize|-89,071388|17,156111|-6:00 America/Belize</t>
  </si>
  <si>
    <t>San Pedro</t>
  </si>
  <si>
    <t>San Pedro|Belize|-87,949997|17,916666|-6:00 America/Belize</t>
  </si>
  <si>
    <t>Abomey-Calavi</t>
  </si>
  <si>
    <t>BJ</t>
  </si>
  <si>
    <t>Benin</t>
  </si>
  <si>
    <t>+1:00 Africa/Porto-Novo</t>
  </si>
  <si>
    <t>Abomey-Calavi|Benin|2,350000|6,450000|+1:00 Africa/Porto-Novo</t>
  </si>
  <si>
    <t>Cotonou</t>
  </si>
  <si>
    <t>Cotonou|Benin|2,433333|6,350000|+1:00 Africa/Porto-Novo</t>
  </si>
  <si>
    <t>Djougou</t>
  </si>
  <si>
    <t>Djougou|Benin|1,666944|9,705000|+1:00 Africa/Porto-Novo</t>
  </si>
  <si>
    <t>Porto-Novo</t>
  </si>
  <si>
    <t>Porto-Novo|Benin|2,616667|6,483333|+1:00 Africa/Porto-Novo</t>
  </si>
  <si>
    <t>Save</t>
  </si>
  <si>
    <t>Save|Benin|2,483333|8,033333|+1:00 Africa/Porto-Novo</t>
  </si>
  <si>
    <t>Tanguieta</t>
  </si>
  <si>
    <t>Tanguieta|Benin|1,264444|10,619722|+1:00 Africa/Porto-Novo</t>
  </si>
  <si>
    <t>Tchaourou</t>
  </si>
  <si>
    <t>Tchaourou|Benin|2,600000|8,883333|+1:00 Africa/Porto-Novo</t>
  </si>
  <si>
    <t>Phuntsholing</t>
  </si>
  <si>
    <t>BT</t>
  </si>
  <si>
    <t>Bhutan</t>
  </si>
  <si>
    <t>+6:00 Asia/Thimphu</t>
  </si>
  <si>
    <t>Phuntsholing|Bhutan|89,383331|26,850000|+6:00 Asia/Thimphu</t>
  </si>
  <si>
    <t>Cochabamba</t>
  </si>
  <si>
    <t>BO</t>
  </si>
  <si>
    <t>Bolivia</t>
  </si>
  <si>
    <t>-4:00 America/La_Paz</t>
  </si>
  <si>
    <t>Cochabamba|Bolivia|-66,150002|-17,383333|-4:00 America/La_Paz</t>
  </si>
  <si>
    <t>La Paz</t>
  </si>
  <si>
    <t>La Paz|Bolivia|-68,150002|-16,500000|-4:00 America/La_Paz</t>
  </si>
  <si>
    <t>Oruro</t>
  </si>
  <si>
    <t>Oruro|Bolivia|-67,150002|-17,983334|-4:00 America/La_Paz</t>
  </si>
  <si>
    <t>Puerto Quijarro</t>
  </si>
  <si>
    <t>Puerto Quijarro|Bolivia|-57,766666|-17,783333|-4:00 America/La_Paz</t>
  </si>
  <si>
    <t>Robore</t>
  </si>
  <si>
    <t>Robore|Bolivia|-59,750000|-18,333334|-4:00 America/La_Paz</t>
  </si>
  <si>
    <t>San Matias</t>
  </si>
  <si>
    <t>San Matias|Bolivia|-58,400002|-16,366667|-4:00 America/La_Paz</t>
  </si>
  <si>
    <t>Santa Cruz de la Sierra</t>
  </si>
  <si>
    <t>Santa Cruz de la Sierra|Bolivia|-63,166668|-17,799999|-4:00 America/La_Paz</t>
  </si>
  <si>
    <t>Sucre</t>
  </si>
  <si>
    <t>Sucre|Bolivia|-65,259163|-19,043056|-4:00 America/La_Paz</t>
  </si>
  <si>
    <t>Banja Luka</t>
  </si>
  <si>
    <t>BA</t>
  </si>
  <si>
    <t>Bosnia and Herzegovina</t>
  </si>
  <si>
    <t>+1:00 Europe/Sarajevo</t>
  </si>
  <si>
    <t>Banja Luka|Bosnia and Herzegovina|17,185556|44,775833|+1:00 Europe/Sarajevo</t>
  </si>
  <si>
    <t>Sarajevo</t>
  </si>
  <si>
    <t>Sarajevo|Bosnia and Herzegovina|18,383333|43,849998|+1:00 Europe/Sarajevo</t>
  </si>
  <si>
    <t>Zepce</t>
  </si>
  <si>
    <t>Zepce|Bosnia and Herzegovina|18,037777|44,426666|+1:00 Europe/Sarajevo</t>
  </si>
  <si>
    <t>Zivinice</t>
  </si>
  <si>
    <t>Zivinice|Bosnia and Herzegovina|18,649723|44,449444|+1:00 Europe/Sarajevo</t>
  </si>
  <si>
    <t>Zvornik</t>
  </si>
  <si>
    <t>Zvornik|Bosnia and Herzegovina|19,101389|44,386944|+1:00 Europe/Sarajevo</t>
  </si>
  <si>
    <t>Gaborone</t>
  </si>
  <si>
    <t>BW</t>
  </si>
  <si>
    <t>Botswana</t>
  </si>
  <si>
    <t>+2:00 Africa/Gaborone</t>
  </si>
  <si>
    <t>Gaborone|Botswana|25,911945|-24,646389|+2:00 Africa/Gaborone</t>
  </si>
  <si>
    <t>Shakawe</t>
  </si>
  <si>
    <t>Shakawe|Botswana|21,850000|-18,366667|+2:00 Africa/Gaborone</t>
  </si>
  <si>
    <t>Thamaga</t>
  </si>
  <si>
    <t>Thamaga|Botswana|25,533333|-24,716667|+2:00 Africa/Gaborone</t>
  </si>
  <si>
    <t>Tonota</t>
  </si>
  <si>
    <t>Tonota|Botswana|27,483334|-21,483334|+2:00 Africa/Gaborone</t>
  </si>
  <si>
    <t>Ananindeua</t>
  </si>
  <si>
    <t>BR</t>
  </si>
  <si>
    <t>-3:00 America/Belem</t>
  </si>
  <si>
    <t>Ananindeua|Brazil|-48,372223|-1,365556|-3:00 America/Belem</t>
  </si>
  <si>
    <t>Anapolis</t>
  </si>
  <si>
    <t>-3:00 America/Sao_Paulo</t>
  </si>
  <si>
    <t>Anapolis|Brazil|-48,952778|-16,326666|-3:00 America/Sao_Paulo</t>
  </si>
  <si>
    <t>Aracaju</t>
  </si>
  <si>
    <t>-3:00 America/Maceio</t>
  </si>
  <si>
    <t>Aracaju|Brazil|-37,071667|-10,911111|-3:00 America/Maceio</t>
  </si>
  <si>
    <t>Barueri</t>
  </si>
  <si>
    <t>Barueri|Brazil|-46,876110|-23,510555|-3:00 America/Sao_Paulo</t>
  </si>
  <si>
    <t>Bauru</t>
  </si>
  <si>
    <t>Bauru|Brazil|-49,060555|-22,314722|-3:00 America/Sao_Paulo</t>
  </si>
  <si>
    <t>Belem</t>
  </si>
  <si>
    <t>Belem|Brazil|-48,504444|-1,455833|-3:00 America/Belem</t>
  </si>
  <si>
    <t>Belford Roxo</t>
  </si>
  <si>
    <t>Belford Roxo|Brazil|-43,399445|-22,764166|-3:00 America/Sao_Paulo</t>
  </si>
  <si>
    <t>Belo Horizonte</t>
  </si>
  <si>
    <t>Belo Horizonte|Brazil|-43,937778|-19,920834|-3:00 America/Sao_Paulo</t>
  </si>
  <si>
    <t>Betim</t>
  </si>
  <si>
    <t>Betim|Brazil|-44,198334|-19,967777|-3:00 America/Sao_Paulo</t>
  </si>
  <si>
    <t>Blumenau</t>
  </si>
  <si>
    <t>Blumenau|Brazil|-49,066113|-26,919445|-3:00 America/Sao_Paulo</t>
  </si>
  <si>
    <t>Boa Vista</t>
  </si>
  <si>
    <t>-4:00 America/Boa_Vista</t>
  </si>
  <si>
    <t>Boa Vista|Brazil|-60,673332|2,819722|-4:00 America/Boa_Vista</t>
  </si>
  <si>
    <t>Brasilia</t>
  </si>
  <si>
    <t>Brasilia|Brazil|-47,929722|-15,779720|-3:00 America/Sao_Paulo</t>
  </si>
  <si>
    <t>Campina Grande</t>
  </si>
  <si>
    <t>Campina Grande|Brazil|-35,881111|-7,230556|-3:00 America/Recife</t>
  </si>
  <si>
    <t>Campinas</t>
  </si>
  <si>
    <t>Campinas|Brazil|-47,060833|-22,905556|-3:00 America/Sao_Paulo</t>
  </si>
  <si>
    <t>Campo Grande</t>
  </si>
  <si>
    <t>-3:00 America/Campo_Grande</t>
  </si>
  <si>
    <t>Campo Grande|Brazil|-54,646389|-20,442778|-3:00 America/Campo_Grande</t>
  </si>
  <si>
    <t>Campos</t>
  </si>
  <si>
    <t>Campos|Brazil|-41,299999|-21,750000|-3:00 America/Sao_Paulo</t>
  </si>
  <si>
    <t>Canoas</t>
  </si>
  <si>
    <t>Canoas|Brazil|-51,183613|-29,917778|-3:00 America/Sao_Paulo</t>
  </si>
  <si>
    <t>Carapicuiba</t>
  </si>
  <si>
    <t>Carapicuiba|Brazil|-46,835556|-23,522499|-3:00 America/Sao_Paulo</t>
  </si>
  <si>
    <t>Caruaru</t>
  </si>
  <si>
    <t>Caruaru|Brazil|-35,976112|-8,283334|-3:00 America/Recife</t>
  </si>
  <si>
    <t>Cascavel</t>
  </si>
  <si>
    <t>Cascavel|Brazil|-53,455276|-24,955833|-3:00 America/Sao_Paulo</t>
  </si>
  <si>
    <t>Caucaia</t>
  </si>
  <si>
    <t>-3:00 America/Fortaleza</t>
  </si>
  <si>
    <t>Caucaia|Brazil|-38,653057|-3,736111|-3:00 America/Fortaleza</t>
  </si>
  <si>
    <t>Caxias do Sul</t>
  </si>
  <si>
    <t>Caxias do Sul|Brazil|-51,179443|-29,168056|-3:00 America/Sao_Paulo</t>
  </si>
  <si>
    <t>Colombo</t>
  </si>
  <si>
    <t>Colombo|Brazil|-49,224167|-25,291666|-3:00 America/Sao_Paulo</t>
  </si>
  <si>
    <t>Contagem</t>
  </si>
  <si>
    <t>Contagem|Brazil|-44,053612|-19,931667|-3:00 America/Sao_Paulo</t>
  </si>
  <si>
    <t>Cuiaba</t>
  </si>
  <si>
    <t>-3:00 America/Cuiaba</t>
  </si>
  <si>
    <t>Cuiaba|Brazil|-56,096668|-15,596111|-3:00 America/Cuiaba</t>
  </si>
  <si>
    <t>Curitiba</t>
  </si>
  <si>
    <t>Curitiba|Brazil|-49,273056|-25,427778|-3:00 America/Sao_Paulo</t>
  </si>
  <si>
    <t>Diadema</t>
  </si>
  <si>
    <t>Diadema|Brazil|-46,622776|-23,686111|-3:00 America/Sao_Paulo</t>
  </si>
  <si>
    <t>Duque de Caxias</t>
  </si>
  <si>
    <t>Duque de Caxias|Brazil|-43,311668|-22,785555|-3:00 America/Sao_Paulo</t>
  </si>
  <si>
    <t>Embu</t>
  </si>
  <si>
    <t>Embu|Brazil|-46,852222|-23,648890|-3:00 America/Sao_Paulo</t>
  </si>
  <si>
    <t>Feira de Santana</t>
  </si>
  <si>
    <t>-3:00 America/Bahia</t>
  </si>
  <si>
    <t>Feira de Santana|Brazil|-38,966667|-12,266666|-3:00 America/Bahia</t>
  </si>
  <si>
    <t>Florianopolis</t>
  </si>
  <si>
    <t>Florianopolis|Brazil|-48,549168|-27,596666|-3:00 America/Sao_Paulo</t>
  </si>
  <si>
    <t>Fortaleza</t>
  </si>
  <si>
    <t>Fortaleza|Brazil|-38,543056|-3,717222|-3:00 America/Fortaleza</t>
  </si>
  <si>
    <t>Foz do Iguacu</t>
  </si>
  <si>
    <t>Foz do Iguacu|Brazil|-54,588055|-25,547777|-3:00 America/Sao_Paulo</t>
  </si>
  <si>
    <t>Franca</t>
  </si>
  <si>
    <t>Franca|Brazil|-47,400833|-20,538610|-3:00 America/Sao_Paulo</t>
  </si>
  <si>
    <t>Goiania</t>
  </si>
  <si>
    <t>Goiania|Brazil|-49,253887|-16,678612|-3:00 America/Sao_Paulo</t>
  </si>
  <si>
    <t>Governador Valadares</t>
  </si>
  <si>
    <t>Governador Valadares|Brazil|-41,949444|-18,851110|-3:00 America/Sao_Paulo</t>
  </si>
  <si>
    <t>Gravatai</t>
  </si>
  <si>
    <t>Gravatai|Brazil|-50,991943|-29,944445|-3:00 America/Sao_Paulo</t>
  </si>
  <si>
    <t>Guaruja</t>
  </si>
  <si>
    <t>Guaruja|Brazil|-46,256390|-23,993055|-3:00 America/Sao_Paulo</t>
  </si>
  <si>
    <t>Guarulhos</t>
  </si>
  <si>
    <t>Guarulhos|Brazil|-46,533333|-23,462778|-3:00 America/Sao_Paulo</t>
  </si>
  <si>
    <t>Hortolandia</t>
  </si>
  <si>
    <t>Hortolandia|Brazil|-47,220001|-22,858334|-3:00 America/Sao_Paulo</t>
  </si>
  <si>
    <t>Imperatriz</t>
  </si>
  <si>
    <t>-3:00 America/Araguaina</t>
  </si>
  <si>
    <t>Imperatriz|Brazil|-47,491665|-5,526389|-3:00 America/Araguaina</t>
  </si>
  <si>
    <t>Ipatinga</t>
  </si>
  <si>
    <t>Ipatinga|Brazil|-42,536667|-19,468334|-3:00 America/Sao_Paulo</t>
  </si>
  <si>
    <t>Itabuna</t>
  </si>
  <si>
    <t>Itabuna|Brazil|-39,280277|-14,785556|-3:00 America/Bahia</t>
  </si>
  <si>
    <t>Itapevi</t>
  </si>
  <si>
    <t>Itapevi|Brazil|-46,934166|-23,548889|-3:00 America/Sao_Paulo</t>
  </si>
  <si>
    <t>Itaquaquecetuba</t>
  </si>
  <si>
    <t>Itaquaquecetuba|Brazil|-46,348331|-23,486111|-3:00 America/Sao_Paulo</t>
  </si>
  <si>
    <t>Jaboatao</t>
  </si>
  <si>
    <t>Jaboatao|Brazil|-35,001389|-8,180278|-3:00 America/Recife</t>
  </si>
  <si>
    <t>Jaboatao dos Guararapes</t>
  </si>
  <si>
    <t>Jaboatao dos Guararapes|Brazil|-35,014721|-8,112778|-3:00 America/Recife</t>
  </si>
  <si>
    <t>Jacarei</t>
  </si>
  <si>
    <t>Jacarei|Brazil|-45,965832|-23,305277|-3:00 America/Sao_Paulo</t>
  </si>
  <si>
    <t>Joao Pessoa</t>
  </si>
  <si>
    <t>Joao Pessoa|Brazil|-34,863056|-7,115000|-3:00 America/Recife</t>
  </si>
  <si>
    <t>Joinville</t>
  </si>
  <si>
    <t>Joinville|Brazil|-48,845554|-26,304445|-3:00 America/Sao_Paulo</t>
  </si>
  <si>
    <t>Juazeiro do Norte</t>
  </si>
  <si>
    <t>Juazeiro do Norte|Brazil|-39,315277|-7,213056|-3:00 America/Fortaleza</t>
  </si>
  <si>
    <t>Juiz de Fora</t>
  </si>
  <si>
    <t>Juiz de Fora|Brazil|-43,350277|-21,764166|-3:00 America/Sao_Paulo</t>
  </si>
  <si>
    <t>Jundiai</t>
  </si>
  <si>
    <t>Jundiai|Brazil|-46,884167|-23,186388|-3:00 America/Sao_Paulo</t>
  </si>
  <si>
    <t>Limeira</t>
  </si>
  <si>
    <t>Limeira|Brazil|-47,401669|-22,564722|-3:00 America/Sao_Paulo</t>
  </si>
  <si>
    <t>Londrina</t>
  </si>
  <si>
    <t>Londrina|Brazil|-51,162777|-23,310278|-3:00 America/Sao_Paulo</t>
  </si>
  <si>
    <t>Macapa</t>
  </si>
  <si>
    <t>Macapa|Brazil|-51,066387|0,038889|-3:00 America/Belem</t>
  </si>
  <si>
    <t>Maceio</t>
  </si>
  <si>
    <t>Maceio|Brazil|-35,735279|-9,665833|-3:00 America/Maceio</t>
  </si>
  <si>
    <t>Manaus</t>
  </si>
  <si>
    <t>-4:00 America/Manaus</t>
  </si>
  <si>
    <t>Manaus|Brazil|-60,025002|-3,101944|-4:00 America/Manaus</t>
  </si>
  <si>
    <t>Marilia</t>
  </si>
  <si>
    <t>Marilia|Brazil|-49,945835|-22,213888|-3:00 America/Sao_Paulo</t>
  </si>
  <si>
    <t>Maringa</t>
  </si>
  <si>
    <t>Maringa|Brazil|-51,938610|-23,425278|-3:00 America/Sao_Paulo</t>
  </si>
  <si>
    <t>Maua</t>
  </si>
  <si>
    <t>Maua|Brazil|-46,461388|-23,667778|-3:00 America/Sao_Paulo</t>
  </si>
  <si>
    <t>Moji das Cruzes</t>
  </si>
  <si>
    <t>Moji das Cruzes|Brazil|-46,188332|-23,522778|-3:00 America/Sao_Paulo</t>
  </si>
  <si>
    <t>Montes Claros</t>
  </si>
  <si>
    <t>Montes Claros|Brazil|-43,861668|-16,735001|-3:00 America/Bahia</t>
  </si>
  <si>
    <t>Mossoro</t>
  </si>
  <si>
    <t>Mossoro|Brazil|-37,344166|-5,187500|-3:00 America/Fortaleza</t>
  </si>
  <si>
    <t>Natal|Brazil|-35,209446|-5,795000|-3:00 America/Recife</t>
  </si>
  <si>
    <t>Niteroi</t>
  </si>
  <si>
    <t>Niteroi|Brazil|-43,103611|-22,883333|-3:00 America/Sao_Paulo</t>
  </si>
  <si>
    <t>Nova Iguacu</t>
  </si>
  <si>
    <t>Nova Iguacu|Brazil|-43,451111|-22,759167|-3:00 America/Sao_Paulo</t>
  </si>
  <si>
    <t>Novo Hamburgo</t>
  </si>
  <si>
    <t>Novo Hamburgo|Brazil|-51,130554|-29,678333|-3:00 America/Sao_Paulo</t>
  </si>
  <si>
    <t>Olinda</t>
  </si>
  <si>
    <t>Olinda|Brazil|-34,855278|-8,008889|-3:00 America/Recife</t>
  </si>
  <si>
    <t>Osasco</t>
  </si>
  <si>
    <t>Osasco|Brazil|-46,791668|-23,532499|-3:00 America/Sao_Paulo</t>
  </si>
  <si>
    <t>Paulista</t>
  </si>
  <si>
    <t>Paulista|Brazil|-34,873055|-7,940834|-3:00 America/Recife</t>
  </si>
  <si>
    <t>Pelotas</t>
  </si>
  <si>
    <t>Pelotas|Brazil|-52,342499|-31,771944|-3:00 America/Sao_Paulo</t>
  </si>
  <si>
    <t>Petropolis</t>
  </si>
  <si>
    <t>Petropolis|Brazil|-43,178612|-22,504999|-3:00 America/Sao_Paulo</t>
  </si>
  <si>
    <t>Piracicaba</t>
  </si>
  <si>
    <t>Piracicaba|Brazil|-47,649166|-22,725277|-3:00 America/Sao_Paulo</t>
  </si>
  <si>
    <t>Ponta Grossa</t>
  </si>
  <si>
    <t>Ponta Grossa|Brazil|-50,161945|-25,094999|-3:00 America/Sao_Paulo</t>
  </si>
  <si>
    <t>Porto Alegre</t>
  </si>
  <si>
    <t>Porto Alegre|Brazil|-51,230000|-30,033056|-3:00 America/Sao_Paulo</t>
  </si>
  <si>
    <t>Porto Velho</t>
  </si>
  <si>
    <t>-4:00 America/Porto_Velho</t>
  </si>
  <si>
    <t>Porto Velho|Brazil|-63,903889|-8,761945|-4:00 America/Porto_Velho</t>
  </si>
  <si>
    <t>Praia Grande</t>
  </si>
  <si>
    <t>Praia Grande|Brazil|-46,402779|-24,005833|-3:00 America/Sao_Paulo</t>
  </si>
  <si>
    <t>Presidente Prudente</t>
  </si>
  <si>
    <t>Presidente Prudente|Brazil|-51,388889|-22,125555|-3:00 America/Sao_Paulo</t>
  </si>
  <si>
    <t>Ribeirao das Neves</t>
  </si>
  <si>
    <t>Ribeirao das Neves|Brazil|-44,086666|-19,766945|-3:00 America/Sao_Paulo</t>
  </si>
  <si>
    <t>Ribeirao Preto</t>
  </si>
  <si>
    <t>Ribeirao Preto|Brazil|-47,810276|-21,177500|-3:00 America/Sao_Paulo</t>
  </si>
  <si>
    <t>Rio Branco</t>
  </si>
  <si>
    <t>-5:00 America/Rio_Branco</t>
  </si>
  <si>
    <t>Rio Branco|Brazil|-67,809998|-9,974722|-5:00 America/Rio_Branco</t>
  </si>
  <si>
    <t>Rio de Janeiro</t>
  </si>
  <si>
    <t>Rio de Janeiro|Brazil|-43,207500|-22,902779|-3:00 America/Sao_Paulo</t>
  </si>
  <si>
    <t>Salvador</t>
  </si>
  <si>
    <t>Salvador|Brazil|-38,510834|-12,971111|-3:00 America/Bahia</t>
  </si>
  <si>
    <t>Santa Luzia</t>
  </si>
  <si>
    <t>Santa Luzia|Brazil|-43,851387|-19,769722|-3:00 America/Sao_Paulo</t>
  </si>
  <si>
    <t>Santa Maria</t>
  </si>
  <si>
    <t>Santa Maria|Brazil|-53,806946|-29,684166|-3:00 America/Sao_Paulo</t>
  </si>
  <si>
    <t>Santo Andre</t>
  </si>
  <si>
    <t>Santo Andre|Brazil|-46,538334|-23,663889|-3:00 America/Sao_Paulo</t>
  </si>
  <si>
    <t>Santos</t>
  </si>
  <si>
    <t>Santos|Brazil|-46,333611|-23,960833|-3:00 America/Sao_Paulo</t>
  </si>
  <si>
    <t>Sao Bernardo do Campo</t>
  </si>
  <si>
    <t>Sao Bernardo do Campo|Brazil|-46,564999|-23,693890|-3:00 America/Sao_Paulo</t>
  </si>
  <si>
    <t>Sao Carlos</t>
  </si>
  <si>
    <t>Sao Carlos|Brazil|-47,890835|-22,017500|-3:00 America/Sao_Paulo</t>
  </si>
  <si>
    <t>Sao Joao de Meriti</t>
  </si>
  <si>
    <t>Sao Joao de Meriti|Brazil|-43,372223|-22,803888|-3:00 America/Sao_Paulo</t>
  </si>
  <si>
    <t>Sao Jose do Rio Preto</t>
  </si>
  <si>
    <t>Sao Jose do Rio Preto|Brazil|-49,379444|-20,819723|-3:00 America/Sao_Paulo</t>
  </si>
  <si>
    <t>Sao Jose dos Campos</t>
  </si>
  <si>
    <t>Sao Jose dos Campos|Brazil|-45,886944|-23,179445|-3:00 America/Sao_Paulo</t>
  </si>
  <si>
    <t>Sao Leopoldo</t>
  </si>
  <si>
    <t>Sao Leopoldo|Brazil|-51,147221|-29,760279|-3:00 America/Sao_Paulo</t>
  </si>
  <si>
    <t>Sao Luis</t>
  </si>
  <si>
    <t>Sao Luis|Brazil|-44,302776|-2,529722|-3:00 America/Belem</t>
  </si>
  <si>
    <t>Sao Paulo</t>
  </si>
  <si>
    <t>Sao Paulo|Brazil|-46,636112|-23,547501|-3:00 America/Sao_Paulo</t>
  </si>
  <si>
    <t>Sao Vicente</t>
  </si>
  <si>
    <t>Sao Vicente|Brazil|-46,391945|-23,963055|-3:00 America/Sao_Paulo</t>
  </si>
  <si>
    <t>Serra</t>
  </si>
  <si>
    <t>Serra|Brazil|-40,307777|-20,128611|-3:00 America/Sao_Paulo</t>
  </si>
  <si>
    <t>Sete Lagoas</t>
  </si>
  <si>
    <t>Sete Lagoas|Brazil|-44,246666|-19,465834|-3:00 America/Sao_Paulo</t>
  </si>
  <si>
    <t>Sorocaba</t>
  </si>
  <si>
    <t>Sorocaba|Brazil|-47,458057|-23,501667|-3:00 America/Sao_Paulo</t>
  </si>
  <si>
    <t>Sumare</t>
  </si>
  <si>
    <t>Sumare|Brazil|-47,266945|-22,821945|-3:00 America/Sao_Paulo</t>
  </si>
  <si>
    <t>Suzano</t>
  </si>
  <si>
    <t>Suzano|Brazil|-46,310833|-23,542500|-3:00 America/Sao_Paulo</t>
  </si>
  <si>
    <t>Taboao da Serra</t>
  </si>
  <si>
    <t>Taboao da Serra|Brazil|-46,791668|-23,626112|-3:00 America/Sao_Paulo</t>
  </si>
  <si>
    <t>Taubate</t>
  </si>
  <si>
    <t>Taubate|Brazil|-45,555279|-23,026388|-3:00 America/Sao_Paulo</t>
  </si>
  <si>
    <t>Teresina</t>
  </si>
  <si>
    <t>Teresina|Brazil|-42,801945|-5,089167|-3:00 America/Fortaleza</t>
  </si>
  <si>
    <t>Uberaba</t>
  </si>
  <si>
    <t>Uberaba|Brazil|-47,931946|-19,748333|-3:00 America/Sao_Paulo</t>
  </si>
  <si>
    <t>Uberlandia</t>
  </si>
  <si>
    <t>Uberlandia|Brazil|-48,277222|-18,918612|-3:00 America/Sao_Paulo</t>
  </si>
  <si>
    <t>Varzea Grande</t>
  </si>
  <si>
    <t>Varzea Grande|Brazil|-56,132500|-15,646667|-3:00 America/Cuiaba</t>
  </si>
  <si>
    <t>Viamao</t>
  </si>
  <si>
    <t>Viamao|Brazil|-51,023335|-30,081112|-3:00 America/Sao_Paulo</t>
  </si>
  <si>
    <t>Vila Velha</t>
  </si>
  <si>
    <t>Vila Velha|Brazil|-40,292500|-20,329721|-3:00 America/Sao_Paulo</t>
  </si>
  <si>
    <t>Vitoria</t>
  </si>
  <si>
    <t>Vitoria|Brazil|-40,337776|-20,319445|-3:00 America/Sao_Paulo</t>
  </si>
  <si>
    <t>Vitoria da Conquista</t>
  </si>
  <si>
    <t>Vitoria da Conquista|Brazil|-40,839443|-14,866111|-3:00 America/Bahia</t>
  </si>
  <si>
    <t>Vitoria de Santo Antao</t>
  </si>
  <si>
    <t>Vitoria de Santo Antao|Brazil|-35,291389|-8,118055|-3:00 America/Recife</t>
  </si>
  <si>
    <t>Vitoria do Mearim</t>
  </si>
  <si>
    <t>Vitoria do Mearim|Brazil|-44,870556|-3,462222|-3:00 America/Belem</t>
  </si>
  <si>
    <t>Vitorino Freire</t>
  </si>
  <si>
    <t>Vitorino Freire|Brazil|-45,166668|-4,066667|-3:00 America/Belem</t>
  </si>
  <si>
    <t>Volta Redonda</t>
  </si>
  <si>
    <t>Volta Redonda|Brazil|-44,104168|-22,523056|-3:00 America/Sao_Paulo</t>
  </si>
  <si>
    <t>Kuala Belait</t>
  </si>
  <si>
    <t>BN</t>
  </si>
  <si>
    <t>Brunei</t>
  </si>
  <si>
    <t>+8:00 Asia/Brunei</t>
  </si>
  <si>
    <t>Kuala Belait|Brunei|114,183334|4,583333|+8:00 Asia/Brunei</t>
  </si>
  <si>
    <t>Seria</t>
  </si>
  <si>
    <t>Seria|Brunei|114,316666|4,616667|+8:00 Asia/Brunei</t>
  </si>
  <si>
    <t>Tutong</t>
  </si>
  <si>
    <t>Tutong|Brunei|114,650002|4,800000|+8:00 Asia/Brunei</t>
  </si>
  <si>
    <t>Beloslav</t>
  </si>
  <si>
    <t>BG</t>
  </si>
  <si>
    <t>Bulgaria</t>
  </si>
  <si>
    <t>+2:00 Europe/Sofia</t>
  </si>
  <si>
    <t>Beloslav|Bulgaria|27,700001|43,183334|+2:00 Europe/Sofia</t>
  </si>
  <si>
    <t>Plovdiv</t>
  </si>
  <si>
    <t>Plovdiv|Bulgaria|24,750000|42,150002|+2:00 Europe/Sofia</t>
  </si>
  <si>
    <t>Sofia</t>
  </si>
  <si>
    <t>Sofia|Bulgaria|23,324146|42,697514|+2:00 Europe/Sofia</t>
  </si>
  <si>
    <t>Varna</t>
  </si>
  <si>
    <t>Varna|Bulgaria|27,916666|43,216667|+2:00 Europe/Sofia</t>
  </si>
  <si>
    <t>Zlatitsa</t>
  </si>
  <si>
    <t>Zlatitsa|Bulgaria|24,133333|42,716667|+2:00 Europe/Sofia</t>
  </si>
  <si>
    <t>Zlatograd</t>
  </si>
  <si>
    <t>Zlatograd|Bulgaria|25,100000|41,383335|+2:00 Europe/Sofia</t>
  </si>
  <si>
    <t>Bobo Dioulasso</t>
  </si>
  <si>
    <t>+0:00</t>
  </si>
  <si>
    <t>BF</t>
  </si>
  <si>
    <t>Burkina Faso</t>
  </si>
  <si>
    <t>+0:00 Africa/Ouagadougou</t>
  </si>
  <si>
    <t>Bobo Dioulasso|Burkina Faso|-4,300000|11,200000|+0:00 Africa/Ouagadougou</t>
  </si>
  <si>
    <t>Ouagadougou</t>
  </si>
  <si>
    <t>Ouagadougou|Burkina Faso|-1,524722|12,370277|+0:00 Africa/Ouagadougou</t>
  </si>
  <si>
    <t>Yako</t>
  </si>
  <si>
    <t>Yako|Burkina Faso|-2,266667|12,966667|+0:00 Africa/Ouagadougou</t>
  </si>
  <si>
    <t>Ziniare</t>
  </si>
  <si>
    <t>Ziniare|Burkina Faso|-1,298333|12,582222|+0:00 Africa/Ouagadougou</t>
  </si>
  <si>
    <t>Zorgho</t>
  </si>
  <si>
    <t>Zorgho|Burkina Faso|-0,615833|12,248889|+0:00 Africa/Ouagadougou</t>
  </si>
  <si>
    <t>Bago</t>
  </si>
  <si>
    <t>+6:30</t>
  </si>
  <si>
    <t>MM</t>
  </si>
  <si>
    <t>Burma</t>
  </si>
  <si>
    <t>+6:30 Asia/Rangoon</t>
  </si>
  <si>
    <t>Bago|Burma|96,479721|17,336666|+6:30 Asia/Rangoon</t>
  </si>
  <si>
    <t>Mandalay</t>
  </si>
  <si>
    <t>Mandalay|Burma|96,083336|22,000000|+6:30 Asia/Rangoon</t>
  </si>
  <si>
    <t>Mawlamyine</t>
  </si>
  <si>
    <t>Mawlamyine|Burma|97,625557|16,491388|+6:30 Asia/Rangoon</t>
  </si>
  <si>
    <t>Nyaungdon</t>
  </si>
  <si>
    <t>Nyaungdon|Burma|95,650002|17,033333|+6:30 Asia/Rangoon</t>
  </si>
  <si>
    <t>Pathein</t>
  </si>
  <si>
    <t>Pathein|Burma|94,733330|16,783333|+6:30 Asia/Rangoon</t>
  </si>
  <si>
    <t>Rangoon</t>
  </si>
  <si>
    <t>Rangoon|Burma|96,156113|16,805277|+6:30 Asia/Rangoon</t>
  </si>
  <si>
    <t>Yamethin</t>
  </si>
  <si>
    <t>Yamethin|Burma|96,150002|20,433332|+6:30 Asia/Rangoon</t>
  </si>
  <si>
    <t>Yenangyaung</t>
  </si>
  <si>
    <t>Yenangyaung|Burma|94,883331|20,466667|+6:30 Asia/Rangoon</t>
  </si>
  <si>
    <t>Bujumbura</t>
  </si>
  <si>
    <t>BI</t>
  </si>
  <si>
    <t>Burundi</t>
  </si>
  <si>
    <t>+2:00 Africa/Bujumbura</t>
  </si>
  <si>
    <t>Bujumbura|Burundi|29,360001|-3,376111|+2:00 Africa/Bujumbura</t>
  </si>
  <si>
    <t>Bururi</t>
  </si>
  <si>
    <t>Bururi|Burundi|29,624376|-3,948773|+2:00 Africa/Bujumbura</t>
  </si>
  <si>
    <t>Makamba</t>
  </si>
  <si>
    <t>Makamba|Burundi|29,805000|-4,134722|+2:00 Africa/Bujumbura</t>
  </si>
  <si>
    <t>Rumonge</t>
  </si>
  <si>
    <t>Rumonge|Burundi|29,438889|-3,972222|+2:00 Africa/Bujumbura</t>
  </si>
  <si>
    <t>Phnom Penh</t>
  </si>
  <si>
    <t>+7:00</t>
  </si>
  <si>
    <t>KH</t>
  </si>
  <si>
    <t>Cambodia</t>
  </si>
  <si>
    <t>+7:00 Asia/Phnom_Penh</t>
  </si>
  <si>
    <t>Phnom Penh|Cambodia|104,916664|11,550000|+7:00 Asia/Phnom_Penh</t>
  </si>
  <si>
    <t>Sisophon</t>
  </si>
  <si>
    <t>Sisophon|Cambodia|102,983330|13,583333|+7:00 Asia/Phnom_Penh</t>
  </si>
  <si>
    <t>Ta Khmau</t>
  </si>
  <si>
    <t>Ta Khmau|Cambodia|104,949997|11,483334|+7:00 Asia/Phnom_Penh</t>
  </si>
  <si>
    <t>Bafoussam</t>
  </si>
  <si>
    <t>CM</t>
  </si>
  <si>
    <t>Cameroon</t>
  </si>
  <si>
    <t>+1:00 Africa/Douala</t>
  </si>
  <si>
    <t>Bafoussam|Cameroon|10,416667|5,466667|+1:00 Africa/Douala</t>
  </si>
  <si>
    <t>Bamenda</t>
  </si>
  <si>
    <t>Bamenda|Cameroon|10,166667|5,933333|+1:00 Africa/Douala</t>
  </si>
  <si>
    <t>Bertoua</t>
  </si>
  <si>
    <t>Bertoua|Cameroon|13,683333|4,583333|+1:00 Africa/Douala</t>
  </si>
  <si>
    <t>Douala</t>
  </si>
  <si>
    <t>Douala|Cameroon|9,700000|4,050278|+1:00 Africa/Douala</t>
  </si>
  <si>
    <t>Edea</t>
  </si>
  <si>
    <t>Edea|Cameroon|10,133333|3,800000|+1:00 Africa/Douala</t>
  </si>
  <si>
    <t>Garoua</t>
  </si>
  <si>
    <t>Garoua|Cameroon|13,400000|9,300000|+1:00 Africa/Douala</t>
  </si>
  <si>
    <t>Kousseri</t>
  </si>
  <si>
    <t>Kousseri|Cameroon|15,030833|12,078333|+1:00 Africa/Douala</t>
  </si>
  <si>
    <t>Maroua</t>
  </si>
  <si>
    <t>Maroua|Cameroon|14,324722|10,595555|+1:00 Africa/Douala</t>
  </si>
  <si>
    <t>Mokolo</t>
  </si>
  <si>
    <t>Mokolo|Cameroon|13,802778|10,740278|+1:00 Africa/Douala</t>
  </si>
  <si>
    <t>Ngaoundere</t>
  </si>
  <si>
    <t>Ngaoundere|Cameroon|13,583333|7,316667|+1:00 Africa/Douala</t>
  </si>
  <si>
    <t>Yaounde</t>
  </si>
  <si>
    <t>Yaounde|Cameroon|11,516666|3,866667|+1:00 Africa/Douala</t>
  </si>
  <si>
    <t>Yokadouma</t>
  </si>
  <si>
    <t>Yokadouma|Cameroon|15,050000|3,516667|+1:00 Africa/Douala</t>
  </si>
  <si>
    <t>Yoko</t>
  </si>
  <si>
    <t>Yoko|Cameroon|12,316667|5,533333|+1:00 Africa/Douala</t>
  </si>
  <si>
    <t>Abbotsford</t>
  </si>
  <si>
    <t>-8:00</t>
  </si>
  <si>
    <t>CA</t>
  </si>
  <si>
    <t>Canada</t>
  </si>
  <si>
    <t>-8:00 America/Vancouver</t>
  </si>
  <si>
    <t>Abbotsford|Canada|-122,252571|49,057976|-8:00 America/Vancouver</t>
  </si>
  <si>
    <t>Acton Vale</t>
  </si>
  <si>
    <t>-5:00 America/Montreal</t>
  </si>
  <si>
    <t>Acton Vale|Canada|-72,565819|45,650070|-5:00 America/Montreal</t>
  </si>
  <si>
    <t>Airdrie</t>
  </si>
  <si>
    <t>-7:00</t>
  </si>
  <si>
    <t>-7:00 America/Edmonton</t>
  </si>
  <si>
    <t>Airdrie|Canada|-114,035286|51,300114|-7:00 America/Edmonton</t>
  </si>
  <si>
    <t>Calgary</t>
  </si>
  <si>
    <t>Calgary|Canada|-114,085281|51,050114|-7:00 America/Edmonton</t>
  </si>
  <si>
    <t>Edmonton</t>
  </si>
  <si>
    <t>Edmonton|Canada|-113,468712|53,550137|-7:00 America/Edmonton</t>
  </si>
  <si>
    <t>Halifax</t>
  </si>
  <si>
    <t>-4:00 America/Halifax</t>
  </si>
  <si>
    <t>Halifax|Canada|-63,596848|44,651985|-4:00 America/Halifax</t>
  </si>
  <si>
    <t>Hamilton</t>
  </si>
  <si>
    <t>-5:00 America/Toronto</t>
  </si>
  <si>
    <t>Hamilton|Canada|-79,949638|43,233410|-5:00 America/Toronto</t>
  </si>
  <si>
    <t>Kitchener</t>
  </si>
  <si>
    <t>Kitchener|Canada|-80,482986|43,450096|-5:00 America/Toronto</t>
  </si>
  <si>
    <t>London</t>
  </si>
  <si>
    <t>London|Canada|-81,233040|42,983391|-5:00 America/Toronto</t>
  </si>
  <si>
    <t>Montreal</t>
  </si>
  <si>
    <t>Montreal|Canada|-73,649178|45,516781|-5:00 America/Montreal</t>
  </si>
  <si>
    <t>Oshawa</t>
  </si>
  <si>
    <t>Oshawa|Canada|-78,849571|43,900120|-5:00 America/Toronto</t>
  </si>
  <si>
    <t>Ottawa</t>
  </si>
  <si>
    <t>Ottawa|Canada|-75,690285|45,420940|-5:00 America/Montreal</t>
  </si>
  <si>
    <t>Quebec</t>
  </si>
  <si>
    <t>Quebec|Canada|-71,214539|46,812279|-5:00 America/Montreal</t>
  </si>
  <si>
    <t>Toronto</t>
  </si>
  <si>
    <t>Toronto|Canada|-79,416306|43,700115|-5:00 America/Toronto</t>
  </si>
  <si>
    <t>Vancouver</t>
  </si>
  <si>
    <t>Vancouver|Canada|-123,119339|49,249657|-8:00 America/Vancouver</t>
  </si>
  <si>
    <t>Victoria</t>
  </si>
  <si>
    <t>Victoria|Canada|-123,369301|48,432938|-8:00 America/Vancouver</t>
  </si>
  <si>
    <t>Windsor</t>
  </si>
  <si>
    <t>Windsor|Canada|-83,016541|42,300083|-5:00 America/Toronto</t>
  </si>
  <si>
    <t>Winnipeg</t>
  </si>
  <si>
    <t>-6:00 America/Winnipeg</t>
  </si>
  <si>
    <t>Winnipeg|Canada|-97,147041|49,884399|-6:00 America/Winnipeg</t>
  </si>
  <si>
    <t>Sao Filipe</t>
  </si>
  <si>
    <t>-1:00</t>
  </si>
  <si>
    <t>CV</t>
  </si>
  <si>
    <t>Cape Verde</t>
  </si>
  <si>
    <t>-1:00 Atlantic/Cape_Verde</t>
  </si>
  <si>
    <t>Sao Filipe|Cape Verde|-24,516666|14,900000|-1:00 Atlantic/Cape_Verde</t>
  </si>
  <si>
    <t>Tarrafal</t>
  </si>
  <si>
    <t>Tarrafal|Cape Verde|-23,766666|15,283333|-1:00 Atlantic/Cape_Verde</t>
  </si>
  <si>
    <t>Vila da Ribeira Brava</t>
  </si>
  <si>
    <t>Vila da Ribeira Brava|Cape Verde|-24,299999|16,616667|-1:00 Atlantic/Cape_Verde</t>
  </si>
  <si>
    <t>Bodden Town</t>
  </si>
  <si>
    <t>KY</t>
  </si>
  <si>
    <t>Cauman</t>
  </si>
  <si>
    <t>-5:00 America/Cayman</t>
  </si>
  <si>
    <t>Bodden Town|Cauman|-81,250000|19,283333|-5:00 America/Cayman</t>
  </si>
  <si>
    <t>George Town</t>
  </si>
  <si>
    <t>George Town|Cauman|-81,383331|19,299999|-5:00 America/Cayman</t>
  </si>
  <si>
    <t>West Bay</t>
  </si>
  <si>
    <t>West Bay|Cauman|-81,416664|19,366667|-5:00 America/Cayman</t>
  </si>
  <si>
    <t>Bangui</t>
  </si>
  <si>
    <t>CF</t>
  </si>
  <si>
    <t>Central African Republic</t>
  </si>
  <si>
    <t>+1:00 Africa/Bangui</t>
  </si>
  <si>
    <t>Bangui|Central African Republic|18,583334|4,366667|+1:00 Africa/Bangui</t>
  </si>
  <si>
    <t>Obo</t>
  </si>
  <si>
    <t>Obo|Central African Republic|26,500000|5,400000|+1:00 Africa/Bangui</t>
  </si>
  <si>
    <t>Ouadda</t>
  </si>
  <si>
    <t>Ouadda|Central African Republic|22,400000|8,066667|+1:00 Africa/Bangui</t>
  </si>
  <si>
    <t>Rafai</t>
  </si>
  <si>
    <t>Rafai|Central African Republic|23,916666|4,950000|+1:00 Africa/Bangui</t>
  </si>
  <si>
    <t>Adre</t>
  </si>
  <si>
    <t>TD</t>
  </si>
  <si>
    <t>Chad</t>
  </si>
  <si>
    <t>+1:00 Africa/Ndjamena</t>
  </si>
  <si>
    <t>Adre|Chad|22,200001|13,466667|+1:00 Africa/Ndjamena</t>
  </si>
  <si>
    <t>Am Timan</t>
  </si>
  <si>
    <t>Am Timan|Chad|20,283333|11,033333|+1:00 Africa/Ndjamena</t>
  </si>
  <si>
    <t>Biltine</t>
  </si>
  <si>
    <t>Biltine|Chad|20,916666|14,533333|+1:00 Africa/Ndjamena</t>
  </si>
  <si>
    <t>N'Djamena</t>
  </si>
  <si>
    <t>N'Djamena|Chad|15,049167|12,113055|+1:00 Africa/Ndjamena</t>
  </si>
  <si>
    <t>Antofagasta</t>
  </si>
  <si>
    <t>CL</t>
  </si>
  <si>
    <t>Chile</t>
  </si>
  <si>
    <t>-4:00 America/Santiago</t>
  </si>
  <si>
    <t>Antofagasta|Chile|-70,400002|-23,650000|-4:00 America/Santiago</t>
  </si>
  <si>
    <t>Concepcion</t>
  </si>
  <si>
    <t>Concepcion|Chile|-73,050003|-36,833332|-4:00 America/Santiago</t>
  </si>
  <si>
    <t>Iquique</t>
  </si>
  <si>
    <t>Iquique|Chile|-70,166664|-20,216667|-4:00 America/Santiago</t>
  </si>
  <si>
    <t>Rancagua</t>
  </si>
  <si>
    <t>Rancagua|Chile|-70,750000|-34,166668|-4:00 America/Santiago</t>
  </si>
  <si>
    <t>San Bernardo</t>
  </si>
  <si>
    <t>San Bernardo|Chile|-70,716667|-33,599998|-4:00 America/Santiago</t>
  </si>
  <si>
    <t>Santiago</t>
  </si>
  <si>
    <t>Santiago|Chile|-70,666664|-33,450001|-4:00 America/Santiago</t>
  </si>
  <si>
    <t>Talcahuano</t>
  </si>
  <si>
    <t>Talcahuano|Chile|-73,116669|-36,716667|-4:00 America/Santiago</t>
  </si>
  <si>
    <t>Temuco</t>
  </si>
  <si>
    <t>Temuco|Chile|-72,599998|-38,733334|-4:00 America/Santiago</t>
  </si>
  <si>
    <t>Valparaiso</t>
  </si>
  <si>
    <t>Valparaiso|Chile|-71,601112|-33,047779|-4:00 America/Santiago</t>
  </si>
  <si>
    <t>Villarrica</t>
  </si>
  <si>
    <t>Villarrica|Chile|-72,216667|-39,266666|-4:00 America/Santiago</t>
  </si>
  <si>
    <t>vina causino</t>
  </si>
  <si>
    <t>vina causino|Chile|-70,583336|-33,616665|-4:00 America/Santiago</t>
  </si>
  <si>
    <t>Vina del Mar</t>
  </si>
  <si>
    <t>Vina del Mar|Chile|-71,519722|-33,008057|-4:00 America/Santiago</t>
  </si>
  <si>
    <t>Yumbel</t>
  </si>
  <si>
    <t>Yumbel|Chile|-72,566666|-37,083332|-4:00 America/Santiago</t>
  </si>
  <si>
    <t>Aksu</t>
  </si>
  <si>
    <t>CN</t>
  </si>
  <si>
    <t>China</t>
  </si>
  <si>
    <t>+8:00 Asia/Kashgar</t>
  </si>
  <si>
    <t>Aksu|China|80,264442|41,123055|+8:00 Asia/Kashgar</t>
  </si>
  <si>
    <t>Anqing</t>
  </si>
  <si>
    <t>+8:00 Asia/Shanghai</t>
  </si>
  <si>
    <t>Anqing|China|117,050552|30,509167|+8:00 Asia/Shanghai</t>
  </si>
  <si>
    <t>Anshan</t>
  </si>
  <si>
    <t>+8:00 Asia/Harbin</t>
  </si>
  <si>
    <t>Anshan|China|122,989998|41,123611|+8:00 Asia/Harbin</t>
  </si>
  <si>
    <t>Anshun</t>
  </si>
  <si>
    <t>+8:00 Asia/Chongqing</t>
  </si>
  <si>
    <t>Anshun|China|105,933334|26,250000|+8:00 Asia/Chongqing</t>
  </si>
  <si>
    <t>Anyang</t>
  </si>
  <si>
    <t>Anyang|China|114,328888|36,099445|+8:00 Asia/Shanghai</t>
  </si>
  <si>
    <t>Aral</t>
  </si>
  <si>
    <t>Aral|China|81,263611|40,515556|+8:00 Asia/Kashgar</t>
  </si>
  <si>
    <t>Baicheng</t>
  </si>
  <si>
    <t>Baicheng|China|122,816666|45,616665|+8:00 Asia/Harbin</t>
  </si>
  <si>
    <t>Baoding</t>
  </si>
  <si>
    <t>Baoding|China|115,490280|38,851112|+8:00 Asia/Shanghai</t>
  </si>
  <si>
    <t>Baotou</t>
  </si>
  <si>
    <t>Baotou|China|109,822220|40,652222|+8:00 Asia/Chongqing</t>
  </si>
  <si>
    <t>Beihai</t>
  </si>
  <si>
    <t>Beihai|China|109,099998|21,483334|+8:00 Asia/Chongqing</t>
  </si>
  <si>
    <t>Beijing</t>
  </si>
  <si>
    <t>Beijing|China|116,388336|39,928890|+8:00 Asia/Harbin</t>
  </si>
  <si>
    <t>Bengbu</t>
  </si>
  <si>
    <t>Bengbu|China|117,360832|32,940834|+8:00 Asia/Shanghai</t>
  </si>
  <si>
    <t>Benxi</t>
  </si>
  <si>
    <t>Benxi|China|123,764999|41,288612|+8:00 Asia/Harbin</t>
  </si>
  <si>
    <t>Cangzhou</t>
  </si>
  <si>
    <t>Cangzhou|China|116,866669|38,316666|+8:00 Asia/Shanghai</t>
  </si>
  <si>
    <t>Changchun</t>
  </si>
  <si>
    <t>Changchun|China|125,322777|43,880001|+8:00 Asia/Harbin</t>
  </si>
  <si>
    <t>Changde</t>
  </si>
  <si>
    <t>Changde|China|111,678055|29,032223|+8:00 Asia/Chongqing</t>
  </si>
  <si>
    <t>Changsha</t>
  </si>
  <si>
    <t>Changsha|China|112,966667|28,200001|+8:00 Asia/Chongqing</t>
  </si>
  <si>
    <t>Changzhi</t>
  </si>
  <si>
    <t>Changzhi|China|111,738609|35,208889|+8:00 Asia/Chongqing</t>
  </si>
  <si>
    <t>Changzhou</t>
  </si>
  <si>
    <t>Changzhou|China|119,966667|31,783333|+8:00 Asia/Shanghai</t>
  </si>
  <si>
    <t>Chaoyang</t>
  </si>
  <si>
    <t>Chaoyang|China|120,458611|41,570278|+8:00 Asia/Harbin</t>
  </si>
  <si>
    <t>Chaozhou</t>
  </si>
  <si>
    <t>Chaozhou|China|116,639999|23,665833|+8:00 Asia/Shanghai</t>
  </si>
  <si>
    <t>Chengde</t>
  </si>
  <si>
    <t>Chengde|China|117,936111|40,972500|+8:00 Asia/Harbin</t>
  </si>
  <si>
    <t>Chengdu</t>
  </si>
  <si>
    <t>Chengdu|China|104,066666|30,666666|+8:00 Asia/Chongqing</t>
  </si>
  <si>
    <t>Chifeng</t>
  </si>
  <si>
    <t>Chifeng|China|118,963608|42,268333|+8:00 Asia/Harbin</t>
  </si>
  <si>
    <t>Chongqing</t>
  </si>
  <si>
    <t>Chongqing|China|106,552780|29,562778|+8:00 Asia/Chongqing</t>
  </si>
  <si>
    <t>Chuzhou</t>
  </si>
  <si>
    <t>Chuzhou|China|118,297775|32,321945|+8:00 Asia/Shanghai</t>
  </si>
  <si>
    <t>Dalian</t>
  </si>
  <si>
    <t>Dalian|China|121,602219|38,912224|+8:00 Asia/Shanghai</t>
  </si>
  <si>
    <t>Daliang</t>
  </si>
  <si>
    <t>Daliang|China|113,245277|22,840834|+8:00 Asia/Chongqing</t>
  </si>
  <si>
    <t>Dandong</t>
  </si>
  <si>
    <t>Dandong|China|124,394722|40,129166|+8:00 Asia/Harbin</t>
  </si>
  <si>
    <t>Daqing</t>
  </si>
  <si>
    <t>Daqing|China|125,000000|46,583332|+8:00 Asia/Harbin</t>
  </si>
  <si>
    <t>Datong</t>
  </si>
  <si>
    <t>Datong|China|113,291389|40,093613|+8:00 Asia/Shanghai</t>
  </si>
  <si>
    <t>Dezhou</t>
  </si>
  <si>
    <t>Dezhou|China|116,292503|37,448612|+8:00 Asia/Shanghai</t>
  </si>
  <si>
    <t>Dongguan</t>
  </si>
  <si>
    <t>Dongguan|China|113,744720|23,048889|+8:00 Asia/Chongqing</t>
  </si>
  <si>
    <t>Dongying</t>
  </si>
  <si>
    <t>Dongying|China|118,485558|37,456390|+8:00 Asia/Shanghai</t>
  </si>
  <si>
    <t>Foshan</t>
  </si>
  <si>
    <t>Foshan|China|113,116669|23,033333|+8:00 Asia/Chongqing</t>
  </si>
  <si>
    <t>Fushun</t>
  </si>
  <si>
    <t>Fushun|China|123,923332|41,855835|+8:00 Asia/Harbin</t>
  </si>
  <si>
    <t>Fuxin</t>
  </si>
  <si>
    <t>Fuxin|China|121,658890|42,015556|+8:00 Asia/Harbin</t>
  </si>
  <si>
    <t>Fuzhou</t>
  </si>
  <si>
    <t>Fuzhou|China|119,306114|26,061388|+8:00 Asia/Shanghai</t>
  </si>
  <si>
    <t>Gaoping</t>
  </si>
  <si>
    <t>Gaoping|China|106,133331|30,783333|+8:00 Asia/Chongqing</t>
  </si>
  <si>
    <t>Guangyuan</t>
  </si>
  <si>
    <t>Guangyuan|China|105,821388|32,440277|+8:00 Asia/Chongqing</t>
  </si>
  <si>
    <t>Guangzhou</t>
  </si>
  <si>
    <t>Guangzhou|China|113,250000|23,116667|+8:00 Asia/Chongqing</t>
  </si>
  <si>
    <t>Guilin</t>
  </si>
  <si>
    <t>Guilin|China|110,286392|25,281944|+8:00 Asia/Chongqing</t>
  </si>
  <si>
    <t>Guiyang</t>
  </si>
  <si>
    <t>Guiyang|China|106,716667|26,583334|+8:00 Asia/Chongqing</t>
  </si>
  <si>
    <t>Guli</t>
  </si>
  <si>
    <t>Guli|China|120,033333|28,883333|+8:00 Asia/Shanghai</t>
  </si>
  <si>
    <t>Haikou</t>
  </si>
  <si>
    <t>Haikou|China|110,341667|20,045834|+8:00 Asia/Chongqing</t>
  </si>
  <si>
    <t>Hailar</t>
  </si>
  <si>
    <t>Hailar|China|119,699997|49,200001|+8:00 Asia/Harbin</t>
  </si>
  <si>
    <t>Handan</t>
  </si>
  <si>
    <t>Handan|China|114,467781|36,600555|+8:00 Asia/Shanghai</t>
  </si>
  <si>
    <t>Hangu</t>
  </si>
  <si>
    <t>Hangu|China|117,789169|39,248890|+8:00 Asia/Shanghai</t>
  </si>
  <si>
    <t>Hangzhou</t>
  </si>
  <si>
    <t>Hangzhou|China|120,168892|30,255278|+8:00 Asia/Shanghai</t>
  </si>
  <si>
    <t>Harbin</t>
  </si>
  <si>
    <t>Harbin|China|126,650002|45,750000|+8:00 Asia/Harbin</t>
  </si>
  <si>
    <t>Hebi</t>
  </si>
  <si>
    <t>Hebi|China|114,192497|35,899166|+8:00 Asia/Shanghai</t>
  </si>
  <si>
    <t>Hefei</t>
  </si>
  <si>
    <t>Hefei|China|117,280830|31,863890|+8:00 Asia/Shanghai</t>
  </si>
  <si>
    <t>Hegang</t>
  </si>
  <si>
    <t>Hegang|China|130,366669|47,400002|+8:00 Asia/Harbin</t>
  </si>
  <si>
    <t>Hengshui</t>
  </si>
  <si>
    <t>Hengshui|China|115,701111|37,732224|+8:00 Asia/Shanghai</t>
  </si>
  <si>
    <t>Hengyang</t>
  </si>
  <si>
    <t>Hengyang|China|112,614998|26,888056|+8:00 Asia/Chongqing</t>
  </si>
  <si>
    <t>Heze</t>
  </si>
  <si>
    <t>Heze|China|115,441109|35,243057|+8:00 Asia/Shanghai</t>
  </si>
  <si>
    <t>Hohhot</t>
  </si>
  <si>
    <t>Hohhot|China|111,652222|40,810555|+8:00 Asia/Chongqing</t>
  </si>
  <si>
    <t>Huaibei</t>
  </si>
  <si>
    <t>Huaibei|China|116,791664|33,974445|+8:00 Asia/Shanghai</t>
  </si>
  <si>
    <t>Huainan</t>
  </si>
  <si>
    <t>Huainan|China|116,996941|32,626389|+8:00 Asia/Shanghai</t>
  </si>
  <si>
    <t>Huaiyin</t>
  </si>
  <si>
    <t>Huaiyin|China|119,019165|33,588612|+8:00 Asia/Shanghai</t>
  </si>
  <si>
    <t>Huanggang</t>
  </si>
  <si>
    <t>Huanggang|China|117,003334|23,675278|+8:00 Asia/Shanghai</t>
  </si>
  <si>
    <t>Huangshi</t>
  </si>
  <si>
    <t>Huangshi|China|115,099998|30,216667|+8:00 Asia/Shanghai</t>
  </si>
  <si>
    <t>Huizhou</t>
  </si>
  <si>
    <t>Huizhou|China|114,400002|23,083334|+8:00 Asia/Chongqing</t>
  </si>
  <si>
    <t>Hulan Ergi</t>
  </si>
  <si>
    <t>Hulan Ergi|China|123,633331|47,204166|+8:00 Asia/Harbin</t>
  </si>
  <si>
    <t>Jiamusi</t>
  </si>
  <si>
    <t>Jiamusi|China|130,350006|46,833332|+8:00 Asia/Harbin</t>
  </si>
  <si>
    <t>Ji'an</t>
  </si>
  <si>
    <t>Ji'an|China|115,000000|27,133333|+8:00 Asia/Shanghai</t>
  </si>
  <si>
    <t>Jiangmen</t>
  </si>
  <si>
    <t>Jiangmen|China|113,083336|22,583334|+8:00 Asia/Chongqing</t>
  </si>
  <si>
    <t>Jiaojiang</t>
  </si>
  <si>
    <t>Jiaojiang|China|121,442780|28,680277|+8:00 Asia/Shanghai</t>
  </si>
  <si>
    <t>Jiaozuo</t>
  </si>
  <si>
    <t>Jiaozuo|China|113,233055|35,239723|+8:00 Asia/Shanghai</t>
  </si>
  <si>
    <t>Jiaxing</t>
  </si>
  <si>
    <t>Jiaxing|China|120,748337|30,765556|+8:00 Asia/Shanghai</t>
  </si>
  <si>
    <t>Jieyang</t>
  </si>
  <si>
    <t>Jieyang|China|116,365555|23,529722|+8:00 Asia/Shanghai</t>
  </si>
  <si>
    <t>Jilin</t>
  </si>
  <si>
    <t>Jilin|China|126,560280|43,850834|+8:00 Asia/Harbin</t>
  </si>
  <si>
    <t>Jinan</t>
  </si>
  <si>
    <t>Jinan|China|116,997223|36,668335|+8:00 Asia/Shanghai</t>
  </si>
  <si>
    <t>Jincheng</t>
  </si>
  <si>
    <t>Jincheng|China|112,832779|35,502224|+8:00 Asia/Chongqing</t>
  </si>
  <si>
    <t>Jingdezhen</t>
  </si>
  <si>
    <t>Jingdezhen|China|117,202225|29,289722|+8:00 Asia/Shanghai</t>
  </si>
  <si>
    <t>Jingling</t>
  </si>
  <si>
    <t>Jingling|China|113,099998|30,650000|+8:00 Asia/Chongqing</t>
  </si>
  <si>
    <t>Jining, Inner Mongolia</t>
  </si>
  <si>
    <t>Jining, Inner Mongolia|China|113,105835|41,027500|+8:00 Asia/Harbin</t>
  </si>
  <si>
    <t>Jining, Shandong</t>
  </si>
  <si>
    <t>Jining, Shandong|China|116,581390|35,404999|+8:00 Asia/Shanghai</t>
  </si>
  <si>
    <t>Jinxi</t>
  </si>
  <si>
    <t>Jinxi|China|120,833336|40,750000|+8:00 Asia/Harbin</t>
  </si>
  <si>
    <t>Jinzhou</t>
  </si>
  <si>
    <t>Jinzhou|China|121,716667|39,099998|+8:00 Asia/Harbin</t>
  </si>
  <si>
    <t>Jinzhou, Liaoning</t>
  </si>
  <si>
    <t>Jinzhou, Liaoning|China|121,141670|41,107777|+8:00 Asia/Harbin</t>
  </si>
  <si>
    <t>Jiujiang</t>
  </si>
  <si>
    <t>Jiujiang|China|115,983330|29,733334|+8:00 Asia/Shanghai</t>
  </si>
  <si>
    <t>Jixi</t>
  </si>
  <si>
    <t>Jixi|China|130,966660|45,299999|+8:00 Asia/Harbin</t>
  </si>
  <si>
    <t>Kaifeng</t>
  </si>
  <si>
    <t>Kaifeng|China|114,348335|34,791111|+8:00 Asia/Shanghai</t>
  </si>
  <si>
    <t>Kashi</t>
  </si>
  <si>
    <t>Kashi|China|75,979721|39,454723|+8:00 Asia/Kashgar</t>
  </si>
  <si>
    <t>Kunming</t>
  </si>
  <si>
    <t>Kunming|China|102,718330|25,038889|+8:00 Asia/Chongqing</t>
  </si>
  <si>
    <t>Langfang</t>
  </si>
  <si>
    <t>Langfang|China|116,694725|39,509724|+8:00 Asia/Shanghai</t>
  </si>
  <si>
    <t>Lanzhou</t>
  </si>
  <si>
    <t>Lanzhou|China|103,792221|36,056389|+8:00 Asia/Chongqing</t>
  </si>
  <si>
    <t>Laohekou</t>
  </si>
  <si>
    <t>Laohekou|China|111,667778|32,385834|+8:00 Asia/Chongqing</t>
  </si>
  <si>
    <t>Lhasa</t>
  </si>
  <si>
    <t>Lhasa|China|91,099998|29,650000|+8:00 Asia/Chongqing</t>
  </si>
  <si>
    <t>Liaocheng</t>
  </si>
  <si>
    <t>Liaocheng|China|115,964722|36,443890|+8:00 Asia/Shanghai</t>
  </si>
  <si>
    <t>Liaoyang</t>
  </si>
  <si>
    <t>Liaoyang|China|123,173058|41,271946|+8:00 Asia/Harbin</t>
  </si>
  <si>
    <t>Liaoyuan</t>
  </si>
  <si>
    <t>Liaoyuan|China|125,135834|42,903610|+8:00 Asia/Harbin</t>
  </si>
  <si>
    <t>Linfen</t>
  </si>
  <si>
    <t>Linfen|China|111,518890|36,088890|+8:00 Asia/Chongqing</t>
  </si>
  <si>
    <t>Linxia</t>
  </si>
  <si>
    <t>Linxia|China|103,206390|35,600277|+8:00 Asia/Chongqing</t>
  </si>
  <si>
    <t>Linyi</t>
  </si>
  <si>
    <t>Linyi|China|118,342781|35,063057|+8:00 Asia/Shanghai</t>
  </si>
  <si>
    <t>Luancheng</t>
  </si>
  <si>
    <t>Luancheng|China|114,651665|37,879166|+8:00 Asia/Shanghai</t>
  </si>
  <si>
    <t>Luohe</t>
  </si>
  <si>
    <t>Luohe|China|114,035278|33,571667|+8:00 Asia/Shanghai</t>
  </si>
  <si>
    <t>Luoyang</t>
  </si>
  <si>
    <t>Luoyang|China|112,453613|34,683613|+8:00 Asia/Chongqing</t>
  </si>
  <si>
    <t>Luqiaozhen</t>
  </si>
  <si>
    <t>Luqiaozhen|China|121,378334|28,578890|+8:00 Asia/Shanghai</t>
  </si>
  <si>
    <t>Mianyang</t>
  </si>
  <si>
    <t>Mianyang|China|104,766670|31,466667|+8:00 Asia/Chongqing</t>
  </si>
  <si>
    <t>Mudanjiang</t>
  </si>
  <si>
    <t>Mudanjiang|China|129,600006|44,583332|+8:00 Asia/Harbin</t>
  </si>
  <si>
    <t>Nanchang</t>
  </si>
  <si>
    <t>Nanchang|China|115,883331|28,683332|+8:00 Asia/Shanghai</t>
  </si>
  <si>
    <t>Nanchong</t>
  </si>
  <si>
    <t>Nanchong|China|106,066666|30,799999|+8:00 Asia/Chongqing</t>
  </si>
  <si>
    <t>Nanjing</t>
  </si>
  <si>
    <t>Nanjing|China|118,777779|32,061668|+8:00 Asia/Shanghai</t>
  </si>
  <si>
    <t>Nanning</t>
  </si>
  <si>
    <t>Nanning|China|108,316666|22,816668|+8:00 Asia/Chongqing</t>
  </si>
  <si>
    <t>Nantong</t>
  </si>
  <si>
    <t>Nantong|China|120,874725|32,030277|+8:00 Asia/Shanghai</t>
  </si>
  <si>
    <t>Nanyang</t>
  </si>
  <si>
    <t>Nanyang|China|112,532776|32,994720|+8:00 Asia/Chongqing</t>
  </si>
  <si>
    <t>Neijiang</t>
  </si>
  <si>
    <t>Neijiang|China|105,059166|29,583611|+8:00 Asia/Chongqing</t>
  </si>
  <si>
    <t>Ningbo</t>
  </si>
  <si>
    <t>Ningbo|China|121,541946|29,875000|+8:00 Asia/Shanghai</t>
  </si>
  <si>
    <t>Panshan</t>
  </si>
  <si>
    <t>Panshan|China|122,049446|41,188057|+8:00 Asia/Harbin</t>
  </si>
  <si>
    <t>Panzhihua</t>
  </si>
  <si>
    <t>Panzhihua|China|101,733330|26,549999|+8:00 Asia/Chongqing</t>
  </si>
  <si>
    <t>Pingdingshan</t>
  </si>
  <si>
    <t>Pingdingshan|China|113,306389|33,740833|+8:00 Asia/Chongqing</t>
  </si>
  <si>
    <t>Pingxiang</t>
  </si>
  <si>
    <t>Pingxiang|China|113,849998|27,616667|+8:00 Asia/Chongqing</t>
  </si>
  <si>
    <t>Putian</t>
  </si>
  <si>
    <t>Putian|China|119,010277|25,439444|+8:00 Asia/Shanghai</t>
  </si>
  <si>
    <t>Puyang</t>
  </si>
  <si>
    <t>Puyang|China|115,005280|35,702778|+8:00 Asia/Shanghai</t>
  </si>
  <si>
    <t>Qingdao</t>
  </si>
  <si>
    <t>Qingdao|China|120,371941|36,098610|+8:00 Asia/Shanghai</t>
  </si>
  <si>
    <t>Qinhuangdao</t>
  </si>
  <si>
    <t>Qinhuangdao|China|119,588333|39,931667|+8:00 Asia/Harbin</t>
  </si>
  <si>
    <t>Qiqihar</t>
  </si>
  <si>
    <t>Qiqihar|China|123,967224|47,340832|+8:00 Asia/Harbin</t>
  </si>
  <si>
    <t>Qitaihe</t>
  </si>
  <si>
    <t>Qitaihe|China|130,850006|45,799999|+8:00 Asia/Harbin</t>
  </si>
  <si>
    <t>Ranghulu</t>
  </si>
  <si>
    <t>Ranghulu|China|124,866669|46,650002|+8:00 Asia/Harbin</t>
  </si>
  <si>
    <t>Rizhao</t>
  </si>
  <si>
    <t>Rizhao|China|119,455276|35,427502|+8:00 Asia/Shanghai</t>
  </si>
  <si>
    <t>Sanming</t>
  </si>
  <si>
    <t>Sanming|China|117,618614|26,248611|+8:00 Asia/Shanghai</t>
  </si>
  <si>
    <t>Shache</t>
  </si>
  <si>
    <t>Shache|China|77,240555|38,416668|+8:00 Asia/Kashgar</t>
  </si>
  <si>
    <t>Shanghai</t>
  </si>
  <si>
    <t>Shanghai|China|121,458054|31,222221|+8:00 Asia/Shanghai</t>
  </si>
  <si>
    <t>Shantou</t>
  </si>
  <si>
    <t>Shantou|China|116,678337|23,360001|+8:00 Asia/Shanghai</t>
  </si>
  <si>
    <t>Shaoguan</t>
  </si>
  <si>
    <t>Shaoguan|China|113,583336|24,799999|+8:00 Asia/Chongqing</t>
  </si>
  <si>
    <t>Shaoxing</t>
  </si>
  <si>
    <t>Shaoxing|China|120,581108|30,001667|+8:00 Asia/Shanghai</t>
  </si>
  <si>
    <t>Shashi</t>
  </si>
  <si>
    <t>Shashi|China|112,244720|30,307222|+8:00 Asia/Chongqing</t>
  </si>
  <si>
    <t>Shenyang</t>
  </si>
  <si>
    <t>Shenyang|China|123,432777|41,792221|+8:00 Asia/Harbin</t>
  </si>
  <si>
    <t>Shenzhen</t>
  </si>
  <si>
    <t>Shenzhen|China|114,068298|22,545538|+8:00 Asia/Chongqing</t>
  </si>
  <si>
    <t>Shihezi</t>
  </si>
  <si>
    <t>+8:00 Asia/Urumqi</t>
  </si>
  <si>
    <t>Shihezi|China|86,033333|44,299999|+8:00 Asia/Urumqi</t>
  </si>
  <si>
    <t>Shijiazhuang</t>
  </si>
  <si>
    <t>Shijiazhuang|China|114,478615|38,041389|+8:00 Asia/Shanghai</t>
  </si>
  <si>
    <t>Shiqi</t>
  </si>
  <si>
    <t>Shiqi|China|113,366112|22,517500|+8:00 Asia/Chongqing</t>
  </si>
  <si>
    <t>Shiyan</t>
  </si>
  <si>
    <t>Shiyan|China|110,778053|32,647499|+8:00 Asia/Chongqing</t>
  </si>
  <si>
    <t>Shiyan|China|110,783333|32,566666|+8:00 Asia/Chongqing</t>
  </si>
  <si>
    <t>Shuangyashan</t>
  </si>
  <si>
    <t>Shuangyashan|China|131,153885|46,636112|+8:00 Asia/Harbin</t>
  </si>
  <si>
    <t>Siping</t>
  </si>
  <si>
    <t>Siping|China|124,368614|43,163334|+8:00 Asia/Harbin</t>
  </si>
  <si>
    <t>Suihua</t>
  </si>
  <si>
    <t>Suihua|China|126,996941|46,640556|+8:00 Asia/Harbin</t>
  </si>
  <si>
    <t>Suizhou</t>
  </si>
  <si>
    <t>Suizhou|China|113,363052|31,711111|+8:00 Asia/Chongqing</t>
  </si>
  <si>
    <t>Suzhou</t>
  </si>
  <si>
    <t>Suzhou|China|98,566666|39,766666|+8:00 Asia/Shanghai</t>
  </si>
  <si>
    <t>Suzhou|China|116,978889|33,636112|+8:00 Asia/Shanghai</t>
  </si>
  <si>
    <t>Suzhou|China|120,618057|31,311388|+8:00 Asia/Shanghai</t>
  </si>
  <si>
    <t>Tai'an</t>
  </si>
  <si>
    <t>Tai'an|China|117,120003|36,185276|+8:00 Asia/Shanghai</t>
  </si>
  <si>
    <t>Taiyuan</t>
  </si>
  <si>
    <t>Taiyuan|China|112,560280|37,869446|+8:00 Asia/Chongqing</t>
  </si>
  <si>
    <t>Taizhou</t>
  </si>
  <si>
    <t>Taizhou|China|119,908058|32,493332|+8:00 Asia/Shanghai</t>
  </si>
  <si>
    <t>Tanggu</t>
  </si>
  <si>
    <t>Tanggu|China|117,646942|39,021111|+8:00 Asia/Shanghai</t>
  </si>
  <si>
    <t>Tangshan</t>
  </si>
  <si>
    <t>Tangshan|China|118,183334|39,633335|+8:00 Asia/Harbin</t>
  </si>
  <si>
    <t>Tianjin</t>
  </si>
  <si>
    <t>Tianjin|China|117,176666|39,142223|+8:00 Asia/Shanghai</t>
  </si>
  <si>
    <t>Tieling</t>
  </si>
  <si>
    <t>Tieling|China|123,841393|42,293056|+8:00 Asia/Harbin</t>
  </si>
  <si>
    <t>Tongchuan</t>
  </si>
  <si>
    <t>Tongchuan|China|109,089722|35,080555|+8:00 Asia/Chongqing</t>
  </si>
  <si>
    <t>Tongliao</t>
  </si>
  <si>
    <t>Tongliao|China|122,265274|43,612499|+8:00 Asia/Harbin</t>
  </si>
  <si>
    <t>Tongling</t>
  </si>
  <si>
    <t>Tongling|China|117,783333|30,950001|+8:00 Asia/Shanghai</t>
  </si>
  <si>
    <t>Turpan</t>
  </si>
  <si>
    <t>Turpan|China|89,166664|42,933334|+8:00 Asia/Urumqi</t>
  </si>
  <si>
    <t>Urumqi</t>
  </si>
  <si>
    <t>Urumqi|China|87,583336|43,799999|+8:00 Asia/Urumqi</t>
  </si>
  <si>
    <t>Wafangdian</t>
  </si>
  <si>
    <t>Wafangdian|China|122,008057|39,618332|+8:00 Asia/Harbin</t>
  </si>
  <si>
    <t>Weifang</t>
  </si>
  <si>
    <t>Weifang|China|119,101944|36,709999|+8:00 Asia/Shanghai</t>
  </si>
  <si>
    <t>Wenzhou</t>
  </si>
  <si>
    <t>Wenzhou|China|120,654442|28,019167|+8:00 Asia/Shanghai</t>
  </si>
  <si>
    <t>Wuhai</t>
  </si>
  <si>
    <t>Wuhai|China|106,812225|39,664722|+8:00 Asia/Chongqing</t>
  </si>
  <si>
    <t>Wuhan</t>
  </si>
  <si>
    <t>Wuhan|China|114,266670|30,583334|+8:00 Asia/Shanghai</t>
  </si>
  <si>
    <t>Wuhu</t>
  </si>
  <si>
    <t>Wuhu|China|118,366669|31,350000|+8:00 Asia/Shanghai</t>
  </si>
  <si>
    <t>Wuxi</t>
  </si>
  <si>
    <t>Wuxi|China|120,293892|31,577223|+8:00 Asia/Shanghai</t>
  </si>
  <si>
    <t>Wuxue</t>
  </si>
  <si>
    <t>Wuxue|China|115,550003|29,850000|+8:00 Asia/Shanghai</t>
  </si>
  <si>
    <t>Wuzhou</t>
  </si>
  <si>
    <t>Wuzhou|China|111,316666|23,483334|+8:00 Asia/Chongqing</t>
  </si>
  <si>
    <t>Xiamen</t>
  </si>
  <si>
    <t>Xiamen|China|118,093056|24,467501|+8:00 Asia/Shanghai</t>
  </si>
  <si>
    <t>Xi'an</t>
  </si>
  <si>
    <t>Xi'an|China|108,928612|34,258335|+8:00 Asia/Chongqing</t>
  </si>
  <si>
    <t>Xiangfan</t>
  </si>
  <si>
    <t>Xiangfan|China|112,144997|32,041668|+8:00 Asia/Chongqing</t>
  </si>
  <si>
    <t>Xiangtan</t>
  </si>
  <si>
    <t>Xiangtan|China|112,900002|27,850000|+8:00 Asia/Chongqing</t>
  </si>
  <si>
    <t>Xiantao</t>
  </si>
  <si>
    <t>Xiantao|China|113,400002|30,383333|+8:00 Asia/Chongqing</t>
  </si>
  <si>
    <t>Xianyang</t>
  </si>
  <si>
    <t>Xianyang|China|108,714722|34,345554|+8:00 Asia/Chongqing</t>
  </si>
  <si>
    <t>Xingtai</t>
  </si>
  <si>
    <t>Xingtai|China|114,494164|37,063057|+8:00 Asia/Shanghai</t>
  </si>
  <si>
    <t>Xining</t>
  </si>
  <si>
    <t>Xining|China|101,766670|36,616665|+8:00 Asia/Chongqing</t>
  </si>
  <si>
    <t>Xinpu</t>
  </si>
  <si>
    <t>Xinpu|China|119,159447|34,599724|+8:00 Asia/Shanghai</t>
  </si>
  <si>
    <t>Xintai</t>
  </si>
  <si>
    <t>Xintai|China|117,751945|35,900555|+8:00 Asia/Shanghai</t>
  </si>
  <si>
    <t>Xinxiang</t>
  </si>
  <si>
    <t>Xinxiang|China|113,867226|35,308887|+8:00 Asia/Shanghai</t>
  </si>
  <si>
    <t>Xinyang</t>
  </si>
  <si>
    <t>Xinyang|China|114,065559|32,122776|+8:00 Asia/Shanghai</t>
  </si>
  <si>
    <t>Xuanhua</t>
  </si>
  <si>
    <t>Xuanhua|China|115,044724|40,610279|+8:00 Asia/Harbin</t>
  </si>
  <si>
    <t>Xuchang</t>
  </si>
  <si>
    <t>Xuchang|China|113,816666|34,016666|+8:00 Asia/Shanghai</t>
  </si>
  <si>
    <t>Xuri</t>
  </si>
  <si>
    <t>Xuri|China|117,966667|28,466667|+8:00 Asia/Shanghai</t>
  </si>
  <si>
    <t>Xuzhou</t>
  </si>
  <si>
    <t>Xuzhou|China|117,191666|34,266945|+8:00 Asia/Shanghai</t>
  </si>
  <si>
    <t>Yancheng</t>
  </si>
  <si>
    <t>Yancheng|China|120,125275|33,385555|+8:00 Asia/Shanghai</t>
  </si>
  <si>
    <t>Yangjiang</t>
  </si>
  <si>
    <t>Yangjiang|China|111,966667|21,850000|+8:00 Asia/Chongqing</t>
  </si>
  <si>
    <t>Yangquan</t>
  </si>
  <si>
    <t>Yangquan|China|113,563332|37,857498|+8:00 Asia/Shanghai</t>
  </si>
  <si>
    <t>Yangzhou</t>
  </si>
  <si>
    <t>Yangzhou|China|119,435837|32,397221|+8:00 Asia/Shanghai</t>
  </si>
  <si>
    <t>Yanji</t>
  </si>
  <si>
    <t>Yanji|China|129,507782|42,907501|+8:00 Asia/Harbin</t>
  </si>
  <si>
    <t>Yantai</t>
  </si>
  <si>
    <t>Yantai|China|121,400002|37,533333|+8:00 Asia/Shanghai</t>
  </si>
  <si>
    <t>Yibin</t>
  </si>
  <si>
    <t>Yibin|China|104,566666|28,766666|+8:00 Asia/Chongqing</t>
  </si>
  <si>
    <t>Yichang</t>
  </si>
  <si>
    <t>Yichang|China|111,284721|30,714445|+8:00 Asia/Chongqing</t>
  </si>
  <si>
    <t>Yinchuan</t>
  </si>
  <si>
    <t>Yinchuan|China|106,273056|38,468056|+8:00 Asia/Chongqing</t>
  </si>
  <si>
    <t>Yingcheng</t>
  </si>
  <si>
    <t>Yingcheng|China|113,550003|30,950001|+8:00 Asia/Chongqing</t>
  </si>
  <si>
    <t>Yingkou</t>
  </si>
  <si>
    <t>Yingkou|China|122,224724|40,668056|+8:00 Asia/Harbin</t>
  </si>
  <si>
    <t>Yiyang</t>
  </si>
  <si>
    <t>Yiyang|China|112,328331|28,589167|+8:00 Asia/Chongqing</t>
  </si>
  <si>
    <t>Yuci</t>
  </si>
  <si>
    <t>Yuci|China|112,731941|37,680279|+8:00 Asia/Chongqing</t>
  </si>
  <si>
    <t>Yuncheng</t>
  </si>
  <si>
    <t>Yuncheng|China|110,992775|35,023056|+8:00 Asia/Chongqing</t>
  </si>
  <si>
    <t>Yunfu</t>
  </si>
  <si>
    <t>Yunfu|China|112,033333|22,933332|+8:00 Asia/Chongqing</t>
  </si>
  <si>
    <t>Zhangjiakou</t>
  </si>
  <si>
    <t>Zhangjiakou|China|114,879448|40,810001|+8:00 Asia/Harbin</t>
  </si>
  <si>
    <t>Zhangzhou</t>
  </si>
  <si>
    <t>Zhangzhou|China|117,655556|24,513332|+8:00 Asia/Shanghai</t>
  </si>
  <si>
    <t>Zhanjiang</t>
  </si>
  <si>
    <t>Zhanjiang|China|110,383331|21,200001|+8:00 Asia/Chongqing</t>
  </si>
  <si>
    <t>Zhaoqing</t>
  </si>
  <si>
    <t>Zhaoqing|China|112,449997|23,049999|+8:00 Asia/Chongqing</t>
  </si>
  <si>
    <t>Zhengzhou</t>
  </si>
  <si>
    <t>Zhengzhou|China|113,648613|34,757778|+8:00 Asia/Shanghai</t>
  </si>
  <si>
    <t>Zhenjiang</t>
  </si>
  <si>
    <t>Zhenjiang|China|119,434166|32,209167|+8:00 Asia/Shanghai</t>
  </si>
  <si>
    <t>Zhoukou</t>
  </si>
  <si>
    <t>Zhoukou|China|114,633331|33,633335|+8:00 Asia/Shanghai</t>
  </si>
  <si>
    <t>Zhuhai</t>
  </si>
  <si>
    <t>Zhuhai|China|113,567780|22,276945|+8:00 Asia/Chongqing</t>
  </si>
  <si>
    <t>Zhumadian</t>
  </si>
  <si>
    <t>Zhumadian|China|114,029442|32,979443|+8:00 Asia/Shanghai</t>
  </si>
  <si>
    <t>Zhuzhou</t>
  </si>
  <si>
    <t>Zhuzhou|China|113,150002|27,833334|+8:00 Asia/Chongqing</t>
  </si>
  <si>
    <t>Zibo</t>
  </si>
  <si>
    <t>Zibo|China|118,063332|36,790554|+8:00 Asia/Shanghai</t>
  </si>
  <si>
    <t>Zigong</t>
  </si>
  <si>
    <t>Zigong|China|104,783333|29,400000|+8:00 Asia/Chongqing</t>
  </si>
  <si>
    <t>Zunyi</t>
  </si>
  <si>
    <t>Zunyi|China|106,907219|27,686666|+8:00 Asia/Chongqing</t>
  </si>
  <si>
    <t>CO</t>
  </si>
  <si>
    <t>Colombia</t>
  </si>
  <si>
    <t>-5:00 America/Bogota</t>
  </si>
  <si>
    <t>Armenia|Colombia|-75,681114|4,533889|-5:00 America/Bogota</t>
  </si>
  <si>
    <t>Barranquilla</t>
  </si>
  <si>
    <t>Barranquilla|Colombia|-74,796387|10,963889|-5:00 America/Bogota</t>
  </si>
  <si>
    <t>Bello</t>
  </si>
  <si>
    <t>Bello|Colombia|-75,562225|6,338889|-5:00 America/Bogota</t>
  </si>
  <si>
    <t>Bogota</t>
  </si>
  <si>
    <t>Bogota|Colombia|-74,083336|4,600000|-5:00 America/Bogota</t>
  </si>
  <si>
    <t>Bucaramanga</t>
  </si>
  <si>
    <t>Bucaramanga|Colombia|-73,125832|7,129722|-5:00 America/Bogota</t>
  </si>
  <si>
    <t>Buenaventura</t>
  </si>
  <si>
    <t>Buenaventura|Colombia|-77,069725|3,893333|-5:00 America/Bogota</t>
  </si>
  <si>
    <t>Buenaventura|Colombia|-77,000000|3,583333|-5:00 America/Bogota</t>
  </si>
  <si>
    <t>Cali</t>
  </si>
  <si>
    <t>Cali|Colombia|-76,522499|3,437222|-5:00 America/Bogota</t>
  </si>
  <si>
    <t>Cartagena</t>
  </si>
  <si>
    <t>Cartagena|Colombia|-75,514442|10,399722|-5:00 America/Bogota</t>
  </si>
  <si>
    <t>Cucuta</t>
  </si>
  <si>
    <t>Cucuta|Colombia|-72,505280|7,883333|-5:00 America/Bogota</t>
  </si>
  <si>
    <t>Floridablanca</t>
  </si>
  <si>
    <t>Floridablanca|Colombia|-73,089722|7,064722|-5:00 America/Bogota</t>
  </si>
  <si>
    <t>Ibague</t>
  </si>
  <si>
    <t>Ibague|Colombia|-75,232224|4,438889|-5:00 America/Bogota</t>
  </si>
  <si>
    <t>Itagui</t>
  </si>
  <si>
    <t>Itagui|Colombia|-75,611389|6,171945|-5:00 America/Bogota</t>
  </si>
  <si>
    <t>Manizales</t>
  </si>
  <si>
    <t>Manizales|Colombia|-75,520554|5,070000|-5:00 America/Bogota</t>
  </si>
  <si>
    <t>Medellin</t>
  </si>
  <si>
    <t>Medellin|Colombia|-75,536110|6,291389|-5:00 America/Bogota</t>
  </si>
  <si>
    <t>Monteria</t>
  </si>
  <si>
    <t>Monteria|Colombia|-75,889999|8,757500|-5:00 America/Bogota</t>
  </si>
  <si>
    <t>Neiva</t>
  </si>
  <si>
    <t>Neiva|Colombia|-75,330276|2,930556|-5:00 America/Bogota</t>
  </si>
  <si>
    <t>Palmira</t>
  </si>
  <si>
    <t>Palmira|Colombia|-76,303612|3,539444|-5:00 America/Bogota</t>
  </si>
  <si>
    <t>Pasto</t>
  </si>
  <si>
    <t>Pasto|Colombia|-77,281113|1,213611|-5:00 America/Bogota</t>
  </si>
  <si>
    <t>Pereira</t>
  </si>
  <si>
    <t>Pereira|Colombia|-75,696114|4,813334|-5:00 America/Bogota</t>
  </si>
  <si>
    <t>Santa Marta</t>
  </si>
  <si>
    <t>Santa Marta|Colombia|-74,201668|11,247222|-5:00 America/Bogota</t>
  </si>
  <si>
    <t>Sincelejo</t>
  </si>
  <si>
    <t>Sincelejo|Colombia|-75,397781|9,304722|-5:00 America/Bogota</t>
  </si>
  <si>
    <t>Soacha</t>
  </si>
  <si>
    <t>Soacha|Colombia|-74,221390|4,587222|-5:00 America/Bogota</t>
  </si>
  <si>
    <t>Soledad</t>
  </si>
  <si>
    <t>Soledad|Colombia|-74,766670|10,917222|-5:00 America/Bogota</t>
  </si>
  <si>
    <t>Valledupar</t>
  </si>
  <si>
    <t>Valledupar|Colombia|-73,250557|10,476944|-5:00 America/Bogota</t>
  </si>
  <si>
    <t>Villavicencio</t>
  </si>
  <si>
    <t>Villavicencio|Colombia|-73,635002|4,153333|-5:00 America/Bogota</t>
  </si>
  <si>
    <t>Zaragoza</t>
  </si>
  <si>
    <t>Zaragoza|Colombia|-74,871109|7,494167|-5:00 America/Bogota</t>
  </si>
  <si>
    <t>Zarzal</t>
  </si>
  <si>
    <t>Zarzal|Colombia|-76,077225|4,398333|-5:00 America/Bogota</t>
  </si>
  <si>
    <t>Zipaquira</t>
  </si>
  <si>
    <t>Zipaquira|Colombia|-74,005836|5,028333|-5:00 America/Bogota</t>
  </si>
  <si>
    <t>Moutsamoudou</t>
  </si>
  <si>
    <t>KM</t>
  </si>
  <si>
    <t>Comoro</t>
  </si>
  <si>
    <t>+3:00 Indian/Comoro</t>
  </si>
  <si>
    <t>Moutsamoudou|Comoro|44,396389|-12,162778|+3:00 Indian/Comoro</t>
  </si>
  <si>
    <t>Ouani</t>
  </si>
  <si>
    <t>Ouani|Comoro|44,425835|-12,132222|+3:00 Indian/Comoro</t>
  </si>
  <si>
    <t>Sima</t>
  </si>
  <si>
    <t>Sima|Comoro|44,276669|-12,195556|+3:00 Indian/Comoro</t>
  </si>
  <si>
    <t>Brazzaville</t>
  </si>
  <si>
    <t>CG</t>
  </si>
  <si>
    <t>Congo</t>
  </si>
  <si>
    <t>+1:00 Africa/Brazzaville</t>
  </si>
  <si>
    <t>Brazzaville|Congo|15,284722|-4,259167|+1:00 Africa/Brazzaville</t>
  </si>
  <si>
    <t>Owando</t>
  </si>
  <si>
    <t>Owando|Congo|15,908055|-0,486944|+1:00 Africa/Brazzaville</t>
  </si>
  <si>
    <t>Pointe-Noire</t>
  </si>
  <si>
    <t>Pointe-Noire|Congo|11,846111|-4,794722|+1:00 Africa/Brazzaville</t>
  </si>
  <si>
    <t>Sibiti</t>
  </si>
  <si>
    <t>Sibiti|Congo|13,345833|-3,685833|+1:00 Africa/Brazzaville</t>
  </si>
  <si>
    <t>Avarua</t>
  </si>
  <si>
    <t>-10:00</t>
  </si>
  <si>
    <t>CK</t>
  </si>
  <si>
    <t>Cook Islands</t>
  </si>
  <si>
    <t>-10:00 Pacific/Rarotonga</t>
  </si>
  <si>
    <t>Avarua|Cook Islands|-159,774994|-21,207777|-10:00 Pacific/Rarotonga</t>
  </si>
  <si>
    <t>San Jose</t>
  </si>
  <si>
    <t>CR</t>
  </si>
  <si>
    <t>Costa Rica</t>
  </si>
  <si>
    <t>-6:00 America/Costa_Rica</t>
  </si>
  <si>
    <t>San Jose|Costa Rica|-84,083336|9,933333|-6:00 America/Costa_Rica</t>
  </si>
  <si>
    <t>Tilaran</t>
  </si>
  <si>
    <t>Tilaran|Costa Rica|-84,966667|10,466667|-6:00 America/Costa_Rica</t>
  </si>
  <si>
    <t>Tres Rios</t>
  </si>
  <si>
    <t>Tres Rios|Costa Rica|-83,983330|9,900000|-6:00 America/Costa_Rica</t>
  </si>
  <si>
    <t>Turrialba</t>
  </si>
  <si>
    <t>Turrialba|Costa Rica|-83,683334|9,900000|-6:00 America/Costa_Rica</t>
  </si>
  <si>
    <t>Zagreb</t>
  </si>
  <si>
    <t>HR</t>
  </si>
  <si>
    <t>Croatia</t>
  </si>
  <si>
    <t>+1:00 Europe/Zagreb</t>
  </si>
  <si>
    <t>Zagreb|Croatia|16,000000|45,799999|+1:00 Europe/Zagreb</t>
  </si>
  <si>
    <t>Zagreb - Centar</t>
  </si>
  <si>
    <t>Zagreb - Centar|Croatia|15,977532|45,813129|+1:00 Europe/Zagreb</t>
  </si>
  <si>
    <t>Zapresic</t>
  </si>
  <si>
    <t>Zapresic|Croatia|15,807777|45,856388|+1:00 Europe/Zagreb</t>
  </si>
  <si>
    <t>Zupanja</t>
  </si>
  <si>
    <t>Zupanja|Croatia|18,697500|45,077499|+1:00 Europe/Zagreb</t>
  </si>
  <si>
    <t>Camaguey</t>
  </si>
  <si>
    <t>CU</t>
  </si>
  <si>
    <t>Cuba</t>
  </si>
  <si>
    <t>-5:00 America/Havana</t>
  </si>
  <si>
    <t>Camaguey|Cuba|-77,916946|21,380833|-5:00 America/Havana</t>
  </si>
  <si>
    <t>Guantanamo</t>
  </si>
  <si>
    <t>Guantanamo|Cuba|-75,209167|20,144444|-5:00 America/Havana</t>
  </si>
  <si>
    <t>Havana</t>
  </si>
  <si>
    <t>Havana|Cuba|-82,364166|23,131945|-5:00 America/Havana</t>
  </si>
  <si>
    <t>Holguin</t>
  </si>
  <si>
    <t>Holguin|Cuba|-76,263054|20,887222|-5:00 America/Havana</t>
  </si>
  <si>
    <t>Las Tunas</t>
  </si>
  <si>
    <t>Las Tunas|Cuba|-76,951111|20,961666|-5:00 America/Havana</t>
  </si>
  <si>
    <t>Santa Clara</t>
  </si>
  <si>
    <t>Santa Clara|Cuba|-79,966667|22,400000|-5:00 America/Havana</t>
  </si>
  <si>
    <t>Santiago de Cuba</t>
  </si>
  <si>
    <t>Santiago de Cuba|Cuba|-75,821945|20,024723|-5:00 America/Havana</t>
  </si>
  <si>
    <t>Yaguajay</t>
  </si>
  <si>
    <t>Yaguajay|Cuba|-79,237778|22,327223|-5:00 America/Havana</t>
  </si>
  <si>
    <t>Yara</t>
  </si>
  <si>
    <t>Yara|Cuba|-76,953331|20,275278|-5:00 America/Havana</t>
  </si>
  <si>
    <t>Zaza del Medio</t>
  </si>
  <si>
    <t>Zaza del Medio|Cuba|-79,366943|21,996111|-5:00 America/Havana</t>
  </si>
  <si>
    <t>Cul de Sac</t>
  </si>
  <si>
    <t>AN</t>
  </si>
  <si>
    <t>Curacao</t>
  </si>
  <si>
    <t>-4:00 America/Curacao</t>
  </si>
  <si>
    <t>Cul de Sac|Curacao|-63,066666|18,033333|-4:00 America/Curacao</t>
  </si>
  <si>
    <t>Sint Michiel Liber</t>
  </si>
  <si>
    <t>Sint Michiel Liber|Curacao|-68,983330|12,150000|-4:00 America/Curacao</t>
  </si>
  <si>
    <t>Willemstad</t>
  </si>
  <si>
    <t>Willemstad|Curacao|-68,916664|12,100000|-4:00 America/Curacao</t>
  </si>
  <si>
    <t>Nicosia</t>
  </si>
  <si>
    <t>CY</t>
  </si>
  <si>
    <t>Cyprus</t>
  </si>
  <si>
    <t>+2:00 Asia/Nicosia</t>
  </si>
  <si>
    <t>Nicosia|Cyprus|33,366665|35,166668|+2:00 Asia/Nicosia</t>
  </si>
  <si>
    <t>Xeri</t>
  </si>
  <si>
    <t>Xeri|Cyprus|33,320835|35,075001|+2:00 Asia/Nicosia</t>
  </si>
  <si>
    <t>Yeri</t>
  </si>
  <si>
    <t>Yeri|Cyprus|33,416668|35,099998|+2:00 Asia/Nicosia</t>
  </si>
  <si>
    <t>Ypsonas</t>
  </si>
  <si>
    <t>Ypsonas|Cyprus|32,958332|34,683334|+2:00 Asia/Nicosia</t>
  </si>
  <si>
    <t>Brno</t>
  </si>
  <si>
    <t>CZ</t>
  </si>
  <si>
    <t>Czech</t>
  </si>
  <si>
    <t>+1:00 Europe/Prague</t>
  </si>
  <si>
    <t>Brno|Czech|16,599689|49,195190|+1:00 Europe/Prague</t>
  </si>
  <si>
    <t>Dvur Kralove nad Labem</t>
  </si>
  <si>
    <t>Dvur Kralove nad Labem|Czech|15,814021|50,431721|+1:00 Europe/Prague</t>
  </si>
  <si>
    <t>Ostrava</t>
  </si>
  <si>
    <t>Ostrava|Czech|18,282043|49,834644|+1:00 Europe/Prague</t>
  </si>
  <si>
    <t>Praha</t>
  </si>
  <si>
    <t>Praha|Czech|14,424132|50,087837|+1:00 Europe/Prague</t>
  </si>
  <si>
    <t>Znojmo</t>
  </si>
  <si>
    <t>Znojmo|Czech|16,048798|48,855499|+1:00 Europe/Prague</t>
  </si>
  <si>
    <t>Zubri</t>
  </si>
  <si>
    <t>Zubri|Czech|18,092485|49,466026|+1:00 Europe/Prague</t>
  </si>
  <si>
    <t>Bukavu</t>
  </si>
  <si>
    <t>CD</t>
  </si>
  <si>
    <t>Democratic Republic of the Congo</t>
  </si>
  <si>
    <t>+2:00 Africa/Lubumbashi</t>
  </si>
  <si>
    <t>Bukavu|Democratic Republic of the Congo|28,860834|-2,508333|+2:00 Africa/Lubumbashi</t>
  </si>
  <si>
    <t>Kananga</t>
  </si>
  <si>
    <t>Kananga|Democratic Republic of the Congo|22,417778|-5,895833|+2:00 Africa/Lubumbashi</t>
  </si>
  <si>
    <t>Kinshasa</t>
  </si>
  <si>
    <t>+1:00 Africa/Kinshasa</t>
  </si>
  <si>
    <t>Kinshasa|Democratic Republic of the Congo|15,315000|-4,329722|+1:00 Africa/Kinshasa</t>
  </si>
  <si>
    <t>Kisangani</t>
  </si>
  <si>
    <t>Kisangani|Democratic Republic of the Congo|25,200001|0,516667|+2:00 Africa/Lubumbashi</t>
  </si>
  <si>
    <t>Kolwezi</t>
  </si>
  <si>
    <t>Kolwezi|Democratic Republic of the Congo|25,472500|-10,716667|+2:00 Africa/Lubumbashi</t>
  </si>
  <si>
    <t>Likasi</t>
  </si>
  <si>
    <t>Likasi|Democratic Republic of the Congo|26,733334|-10,981389|+2:00 Africa/Lubumbashi</t>
  </si>
  <si>
    <t>Lubumbashi</t>
  </si>
  <si>
    <t>Lubumbashi|Democratic Republic of the Congo|27,466667|-11,666667|+2:00 Africa/Lubumbashi</t>
  </si>
  <si>
    <t>Masina</t>
  </si>
  <si>
    <t>Masina|Democratic Republic of the Congo|15,391389|-4,383611|+1:00 Africa/Kinshasa</t>
  </si>
  <si>
    <t>Mbuji-Mayi</t>
  </si>
  <si>
    <t>Mbuji-Mayi|Democratic Republic of the Congo|23,600000|-6,150000|+2:00 Africa/Lubumbashi</t>
  </si>
  <si>
    <t>Tshikapa</t>
  </si>
  <si>
    <t>Tshikapa|Democratic Republic of the Congo|20,799999|-6,416667|+2:00 Africa/Lubumbashi</t>
  </si>
  <si>
    <t>Wamba</t>
  </si>
  <si>
    <t>Wamba|Democratic Republic of the Congo|28,000000|2,150000|+2:00 Africa/Lubumbashi</t>
  </si>
  <si>
    <t>Watsa</t>
  </si>
  <si>
    <t>Watsa|Democratic Republic of the Congo|29,533333|3,050000|+2:00 Africa/Lubumbashi</t>
  </si>
  <si>
    <t>Yangambi</t>
  </si>
  <si>
    <t>Yangambi|Democratic Republic of the Congo|24,466667|0,783333|+2:00 Africa/Lubumbashi</t>
  </si>
  <si>
    <t>Arhus</t>
  </si>
  <si>
    <t>DK</t>
  </si>
  <si>
    <t>Denmark</t>
  </si>
  <si>
    <t>+1:00 Europe/Copenhagen</t>
  </si>
  <si>
    <t>Arhus|Denmark|10,216667|56,150002|+1:00 Europe/Copenhagen</t>
  </si>
  <si>
    <t>Copenhagen</t>
  </si>
  <si>
    <t>Copenhagen|Denmark|12,583333|55,666668|+1:00 Europe/Copenhagen</t>
  </si>
  <si>
    <t>Vejle</t>
  </si>
  <si>
    <t>Vejle|Denmark|9,533333|55,700001|+1:00 Europe/Copenhagen</t>
  </si>
  <si>
    <t>Vojens</t>
  </si>
  <si>
    <t>Vojens|Denmark|9,316667|55,250000|+1:00 Europe/Copenhagen</t>
  </si>
  <si>
    <t>Vordingborg</t>
  </si>
  <si>
    <t>Vordingborg|Denmark|11,916667|55,016666|+1:00 Europe/Copenhagen</t>
  </si>
  <si>
    <t>Djibouti</t>
  </si>
  <si>
    <t>DJ</t>
  </si>
  <si>
    <t>Djibouty</t>
  </si>
  <si>
    <t>+3:00 Africa/Djibouti</t>
  </si>
  <si>
    <t>Djibouti|Djibouty|43,148056|11,595000|+3:00 Africa/Djibouti</t>
  </si>
  <si>
    <t>Obock</t>
  </si>
  <si>
    <t>Obock|Djibouty|43,290554|11,963056|+3:00 Africa/Djibouti</t>
  </si>
  <si>
    <t>Tadjoura</t>
  </si>
  <si>
    <t>Tadjoura|Djibouty|42,884445|11,785277|+3:00 Africa/Djibouti</t>
  </si>
  <si>
    <t>Roseau</t>
  </si>
  <si>
    <t>DM</t>
  </si>
  <si>
    <t>Dominica</t>
  </si>
  <si>
    <t>-4:00 America/Dominica</t>
  </si>
  <si>
    <t>Roseau|Dominica|-61,400002|15,300000|-4:00 America/Dominica</t>
  </si>
  <si>
    <t>La Romana</t>
  </si>
  <si>
    <t>DO</t>
  </si>
  <si>
    <t>Dominican Republic</t>
  </si>
  <si>
    <t>-4:00 America/Santo_Domingo</t>
  </si>
  <si>
    <t>La Romana|Dominican Republic|-68,966667|18,416666|-4:00 America/Santo_Domingo</t>
  </si>
  <si>
    <t>San Pedro de Macoris</t>
  </si>
  <si>
    <t>San Pedro de Macoris|Dominican Republic|-69,300003|18,450001|-4:00 America/Santo_Domingo</t>
  </si>
  <si>
    <t>Santiago de los Caballeros</t>
  </si>
  <si>
    <t>Santiago de los Caballeros|Dominican Republic|-70,699997|19,450001|-4:00 America/Santo_Domingo</t>
  </si>
  <si>
    <t>Santo Domingo</t>
  </si>
  <si>
    <t>Santo Domingo|Dominican Republic|-69,900002|18,466667|-4:00 America/Santo_Domingo</t>
  </si>
  <si>
    <t>Yaguate</t>
  </si>
  <si>
    <t>Yaguate|Dominican Republic|-70,183334|18,333334|-4:00 America/Santo_Domingo</t>
  </si>
  <si>
    <t>Yamasa</t>
  </si>
  <si>
    <t>Yamasa|Dominican Republic|-70,016670|18,766666|-4:00 America/Santo_Domingo</t>
  </si>
  <si>
    <t>Yayas de Viajama</t>
  </si>
  <si>
    <t>Yayas de Viajama|Dominican Republic|-70,916664|18,600000|-4:00 America/Santo_Domingo</t>
  </si>
  <si>
    <t>Cuenca</t>
  </si>
  <si>
    <t>EC</t>
  </si>
  <si>
    <t>Ecuador</t>
  </si>
  <si>
    <t>-5:00 America/Guayaquil</t>
  </si>
  <si>
    <t>Cuenca|Ecuador|-78,983330|-2,883333|-5:00 America/Guayaquil</t>
  </si>
  <si>
    <t>Guayaquil</t>
  </si>
  <si>
    <t>Guayaquil|Ecuador|-79,900002|-2,166667|-5:00 America/Guayaquil</t>
  </si>
  <si>
    <t>Quito</t>
  </si>
  <si>
    <t>Quito|Ecuador|-78,500000|-0,216667|-5:00 America/Guayaquil</t>
  </si>
  <si>
    <t>Santo Domingo de los Colorados</t>
  </si>
  <si>
    <t>Santo Domingo de los Colorados|Ecuador|-79,150002|-0,250000|-5:00 America/Guayaquil</t>
  </si>
  <si>
    <t>Yantzaza</t>
  </si>
  <si>
    <t>Yantzaza|Ecuador|-78,759445|-3,827778|-5:00 America/Guayaquil</t>
  </si>
  <si>
    <t>Zamora</t>
  </si>
  <si>
    <t>Zamora|Ecuador|-78,956665|-4,069167|-5:00 America/Guayaquil</t>
  </si>
  <si>
    <t>Zaruma</t>
  </si>
  <si>
    <t>Zaruma|Ecuador|-79,616669|-3,683333|-5:00 America/Guayaquil</t>
  </si>
  <si>
    <t>Al Fayyum</t>
  </si>
  <si>
    <t>Egypt</t>
  </si>
  <si>
    <t>+2:00 Africa/Cairo</t>
  </si>
  <si>
    <t>Al Fayyum|Egypt|30,840000|29,307777|+2:00 Africa/Cairo</t>
  </si>
  <si>
    <t>Al Jizah</t>
  </si>
  <si>
    <t>Al Jizah|Egypt|31,212223|30,008612|+2:00 Africa/Cairo</t>
  </si>
  <si>
    <t>Al Mahallah al Kubra</t>
  </si>
  <si>
    <t>Al Mahallah al Kubra|Egypt|31,166945|30,976110|+2:00 Africa/Cairo</t>
  </si>
  <si>
    <t>Al Mansurah</t>
  </si>
  <si>
    <t>Al Mansurah|Egypt|31,376667|31,043056|+2:00 Africa/Cairo</t>
  </si>
  <si>
    <t>Al Minya</t>
  </si>
  <si>
    <t>Al Minya|Egypt|30,744444|28,119444|+2:00 Africa/Cairo</t>
  </si>
  <si>
    <t>Alexandria</t>
  </si>
  <si>
    <t>Alexandria|Egypt|29,919167|31,198055|+2:00 Africa/Cairo</t>
  </si>
  <si>
    <t>Aswan</t>
  </si>
  <si>
    <t>Aswan|Egypt|32,898888|24,087500|+2:00 Africa/Cairo</t>
  </si>
  <si>
    <t>Asyut</t>
  </si>
  <si>
    <t>Asyut|Egypt|31,182777|27,182777|+2:00 Africa/Cairo</t>
  </si>
  <si>
    <t>Az Zaqaziq</t>
  </si>
  <si>
    <t>Az Zaqaziq|Egypt|31,510279|30,591389|+2:00 Africa/Cairo</t>
  </si>
  <si>
    <t>Bur Sa`id</t>
  </si>
  <si>
    <t>Bur Sa`id|Egypt|32,300491|31,259769|+2:00 Africa/Cairo</t>
  </si>
  <si>
    <t>Cairo</t>
  </si>
  <si>
    <t>Cairo|Egypt|31,250000|30,049999|+2:00 Africa/Cairo</t>
  </si>
  <si>
    <t>Damanhur</t>
  </si>
  <si>
    <t>Damanhur|Egypt|30,466667|31,033333|+2:00 Africa/Cairo</t>
  </si>
  <si>
    <t>Ismailia</t>
  </si>
  <si>
    <t>Ismailia|Egypt|32,277222|30,605278|+2:00 Africa/Cairo</t>
  </si>
  <si>
    <t>Kafr ad Dawwar</t>
  </si>
  <si>
    <t>Kafr ad Dawwar|Egypt|30,129168|31,139723|+2:00 Africa/Cairo</t>
  </si>
  <si>
    <t>Luxor</t>
  </si>
  <si>
    <t>Luxor|Egypt|32,650002|25,683332|+2:00 Africa/Cairo</t>
  </si>
  <si>
    <t>Qina</t>
  </si>
  <si>
    <t>Qina|Egypt|32,727222|26,170000|+2:00 Africa/Cairo</t>
  </si>
  <si>
    <t>Suez</t>
  </si>
  <si>
    <t>Suez|Egypt|32,549999|29,966667|+2:00 Africa/Cairo</t>
  </si>
  <si>
    <t>Suhaj</t>
  </si>
  <si>
    <t>Suhaj|Egypt|31,700001|26,549999|+2:00 Africa/Cairo</t>
  </si>
  <si>
    <t>Tanta</t>
  </si>
  <si>
    <t>Tanta|Egypt|30,998056|30,791111|+2:00 Africa/Cairo</t>
  </si>
  <si>
    <t>Tukh</t>
  </si>
  <si>
    <t>Tukh|Egypt|31,158056|30,348333|+2:00 Africa/Cairo</t>
  </si>
  <si>
    <t>Zifta</t>
  </si>
  <si>
    <t>Zifta|Egypt|31,243889|30,713612|+2:00 Africa/Cairo</t>
  </si>
  <si>
    <t>San Salvador</t>
  </si>
  <si>
    <t>SV</t>
  </si>
  <si>
    <t>El Salvador</t>
  </si>
  <si>
    <t>-6:00 America/El_Salvador</t>
  </si>
  <si>
    <t>San Salvador|El Salvador|-89,203056|13,708611|-6:00 America/El_Salvador</t>
  </si>
  <si>
    <t>Soyapango</t>
  </si>
  <si>
    <t>Soyapango|El Salvador|-89,151390|13,734722|-6:00 America/El_Salvador</t>
  </si>
  <si>
    <t>Usulutan</t>
  </si>
  <si>
    <t>Usulutan|El Salvador|-88,449997|13,350000|-6:00 America/El_Salvador</t>
  </si>
  <si>
    <t>Zacatecoluca</t>
  </si>
  <si>
    <t>Zacatecoluca|El Salvador|-88,866669|13,500000|-6:00 America/El_Salvador</t>
  </si>
  <si>
    <t>Zaragoza|El Salvador|-89,288887|13,589444|-5:00 America/Bogota</t>
  </si>
  <si>
    <t>Mongomo</t>
  </si>
  <si>
    <t>GQ</t>
  </si>
  <si>
    <t>Equatorial Guinea</t>
  </si>
  <si>
    <t>+1:00 Africa/Malabo</t>
  </si>
  <si>
    <t>Mongomo|Equatorial Guinea|11,316667|1,633333|+1:00 Africa/Malabo</t>
  </si>
  <si>
    <t>Pale</t>
  </si>
  <si>
    <t>Pale|Equatorial Guinea|5,632500|-1,401389|+1:00 Africa/Malabo</t>
  </si>
  <si>
    <t>Rebola</t>
  </si>
  <si>
    <t>Rebola|Equatorial Guinea|8,833333|3,716667|+1:00 Africa/Malabo</t>
  </si>
  <si>
    <t>Asmara</t>
  </si>
  <si>
    <t>ER</t>
  </si>
  <si>
    <t>Eritrea</t>
  </si>
  <si>
    <t>+3:00 Africa/Asmara</t>
  </si>
  <si>
    <t>Asmara|Eritrea|38,933334|15,333333|+3:00 Africa/Asmara</t>
  </si>
  <si>
    <t>Barentu</t>
  </si>
  <si>
    <t>Barentu|Eritrea|37,592777|15,113889|+3:00 Africa/Asmara</t>
  </si>
  <si>
    <t>Dekemhare</t>
  </si>
  <si>
    <t>Dekemhare|Eritrea|39,047501|15,070000|+3:00 Africa/Asmara</t>
  </si>
  <si>
    <t>Idi</t>
  </si>
  <si>
    <t>Idi|Eritrea|41,692501|13,929722|+3:00 Africa/Asmara</t>
  </si>
  <si>
    <t>Tallinn</t>
  </si>
  <si>
    <t>EE</t>
  </si>
  <si>
    <t>Estonia</t>
  </si>
  <si>
    <t>+2:00 Europe/Tallinn</t>
  </si>
  <si>
    <t>Tallinn|Estonia|24,728056|59,433887|+2:00 Europe/Tallinn</t>
  </si>
  <si>
    <t>Valga</t>
  </si>
  <si>
    <t>Valga|Estonia|26,045279|57,774445|+2:00 Europe/Tallinn</t>
  </si>
  <si>
    <t>Viljandi</t>
  </si>
  <si>
    <t>Viljandi|Estonia|25,590000|58,363888|+2:00 Europe/Tallinn</t>
  </si>
  <si>
    <t>Voru</t>
  </si>
  <si>
    <t>Voru|Estonia|27,019444|57,833889|+2:00 Europe/Tallinn</t>
  </si>
  <si>
    <t>Addis Ababa</t>
  </si>
  <si>
    <t>ET</t>
  </si>
  <si>
    <t>Ethiopia</t>
  </si>
  <si>
    <t>+3:00 Africa/Addis_Ababa</t>
  </si>
  <si>
    <t>Addis Ababa|Ethiopia|38,700001|9,033333|+3:00 Africa/Addis_Ababa</t>
  </si>
  <si>
    <t>Dire Dawa</t>
  </si>
  <si>
    <t>Dire Dawa|Ethiopia|41,866112|9,593056|+3:00 Africa/Addis_Ababa</t>
  </si>
  <si>
    <t>Nazret</t>
  </si>
  <si>
    <t>Nazret|Ethiopia|39,266666|8,550000|+3:00 Africa/Addis_Ababa</t>
  </si>
  <si>
    <t>Yabelo</t>
  </si>
  <si>
    <t>Yabelo|Ethiopia|38,083332|4,883333|+3:00 Africa/Addis_Ababa</t>
  </si>
  <si>
    <t>Yirga `Alem</t>
  </si>
  <si>
    <t>Yirga `Alem|Ethiopia|38,416668|6,750000|+3:00 Africa/Addis_Ababa</t>
  </si>
  <si>
    <t>Ziway</t>
  </si>
  <si>
    <t>Ziway|Ethiopia|38,716667|7,933333|+3:00 Africa/Addis_Ababa</t>
  </si>
  <si>
    <t>Torshavn</t>
  </si>
  <si>
    <t>FO</t>
  </si>
  <si>
    <t>Faroe</t>
  </si>
  <si>
    <t>+0:00 Atlantic/Faroe</t>
  </si>
  <si>
    <t>Torshavn|Faroe|-6,766667|62,016666|+0:00 Atlantic/Faroe</t>
  </si>
  <si>
    <t>Lambasa</t>
  </si>
  <si>
    <t>+12:00</t>
  </si>
  <si>
    <t>FJ</t>
  </si>
  <si>
    <t>Fiji</t>
  </si>
  <si>
    <t>+12:00 Pacific/Fiji</t>
  </si>
  <si>
    <t>Lambasa|Fiji|179,383331|-16,416666|+12:00 Pacific/Fiji</t>
  </si>
  <si>
    <t>Espoo</t>
  </si>
  <si>
    <t>FI</t>
  </si>
  <si>
    <t>Finland</t>
  </si>
  <si>
    <t>+2:00 Europe/Helsinki</t>
  </si>
  <si>
    <t>Espoo|Finland|24,666666|60,216667|+2:00 Europe/Helsinki</t>
  </si>
  <si>
    <t>Helsinki</t>
  </si>
  <si>
    <t>Helsinki|Finland|24,934166|60,175556|+2:00 Europe/Helsinki</t>
  </si>
  <si>
    <t>Tampere</t>
  </si>
  <si>
    <t>Tampere|Finland|23,750000|61,500000|+2:00 Europe/Helsinki</t>
  </si>
  <si>
    <t>Ylitornio</t>
  </si>
  <si>
    <t>Ylitornio|Finland|23,666666|66,300003|+2:00 Europe/Helsinki</t>
  </si>
  <si>
    <t>Ylivieska</t>
  </si>
  <si>
    <t>Ylivieska|Finland|24,549999|64,083336|+2:00 Europe/Helsinki</t>
  </si>
  <si>
    <t>Ylojarvi</t>
  </si>
  <si>
    <t>Ylojarvi|Finland|23,600000|61,549999|+2:00 Europe/Helsinki</t>
  </si>
  <si>
    <t>Blaye</t>
  </si>
  <si>
    <t>FR</t>
  </si>
  <si>
    <t>France</t>
  </si>
  <si>
    <t>+1:00 Europe/Paris</t>
  </si>
  <si>
    <t>Blaye|France|-0,666667|45,133335|+1:00 Europe/Paris</t>
  </si>
  <si>
    <t>Bordeaux</t>
  </si>
  <si>
    <t>Bordeaux|France|-0,566667|44,833332|+1:00 Europe/Paris</t>
  </si>
  <si>
    <t>Lille</t>
  </si>
  <si>
    <t>Lille|France|3,066667|50,633335|+1:00 Europe/Paris</t>
  </si>
  <si>
    <t>Lyon</t>
  </si>
  <si>
    <t>Lyon|France|4,850000|45,750000|+1:00 Europe/Paris</t>
  </si>
  <si>
    <t>Marseille</t>
  </si>
  <si>
    <t>Marseille|France|5,400000|43,299999|+1:00 Europe/Paris</t>
  </si>
  <si>
    <t>Montpellier</t>
  </si>
  <si>
    <t>Montpellier|France|3,883333|43,599998|+1:00 Europe/Paris</t>
  </si>
  <si>
    <t>Nantes</t>
  </si>
  <si>
    <t>Nantes|France|-1,550000|47,216667|+1:00 Europe/Paris</t>
  </si>
  <si>
    <t>Nice</t>
  </si>
  <si>
    <t>Nice|France|7,250000|43,700001|+1:00 Europe/Paris</t>
  </si>
  <si>
    <t>Paris</t>
  </si>
  <si>
    <t>Paris|France|2,333333|48,866665|+1:00 Europe/Paris</t>
  </si>
  <si>
    <t>Rennes</t>
  </si>
  <si>
    <t>Rennes|France|-1,683333|48,083332|+1:00 Europe/Paris</t>
  </si>
  <si>
    <t>Strasbourg</t>
  </si>
  <si>
    <t>Strasbourg|France|7,750000|48,583332|+1:00 Europe/Paris</t>
  </si>
  <si>
    <t>Toulouse</t>
  </si>
  <si>
    <t>Toulouse|France|1,443672|43,604263|+1:00 Europe/Paris</t>
  </si>
  <si>
    <t>Yvetot</t>
  </si>
  <si>
    <t>Yvetot|France|0,766667|49,616665|+1:00 Europe/Paris</t>
  </si>
  <si>
    <t>Yzeure</t>
  </si>
  <si>
    <t>Yzeure|France|3,350000|46,566666|+1:00 Europe/Paris</t>
  </si>
  <si>
    <t>Matoury</t>
  </si>
  <si>
    <t>GF</t>
  </si>
  <si>
    <t>French Guiana</t>
  </si>
  <si>
    <t>-3:00 America/Cayenne</t>
  </si>
  <si>
    <t>Matoury|French Guiana|-52,333332|4,850000|-3:00 America/Cayenne</t>
  </si>
  <si>
    <t>Remire-Montjoly</t>
  </si>
  <si>
    <t>Remire-Montjoly|French Guiana|-52,266666|4,916667|-3:00 America/Cayenne</t>
  </si>
  <si>
    <t>Saint-Laurent-du-Maroni</t>
  </si>
  <si>
    <t>Saint-Laurent-du-Maroni|French Guiana|-54,033333|5,500000|-3:00 America/Cayenne</t>
  </si>
  <si>
    <t>Libreville</t>
  </si>
  <si>
    <t>GA</t>
  </si>
  <si>
    <t>Gabon</t>
  </si>
  <si>
    <t>+1:00 Africa/Libreville</t>
  </si>
  <si>
    <t>Libreville|Gabon|9,450000|0,383333|+1:00 Africa/Libreville</t>
  </si>
  <si>
    <t>Oyem</t>
  </si>
  <si>
    <t>Oyem|Gabon|11,583333|1,616667|+1:00 Africa/Libreville</t>
  </si>
  <si>
    <t>Port-Gentil</t>
  </si>
  <si>
    <t>Port-Gentil|Gabon|8,783333|-0,716667|+1:00 Africa/Libreville</t>
  </si>
  <si>
    <t>Tchibanga</t>
  </si>
  <si>
    <t>Tchibanga|Gabon|11,033333|-2,850000|+1:00 Africa/Libreville</t>
  </si>
  <si>
    <t>Sabi</t>
  </si>
  <si>
    <t>GM</t>
  </si>
  <si>
    <t>Gambia</t>
  </si>
  <si>
    <t>+0:00 Africa/Banjul</t>
  </si>
  <si>
    <t>Sabi|Gambia|-14,200000|13,233334|+0:00 Africa/Banjul</t>
  </si>
  <si>
    <t>Soma</t>
  </si>
  <si>
    <t>Soma|Gambia|-15,533333|13,433333|+0:00 Africa/Banjul</t>
  </si>
  <si>
    <t>Sukuta</t>
  </si>
  <si>
    <t>Sukuta|Gambia|-16,708889|13,411389|+0:00 Africa/Banjul</t>
  </si>
  <si>
    <t>Jabaliya</t>
  </si>
  <si>
    <t>PS</t>
  </si>
  <si>
    <t>Gaza Strip</t>
  </si>
  <si>
    <t>+2:00 Asia/Gaza</t>
  </si>
  <si>
    <t>Jabaliya|Gaza Strip|34,483334|31,533333|+2:00 Asia/Gaza</t>
  </si>
  <si>
    <t>Khan Yunis</t>
  </si>
  <si>
    <t>Khan Yunis|Gaza Strip|34,302502|31,343889|+2:00 Asia/Gaza</t>
  </si>
  <si>
    <t>Rafah</t>
  </si>
  <si>
    <t>Rafah|Gaza Strip|34,250832|31,284166|+2:00 Asia/Gaza</t>
  </si>
  <si>
    <t>Tbilisi</t>
  </si>
  <si>
    <t>GE</t>
  </si>
  <si>
    <t>Georgia</t>
  </si>
  <si>
    <t>+4:00 Asia/Tbilisi</t>
  </si>
  <si>
    <t>Tbilisi|Georgia|44,790833|41,724998|+4:00 Asia/Tbilisi</t>
  </si>
  <si>
    <t>Tsalenjikha</t>
  </si>
  <si>
    <t>Tsalenjikha|Georgia|42,077221|42,604443|+4:00 Asia/Tbilisi</t>
  </si>
  <si>
    <t>Tsnori</t>
  </si>
  <si>
    <t>Tsnori|Georgia|45,971943|41,616943|+4:00 Asia/Tbilisi</t>
  </si>
  <si>
    <t>Zugdidi</t>
  </si>
  <si>
    <t>Zugdidi|Georgia|41,869167|42,512222|+4:00 Asia/Tbilisi</t>
  </si>
  <si>
    <t>Augsburg</t>
  </si>
  <si>
    <t>DE</t>
  </si>
  <si>
    <t>Germany</t>
  </si>
  <si>
    <t>+1:00 Europe/Berlin</t>
  </si>
  <si>
    <t>Augsburg|Germany|10,883333|48,366665|+1:00 Europe/Berlin</t>
  </si>
  <si>
    <t>Berlin</t>
  </si>
  <si>
    <t>Berlin|Germany|13,400000|52,516666|+1:00 Europe/Berlin</t>
  </si>
  <si>
    <t>Bielefeld</t>
  </si>
  <si>
    <t>Bielefeld|Germany|8,533333|52,033333|+1:00 Europe/Berlin</t>
  </si>
  <si>
    <t>Bochum</t>
  </si>
  <si>
    <t>Bochum|Germany|7,216667|51,483334|+1:00 Europe/Berlin</t>
  </si>
  <si>
    <t>Bonn</t>
  </si>
  <si>
    <t>Bonn|Germany|7,100000|50,733334|+1:00 Europe/Berlin</t>
  </si>
  <si>
    <t>Braunschweig</t>
  </si>
  <si>
    <t>Braunschweig|Germany|10,533333|52,266666|+1:00 Europe/Berlin</t>
  </si>
  <si>
    <t>Bremen</t>
  </si>
  <si>
    <t>Bremen|Germany|8,807774|53,075157|+1:00 Europe/Berlin</t>
  </si>
  <si>
    <t>Chemnitz</t>
  </si>
  <si>
    <t>Chemnitz|Germany|12,916667|50,833332|+1:00 Europe/Berlin</t>
  </si>
  <si>
    <t>Dortmund</t>
  </si>
  <si>
    <t>Dortmund|Germany|7,450000|51,516666|+1:00 Europe/Berlin</t>
  </si>
  <si>
    <t>Dresden</t>
  </si>
  <si>
    <t>Dresden|Germany|13,738317|51,050892|+1:00 Europe/Berlin</t>
  </si>
  <si>
    <t>Duisburg</t>
  </si>
  <si>
    <t>Duisburg|Germany|6,750000|51,433334|+1:00 Europe/Berlin</t>
  </si>
  <si>
    <t>Dusseldorf</t>
  </si>
  <si>
    <t>Dusseldorf|Germany|6,776161|51,221722|+1:00 Europe/Berlin</t>
  </si>
  <si>
    <t>Erfurt</t>
  </si>
  <si>
    <t>Erfurt|Germany|11,033333|50,983334|+1:00 Europe/Berlin</t>
  </si>
  <si>
    <t>Essen</t>
  </si>
  <si>
    <t>Essen|Germany|7,016667|51,450001|+1:00 Europe/Berlin</t>
  </si>
  <si>
    <t>Frankfurt am Main</t>
  </si>
  <si>
    <t>Frankfurt am Main|Germany|8,683333|50,116665|+1:00 Europe/Berlin</t>
  </si>
  <si>
    <t>Freiburg</t>
  </si>
  <si>
    <t>Freiburg|Germany|7,852221|47,995895|+1:00 Europe/Berlin</t>
  </si>
  <si>
    <t>Gelsenkirchen-Alt</t>
  </si>
  <si>
    <t>Gelsenkirchen-Alt|Germany|7,116667|51,516666|+1:00 Europe/Berlin</t>
  </si>
  <si>
    <t>Halle</t>
  </si>
  <si>
    <t>Halle|Germany|12,000000|51,500000|+1:00 Europe/Berlin</t>
  </si>
  <si>
    <t>Halle-Neustadt</t>
  </si>
  <si>
    <t>Halle-Neustadt|Germany|11,933333|51,483334|+1:00 Europe/Berlin</t>
  </si>
  <si>
    <t>Hamburg</t>
  </si>
  <si>
    <t>Hamburg|Germany|10,000000|53,549999|+1:00 Europe/Berlin</t>
  </si>
  <si>
    <t>Hannover</t>
  </si>
  <si>
    <t>Hannover|Germany|9,733222|52,370518|+1:00 Europe/Berlin</t>
  </si>
  <si>
    <t>Karlsruhe</t>
  </si>
  <si>
    <t>Karlsruhe|Germany|8,385834|49,004723|+1:00 Europe/Berlin</t>
  </si>
  <si>
    <t>Kiel</t>
  </si>
  <si>
    <t>Kiel|Germany|10,133333|54,333332|+1:00 Europe/Berlin</t>
  </si>
  <si>
    <t>Koeln</t>
  </si>
  <si>
    <t>Koeln|Germany|6,950000|50,933334|+1:00 Europe/Berlin</t>
  </si>
  <si>
    <t>Krefeld</t>
  </si>
  <si>
    <t>Krefeld|Germany|6,566667|51,333332|+1:00 Europe/Berlin</t>
  </si>
  <si>
    <t>Kreisfreie Stadt Aachen</t>
  </si>
  <si>
    <t>Kreisfreie Stadt Aachen|Germany|6,105278|50,770832|+1:00 Europe/Berlin</t>
  </si>
  <si>
    <t>Leipzig</t>
  </si>
  <si>
    <t>Leipzig|Germany|12,369919|51,337799|+1:00 Europe/Berlin</t>
  </si>
  <si>
    <t>Lubeck</t>
  </si>
  <si>
    <t>Lubeck|Germany|10,687294|53,868927|+1:00 Europe/Berlin</t>
  </si>
  <si>
    <t>Mannheim</t>
  </si>
  <si>
    <t>Mannheim|Germany|8,464723|49,488335|+1:00 Europe/Berlin</t>
  </si>
  <si>
    <t>Monchengladbach</t>
  </si>
  <si>
    <t>Monchengladbach|Germany|6,433333|51,200001|+1:00 Europe/Berlin</t>
  </si>
  <si>
    <t>Munich</t>
  </si>
  <si>
    <t>Munich|Germany|11,574354|48,137684|+1:00 Europe/Berlin</t>
  </si>
  <si>
    <t>Munster</t>
  </si>
  <si>
    <t>Munster|Germany|7,625713|51,962357|+1:00 Europe/Berlin</t>
  </si>
  <si>
    <t>Neustadt</t>
  </si>
  <si>
    <t>Neustadt|Germany|11,633333|52,150002|+1:00 Europe/Berlin</t>
  </si>
  <si>
    <t>Nuernberg</t>
  </si>
  <si>
    <t>Nuernberg|Germany|11,068334|49,447777|+1:00 Europe/Berlin</t>
  </si>
  <si>
    <t>Oberhausen</t>
  </si>
  <si>
    <t>Oberhausen|Germany|6,850000|51,466667|+1:00 Europe/Berlin</t>
  </si>
  <si>
    <t>Stuttgart</t>
  </si>
  <si>
    <t>Stuttgart|Germany|9,183333|48,766666|+1:00 Europe/Berlin</t>
  </si>
  <si>
    <t>Wahren</t>
  </si>
  <si>
    <t>Wahren|Germany|12,333333|51,366665|+1:00 Europe/Berlin</t>
  </si>
  <si>
    <t>Wiesbaden</t>
  </si>
  <si>
    <t>Wiesbaden|Germany|8,250000|50,083332|+1:00 Europe/Berlin</t>
  </si>
  <si>
    <t>Wuppertal</t>
  </si>
  <si>
    <t>Wuppertal|Germany|7,183333|51,266666|+1:00 Europe/Berlin</t>
  </si>
  <si>
    <t>Zwiesel</t>
  </si>
  <si>
    <t>Zwiesel|Germany|13,233334|49,016666|+1:00 Europe/Berlin</t>
  </si>
  <si>
    <t>Zwingenberg</t>
  </si>
  <si>
    <t>Zwingenberg|Germany|8,618611|49,726387|+1:00 Europe/Berlin</t>
  </si>
  <si>
    <t>Zwonitz</t>
  </si>
  <si>
    <t>Zwonitz|Germany|12,800000|50,633335|+1:00 Europe/Berlin</t>
  </si>
  <si>
    <t>Accra</t>
  </si>
  <si>
    <t>GH</t>
  </si>
  <si>
    <t>Ghana</t>
  </si>
  <si>
    <t>+0:00 Africa/Accra</t>
  </si>
  <si>
    <t>Accra|Ghana|-0,216667|5,550000|+0:00 Africa/Accra</t>
  </si>
  <si>
    <t>Achiaman</t>
  </si>
  <si>
    <t>Achiaman|Ghana|-0,333333|5,700000|+0:00 Africa/Accra</t>
  </si>
  <si>
    <t>Kumasi</t>
  </si>
  <si>
    <t>Kumasi|Ghana|-1,616667|6,683333|+0:00 Africa/Accra</t>
  </si>
  <si>
    <t>Takoradi</t>
  </si>
  <si>
    <t>Takoradi|Ghana|-1,750000|4,883333|+0:00 Africa/Accra</t>
  </si>
  <si>
    <t>Tamale</t>
  </si>
  <si>
    <t>Tamale|Ghana|-0,833333|9,400000|+0:00 Africa/Accra</t>
  </si>
  <si>
    <t>Wenchi</t>
  </si>
  <si>
    <t>Wenchi|Ghana|-2,100000|7,733333|+0:00 Africa/Accra</t>
  </si>
  <si>
    <t>Winneba</t>
  </si>
  <si>
    <t>Winneba|Ghana|-0,616667|5,333333|+0:00 Africa/Accra</t>
  </si>
  <si>
    <t>Yendi</t>
  </si>
  <si>
    <t>Yendi|Ghana|-0,016667|9,433333|+0:00 Africa/Accra</t>
  </si>
  <si>
    <t>Gibraltar</t>
  </si>
  <si>
    <t>GI</t>
  </si>
  <si>
    <t>+1:00 Europe/Gibraltar</t>
  </si>
  <si>
    <t>Gibraltar|Gibraltar|-5,350000|36,133335|+1:00 Europe/Gibraltar</t>
  </si>
  <si>
    <t>Athens</t>
  </si>
  <si>
    <t>GR</t>
  </si>
  <si>
    <t>Greece</t>
  </si>
  <si>
    <t>+2:00 Europe/Athens</t>
  </si>
  <si>
    <t>Athens|Greece|23,733334|37,983334|+2:00 Europe/Athens</t>
  </si>
  <si>
    <t>Thessaloniki</t>
  </si>
  <si>
    <t>Thessaloniki|Greece|22,943890|40,640278|+2:00 Europe/Athens</t>
  </si>
  <si>
    <t>Yiannouli</t>
  </si>
  <si>
    <t>Yiannouli|Greece|22,383333|39,666668|+2:00 Europe/Athens</t>
  </si>
  <si>
    <t>Zakharo</t>
  </si>
  <si>
    <t>Zakharo|Greece|21,650000|37,483334|+2:00 Europe/Athens</t>
  </si>
  <si>
    <t>Zakynthos</t>
  </si>
  <si>
    <t>Zakynthos|Greece|20,895277|37,791389|+2:00 Europe/Athens</t>
  </si>
  <si>
    <t>Nuuk</t>
  </si>
  <si>
    <t>GL</t>
  </si>
  <si>
    <t>Greenland</t>
  </si>
  <si>
    <t>-3:00 America/Godthab</t>
  </si>
  <si>
    <t>Nuuk|Greenland|-51,750000|64,183334|-3:00 America/Godthab</t>
  </si>
  <si>
    <t>Sisimiut</t>
  </si>
  <si>
    <t>Sisimiut|Greenland|-53,683334|66,933334|-3:00 America/Godthab</t>
  </si>
  <si>
    <t>Tasiilaq</t>
  </si>
  <si>
    <t>Tasiilaq|Greenland|-37,633335|65,599998|-3:00 America/Godthab</t>
  </si>
  <si>
    <t>Gustavia</t>
  </si>
  <si>
    <t>BL</t>
  </si>
  <si>
    <t>Guadeloupe</t>
  </si>
  <si>
    <t>-4:00 America/Guadeloupe</t>
  </si>
  <si>
    <t>Gustavia|Guadeloupe|-62,849998|17,883333|-4:00 America/Guadeloupe</t>
  </si>
  <si>
    <t>Saint-Francois</t>
  </si>
  <si>
    <t>Saint-Francois|Guadeloupe|-61,266666|16,250000|-4:00 America/Guadeloupe</t>
  </si>
  <si>
    <t>Trois-Rivieres</t>
  </si>
  <si>
    <t>Trois-Rivieres|Guadeloupe|-61,633335|15,966667|-4:00 America/Guadeloupe</t>
  </si>
  <si>
    <t>Vieux-Habitants</t>
  </si>
  <si>
    <t>Vieux-Habitants|Guadeloupe|-61,750000|16,049999|-4:00 America/Guadeloupe</t>
  </si>
  <si>
    <t>Tamuning</t>
  </si>
  <si>
    <t>GU</t>
  </si>
  <si>
    <t>Guam</t>
  </si>
  <si>
    <t>+10:00 Pacific/Guam</t>
  </si>
  <si>
    <t>Tamuning|Guam|144,776672|13,483889|+10:00 Pacific/Guam</t>
  </si>
  <si>
    <t>Yigo</t>
  </si>
  <si>
    <t>Yigo|Guam|144,885559|13,534445|+10:00 Pacific/Guam</t>
  </si>
  <si>
    <t>Guatemala City</t>
  </si>
  <si>
    <t>GT</t>
  </si>
  <si>
    <t>Guatemala</t>
  </si>
  <si>
    <t>-6:00 America/Guatemala</t>
  </si>
  <si>
    <t>Guatemala City|Guatemala|-90,526939|14,621110|-6:00 America/Guatemala</t>
  </si>
  <si>
    <t>Mixco</t>
  </si>
  <si>
    <t>Mixco|Guatemala|-90,606392|14,633333|-6:00 America/Guatemala</t>
  </si>
  <si>
    <t>Villa Nueva</t>
  </si>
  <si>
    <t>Villa Nueva|Guatemala|-90,587502|14,526944|-6:00 America/Guatemala</t>
  </si>
  <si>
    <t>Zacualpa</t>
  </si>
  <si>
    <t>Zacualpa|Guatemala|-90,833336|15,083333|-6:00 America/Guatemala</t>
  </si>
  <si>
    <t>Zaragoza|Guatemala|-90,889442|14,654445|-5:00 America/Bogota</t>
  </si>
  <si>
    <t>Zunil</t>
  </si>
  <si>
    <t>Zunil|Guatemala|-91,483330|14,783333|-6:00 America/Guatemala</t>
  </si>
  <si>
    <t>Camayenne</t>
  </si>
  <si>
    <t>GN</t>
  </si>
  <si>
    <t>Guinea</t>
  </si>
  <si>
    <t>+0:00 Africa/Conakry</t>
  </si>
  <si>
    <t>Camayenne|Guinea|-13,687778|9,535000|+0:00 Africa/Conakry</t>
  </si>
  <si>
    <t>Conakry</t>
  </si>
  <si>
    <t>Conakry|Guinea|-13,712222|9,509167|+0:00 Africa/Conakry</t>
  </si>
  <si>
    <t>Tougue</t>
  </si>
  <si>
    <t>Tougue|Guinea|-11,683333|11,450000|+0:00 Africa/Conakry</t>
  </si>
  <si>
    <t>Yomou</t>
  </si>
  <si>
    <t>Yomou|Guinea|-9,265278|7,560278|+0:00 Africa/Conakry</t>
  </si>
  <si>
    <t>Youkounkoun</t>
  </si>
  <si>
    <t>Youkounkoun|Guinea|-13,133333|12,533333|+0:00 Africa/Conakry</t>
  </si>
  <si>
    <t>Bissau</t>
  </si>
  <si>
    <t>GW</t>
  </si>
  <si>
    <t>Guinea-Bissau</t>
  </si>
  <si>
    <t>+0:00 Africa/Bissau</t>
  </si>
  <si>
    <t>Bissau|Guinea-Bissau|-15,583333|11,850000|+0:00 Africa/Bissau</t>
  </si>
  <si>
    <t>Mansoa</t>
  </si>
  <si>
    <t>Mansoa|Guinea-Bissau|-15,318889|12,073334|+0:00 Africa/Bissau</t>
  </si>
  <si>
    <t>Quebo</t>
  </si>
  <si>
    <t>Quebo|Guinea-Bissau|-14,933333|11,333333|+0:00 Africa/Bissau</t>
  </si>
  <si>
    <t>Quinhamel</t>
  </si>
  <si>
    <t>Quinhamel|Guinea-Bissau|-15,850000|11,883333|+0:00 Africa/Bissau</t>
  </si>
  <si>
    <t>Georgetown</t>
  </si>
  <si>
    <t>GY</t>
  </si>
  <si>
    <t>Guyana</t>
  </si>
  <si>
    <t>-4:00 America/Guyana</t>
  </si>
  <si>
    <t>Georgetown|Guyana|-58,166668|6,800000|-4:00 America/Guyana</t>
  </si>
  <si>
    <t>New Amsterdam</t>
  </si>
  <si>
    <t>New Amsterdam|Guyana|-57,516666|6,250000|-4:00 America/Guyana</t>
  </si>
  <si>
    <t>Rosignol</t>
  </si>
  <si>
    <t>Rosignol|Guyana|-57,533333|6,283333|-4:00 America/Guyana</t>
  </si>
  <si>
    <t>Skeldon</t>
  </si>
  <si>
    <t>Skeldon|Guyana|-57,133335|5,883333|-4:00 America/Guyana</t>
  </si>
  <si>
    <t>Carrefour</t>
  </si>
  <si>
    <t>HT</t>
  </si>
  <si>
    <t>Haiti</t>
  </si>
  <si>
    <t>-5:00 America/Port-au-Prince</t>
  </si>
  <si>
    <t>Carrefour|Haiti|-72,399216|18,541140|-5:00 America/Port-au-Prince</t>
  </si>
  <si>
    <t>Delmas 73</t>
  </si>
  <si>
    <t>Delmas 73|Haiti|-72,302780|18,544722|-5:00 America/Port-au-Prince</t>
  </si>
  <si>
    <t>Port-au-Prince</t>
  </si>
  <si>
    <t>Port-au-Prince|Haiti|-72,334999|18,539167|-5:00 America/Port-au-Prince</t>
  </si>
  <si>
    <t>Saint-Raphael</t>
  </si>
  <si>
    <t>Saint-Raphael|Haiti|-72,199997|19,433332|-5:00 America/Port-au-Prince</t>
  </si>
  <si>
    <t>Trou du Nord</t>
  </si>
  <si>
    <t>Trou du Nord|Haiti|-72,016670|19,633333|-5:00 America/Port-au-Prince</t>
  </si>
  <si>
    <t>Verrettes</t>
  </si>
  <si>
    <t>Verrettes|Haiti|-72,466667|19,049999|-5:00 America/Port-au-Prince</t>
  </si>
  <si>
    <t>Puerto Cortez</t>
  </si>
  <si>
    <t>HN</t>
  </si>
  <si>
    <t>Honduras</t>
  </si>
  <si>
    <t>-6:00 America/Tegucigalpa</t>
  </si>
  <si>
    <t>Puerto Cortez|Honduras|-87,949997|15,833333|-6:00 America/Tegucigalpa</t>
  </si>
  <si>
    <t>San Pedro Sula</t>
  </si>
  <si>
    <t>San Pedro Sula|Honduras|-88,033333|15,500000|-6:00 America/Tegucigalpa</t>
  </si>
  <si>
    <t>Tegucigalpa</t>
  </si>
  <si>
    <t>Tegucigalpa|Honduras|-87,216667|14,100000|-6:00 America/Tegucigalpa</t>
  </si>
  <si>
    <t>Villanueva</t>
  </si>
  <si>
    <t>Villanueva|Honduras|-88,000000|15,316667|-6:00 America/Tegucigalpa</t>
  </si>
  <si>
    <t>Yoro</t>
  </si>
  <si>
    <t>Yoro|Honduras|-87,133331|15,133333|-6:00 America/Tegucigalpa</t>
  </si>
  <si>
    <t>Hong Kong</t>
  </si>
  <si>
    <t>HK</t>
  </si>
  <si>
    <t>+8:00 Asia/Hong_Kong</t>
  </si>
  <si>
    <t>Hong Kong|Hong Kong|114,150070|22,284014|+8:00 Asia/Hong_Kong</t>
  </si>
  <si>
    <t>Kowloon</t>
  </si>
  <si>
    <t>Kowloon|Hong Kong|114,183334|22,316668|+8:00 Asia/Hong_Kong</t>
  </si>
  <si>
    <t>Budapest</t>
  </si>
  <si>
    <t>HU</t>
  </si>
  <si>
    <t>Hungary</t>
  </si>
  <si>
    <t>+1:00 Europe/Budapest</t>
  </si>
  <si>
    <t>Budapest|Hungary|19,083334|47,500000|+1:00 Europe/Budapest</t>
  </si>
  <si>
    <t>Debrecen</t>
  </si>
  <si>
    <t>Debrecen|Hungary|21,633333|47,533333|+1:00 Europe/Budapest</t>
  </si>
  <si>
    <t>Vamospercs</t>
  </si>
  <si>
    <t>Vamospercs|Hungary|21,900000|47,533333|+1:00 Europe/Budapest</t>
  </si>
  <si>
    <t>Vasarosnameny</t>
  </si>
  <si>
    <t>Vasarosnameny|Hungary|22,316668|48,133335|+1:00 Europe/Budapest</t>
  </si>
  <si>
    <t>Veszto</t>
  </si>
  <si>
    <t>Veszto|Hungary|21,266666|46,916668|+1:00 Europe/Budapest</t>
  </si>
  <si>
    <t>Akureyri</t>
  </si>
  <si>
    <t>IS</t>
  </si>
  <si>
    <t>Iceland</t>
  </si>
  <si>
    <t>+0:00 Atlantic/Reykjavik</t>
  </si>
  <si>
    <t>Akureyri|Iceland|-18,100000|65,666664|+0:00 Atlantic/Reykjavik</t>
  </si>
  <si>
    <t>Reykjavik</t>
  </si>
  <si>
    <t>Reykjavik|Iceland|-21,950001|64,150002|+0:00 Atlantic/Reykjavik</t>
  </si>
  <si>
    <t>Selfoss</t>
  </si>
  <si>
    <t>Selfoss|Iceland|-21,000000|63,933334|+0:00 Atlantic/Reykjavik</t>
  </si>
  <si>
    <t>Agartala</t>
  </si>
  <si>
    <t>+5:30</t>
  </si>
  <si>
    <t>IN</t>
  </si>
  <si>
    <t>India</t>
  </si>
  <si>
    <t>+5:30 Asia/Calcutta</t>
  </si>
  <si>
    <t>Agartala|India|91,275002|23,836390|+5:30 Asia/Calcutta</t>
  </si>
  <si>
    <t>Agra</t>
  </si>
  <si>
    <t>Agra|India|78,016670|27,183332|+5:30 Asia/Calcutta</t>
  </si>
  <si>
    <t>Ahmadabad</t>
  </si>
  <si>
    <t>Ahmadabad|India|72,616669|23,033333|+5:30 Asia/Calcutta</t>
  </si>
  <si>
    <t>Ahmadnagar</t>
  </si>
  <si>
    <t>Ahmadnagar|India|74,733330|19,083334|+5:30 Asia/Calcutta</t>
  </si>
  <si>
    <t>Aizawl</t>
  </si>
  <si>
    <t>Aizawl|India|92,716667|23,733334|+5:30 Asia/Calcutta</t>
  </si>
  <si>
    <t>Ajmer</t>
  </si>
  <si>
    <t>Ajmer|India|74,633331|26,450001|+5:30 Asia/Calcutta</t>
  </si>
  <si>
    <t>Akola</t>
  </si>
  <si>
    <t>Akola|India|77,000000|20,733334|+5:30 Asia/Calcutta</t>
  </si>
  <si>
    <t>Aligarh</t>
  </si>
  <si>
    <t>Aligarh|India|78,083336|27,883333|+5:30 Asia/Calcutta</t>
  </si>
  <si>
    <t>Allahabad</t>
  </si>
  <si>
    <t>Allahabad|India|81,849998|25,450001|+5:30 Asia/Calcutta</t>
  </si>
  <si>
    <t>Alwar</t>
  </si>
  <si>
    <t>Alwar|India|76,599998|27,566668|+5:30 Asia/Calcutta</t>
  </si>
  <si>
    <t>Amarnath</t>
  </si>
  <si>
    <t>Amarnath|India|73,166664|19,200001|+5:30 Asia/Calcutta</t>
  </si>
  <si>
    <t>Ambattur</t>
  </si>
  <si>
    <t>Ambattur|India|80,162224|13,098333|+5:30 Asia/Calcutta</t>
  </si>
  <si>
    <t>Amravati</t>
  </si>
  <si>
    <t>Amravati|India|77,750000|20,933332|+5:30 Asia/Calcutta</t>
  </si>
  <si>
    <t>Amritsar</t>
  </si>
  <si>
    <t>Amritsar|India|74,865555|31,633055|+5:30 Asia/Calcutta</t>
  </si>
  <si>
    <t>Anantapur</t>
  </si>
  <si>
    <t>Anantapur|India|77,599998|14,683333|+5:30 Asia/Calcutta</t>
  </si>
  <si>
    <t>Ara</t>
  </si>
  <si>
    <t>Ara|India|84,666664|25,566668|+5:30 Asia/Calcutta</t>
  </si>
  <si>
    <t>Asansol</t>
  </si>
  <si>
    <t>Asansol|India|86,983330|23,683332|+5:30 Asia/Calcutta</t>
  </si>
  <si>
    <t>Aurangabad</t>
  </si>
  <si>
    <t>Aurangabad|India|75,333336|19,883333|+5:30 Asia/Calcutta</t>
  </si>
  <si>
    <t>Avadi</t>
  </si>
  <si>
    <t>Avadi|India|80,101669|13,115556|+5:30 Asia/Calcutta</t>
  </si>
  <si>
    <t>Bali</t>
  </si>
  <si>
    <t>Bali|India|88,340279|22,646111|+5:30 Asia/Calcutta</t>
  </si>
  <si>
    <t>Bangalore</t>
  </si>
  <si>
    <t>Bangalore|India|77,600128|12,976624|+5:30 Asia/Calcutta</t>
  </si>
  <si>
    <t>Baranagar</t>
  </si>
  <si>
    <t>Baranagar|India|88,365280|22,643333|+5:30 Asia/Calcutta</t>
  </si>
  <si>
    <t>Barasat</t>
  </si>
  <si>
    <t>Barasat|India|88,516670|22,716667|+5:30 Asia/Calcutta</t>
  </si>
  <si>
    <t>Barddhaman</t>
  </si>
  <si>
    <t>Barddhaman|India|87,849998|23,250000|+5:30 Asia/Calcutta</t>
  </si>
  <si>
    <t>Bareilly</t>
  </si>
  <si>
    <t>Bareilly|India|79,416664|28,350000|+5:30 Asia/Calcutta</t>
  </si>
  <si>
    <t>Belgaum</t>
  </si>
  <si>
    <t>Belgaum|India|74,500000|15,866667|+5:30 Asia/Calcutta</t>
  </si>
  <si>
    <t>Bellary</t>
  </si>
  <si>
    <t>Bellary|India|76,933334|15,150000|+5:30 Asia/Calcutta</t>
  </si>
  <si>
    <t>Benares</t>
  </si>
  <si>
    <t>Benares|India|83,000000|25,333334|+5:30 Asia/Calcutta</t>
  </si>
  <si>
    <t>Bengalooru</t>
  </si>
  <si>
    <t>Bengalooru|India|77,600128|12,976624|+5:30 Asia/Calcutta</t>
  </si>
  <si>
    <t>Bhagalpur</t>
  </si>
  <si>
    <t>Bhagalpur|India|87,000000|25,250000|+5:30 Asia/Calcutta</t>
  </si>
  <si>
    <t>Bharatpur</t>
  </si>
  <si>
    <t>Bharatpur|India|77,483330|27,216667|+5:30 Asia/Calcutta</t>
  </si>
  <si>
    <t>Bhatinda</t>
  </si>
  <si>
    <t>Bhatinda|India|74,949997|30,200001|+5:30 Asia/Calcutta</t>
  </si>
  <si>
    <t>Bhatpara</t>
  </si>
  <si>
    <t>Bhatpara|India|88,408890|22,871389|+5:30 Asia/Calcutta</t>
  </si>
  <si>
    <t>Bhavnagar</t>
  </si>
  <si>
    <t>Bhavnagar|India|72,150002|21,766666|+5:30 Asia/Calcutta</t>
  </si>
  <si>
    <t>Bhilai</t>
  </si>
  <si>
    <t>Bhilai|India|81,433334|21,216667|+5:30 Asia/Calcutta</t>
  </si>
  <si>
    <t>Bhilwara</t>
  </si>
  <si>
    <t>Bhilwara|India|74,633331|25,350000|+5:30 Asia/Calcutta</t>
  </si>
  <si>
    <t>Bhiwandi</t>
  </si>
  <si>
    <t>Bhiwandi|India|73,066666|19,299999|+5:30 Asia/Calcutta</t>
  </si>
  <si>
    <t>Bhopal</t>
  </si>
  <si>
    <t>Bhopal|India|77,400002|23,266666|+5:30 Asia/Calcutta</t>
  </si>
  <si>
    <t>Bhubaneshwar</t>
  </si>
  <si>
    <t>Bhubaneshwar|India|85,833336|20,233334|+5:30 Asia/Calcutta</t>
  </si>
  <si>
    <t>Bidar</t>
  </si>
  <si>
    <t>Bidar|India|77,550003|17,900000|+5:30 Asia/Calcutta</t>
  </si>
  <si>
    <t>Bihar Sharif</t>
  </si>
  <si>
    <t>Bihar Sharif|India|85,516670|25,183332|+5:30 Asia/Calcutta</t>
  </si>
  <si>
    <t>Bijapur</t>
  </si>
  <si>
    <t>Bijapur|India|75,699997|16,833334|+5:30 Asia/Calcutta</t>
  </si>
  <si>
    <t>Bikaner</t>
  </si>
  <si>
    <t>Bikaner|India|73,300003|28,016666|+5:30 Asia/Calcutta</t>
  </si>
  <si>
    <t>Bilaspur</t>
  </si>
  <si>
    <t>Bilaspur|India|82,150002|22,083334|+5:30 Asia/Calcutta</t>
  </si>
  <si>
    <t>Bokaro</t>
  </si>
  <si>
    <t>Bokaro|India|85,966667|23,783333|+5:30 Asia/Calcutta</t>
  </si>
  <si>
    <t>Bombay</t>
  </si>
  <si>
    <t>Bombay|India|72,825836|18,975000|+5:30 Asia/Calcutta</t>
  </si>
  <si>
    <t>Brahmapur</t>
  </si>
  <si>
    <t>Brahmapur|India|84,783333|19,316668|+5:30 Asia/Calcutta</t>
  </si>
  <si>
    <t>Burhanpur</t>
  </si>
  <si>
    <t>Burhanpur|India|76,233330|21,299999|+5:30 Asia/Calcutta</t>
  </si>
  <si>
    <t>Calcutta</t>
  </si>
  <si>
    <t>Calcutta|India|88,369720|22,569723|+5:30 Asia/Calcutta</t>
  </si>
  <si>
    <t>Calicut</t>
  </si>
  <si>
    <t>Calicut|India|75,766670|11,250000|+5:30 Asia/Calcutta</t>
  </si>
  <si>
    <t>Chandigarh</t>
  </si>
  <si>
    <t>Chandigarh|India|76,787224|30,737223|+5:30 Asia/Calcutta</t>
  </si>
  <si>
    <t>Chandrapur</t>
  </si>
  <si>
    <t>Chandrapur|India|79,300003|19,950001|+5:30 Asia/Calcutta</t>
  </si>
  <si>
    <t>Cochin</t>
  </si>
  <si>
    <t>Cochin|India|76,233330|9,966667|+5:30 Asia/Calcutta</t>
  </si>
  <si>
    <t>Coimbatore</t>
  </si>
  <si>
    <t>Coimbatore|India|76,966667|11,000000|+5:30 Asia/Calcutta</t>
  </si>
  <si>
    <t>Cuttack</t>
  </si>
  <si>
    <t>Cuttack|India|85,879265|20,464973|+5:30 Asia/Calcutta</t>
  </si>
  <si>
    <t>Darbhanga</t>
  </si>
  <si>
    <t>Darbhanga|India|85,900002|26,166666|+5:30 Asia/Calcutta</t>
  </si>
  <si>
    <t>Dehra Dun</t>
  </si>
  <si>
    <t>Dehra Dun|India|78,033333|30,316668|+5:30 Asia/Calcutta</t>
  </si>
  <si>
    <t>Delhi</t>
  </si>
  <si>
    <t>Delhi|India|77,216667|28,666666|+5:30 Asia/Calcutta</t>
  </si>
  <si>
    <t>Dewas</t>
  </si>
  <si>
    <t>Dewas|India|76,066666|22,966667|+5:30 Asia/Calcutta</t>
  </si>
  <si>
    <t>Dhanbad</t>
  </si>
  <si>
    <t>Dhanbad|India|86,449997|23,799999|+5:30 Asia/Calcutta</t>
  </si>
  <si>
    <t>Dhule</t>
  </si>
  <si>
    <t>Dhule|India|74,783333|20,900000|+5:30 Asia/Calcutta</t>
  </si>
  <si>
    <t>Dindigul</t>
  </si>
  <si>
    <t>Dindigul|India|77,949997|10,350000|+5:30 Asia/Calcutta</t>
  </si>
  <si>
    <t>Durg</t>
  </si>
  <si>
    <t>Durg|India|81,283333|21,183332|+5:30 Asia/Calcutta</t>
  </si>
  <si>
    <t>Durgapur</t>
  </si>
  <si>
    <t>Durgapur|India|87,316666|23,483334|+5:30 Asia/Calcutta</t>
  </si>
  <si>
    <t>Etawah</t>
  </si>
  <si>
    <t>Etawah|India|79,033333|26,766666|+5:30 Asia/Calcutta</t>
  </si>
  <si>
    <t>Faridabad</t>
  </si>
  <si>
    <t>Faridabad|India|77,316666|28,433332|+5:30 Asia/Calcutta</t>
  </si>
  <si>
    <t>Farrukhabad</t>
  </si>
  <si>
    <t>Farrukhabad|India|79,566666|27,400000|+5:30 Asia/Calcutta</t>
  </si>
  <si>
    <t>Firozabad</t>
  </si>
  <si>
    <t>Firozabad|India|78,416664|27,150000|+5:30 Asia/Calcutta</t>
  </si>
  <si>
    <t>Ganganagar</t>
  </si>
  <si>
    <t>Ganganagar|India|73,883331|29,916666|+5:30 Asia/Calcutta</t>
  </si>
  <si>
    <t>Gaya</t>
  </si>
  <si>
    <t>Gaya|India|85,000000|24,783333|+5:30 Asia/Calcutta</t>
  </si>
  <si>
    <t>Ghaziabad</t>
  </si>
  <si>
    <t>Ghaziabad|India|77,433334|28,666666|+5:30 Asia/Calcutta</t>
  </si>
  <si>
    <t>Gorakhpur, Uttar Pradesh</t>
  </si>
  <si>
    <t>Gorakhpur, Uttar Pradesh|India|83,373886|26,754999|+5:30 Asia/Calcutta</t>
  </si>
  <si>
    <t>Gulbarga</t>
  </si>
  <si>
    <t>Gulbarga|India|76,833336|17,333334|+5:30 Asia/Calcutta</t>
  </si>
  <si>
    <t>Guntur</t>
  </si>
  <si>
    <t>Guntur|India|80,449997|16,299999|+5:30 Asia/Calcutta</t>
  </si>
  <si>
    <t>Guwahati</t>
  </si>
  <si>
    <t>Guwahati|India|91,733330|26,183332|+5:30 Asia/Calcutta</t>
  </si>
  <si>
    <t>Gwalior</t>
  </si>
  <si>
    <t>Gwalior|India|78,179169|26,223612|+5:30 Asia/Calcutta</t>
  </si>
  <si>
    <t>Haora</t>
  </si>
  <si>
    <t>Haora|India|88,310280|22,589167|+5:30 Asia/Calcutta</t>
  </si>
  <si>
    <t>Hapur</t>
  </si>
  <si>
    <t>Hapur|India|77,783333|28,716667|+5:30 Asia/Calcutta</t>
  </si>
  <si>
    <t>Hisar</t>
  </si>
  <si>
    <t>Hisar|India|75,716667|29,166666|+5:30 Asia/Calcutta</t>
  </si>
  <si>
    <t>Hubli</t>
  </si>
  <si>
    <t>Hubli|India|75,166664|15,350000|+5:30 Asia/Calcutta</t>
  </si>
  <si>
    <t>Hyderabad</t>
  </si>
  <si>
    <t>Hyderabad|India|78,474442|17,375278|+5:30 Asia/Calcutta</t>
  </si>
  <si>
    <t>Ichalkaranji</t>
  </si>
  <si>
    <t>Ichalkaranji|India|74,466667|16,700001|+5:30 Asia/Calcutta</t>
  </si>
  <si>
    <t>Imphal</t>
  </si>
  <si>
    <t>Imphal|India|93,949997|24,816668|+5:30 Asia/Calcutta</t>
  </si>
  <si>
    <t>Indore</t>
  </si>
  <si>
    <t>Indore|India|75,833305|22,717924|+5:30 Asia/Calcutta</t>
  </si>
  <si>
    <t>Jabalpur</t>
  </si>
  <si>
    <t>Jabalpur|India|79,950066|23,166975|+5:30 Asia/Calcutta</t>
  </si>
  <si>
    <t>Jaipur</t>
  </si>
  <si>
    <t>Jaipur|India|75,816666|26,916666|+5:30 Asia/Calcutta</t>
  </si>
  <si>
    <t>Jalandhar</t>
  </si>
  <si>
    <t>Jalandhar|India|75,579170|31,325556|+5:30 Asia/Calcutta</t>
  </si>
  <si>
    <t>Jalgaon</t>
  </si>
  <si>
    <t>Jalgaon|India|75,566666|21,016666|+5:30 Asia/Calcutta</t>
  </si>
  <si>
    <t>Jalna</t>
  </si>
  <si>
    <t>Jalna|India|75,883331|19,833334|+5:30 Asia/Calcutta</t>
  </si>
  <si>
    <t>Jammu</t>
  </si>
  <si>
    <t>Jammu|India|74,866669|32,733334|+5:30 Asia/Calcutta</t>
  </si>
  <si>
    <t>Jamnagar</t>
  </si>
  <si>
    <t>Jamnagar|India|70,066666|22,466667|+5:30 Asia/Calcutta</t>
  </si>
  <si>
    <t>Jamshedpur</t>
  </si>
  <si>
    <t>Jamshedpur|India|86,183334|22,799999|+5:30 Asia/Calcutta</t>
  </si>
  <si>
    <t>Jhansi</t>
  </si>
  <si>
    <t>Jhansi|India|78,583336|25,433332|+5:30 Asia/Calcutta</t>
  </si>
  <si>
    <t>Jodhpur</t>
  </si>
  <si>
    <t>Jodhpur|India|73,029999|26,286667|+5:30 Asia/Calcutta</t>
  </si>
  <si>
    <t>Kakinada</t>
  </si>
  <si>
    <t>Kakinada|India|82,216667|16,933332|+5:30 Asia/Calcutta</t>
  </si>
  <si>
    <t>Kalyan</t>
  </si>
  <si>
    <t>Kalyan|India|73,150002|19,250000|+5:30 Asia/Calcutta</t>
  </si>
  <si>
    <t>Kamarhati</t>
  </si>
  <si>
    <t>Kamarhati|India|88,374725|22,671110|+5:30 Asia/Calcutta</t>
  </si>
  <si>
    <t>Kanpur</t>
  </si>
  <si>
    <t>Kanpur|India|80,349998|26,466667|+5:30 Asia/Calcutta</t>
  </si>
  <si>
    <t>Karimnagar</t>
  </si>
  <si>
    <t>Karimnagar|India|79,150002|18,433332|+5:30 Asia/Calcutta</t>
  </si>
  <si>
    <t>Karnal</t>
  </si>
  <si>
    <t>Karnal|India|76,983330|29,683332|+5:30 Asia/Calcutta</t>
  </si>
  <si>
    <t>Kharagpur</t>
  </si>
  <si>
    <t>Kharagpur|India|87,333336|22,333334|+5:30 Asia/Calcutta</t>
  </si>
  <si>
    <t>Kilakarai</t>
  </si>
  <si>
    <t>Kilakarai|India|78,783333|9,233334|+5:30 Asia/Calcutta</t>
  </si>
  <si>
    <t>Kolhapur</t>
  </si>
  <si>
    <t>Kolhapur|India|74,216667|16,700001|+5:30 Asia/Calcutta</t>
  </si>
  <si>
    <t>Korba</t>
  </si>
  <si>
    <t>Korba|India|82,683334|22,350000|+5:30 Asia/Calcutta</t>
  </si>
  <si>
    <t>Kota</t>
  </si>
  <si>
    <t>Kota|India|75,833336|25,183332|+5:30 Asia/Calcutta</t>
  </si>
  <si>
    <t>Kukatpalli</t>
  </si>
  <si>
    <t>Kukatpalli|India|78,416664|17,483334|+5:30 Asia/Calcutta</t>
  </si>
  <si>
    <t>Kulti</t>
  </si>
  <si>
    <t>Kulti|India|86,849998|23,733334|+5:30 Asia/Calcutta</t>
  </si>
  <si>
    <t>Latur</t>
  </si>
  <si>
    <t>Latur|India|76,583336|18,400000|+5:30 Asia/Calcutta</t>
  </si>
  <si>
    <t>Lucknow</t>
  </si>
  <si>
    <t>Lucknow|India|80,916664|26,850000|+5:30 Asia/Calcutta</t>
  </si>
  <si>
    <t>Ludhiana</t>
  </si>
  <si>
    <t>Ludhiana|India|75,849998|30,900000|+5:30 Asia/Calcutta</t>
  </si>
  <si>
    <t>Madras</t>
  </si>
  <si>
    <t>Madras|India|80,278473|13,087838|+5:30 Asia/Calcutta</t>
  </si>
  <si>
    <t>Madurai</t>
  </si>
  <si>
    <t>Madurai|India|78,116669|9,933333|+5:30 Asia/Calcutta</t>
  </si>
  <si>
    <t>Malegaon</t>
  </si>
  <si>
    <t>Malegaon|India|74,533333|20,549999|+5:30 Asia/Calcutta</t>
  </si>
  <si>
    <t>Mangalore</t>
  </si>
  <si>
    <t>Mangalore|India|74,883331|12,866667|+5:30 Asia/Calcutta</t>
  </si>
  <si>
    <t>Mathura</t>
  </si>
  <si>
    <t>Mathura|India|77,683334|27,500000|+5:30 Asia/Calcutta</t>
  </si>
  <si>
    <t>Mau</t>
  </si>
  <si>
    <t>Mau|India|83,550003|25,950001|+5:30 Asia/Calcutta</t>
  </si>
  <si>
    <t>Mayapur</t>
  </si>
  <si>
    <t>Mayapur|India|88,388077|23,423412|+5:30 Asia/Calcutta</t>
  </si>
  <si>
    <t>Meerut</t>
  </si>
  <si>
    <t>Meerut|India|77,699997|28,983334|+5:30 Asia/Calcutta</t>
  </si>
  <si>
    <t>Mirzapur</t>
  </si>
  <si>
    <t>Mirzapur|India|82,583336|25,150000|+5:30 Asia/Calcutta</t>
  </si>
  <si>
    <t>Moradabad</t>
  </si>
  <si>
    <t>Moradabad|India|78,783333|28,833334|+5:30 Asia/Calcutta</t>
  </si>
  <si>
    <t>Munger</t>
  </si>
  <si>
    <t>Munger|India|86,466667|25,383333|+5:30 Asia/Calcutta</t>
  </si>
  <si>
    <t>Muzaffarnagar</t>
  </si>
  <si>
    <t>Muzaffarnagar|India|77,683334|29,466667|+5:30 Asia/Calcutta</t>
  </si>
  <si>
    <t>Muzaffarpur</t>
  </si>
  <si>
    <t>Muzaffarpur|India|85,400002|26,116667|+5:30 Asia/Calcutta</t>
  </si>
  <si>
    <t>Mysore</t>
  </si>
  <si>
    <t>Mysore|India|76,649719|12,307222|+5:30 Asia/Calcutta</t>
  </si>
  <si>
    <t>Nadiad</t>
  </si>
  <si>
    <t>Nadiad|India|72,866669|22,700001|+5:30 Asia/Calcutta</t>
  </si>
  <si>
    <t>Nagercoil</t>
  </si>
  <si>
    <t>Nagercoil|India|77,433334|8,166667|+5:30 Asia/Calcutta</t>
  </si>
  <si>
    <t>Nagpur</t>
  </si>
  <si>
    <t>Nagpur|India|79,099998|21,150000|+5:30 Asia/Calcutta</t>
  </si>
  <si>
    <t>Naihati</t>
  </si>
  <si>
    <t>Naihati|India|88,416946|22,902779|+5:30 Asia/Calcutta</t>
  </si>
  <si>
    <t>Nangi</t>
  </si>
  <si>
    <t>Nangi|India|88,215279|22,508333|+5:30 Asia/Calcutta</t>
  </si>
  <si>
    <t>Nasik</t>
  </si>
  <si>
    <t>Nasik|India|73,800003|19,983334|+5:30 Asia/Calcutta</t>
  </si>
  <si>
    <t>Nellore</t>
  </si>
  <si>
    <t>Nellore|India|79,966667|14,433333|+5:30 Asia/Calcutta</t>
  </si>
  <si>
    <t>New Delhi</t>
  </si>
  <si>
    <t>New Delhi|India|77,199997|28,600000|+5:30 Asia/Calcutta</t>
  </si>
  <si>
    <t>Nizamabad</t>
  </si>
  <si>
    <t>Nizamabad|India|78,116669|18,666666|+5:30 Asia/Calcutta</t>
  </si>
  <si>
    <t>Pali</t>
  </si>
  <si>
    <t>Pali|India|73,333336|25,766666|+5:30 Asia/Calcutta</t>
  </si>
  <si>
    <t>Panihati</t>
  </si>
  <si>
    <t>Panihati|India|88,374443|22,694166|+5:30 Asia/Calcutta</t>
  </si>
  <si>
    <t>Panipat</t>
  </si>
  <si>
    <t>Panipat|India|76,968056|29,388889|+5:30 Asia/Calcutta</t>
  </si>
  <si>
    <t>Parbhani</t>
  </si>
  <si>
    <t>Parbhani|India|76,783333|19,266666|+5:30 Asia/Calcutta</t>
  </si>
  <si>
    <t>Patiala</t>
  </si>
  <si>
    <t>Patiala|India|76,400276|30,326666|+5:30 Asia/Calcutta</t>
  </si>
  <si>
    <t>Patna</t>
  </si>
  <si>
    <t>Patna|India|85,116669|25,600000|+5:30 Asia/Calcutta</t>
  </si>
  <si>
    <t>Pimpri</t>
  </si>
  <si>
    <t>Pimpri|India|73,800003|18,616667|+5:30 Asia/Calcutta</t>
  </si>
  <si>
    <t>Pondicherry</t>
  </si>
  <si>
    <t>Pondicherry|India|79,830002|11,930000|+5:30 Asia/Calcutta</t>
  </si>
  <si>
    <t>Punasa</t>
  </si>
  <si>
    <t>Punasa|India|76,400002|22,233334|+5:30 Asia/Calcutta</t>
  </si>
  <si>
    <t>Punch</t>
  </si>
  <si>
    <t>Punch|India|74,099998|33,766666|+5:30 Asia/Calcutta</t>
  </si>
  <si>
    <t>Pune</t>
  </si>
  <si>
    <t>Pune|India|73,866669|18,533333|+5:30 Asia/Calcutta</t>
  </si>
  <si>
    <t>Quilon</t>
  </si>
  <si>
    <t>Quilon|India|76,599998|8,883333|+5:30 Asia/Calcutta</t>
  </si>
  <si>
    <t>Raichur</t>
  </si>
  <si>
    <t>Raichur|India|77,366669|16,200001|+5:30 Asia/Calcutta</t>
  </si>
  <si>
    <t>Raipur</t>
  </si>
  <si>
    <t>Raipur|India|81,633331|21,233334|+5:30 Asia/Calcutta</t>
  </si>
  <si>
    <t>Rajahmundry</t>
  </si>
  <si>
    <t>Rajahmundry|India|81,783333|16,983334|+5:30 Asia/Calcutta</t>
  </si>
  <si>
    <t>Rajkot</t>
  </si>
  <si>
    <t>Rajkot|India|70,783333|22,299999|+5:30 Asia/Calcutta</t>
  </si>
  <si>
    <t>Rampur</t>
  </si>
  <si>
    <t>Rampur|India|79,033333|28,816668|+5:30 Asia/Calcutta</t>
  </si>
  <si>
    <t>Ranchi</t>
  </si>
  <si>
    <t>Ranchi|India|85,333336|23,350000|+5:30 Asia/Calcutta</t>
  </si>
  <si>
    <t>Ratlam</t>
  </si>
  <si>
    <t>Ratlam|India|75,066666|23,316668|+5:30 Asia/Calcutta</t>
  </si>
  <si>
    <t>Rewa</t>
  </si>
  <si>
    <t>Rewa|India|81,300003|24,533333|+5:30 Asia/Calcutta</t>
  </si>
  <si>
    <t>Rohtak</t>
  </si>
  <si>
    <t>Rohtak|India|76,566666|28,900000|+5:30 Asia/Calcutta</t>
  </si>
  <si>
    <t>Sagar</t>
  </si>
  <si>
    <t>Sagar|India|78,716667|23,833334|+5:30 Asia/Calcutta</t>
  </si>
  <si>
    <t>Saharanpur</t>
  </si>
  <si>
    <t>Saharanpur|India|77,550003|29,966667|+5:30 Asia/Calcutta</t>
  </si>
  <si>
    <t>Salem</t>
  </si>
  <si>
    <t>Salem|India|78,166664|11,650000|+5:30 Asia/Calcutta</t>
  </si>
  <si>
    <t>Satna</t>
  </si>
  <si>
    <t>Satna|India|80,833336|24,583334|+5:30 Asia/Calcutta</t>
  </si>
  <si>
    <t>Shahjahanpur</t>
  </si>
  <si>
    <t>Shahjahanpur|India|79,916664|27,883333|+5:30 Asia/Calcutta</t>
  </si>
  <si>
    <t>Shiliguri</t>
  </si>
  <si>
    <t>Shiliguri|India|88,433334|26,700001|+5:30 Asia/Calcutta</t>
  </si>
  <si>
    <t>Shimoga</t>
  </si>
  <si>
    <t>Shimoga|India|75,566666|13,916667|+5:30 Asia/Calcutta</t>
  </si>
  <si>
    <t>Shrirampur</t>
  </si>
  <si>
    <t>Shrirampur|India|88,342224|22,752777|+5:30 Asia/Calcutta</t>
  </si>
  <si>
    <t>Solapur</t>
  </si>
  <si>
    <t>Solapur|India|75,916664|17,683332|+5:30 Asia/Calcutta</t>
  </si>
  <si>
    <t>Sonipat</t>
  </si>
  <si>
    <t>Sonipat|India|77,016670|28,983334|+5:30 Asia/Calcutta</t>
  </si>
  <si>
    <t>Srinagar</t>
  </si>
  <si>
    <t>Srinagar|India|74,816666|34,083332|+5:30 Asia/Calcutta</t>
  </si>
  <si>
    <t>Surat</t>
  </si>
  <si>
    <t>Surat|India|72,833336|21,166666|+5:30 Asia/Calcutta</t>
  </si>
  <si>
    <t>Thane</t>
  </si>
  <si>
    <t>Thane|India|72,966667|19,200001|+5:30 Asia/Calcutta</t>
  </si>
  <si>
    <t>Thanjavur</t>
  </si>
  <si>
    <t>Thanjavur|India|79,150002|10,800000|+5:30 Asia/Calcutta</t>
  </si>
  <si>
    <t>Thiruvananthapuram</t>
  </si>
  <si>
    <t>Thiruvananthapuram|India|76,916664|8,483334|+5:30 Asia/Calcutta</t>
  </si>
  <si>
    <t>Tiruchchirappalli</t>
  </si>
  <si>
    <t>Tiruchchirappalli|India|78,683334|10,816667|+5:30 Asia/Calcutta</t>
  </si>
  <si>
    <t>Tirunelveli</t>
  </si>
  <si>
    <t>Tirunelveli|India|77,699997|8,733334|+5:30 Asia/Calcutta</t>
  </si>
  <si>
    <t>Tirupati</t>
  </si>
  <si>
    <t>Tirupati|India|79,416664|13,650000|+5:30 Asia/Calcutta</t>
  </si>
  <si>
    <t>Tiruppur</t>
  </si>
  <si>
    <t>Tiruppur|India|77,349998|11,100000|+5:30 Asia/Calcutta</t>
  </si>
  <si>
    <t>Trichur</t>
  </si>
  <si>
    <t>Trichur|India|76,216667|10,516666|+5:30 Asia/Calcutta</t>
  </si>
  <si>
    <t>Tumkur</t>
  </si>
  <si>
    <t>Tumkur|India|77,101669|13,342222|+5:30 Asia/Calcutta</t>
  </si>
  <si>
    <t>Udaipur</t>
  </si>
  <si>
    <t>Udaipur|India|73,683334|24,583334|+5:30 Asia/Calcutta</t>
  </si>
  <si>
    <t>Ujjain</t>
  </si>
  <si>
    <t>Ujjain|India|75,766670|23,183332|+5:30 Asia/Calcutta</t>
  </si>
  <si>
    <t>Ulhasnagar</t>
  </si>
  <si>
    <t>Ulhasnagar|India|73,150002|19,216667|+5:30 Asia/Calcutta</t>
  </si>
  <si>
    <t>Vadodara</t>
  </si>
  <si>
    <t>Vadodara|India|73,199997|22,299999|+5:30 Asia/Calcutta</t>
  </si>
  <si>
    <t>Vasco da Gamma</t>
  </si>
  <si>
    <t>Vasco da Gamma|India|73,830002|15,400000|+5:30 Asia/Calcutta</t>
  </si>
  <si>
    <t>Vijayawada</t>
  </si>
  <si>
    <t>Vijayawada|India|80,616669|16,516666|+5:30 Asia/Calcutta</t>
  </si>
  <si>
    <t>Vishakhapatnam</t>
  </si>
  <si>
    <t>Vishakhapatnam|India|83,300003|17,700001|+5:30 Asia/Calcutta</t>
  </si>
  <si>
    <t>Vrindavan</t>
  </si>
  <si>
    <t>Vrindavan|India|77,701241|27,577990|+5:30 Asia/Calcutta</t>
  </si>
  <si>
    <t>Warangal</t>
  </si>
  <si>
    <t>Warangal|India|79,583336|18,000000|+5:30 Asia/Calcutta</t>
  </si>
  <si>
    <t>Yamunanagar</t>
  </si>
  <si>
    <t>Yamunanagar|India|77,283333|30,100000|+5:30 Asia/Calcutta</t>
  </si>
  <si>
    <t>Zunheboto</t>
  </si>
  <si>
    <t>Zunheboto|India|94,516670|25,966667|+5:30 Asia/Calcutta</t>
  </si>
  <si>
    <t>Ambon</t>
  </si>
  <si>
    <t>+9:00</t>
  </si>
  <si>
    <t>Indonesia</t>
  </si>
  <si>
    <t>+9:00 Asia/Jayapura</t>
  </si>
  <si>
    <t>Ambon|Indonesia|128,199997|-3,716667|+9:00 Asia/Jayapura</t>
  </si>
  <si>
    <t>Balikpapan</t>
  </si>
  <si>
    <t>+8:00 Asia/Makassar</t>
  </si>
  <si>
    <t>Balikpapan|Indonesia|116,833336|-1,283333|+8:00 Asia/Makassar</t>
  </si>
  <si>
    <t>Banda Aceh</t>
  </si>
  <si>
    <t>+7:00 Asia/Pontianak</t>
  </si>
  <si>
    <t>Banda Aceh|Indonesia|95,325836|5,561666|+7:00 Asia/Pontianak</t>
  </si>
  <si>
    <t>Bandung</t>
  </si>
  <si>
    <t>+7:00 Asia/Jakarta</t>
  </si>
  <si>
    <t>Bandung|Indonesia|107,620552|-6,912778|+7:00 Asia/Jakarta</t>
  </si>
  <si>
    <t>Banjarmasin</t>
  </si>
  <si>
    <t>Banjarmasin|Indonesia|114,583336|-3,333333|+8:00 Asia/Makassar</t>
  </si>
  <si>
    <t>Bekasi</t>
  </si>
  <si>
    <t>Bekasi|Indonesia|106,991943|-6,236667|+7:00 Asia/Jakarta</t>
  </si>
  <si>
    <t>Bengkulu</t>
  </si>
  <si>
    <t>Bengkulu|Indonesia|102,265541|-3,800443|+7:00 Asia/Jakarta</t>
  </si>
  <si>
    <t>Binjai</t>
  </si>
  <si>
    <t>Binjai|Indonesia|98,500000|3,600000|+7:00 Asia/Jakarta</t>
  </si>
  <si>
    <t>Bogor</t>
  </si>
  <si>
    <t>Bogor|Indonesia|106,791389|-6,589722|+7:00 Asia/Jakarta</t>
  </si>
  <si>
    <t>Ciampea</t>
  </si>
  <si>
    <t>Ciampea|Indonesia|106,710281|-6,540000|+7:00 Asia/Jakarta</t>
  </si>
  <si>
    <t>Cileungsi</t>
  </si>
  <si>
    <t>Cileungsi|Indonesia|106,959167|-6,394722|+7:00 Asia/Jakarta</t>
  </si>
  <si>
    <t>Cimahi</t>
  </si>
  <si>
    <t>Cimahi|Indonesia|107,542503|-6,872222|+7:00 Asia/Jakarta</t>
  </si>
  <si>
    <t>Ciputat</t>
  </si>
  <si>
    <t>Ciputat|Indonesia|106,695557|-6,237500|+7:00 Asia/Jakarta</t>
  </si>
  <si>
    <t>Cirebon</t>
  </si>
  <si>
    <t>Cirebon|Indonesia|108,566666|-6,733333|+7:00 Asia/Jakarta</t>
  </si>
  <si>
    <t>Denpasar</t>
  </si>
  <si>
    <t>Denpasar|Indonesia|115,216667|-8,650000|+8:00 Asia/Makassar</t>
  </si>
  <si>
    <t>Depok</t>
  </si>
  <si>
    <t>Depok|Indonesia|106,818611|-6,400000|+7:00 Asia/Jakarta</t>
  </si>
  <si>
    <t>Jakarta</t>
  </si>
  <si>
    <t>Jakarta|Indonesia|106,829445|-6,174444|+7:00 Asia/Jakarta</t>
  </si>
  <si>
    <t>Jambi</t>
  </si>
  <si>
    <t>Jambi|Indonesia|103,616669|-1,600000|+7:00 Asia/Jakarta</t>
  </si>
  <si>
    <t>Jember</t>
  </si>
  <si>
    <t>Jember|Indonesia|113,703171|-8,166039|+8:00 Asia/Makassar</t>
  </si>
  <si>
    <t>Kediri</t>
  </si>
  <si>
    <t>Kediri|Indonesia|112,016670|-7,816667|+7:00 Asia/Jakarta</t>
  </si>
  <si>
    <t>Kupang</t>
  </si>
  <si>
    <t>Kupang|Indonesia|123,583336|-10,166667|+8:00 Asia/Makassar</t>
  </si>
  <si>
    <t>Loa Janan</t>
  </si>
  <si>
    <t>Loa Janan|Indonesia|117,095032|-0,582952|+8:00 Asia/Makassar</t>
  </si>
  <si>
    <t>Makassar</t>
  </si>
  <si>
    <t>Makassar|Indonesia|99,783333|2,450000|+8:00 Asia/Makassar</t>
  </si>
  <si>
    <t>Makassar|Indonesia|119,438614|-5,146389|+8:00 Asia/Makassar</t>
  </si>
  <si>
    <t>Malang</t>
  </si>
  <si>
    <t>Malang|Indonesia|112,628059|-7,977778|+7:00 Asia/Jakarta</t>
  </si>
  <si>
    <t>Manado</t>
  </si>
  <si>
    <t>Manado|Indonesia|124,844170|1,501667|+8:00 Asia/Makassar</t>
  </si>
  <si>
    <t>Mataram</t>
  </si>
  <si>
    <t>Mataram|Indonesia|116,116669|-8,583333|+8:00 Asia/Makassar</t>
  </si>
  <si>
    <t>Medan</t>
  </si>
  <si>
    <t>Medan|Indonesia|98,666664|3,583333|+7:00 Asia/Jakarta</t>
  </si>
  <si>
    <t>Padang</t>
  </si>
  <si>
    <t>Padang|Indonesia|100,354271|-0,949244|+7:00 Asia/Jakarta</t>
  </si>
  <si>
    <t>Palembang</t>
  </si>
  <si>
    <t>Palembang|Indonesia|104,745796|-2,916725|+7:00 Asia/Jakarta</t>
  </si>
  <si>
    <t>Palu</t>
  </si>
  <si>
    <t>Palu|Indonesia|119,859726|-0,901667|+8:00 Asia/Makassar</t>
  </si>
  <si>
    <t>Pekalongan</t>
  </si>
  <si>
    <t>Pekalongan|Indonesia|109,666664|-6,883333|+7:00 Asia/Jakarta</t>
  </si>
  <si>
    <t>Pematangsiantar</t>
  </si>
  <si>
    <t>Pematangsiantar|Indonesia|99,050003|2,950000|+7:00 Asia/Jakarta</t>
  </si>
  <si>
    <t>Percut</t>
  </si>
  <si>
    <t>Percut|Indonesia|98,750000|3,683333|+7:00 Asia/Pontianak</t>
  </si>
  <si>
    <t>Pontianak</t>
  </si>
  <si>
    <t>Pontianak|Indonesia|109,333336|-0,033333|+7:00 Asia/Pontianak</t>
  </si>
  <si>
    <t>Purwakarta</t>
  </si>
  <si>
    <t>Purwakarta|Indonesia|107,438889|-6,556944|+7:00 Asia/Jakarta</t>
  </si>
  <si>
    <t>Purwokerto</t>
  </si>
  <si>
    <t>Purwokerto|Indonesia|109,234444|-7,421389|+7:00 Asia/Jakarta</t>
  </si>
  <si>
    <t>Rengasdengklok</t>
  </si>
  <si>
    <t>Rengasdengklok|Indonesia|107,283058|-6,148333|+7:00 Asia/Jakarta</t>
  </si>
  <si>
    <t>Samarinda</t>
  </si>
  <si>
    <t>Samarinda|Indonesia|117,150002|-0,500000|+8:00 Asia/Makassar</t>
  </si>
  <si>
    <t>Semarang</t>
  </si>
  <si>
    <t>Semarang|Indonesia|110,416664|-6,966667|+7:00 Asia/Jakarta</t>
  </si>
  <si>
    <t>Situbondo</t>
  </si>
  <si>
    <t>Situbondo|Indonesia|114,009766|-7,706229|+8:00 Asia/Makassar</t>
  </si>
  <si>
    <t>Sukabumi</t>
  </si>
  <si>
    <t>Sukabumi|Indonesia|106,927223|-6,916667|+7:00 Asia/Jakarta</t>
  </si>
  <si>
    <t>Sumedang Utara</t>
  </si>
  <si>
    <t>Sumedang Utara|Indonesia|107,916664|-6,850000|+7:00 Asia/Jakarta</t>
  </si>
  <si>
    <t>Surabaya</t>
  </si>
  <si>
    <t>Surabaya|Indonesia|112,750832|-7,249166|+8:00 Asia/Makassar</t>
  </si>
  <si>
    <t>Surakarta</t>
  </si>
  <si>
    <t>Surakarta|Indonesia|110,831665|-7,556111|+7:00 Asia/Jakarta</t>
  </si>
  <si>
    <t>Tangerang</t>
  </si>
  <si>
    <t>Tangerang|Indonesia|106,629997|-6,178056|+7:00 Asia/Jakarta</t>
  </si>
  <si>
    <t>Tanjungkarang-Telukbetung</t>
  </si>
  <si>
    <t>Tanjungkarang-Telukbetung|Indonesia|105,266670|-5,450000|+7:00 Asia/Jakarta</t>
  </si>
  <si>
    <t>Tasikmalaya</t>
  </si>
  <si>
    <t>Tasikmalaya|Indonesia|108,199997|-7,333333|+7:00 Asia/Jakarta</t>
  </si>
  <si>
    <t>Tebingtinggi</t>
  </si>
  <si>
    <t>Tebingtinggi|Indonesia|99,150002|3,333333|+7:00 Asia/Jakarta</t>
  </si>
  <si>
    <t>Tegal</t>
  </si>
  <si>
    <t>Tegal|Indonesia|109,133331|-6,866667|+7:00 Asia/Jakarta</t>
  </si>
  <si>
    <t>Teluknibung</t>
  </si>
  <si>
    <t>Teluknibung|Indonesia|99,816666|3,016667|+7:00 Asia/Pontianak</t>
  </si>
  <si>
    <t>Yogyakarta</t>
  </si>
  <si>
    <t>Yogyakarta|Indonesia|110,360832|-7,782778|+7:00 Asia/Jakarta</t>
  </si>
  <si>
    <t>Abadan</t>
  </si>
  <si>
    <t>+3:30</t>
  </si>
  <si>
    <t>IR</t>
  </si>
  <si>
    <t>Iran</t>
  </si>
  <si>
    <t>+3:30 Asia/Tehran</t>
  </si>
  <si>
    <t>Abadan|Iran|48,295834|30,352501|+3:30 Asia/Tehran</t>
  </si>
  <si>
    <t>Ahvaz</t>
  </si>
  <si>
    <t>Ahvaz|Iran|48,691113|31,329166|+3:30 Asia/Tehran</t>
  </si>
  <si>
    <t>Arak</t>
  </si>
  <si>
    <t>Arak|Iran|49,683887|34,085556|+3:30 Asia/Tehran</t>
  </si>
  <si>
    <t>Ardabil</t>
  </si>
  <si>
    <t>Ardabil|Iran|48,301388|38,249443|+3:30 Asia/Tehran</t>
  </si>
  <si>
    <t>Azadshahr</t>
  </si>
  <si>
    <t>Azadshahr|Iran|48,549999|34,799999|+3:30 Asia/Tehran</t>
  </si>
  <si>
    <t>Babol</t>
  </si>
  <si>
    <t>Babol|Iran|52,678890|36,544167|+3:30 Asia/Tehran</t>
  </si>
  <si>
    <t>Borujerd</t>
  </si>
  <si>
    <t>Borujerd|Iran|48,755833|33,896389|+3:30 Asia/Tehran</t>
  </si>
  <si>
    <t>Bukan</t>
  </si>
  <si>
    <t>Bukan|Iran|46,215000|36,521946|+3:30 Asia/Tehran</t>
  </si>
  <si>
    <t>Esfahan</t>
  </si>
  <si>
    <t>Esfahan|Iran|51,671391|32,659721|+3:30 Asia/Tehran</t>
  </si>
  <si>
    <t>Eslamshahr</t>
  </si>
  <si>
    <t>Eslamshahr|Iran|51,255833|35,564445|+3:30 Asia/Tehran</t>
  </si>
  <si>
    <t>Gorgan</t>
  </si>
  <si>
    <t>Gorgan|Iran|54,436111|36,839443|+3:30 Asia/Tehran</t>
  </si>
  <si>
    <t>Homayunshahr</t>
  </si>
  <si>
    <t>Homayunshahr|Iran|51,531944|32,686111|+3:30 Asia/Tehran</t>
  </si>
  <si>
    <t>Kahriz</t>
  </si>
  <si>
    <t>Kahriz|Iran|47,058056|34,387779|+3:30 Asia/Tehran</t>
  </si>
  <si>
    <t>Karaj</t>
  </si>
  <si>
    <t>Karaj|Iran|50,998203|35,828762|+3:30 Asia/Tehran</t>
  </si>
  <si>
    <t>Kerman</t>
  </si>
  <si>
    <t>Kerman|Iran|57,084167|30,293888|+3:30 Asia/Tehran</t>
  </si>
  <si>
    <t>Khorramabad</t>
  </si>
  <si>
    <t>Khorramabad|Iran|48,355835|33,487778|+3:30 Asia/Tehran</t>
  </si>
  <si>
    <t>Khorramshahr</t>
  </si>
  <si>
    <t>Khorramshahr|Iran|48,179165|30,439167|+3:30 Asia/Tehran</t>
  </si>
  <si>
    <t>Mashhad</t>
  </si>
  <si>
    <t>Mashhad|Iran|59,611946|36,295834|+3:30 Asia/Tehran</t>
  </si>
  <si>
    <t>Najafabad</t>
  </si>
  <si>
    <t>Najafabad|Iran|51,365833|32,633057|+3:30 Asia/Tehran</t>
  </si>
  <si>
    <t>Nazarabad</t>
  </si>
  <si>
    <t>Nazarabad|Iran|50,607498|35,952099|+3:30 Asia/Tehran</t>
  </si>
  <si>
    <t>Neyshabur</t>
  </si>
  <si>
    <t>Neyshabur|Iran|58,798889|36,209721|+3:30 Asia/Tehran</t>
  </si>
  <si>
    <t>Nurabad</t>
  </si>
  <si>
    <t>Nurabad|Iran|47,966667|34,066666|+3:30 Asia/Tehran</t>
  </si>
  <si>
    <t>Qarchak</t>
  </si>
  <si>
    <t>Qarchak|Iran|51,568890|35,439445|+3:30 Asia/Tehran</t>
  </si>
  <si>
    <t>Qazvin</t>
  </si>
  <si>
    <t>Qazvin|Iran|50,016945|36,262222|+3:30 Asia/Tehran</t>
  </si>
  <si>
    <t>Qom</t>
  </si>
  <si>
    <t>Qom|Iran|50,880833|34,645279|+3:30 Asia/Tehran</t>
  </si>
  <si>
    <t>Rasht</t>
  </si>
  <si>
    <t>Rasht|Iran|49,585835|37,279446|+3:30 Asia/Tehran</t>
  </si>
  <si>
    <t>Sabzevar</t>
  </si>
  <si>
    <t>Sabzevar|Iran|57,679722|36,214443|+3:30 Asia/Tehran</t>
  </si>
  <si>
    <t>Sanandaj</t>
  </si>
  <si>
    <t>Sanandaj|Iran|46,998890|35,317223|+3:30 Asia/Tehran</t>
  </si>
  <si>
    <t>Sari</t>
  </si>
  <si>
    <t>Sari|Iran|53,058613|36,567780|+3:30 Asia/Tehran</t>
  </si>
  <si>
    <t>Shiraz</t>
  </si>
  <si>
    <t>Shiraz|Iran|52,538334|29,615000|+3:30 Asia/Tehran</t>
  </si>
  <si>
    <t>Sirjan</t>
  </si>
  <si>
    <t>Sirjan|Iran|55,671665|29,451389|+3:30 Asia/Tehran</t>
  </si>
  <si>
    <t>Tabriz</t>
  </si>
  <si>
    <t>Tabriz|Iran|46,291943|38,080002|+3:30 Asia/Tehran</t>
  </si>
  <si>
    <t>Tehran</t>
  </si>
  <si>
    <t>Tehran|Iran|51,424446|35,671944|+3:30 Asia/Tehran</t>
  </si>
  <si>
    <t>Yazd</t>
  </si>
  <si>
    <t>Yazd|Iran|54,367500|31,897223|+3:30 Asia/Tehran</t>
  </si>
  <si>
    <t>Zahedan</t>
  </si>
  <si>
    <t>Zahedan|Iran|60,872776|29,497778|+3:30 Asia/Tehran</t>
  </si>
  <si>
    <t>Zanjan</t>
  </si>
  <si>
    <t>Zanjan|Iran|48,478699|36,673599|+3:30 Asia/Tehran</t>
  </si>
  <si>
    <t>Abu Ghurayb</t>
  </si>
  <si>
    <t>IQ</t>
  </si>
  <si>
    <t>Iraq</t>
  </si>
  <si>
    <t>+3:00 Asia/Baghdad</t>
  </si>
  <si>
    <t>Abu Ghurayb|Iraq|44,185001|33,308334|+3:00 Asia/Baghdad</t>
  </si>
  <si>
    <t>Ad Diwaniyah</t>
  </si>
  <si>
    <t>Ad Diwaniyah|Iraq|44,925556|31,987778|+3:00 Asia/Baghdad</t>
  </si>
  <si>
    <t>Al `Amarah</t>
  </si>
  <si>
    <t>Al `Amarah|Iraq|47,175278|31,845278|+3:00 Asia/Baghdad</t>
  </si>
  <si>
    <t>Al Basrah</t>
  </si>
  <si>
    <t>Al Basrah|Iraq|47,819168|30,494167|+3:00 Asia/Baghdad</t>
  </si>
  <si>
    <t>Al Basrah al Qadimah</t>
  </si>
  <si>
    <t>Al Basrah al Qadimah|Iraq|47,817501|30,495556|+3:00 Asia/Baghdad</t>
  </si>
  <si>
    <t>Al Hillah</t>
  </si>
  <si>
    <t>Al Hillah|Iraq|44,432777|32,479443|+3:00 Asia/Baghdad</t>
  </si>
  <si>
    <t>Al Kut</t>
  </si>
  <si>
    <t>Al Kut|Iraq|45,829166|32,497501|+3:00 Asia/Baghdad</t>
  </si>
  <si>
    <t>Al Mawsil al Jadidah</t>
  </si>
  <si>
    <t>Al Mawsil al Jadidah|Iraq|43,086113|36,329166|+3:00 Asia/Baghdad</t>
  </si>
  <si>
    <t>An Najaf</t>
  </si>
  <si>
    <t>An Najaf|Iraq|44,314724|31,996111|+3:00 Asia/Baghdad</t>
  </si>
  <si>
    <t>An Nasiriyah</t>
  </si>
  <si>
    <t>An Nasiriyah|Iraq|46,259445|31,054167|+3:00 Asia/Baghdad</t>
  </si>
  <si>
    <t>Ar Ramadi</t>
  </si>
  <si>
    <t>Ar Ramadi|Iraq|43,312500|33,419724|+3:00 Asia/Baghdad</t>
  </si>
  <si>
    <t>Arbil</t>
  </si>
  <si>
    <t>Arbil|Iraq|44,008888|36,189999|+3:00 Asia/Baghdad</t>
  </si>
  <si>
    <t>As Sulaymaniyah</t>
  </si>
  <si>
    <t>As Sulaymaniyah|Iraq|45,440834|35,561668|+3:00 Asia/Baghdad</t>
  </si>
  <si>
    <t>Baghdad</t>
  </si>
  <si>
    <t>Baghdad|Iraq|44,393890|33,338612|+3:00 Asia/Baghdad</t>
  </si>
  <si>
    <t>Karbala'</t>
  </si>
  <si>
    <t>Karbala'|Iraq|44,016109|32,597778|+3:00 Asia/Baghdad</t>
  </si>
  <si>
    <t>Kirkuk</t>
  </si>
  <si>
    <t>Kirkuk|Iraq|44,392223|35,468056|+3:00 Asia/Baghdad</t>
  </si>
  <si>
    <t>Mosul</t>
  </si>
  <si>
    <t>Mosul|Iraq|43,118889|36,334999|+3:00 Asia/Baghdad</t>
  </si>
  <si>
    <t>Tikrit</t>
  </si>
  <si>
    <t>Tikrit|Iraq|43,676945|34,596668|+3:00 Asia/Baghdad</t>
  </si>
  <si>
    <t>Tozkhurmato</t>
  </si>
  <si>
    <t>Tozkhurmato|Iraq|44,621944|34,883057|+3:00 Asia/Baghdad</t>
  </si>
  <si>
    <t>Zakho</t>
  </si>
  <si>
    <t>Zakho|Iraq|42,687222|37,144165|+3:00 Asia/Baghdad</t>
  </si>
  <si>
    <t>Bun Cranncha</t>
  </si>
  <si>
    <t>IE</t>
  </si>
  <si>
    <t>Ireland</t>
  </si>
  <si>
    <t>+0:00 Europe/Dublin</t>
  </si>
  <si>
    <t>Bun Cranncha|Ireland|-7,450000|55,133335|+0:00 Europe/Dublin</t>
  </si>
  <si>
    <t>Cill Mhantain</t>
  </si>
  <si>
    <t>Cill Mhantain|Ireland|-6,049444|52,974998|+0:00 Europe/Dublin</t>
  </si>
  <si>
    <t>Dublin</t>
  </si>
  <si>
    <t>Dublin|Ireland|-6,248889|53,333057|+0:00 Europe/Dublin</t>
  </si>
  <si>
    <t>Eochaill</t>
  </si>
  <si>
    <t>Eochaill|Ireland|-7,850555|51,950001|+0:00 Europe/Dublin</t>
  </si>
  <si>
    <t>Haifa</t>
  </si>
  <si>
    <t>IL</t>
  </si>
  <si>
    <t>Israel</t>
  </si>
  <si>
    <t>+2:00 Asia/Jerusalem</t>
  </si>
  <si>
    <t>Haifa|Israel|34,989166|32,815556|+2:00 Asia/Jerusalem</t>
  </si>
  <si>
    <t>Jerusalem</t>
  </si>
  <si>
    <t>Jerusalem|Israel|35,233334|31,766666|+2:00 Asia/Jerusalem</t>
  </si>
  <si>
    <t>Rishon LeZiyyon</t>
  </si>
  <si>
    <t>Rishon LeZiyyon|Israel|34,804443|31,964167|+2:00 Asia/Jerusalem</t>
  </si>
  <si>
    <t>Tel Aviv-Yafo</t>
  </si>
  <si>
    <t>Tel Aviv-Yafo|Israel|34,764721|32,067780|+2:00 Asia/Jerusalem</t>
  </si>
  <si>
    <t>Yeroham</t>
  </si>
  <si>
    <t>Yeroham|Israel|34,931389|30,987223|+2:00 Asia/Jerusalem</t>
  </si>
  <si>
    <t>Zefat</t>
  </si>
  <si>
    <t>Zefat|Israel|35,494446|32,966667|+2:00 Asia/Jerusalem</t>
  </si>
  <si>
    <t>Bari</t>
  </si>
  <si>
    <t>IT</t>
  </si>
  <si>
    <t>Italy</t>
  </si>
  <si>
    <t>+1:00 Europe/Rome</t>
  </si>
  <si>
    <t>Bari|Italy|16,851185|41,117733|+1:00 Europe/Rome</t>
  </si>
  <si>
    <t>Bologna</t>
  </si>
  <si>
    <t>Bologna|Italy|11,338749|44,493813|+1:00 Europe/Rome</t>
  </si>
  <si>
    <t>Catania</t>
  </si>
  <si>
    <t>Catania|Italy|15,087190|37,502132|+1:00 Europe/Rome</t>
  </si>
  <si>
    <t>Florence</t>
  </si>
  <si>
    <t>Florence|Italy|11,250000|43,766666|+1:00 Europe/Rome</t>
  </si>
  <si>
    <t>Genova</t>
  </si>
  <si>
    <t>Genova|Italy|8,950000|44,416668|+1:00 Europe/Rome</t>
  </si>
  <si>
    <t>Messina</t>
  </si>
  <si>
    <t>Messina|Italy|15,549690|38,193268|+1:00 Europe/Rome</t>
  </si>
  <si>
    <t>Milano</t>
  </si>
  <si>
    <t>Milano|Italy|9,188175|45,463684|+1:00 Europe/Rome</t>
  </si>
  <si>
    <t>Napoli</t>
  </si>
  <si>
    <t>Napoli|Italy|14,250000|40,833332|+1:00 Europe/Rome</t>
  </si>
  <si>
    <t>Padova</t>
  </si>
  <si>
    <t>Padova|Italy|11,881808|45,415195|+1:00 Europe/Rome</t>
  </si>
  <si>
    <t>Palermo</t>
  </si>
  <si>
    <t>Palermo|Italy|13,366667|38,116665|+1:00 Europe/Rome</t>
  </si>
  <si>
    <t>Rome</t>
  </si>
  <si>
    <t>Rome|Italy|12,483334|41,900002|+1:00 Europe/Rome</t>
  </si>
  <si>
    <t>Taranto</t>
  </si>
  <si>
    <t>Taranto|Italy|17,229723|40,476112|+1:00 Europe/Rome</t>
  </si>
  <si>
    <t>Trieste</t>
  </si>
  <si>
    <t>Trieste|Italy|13,780000|45,648613|+1:00 Europe/Rome</t>
  </si>
  <si>
    <t>Turin</t>
  </si>
  <si>
    <t>Turin|Italy|7,675022|45,077148|+1:00 Europe/Rome</t>
  </si>
  <si>
    <t>Venice</t>
  </si>
  <si>
    <t>Venice|Italy|12,326667|45,438610|+1:00 Europe/Rome</t>
  </si>
  <si>
    <t>Verona</t>
  </si>
  <si>
    <t>Verona|Italy|10,997788|45,434185|+1:00 Europe/Rome</t>
  </si>
  <si>
    <t>Vittoria</t>
  </si>
  <si>
    <t>Vittoria|Italy|14,533182|36,953739|+1:00 Europe/Rome</t>
  </si>
  <si>
    <t>Vizzini</t>
  </si>
  <si>
    <t>Vizzini|Italy|14,749685|37,160946|+1:00 Europe/Rome</t>
  </si>
  <si>
    <t>Zafferana Etnea</t>
  </si>
  <si>
    <t>Zafferana Etnea|Italy|15,107987|37,682156|+1:00 Europe/Rome</t>
  </si>
  <si>
    <t>Abidjan</t>
  </si>
  <si>
    <t>CI</t>
  </si>
  <si>
    <t>Ivory Coast</t>
  </si>
  <si>
    <t>+0:00 Africa/Abidjan</t>
  </si>
  <si>
    <t>Abidjan|Ivory Coast|-4,028056|5,341111|+0:00 Africa/Abidjan</t>
  </si>
  <si>
    <t>Abobo</t>
  </si>
  <si>
    <t>Abobo|Ivory Coast|-4,020555|5,418889|+0:00 Africa/Abidjan</t>
  </si>
  <si>
    <t>Bouake</t>
  </si>
  <si>
    <t>Bouake|Ivory Coast|-5,033056|7,683333|+0:00 Africa/Abidjan</t>
  </si>
  <si>
    <t>Daloa</t>
  </si>
  <si>
    <t>Daloa|Ivory Coast|-6,451944|6,874722|+0:00 Africa/Abidjan</t>
  </si>
  <si>
    <t>Vavoua</t>
  </si>
  <si>
    <t>Vavoua|Ivory Coast|-6,477778|7,381944|+0:00 Africa/Abidjan</t>
  </si>
  <si>
    <t>Yamoussoukro</t>
  </si>
  <si>
    <t>Yamoussoukro|Ivory Coast|-5,283333|6,816667|+0:00 Africa/Abidjan</t>
  </si>
  <si>
    <t>Zuenoula</t>
  </si>
  <si>
    <t>Zuenoula|Ivory Coast|-6,043056|7,429167|+0:00 Africa/Abidjan</t>
  </si>
  <si>
    <t>Kingston</t>
  </si>
  <si>
    <t>JM</t>
  </si>
  <si>
    <t>Jamaica</t>
  </si>
  <si>
    <t>-5:00 America/Jamaica</t>
  </si>
  <si>
    <t>Kingston|Jamaica|-76,793571|17,997019|-5:00 America/Jamaica</t>
  </si>
  <si>
    <t>New Kingston</t>
  </si>
  <si>
    <t>New Kingston|Jamaica|-76,783188|18,007467|-5:00 America/Jamaica</t>
  </si>
  <si>
    <t>Spanish Town</t>
  </si>
  <si>
    <t>Spanish Town|Jamaica|-76,949997|17,983334|-5:00 America/Jamaica</t>
  </si>
  <si>
    <t>Stony Hill</t>
  </si>
  <si>
    <t>Stony Hill|Jamaica|-76,791084|18,075369|-5:00 America/Jamaica</t>
  </si>
  <si>
    <t>Yallahs</t>
  </si>
  <si>
    <t>Yallahs|Jamaica|-76,566666|17,866667|-5:00 America/Jamaica</t>
  </si>
  <si>
    <t>Ageo</t>
  </si>
  <si>
    <t>JP</t>
  </si>
  <si>
    <t>Japan</t>
  </si>
  <si>
    <t>+9:00 Asia/Tokyo</t>
  </si>
  <si>
    <t>Ageo|Japan|139,588608|35,969723|+9:00 Asia/Tokyo</t>
  </si>
  <si>
    <t>Akashi</t>
  </si>
  <si>
    <t>Akashi|Japan|134,983337|34,633335|+9:00 Asia/Tokyo</t>
  </si>
  <si>
    <t>Akita</t>
  </si>
  <si>
    <t>Akita|Japan|140,116669|39,716667|+9:00 Asia/Tokyo</t>
  </si>
  <si>
    <t>Amagasaki</t>
  </si>
  <si>
    <t>Amagasaki|Japan|135,416672|34,716667|+9:00 Asia/Tokyo</t>
  </si>
  <si>
    <t>Aomori</t>
  </si>
  <si>
    <t>Aomori|Japan|140,751114|40,821110|+9:00 Asia/Tokyo</t>
  </si>
  <si>
    <t>Asahikawa</t>
  </si>
  <si>
    <t>Asahikawa|Japan|142,370285|43,767776|+9:00 Asia/Tokyo</t>
  </si>
  <si>
    <t>Atsugi</t>
  </si>
  <si>
    <t>Atsugi|Japan|139,359726|35,438889|+9:00 Asia/Tokyo</t>
  </si>
  <si>
    <t>Chiba</t>
  </si>
  <si>
    <t>Chiba|Japan|140,116669|35,599998|+9:00 Asia/Tokyo</t>
  </si>
  <si>
    <t>Chigasaki</t>
  </si>
  <si>
    <t>Chigasaki|Japan|139,403885|35,326111|+9:00 Asia/Tokyo</t>
  </si>
  <si>
    <t>Chofu</t>
  </si>
  <si>
    <t>Chofu|Japan|139,552216|35,655556|+9:00 Asia/Tokyo</t>
  </si>
  <si>
    <t>Fuchu</t>
  </si>
  <si>
    <t>Fuchu|Japan|139,483337|35,666668|+9:00 Asia/Tokyo</t>
  </si>
  <si>
    <t>Fuji</t>
  </si>
  <si>
    <t>Fuji|Japan|138,683334|35,166668|+9:00 Asia/Tokyo</t>
  </si>
  <si>
    <t>Fujisawa</t>
  </si>
  <si>
    <t>Fujisawa|Japan|139,470001|35,341946|+9:00 Asia/Tokyo</t>
  </si>
  <si>
    <t>Fukui</t>
  </si>
  <si>
    <t>Fukui|Japan|136,216660|36,066666|+9:00 Asia/Tokyo</t>
  </si>
  <si>
    <t>Fukuoka</t>
  </si>
  <si>
    <t>Fukuoka|Japan|130,399994|33,583332|+9:00 Asia/Tokyo</t>
  </si>
  <si>
    <t>Fukushima</t>
  </si>
  <si>
    <t>Fukushima|Japan|140,466660|37,750000|+9:00 Asia/Tokyo</t>
  </si>
  <si>
    <t>Fukuyama</t>
  </si>
  <si>
    <t>Fukuyama|Japan|133,366669|34,483334|+9:00 Asia/Tokyo</t>
  </si>
  <si>
    <t>Funabashi</t>
  </si>
  <si>
    <t>Funabashi|Japan|139,983337|35,693054|+9:00 Asia/Tokyo</t>
  </si>
  <si>
    <t>Gifu</t>
  </si>
  <si>
    <t>Gifu|Japan|136,750000|35,416668|+9:00 Asia/Tokyo</t>
  </si>
  <si>
    <t>Hachinohe</t>
  </si>
  <si>
    <t>Hachinohe|Japan|141,500000|40,500000|+9:00 Asia/Tokyo</t>
  </si>
  <si>
    <t>Hachioji</t>
  </si>
  <si>
    <t>Hachioji|Japan|139,323883|35,655834|+9:00 Asia/Tokyo</t>
  </si>
  <si>
    <t>Hakodate</t>
  </si>
  <si>
    <t>Hakodate|Japan|140,736664|41,775833|+9:00 Asia/Tokyo</t>
  </si>
  <si>
    <t>Hamamatsu</t>
  </si>
  <si>
    <t>Hamamatsu|Japan|137,733337|34,700001|+9:00 Asia/Tokyo</t>
  </si>
  <si>
    <t>Himeji</t>
  </si>
  <si>
    <t>Himeji|Japan|134,699997|34,816666|+9:00 Asia/Tokyo</t>
  </si>
  <si>
    <t>Hirakata</t>
  </si>
  <si>
    <t>Hirakata|Japan|135,633331|34,799999|+9:00 Asia/Tokyo</t>
  </si>
  <si>
    <t>Hiratsuka</t>
  </si>
  <si>
    <t>Hiratsuka|Japan|139,342224|35,323055|+9:00 Asia/Tokyo</t>
  </si>
  <si>
    <t>Hiroshima</t>
  </si>
  <si>
    <t>Hiroshima|Japan|132,449997|34,400002|+9:00 Asia/Tokyo</t>
  </si>
  <si>
    <t>Ibaraki</t>
  </si>
  <si>
    <t>Ibaraki|Japan|135,566666|34,816666|+9:00 Asia/Tokyo</t>
  </si>
  <si>
    <t>Ichihara</t>
  </si>
  <si>
    <t>Ichihara|Japan|140,083328|35,516666|+9:00 Asia/Tokyo</t>
  </si>
  <si>
    <t>Ichikawa</t>
  </si>
  <si>
    <t>Ichikawa|Japan|139,924728|35,719723|+9:00 Asia/Tokyo</t>
  </si>
  <si>
    <t>Ichinomiya</t>
  </si>
  <si>
    <t>Ichinomiya|Japan|136,800003|35,299999|+9:00 Asia/Tokyo</t>
  </si>
  <si>
    <t>Iwaki</t>
  </si>
  <si>
    <t>Iwaki|Japan|140,883331|37,049999|+9:00 Asia/Tokyo</t>
  </si>
  <si>
    <t>Kagoshima</t>
  </si>
  <si>
    <t>Kagoshima|Japan|130,550003|31,600000|+9:00 Asia/Tokyo</t>
  </si>
  <si>
    <t>Kakogawa</t>
  </si>
  <si>
    <t>Kakogawa|Japan|134,850006|34,766666|+9:00 Asia/Tokyo</t>
  </si>
  <si>
    <t>Kanazawa</t>
  </si>
  <si>
    <t>Kanazawa|Japan|136,649994|36,566666|+9:00 Asia/Tokyo</t>
  </si>
  <si>
    <t>Kashiwa</t>
  </si>
  <si>
    <t>Kashiwa|Japan|139,968887|35,854443|+9:00 Asia/Tokyo</t>
  </si>
  <si>
    <t>Kasugai</t>
  </si>
  <si>
    <t>Kasugai|Japan|136,983337|35,233334|+9:00 Asia/Tokyo</t>
  </si>
  <si>
    <t>Kasukabe</t>
  </si>
  <si>
    <t>Kasukabe|Japan|139,753616|35,976387|+9:00 Asia/Tokyo</t>
  </si>
  <si>
    <t>Kawagoe</t>
  </si>
  <si>
    <t>Kawagoe|Japan|139,485275|35,908611|+9:00 Asia/Tokyo</t>
  </si>
  <si>
    <t>Kawaguchi</t>
  </si>
  <si>
    <t>Kawaguchi|Japan|139,720551|35,805000|+9:00 Asia/Tokyo</t>
  </si>
  <si>
    <t>Kawasaki</t>
  </si>
  <si>
    <t>Kawasaki|Japan|139,717224|35,520557|+9:00 Asia/Tokyo</t>
  </si>
  <si>
    <t>Kishiwada</t>
  </si>
  <si>
    <t>Kishiwada|Japan|135,366669|34,466667|+9:00 Asia/Tokyo</t>
  </si>
  <si>
    <t>Kitakyushu</t>
  </si>
  <si>
    <t>Kitakyushu|Japan|130,833328|33,833332|+9:00 Asia/Tokyo</t>
  </si>
  <si>
    <t>Kobe</t>
  </si>
  <si>
    <t>Kobe|Japan|135,166672|34,683334|+9:00 Asia/Tokyo</t>
  </si>
  <si>
    <t>Kochi</t>
  </si>
  <si>
    <t>Kochi|Japan|133,550003|33,549999|+9:00 Asia/Tokyo</t>
  </si>
  <si>
    <t>Koriyama</t>
  </si>
  <si>
    <t>Koriyama|Japan|140,383331|37,400002|+9:00 Asia/Tokyo</t>
  </si>
  <si>
    <t>Koshigaya</t>
  </si>
  <si>
    <t>Koshigaya|Japan|139,783340|35,883335|+9:00 Asia/Tokyo</t>
  </si>
  <si>
    <t>Kumamoto</t>
  </si>
  <si>
    <t>Kumamoto|Japan|130,716660|32,799999|+9:00 Asia/Tokyo</t>
  </si>
  <si>
    <t>Kurashiki</t>
  </si>
  <si>
    <t>Kurashiki|Japan|133,766663|34,583332|+9:00 Asia/Tokyo</t>
  </si>
  <si>
    <t>Kurume</t>
  </si>
  <si>
    <t>Kurume|Japan|130,516663|33,316666|+9:00 Asia/Tokyo</t>
  </si>
  <si>
    <t>Kyoto</t>
  </si>
  <si>
    <t>Kyoto|Japan|135,750000|35,000000|+9:00 Asia/Tokyo</t>
  </si>
  <si>
    <t>Machida</t>
  </si>
  <si>
    <t>Machida|Japan|139,450836|35,540279|+9:00 Asia/Tokyo</t>
  </si>
  <si>
    <t>Maebashi</t>
  </si>
  <si>
    <t>Maebashi|Japan|139,066666|36,383335|+9:00 Asia/Tokyo</t>
  </si>
  <si>
    <t>Matsudo</t>
  </si>
  <si>
    <t>Matsudo|Japan|139,899994|35,783333|+9:00 Asia/Tokyo</t>
  </si>
  <si>
    <t>Matsumoto</t>
  </si>
  <si>
    <t>Matsumoto|Japan|137,966660|36,233334|+9:00 Asia/Tokyo</t>
  </si>
  <si>
    <t>Minami-rinkan</t>
  </si>
  <si>
    <t>Minami-rinkan|Japan|139,449997|35,483334|+9:00 Asia/Tokyo</t>
  </si>
  <si>
    <t>Mito</t>
  </si>
  <si>
    <t>Mito|Japan|140,466660|36,366665|+9:00 Asia/Tokyo</t>
  </si>
  <si>
    <t>Miyazaki</t>
  </si>
  <si>
    <t>Miyazaki|Japan|131,433334|31,900000|+9:00 Asia/Tokyo</t>
  </si>
  <si>
    <t>Morioka</t>
  </si>
  <si>
    <t>Morioka|Japan|141,149994|39,700001|+9:00 Asia/Tokyo</t>
  </si>
  <si>
    <t>Nagano</t>
  </si>
  <si>
    <t>Nagano|Japan|138,183334|36,650002|+9:00 Asia/Tokyo</t>
  </si>
  <si>
    <t>Nagasaki</t>
  </si>
  <si>
    <t>Nagasaki|Japan|129,868332|32,755001|+9:00 Asia/Tokyo</t>
  </si>
  <si>
    <t>Nagoya</t>
  </si>
  <si>
    <t>Nagoya|Japan|136,916672|35,166668|+9:00 Asia/Tokyo</t>
  </si>
  <si>
    <t>Naha</t>
  </si>
  <si>
    <t>Naha|Japan|127,673332|26,207222|+9:00 Asia/Tokyo</t>
  </si>
  <si>
    <t>Nara</t>
  </si>
  <si>
    <t>Nara|Japan|135,833328|34,683334|+9:00 Asia/Tokyo</t>
  </si>
  <si>
    <t>Nerima</t>
  </si>
  <si>
    <t>Nerima|Japan|139,649994|35,733334|+9:00 Asia/Tokyo</t>
  </si>
  <si>
    <t>Niigata</t>
  </si>
  <si>
    <t>Niigata|Japan|139,050003|37,916668|+9:00 Asia/Tokyo</t>
  </si>
  <si>
    <t>Nishinomiya</t>
  </si>
  <si>
    <t>Nishinomiya|Japan|135,333328|34,716667|+9:00 Asia/Tokyo</t>
  </si>
  <si>
    <t>Numazu</t>
  </si>
  <si>
    <t>Numazu|Japan|138,866669|35,099998|+9:00 Asia/Tokyo</t>
  </si>
  <si>
    <t>Odawara</t>
  </si>
  <si>
    <t>Odawara|Japan|139,159729|35,255554|+9:00 Asia/Tokyo</t>
  </si>
  <si>
    <t>Oita</t>
  </si>
  <si>
    <t>Oita|Japan|131,604446|33,237221|+9:00 Asia/Tokyo</t>
  </si>
  <si>
    <t>Okayama</t>
  </si>
  <si>
    <t>Okayama|Japan|133,916672|34,650002|+9:00 Asia/Tokyo</t>
  </si>
  <si>
    <t>Okazaki</t>
  </si>
  <si>
    <t>Okazaki|Japan|137,166672|34,950001|+9:00 Asia/Tokyo</t>
  </si>
  <si>
    <t>Osaka</t>
  </si>
  <si>
    <t>Osaka|Japan|135,500000|34,666668|+9:00 Asia/Tokyo</t>
  </si>
  <si>
    <t>Otsu</t>
  </si>
  <si>
    <t>Otsu|Japan|135,866669|35,000000|+9:00 Asia/Tokyo</t>
  </si>
  <si>
    <t>Sagamihara</t>
  </si>
  <si>
    <t>Sagamihara|Japan|139,354446|35,553055|+9:00 Asia/Tokyo</t>
  </si>
  <si>
    <t>Sakai</t>
  </si>
  <si>
    <t>Sakai|Japan|135,466660|34,583332|+9:00 Asia/Tokyo</t>
  </si>
  <si>
    <t>Sapporo</t>
  </si>
  <si>
    <t>Sapporo|Japan|141,353882|43,054722|+9:00 Asia/Tokyo</t>
  </si>
  <si>
    <t>Sasebo</t>
  </si>
  <si>
    <t>Sasebo|Japan|129,722778|33,159168|+9:00 Asia/Tokyo</t>
  </si>
  <si>
    <t>Sendai</t>
  </si>
  <si>
    <t>Sendai|Japan|140,884720|38,254723|+9:00 Asia/Tokyo</t>
  </si>
  <si>
    <t>Shimminatocho</t>
  </si>
  <si>
    <t>Shimminatocho|Japan|135,199997|34,183334|+9:00 Asia/Tokyo</t>
  </si>
  <si>
    <t>Shimonoseki</t>
  </si>
  <si>
    <t>Shimonoseki|Japan|130,949997|33,950001|+9:00 Asia/Tokyo</t>
  </si>
  <si>
    <t>Shingu</t>
  </si>
  <si>
    <t>Shingu|Japan|135,983337|33,733334|+9:00 Asia/Tokyo</t>
  </si>
  <si>
    <t>Shizuoka</t>
  </si>
  <si>
    <t>Shizuoka|Japan|138,383331|34,966667|+9:00 Asia/Tokyo</t>
  </si>
  <si>
    <t>Soka</t>
  </si>
  <si>
    <t>Soka|Japan|139,804443|35,820278|+9:00 Asia/Tokyo</t>
  </si>
  <si>
    <t>Suita</t>
  </si>
  <si>
    <t>Suita|Japan|135,533340|34,750000|+9:00 Asia/Tokyo</t>
  </si>
  <si>
    <t>Takamatsu</t>
  </si>
  <si>
    <t>Takamatsu|Japan|134,050003|34,333332|+9:00 Asia/Tokyo</t>
  </si>
  <si>
    <t>Takarazuka</t>
  </si>
  <si>
    <t>Takarazuka|Japan|135,350006|34,799999|+9:00 Asia/Tokyo</t>
  </si>
  <si>
    <t>Takasaki</t>
  </si>
  <si>
    <t>Takasaki|Japan|139,016663|36,333332|+9:00 Asia/Tokyo</t>
  </si>
  <si>
    <t>Takatsuki</t>
  </si>
  <si>
    <t>Takatsuki|Japan|135,616669|34,849998|+9:00 Asia/Tokyo</t>
  </si>
  <si>
    <t>Tokorozawa</t>
  </si>
  <si>
    <t>Tokorozawa|Japan|139,467773|35,786388|+9:00 Asia/Tokyo</t>
  </si>
  <si>
    <t>Tokushima</t>
  </si>
  <si>
    <t>Tokushima|Japan|134,566666|34,066666|+9:00 Asia/Tokyo</t>
  </si>
  <si>
    <t>Tokyo</t>
  </si>
  <si>
    <t>Tokyo|Japan|139,751389|35,685001|+9:00 Asia/Tokyo</t>
  </si>
  <si>
    <t>Toyama</t>
  </si>
  <si>
    <t>Toyama|Japan|137,216660|36,683334|+9:00 Asia/Tokyo</t>
  </si>
  <si>
    <t>Toyohashi</t>
  </si>
  <si>
    <t>Toyohashi|Japan|137,383331|34,766666|+9:00 Asia/Tokyo</t>
  </si>
  <si>
    <t>Toyonaka</t>
  </si>
  <si>
    <t>Toyonaka|Japan|135,466660|34,783333|+9:00 Asia/Tokyo</t>
  </si>
  <si>
    <t>Toyota</t>
  </si>
  <si>
    <t>Toyota|Japan|137,149994|35,083332|+9:00 Asia/Tokyo</t>
  </si>
  <si>
    <t>Utsunomiya</t>
  </si>
  <si>
    <t>Utsunomiya|Japan|139,866669|36,549999|+9:00 Asia/Tokyo</t>
  </si>
  <si>
    <t>Yamagata</t>
  </si>
  <si>
    <t>Yamagata|Japan|140,337494|38,252777|+9:00 Asia/Tokyo</t>
  </si>
  <si>
    <t>Yao</t>
  </si>
  <si>
    <t>Yao|Japan|135,600006|34,616665|+9:00 Asia/Tokyo</t>
  </si>
  <si>
    <t>Yokkaichi</t>
  </si>
  <si>
    <t>Yokkaichi|Japan|136,616669|34,966667|+9:00 Asia/Tokyo</t>
  </si>
  <si>
    <t>Yokohama</t>
  </si>
  <si>
    <t>Yokohama|Japan|139,649994|35,450001|+9:00 Asia/Tokyo</t>
  </si>
  <si>
    <t>Yokosuka</t>
  </si>
  <si>
    <t>Yokosuka|Japan|139,667221|35,283611|+9:00 Asia/Tokyo</t>
  </si>
  <si>
    <t>Yono</t>
  </si>
  <si>
    <t>Yono|Japan|139,633331|35,883335|+9:00 Asia/Tokyo</t>
  </si>
  <si>
    <t>Amman</t>
  </si>
  <si>
    <t>JO</t>
  </si>
  <si>
    <t>Jordan</t>
  </si>
  <si>
    <t>+2:00 Asia/Amman</t>
  </si>
  <si>
    <t>Amman|Jordan|35,933334|31,950001|+2:00 Asia/Amman</t>
  </si>
  <si>
    <t>Irbid</t>
  </si>
  <si>
    <t>Irbid|Jordan|35,849998|32,555557|+2:00 Asia/Amman</t>
  </si>
  <si>
    <t>Umm as Summaq</t>
  </si>
  <si>
    <t>Umm as Summaq|Jordan|35,849998|31,883333|+2:00 Asia/Amman</t>
  </si>
  <si>
    <t>Wadi as Sir</t>
  </si>
  <si>
    <t>Wadi as Sir|Jordan|35,816666|31,950001|+2:00 Asia/Amman</t>
  </si>
  <si>
    <t>Waqqas</t>
  </si>
  <si>
    <t>Waqqas|Jordan|35,599998|32,549999|+2:00 Asia/Amman</t>
  </si>
  <si>
    <t>Almaty</t>
  </si>
  <si>
    <t>KZ</t>
  </si>
  <si>
    <t>Kazakhstan</t>
  </si>
  <si>
    <t>+6:00 Asia/Almaty</t>
  </si>
  <si>
    <t>Almaty|Kazakhstan|76,949997|43,250000|+6:00 Asia/Almaty</t>
  </si>
  <si>
    <t>Aqtobe</t>
  </si>
  <si>
    <t>+5:00</t>
  </si>
  <si>
    <t>+5:00 Asia/Aqtobe</t>
  </si>
  <si>
    <t>Aqtobe|Kazakhstan|57,181389|50,298054|+5:00 Asia/Aqtobe</t>
  </si>
  <si>
    <t>Astana</t>
  </si>
  <si>
    <t>+6:00 Asia/Qyzylorda</t>
  </si>
  <si>
    <t>Astana|Kazakhstan|71,427780|51,181110|+6:00 Asia/Qyzylorda</t>
  </si>
  <si>
    <t>Karagandy</t>
  </si>
  <si>
    <t>Karagandy|Kazakhstan|54,866665|50,066666|+5:00 Asia/Aqtobe</t>
  </si>
  <si>
    <t>Pavlodar</t>
  </si>
  <si>
    <t>Pavlodar|Kazakhstan|76,949997|52,299999|+6:00 Asia/Almaty</t>
  </si>
  <si>
    <t>Petropavlovsk</t>
  </si>
  <si>
    <t>Petropavlovsk|Kazakhstan|69,162781|54,875278|+6:00 Asia/Qyzylorda</t>
  </si>
  <si>
    <t>Semipalatinsk</t>
  </si>
  <si>
    <t>Semipalatinsk|Kazakhstan|80,227501|50,411110|+6:00 Asia/Almaty</t>
  </si>
  <si>
    <t>Shubarshi</t>
  </si>
  <si>
    <t>Shubarshi|Kazakhstan|57,186943|48,587223|+5:00 Asia/Aqtobe</t>
  </si>
  <si>
    <t>Shymkent</t>
  </si>
  <si>
    <t>Shymkent|Kazakhstan|69,599998|42,299999|+6:00 Asia/Qyzylorda</t>
  </si>
  <si>
    <t>Taraz</t>
  </si>
  <si>
    <t>Taraz|Kazakhstan|71,366669|42,900002|+6:00 Asia/Almaty</t>
  </si>
  <si>
    <t>Ust'-Kamenogorsk</t>
  </si>
  <si>
    <t>Ust'-Kamenogorsk|Kazakhstan|82,610275|49,978889|+6:00 Asia/Almaty</t>
  </si>
  <si>
    <t>Zhetibay</t>
  </si>
  <si>
    <t>+5:00 Asia/Aqtau</t>
  </si>
  <si>
    <t>Zhetibay|Kazakhstan|52,078888|43,594166|+5:00 Asia/Aqtau</t>
  </si>
  <si>
    <t>Zhumysker</t>
  </si>
  <si>
    <t>+5:00 Asia/Oral</t>
  </si>
  <si>
    <t>Zhumysker|Kazakhstan|49,400002|49,333332|+5:00 Asia/Oral</t>
  </si>
  <si>
    <t>Eldoret</t>
  </si>
  <si>
    <t>KE</t>
  </si>
  <si>
    <t>Kenya</t>
  </si>
  <si>
    <t>+3:00 Africa/Nairobi</t>
  </si>
  <si>
    <t>Eldoret|Kenya|35,283333|0,516667|+3:00 Africa/Nairobi</t>
  </si>
  <si>
    <t>Kisumu</t>
  </si>
  <si>
    <t>Kisumu|Kenya|34,750000|-0,100000|+3:00 Africa/Nairobi</t>
  </si>
  <si>
    <t>Mombasa</t>
  </si>
  <si>
    <t>Mombasa|Kenya|39,666668|-4,050000|+3:00 Africa/Nairobi</t>
  </si>
  <si>
    <t>Nairobi</t>
  </si>
  <si>
    <t>Nairobi|Kenya|36,816666|-1,283333|+3:00 Africa/Nairobi</t>
  </si>
  <si>
    <t>Nakuru</t>
  </si>
  <si>
    <t>Nakuru|Kenya|36,066666|-0,283333|+3:00 Africa/Nairobi</t>
  </si>
  <si>
    <t>Witu</t>
  </si>
  <si>
    <t>Witu|Kenya|40,453056|-2,390556|+3:00 Africa/Nairobi</t>
  </si>
  <si>
    <t>Wote</t>
  </si>
  <si>
    <t>Wote|Kenya|37,633335|-1,783333|+3:00 Africa/Nairobi</t>
  </si>
  <si>
    <t>Wundanyi</t>
  </si>
  <si>
    <t>Wundanyi|Kenya|38,366665|-3,400000|+3:00 Africa/Nairobi</t>
  </si>
  <si>
    <t>Bairiki</t>
  </si>
  <si>
    <t>KI</t>
  </si>
  <si>
    <t>Kiribati</t>
  </si>
  <si>
    <t>+12:00 Pacific/Tarawa</t>
  </si>
  <si>
    <t>Bairiki|Kiribati|172,978012|1,329141|+12:00 Pacific/Tarawa</t>
  </si>
  <si>
    <t>Az Zawr</t>
  </si>
  <si>
    <t>KW</t>
  </si>
  <si>
    <t>Kuwait</t>
  </si>
  <si>
    <t>+3:00 Asia/Kuwait</t>
  </si>
  <si>
    <t>Az Zawr|Kuwait|48,274723|29,442499|+3:00 Asia/Kuwait</t>
  </si>
  <si>
    <t>Bayan</t>
  </si>
  <si>
    <t>Bayan|Kuwait|48,039165|29,318056|+3:00 Asia/Kuwait</t>
  </si>
  <si>
    <t>Janub as Surrah</t>
  </si>
  <si>
    <t>Janub as Surrah|Kuwait|47,978054|29,269167|+3:00 Asia/Kuwait</t>
  </si>
  <si>
    <t>Kuwait City</t>
  </si>
  <si>
    <t>Kuwait City|Kuwait|47,970001|29,350000|+3:00 Asia/Kuwait</t>
  </si>
  <si>
    <t>Bishkek</t>
  </si>
  <si>
    <t>KG</t>
  </si>
  <si>
    <t>Kyrgyzstan</t>
  </si>
  <si>
    <t>+6:00 Asia/Bishkek</t>
  </si>
  <si>
    <t>Bishkek|Kyrgyzstan|74,600281|42,873055|+6:00 Asia/Bishkek</t>
  </si>
  <si>
    <t>Isfana</t>
  </si>
  <si>
    <t>Isfana|Kyrgyzstan|69,516670|39,833332|+6:00 Asia/Bishkek</t>
  </si>
  <si>
    <t>Khaydarkan</t>
  </si>
  <si>
    <t>Khaydarkan|Kyrgyzstan|71,345833|39,941387|+6:00 Asia/Bishkek</t>
  </si>
  <si>
    <t>Suluktu</t>
  </si>
  <si>
    <t>Suluktu|Kyrgyzstan|69,569725|39,930279|+6:00 Asia/Bishkek</t>
  </si>
  <si>
    <t>Savannakhet</t>
  </si>
  <si>
    <t>LA</t>
  </si>
  <si>
    <t>Laos</t>
  </si>
  <si>
    <t>+7:00 Asia/Vientiane</t>
  </si>
  <si>
    <t>Savannakhet|Laos|104,750000|16,549999|+7:00 Asia/Vientiane</t>
  </si>
  <si>
    <t>Vientiane</t>
  </si>
  <si>
    <t>Vientiane|Laos|102,599998|17,966667|+7:00 Asia/Vientiane</t>
  </si>
  <si>
    <t>Xam Nua</t>
  </si>
  <si>
    <t>Xam Nua|Laos|104,043892|20,419722|+7:00 Asia/Vientiane</t>
  </si>
  <si>
    <t>Riga</t>
  </si>
  <si>
    <t>LV</t>
  </si>
  <si>
    <t>Latvia</t>
  </si>
  <si>
    <t>+2:00 Europe/Riga</t>
  </si>
  <si>
    <t>Riga|Latvia|24,100000|56,950001|+2:00 Europe/Riga</t>
  </si>
  <si>
    <t>Valmiera</t>
  </si>
  <si>
    <t>Valmiera|Latvia|25,424423|57,535915|+2:00 Europe/Riga</t>
  </si>
  <si>
    <t>Vec-Liepaja</t>
  </si>
  <si>
    <t>Vec-Liepaja|Latvia|21,016666|56,533333|+2:00 Europe/Riga</t>
  </si>
  <si>
    <t>Ventspils</t>
  </si>
  <si>
    <t>Ventspils|Latvia|21,560556|57,389446|+2:00 Europe/Riga</t>
  </si>
  <si>
    <t>Beirut</t>
  </si>
  <si>
    <t>LB</t>
  </si>
  <si>
    <t>Lebanon</t>
  </si>
  <si>
    <t>+2:00 Asia/Beirut</t>
  </si>
  <si>
    <t>Beirut|Lebanon|35,509724|33,871944|+2:00 Asia/Beirut</t>
  </si>
  <si>
    <t>Ra's Bayrut</t>
  </si>
  <si>
    <t>Ra's Bayrut|Lebanon|35,483334|33,900002|+2:00 Asia/Beirut</t>
  </si>
  <si>
    <t>Tripoli</t>
  </si>
  <si>
    <t>Tripoli|Lebanon|35,849724|34,436668|+2:00 Asia/Beirut</t>
  </si>
  <si>
    <t>Tyre</t>
  </si>
  <si>
    <t>Tyre|Lebanon|35,193890|33,273335|+2:00 Asia/Beirut</t>
  </si>
  <si>
    <t>Zahle</t>
  </si>
  <si>
    <t>Zahle|Lebanon|35,904167|33,849724|+2:00 Asia/Beirut</t>
  </si>
  <si>
    <t>Qacha's Nek</t>
  </si>
  <si>
    <t>LS</t>
  </si>
  <si>
    <t>Lesotho</t>
  </si>
  <si>
    <t>+2:00 Africa/Maseru</t>
  </si>
  <si>
    <t>Qacha's Nek|Lesotho|28,683332|-30,116667|+2:00 Africa/Maseru</t>
  </si>
  <si>
    <t>Quthing</t>
  </si>
  <si>
    <t>Quthing|Lesotho|27,716667|-30,400000|+2:00 Africa/Maseru</t>
  </si>
  <si>
    <t>Teyateyaneng</t>
  </si>
  <si>
    <t>Teyateyaneng|Lesotho|27,733334|-29,150000|+2:00 Africa/Maseru</t>
  </si>
  <si>
    <t>Dili</t>
  </si>
  <si>
    <t>TL</t>
  </si>
  <si>
    <t>Lesser Sunda Islands</t>
  </si>
  <si>
    <t>+9:00 Asia/Dili</t>
  </si>
  <si>
    <t>Dili|Lesser Sunda Islands|125,573608|-8,558611|+9:00 Asia/Dili</t>
  </si>
  <si>
    <t>Monrovia</t>
  </si>
  <si>
    <t>LR</t>
  </si>
  <si>
    <t>Liberia</t>
  </si>
  <si>
    <t>+0:00 Africa/Monrovia</t>
  </si>
  <si>
    <t>Monrovia|Liberia|-10,804722|6,310555|+0:00 Africa/Monrovia</t>
  </si>
  <si>
    <t>New Yekepa</t>
  </si>
  <si>
    <t>New Yekepa|Liberia|-8,537778|7,579444|+0:00 Africa/Monrovia</t>
  </si>
  <si>
    <t>Tubmanburg</t>
  </si>
  <si>
    <t>Tubmanburg|Liberia|-10,817223|6,870833|+0:00 Africa/Monrovia</t>
  </si>
  <si>
    <t>Zwedru</t>
  </si>
  <si>
    <t>Zwedru|Liberia|-8,128056|6,066667|+0:00 Africa/Monrovia</t>
  </si>
  <si>
    <t>Al Khums</t>
  </si>
  <si>
    <t>LY</t>
  </si>
  <si>
    <t>Libya</t>
  </si>
  <si>
    <t>+2:00 Africa/Tripoli</t>
  </si>
  <si>
    <t>Al Khums|Libya|14,266666|32,650002|+2:00 Africa/Tripoli</t>
  </si>
  <si>
    <t>Banghazi</t>
  </si>
  <si>
    <t>Banghazi|Libya|20,066668|32,116665|+2:00 Africa/Tripoli</t>
  </si>
  <si>
    <t>Bardiyah</t>
  </si>
  <si>
    <t>Bardiyah|Libya|25,100000|31,766666|+2:00 Africa/Tripoli</t>
  </si>
  <si>
    <t>Misratah</t>
  </si>
  <si>
    <t>Misratah|Libya|15,090555|32,378334|+2:00 Africa/Tripoli</t>
  </si>
  <si>
    <t>Suluq</t>
  </si>
  <si>
    <t>Suluq|Libya|20,250000|31,668612|+2:00 Africa/Tripoli</t>
  </si>
  <si>
    <t>Tarhunah</t>
  </si>
  <si>
    <t>Tarhunah|Libya|13,633333|32,433334|+2:00 Africa/Tripoli</t>
  </si>
  <si>
    <t>Tobruk</t>
  </si>
  <si>
    <t>Tobruk|Libya|23,976389|32,083611|+2:00 Africa/Tripoli</t>
  </si>
  <si>
    <t>Tripoli|Libya|13,180000|32,892502|+2:00 Asia/Beirut</t>
  </si>
  <si>
    <t>Triesen</t>
  </si>
  <si>
    <t>LI</t>
  </si>
  <si>
    <t>Liechtenstein</t>
  </si>
  <si>
    <t>+1:00 Europe/Vaduz</t>
  </si>
  <si>
    <t>Triesen|Liechtenstein|9,533333|47,099998|+1:00 Europe/Vaduz</t>
  </si>
  <si>
    <t>Triesenberg</t>
  </si>
  <si>
    <t>Triesenberg|Liechtenstein|9,533333|47,116665|+1:00 Europe/Vaduz</t>
  </si>
  <si>
    <t>Vaduz</t>
  </si>
  <si>
    <t>Vaduz|Liechtenstein|9,516666|47,133335|+1:00 Europe/Vaduz</t>
  </si>
  <si>
    <t>Kaunas</t>
  </si>
  <si>
    <t>LT</t>
  </si>
  <si>
    <t>Lithuania</t>
  </si>
  <si>
    <t>+2:00 Europe/Vilnius</t>
  </si>
  <si>
    <t>Kaunas|Lithuania|23,900000|54,900002|+2:00 Europe/Vilnius</t>
  </si>
  <si>
    <t>Vilnius</t>
  </si>
  <si>
    <t>Vilnius|Lithuania|25,316668|54,683334|+2:00 Europe/Vilnius</t>
  </si>
  <si>
    <t>Visaginas</t>
  </si>
  <si>
    <t>Visaginas|Lithuania|26,416666|55,599998|+2:00 Europe/Vilnius</t>
  </si>
  <si>
    <t>Zarasai</t>
  </si>
  <si>
    <t>Zarasai|Lithuania|26,250000|55,733334|+2:00 Europe/Vilnius</t>
  </si>
  <si>
    <t>Petange</t>
  </si>
  <si>
    <t>LU</t>
  </si>
  <si>
    <t>Luxembourg</t>
  </si>
  <si>
    <t>+1:00 Europe/Luxembourg</t>
  </si>
  <si>
    <t>Petange|Luxembourg|5,880556|49,558334|+1:00 Europe/Luxembourg</t>
  </si>
  <si>
    <t>Schifflange</t>
  </si>
  <si>
    <t>Schifflange|Luxembourg|6,012778|49,506390|+1:00 Europe/Luxembourg</t>
  </si>
  <si>
    <t>Strassen</t>
  </si>
  <si>
    <t>Strassen|Luxembourg|6,073333|49,620556|+1:00 Europe/Luxembourg</t>
  </si>
  <si>
    <t>Skopje</t>
  </si>
  <si>
    <t>MK</t>
  </si>
  <si>
    <t>Macedonia</t>
  </si>
  <si>
    <t>+1:00 Europe/Skopje</t>
  </si>
  <si>
    <t>Skopje|Macedonia|21,433332|42,000000|+1:00 Europe/Skopje</t>
  </si>
  <si>
    <t>Zitose</t>
  </si>
  <si>
    <t>Zitose|Macedonia|21,290556|41,420834|+1:00 Europe/Skopje</t>
  </si>
  <si>
    <t>Zletovo</t>
  </si>
  <si>
    <t>Zletovo|Macedonia|22,236111|41,988609|+1:00 Europe/Skopje</t>
  </si>
  <si>
    <t>Zrnovci</t>
  </si>
  <si>
    <t>Zrnovci|Macedonia|22,444445|41,854168|+1:00 Europe/Skopje</t>
  </si>
  <si>
    <t>Antananarivo</t>
  </si>
  <si>
    <t>MG</t>
  </si>
  <si>
    <t>Madagascar</t>
  </si>
  <si>
    <t>+3:00 Indian/Antananarivo</t>
  </si>
  <si>
    <t>Antananarivo|Madagascar|47,516666|-18,916666|+3:00 Indian/Antananarivo</t>
  </si>
  <si>
    <t>Toamasina</t>
  </si>
  <si>
    <t>Toamasina|Madagascar|49,383335|-18,166666|+3:00 Indian/Antananarivo</t>
  </si>
  <si>
    <t>Vohibinany</t>
  </si>
  <si>
    <t>Vohibinany|Madagascar|49,033333|-17,350000|+3:00 Indian/Antananarivo</t>
  </si>
  <si>
    <t>Vondrozo</t>
  </si>
  <si>
    <t>Vondrozo|Madagascar|47,283333|-22,816668|+3:00 Indian/Antananarivo</t>
  </si>
  <si>
    <t>SC</t>
  </si>
  <si>
    <t>Mahe</t>
  </si>
  <si>
    <t>Victoria|Mahe|55,450001|-4,616667|-8:00 America/Vancouver</t>
  </si>
  <si>
    <t>Blantyre</t>
  </si>
  <si>
    <t>MW</t>
  </si>
  <si>
    <t>Malawi</t>
  </si>
  <si>
    <t>+2:00 Africa/Blantyre</t>
  </si>
  <si>
    <t>Blantyre|Malawi|35,000000|-15,783333|+2:00 Africa/Blantyre</t>
  </si>
  <si>
    <t>Chitipa</t>
  </si>
  <si>
    <t>Chitipa|Malawi|33,266666|-9,716667|+2:00 Africa/Blantyre</t>
  </si>
  <si>
    <t>Karonga</t>
  </si>
  <si>
    <t>Karonga|Malawi|33,933334|-9,933333|+2:00 Africa/Blantyre</t>
  </si>
  <si>
    <t>Lilongwe</t>
  </si>
  <si>
    <t>Lilongwe|Malawi|33,783333|-13,983334|+2:00 Africa/Blantyre</t>
  </si>
  <si>
    <t>Zomba</t>
  </si>
  <si>
    <t>Zomba|Malawi|35,333332|-15,383333|+2:00 Africa/Blantyre</t>
  </si>
  <si>
    <t>Alor Setar</t>
  </si>
  <si>
    <t>MY</t>
  </si>
  <si>
    <t>Malaysia</t>
  </si>
  <si>
    <t>+8:00 Asia/Kuala_Lumpur</t>
  </si>
  <si>
    <t>Alor Setar|Malaysia|100,366669|6,116667|+8:00 Asia/Kuala_Lumpur</t>
  </si>
  <si>
    <t>Bukit Mertajam</t>
  </si>
  <si>
    <t>Bukit Mertajam|Malaysia|100,466667|5,366667|+8:00 Asia/Kuala_Lumpur</t>
  </si>
  <si>
    <t>Ipoh</t>
  </si>
  <si>
    <t>Ipoh|Malaysia|101,083336|4,583333|+8:00 Asia/Kuala_Lumpur</t>
  </si>
  <si>
    <t>Jerantut</t>
  </si>
  <si>
    <t>Jerantut|Malaysia|102,366669|3,933333|+8:00 Asia/Kuala_Lumpur</t>
  </si>
  <si>
    <t>Johor Bahru</t>
  </si>
  <si>
    <t>Johor Bahru|Malaysia|103,750000|1,466667|+8:00 Asia/Kuala_Lumpur</t>
  </si>
  <si>
    <t>Kampung Baru Subang</t>
  </si>
  <si>
    <t>Kampung Baru Subang|Malaysia|101,533333|3,150000|+8:00 Asia/Kuala_Lumpur</t>
  </si>
  <si>
    <t>Klang</t>
  </si>
  <si>
    <t>Klang|Malaysia|101,449997|3,033333|+8:00 Asia/Kuala_Lumpur</t>
  </si>
  <si>
    <t>Kota Baharu</t>
  </si>
  <si>
    <t>Kota Baharu|Malaysia|102,250000|6,133333|+8:00 Asia/Kuala_Lumpur</t>
  </si>
  <si>
    <t>Kota Kinabalu</t>
  </si>
  <si>
    <t>+8:00 Asia/Kuching</t>
  </si>
  <si>
    <t>Kota Kinabalu|Malaysia|116,066666|5,983333|+8:00 Asia/Kuching</t>
  </si>
  <si>
    <t>Kuah</t>
  </si>
  <si>
    <t>Kuah|Malaysia|99,849998|6,316667|+8:00 Asia/Kuala_Lumpur</t>
  </si>
  <si>
    <t>Kuala Lumpur</t>
  </si>
  <si>
    <t>Kuala Lumpur|Malaysia|101,699997|3,166667|+8:00 Asia/Kuala_Lumpur</t>
  </si>
  <si>
    <t>Kuala Terengganu</t>
  </si>
  <si>
    <t>Kuala Terengganu|Malaysia|103,133331|5,333333|+8:00 Asia/Kuala_Lumpur</t>
  </si>
  <si>
    <t>Kuantan</t>
  </si>
  <si>
    <t>Kuantan|Malaysia|103,333336|3,800000|+8:00 Asia/Kuala_Lumpur</t>
  </si>
  <si>
    <t>Kuching</t>
  </si>
  <si>
    <t>Kuching|Malaysia|110,333336|1,550000|+8:00 Asia/Kuching</t>
  </si>
  <si>
    <t>Miri</t>
  </si>
  <si>
    <t>Miri|Malaysia|113,983330|4,383333|+8:00 Asia/Kuching</t>
  </si>
  <si>
    <t>Petaling Jaya</t>
  </si>
  <si>
    <t>Petaling Jaya|Malaysia|101,650002|3,083333|+8:00 Asia/Kuala_Lumpur</t>
  </si>
  <si>
    <t>Raub</t>
  </si>
  <si>
    <t>Raub|Malaysia|101,866669|3,800000|+8:00 Asia/Kuala_Lumpur</t>
  </si>
  <si>
    <t>Sandakan</t>
  </si>
  <si>
    <t>Sandakan|Malaysia|118,116669|5,833333|+8:00 Asia/Kuching</t>
  </si>
  <si>
    <t>Seremban</t>
  </si>
  <si>
    <t>Seremban|Malaysia|101,933334|2,716667|+8:00 Asia/Kuala_Lumpur</t>
  </si>
  <si>
    <t>Shah Alam</t>
  </si>
  <si>
    <t>Shah Alam|Malaysia|101,532814|3,085066|+8:00 Asia/Kuala_Lumpur</t>
  </si>
  <si>
    <t>Sungai Petani</t>
  </si>
  <si>
    <t>Sungai Petani|Malaysia|100,500000|5,650000|+8:00 Asia/Kuala_Lumpur</t>
  </si>
  <si>
    <t>Taiping</t>
  </si>
  <si>
    <t>Taiping|Malaysia|100,733330|4,850000|+8:00 Asia/Kuala_Lumpur</t>
  </si>
  <si>
    <t>Tawau</t>
  </si>
  <si>
    <t>Tawau|Malaysia|117,900002|4,250000|+8:00 Asia/Kuching</t>
  </si>
  <si>
    <t>Hithadhoo</t>
  </si>
  <si>
    <t>MV</t>
  </si>
  <si>
    <t>Maldives</t>
  </si>
  <si>
    <t>+5:00 Indian/Maldives</t>
  </si>
  <si>
    <t>Hithadhoo|Maldives|73,083336|-0,600000|+5:00 Indian/Maldives</t>
  </si>
  <si>
    <t>Male</t>
  </si>
  <si>
    <t>Male|Maldives|73,509865|4,177108|+5:00 Indian/Maldives</t>
  </si>
  <si>
    <t>Thinadhoo</t>
  </si>
  <si>
    <t>Thinadhoo|Maldives|72,933334|0,533333|+5:00 Indian/Maldives</t>
  </si>
  <si>
    <t>Bamako</t>
  </si>
  <si>
    <t>ML</t>
  </si>
  <si>
    <t>Mali</t>
  </si>
  <si>
    <t>+0:00 Africa/Bamako</t>
  </si>
  <si>
    <t>Bamako|Mali|-8,000000|12,650000|+0:00 Africa/Bamako</t>
  </si>
  <si>
    <t>Tenenkou</t>
  </si>
  <si>
    <t>Tenenkou|Mali|-4,916667|14,466667|+0:00 Africa/Bamako</t>
  </si>
  <si>
    <t>Tombouctou</t>
  </si>
  <si>
    <t>Tombouctou|Mali|-3,007421|16,773479|+0:00 Africa/Bamako</t>
  </si>
  <si>
    <t>Yorosso</t>
  </si>
  <si>
    <t>Yorosso|Mali|-4,783333|12,366667|+0:00 Africa/Bamako</t>
  </si>
  <si>
    <t>Zebbug</t>
  </si>
  <si>
    <t>MT</t>
  </si>
  <si>
    <t>Malta</t>
  </si>
  <si>
    <t>+1:00 Europe/Malta</t>
  </si>
  <si>
    <t>Zebbug|Malta|14,441112|35,871944|+1:00 Europe/Malta</t>
  </si>
  <si>
    <t>Zejtun</t>
  </si>
  <si>
    <t>Zejtun|Malta|14,533055|35,855835|+1:00 Europe/Malta</t>
  </si>
  <si>
    <t>Zurrieq</t>
  </si>
  <si>
    <t>Zurrieq|Malta|14,474167|35,831112|+1:00 Europe/Malta</t>
  </si>
  <si>
    <t>Majuro</t>
  </si>
  <si>
    <t>MH</t>
  </si>
  <si>
    <t>Marshall Islands</t>
  </si>
  <si>
    <t>+12:00 Pacific/Majuro</t>
  </si>
  <si>
    <t>Majuro|Marshall Islands|171,383331|7,100000|+12:00 Pacific/Majuro</t>
  </si>
  <si>
    <t>Sainte-Luce</t>
  </si>
  <si>
    <t>MQ</t>
  </si>
  <si>
    <t>Martinique</t>
  </si>
  <si>
    <t>-4:00 America/Martinique</t>
  </si>
  <si>
    <t>Sainte-Luce|Martinique|-60,916668|14,466667|-4:00 America/Martinique</t>
  </si>
  <si>
    <t>Sainte-Marie</t>
  </si>
  <si>
    <t>Sainte-Marie|Martinique|-60,983334|14,783333|-4:00 America/Martinique</t>
  </si>
  <si>
    <t>Saint-Joseph</t>
  </si>
  <si>
    <t>Saint-Joseph|Martinique|-61,033333|14,666667|-4:00 America/Martinique</t>
  </si>
  <si>
    <t>Nouakchott</t>
  </si>
  <si>
    <t>MR</t>
  </si>
  <si>
    <t>Mauritania</t>
  </si>
  <si>
    <t>+0:00 Africa/Nouakchott</t>
  </si>
  <si>
    <t>Nouakchott|Mauritania|-16,040556|18,119444|+0:00 Africa/Nouakchott</t>
  </si>
  <si>
    <t>Tamarin</t>
  </si>
  <si>
    <t>MU</t>
  </si>
  <si>
    <t>Mauritius</t>
  </si>
  <si>
    <t>+4:00 Indian/Mauritius</t>
  </si>
  <si>
    <t>Tamarin|Mauritius|57,370556|-20,325556|+4:00 Indian/Mauritius</t>
  </si>
  <si>
    <t>Terre Rouge</t>
  </si>
  <si>
    <t>Terre Rouge|Mauritius|57,524445|-20,126112|+4:00 Indian/Mauritius</t>
  </si>
  <si>
    <t>Triolet</t>
  </si>
  <si>
    <t>Triolet|Mauritius|57,545277|-20,054722|+4:00 Indian/Mauritius</t>
  </si>
  <si>
    <t>Bandraboua</t>
  </si>
  <si>
    <t>YT</t>
  </si>
  <si>
    <t>Mayotte</t>
  </si>
  <si>
    <t>+3:00 Indian/Mayotte</t>
  </si>
  <si>
    <t>Bandraboua|Mayotte|45,120556|-12,701667|+3:00 Indian/Mayotte</t>
  </si>
  <si>
    <t>Mamoudzou</t>
  </si>
  <si>
    <t>Mamoudzou|Mayotte|45,227222|-12,779445|+3:00 Indian/Mayotte</t>
  </si>
  <si>
    <t>Mtsamboro</t>
  </si>
  <si>
    <t>Mtsamboro|Mayotte|45,066666|-12,696667|+3:00 Indian/Mayotte</t>
  </si>
  <si>
    <t>Acapulco de Juarez</t>
  </si>
  <si>
    <t>MX</t>
  </si>
  <si>
    <t>Mexico</t>
  </si>
  <si>
    <t>-6:00 America/Mexico_City</t>
  </si>
  <si>
    <t>Acapulco de Juarez|Mexico|-99,916664|16,850000|-6:00 America/Mexico_City</t>
  </si>
  <si>
    <t>Aguascalientes</t>
  </si>
  <si>
    <t>Aguascalientes|Mexico|-102,300003|21,883333|-6:00 America/Mexico_City</t>
  </si>
  <si>
    <t>Apodaca</t>
  </si>
  <si>
    <t>-6:00 America/Monterrey</t>
  </si>
  <si>
    <t>Apodaca|Mexico|-100,199997|25,766666|-6:00 America/Monterrey</t>
  </si>
  <si>
    <t>Campeche</t>
  </si>
  <si>
    <t>-6:00 America/Merida</t>
  </si>
  <si>
    <t>Campeche|Mexico|-90,533333|19,850000|-6:00 America/Merida</t>
  </si>
  <si>
    <t>Cancun</t>
  </si>
  <si>
    <t>-6:00 America/Cancun</t>
  </si>
  <si>
    <t>Cancun|Mexico|-86,846558|21,174288|-6:00 America/Cancun</t>
  </si>
  <si>
    <t>Celaya</t>
  </si>
  <si>
    <t>Celaya|Mexico|-100,816666|20,516666|-6:00 America/Mexico_City</t>
  </si>
  <si>
    <t>Chihuahua</t>
  </si>
  <si>
    <t>Chihuahua|Mexico|-106,083336|28,633333|-6:00 America/Monterrey</t>
  </si>
  <si>
    <t>Ciudad Juarez</t>
  </si>
  <si>
    <t>Ciudad Juarez|Mexico|-106,483330|31,733334|-6:00 America/Monterrey</t>
  </si>
  <si>
    <t>Ciudad Lopez Mateos</t>
  </si>
  <si>
    <t>Ciudad Lopez Mateos|Mexico|-99,261391|19,558332|-6:00 America/Mexico_City</t>
  </si>
  <si>
    <t>Ciudad Nezahualcoyotl</t>
  </si>
  <si>
    <t>Ciudad Nezahualcoyotl|Mexico|-99,033058|19,413610|-6:00 America/Mexico_City</t>
  </si>
  <si>
    <t>Ciudad Obregon</t>
  </si>
  <si>
    <t>-7:00 America/Hermosillo</t>
  </si>
  <si>
    <t>Ciudad Obregon|Mexico|-109,933334|27,483334|-7:00 America/Hermosillo</t>
  </si>
  <si>
    <t>Ciudad Victoria</t>
  </si>
  <si>
    <t>Ciudad Victoria|Mexico|-99,133331|23,733334|-6:00 America/Monterrey</t>
  </si>
  <si>
    <t>Coacalco</t>
  </si>
  <si>
    <t>Coacalco|Mexico|-99,110275|19,631666|-6:00 America/Mexico_City</t>
  </si>
  <si>
    <t>Coatzacoalcos</t>
  </si>
  <si>
    <t>Coatzacoalcos|Mexico|-94,416664|18,150000|-6:00 America/Mexico_City</t>
  </si>
  <si>
    <t>Cuauhtemoc</t>
  </si>
  <si>
    <t>Cuauhtemoc|Mexico|-98,150002|22,533333|-6:00 America/Mexico_City</t>
  </si>
  <si>
    <t>Cuautitlan Izcalli</t>
  </si>
  <si>
    <t>Cuautitlan Izcalli|Mexico|-99,246666|19,646944|-6:00 America/Mexico_City</t>
  </si>
  <si>
    <t>Cuernavaca</t>
  </si>
  <si>
    <t>Cuernavaca|Mexico|-99,250000|18,916666|-6:00 America/Mexico_City</t>
  </si>
  <si>
    <t>Culiacan</t>
  </si>
  <si>
    <t>-7:00 America/Mazatlan</t>
  </si>
  <si>
    <t>Culiacan|Mexico|-107,389725|24,799444|-7:00 America/Mazatlan</t>
  </si>
  <si>
    <t>Durango</t>
  </si>
  <si>
    <t>Durango|Mexico|-104,666664|24,033333|-6:00 America/Monterrey</t>
  </si>
  <si>
    <t>Ecatepec</t>
  </si>
  <si>
    <t>Ecatepec|Mexico|-99,052498|19,601110|-6:00 America/Mexico_City</t>
  </si>
  <si>
    <t>Ensenada</t>
  </si>
  <si>
    <t>-8:00 America/Tijuana</t>
  </si>
  <si>
    <t>Ensenada|Mexico|-116,616669|31,866667|-8:00 America/Tijuana</t>
  </si>
  <si>
    <t>General Escobedo</t>
  </si>
  <si>
    <t>General Escobedo|Mexico|-100,333336|25,816668|-6:00 America/Monterrey</t>
  </si>
  <si>
    <t>Gomez Palacio</t>
  </si>
  <si>
    <t>Gomez Palacio|Mexico|-103,500000|25,566668|-6:00 America/Monterrey</t>
  </si>
  <si>
    <t>Guadalajara</t>
  </si>
  <si>
    <t>Guadalajara|Mexico|-103,333336|20,666666|-6:00 America/Mexico_City</t>
  </si>
  <si>
    <t>Guadalupe</t>
  </si>
  <si>
    <t>Guadalupe|Mexico|-100,250000|25,683332|-6:00 America/Monterrey</t>
  </si>
  <si>
    <t>Hermosillo</t>
  </si>
  <si>
    <t>Hermosillo|Mexico|-110,966667|29,066668|-7:00 America/Hermosillo</t>
  </si>
  <si>
    <t>Irapuato</t>
  </si>
  <si>
    <t>Irapuato|Mexico|-101,349998|20,683332|-6:00 America/Mexico_City</t>
  </si>
  <si>
    <t>Ixtapaluca</t>
  </si>
  <si>
    <t>Ixtapaluca|Mexico|-98,883331|19,316668|-6:00 America/Mexico_City</t>
  </si>
  <si>
    <t>Jalapa Enriquez</t>
  </si>
  <si>
    <t>Jalapa Enriquez|Mexico|-96,916664|19,533333|-6:00 America/Mexico_City</t>
  </si>
  <si>
    <t>Leon</t>
  </si>
  <si>
    <t>Leon|Mexico|-101,666664|21,116667|-6:00 America/Mexico_City</t>
  </si>
  <si>
    <t>Los Mochis</t>
  </si>
  <si>
    <t>Los Mochis|Mexico|-108,966667|25,766666|-7:00 America/Mazatlan</t>
  </si>
  <si>
    <t>Los Reyes</t>
  </si>
  <si>
    <t>Los Reyes|Mexico|-98,966667|19,350000|-6:00 America/Mexico_City</t>
  </si>
  <si>
    <t>Matamoros</t>
  </si>
  <si>
    <t>Matamoros|Mexico|-97,500000|25,883333|-6:00 America/Monterrey</t>
  </si>
  <si>
    <t>Mazatlan</t>
  </si>
  <si>
    <t>Mazatlan|Mexico|-106,416664|23,216667|-7:00 America/Mazatlan</t>
  </si>
  <si>
    <t>Merida</t>
  </si>
  <si>
    <t>Merida|Mexico|-89,616669|20,966667|-6:00 America/Merida</t>
  </si>
  <si>
    <t>Mexicali</t>
  </si>
  <si>
    <t>Mexicali|Mexico|-115,468330|32,651943|-8:00 America/Tijuana</t>
  </si>
  <si>
    <t>Mexico City</t>
  </si>
  <si>
    <t>Mexico City|Mexico|-99,138611|19,434166|-6:00 America/Mexico_City</t>
  </si>
  <si>
    <t>Monterrey</t>
  </si>
  <si>
    <t>Monterrey|Mexico|-100,316666|25,666666|-6:00 America/Monterrey</t>
  </si>
  <si>
    <t>Morelia</t>
  </si>
  <si>
    <t>Morelia|Mexico|-101,116669|19,700001|-6:00 America/Mexico_City</t>
  </si>
  <si>
    <t>Naucalpan de Juarez</t>
  </si>
  <si>
    <t>Naucalpan de Juarez|Mexico|-99,239632|19,478508|-6:00 America/Mexico_City</t>
  </si>
  <si>
    <t>Nicolas Romero</t>
  </si>
  <si>
    <t>Nicolas Romero|Mexico|-99,313057|19,621944|-6:00 America/Mexico_City</t>
  </si>
  <si>
    <t>Nuevo Laredo</t>
  </si>
  <si>
    <t>Nuevo Laredo|Mexico|-99,516670|27,500000|-6:00 America/Monterrey</t>
  </si>
  <si>
    <t>Oaxaca de Juarez</t>
  </si>
  <si>
    <t>Oaxaca de Juarez|Mexico|-96,716667|17,049999|-6:00 America/Mexico_City</t>
  </si>
  <si>
    <t>Pachuca de Soto</t>
  </si>
  <si>
    <t>Pachuca de Soto|Mexico|-98,733292|20,116974|-6:00 America/Mexico_City</t>
  </si>
  <si>
    <t>Puebla de Zaragoza</t>
  </si>
  <si>
    <t>Puebla de Zaragoza|Mexico|-98,199997|19,049999|-6:00 America/Mexico_City</t>
  </si>
  <si>
    <t>Queretaro</t>
  </si>
  <si>
    <t>Queretaro|Mexico|-100,383331|20,600000|-6:00 America/Mexico_City</t>
  </si>
  <si>
    <t>Reynosa</t>
  </si>
  <si>
    <t>Reynosa|Mexico|-98,283333|26,083334|-6:00 America/Monterrey</t>
  </si>
  <si>
    <t>Saltillo</t>
  </si>
  <si>
    <t>Saltillo|Mexico|-101,000000|25,416666|-6:00 America/Monterrey</t>
  </si>
  <si>
    <t>San Fernando</t>
  </si>
  <si>
    <t>San Fernando|Mexico|-98,150002|24,850000|-6:00 America/Monterrey</t>
  </si>
  <si>
    <t>San Luis Potosi</t>
  </si>
  <si>
    <t>San Luis Potosi|Mexico|-100,983330|22,150000|-6:00 America/Mexico_City</t>
  </si>
  <si>
    <t>San Nicolas de los Garzas</t>
  </si>
  <si>
    <t>San Nicolas de los Garzas|Mexico|-100,300003|25,750000|-6:00 America/Monterrey</t>
  </si>
  <si>
    <t>Santa Catarina</t>
  </si>
  <si>
    <t>Santa Catarina|Mexico|-100,466667|25,683332|-6:00 America/Monterrey</t>
  </si>
  <si>
    <t>Tampico</t>
  </si>
  <si>
    <t>Tampico|Mexico|-97,849998|22,216667|-6:00 America/Mexico_City</t>
  </si>
  <si>
    <t>Tehuacan</t>
  </si>
  <si>
    <t>Tehuacan|Mexico|-97,383331|18,450001|-6:00 America/Mexico_City</t>
  </si>
  <si>
    <t>Tepic</t>
  </si>
  <si>
    <t>Tepic|Mexico|-104,900002|21,500000|-7:00 America/Mazatlan</t>
  </si>
  <si>
    <t>Tijuana</t>
  </si>
  <si>
    <t>Tijuana|Mexico|-117,016670|32,533333|-8:00 America/Tijuana</t>
  </si>
  <si>
    <t>Tlalnepantla</t>
  </si>
  <si>
    <t>Tlalnepantla|Mexico|-99,221664|19,526945|-6:00 America/Mexico_City</t>
  </si>
  <si>
    <t>Tlaquepaque</t>
  </si>
  <si>
    <t>Tlaquepaque|Mexico|-103,316666|20,650000|-6:00 America/Mexico_City</t>
  </si>
  <si>
    <t>Toluca</t>
  </si>
  <si>
    <t>Toluca|Mexico|-99,667221|19,288334|-6:00 America/Mexico_City</t>
  </si>
  <si>
    <t>Tonala</t>
  </si>
  <si>
    <t>Tonala|Mexico|-103,233330|20,616667|-6:00 America/Mexico_City</t>
  </si>
  <si>
    <t>Torreon</t>
  </si>
  <si>
    <t>Torreon|Mexico|-103,433334|25,549999|-6:00 America/Monterrey</t>
  </si>
  <si>
    <t>Tuxtla Gutierrez</t>
  </si>
  <si>
    <t>Tuxtla Gutierrez|Mexico|-93,116669|16,750000|-6:00 America/Merida</t>
  </si>
  <si>
    <t>Uruapan del Progreso</t>
  </si>
  <si>
    <t>Uruapan del Progreso|Mexico|-102,066666|19,416666|-6:00 America/Mexico_City</t>
  </si>
  <si>
    <t>Veracruz</t>
  </si>
  <si>
    <t>Veracruz|Mexico|-96,133331|19,200001|-6:00 America/Mexico_City</t>
  </si>
  <si>
    <t>Villahermosa</t>
  </si>
  <si>
    <t>Villahermosa|Mexico|-92,916664|17,983334|-6:00 America/Merida</t>
  </si>
  <si>
    <t>Xico</t>
  </si>
  <si>
    <t>Xico|Mexico|-98,933334|19,266666|-6:00 America/Mexico_City</t>
  </si>
  <si>
    <t>Xicotencatl</t>
  </si>
  <si>
    <t>Xicotencatl|Mexico|-98,883331|23,016666|-6:00 America/Monterrey</t>
  </si>
  <si>
    <t>Zapopan</t>
  </si>
  <si>
    <t>Zapopan|Mexico|-103,400002|20,716667|-6:00 America/Mexico_City</t>
  </si>
  <si>
    <t>Saint-Pierre</t>
  </si>
  <si>
    <t>PM</t>
  </si>
  <si>
    <t>Miquelon</t>
  </si>
  <si>
    <t>-3:00 America/Miquelon</t>
  </si>
  <si>
    <t>Saint-Pierre|Miquelon|-56,183334|46,766666|-3:00 America/Miquelon</t>
  </si>
  <si>
    <t>Chisinau</t>
  </si>
  <si>
    <t>MD</t>
  </si>
  <si>
    <t>Moldova</t>
  </si>
  <si>
    <t>+2:00 Europe/Chisinau</t>
  </si>
  <si>
    <t>Chisinau|Moldova|28,857500|47,005554|+2:00 Europe/Chisinau</t>
  </si>
  <si>
    <t>Edinet</t>
  </si>
  <si>
    <t>Edinet|Moldova|27,305000|48,168056|+2:00 Europe/Chisinau</t>
  </si>
  <si>
    <t>Iargara</t>
  </si>
  <si>
    <t>Iargara|Moldova|28,436666|46,427502|+2:00 Europe/Chisinau</t>
  </si>
  <si>
    <t>Vulcanesti</t>
  </si>
  <si>
    <t>Vulcanesti|Moldova|28,402779|45,684166|+2:00 Europe/Chisinau</t>
  </si>
  <si>
    <t>La Condamine</t>
  </si>
  <si>
    <t>MC</t>
  </si>
  <si>
    <t>Monaco</t>
  </si>
  <si>
    <t>+1:00 Europe/Monaco</t>
  </si>
  <si>
    <t>La Condamine|Monaco|7,416667|43,733334|+1:00 Europe/Monaco</t>
  </si>
  <si>
    <t>Monte-Carlo</t>
  </si>
  <si>
    <t>Monte-Carlo|Monaco|7,416667|43,733334|+1:00 Europe/Monaco</t>
  </si>
  <si>
    <t>Tosontsengel</t>
  </si>
  <si>
    <t>MN</t>
  </si>
  <si>
    <t>Mongolia</t>
  </si>
  <si>
    <t>+8:00 Asia/Ulaanbaatar</t>
  </si>
  <si>
    <t>Tosontsengel|Mongolia|98,283890|48,756668|+8:00 Asia/Ulaanbaatar</t>
  </si>
  <si>
    <t>Ulaanbaatar</t>
  </si>
  <si>
    <t>Ulaanbaatar|Mongolia|106,916664|47,916668|+8:00 Asia/Ulaanbaatar</t>
  </si>
  <si>
    <t>Ulaangom</t>
  </si>
  <si>
    <t>Ulaangom|Mongolia|92,066666|49,981110|+8:00 Asia/Ulaanbaatar</t>
  </si>
  <si>
    <t>Podgorica</t>
  </si>
  <si>
    <t>ME</t>
  </si>
  <si>
    <t>Montenegro</t>
  </si>
  <si>
    <t>+1:00 Europe/Podgorica</t>
  </si>
  <si>
    <t>Podgorica|Montenegro|19,263611|42,441113|+1:00 Europe/Podgorica</t>
  </si>
  <si>
    <t>Tivat</t>
  </si>
  <si>
    <t>Tivat|Montenegro|18,696112|42,436390|+1:00 Europe/Podgorica</t>
  </si>
  <si>
    <t>Ulcinj</t>
  </si>
  <si>
    <t>Ulcinj|Montenegro|19,206388|41,928333|+1:00 Europe/Podgorica</t>
  </si>
  <si>
    <t>Agadir</t>
  </si>
  <si>
    <t>MA</t>
  </si>
  <si>
    <t>Morocco</t>
  </si>
  <si>
    <t>+0:00 Africa/Casablanca</t>
  </si>
  <si>
    <t>Agadir|Morocco|-9,600000|30,400000|+0:00 Africa/Casablanca</t>
  </si>
  <si>
    <t>Casablanca</t>
  </si>
  <si>
    <t>Casablanca|Morocco|-7,610000|33,590000|+0:00 Africa/Casablanca</t>
  </si>
  <si>
    <t>Fes</t>
  </si>
  <si>
    <t>Fes|Morocco|-4,980000|34,049999|+0:00 Africa/Casablanca</t>
  </si>
  <si>
    <t>Kenitra-GHARB</t>
  </si>
  <si>
    <t>Kenitra-GHARB|Morocco|-6,570000|34,259998|+0:00 Africa/Casablanca</t>
  </si>
  <si>
    <t>Marrakech</t>
  </si>
  <si>
    <t>Marrakech|Morocco|-8,000000|31,629999|+0:00 Africa/Casablanca</t>
  </si>
  <si>
    <t>Meknes</t>
  </si>
  <si>
    <t>Meknes|Morocco|-5,550000|33,900002|+0:00 Africa/Casablanca</t>
  </si>
  <si>
    <t>Oujda</t>
  </si>
  <si>
    <t>Oujda|Morocco|-1,910000|34,680000|+0:00 Africa/Casablanca</t>
  </si>
  <si>
    <t>Rabat</t>
  </si>
  <si>
    <t>Rabat|Morocco|-6,830000|34,020000|+0:00 Africa/Casablanca</t>
  </si>
  <si>
    <t>Safi</t>
  </si>
  <si>
    <t>Safi|Morocco|-9,230000|32,299999|+0:00 Africa/Casablanca</t>
  </si>
  <si>
    <t>Tangier</t>
  </si>
  <si>
    <t>Tangier|Morocco|-5,810000|35,779999|+0:00 Africa/Casablanca</t>
  </si>
  <si>
    <t>Tetouan</t>
  </si>
  <si>
    <t>Tetouan|Morocco|-5,370000|35,570000|+0:00 Africa/Casablanca</t>
  </si>
  <si>
    <t>Youssoufia</t>
  </si>
  <si>
    <t>Youssoufia|Morocco|-8,530000|32,250000|+0:00 Africa/Casablanca</t>
  </si>
  <si>
    <t>Zagora</t>
  </si>
  <si>
    <t>Zagora|Morocco|-5,830000|30,309999|+0:00 Africa/Casablanca</t>
  </si>
  <si>
    <t>Zaio</t>
  </si>
  <si>
    <t>Zaio|Morocco|-2,730000|34,930000|+0:00 Africa/Casablanca</t>
  </si>
  <si>
    <t>Beira</t>
  </si>
  <si>
    <t>MZ</t>
  </si>
  <si>
    <t>Mozambique</t>
  </si>
  <si>
    <t>+2:00 Africa/Maputo</t>
  </si>
  <si>
    <t>Beira|Mozambique|34,838890|-19,843611|+2:00 Africa/Maputo</t>
  </si>
  <si>
    <t>Chimoio</t>
  </si>
  <si>
    <t>Chimoio|Mozambique|33,483334|-19,116388|+2:00 Africa/Maputo</t>
  </si>
  <si>
    <t>Cidade de Nacala</t>
  </si>
  <si>
    <t>Cidade de Nacala|Mozambique|40,672779|-14,542778|+2:00 Africa/Maputo</t>
  </si>
  <si>
    <t>Dondo</t>
  </si>
  <si>
    <t>Dondo|Mozambique|34,743057|-19,609444|+2:00 Africa/Maputo</t>
  </si>
  <si>
    <t>Macia</t>
  </si>
  <si>
    <t>Macia|Mozambique|33,098888|-25,026945|+2:00 Africa/Maputo</t>
  </si>
  <si>
    <t>Maputo</t>
  </si>
  <si>
    <t>Maputo|Mozambique|32,589169|-25,965279|+2:00 Africa/Maputo</t>
  </si>
  <si>
    <t>Matola</t>
  </si>
  <si>
    <t>Matola|Mozambique|32,458889|-25,962223|+2:00 Africa/Maputo</t>
  </si>
  <si>
    <t>Nampula</t>
  </si>
  <si>
    <t>Nampula|Mozambique|39,264721|-15,119722|+2:00 Africa/Maputo</t>
  </si>
  <si>
    <t>Xai-Xai</t>
  </si>
  <si>
    <t>Xai-Xai|Mozambique|33,644165|-25,051945|+2:00 Africa/Maputo</t>
  </si>
  <si>
    <t>Katima Mulilo</t>
  </si>
  <si>
    <t>NA</t>
  </si>
  <si>
    <t>+2:00 Africa/Windhoek</t>
  </si>
  <si>
    <t>Katima Mulilo|Nairobi|24,266666|-17,500000|+2:00 Africa/Windhoek</t>
  </si>
  <si>
    <t>Warmbad</t>
  </si>
  <si>
    <t>Warmbad|Nairobi|18,733334|-28,450001|+2:00 Africa/Windhoek</t>
  </si>
  <si>
    <t>Windhoek</t>
  </si>
  <si>
    <t>Windhoek|Nairobi|17,083611|-22,570000|+2:00 Africa/Windhoek</t>
  </si>
  <si>
    <t>Kathmandu</t>
  </si>
  <si>
    <t>+5:45</t>
  </si>
  <si>
    <t>NP</t>
  </si>
  <si>
    <t>Nepal</t>
  </si>
  <si>
    <t>+5:45 Asia/Katmandu</t>
  </si>
  <si>
    <t>Kathmandu|Nepal|85,316666|27,716667|+5:45 Asia/Katmandu</t>
  </si>
  <si>
    <t>Tikapur</t>
  </si>
  <si>
    <t>Tikapur|Nepal|81,133331|28,500000|+5:45 Asia/Katmandu</t>
  </si>
  <si>
    <t>Tulsipur</t>
  </si>
  <si>
    <t>Tulsipur|Nepal|82,300003|28,133333|+5:45 Asia/Katmandu</t>
  </si>
  <si>
    <t>Waling</t>
  </si>
  <si>
    <t>Waling|Nepal|83,766670|27,983334|+5:45 Asia/Katmandu</t>
  </si>
  <si>
    <t>Amsterdam</t>
  </si>
  <si>
    <t>NL</t>
  </si>
  <si>
    <t>Netherlands</t>
  </si>
  <si>
    <t>+1:00 Europe/Amsterdam</t>
  </si>
  <si>
    <t>Amsterdam|Netherlands|4,899902|52,373085|+1:00 Europe/Amsterdam</t>
  </si>
  <si>
    <t>Eindhoven</t>
  </si>
  <si>
    <t>Eindhoven|Netherlands|5,477778|51,440834|+1:00 Europe/Amsterdam</t>
  </si>
  <si>
    <t>Rotterdam</t>
  </si>
  <si>
    <t>Rotterdam|Netherlands|4,479167|51,922501|+1:00 Europe/Amsterdam</t>
  </si>
  <si>
    <t>The Hague</t>
  </si>
  <si>
    <t>The Hague|Netherlands|4,298611|52,076668|+1:00 Europe/Amsterdam</t>
  </si>
  <si>
    <t>Utrecht</t>
  </si>
  <si>
    <t>Utrecht|Netherlands|5,122222|52,090832|+1:00 Europe/Amsterdam</t>
  </si>
  <si>
    <t>Zwaagwesteinde</t>
  </si>
  <si>
    <t>Zwaagwesteinde|Netherlands|6,036301|53,257305|+1:00 Europe/Amsterdam</t>
  </si>
  <si>
    <t>Zwijndrecht|Netherlands|4,633333|51,817501|+1:00 Europe/Brussels</t>
  </si>
  <si>
    <t>Zwolle</t>
  </si>
  <si>
    <t>Zwolle|Netherlands|6,094444|52,512501|+1:00 Europe/Amsterdam</t>
  </si>
  <si>
    <t>Paita</t>
  </si>
  <si>
    <t>+11:00</t>
  </si>
  <si>
    <t>NC</t>
  </si>
  <si>
    <t>New Caledonia</t>
  </si>
  <si>
    <t>+11:00 Pacific/Noumea</t>
  </si>
  <si>
    <t>Paita|New Caledonia|166,366669|-22,133333|+11:00 Pacific/Noumea</t>
  </si>
  <si>
    <t>Tadine</t>
  </si>
  <si>
    <t>Tadine|New Caledonia|167,883331|-21,549999|+11:00 Pacific/Noumea</t>
  </si>
  <si>
    <t>We|New Caledonia|167,266663|-20,900000|+11:00 Pacific/Noumea</t>
  </si>
  <si>
    <t>Auckland</t>
  </si>
  <si>
    <t>NZ</t>
  </si>
  <si>
    <t>New Zealand</t>
  </si>
  <si>
    <t>+12:00 Pacific/Auckland</t>
  </si>
  <si>
    <t>Auckland|New Zealand|174,766663|-36,866665|+12:00 Pacific/Auckland</t>
  </si>
  <si>
    <t>Christchurch</t>
  </si>
  <si>
    <t>Christchurch|New Zealand|172,633331|-43,533333|+12:00 Pacific/Auckland</t>
  </si>
  <si>
    <t>North Shore</t>
  </si>
  <si>
    <t>North Shore|New Zealand|174,750000|-36,799999|+12:00 Pacific/Auckland</t>
  </si>
  <si>
    <t>Waiuku</t>
  </si>
  <si>
    <t>Waiuku|New Zealand|174,750000|-37,250000|+12:00 Pacific/Auckland</t>
  </si>
  <si>
    <t>Wanganui</t>
  </si>
  <si>
    <t>Wanganui|New Zealand|175,050003|-39,933334|+12:00 Pacific/Auckland</t>
  </si>
  <si>
    <t>Wellington</t>
  </si>
  <si>
    <t>Wellington|New Zealand|174,783340|-41,299999|+12:00 Pacific/Auckland</t>
  </si>
  <si>
    <t>Managua</t>
  </si>
  <si>
    <t>NI</t>
  </si>
  <si>
    <t>Nicaragua</t>
  </si>
  <si>
    <t>-6:00 America/Managua</t>
  </si>
  <si>
    <t>Managua|Nicaragua|-86,268333|12,150833|-6:00 America/Managua</t>
  </si>
  <si>
    <t>Waslala</t>
  </si>
  <si>
    <t>Waslala|Nicaragua|-85,383331|13,233334|-6:00 America/Managua</t>
  </si>
  <si>
    <t>Waspam</t>
  </si>
  <si>
    <t>Waspam|Nicaragua|-83,966667|14,733334|-6:00 America/Managua</t>
  </si>
  <si>
    <t>Wiwili</t>
  </si>
  <si>
    <t>Wiwili|Nicaragua|-85,833336|13,616667|-6:00 America/Managua</t>
  </si>
  <si>
    <t>Birnin Konni</t>
  </si>
  <si>
    <t>NE</t>
  </si>
  <si>
    <t>Niger</t>
  </si>
  <si>
    <t>+1:00 Africa/Niamey</t>
  </si>
  <si>
    <t>Birnin Konni|Niger|5,250000|13,800000|+1:00 Africa/Niamey</t>
  </si>
  <si>
    <t>Niamey</t>
  </si>
  <si>
    <t>Niamey|Niger|2,116667|13,516666|+1:00 Africa/Niamey</t>
  </si>
  <si>
    <t>Tillaberi</t>
  </si>
  <si>
    <t>Tillaberi|Niger|1,453056|14,211667|+1:00 Africa/Niamey</t>
  </si>
  <si>
    <t>Zinder</t>
  </si>
  <si>
    <t>Zinder|Niger|8,983334|13,800000|+1:00 Africa/Niamey</t>
  </si>
  <si>
    <t>Aba</t>
  </si>
  <si>
    <t>NG</t>
  </si>
  <si>
    <t>Nigeria</t>
  </si>
  <si>
    <t>+1:00 Africa/Lagos</t>
  </si>
  <si>
    <t>Aba|Nigeria|7,366667|5,116667|+1:00 Africa/Lagos</t>
  </si>
  <si>
    <t>Abeokuta</t>
  </si>
  <si>
    <t>Abeokuta|Nigeria|3,350000|7,150000|+1:00 Africa/Lagos</t>
  </si>
  <si>
    <t>Abuja</t>
  </si>
  <si>
    <t>Abuja|Nigeria|7,533333|9,083333|+1:00 Africa/Lagos</t>
  </si>
  <si>
    <t>Akure</t>
  </si>
  <si>
    <t>Akure|Nigeria|5,200000|7,250000|+1:00 Africa/Lagos</t>
  </si>
  <si>
    <t>Bauchi</t>
  </si>
  <si>
    <t>Bauchi|Nigeria|9,844167|10,315833|+1:00 Africa/Lagos</t>
  </si>
  <si>
    <t>Benin-City</t>
  </si>
  <si>
    <t>Benin-City|Nigeria|5,633333|6,333333|+1:00 Africa/Lagos</t>
  </si>
  <si>
    <t>Calabar</t>
  </si>
  <si>
    <t>Calabar|Nigeria|8,316667|4,950000|+1:00 Africa/Lagos</t>
  </si>
  <si>
    <t>Damaturu</t>
  </si>
  <si>
    <t>Damaturu|Nigeria|11,963889|11,748611|+1:00 Africa/Lagos</t>
  </si>
  <si>
    <t>Ebute Ikorodu</t>
  </si>
  <si>
    <t>Ebute Ikorodu|Nigeria|3,491111|6,602778|+1:00 Africa/Lagos</t>
  </si>
  <si>
    <t>Effon Alaiye</t>
  </si>
  <si>
    <t>Effon Alaiye|Nigeria|4,916667|7,650000|+1:00 Africa/Lagos</t>
  </si>
  <si>
    <t>Enugu</t>
  </si>
  <si>
    <t>Enugu|Nigeria|7,483333|6,433333|+1:00 Africa/Lagos</t>
  </si>
  <si>
    <t>Gombe</t>
  </si>
  <si>
    <t>Gombe|Nigeria|11,171667|10,289444|+1:00 Africa/Lagos</t>
  </si>
  <si>
    <t>Gusau</t>
  </si>
  <si>
    <t>Gusau|Nigeria|6,666667|12,164166|+1:00 Africa/Lagos</t>
  </si>
  <si>
    <t>Ibadan</t>
  </si>
  <si>
    <t>Ibadan|Nigeria|3,896389|7,387778|+1:00 Africa/Lagos</t>
  </si>
  <si>
    <t>Ijebu Ode</t>
  </si>
  <si>
    <t>Ijebu Ode|Nigeria|3,933333|6,816667|+1:00 Africa/Lagos</t>
  </si>
  <si>
    <t>Ikire</t>
  </si>
  <si>
    <t>Ikire|Nigeria|4,183333|7,350000|+1:00 Africa/Lagos</t>
  </si>
  <si>
    <t>Ikot Ekpene</t>
  </si>
  <si>
    <t>Ikot Ekpene|Nigeria|7,716667|5,166667|+1:00 Africa/Lagos</t>
  </si>
  <si>
    <t>Ilesa</t>
  </si>
  <si>
    <t>Ilesa|Nigeria|4,733333|7,616667|+1:00 Africa/Lagos</t>
  </si>
  <si>
    <t>Ilorin</t>
  </si>
  <si>
    <t>Ilorin|Nigeria|4,550000|8,500000|+1:00 Africa/Lagos</t>
  </si>
  <si>
    <t>Iwo</t>
  </si>
  <si>
    <t>Iwo|Nigeria|4,183333|7,633333|+1:00 Africa/Lagos</t>
  </si>
  <si>
    <t>Jimeta</t>
  </si>
  <si>
    <t>Jimeta|Nigeria|12,466667|9,283333|+1:00 Africa/Lagos</t>
  </si>
  <si>
    <t>Jos</t>
  </si>
  <si>
    <t>Jos|Nigeria|8,900000|9,916667|+1:00 Africa/Lagos</t>
  </si>
  <si>
    <t>Kaduna</t>
  </si>
  <si>
    <t>Kaduna|Nigeria|7,440278|10,523056|+1:00 Africa/Lagos</t>
  </si>
  <si>
    <t>Kano</t>
  </si>
  <si>
    <t>Kano|Nigeria|8,516666|11,996388|+1:00 Africa/Lagos</t>
  </si>
  <si>
    <t>Katsina</t>
  </si>
  <si>
    <t>Katsina|Nigeria|7,599444|12,997778|+1:00 Africa/Lagos</t>
  </si>
  <si>
    <t>Lagos</t>
  </si>
  <si>
    <t>Lagos|Nigeria|3,395833|6,453055|+1:00 Africa/Lagos</t>
  </si>
  <si>
    <t>Maiduguri</t>
  </si>
  <si>
    <t>Maiduguri|Nigeria|13,160000|11,845000|+1:00 Africa/Lagos</t>
  </si>
  <si>
    <t>Makurdi</t>
  </si>
  <si>
    <t>Makurdi|Nigeria|8,533333|7,733333|+1:00 Africa/Lagos</t>
  </si>
  <si>
    <t>Minna</t>
  </si>
  <si>
    <t>Minna|Nigeria|6,556944|9,613889|+1:00 Africa/Lagos</t>
  </si>
  <si>
    <t>Mubi</t>
  </si>
  <si>
    <t>Mubi|Nigeria|13,270555|10,268888|+1:00 Africa/Lagos</t>
  </si>
  <si>
    <t>Okene</t>
  </si>
  <si>
    <t>Okene|Nigeria|6,233333|7,550000|+1:00 Africa/Lagos</t>
  </si>
  <si>
    <t>Ondo</t>
  </si>
  <si>
    <t>Ondo|Nigeria|4,833333|7,100000|+1:00 Africa/Lagos</t>
  </si>
  <si>
    <t>Onitsha</t>
  </si>
  <si>
    <t>Onitsha|Nigeria|6,783333|6,166667|+1:00 Africa/Lagos</t>
  </si>
  <si>
    <t>Owerri</t>
  </si>
  <si>
    <t>Owerri|Nigeria|7,033333|5,483333|+1:00 Africa/Lagos</t>
  </si>
  <si>
    <t>Owo</t>
  </si>
  <si>
    <t>Owo|Nigeria|5,583333|7,183333|+1:00 Africa/Lagos</t>
  </si>
  <si>
    <t>Oyo</t>
  </si>
  <si>
    <t>Oyo|Nigeria|3,933333|7,850000|+1:00 Africa/Lagos</t>
  </si>
  <si>
    <t>Port Harcourt</t>
  </si>
  <si>
    <t>Port Harcourt|Nigeria|6,998611|4,789167|+1:00 Africa/Lagos</t>
  </si>
  <si>
    <t>Sagamu</t>
  </si>
  <si>
    <t>Sagamu|Nigeria|3,650000|6,850000|+1:00 Africa/Lagos</t>
  </si>
  <si>
    <t>Sokoto</t>
  </si>
  <si>
    <t>Sokoto|Nigeria|5,231389|13,051389|+1:00 Africa/Lagos</t>
  </si>
  <si>
    <t>Ugep</t>
  </si>
  <si>
    <t>Ugep|Nigeria|8,083333|5,800000|+1:00 Africa/Lagos</t>
  </si>
  <si>
    <t>Umuahia</t>
  </si>
  <si>
    <t>Umuahia|Nigeria|7,483333|5,533333|+1:00 Africa/Lagos</t>
  </si>
  <si>
    <t>Warri</t>
  </si>
  <si>
    <t>Warri|Nigeria|5,750000|5,516667|+1:00 Africa/Lagos</t>
  </si>
  <si>
    <t>Zaria</t>
  </si>
  <si>
    <t>Zaria|Nigeria|7,700000|11,066667|+1:00 Africa/Lagos</t>
  </si>
  <si>
    <t>Zungeru</t>
  </si>
  <si>
    <t>Zungeru|Nigeria|6,155833|9,812778|+1:00 Africa/Lagos</t>
  </si>
  <si>
    <t>Zuru</t>
  </si>
  <si>
    <t>Zuru|Nigeria|5,237500|11,430278|+1:00 Africa/Lagos</t>
  </si>
  <si>
    <t>Chongjin</t>
  </si>
  <si>
    <t>KP</t>
  </si>
  <si>
    <t>North Korea</t>
  </si>
  <si>
    <t>+9:00 Asia/Pyongyang</t>
  </si>
  <si>
    <t>Chongjin|North Korea|129,775833|41,795555|+9:00 Asia/Pyongyang</t>
  </si>
  <si>
    <t>Haeju</t>
  </si>
  <si>
    <t>Haeju|North Korea|125,714722|38,040554|+9:00 Asia/Pyongyang</t>
  </si>
  <si>
    <t>Hamhung</t>
  </si>
  <si>
    <t>Hamhung|North Korea|127,536392|39,918335|+9:00 Asia/Pyongyang</t>
  </si>
  <si>
    <t>Hungnam</t>
  </si>
  <si>
    <t>Hungnam|North Korea|127,618614|39,831665|+9:00 Asia/Pyongyang</t>
  </si>
  <si>
    <t>Kaesong</t>
  </si>
  <si>
    <t>Kaesong|North Korea|126,554443|37,970833|+9:00 Asia/Pyongyang</t>
  </si>
  <si>
    <t>Kanggye</t>
  </si>
  <si>
    <t>Kanggye|North Korea|126,611389|40,987221|+9:00 Asia/Pyongyang</t>
  </si>
  <si>
    <t>Pyongyang</t>
  </si>
  <si>
    <t>Pyongyang|North Korea|125,754723|39,019444|+9:00 Asia/Pyongyang</t>
  </si>
  <si>
    <t>Sinuiju</t>
  </si>
  <si>
    <t>Sinuiju|North Korea|124,398056|40,100555|+9:00 Asia/Pyongyang</t>
  </si>
  <si>
    <t>Wonsan</t>
  </si>
  <si>
    <t>Wonsan|North Korea|127,443611|39,152779|+9:00 Asia/Pyongyang</t>
  </si>
  <si>
    <t>Yonan-up</t>
  </si>
  <si>
    <t>Yonan-up|North Korea|126,161110|37,908890|+9:00 Asia/Pyongyang</t>
  </si>
  <si>
    <t>Yongbyon</t>
  </si>
  <si>
    <t>Yongbyon|North Korea|125,804169|39,813332|+9:00 Asia/Pyongyang</t>
  </si>
  <si>
    <t>Yonggang-up</t>
  </si>
  <si>
    <t>Yonggang-up|North Korea|125,424446|38,856110|+9:00 Asia/Pyongyang</t>
  </si>
  <si>
    <t>San Antonio</t>
  </si>
  <si>
    <t>MP</t>
  </si>
  <si>
    <t>Northern Mariana Islands</t>
  </si>
  <si>
    <t>+10:00 Pacific/Saipan</t>
  </si>
  <si>
    <t>San Antonio|Northern Mariana Islands|145,693604|15,132500|+10:00 Pacific/Saipan</t>
  </si>
  <si>
    <t>Alta</t>
  </si>
  <si>
    <t>NO</t>
  </si>
  <si>
    <t>Norway</t>
  </si>
  <si>
    <t>+1:00 Europe/Oslo</t>
  </si>
  <si>
    <t>Alta|Norway|23,241667|69,966667|+1:00 Europe/Oslo</t>
  </si>
  <si>
    <t>Bergen</t>
  </si>
  <si>
    <t>Bergen|Norway|5,324722|60,391109|+1:00 Europe/Oslo</t>
  </si>
  <si>
    <t>Hammerfest</t>
  </si>
  <si>
    <t>Hammerfest|Norway|23,688334|70,661667|+1:00 Europe/Oslo</t>
  </si>
  <si>
    <t>Oslo</t>
  </si>
  <si>
    <t>Oslo|Norway|10,738921|59,913246|+1:00 Europe/Oslo</t>
  </si>
  <si>
    <t>Vadso</t>
  </si>
  <si>
    <t>Vadso|Norway|29,769722|70,073059|+1:00 Europe/Oslo</t>
  </si>
  <si>
    <t>As Sib</t>
  </si>
  <si>
    <t>OM</t>
  </si>
  <si>
    <t>Oman</t>
  </si>
  <si>
    <t>+4:00 Asia/Muscat</t>
  </si>
  <si>
    <t>As Sib|Oman|58,182499|23,680277|+4:00 Asia/Muscat</t>
  </si>
  <si>
    <t>Muscat</t>
  </si>
  <si>
    <t>Muscat|Oman|58,593334|23,613333|+4:00 Asia/Muscat</t>
  </si>
  <si>
    <t>Sufalat Sama'il</t>
  </si>
  <si>
    <t>Sufalat Sama'il|Oman|58,016666|23,316668|+4:00 Asia/Muscat</t>
  </si>
  <si>
    <t>Suhar</t>
  </si>
  <si>
    <t>Suhar|Oman|56,743889|24,368889|+4:00 Asia/Muscat</t>
  </si>
  <si>
    <t>Sur</t>
  </si>
  <si>
    <t>Sur|Oman|59,528889|22,566668|+4:00 Asia/Muscat</t>
  </si>
  <si>
    <t>Bahawalpur</t>
  </si>
  <si>
    <t>PK</t>
  </si>
  <si>
    <t>Pakistan</t>
  </si>
  <si>
    <t>+5:00 Asia/Karachi</t>
  </si>
  <si>
    <t>Bahawalpur|Pakistan|71,683334|29,400000|+5:00 Asia/Karachi</t>
  </si>
  <si>
    <t>Chiniot</t>
  </si>
  <si>
    <t>Chiniot|Pakistan|72,978889|31,719999|+5:00 Asia/Karachi</t>
  </si>
  <si>
    <t>Chuhar Jamali</t>
  </si>
  <si>
    <t>Chuhar Jamali|Pakistan|67,993057|24,388889|+5:00 Asia/Karachi</t>
  </si>
  <si>
    <t>Dera Ghazi Khan</t>
  </si>
  <si>
    <t>Dera Ghazi Khan|Pakistan|70,634445|30,056110|+5:00 Asia/Karachi</t>
  </si>
  <si>
    <t>Faisalabad</t>
  </si>
  <si>
    <t>Faisalabad|Pakistan|73,083336|31,416666|+5:00 Asia/Karachi</t>
  </si>
  <si>
    <t>Gujranwala</t>
  </si>
  <si>
    <t>Gujranwala|Pakistan|74,183334|32,150002|+5:00 Asia/Karachi</t>
  </si>
  <si>
    <t>Gujrat</t>
  </si>
  <si>
    <t>Gujrat|Pakistan|74,083336|32,566666|+5:00 Asia/Karachi</t>
  </si>
  <si>
    <t>Hyderabad|Pakistan|68,366669|25,366667|+5:30 Asia/Calcutta</t>
  </si>
  <si>
    <t>Islamabad</t>
  </si>
  <si>
    <t>Islamabad|Pakistan|73,059082|33,610046|+5:00 Asia/Karachi</t>
  </si>
  <si>
    <t>Jhang Sadr</t>
  </si>
  <si>
    <t>Jhang Sadr|Pakistan|72,311943|31,274166|+5:00 Asia/Karachi</t>
  </si>
  <si>
    <t>Karachi</t>
  </si>
  <si>
    <t>Karachi|Pakistan|67,050003|24,866667|+5:00 Asia/Karachi</t>
  </si>
  <si>
    <t>Kasur</t>
  </si>
  <si>
    <t>Kasur|Pakistan|74,446663|31,115555|+5:00 Asia/Karachi</t>
  </si>
  <si>
    <t>Khairpur</t>
  </si>
  <si>
    <t>Khairpur|Pakistan|68,766670|27,533333|+5:00 Asia/Karachi</t>
  </si>
  <si>
    <t>Lahore</t>
  </si>
  <si>
    <t>Lahore|Pakistan|74,343613|31,549723|+5:00 Asia/Karachi</t>
  </si>
  <si>
    <t>Larkana</t>
  </si>
  <si>
    <t>Larkana|Pakistan|68,216667|27,549999|+5:00 Asia/Karachi</t>
  </si>
  <si>
    <t>Mardan</t>
  </si>
  <si>
    <t>Mardan|Pakistan|72,045830|34,198334|+5:00 Asia/Karachi</t>
  </si>
  <si>
    <t>Mingaora</t>
  </si>
  <si>
    <t>Mingaora|Pakistan|72,361115|34,776112|+5:00 Asia/Karachi</t>
  </si>
  <si>
    <t>Mirpur Khas</t>
  </si>
  <si>
    <t>Mirpur Khas|Pakistan|69,000000|25,533333|+5:00 Asia/Karachi</t>
  </si>
  <si>
    <t>Multan</t>
  </si>
  <si>
    <t>Multan|Pakistan|71,475281|30,195555|+5:00 Asia/Karachi</t>
  </si>
  <si>
    <t>Nawabshah</t>
  </si>
  <si>
    <t>Nawabshah|Pakistan|68,416664|26,250000|+5:00 Asia/Karachi</t>
  </si>
  <si>
    <t>Okara</t>
  </si>
  <si>
    <t>Okara|Pakistan|73,445831|30,808056|+5:00 Asia/Karachi</t>
  </si>
  <si>
    <t>Peshawar</t>
  </si>
  <si>
    <t>Peshawar|Pakistan|71,573334|34,007778|+5:00 Asia/Karachi</t>
  </si>
  <si>
    <t>Pir jo Goth</t>
  </si>
  <si>
    <t>Pir jo Goth|Pakistan|68,616669|27,600000|+5:00 Asia/Karachi</t>
  </si>
  <si>
    <t>Quetta</t>
  </si>
  <si>
    <t>Quetta|Pakistan|67,012497|30,187222|+5:00 Asia/Karachi</t>
  </si>
  <si>
    <t>Rawalpindi</t>
  </si>
  <si>
    <t>Rawalpindi|Pakistan|73,066666|33,599998|+5:00 Asia/Karachi</t>
  </si>
  <si>
    <t>Sahiwal</t>
  </si>
  <si>
    <t>Sahiwal|Pakistan|73,099998|30,666666|+5:00 Asia/Karachi</t>
  </si>
  <si>
    <t>Sargodha</t>
  </si>
  <si>
    <t>Sargodha|Pakistan|72,671112|32,083611|+5:00 Asia/Karachi</t>
  </si>
  <si>
    <t>Shekhupura</t>
  </si>
  <si>
    <t>Shekhupura|Pakistan|73,978333|31,713055|+5:00 Asia/Karachi</t>
  </si>
  <si>
    <t>Sialkot</t>
  </si>
  <si>
    <t>Sialkot|Pakistan|74,516670|32,500000|+5:00 Asia/Karachi</t>
  </si>
  <si>
    <t>Sukkur</t>
  </si>
  <si>
    <t>Sukkur|Pakistan|68,866669|27,700001|+5:00 Asia/Karachi</t>
  </si>
  <si>
    <t>Panama</t>
  </si>
  <si>
    <t>PA</t>
  </si>
  <si>
    <t>-5:00 America/Panama</t>
  </si>
  <si>
    <t>Panama|Panama|-79,533333|8,966667|-5:00 America/Panama</t>
  </si>
  <si>
    <t>San Miguelito</t>
  </si>
  <si>
    <t>San Miguelito|Panama|-79,500000|9,033333|-5:00 America/Panama</t>
  </si>
  <si>
    <t>Veracruz|Panama|-79,633331|8,883333|-6:00 America/Mexico_City</t>
  </si>
  <si>
    <t>Vista Alegre</t>
  </si>
  <si>
    <t>Vista Alegre|Panama|-79,699997|8,933333|-5:00 America/Panama</t>
  </si>
  <si>
    <t>Volcan</t>
  </si>
  <si>
    <t>Volcan|Panama|-82,633331|8,766666|-5:00 America/Panama</t>
  </si>
  <si>
    <t>Port Moresby</t>
  </si>
  <si>
    <t>PG</t>
  </si>
  <si>
    <t>Papua New Guinea</t>
  </si>
  <si>
    <t>+10:00 Pacific/Port_Moresby</t>
  </si>
  <si>
    <t>Port Moresby|Papua New Guinea|147,192505|-9,464723|+10:00 Pacific/Port_Moresby</t>
  </si>
  <si>
    <t>Vanimo</t>
  </si>
  <si>
    <t>Vanimo|Papua New Guinea|141,300003|-2,683333|+10:00 Pacific/Port_Moresby</t>
  </si>
  <si>
    <t>Wau</t>
  </si>
  <si>
    <t>Wau|Papua New Guinea|146,716660|-7,333333|+10:00 Pacific/Port_Moresby</t>
  </si>
  <si>
    <t>Wewak</t>
  </si>
  <si>
    <t>Wewak|Papua New Guinea|143,633331|-3,550000|+10:00 Pacific/Port_Moresby</t>
  </si>
  <si>
    <t>Asuncion</t>
  </si>
  <si>
    <t>PY</t>
  </si>
  <si>
    <t>Paraguay</t>
  </si>
  <si>
    <t>-3:00 America/Asuncion</t>
  </si>
  <si>
    <t>Asuncion|Paraguay|-57,666668|-25,266666|-3:00 America/Asuncion</t>
  </si>
  <si>
    <t>San Lorenzo|Paraguay|-57,533333|-25,333334|-3:00 America/Argentina/Cordoba</t>
  </si>
  <si>
    <t>Villarrica|Paraguay|-56,433334|-25,750000|-4:00 America/Santiago</t>
  </si>
  <si>
    <t>Yaguaron</t>
  </si>
  <si>
    <t>Yaguaron|Paraguay|-57,299999|-25,600000|-3:00 America/Asuncion</t>
  </si>
  <si>
    <t>Ypacarai</t>
  </si>
  <si>
    <t>Ypacarai|Paraguay|-57,266666|-25,383333|-3:00 America/Asuncion</t>
  </si>
  <si>
    <t>Arequipa</t>
  </si>
  <si>
    <t>PE</t>
  </si>
  <si>
    <t>Peru</t>
  </si>
  <si>
    <t>-5:00 America/Lima</t>
  </si>
  <si>
    <t>Arequipa|Peru|-71,535004|-16,398890|-5:00 America/Lima</t>
  </si>
  <si>
    <t>Callao</t>
  </si>
  <si>
    <t>Callao|Peru|-77,150002|-12,066667|-5:00 America/Lima</t>
  </si>
  <si>
    <t>Chiclayo</t>
  </si>
  <si>
    <t>Chiclayo|Peru|-79,841667|-6,773611|-5:00 America/Lima</t>
  </si>
  <si>
    <t>Chimbote</t>
  </si>
  <si>
    <t>Chimbote|Peru|-78,578331|-9,085278|-5:00 America/Lima</t>
  </si>
  <si>
    <t>Cusco</t>
  </si>
  <si>
    <t>Cusco|Peru|-71,978058|-13,518333|-5:00 America/Lima</t>
  </si>
  <si>
    <t>Huancayo</t>
  </si>
  <si>
    <t>Huancayo|Peru|-75,233330|-12,066667|-5:00 America/Lima</t>
  </si>
  <si>
    <t>Ica</t>
  </si>
  <si>
    <t>Ica|Peru|-75,725555|-14,068055|-5:00 America/Lima</t>
  </si>
  <si>
    <t>Iquitos</t>
  </si>
  <si>
    <t>Iquitos|Peru|-73,247223|-3,748056|-5:00 America/Lima</t>
  </si>
  <si>
    <t>Juliaca</t>
  </si>
  <si>
    <t>Juliaca|Peru|-70,133331|-15,500000|-5:00 America/Lima</t>
  </si>
  <si>
    <t>Lima</t>
  </si>
  <si>
    <t>Lima|Peru|-77,050003|-12,050000|-5:00 America/Lima</t>
  </si>
  <si>
    <t>Piura</t>
  </si>
  <si>
    <t>Piura|Peru|-80,633331|-5,200000|-5:00 America/Lima</t>
  </si>
  <si>
    <t>Pucallpa</t>
  </si>
  <si>
    <t>Pucallpa|Peru|-74,553864|-8,379148|-5:00 America/Lima</t>
  </si>
  <si>
    <t>Tacna</t>
  </si>
  <si>
    <t>Tacna|Peru|-70,248337|-18,005556|-5:00 America/Lima</t>
  </si>
  <si>
    <t>Trujillo</t>
  </si>
  <si>
    <t>Trujillo|Peru|-79,029976|-8,115994|-5:00 America/Lima</t>
  </si>
  <si>
    <t>Yungay</t>
  </si>
  <si>
    <t>Yungay|Peru|-77,743614|-9,138333|-5:00 America/Lima</t>
  </si>
  <si>
    <t>Yurimaguas</t>
  </si>
  <si>
    <t>Yurimaguas|Peru|-76,083336|-5,900000|-5:00 America/Lima</t>
  </si>
  <si>
    <t>Zorritos</t>
  </si>
  <si>
    <t>Zorritos|Peru|-80,666664|-3,666667|-5:00 America/Lima</t>
  </si>
  <si>
    <t>Antipolo</t>
  </si>
  <si>
    <t>PH</t>
  </si>
  <si>
    <t>Philippines</t>
  </si>
  <si>
    <t>+8:00 Asia/Manila</t>
  </si>
  <si>
    <t>Antipolo|Philippines|121,175278|14,586389|+8:00 Asia/Manila</t>
  </si>
  <si>
    <t>Bacoor</t>
  </si>
  <si>
    <t>Bacoor|Philippines|120,942497|14,457778|+8:00 Asia/Manila</t>
  </si>
  <si>
    <t>Baguio</t>
  </si>
  <si>
    <t>Baguio|Philippines|120,593056|16,416389|+8:00 Asia/Manila</t>
  </si>
  <si>
    <t>Batangas</t>
  </si>
  <si>
    <t>Batangas|Philippines|121,059998|13,759444|+8:00 Asia/Manila</t>
  </si>
  <si>
    <t>Binangonan</t>
  </si>
  <si>
    <t>Binangonan|Philippines|121,191948|14,465555|+8:00 Asia/Manila</t>
  </si>
  <si>
    <t>Cabanatuan</t>
  </si>
  <si>
    <t>Cabanatuan|Philippines|120,967499|15,486944|+8:00 Asia/Manila</t>
  </si>
  <si>
    <t>Cagayan de Oro</t>
  </si>
  <si>
    <t>Cagayan de Oro|Philippines|124,647224|8,482223|+8:00 Asia/Manila</t>
  </si>
  <si>
    <t>Cainta</t>
  </si>
  <si>
    <t>Cainta|Philippines|121,116943|14,580000|+8:00 Asia/Manila</t>
  </si>
  <si>
    <t>Calamba</t>
  </si>
  <si>
    <t>Calamba|Philippines|121,165276|14,211667|+8:00 Asia/Manila</t>
  </si>
  <si>
    <t>Cebu City</t>
  </si>
  <si>
    <t>Cebu City|Philippines|123,891670|10,311111|+8:00 Asia/Manila</t>
  </si>
  <si>
    <t>Dasmarinas</t>
  </si>
  <si>
    <t>Dasmarinas|Philippines|120,936668|14,329444|+8:00 Asia/Manila</t>
  </si>
  <si>
    <t>Davao</t>
  </si>
  <si>
    <t>Davao|Philippines|125,612778|7,073056|+8:00 Asia/Manila</t>
  </si>
  <si>
    <t>Iloilo</t>
  </si>
  <si>
    <t>Iloilo|Philippines|122,564445|10,696944|+8:00 Asia/Manila</t>
  </si>
  <si>
    <t>Imus</t>
  </si>
  <si>
    <t>Imus|Philippines|120,936668|14,429722|+8:00 Asia/Manila</t>
  </si>
  <si>
    <t>Lapu-Lapu City</t>
  </si>
  <si>
    <t>Lapu-Lapu City|Philippines|123,949448|10,310278|+8:00 Asia/Manila</t>
  </si>
  <si>
    <t>Libertad</t>
  </si>
  <si>
    <t>Libertad|Philippines|125,501945|8,944167|+8:00 Asia/Manila</t>
  </si>
  <si>
    <t>Lipa</t>
  </si>
  <si>
    <t>Lipa|Philippines|121,173889|13,939445|+8:00 Asia/Manila</t>
  </si>
  <si>
    <t>Lucena</t>
  </si>
  <si>
    <t>Lucena|Philippines|121,617226|13,931389|+8:00 Asia/Manila</t>
  </si>
  <si>
    <t>Mandaue City</t>
  </si>
  <si>
    <t>Mandaue City|Philippines|123,922226|10,323611|+8:00 Asia/Manila</t>
  </si>
  <si>
    <t>Manila</t>
  </si>
  <si>
    <t>Manila|Philippines|120,982224|14,604167|+8:00 Asia/Manila</t>
  </si>
  <si>
    <t>Mansilingan</t>
  </si>
  <si>
    <t>Mansilingan|Philippines|122,978889|10,631111|+8:00 Asia/Manila</t>
  </si>
  <si>
    <t>Mantampay</t>
  </si>
  <si>
    <t>Mantampay|Philippines|124,216667|8,166667|+8:00 Asia/Manila</t>
  </si>
  <si>
    <t>Olongapo</t>
  </si>
  <si>
    <t>Olongapo|Philippines|120,282776|14,829166|+8:00 Asia/Manila</t>
  </si>
  <si>
    <t>San Fernando|Philippines|120,685555|15,030278|-6:00 America/Monterrey</t>
  </si>
  <si>
    <t>San Jose del Monte</t>
  </si>
  <si>
    <t>San Jose del Monte|Philippines|121,045280|14,813889|+8:00 Asia/Manila</t>
  </si>
  <si>
    <t>San Pablo</t>
  </si>
  <si>
    <t>San Pablo|Philippines|121,325836|14,066944|+8:00 Asia/Manila</t>
  </si>
  <si>
    <t>San Pedro|Philippines|121,055557|14,364722|-6:00 America/Belize</t>
  </si>
  <si>
    <t>Santa Rosa</t>
  </si>
  <si>
    <t>Santa Rosa|Philippines|121,111389|14,312222|+8:00 Asia/Manila</t>
  </si>
  <si>
    <t>Santol</t>
  </si>
  <si>
    <t>Santol|Philippines|120,567497|15,162222|+8:00 Asia/Manila</t>
  </si>
  <si>
    <t>Taytay</t>
  </si>
  <si>
    <t>Taytay|Philippines|121,132500|14,569167|+8:00 Asia/Manila</t>
  </si>
  <si>
    <t>Zamboanga</t>
  </si>
  <si>
    <t>Zamboanga|Philippines|122,073891|6,910278|+8:00 Asia/Manila</t>
  </si>
  <si>
    <t>Zamboanguita</t>
  </si>
  <si>
    <t>Zamboanguita|Philippines|123,199165|9,105000|+8:00 Asia/Manila</t>
  </si>
  <si>
    <t>Zaragoza|Philippines|119,943611|16,388332|-5:00 America/Bogota</t>
  </si>
  <si>
    <t>Bialystok</t>
  </si>
  <si>
    <t>PL</t>
  </si>
  <si>
    <t>Poland</t>
  </si>
  <si>
    <t>+1:00 Europe/Warsaw</t>
  </si>
  <si>
    <t>Bialystok|Poland|23,150000|53,133335|+1:00 Europe/Warsaw</t>
  </si>
  <si>
    <t>Bydgoszcz</t>
  </si>
  <si>
    <t>Bydgoszcz|Poland|18,000000|53,150002|+1:00 Europe/Warsaw</t>
  </si>
  <si>
    <t>Czestochowa</t>
  </si>
  <si>
    <t>Czestochowa|Poland|19,116667|50,799999|+1:00 Europe/Warsaw</t>
  </si>
  <si>
    <t>Gdansk</t>
  </si>
  <si>
    <t>Gdansk|Poland|18,666666|54,349998|+1:00 Europe/Warsaw</t>
  </si>
  <si>
    <t>Gdynia</t>
  </si>
  <si>
    <t>Gdynia|Poland|18,549999|54,500000|+1:00 Europe/Warsaw</t>
  </si>
  <si>
    <t>Katowice</t>
  </si>
  <si>
    <t>Katowice|Poland|19,016666|50,266666|+1:00 Europe/Warsaw</t>
  </si>
  <si>
    <t>Kielce</t>
  </si>
  <si>
    <t>Kielce|Poland|20,666666|50,833332|+1:00 Europe/Warsaw</t>
  </si>
  <si>
    <t>Krakow</t>
  </si>
  <si>
    <t>Krakow|Poland|19,916666|50,083332|+1:00 Europe/Warsaw</t>
  </si>
  <si>
    <t>Lodz</t>
  </si>
  <si>
    <t>Lodz|Poland|19,466667|51,750000|+1:00 Europe/Warsaw</t>
  </si>
  <si>
    <t>Lublin</t>
  </si>
  <si>
    <t>Lublin|Poland|22,566668|51,250000|+1:00 Europe/Warsaw</t>
  </si>
  <si>
    <t>Poznan</t>
  </si>
  <si>
    <t>Poznan|Poland|16,966667|52,416668|+1:00 Europe/Warsaw</t>
  </si>
  <si>
    <t>Radom</t>
  </si>
  <si>
    <t>Radom|Poland|21,150000|51,416668|+1:00 Europe/Warsaw</t>
  </si>
  <si>
    <t>Sosnowiec</t>
  </si>
  <si>
    <t>Sosnowiec|Poland|19,166666|50,299999|+1:00 Europe/Warsaw</t>
  </si>
  <si>
    <t>Szczecin Pogodno</t>
  </si>
  <si>
    <t>Szczecin Pogodno|Poland|14,516666|53,450001|+1:00 Europe/Warsaw</t>
  </si>
  <si>
    <t>Torun</t>
  </si>
  <si>
    <t>Torun|Poland|18,600000|53,033333|+1:00 Europe/Warsaw</t>
  </si>
  <si>
    <t>Warsaw</t>
  </si>
  <si>
    <t>Warsaw|Poland|21,000000|52,250000|+1:00 Europe/Warsaw</t>
  </si>
  <si>
    <t>Wroclaw</t>
  </si>
  <si>
    <t>Wroclaw|Poland|17,033333|51,099998|+1:00 Europe/Warsaw</t>
  </si>
  <si>
    <t>Zamosc</t>
  </si>
  <si>
    <t>Zamosc|Poland|23,250000|50,716667|+1:00 Europe/Warsaw</t>
  </si>
  <si>
    <t>Zielonka</t>
  </si>
  <si>
    <t>Zielonka|Poland|21,166666|52,299999|+1:00 Europe/Warsaw</t>
  </si>
  <si>
    <t>Zyrardow</t>
  </si>
  <si>
    <t>Zyrardow|Poland|20,433332|52,066666|+1:00 Europe/Warsaw</t>
  </si>
  <si>
    <t>Colonia</t>
  </si>
  <si>
    <t>Ponape</t>
  </si>
  <si>
    <t>+11:00 Pacific/Ponape</t>
  </si>
  <si>
    <t>Colonia|Ponape|138,129166|9,514444|+11:00 Pacific/Ponape</t>
  </si>
  <si>
    <t>Toynim</t>
  </si>
  <si>
    <t>+11:00 Pacific/Kosrae</t>
  </si>
  <si>
    <t>Toynim|Ponape|163,003616|5,314722|+11:00 Pacific/Kosrae</t>
  </si>
  <si>
    <t>Weno</t>
  </si>
  <si>
    <t>Weno|Ponape|151,850006|7,445833|+11:00 Pacific/Ponape</t>
  </si>
  <si>
    <t>Lisbon</t>
  </si>
  <si>
    <t>PT</t>
  </si>
  <si>
    <t>Portugal</t>
  </si>
  <si>
    <t>+0:00 Europe/Lisbon</t>
  </si>
  <si>
    <t>Lisbon|Portugal|-9,133333|38,716667|+0:00 Europe/Lisbon</t>
  </si>
  <si>
    <t>Porto</t>
  </si>
  <si>
    <t>Porto|Portugal|-8,616667|41,150002|+0:00 Europe/Lisbon</t>
  </si>
  <si>
    <t>Vila Franca de Xira</t>
  </si>
  <si>
    <t>Vila Franca de Xira|Portugal|-8,983334|38,950001|+0:00 Europe/Lisbon</t>
  </si>
  <si>
    <t>Vila Real de Santo Antonio</t>
  </si>
  <si>
    <t>Vila Real de Santo Antonio|Portugal|-7,416667|37,200001|+0:00 Europe/Lisbon</t>
  </si>
  <si>
    <t>Vila Vicosa</t>
  </si>
  <si>
    <t>Vila Vicosa|Portugal|-7,416667|38,783333|+0:00 Europe/Lisbon</t>
  </si>
  <si>
    <t>Adjuntas</t>
  </si>
  <si>
    <t>PR</t>
  </si>
  <si>
    <t>Puerto Rico</t>
  </si>
  <si>
    <t>-4:00 America/Puerto_Rico</t>
  </si>
  <si>
    <t>Adjuntas|Puerto Rico|-66,801765|18,158493|-4:00 America/Puerto_Rico</t>
  </si>
  <si>
    <t>Aguadilla</t>
  </si>
  <si>
    <t>Aguadilla|Puerto Rico|-67,154068|18,427444|-4:00 America/Puerto_Rico</t>
  </si>
  <si>
    <t>Aibonito</t>
  </si>
  <si>
    <t>Aibonito|Puerto Rico|-66,265999|18,139959|-4:00 America/Puerto_Rico</t>
  </si>
  <si>
    <t>Bayamon</t>
  </si>
  <si>
    <t>Bayamon|Puerto Rico|-66,155724|18,398560|-4:00 America/Puerto_Rico</t>
  </si>
  <si>
    <t>Bayamon Gardens</t>
  </si>
  <si>
    <t>Bayamon Gardens|Puerto Rico|-66,179886|18,377728|-4:00 America/Puerto_Rico</t>
  </si>
  <si>
    <t>San Juan|Puerto Rico|-66,105721|18,466333|-3:00 America/Argentina/San_Juan</t>
  </si>
  <si>
    <t>Ar Rayyan</t>
  </si>
  <si>
    <t>QA</t>
  </si>
  <si>
    <t>Qatar</t>
  </si>
  <si>
    <t>+3:00 Asia/Qatar</t>
  </si>
  <si>
    <t>Ar Rayyan|Qatar|51,424446|25,291945|+3:00 Asia/Qatar</t>
  </si>
  <si>
    <t>Doha</t>
  </si>
  <si>
    <t>Doha|Qatar|51,533333|25,286667|+3:00 Asia/Qatar</t>
  </si>
  <si>
    <t>Dukhan</t>
  </si>
  <si>
    <t>Dukhan|Qatar|50,785831|25,429722|+3:00 Asia/Qatar</t>
  </si>
  <si>
    <t>Umm Salal Muhammad</t>
  </si>
  <si>
    <t>Umm Salal Muhammad|Qatar|51,403889|25,416945|+3:00 Asia/Qatar</t>
  </si>
  <si>
    <t>RE</t>
  </si>
  <si>
    <t>Reunion</t>
  </si>
  <si>
    <t>Saint-Pierre|Reunion|55,483334|-21,316668|-3:00 America/Miquelon</t>
  </si>
  <si>
    <t>Salazie</t>
  </si>
  <si>
    <t>+4:00 Indian/Reunion</t>
  </si>
  <si>
    <t>Salazie|Reunion|55,549999|-21,016666|+4:00 Indian/Reunion</t>
  </si>
  <si>
    <t>Trois-Bassins</t>
  </si>
  <si>
    <t>Trois-Bassins|Reunion|55,299999|-21,100000|+4:00 Indian/Reunion</t>
  </si>
  <si>
    <t>Braila</t>
  </si>
  <si>
    <t>RO</t>
  </si>
  <si>
    <t>Romania</t>
  </si>
  <si>
    <t>+2:00 Europe/Bucharest</t>
  </si>
  <si>
    <t>Braila|Romania|27,983334|45,266666|+2:00 Europe/Bucharest</t>
  </si>
  <si>
    <t>Brasov</t>
  </si>
  <si>
    <t>Brasov|Romania|25,583334|45,633335|+2:00 Europe/Bucharest</t>
  </si>
  <si>
    <t>Bucharest</t>
  </si>
  <si>
    <t>Bucharest|Romania|26,100000|44,433334|+2:00 Europe/Bucharest</t>
  </si>
  <si>
    <t>Cluj-Napoca</t>
  </si>
  <si>
    <t>Cluj-Napoca|Romania|23,600000|46,766666|+2:00 Europe/Bucharest</t>
  </si>
  <si>
    <t>Constanta</t>
  </si>
  <si>
    <t>Constanta|Romania|28,650000|44,183334|+2:00 Europe/Bucharest</t>
  </si>
  <si>
    <t>Constanta|Romania|28,637152|44,187374|+2:00 Europe/Bucharest</t>
  </si>
  <si>
    <t>Craiova</t>
  </si>
  <si>
    <t>Craiova|Romania|23,799999|44,316666|+2:00 Europe/Bucharest</t>
  </si>
  <si>
    <t>Galati</t>
  </si>
  <si>
    <t>Galati|Romania|28,049999|45,450001|+2:00 Europe/Bucharest</t>
  </si>
  <si>
    <t>Iasi</t>
  </si>
  <si>
    <t>Iasi|Romania|27,600000|47,166668|+2:00 Europe/Bucharest</t>
  </si>
  <si>
    <t>nagyvarad</t>
  </si>
  <si>
    <t>nagyvarad|Romania|21,933332|47,066666|+2:00 Europe/Bucharest</t>
  </si>
  <si>
    <t>Ploiesti</t>
  </si>
  <si>
    <t>Ploiesti|Romania|26,016666|44,950001|+2:00 Europe/Bucharest</t>
  </si>
  <si>
    <t>Timisoara</t>
  </si>
  <si>
    <t>Timisoara|Romania|21,227222|45,749443|+2:00 Europe/Bucharest</t>
  </si>
  <si>
    <t>Zlatna</t>
  </si>
  <si>
    <t>Zlatna|Romania|23,216667|46,116665|+2:00 Europe/Bucharest</t>
  </si>
  <si>
    <t>Zorleni</t>
  </si>
  <si>
    <t>Zorleni|Romania|27,716667|46,266666|+2:00 Europe/Bucharest</t>
  </si>
  <si>
    <t>Zvoristea</t>
  </si>
  <si>
    <t>Zvoristea|Romania|26,283333|47,833332|+2:00 Europe/Bucharest</t>
  </si>
  <si>
    <t>Angarsk</t>
  </si>
  <si>
    <t>RU</t>
  </si>
  <si>
    <t>Russia</t>
  </si>
  <si>
    <t>+8:00 Asia/Irkutsk</t>
  </si>
  <si>
    <t>Angarsk|Russia|103,879997|52,529999|+8:00 Asia/Irkutsk</t>
  </si>
  <si>
    <t>Arkhangel'sk</t>
  </si>
  <si>
    <t>+3:00 Europe/Moscow</t>
  </si>
  <si>
    <t>Arkhangel'sk|Russia|40,540001|64,540001|+3:00 Europe/Moscow</t>
  </si>
  <si>
    <t>Astrakhan'</t>
  </si>
  <si>
    <t>+4:00 Europe/Samara</t>
  </si>
  <si>
    <t>Astrakhan'|Russia|48,040001|46,340000|+4:00 Europe/Samara</t>
  </si>
  <si>
    <t>Balakovo</t>
  </si>
  <si>
    <t>Balakovo|Russia|47,779999|52,029999|+4:00 Europe/Samara</t>
  </si>
  <si>
    <t>Barnaul</t>
  </si>
  <si>
    <t>+7:00 Asia/Krasnoyarsk</t>
  </si>
  <si>
    <t>Barnaul|Russia|83,760002|53,360001|+7:00 Asia/Krasnoyarsk</t>
  </si>
  <si>
    <t>Belgorod</t>
  </si>
  <si>
    <t>Belgorod|Russia|36,580002|50,610001|+3:00 Europe/Moscow</t>
  </si>
  <si>
    <t>Biysk</t>
  </si>
  <si>
    <t>Biysk|Russia|85,250000|52,566666|+7:00 Asia/Krasnoyarsk</t>
  </si>
  <si>
    <t>Blagoveshchensk</t>
  </si>
  <si>
    <t>+9:00 Asia/Yakutsk</t>
  </si>
  <si>
    <t>Blagoveshchensk|Russia|127,533333|50,266666|+9:00 Asia/Yakutsk</t>
  </si>
  <si>
    <t>Bratsk</t>
  </si>
  <si>
    <t>Bratsk|Russia|101,614166|56,132500|+8:00 Asia/Irkutsk</t>
  </si>
  <si>
    <t>Bryansk</t>
  </si>
  <si>
    <t>Bryansk|Russia|34,380554|53,287498|+3:00 Europe/Moscow</t>
  </si>
  <si>
    <t>Cheboksary</t>
  </si>
  <si>
    <t>Cheboksary|Russia|47,251945|56,132221|+3:00 Europe/Moscow</t>
  </si>
  <si>
    <t>Chelyabinsk</t>
  </si>
  <si>
    <t>+5:00 Asia/Yekaterinburg</t>
  </si>
  <si>
    <t>Chelyabinsk|Russia|61,429722|55,154446|+5:00 Asia/Yekaterinburg</t>
  </si>
  <si>
    <t>Cherepovets</t>
  </si>
  <si>
    <t>Cherepovets|Russia|37,900002|59,133335|+3:00 Europe/Moscow</t>
  </si>
  <si>
    <t>Dzerzhinsk</t>
  </si>
  <si>
    <t>Dzerzhinsk|Russia|43,463055|56,238888|+3:00 Europe/Moscow</t>
  </si>
  <si>
    <t>Irkutsk</t>
  </si>
  <si>
    <t>Irkutsk|Russia|104,296387|52,297779|+8:00 Asia/Irkutsk</t>
  </si>
  <si>
    <t>Ivanovo</t>
  </si>
  <si>
    <t>Ivanovo|Russia|40,985832|56,994167|+3:00 Europe/Moscow</t>
  </si>
  <si>
    <t>Izhevsk</t>
  </si>
  <si>
    <t>Izhevsk|Russia|53,233334|56,849998|+4:00 Europe/Samara</t>
  </si>
  <si>
    <t>Kaliningrad</t>
  </si>
  <si>
    <t>+2:00 Europe/Kaliningrad</t>
  </si>
  <si>
    <t>Kaliningrad|Russia|20,500000|54,709999|+2:00 Europe/Kaliningrad</t>
  </si>
  <si>
    <t>Kaluga</t>
  </si>
  <si>
    <t>Kaluga|Russia|36,270557|54,535831|+3:00 Europe/Moscow</t>
  </si>
  <si>
    <t>Kazan'</t>
  </si>
  <si>
    <t>Kazan'|Russia|49,133335|55,750000|+3:00 Europe/Moscow</t>
  </si>
  <si>
    <t>Kemerovo</t>
  </si>
  <si>
    <t>Kemerovo|Russia|86,083336|55,333332|+7:00 Asia/Krasnoyarsk</t>
  </si>
  <si>
    <t>Khabarovsk</t>
  </si>
  <si>
    <t>+10:00 Asia/Sakhalin</t>
  </si>
  <si>
    <t>Khabarovsk|Russia|135,092773|48,480835|+10:00 Asia/Sakhalin</t>
  </si>
  <si>
    <t>Khabarovsk Vtoroy</t>
  </si>
  <si>
    <t>Khabarovsk Vtoroy|Russia|135,135559|48,443054|+10:00 Asia/Sakhalin</t>
  </si>
  <si>
    <t>Kirov</t>
  </si>
  <si>
    <t>Kirov|Russia|49,658333|58,596943|+4:00 Europe/Samara</t>
  </si>
  <si>
    <t>Komsomol'sk-na-Amure</t>
  </si>
  <si>
    <t>Komsomol'sk-na-Amure|Russia|137,015244|50,551987|+10:00 Asia/Sakhalin</t>
  </si>
  <si>
    <t>Kostroma</t>
  </si>
  <si>
    <t>Kostroma|Russia|40,934444|57,770832|+3:00 Europe/Moscow</t>
  </si>
  <si>
    <t>Krasnodar</t>
  </si>
  <si>
    <t>+3:00 Europe/Volgograd</t>
  </si>
  <si>
    <t>Krasnodar|Russia|38,976944|45,032780|+3:00 Europe/Volgograd</t>
  </si>
  <si>
    <t>Krasnoyarsk</t>
  </si>
  <si>
    <t>Krasnoyarsk|Russia|92,791664|56,009724|+7:00 Asia/Krasnoyarsk</t>
  </si>
  <si>
    <t>Kurgan</t>
  </si>
  <si>
    <t>Kurgan|Russia|65,333336|55,450001|+5:00 Asia/Yekaterinburg</t>
  </si>
  <si>
    <t>Kursk</t>
  </si>
  <si>
    <t>Kursk|Russia|36,193890|51,730278|+3:00 Europe/Moscow</t>
  </si>
  <si>
    <t>Lipetsk</t>
  </si>
  <si>
    <t>Lipetsk|Russia|39,568890|52,618610|+3:00 Europe/Moscow</t>
  </si>
  <si>
    <t>Magnitogorsk</t>
  </si>
  <si>
    <t>Magnitogorsk|Russia|59,047222|53,418610|+5:00 Asia/Yekaterinburg</t>
  </si>
  <si>
    <t>Makhachkala</t>
  </si>
  <si>
    <t>Makhachkala|Russia|47,502224|42,975277|+3:00 Europe/Volgograd</t>
  </si>
  <si>
    <t>Moskva</t>
  </si>
  <si>
    <t>Moskva|Russia|37,615555|55,752224|+3:00 Europe/Moscow</t>
  </si>
  <si>
    <t>Murmansk</t>
  </si>
  <si>
    <t>Murmansk|Russia|33,081944|68,971664|+3:00 Europe/Moscow</t>
  </si>
  <si>
    <t>Naberezhnyye Chelny</t>
  </si>
  <si>
    <t>Naberezhnyye Chelny|Russia|52,428890|55,756111|+3:00 Europe/Moscow</t>
  </si>
  <si>
    <t>Nizhnekamsk</t>
  </si>
  <si>
    <t>Nizhnekamsk|Russia|51,816944|55,638332|+3:00 Europe/Moscow</t>
  </si>
  <si>
    <t>Nizhnevartovsk</t>
  </si>
  <si>
    <t>Nizhnevartovsk|Russia|76,566666|60,933334|+5:00 Asia/Yekaterinburg</t>
  </si>
  <si>
    <t>Nizhniy Novgorod</t>
  </si>
  <si>
    <t>Nizhniy Novgorod|Russia|44,002045|56,328674|+3:00 Europe/Moscow</t>
  </si>
  <si>
    <t>Nizhniy Tagil</t>
  </si>
  <si>
    <t>Nizhniy Tagil|Russia|59,965000|57,919445|+5:00 Asia/Yekaterinburg</t>
  </si>
  <si>
    <t>Novokuznetsk</t>
  </si>
  <si>
    <t>Novokuznetsk|Russia|87,099998|53,750000|+7:00 Asia/Krasnoyarsk</t>
  </si>
  <si>
    <t>Novorossiysk</t>
  </si>
  <si>
    <t>Novorossiysk|Russia|37,770832|44,723888|+3:00 Europe/Volgograd</t>
  </si>
  <si>
    <t>Novosibirsk</t>
  </si>
  <si>
    <t>Novosibirsk|Russia|82,934441|55,041111|+7:00 Asia/Krasnoyarsk</t>
  </si>
  <si>
    <t>Novozavidovskiy</t>
  </si>
  <si>
    <t>Novozavidovskiy|Russia|36,433334|56,549999|+3:00 Europe/Moscow</t>
  </si>
  <si>
    <t>Omsk</t>
  </si>
  <si>
    <t>+6:00 Asia/Omsk</t>
  </si>
  <si>
    <t>Omsk|Russia|73,400002|55,000000|+6:00 Asia/Omsk</t>
  </si>
  <si>
    <t>Orel</t>
  </si>
  <si>
    <t>Orel|Russia|36,080276|52,965832|+3:00 Europe/Moscow</t>
  </si>
  <si>
    <t>Orenburg</t>
  </si>
  <si>
    <t>Orenburg|Russia|55,098610|51,784721|+5:00 Asia/Yekaterinburg</t>
  </si>
  <si>
    <t>Orsk</t>
  </si>
  <si>
    <t>Orsk|Russia|58,570000|51,225277|+5:00 Asia/Yekaterinburg</t>
  </si>
  <si>
    <t>Penza</t>
  </si>
  <si>
    <t>Penza|Russia|45,000000|53,195835|+3:00 Europe/Volgograd</t>
  </si>
  <si>
    <t>Perm'</t>
  </si>
  <si>
    <t>Perm'|Russia|56,250000|58,000000|+5:00 Asia/Yekaterinburg</t>
  </si>
  <si>
    <t>Petrozavodsk</t>
  </si>
  <si>
    <t>Petrozavodsk|Russia|34,333332|61,816666|+3:00 Europe/Moscow</t>
  </si>
  <si>
    <t>Pskov</t>
  </si>
  <si>
    <t>Pskov|Russia|28,333334|57,833332|+3:00 Europe/Moscow</t>
  </si>
  <si>
    <t>Rostov-na-Donu</t>
  </si>
  <si>
    <t>Rostov-na-Donu|Russia|39,713890|47,236389|+3:00 Europe/Volgograd</t>
  </si>
  <si>
    <t>Ryazan'</t>
  </si>
  <si>
    <t>Ryazan'|Russia|39,740002|54,619720|+3:00 Europe/Moscow</t>
  </si>
  <si>
    <t>Rybinsk</t>
  </si>
  <si>
    <t>Rybinsk|Russia|38,833332|58,049999|+3:00 Europe/Moscow</t>
  </si>
  <si>
    <t>Saint Petersburg</t>
  </si>
  <si>
    <t>Saint Petersburg|Russia|30,264166|59,894444|+3:00 Europe/Moscow</t>
  </si>
  <si>
    <t>Samara</t>
  </si>
  <si>
    <t>Samara|Russia|50,150002|53,200001|+4:00 Europe/Samara</t>
  </si>
  <si>
    <t>Saransk</t>
  </si>
  <si>
    <t>Saransk|Russia|45,183334|54,183334|+3:00 Europe/Moscow</t>
  </si>
  <si>
    <t>Saratov</t>
  </si>
  <si>
    <t>Saratov|Russia|46,033333|51,566666|+4:00 Europe/Samara</t>
  </si>
  <si>
    <t>Sasovo</t>
  </si>
  <si>
    <t>Sasovo|Russia|41,912777|54,348331|+3:00 Europe/Moscow</t>
  </si>
  <si>
    <t>Shakhty</t>
  </si>
  <si>
    <t>Shakhty|Russia|40,205833|47,712223|+3:00 Europe/Volgograd</t>
  </si>
  <si>
    <t>Smolensk</t>
  </si>
  <si>
    <t>Smolensk|Russia|32,040001|54,781666|+3:00 Europe/Moscow</t>
  </si>
  <si>
    <t>Sochi</t>
  </si>
  <si>
    <t>Sochi|Russia|39,730278|43,599998|+3:00 Europe/Volgograd</t>
  </si>
  <si>
    <t>Staryy Oskol</t>
  </si>
  <si>
    <t>Staryy Oskol|Russia|37,841667|51,296665|+3:00 Europe/Moscow</t>
  </si>
  <si>
    <t>Stavropol'</t>
  </si>
  <si>
    <t>Stavropol'|Russia|41,973331|45,042778|+3:00 Europe/Volgograd</t>
  </si>
  <si>
    <t>Sterlitamak</t>
  </si>
  <si>
    <t>Sterlitamak|Russia|55,946388|53,633057|+5:00 Asia/Yekaterinburg</t>
  </si>
  <si>
    <t>Surgut</t>
  </si>
  <si>
    <t>Surgut|Russia|73,416664|61,250000|+5:00 Asia/Yekaterinburg</t>
  </si>
  <si>
    <t>Syktyvkar</t>
  </si>
  <si>
    <t>Syktyvkar|Russia|50,812222|61,666668|+3:00 Europe/Moscow</t>
  </si>
  <si>
    <t>Taganrog</t>
  </si>
  <si>
    <t>Taganrog|Russia|38,909443|47,221390|+3:00 Europe/Volgograd</t>
  </si>
  <si>
    <t>Tambov</t>
  </si>
  <si>
    <t>Tambov|Russia|41,433887|52,731667|+3:00 Europe/Moscow</t>
  </si>
  <si>
    <t>Tol'yatti</t>
  </si>
  <si>
    <t>Tol'yatti|Russia|49,412498|53,523335|+4:00 Europe/Samara</t>
  </si>
  <si>
    <t>Tomsk</t>
  </si>
  <si>
    <t>Tomsk|Russia|84,966667|56,500000|+7:00 Asia/Krasnoyarsk</t>
  </si>
  <si>
    <t>Tula|Russia|37,611111|54,204445|+3:00 Europe/Moscow</t>
  </si>
  <si>
    <t>Tver'</t>
  </si>
  <si>
    <t>Tver'|Russia|35,893055|56,861946|+3:00 Europe/Moscow</t>
  </si>
  <si>
    <t>Tyumen'</t>
  </si>
  <si>
    <t>Tyumen'|Russia|65,527222|57,152222|+5:00 Asia/Yekaterinburg</t>
  </si>
  <si>
    <t>Udomlya</t>
  </si>
  <si>
    <t>Udomlya|Russia|34,992500|57,879444|+3:00 Europe/Moscow</t>
  </si>
  <si>
    <t>Ufa</t>
  </si>
  <si>
    <t>Ufa|Russia|56,037498|54,775002|+5:00 Asia/Yekaterinburg</t>
  </si>
  <si>
    <t>Ulan-Ude</t>
  </si>
  <si>
    <t>Ulan-Ude|Russia|107,616669|51,833332|+8:00 Asia/Irkutsk</t>
  </si>
  <si>
    <t>Ul'yanovsk</t>
  </si>
  <si>
    <t>Ul'yanovsk|Russia|48,400002|54,333332|+3:00 Europe/Volgograd</t>
  </si>
  <si>
    <t>Velikiy Novgorod</t>
  </si>
  <si>
    <t>Velikiy Novgorod|Russia|31,283333|58,516666|+3:00 Europe/Moscow</t>
  </si>
  <si>
    <t>Vladikavkaz</t>
  </si>
  <si>
    <t>Vladikavkaz|Russia|44,667778|43,036667|+3:00 Europe/Volgograd</t>
  </si>
  <si>
    <t>Vladimir</t>
  </si>
  <si>
    <t>Vladimir|Russia|40,398056|56,142776|+3:00 Europe/Moscow</t>
  </si>
  <si>
    <t>Vladivostok</t>
  </si>
  <si>
    <t>+10:00 Asia/Vladivostok</t>
  </si>
  <si>
    <t>Vladivostok|Russia|131,873535|43,105621|+10:00 Asia/Vladivostok</t>
  </si>
  <si>
    <t>Volgograd</t>
  </si>
  <si>
    <t>Volgograd|Russia|44,585835|48,804722|+4:00 Europe/Samara</t>
  </si>
  <si>
    <t>Vologda</t>
  </si>
  <si>
    <t>Vologda|Russia|39,900002|59,216667|+3:00 Europe/Moscow</t>
  </si>
  <si>
    <t>Volzhskiy</t>
  </si>
  <si>
    <t>Volzhskiy|Russia|44,771667|48,790554|+4:00 Europe/Samara</t>
  </si>
  <si>
    <t>Voronezh</t>
  </si>
  <si>
    <t>Voronezh|Russia|39,169998|51,666389|+3:00 Europe/Moscow</t>
  </si>
  <si>
    <t>Yaroslavl'</t>
  </si>
  <si>
    <t>Yaroslavl'|Russia|39,866665|57,616665|+3:00 Europe/Moscow</t>
  </si>
  <si>
    <t>Yekaterinburg</t>
  </si>
  <si>
    <t>Yekaterinburg|Russia|60,612499|56,857498|+5:00 Asia/Yekaterinburg</t>
  </si>
  <si>
    <t>Yoshkar-Ola</t>
  </si>
  <si>
    <t>Yoshkar-Ola|Russia|47,890778|56,638767|+3:00 Europe/Moscow</t>
  </si>
  <si>
    <t>Zelenograd</t>
  </si>
  <si>
    <t>Zelenograd|Russia|37,181389|55,982498|+3:00 Europe/Moscow</t>
  </si>
  <si>
    <t>Kigali</t>
  </si>
  <si>
    <t>RW</t>
  </si>
  <si>
    <t>Rwanda</t>
  </si>
  <si>
    <t>+2:00 Africa/Kigali</t>
  </si>
  <si>
    <t>Kigali|Rwanda|30,060556|-1,953611|+2:00 Africa/Kigali</t>
  </si>
  <si>
    <t>Nzega</t>
  </si>
  <si>
    <t>Nzega|Rwanda|29,566668|-2,483333|+2:00 Africa/Kigali</t>
  </si>
  <si>
    <t>Ruhengeri</t>
  </si>
  <si>
    <t>Ruhengeri|Rwanda|29,635834|-1,504167|+2:00 Africa/Kigali</t>
  </si>
  <si>
    <t>Basseterre</t>
  </si>
  <si>
    <t>KN</t>
  </si>
  <si>
    <t>Saint Kitts and Nevis</t>
  </si>
  <si>
    <t>-4:00 America/St_Kitts</t>
  </si>
  <si>
    <t>Basseterre|Saint Kitts and Nevis|-62,716667|17,299999|-4:00 America/St_Kitts</t>
  </si>
  <si>
    <t>Bisee</t>
  </si>
  <si>
    <t>LC</t>
  </si>
  <si>
    <t>Saint Lucia</t>
  </si>
  <si>
    <t>-4:00 America/St_Lucia</t>
  </si>
  <si>
    <t>Bisee|Saint Lucia|-60,966667|14,016666|-4:00 America/St_Lucia</t>
  </si>
  <si>
    <t>Kingstown Park</t>
  </si>
  <si>
    <t>VC</t>
  </si>
  <si>
    <t>Saint Vincent</t>
  </si>
  <si>
    <t>-4:00 America/St_Vincent</t>
  </si>
  <si>
    <t>Kingstown Park|Saint Vincent|-61,235001|13,158333|-4:00 America/St_Vincent</t>
  </si>
  <si>
    <t>Apia</t>
  </si>
  <si>
    <t>WS</t>
  </si>
  <si>
    <t>Samoa</t>
  </si>
  <si>
    <t>-11:00 Pacific/Apia</t>
  </si>
  <si>
    <t>Apia|Samoa|-171,733337|-13,833333|-11:00 Pacific/Apia</t>
  </si>
  <si>
    <t>Vaitele</t>
  </si>
  <si>
    <t>Vaitele|Samoa|-171,783340|-13,816667|-11:00 Pacific/Apia</t>
  </si>
  <si>
    <t>Acquaviva</t>
  </si>
  <si>
    <t>SM</t>
  </si>
  <si>
    <t>San Marino</t>
  </si>
  <si>
    <t>+1:00 Europe/San_Marino</t>
  </si>
  <si>
    <t>Acquaviva|San Marino|12,416667|43,950001|+1:00 Europe/San_Marino</t>
  </si>
  <si>
    <t>Serravalle</t>
  </si>
  <si>
    <t>Serravalle|San Marino|12,500000|43,950001|+1:00 Europe/San_Marino</t>
  </si>
  <si>
    <t>Sao Tome</t>
  </si>
  <si>
    <t>ST</t>
  </si>
  <si>
    <t>+0:00 Africa/Sao_Tome</t>
  </si>
  <si>
    <t>Sao Tome|Sao Tome|6,733333|0,333333|+0:00 Africa/Sao_Tome</t>
  </si>
  <si>
    <t>Abha</t>
  </si>
  <si>
    <t>SA</t>
  </si>
  <si>
    <t>Saudi Arabia</t>
  </si>
  <si>
    <t>+3:00 Asia/Riyadh</t>
  </si>
  <si>
    <t>Abha|Saudi Arabia|42,505280|18,216389|+3:00 Asia/Riyadh</t>
  </si>
  <si>
    <t>Ad Dammam</t>
  </si>
  <si>
    <t>Ad Dammam|Saudi Arabia|50,114166|26,425833|+3:00 Asia/Riyadh</t>
  </si>
  <si>
    <t>Al Hufuf</t>
  </si>
  <si>
    <t>Al Hufuf|Saudi Arabia|49,586666|25,378334|+3:00 Asia/Riyadh</t>
  </si>
  <si>
    <t>Al Jubayl</t>
  </si>
  <si>
    <t>Al Jubayl|Saudi Arabia|49,661388|27,004723|+3:00 Asia/Riyadh</t>
  </si>
  <si>
    <t>Al Mubarraz</t>
  </si>
  <si>
    <t>Al Mubarraz|Saudi Arabia|49,580833|25,410000|+3:00 Asia/Riyadh</t>
  </si>
  <si>
    <t>At Ta'if</t>
  </si>
  <si>
    <t>At Ta'if|Saudi Arabia|40,415833|21,270277|+3:00 Asia/Riyadh</t>
  </si>
  <si>
    <t>Buraydah</t>
  </si>
  <si>
    <t>Buraydah|Saudi Arabia|43,971668|26,331667|+3:00 Asia/Riyadh</t>
  </si>
  <si>
    <t>Jiddah</t>
  </si>
  <si>
    <t>Jiddah|Saudi Arabia|39,219166|21,516945|+3:00 Asia/Riyadh</t>
  </si>
  <si>
    <t>Khamis Mushayt</t>
  </si>
  <si>
    <t>Khamis Mushayt|Saudi Arabia|42,729168|18,306389|+3:00 Asia/Riyadh</t>
  </si>
  <si>
    <t>Mecca</t>
  </si>
  <si>
    <t>Mecca|Saudi Arabia|39,826111|21,426666|+3:00 Asia/Riyadh</t>
  </si>
  <si>
    <t>Medina</t>
  </si>
  <si>
    <t>Medina|Saudi Arabia|39,614166|24,468611|+3:00 Asia/Riyadh</t>
  </si>
  <si>
    <t>Najran</t>
  </si>
  <si>
    <t>Najran|Saudi Arabia|44,184166|17,505556|+3:00 Asia/Riyadh</t>
  </si>
  <si>
    <t>Riyadh</t>
  </si>
  <si>
    <t>Riyadh|Saudi Arabia|46,772778|24,640833|+3:00 Asia/Riyadh</t>
  </si>
  <si>
    <t>Sultanah</t>
  </si>
  <si>
    <t>Sultanah|Saudi Arabia|39,583332|24,500000|+3:00 Asia/Riyadh</t>
  </si>
  <si>
    <t>Tabuk</t>
  </si>
  <si>
    <t>Tabuk|Saudi Arabia|36,583332|28,383333|+3:00 Asia/Riyadh</t>
  </si>
  <si>
    <t>Umm as Sahik</t>
  </si>
  <si>
    <t>Umm as Sahik|Saudi Arabia|49,916389|26,653610|+3:00 Asia/Riyadh</t>
  </si>
  <si>
    <t>Umm Lajj</t>
  </si>
  <si>
    <t>Umm Lajj|Saudi Arabia|37,268890|25,024166|+3:00 Asia/Riyadh</t>
  </si>
  <si>
    <t>Yanbu` al Bahr</t>
  </si>
  <si>
    <t>Yanbu` al Bahr|Saudi Arabia|38,048611|24,085278|+3:00 Asia/Riyadh</t>
  </si>
  <si>
    <t>Dakar</t>
  </si>
  <si>
    <t>SN</t>
  </si>
  <si>
    <t>Senegal</t>
  </si>
  <si>
    <t>+0:00 Africa/Dakar</t>
  </si>
  <si>
    <t>Dakar|Senegal|-17,443886|14,695112|+0:00 Africa/Dakar</t>
  </si>
  <si>
    <t>Grand Dakar</t>
  </si>
  <si>
    <t>Grand Dakar|Senegal|-17,455278|14,708889|+0:00 Africa/Dakar</t>
  </si>
  <si>
    <t>Thies Nones</t>
  </si>
  <si>
    <t>Thies Nones|Senegal|-16,966667|14,783333|+0:00 Africa/Dakar</t>
  </si>
  <si>
    <t>Tionk Essil</t>
  </si>
  <si>
    <t>Tionk Essil|Senegal|-16,521667|12,785556|+0:00 Africa/Dakar</t>
  </si>
  <si>
    <t>Velingara</t>
  </si>
  <si>
    <t>Velingara|Senegal|-14,116667|13,150000|+0:00 Africa/Dakar</t>
  </si>
  <si>
    <t>Ziguinchor</t>
  </si>
  <si>
    <t>Ziguinchor|Senegal|-16,271944|12,583333|+0:00 Africa/Dakar</t>
  </si>
  <si>
    <t>Belgrade</t>
  </si>
  <si>
    <t>RS</t>
  </si>
  <si>
    <t>Serbia</t>
  </si>
  <si>
    <t>+1:00 Europe/Belgrade</t>
  </si>
  <si>
    <t>Belgrade|Serbia|20,468056|44,818611|+1:00 Europe/Belgrade</t>
  </si>
  <si>
    <t>Pristina</t>
  </si>
  <si>
    <t>Pristina|Serbia|21,166666|42,666668|+1:00 Europe/Belgrade</t>
  </si>
  <si>
    <t>Zabalj</t>
  </si>
  <si>
    <t>Zabalj|Serbia|20,063889|45,372223|+1:00 Europe/Belgrade</t>
  </si>
  <si>
    <t>Zemun</t>
  </si>
  <si>
    <t>Zemun|Serbia|20,401112|44,843056|+1:00 Europe/Belgrade</t>
  </si>
  <si>
    <t>Zvecka</t>
  </si>
  <si>
    <t>Zvecka|Serbia|20,164722|44,638889|+1:00 Europe/Belgrade</t>
  </si>
  <si>
    <t>Freetown</t>
  </si>
  <si>
    <t>SL</t>
  </si>
  <si>
    <t>Sierra Leone</t>
  </si>
  <si>
    <t>+0:00 Africa/Freetown</t>
  </si>
  <si>
    <t>Freetown|Sierra Leone|-13,234167|8,490000|+0:00 Africa/Freetown</t>
  </si>
  <si>
    <t>Tombodu</t>
  </si>
  <si>
    <t>Tombodu|Sierra Leone|-10,616667|8,133333|+0:00 Africa/Freetown</t>
  </si>
  <si>
    <t>Waterloo</t>
  </si>
  <si>
    <t>Waterloo|Sierra Leone|-13,071944|8,338333|+0:00 Africa/Freetown</t>
  </si>
  <si>
    <t>Yengema</t>
  </si>
  <si>
    <t>Yengema|Sierra Leone|-11,166667|8,716667|+0:00 Africa/Freetown</t>
  </si>
  <si>
    <t>Singapore</t>
  </si>
  <si>
    <t>+8:00 Asia/Singapore</t>
  </si>
  <si>
    <t>Singapore|Singapore|103,855835|1,293056|+8:00 Asia/Singapore</t>
  </si>
  <si>
    <t>Bratislava</t>
  </si>
  <si>
    <t>SK</t>
  </si>
  <si>
    <t>Slovakia</t>
  </si>
  <si>
    <t>+1:00 Europe/Bratislava</t>
  </si>
  <si>
    <t>Bratislava|Slovakia|17,116667|48,150002|+1:00 Europe/Bratislava</t>
  </si>
  <si>
    <t>Kosice</t>
  </si>
  <si>
    <t>Kosice|Slovakia|21,250000|48,716667|+1:00 Europe/Bratislava</t>
  </si>
  <si>
    <t>Svit</t>
  </si>
  <si>
    <t>Svit|Slovakia|20,200001|49,066666|+1:00 Europe/Bratislava</t>
  </si>
  <si>
    <t>Trebisov</t>
  </si>
  <si>
    <t>Trebisov|Slovakia|21,716667|48,633335|+1:00 Europe/Bratislava</t>
  </si>
  <si>
    <t>Vranov nad Topl'ou</t>
  </si>
  <si>
    <t>Vranov nad Topl'ou|Slovakia|21,683332|48,900002|+1:00 Europe/Bratislava</t>
  </si>
  <si>
    <t>Ljubljana</t>
  </si>
  <si>
    <t>SI</t>
  </si>
  <si>
    <t>Slovenia</t>
  </si>
  <si>
    <t>+1:00 Europe/Ljubljana</t>
  </si>
  <si>
    <t>Ljubljana|Slovenia|14,514444|46,055279|+1:00 Europe/Ljubljana</t>
  </si>
  <si>
    <t>Trbovlje</t>
  </si>
  <si>
    <t>Trbovlje|Slovenia|15,053333|46,154999|+1:00 Europe/Ljubljana</t>
  </si>
  <si>
    <t>Vrhnika</t>
  </si>
  <si>
    <t>Vrhnika|Slovenia|14,295556|45,966110|+1:00 Europe/Ljubljana</t>
  </si>
  <si>
    <t>Zagorje ob Savi</t>
  </si>
  <si>
    <t>Zagorje ob Savi|Slovenia|15,001389|46,134167|+1:00 Europe/Ljubljana</t>
  </si>
  <si>
    <t>Gizo</t>
  </si>
  <si>
    <t>SB</t>
  </si>
  <si>
    <t>Solomon Islands</t>
  </si>
  <si>
    <t>+11:00 Pacific/Guadalcanal</t>
  </si>
  <si>
    <t>Gizo|Solomon Islands|156,850006|-8,100000|+11:00 Pacific/Guadalcanal</t>
  </si>
  <si>
    <t>Honiara</t>
  </si>
  <si>
    <t>Honiara|Solomon Islands|159,949997|-9,433333|+11:00 Pacific/Guadalcanal</t>
  </si>
  <si>
    <t>Berbera</t>
  </si>
  <si>
    <t>SO</t>
  </si>
  <si>
    <t>Somalia</t>
  </si>
  <si>
    <t>+3:00 Africa/Mogadishu</t>
  </si>
  <si>
    <t>Berbera|Somalia|45,016388|10,435555|+3:00 Africa/Mogadishu</t>
  </si>
  <si>
    <t>Chisimayu</t>
  </si>
  <si>
    <t>Chisimayu|Somalia|42,533333|-0,366667|+3:00 Africa/Mogadishu</t>
  </si>
  <si>
    <t>Hargeysa</t>
  </si>
  <si>
    <t>Hargeysa|Somalia|44,064999|9,560000|+3:00 Africa/Mogadishu</t>
  </si>
  <si>
    <t>Mogadishu</t>
  </si>
  <si>
    <t>Mogadishu|Somalia|45,366665|2,066667|+3:00 Africa/Mogadishu</t>
  </si>
  <si>
    <t>Waajid</t>
  </si>
  <si>
    <t>Waajid|Somalia|43,250000|3,800000|+3:00 Africa/Mogadishu</t>
  </si>
  <si>
    <t>Wanlaweyn</t>
  </si>
  <si>
    <t>Wanlaweyn|Somalia|44,900002|2,616667|+3:00 Africa/Mogadishu</t>
  </si>
  <si>
    <t>Yeed</t>
  </si>
  <si>
    <t>Yeed|Somalia|43,033333|4,550000|+3:00 Africa/Mogadishu</t>
  </si>
  <si>
    <t>Benoni</t>
  </si>
  <si>
    <t>ZA</t>
  </si>
  <si>
    <t>South Africa</t>
  </si>
  <si>
    <t>+2:00 Africa/Johannesburg</t>
  </si>
  <si>
    <t>Benoni|South Africa|28,316668|-26,183332|+2:00 Africa/Johannesburg</t>
  </si>
  <si>
    <t>Bloemfontein</t>
  </si>
  <si>
    <t>Bloemfontein|South Africa|26,200001|-29,133333|+2:00 Africa/Johannesburg</t>
  </si>
  <si>
    <t>Boksburg</t>
  </si>
  <si>
    <t>Boksburg|South Africa|28,250000|-26,216667|+2:00 Africa/Johannesburg</t>
  </si>
  <si>
    <t>Botshabelo</t>
  </si>
  <si>
    <t>Botshabelo|South Africa|26,733334|-29,233334|+2:00 Africa/Johannesburg</t>
  </si>
  <si>
    <t>Brakpan</t>
  </si>
  <si>
    <t>Brakpan|South Africa|28,366667|-26,233334|+2:00 Africa/Johannesburg</t>
  </si>
  <si>
    <t>Cape Town</t>
  </si>
  <si>
    <t>Cape Town|South Africa|18,416666|-33,916668|+2:00 Africa/Johannesburg</t>
  </si>
  <si>
    <t>Centurion</t>
  </si>
  <si>
    <t>Centurion|South Africa|28,170555|-25,874445|+2:00 Africa/Johannesburg</t>
  </si>
  <si>
    <t>Durban</t>
  </si>
  <si>
    <t>Durban|South Africa|31,016666|-29,850000|+2:00 Africa/Johannesburg</t>
  </si>
  <si>
    <t>Johannesburg</t>
  </si>
  <si>
    <t>Johannesburg|South Africa|28,083334|-26,200001|+2:00 Africa/Johannesburg</t>
  </si>
  <si>
    <t>Krugersdorp</t>
  </si>
  <si>
    <t>Krugersdorp|South Africa|27,766666|-26,100000|+2:00 Africa/Johannesburg</t>
  </si>
  <si>
    <t>Newcastle|South Africa|29,933332|-27,750000|+10:00 Australia/Sydney</t>
  </si>
  <si>
    <t>Pietermaritzburg</t>
  </si>
  <si>
    <t>Pietermaritzburg|South Africa|30,383333|-29,616667|+2:00 Africa/Johannesburg</t>
  </si>
  <si>
    <t>Port Elizabeth</t>
  </si>
  <si>
    <t>Port Elizabeth|South Africa|25,583334|-33,966667|+2:00 Africa/Johannesburg</t>
  </si>
  <si>
    <t>Pretoria</t>
  </si>
  <si>
    <t>Pretoria|South Africa|28,229445|-25,706944|+2:00 Africa/Johannesburg</t>
  </si>
  <si>
    <t>Richards Bay</t>
  </si>
  <si>
    <t>Richards Bay|South Africa|32,099998|-28,799999|+2:00 Africa/Johannesburg</t>
  </si>
  <si>
    <t>Soweto</t>
  </si>
  <si>
    <t>Soweto|South Africa|27,866667|-26,266666|+2:00 Africa/Johannesburg</t>
  </si>
  <si>
    <t>Tembisa</t>
  </si>
  <si>
    <t>Tembisa|South Africa|28,226944|-25,998888|+2:00 Africa/Johannesburg</t>
  </si>
  <si>
    <t>Uitenhage</t>
  </si>
  <si>
    <t>Uitenhage|South Africa|25,402222|-33,765278|+2:00 Africa/Johannesburg</t>
  </si>
  <si>
    <t>Vanderbijlpark</t>
  </si>
  <si>
    <t>Vanderbijlpark|South Africa|27,816668|-26,700001|+2:00 Africa/Johannesburg</t>
  </si>
  <si>
    <t>Vereeniging</t>
  </si>
  <si>
    <t>Vereeniging|South Africa|27,933332|-26,666666|+2:00 Africa/Johannesburg</t>
  </si>
  <si>
    <t>Welkom</t>
  </si>
  <si>
    <t>Welkom|South Africa|26,733334|-27,983334|+2:00 Africa/Johannesburg</t>
  </si>
  <si>
    <t>Witbank</t>
  </si>
  <si>
    <t>Witbank|South Africa|29,233334|-25,866667|+2:00 Africa/Johannesburg</t>
  </si>
  <si>
    <t>Wolmaransstad</t>
  </si>
  <si>
    <t>Wolmaransstad|South Africa|25,966667|-27,200001|+2:00 Africa/Johannesburg</t>
  </si>
  <si>
    <t>Zastron</t>
  </si>
  <si>
    <t>Zastron|South Africa|27,083334|-30,299999|+2:00 Africa/Johannesburg</t>
  </si>
  <si>
    <t>Zeerust</t>
  </si>
  <si>
    <t>Zeerust|South Africa|26,083334|-25,533333|+2:00 Africa/Johannesburg</t>
  </si>
  <si>
    <t>Ansan</t>
  </si>
  <si>
    <t>KR</t>
  </si>
  <si>
    <t>South Korea</t>
  </si>
  <si>
    <t>+9:00 Asia/Seoul</t>
  </si>
  <si>
    <t>Ansan|South Korea|126,821945|37,323612|+9:00 Asia/Seoul</t>
  </si>
  <si>
    <t>Anyang|South Korea|126,926941|37,392502|+8:00 Asia/Shanghai</t>
  </si>
  <si>
    <t>Ch'angwon</t>
  </si>
  <si>
    <t>Ch'angwon|South Korea|128,681107|35,228054|+9:00 Asia/Seoul</t>
  </si>
  <si>
    <t>Cheju</t>
  </si>
  <si>
    <t>Cheju|South Korea|126,521942|33,509724|+9:00 Asia/Seoul</t>
  </si>
  <si>
    <t>Chinju</t>
  </si>
  <si>
    <t>Chinju|South Korea|128,084717|35,192780|+9:00 Asia/Seoul</t>
  </si>
  <si>
    <t>Ch'onan</t>
  </si>
  <si>
    <t>Ch'onan|South Korea|127,152222|36,806389|+9:00 Asia/Seoul</t>
  </si>
  <si>
    <t>Ch'ongju</t>
  </si>
  <si>
    <t>Ch'ongju|South Korea|127,489723|36,637222|+9:00 Asia/Seoul</t>
  </si>
  <si>
    <t>Chonju</t>
  </si>
  <si>
    <t>Chonju|South Korea|127,148888|35,821945|+9:00 Asia/Seoul</t>
  </si>
  <si>
    <t>Ch'unch'on</t>
  </si>
  <si>
    <t>Ch'unch'on|South Korea|127,734169|37,874722|+9:00 Asia/Seoul</t>
  </si>
  <si>
    <t>Hunghae</t>
  </si>
  <si>
    <t>Hunghae|South Korea|129,352219|36,112499|+9:00 Asia/Seoul</t>
  </si>
  <si>
    <t>Iksan</t>
  </si>
  <si>
    <t>Iksan|South Korea|126,954445|35,943890|+9:00 Asia/Seoul</t>
  </si>
  <si>
    <t>Kimhae</t>
  </si>
  <si>
    <t>Kimhae|South Korea|128,881104|35,234165|+9:00 Asia/Seoul</t>
  </si>
  <si>
    <t>Kumi</t>
  </si>
  <si>
    <t>Kumi|South Korea|128,344727|36,127224|+9:00 Asia/Seoul</t>
  </si>
  <si>
    <t>Kunsan</t>
  </si>
  <si>
    <t>Kunsan|South Korea|126,711388|35,978611|+9:00 Asia/Seoul</t>
  </si>
  <si>
    <t>Kwangju</t>
  </si>
  <si>
    <t>Kwangju|South Korea|126,915558|35,154720|+9:00 Asia/Seoul</t>
  </si>
  <si>
    <t>Kwangmyong</t>
  </si>
  <si>
    <t>Kwangmyong|South Korea|126,866386|37,477222|+9:00 Asia/Seoul</t>
  </si>
  <si>
    <t>Masan</t>
  </si>
  <si>
    <t>Masan|South Korea|128,572495|35,208057|+9:00 Asia/Seoul</t>
  </si>
  <si>
    <t>Mokp'o</t>
  </si>
  <si>
    <t>Mokp'o|South Korea|126,388611|34,793610|+9:00 Asia/Seoul</t>
  </si>
  <si>
    <t>Puch'on</t>
  </si>
  <si>
    <t>Puch'on|South Korea|126,783058|37,498890|+9:00 Asia/Seoul</t>
  </si>
  <si>
    <t>Pusan</t>
  </si>
  <si>
    <t>Pusan|South Korea|129,040283|35,102779|+9:00 Asia/Seoul</t>
  </si>
  <si>
    <t>Seoul</t>
  </si>
  <si>
    <t>Seoul|South Korea|126,999725|37,566387|+9:00 Asia/Seoul</t>
  </si>
  <si>
    <t>Songnam</t>
  </si>
  <si>
    <t>Songnam|South Korea|127,137779|37,438610|+9:00 Asia/Seoul</t>
  </si>
  <si>
    <t>Sunch'on</t>
  </si>
  <si>
    <t>Sunch'on|South Korea|127,488335|34,951111|+9:00 Asia/Seoul</t>
  </si>
  <si>
    <t>Suwon</t>
  </si>
  <si>
    <t>Suwon|South Korea|127,019165|37,284168|+9:00 Asia/Seoul</t>
  </si>
  <si>
    <t>Taegu</t>
  </si>
  <si>
    <t>Taegu|South Korea|128,591110|35,870277|+9:00 Asia/Seoul</t>
  </si>
  <si>
    <t>Taejon</t>
  </si>
  <si>
    <t>Taejon|South Korea|127,419724|36,321388|+9:00 Asia/Seoul</t>
  </si>
  <si>
    <t>Uijongbu</t>
  </si>
  <si>
    <t>Uijongbu|South Korea|127,038887|37,748611|+9:00 Asia/Seoul</t>
  </si>
  <si>
    <t>Ulsan</t>
  </si>
  <si>
    <t>Ulsan|South Korea|129,316666|35,537224|+9:00 Asia/Seoul</t>
  </si>
  <si>
    <t>Wonju</t>
  </si>
  <si>
    <t>Wonju|South Korea|127,945274|37,351387|+9:00 Asia/Seoul</t>
  </si>
  <si>
    <t>Yonil</t>
  </si>
  <si>
    <t>Yonil|South Korea|129,345001|35,994167|+9:00 Asia/Seoul</t>
  </si>
  <si>
    <t>Yosu</t>
  </si>
  <si>
    <t>Yosu|South Korea|127,737778|34,744167|+9:00 Asia/Seoul</t>
  </si>
  <si>
    <t>A Coruna</t>
  </si>
  <si>
    <t>ES</t>
  </si>
  <si>
    <t>Spain</t>
  </si>
  <si>
    <t>+1:00 Europe/Madrid</t>
  </si>
  <si>
    <t>A Coruna|Spain|-8,396001|43,371349|+1:00 Europe/Madrid</t>
  </si>
  <si>
    <t>Alacant</t>
  </si>
  <si>
    <t>Alacant|Spain|-0,481489|38,345173|+1:00 Europe/Madrid</t>
  </si>
  <si>
    <t>Badalona</t>
  </si>
  <si>
    <t>Badalona|Spain|2,247412|41,450047|+1:00 Europe/Madrid</t>
  </si>
  <si>
    <t>Barcelona</t>
  </si>
  <si>
    <t>Barcelona|Spain|2,158985|41,388786|+1:00 Europe/Madrid</t>
  </si>
  <si>
    <t>Bilbao</t>
  </si>
  <si>
    <t>Bilbao|Spain|-2,925282|43,262707|+1:00 Europe/Madrid</t>
  </si>
  <si>
    <t>Cartagena|Spain|-0,983333|37,599998|-5:00 America/Bogota</t>
  </si>
  <si>
    <t>Cordoba|Spain|-4,766667|37,883335|-3:00 America/Argentina/Cordoba</t>
  </si>
  <si>
    <t>Eixample</t>
  </si>
  <si>
    <t>Eixample|Spain|2,161790|41,388954|+1:00 Europe/Madrid</t>
  </si>
  <si>
    <t>Elx</t>
  </si>
  <si>
    <t>Elx|Spain|-0,701065|38,262177|+1:00 Europe/Madrid</t>
  </si>
  <si>
    <t>Gijon</t>
  </si>
  <si>
    <t>Gijon|Spain|-5,664444|43,541111|+1:00 Europe/Madrid</t>
  </si>
  <si>
    <t>Granada</t>
  </si>
  <si>
    <t>+1:00 Africa/Ceuta</t>
  </si>
  <si>
    <t>Granada|Spain|-3,606670|37,188168|+1:00 Africa/Ceuta</t>
  </si>
  <si>
    <t>Las Palmas de Gran Canaria</t>
  </si>
  <si>
    <t>+0:00 Atlantic/Canary</t>
  </si>
  <si>
    <t>Las Palmas de Gran Canaria|Spain|-15,416667|28,100000|+0:00 Atlantic/Canary</t>
  </si>
  <si>
    <t>l'Hospitalet de Llobregat</t>
  </si>
  <si>
    <t>l'Hospitalet de Llobregat|Spain|2,100277|41,359673|+1:00 Europe/Madrid</t>
  </si>
  <si>
    <t>Madrid</t>
  </si>
  <si>
    <t>Madrid|Spain|-3,702564|40,416504|+1:00 Europe/Madrid</t>
  </si>
  <si>
    <t>Malaga</t>
  </si>
  <si>
    <t>Malaga|Spain|-4,420345|36,720158|+1:00 Africa/Ceuta</t>
  </si>
  <si>
    <t>Mostoles</t>
  </si>
  <si>
    <t>Mostoles|Spain|-3,864956|40,322334|+1:00 Europe/Madrid</t>
  </si>
  <si>
    <t>Murcia</t>
  </si>
  <si>
    <t>Murcia|Spain|-1,116667|37,983334|+1:00 Europe/Madrid</t>
  </si>
  <si>
    <t>Oviedo</t>
  </si>
  <si>
    <t>Oviedo|Spain|-5,833333|43,366665|+1:00 Europe/Madrid</t>
  </si>
  <si>
    <t>Palma</t>
  </si>
  <si>
    <t>Palma|Spain|2,650237|39,569389|+1:00 Europe/Madrid</t>
  </si>
  <si>
    <t>Sant Marti</t>
  </si>
  <si>
    <t>Sant Marti|Spain|2,199326|41,418144|+1:00 Europe/Madrid</t>
  </si>
  <si>
    <t>Santa Cruz de Tenerife</t>
  </si>
  <si>
    <t>Santa Cruz de Tenerife|Spain|-16,254616|28,468239|+0:00 Atlantic/Canary</t>
  </si>
  <si>
    <t>Sevilla</t>
  </si>
  <si>
    <t>Sevilla|Spain|-5,986944|37,377224|+1:00 Africa/Ceuta</t>
  </si>
  <si>
    <t>Valencia</t>
  </si>
  <si>
    <t>Valencia|Spain|-0,377387|39,469753|+1:00 Europe/Madrid</t>
  </si>
  <si>
    <t>Valladolid</t>
  </si>
  <si>
    <t>Valladolid|Spain|-4,716667|41,650002|+1:00 Europe/Madrid</t>
  </si>
  <si>
    <t>Vigo</t>
  </si>
  <si>
    <t>Vigo|Spain|-8,716667|42,233334|+1:00 Europe/Madrid</t>
  </si>
  <si>
    <t>Vitoria-Gasteiz</t>
  </si>
  <si>
    <t>Vitoria-Gasteiz|Spain|-2,666667|42,849998|+1:00 Europe/Madrid</t>
  </si>
  <si>
    <t>Yecla</t>
  </si>
  <si>
    <t>Yecla|Spain|-1,116667|38,616665|+1:00 Europe/Madrid</t>
  </si>
  <si>
    <t>Zafra</t>
  </si>
  <si>
    <t>Zafra|Spain|-6,416667|38,416668|+1:00 Europe/Madrid</t>
  </si>
  <si>
    <t>Zaragoza|Spain|-0,877340|41,656063|-5:00 America/Bogota</t>
  </si>
  <si>
    <t>Zubia</t>
  </si>
  <si>
    <t>Zubia|Spain|-3,583333|37,116665|+1:00 Africa/Ceuta</t>
  </si>
  <si>
    <t>LK</t>
  </si>
  <si>
    <t>Sri Lanka</t>
  </si>
  <si>
    <t>Colombo|Sri Lanka|79,847778|6,931944|-3:00 America/Sao_Paulo</t>
  </si>
  <si>
    <t>Galkissa</t>
  </si>
  <si>
    <t>+5:30 Asia/Colombo</t>
  </si>
  <si>
    <t>Galkissa|Sri Lanka|79,866669|6,833333|+5:30 Asia/Colombo</t>
  </si>
  <si>
    <t>Wattegama</t>
  </si>
  <si>
    <t>Wattegama|Sri Lanka|81,500000|6,800000|+5:30 Asia/Colombo</t>
  </si>
  <si>
    <t>Weligama</t>
  </si>
  <si>
    <t>Weligama|Sri Lanka|80,416664|5,966667|+5:30 Asia/Colombo</t>
  </si>
  <si>
    <t>Welisara</t>
  </si>
  <si>
    <t>Welisara|Sri Lanka|79,900002|7,033333|+5:30 Asia/Colombo</t>
  </si>
  <si>
    <t>Al Fashir</t>
  </si>
  <si>
    <t>SD</t>
  </si>
  <si>
    <t>Sudan</t>
  </si>
  <si>
    <t>+3:00 Africa/Khartoum</t>
  </si>
  <si>
    <t>Al Fashir|Sudan|25,350000|13,633333|+3:00 Africa/Khartoum</t>
  </si>
  <si>
    <t>Al Ubayyid</t>
  </si>
  <si>
    <t>Al Ubayyid|Sudan|30,216667|13,183333|+3:00 Africa/Khartoum</t>
  </si>
  <si>
    <t>Kassala</t>
  </si>
  <si>
    <t>Kassala|Sudan|36,398888|15,455833|+3:00 Africa/Khartoum</t>
  </si>
  <si>
    <t>Khartoum</t>
  </si>
  <si>
    <t>Khartoum|Sudan|32,534168|15,588056|+3:00 Africa/Khartoum</t>
  </si>
  <si>
    <t>Kusti</t>
  </si>
  <si>
    <t>Kusti|Sudan|32,666668|13,166667|+3:00 Africa/Khartoum</t>
  </si>
  <si>
    <t>Omdurman</t>
  </si>
  <si>
    <t>Omdurman|Sudan|32,437222|15,636111|+3:00 Africa/Khartoum</t>
  </si>
  <si>
    <t>Wad Madani</t>
  </si>
  <si>
    <t>Wad Madani|Sudan|33,533333|14,400000|+3:00 Africa/Khartoum</t>
  </si>
  <si>
    <t>Yambio</t>
  </si>
  <si>
    <t>Yambio|Sudan|28,416389|4,570556|+3:00 Africa/Khartoum</t>
  </si>
  <si>
    <t>Yei</t>
  </si>
  <si>
    <t>Yei|Sudan|30,678612|4,091389|+3:00 Africa/Khartoum</t>
  </si>
  <si>
    <t>Zalingei</t>
  </si>
  <si>
    <t>Zalingei|Sudan|23,483334|12,900000|+3:00 Africa/Khartoum</t>
  </si>
  <si>
    <t>Moengo</t>
  </si>
  <si>
    <t>SR</t>
  </si>
  <si>
    <t>Suriname</t>
  </si>
  <si>
    <t>-3:00 America/Paramaribo</t>
  </si>
  <si>
    <t>Moengo|Suriname|-54,400002|5,616667|-3:00 America/Paramaribo</t>
  </si>
  <si>
    <t>Nieuw Nickerie</t>
  </si>
  <si>
    <t>Nieuw Nickerie|Suriname|-56,983334|5,950000|-3:00 America/Paramaribo</t>
  </si>
  <si>
    <t>Paramaribo</t>
  </si>
  <si>
    <t>Paramaribo|Suriname|-55,166668|5,833333|-3:00 America/Paramaribo</t>
  </si>
  <si>
    <t>Mhlume</t>
  </si>
  <si>
    <t>SZ</t>
  </si>
  <si>
    <t>Swaziland</t>
  </si>
  <si>
    <t>+2:00 Africa/Mbabane</t>
  </si>
  <si>
    <t>Mhlume|Swaziland|31,850000|-26,033333|+2:00 Africa/Mbabane</t>
  </si>
  <si>
    <t>Piggs Peak</t>
  </si>
  <si>
    <t>Piggs Peak|Swaziland|31,250000|-25,966667|+2:00 Africa/Mbabane</t>
  </si>
  <si>
    <t>Siteki</t>
  </si>
  <si>
    <t>Siteki|Swaziland|31,950001|-26,450001|+2:00 Africa/Mbabane</t>
  </si>
  <si>
    <t>Goteborg</t>
  </si>
  <si>
    <t>SE</t>
  </si>
  <si>
    <t>Sweden</t>
  </si>
  <si>
    <t>+1:00 Europe/Stockholm</t>
  </si>
  <si>
    <t>Goteborg|Sweden|11,966667|57,716667|+1:00 Europe/Stockholm</t>
  </si>
  <si>
    <t>Malmoe</t>
  </si>
  <si>
    <t>Malmoe|Sweden|13,000731|55,605869|+1:00 Europe/Stockholm</t>
  </si>
  <si>
    <t>Pitea</t>
  </si>
  <si>
    <t>Pitea|Sweden|21,500000|65,333336|+1:00 Europe/Stockholm</t>
  </si>
  <si>
    <t>Skelleftea</t>
  </si>
  <si>
    <t>Skelleftea|Sweden|20,950001|64,766670|+1:00 Europe/Stockholm</t>
  </si>
  <si>
    <t>Stockholm</t>
  </si>
  <si>
    <t>Stockholm|Sweden|18,062639|59,329468|+1:00 Europe/Stockholm</t>
  </si>
  <si>
    <t>Umea</t>
  </si>
  <si>
    <t>Umea|Sweden|20,250000|63,833332|+1:00 Europe/Stockholm</t>
  </si>
  <si>
    <t>Zuchwil</t>
  </si>
  <si>
    <t>CH</t>
  </si>
  <si>
    <t>Switzerland</t>
  </si>
  <si>
    <t>+1:00 Europe/Zurich</t>
  </si>
  <si>
    <t>Zuchwil|Switzerland|7,566490|47,201725|+1:00 Europe/Zurich</t>
  </si>
  <si>
    <t>Zug</t>
  </si>
  <si>
    <t>Zug|Switzerland|8,516666|47,166668|+1:00 Europe/Zurich</t>
  </si>
  <si>
    <t>Zurich</t>
  </si>
  <si>
    <t>Zurich|Switzerland|8,550000|47,366665|+1:00 Europe/Zurich</t>
  </si>
  <si>
    <t>Aleppo</t>
  </si>
  <si>
    <t>SY</t>
  </si>
  <si>
    <t>Syria</t>
  </si>
  <si>
    <t>+2:00 Asia/Damascus</t>
  </si>
  <si>
    <t>Aleppo|Syria|37,158611|36,202778|+2:00 Asia/Damascus</t>
  </si>
  <si>
    <t>Damascus</t>
  </si>
  <si>
    <t>Damascus|Syria|36,299999|33,500000|+2:00 Asia/Damascus</t>
  </si>
  <si>
    <t>Dayr az Zawr</t>
  </si>
  <si>
    <t>Dayr az Zawr|Syria|40,150002|35,333332|+2:00 Asia/Damascus</t>
  </si>
  <si>
    <t>Hamah</t>
  </si>
  <si>
    <t>Hamah|Syria|36,750000|35,133335|+2:00 Asia/Damascus</t>
  </si>
  <si>
    <t>Hims</t>
  </si>
  <si>
    <t>Hims|Syria|36,716667|34,733334|+2:00 Asia/Damascus</t>
  </si>
  <si>
    <t>Latakia</t>
  </si>
  <si>
    <t>Latakia|Syria|35,783333|35,516666|+2:00 Asia/Damascus</t>
  </si>
  <si>
    <t>Tartus</t>
  </si>
  <si>
    <t>Tartus|Syria|35,883335|34,883335|+2:00 Asia/Damascus</t>
  </si>
  <si>
    <t>Tayyibat al Imam</t>
  </si>
  <si>
    <t>Tayyibat al Imam|Syria|36,716667|35,266666|+2:00 Asia/Damascus</t>
  </si>
  <si>
    <t>Yabrud</t>
  </si>
  <si>
    <t>Yabrud|Syria|36,666668|33,966667|+2:00 Asia/Damascus</t>
  </si>
  <si>
    <t>Papeete</t>
  </si>
  <si>
    <t>PF</t>
  </si>
  <si>
    <t>Tahiti</t>
  </si>
  <si>
    <t>-10:00 Pacific/Tahiti</t>
  </si>
  <si>
    <t>Papeete|Tahiti|-149,566666|-17,533333|-10:00 Pacific/Tahiti</t>
  </si>
  <si>
    <t>Pirae</t>
  </si>
  <si>
    <t>Pirae|Tahiti|-149,533340|-17,516666|-10:00 Pacific/Tahiti</t>
  </si>
  <si>
    <t>Punaauia</t>
  </si>
  <si>
    <t>Punaauia|Tahiti|-149,600006|-17,633333|-10:00 Pacific/Tahiti</t>
  </si>
  <si>
    <t>Chi-lung</t>
  </si>
  <si>
    <t>TW</t>
  </si>
  <si>
    <t>Taiwan</t>
  </si>
  <si>
    <t>+8:00 Asia/Taipei</t>
  </si>
  <si>
    <t>Chi-lung|Taiwan|121,737503|25,131390|+8:00 Asia/Taipei</t>
  </si>
  <si>
    <t>Hualian</t>
  </si>
  <si>
    <t>Hualian|Taiwan|121,604446|23,976944|+8:00 Asia/Taipei</t>
  </si>
  <si>
    <t>Kao-hsiung</t>
  </si>
  <si>
    <t>Kao-hsiung|Taiwan|120,301392|22,617777|+8:00 Asia/Taipei</t>
  </si>
  <si>
    <t>T'ai-chung-shih</t>
  </si>
  <si>
    <t>T'ai-chung-shih|Taiwan|120,686668|24,148333|+8:00 Asia/Taipei</t>
  </si>
  <si>
    <t>Taipei</t>
  </si>
  <si>
    <t>Taipei|Taiwan|121,525002|25,039167|+8:00 Asia/Taipei</t>
  </si>
  <si>
    <t>Yun-lin</t>
  </si>
  <si>
    <t>Yun-lin|Taiwan|120,542221|23,709167|+8:00 Asia/Taipei</t>
  </si>
  <si>
    <t>Dushanbe</t>
  </si>
  <si>
    <t>TJ</t>
  </si>
  <si>
    <t>Tajikistan</t>
  </si>
  <si>
    <t>+5:00 Asia/Dushanbe</t>
  </si>
  <si>
    <t>Dushanbe|Tajikistan|68,773888|38,560001|+5:00 Asia/Dushanbe</t>
  </si>
  <si>
    <t>Vakhsh</t>
  </si>
  <si>
    <t>Vakhsh|Tajikistan|68,831108|37,710835|+5:00 Asia/Dushanbe</t>
  </si>
  <si>
    <t>Vose'</t>
  </si>
  <si>
    <t>Vose'|Tajikistan|69,644165|37,802502|+5:00 Asia/Dushanbe</t>
  </si>
  <si>
    <t>Yovan</t>
  </si>
  <si>
    <t>Yovan|Tajikistan|69,043053|38,313057|+5:00 Asia/Dushanbe</t>
  </si>
  <si>
    <t>Arusha</t>
  </si>
  <si>
    <t>Tanzania</t>
  </si>
  <si>
    <t>+3:00 Africa/Dar_es_Salaam</t>
  </si>
  <si>
    <t>Arusha|Tanzania|36,683334|-3,366667|+3:00 Africa/Dar_es_Salaam</t>
  </si>
  <si>
    <t>Dar es Salaam</t>
  </si>
  <si>
    <t>Dar es Salaam|Tanzania|39,283333|-6,800000|+3:00 Africa/Dar_es_Salaam</t>
  </si>
  <si>
    <t>Mbeya</t>
  </si>
  <si>
    <t>Mbeya|Tanzania|33,450001|-8,900000|+3:00 Africa/Dar_es_Salaam</t>
  </si>
  <si>
    <t>Morogoro</t>
  </si>
  <si>
    <t>Morogoro|Tanzania|37,666668|-6,816667|+3:00 Africa/Dar_es_Salaam</t>
  </si>
  <si>
    <t>Mwanza</t>
  </si>
  <si>
    <t>Mwanza|Tanzania|32,900002|-2,516667|+3:00 Africa/Dar_es_Salaam</t>
  </si>
  <si>
    <t>Tanga</t>
  </si>
  <si>
    <t>Tanga|Tanzania|39,099998|-5,066667|+3:00 Africa/Dar_es_Salaam</t>
  </si>
  <si>
    <t>Vwawa</t>
  </si>
  <si>
    <t>Vwawa|Tanzania|32,933334|-9,116667|+3:00 Africa/Dar_es_Salaam</t>
  </si>
  <si>
    <t>Wete</t>
  </si>
  <si>
    <t>Wete|Tanzania|39,716667|-5,066667|+3:00 Africa/Dar_es_Salaam</t>
  </si>
  <si>
    <t>Zanzibar</t>
  </si>
  <si>
    <t>Zanzibar|Tanzania|39,197933|-6,163937|+3:00 Africa/Dar_es_Salaam</t>
  </si>
  <si>
    <t>Ban Sam Roi Yot</t>
  </si>
  <si>
    <t>TH</t>
  </si>
  <si>
    <t>Thailand</t>
  </si>
  <si>
    <t>+7:00 Asia/Bangkok</t>
  </si>
  <si>
    <t>Ban Sam Roi Yot|Thailand|99,883331|12,200000|+7:00 Asia/Bangkok</t>
  </si>
  <si>
    <t>Bangkok</t>
  </si>
  <si>
    <t>Bangkok|Thailand|100,516670|13,750000|+7:00 Asia/Bangkok</t>
  </si>
  <si>
    <t>Chiang Mai</t>
  </si>
  <si>
    <t>Chiang Mai|Thailand|98,981667|18,790277|+7:00 Asia/Bangkok</t>
  </si>
  <si>
    <t>Chon Buri</t>
  </si>
  <si>
    <t>Chon Buri|Thailand|100,983330|13,366667|+7:00 Asia/Bangkok</t>
  </si>
  <si>
    <t>Don Sak</t>
  </si>
  <si>
    <t>Don Sak|Thailand|99,683334|9,300000|+7:00 Asia/Bangkok</t>
  </si>
  <si>
    <t>Nakhon Ratchasima</t>
  </si>
  <si>
    <t>Nakhon Ratchasima|Thailand|102,116669|14,966667|+7:00 Asia/Bangkok</t>
  </si>
  <si>
    <t>Phetchaburi</t>
  </si>
  <si>
    <t>Phetchaburi|Thailand|99,949997|13,100000|+7:00 Asia/Bangkok</t>
  </si>
  <si>
    <t>Samut Prakan</t>
  </si>
  <si>
    <t>Samut Prakan|Thailand|100,599998|13,600000|+7:00 Asia/Bangkok</t>
  </si>
  <si>
    <t>Udon Thani</t>
  </si>
  <si>
    <t>Udon Thani|Thailand|102,793053|17,407499|+7:00 Asia/Bangkok</t>
  </si>
  <si>
    <t>Lome</t>
  </si>
  <si>
    <t>TG</t>
  </si>
  <si>
    <t>Togo</t>
  </si>
  <si>
    <t>+0:00 Africa/Lome</t>
  </si>
  <si>
    <t>Lome|Togo|1,222778|6,131944|+0:00 Africa/Lome</t>
  </si>
  <si>
    <t>Tchamba</t>
  </si>
  <si>
    <t>Tchamba|Togo|1,416667|9,033333|+0:00 Africa/Lome</t>
  </si>
  <si>
    <t>Tsevie</t>
  </si>
  <si>
    <t>Tsevie|Togo|1,213333|6,426111|+0:00 Africa/Lome</t>
  </si>
  <si>
    <t>Vogan</t>
  </si>
  <si>
    <t>Vogan|Togo|1,533333|6,333333|+0:00 Africa/Lome</t>
  </si>
  <si>
    <t>Paradise</t>
  </si>
  <si>
    <t>TT</t>
  </si>
  <si>
    <t>Trinidad and Tobago</t>
  </si>
  <si>
    <t>-4:00 America/Port_of_Spain</t>
  </si>
  <si>
    <t>Paradise|Trinidad and Tobago|-61,366711|10,634711|-4:00 America/Port_of_Spain</t>
  </si>
  <si>
    <t>Siparia</t>
  </si>
  <si>
    <t>Siparia|Trinidad and Tobago|-61,500000|10,133333|-4:00 America/Port_of_Spain</t>
  </si>
  <si>
    <t>Tunapuna</t>
  </si>
  <si>
    <t>Tunapuna|Trinidad and Tobago|-61,383335|10,633333|-4:00 America/Port_of_Spain</t>
  </si>
  <si>
    <t>Oued Lill</t>
  </si>
  <si>
    <t>TN</t>
  </si>
  <si>
    <t>Tunis</t>
  </si>
  <si>
    <t>+1:00 Africa/Tunis</t>
  </si>
  <si>
    <t>Oued Lill|Tunis|10,042222|36,834167|+1:00 Africa/Tunis</t>
  </si>
  <si>
    <t>Sfax</t>
  </si>
  <si>
    <t>Sfax|Tunis|10,760278|34,740555|+1:00 Africa/Tunis</t>
  </si>
  <si>
    <t>Tunis|Tunis|10,179722|36,802776|+1:00 Africa/Tunis</t>
  </si>
  <si>
    <t>Zaghouan</t>
  </si>
  <si>
    <t>Zaghouan|Tunis|10,150000|36,400002|+1:00 Africa/Tunis</t>
  </si>
  <si>
    <t>Zawiyat al Jadidi</t>
  </si>
  <si>
    <t>Zawiyat al Jadidi|Tunis|10,583333|36,650002|+1:00 Africa/Tunis</t>
  </si>
  <si>
    <t>Adana</t>
  </si>
  <si>
    <t>TR</t>
  </si>
  <si>
    <t>Turkey</t>
  </si>
  <si>
    <t>+2:00 Europe/Istanbul</t>
  </si>
  <si>
    <t>Adana|Turkey|35,328888|37,001667|+2:00 Europe/Istanbul</t>
  </si>
  <si>
    <t>Adiyaman</t>
  </si>
  <si>
    <t>Adiyaman|Turkey|38,278332|37,759167|+2:00 Europe/Istanbul</t>
  </si>
  <si>
    <t>Ankara</t>
  </si>
  <si>
    <t>Ankara|Turkey|32,864445|39,927223|+2:00 Europe/Istanbul</t>
  </si>
  <si>
    <t>Antalya</t>
  </si>
  <si>
    <t>Antalya|Turkey|30,689722|36,912498|+2:00 Europe/Istanbul</t>
  </si>
  <si>
    <t>Balikesir</t>
  </si>
  <si>
    <t>Balikesir|Turkey|27,886110|39,649166|+2:00 Europe/Istanbul</t>
  </si>
  <si>
    <t>Batikent</t>
  </si>
  <si>
    <t>Batikent|Turkey|32,730835|39,968334|+2:00 Europe/Istanbul</t>
  </si>
  <si>
    <t>Batman</t>
  </si>
  <si>
    <t>Batman|Turkey|41,120556|37,882778|+2:00 Europe/Istanbul</t>
  </si>
  <si>
    <t>Bursa</t>
  </si>
  <si>
    <t>Bursa|Turkey|29,061111|40,191666|+2:00 Europe/Istanbul</t>
  </si>
  <si>
    <t>Corlu</t>
  </si>
  <si>
    <t>Corlu|Turkey|27,799999|41,159168|+2:00 Europe/Istanbul</t>
  </si>
  <si>
    <t>Denizli</t>
  </si>
  <si>
    <t>Denizli|Turkey|29,087500|37,774166|+2:00 Europe/Istanbul</t>
  </si>
  <si>
    <t>Diyarbakir</t>
  </si>
  <si>
    <t>Diyarbakir|Turkey|40,210556|37,918888|+2:00 Europe/Istanbul</t>
  </si>
  <si>
    <t>Elazig</t>
  </si>
  <si>
    <t>Elazig|Turkey|39,220554|38,675278|+2:00 Europe/Istanbul</t>
  </si>
  <si>
    <t>Erzurum</t>
  </si>
  <si>
    <t>Erzurum|Turkey|41,276943|39,908611|+2:00 Europe/Istanbul</t>
  </si>
  <si>
    <t>Esenyurt</t>
  </si>
  <si>
    <t>Esenyurt|Turkey|28,675278|41,033333|+2:00 Europe/Istanbul</t>
  </si>
  <si>
    <t>Eskisehir</t>
  </si>
  <si>
    <t>Eskisehir|Turkey|30,520555|39,776669|+2:00 Europe/Istanbul</t>
  </si>
  <si>
    <t>Eskisehir Ili</t>
  </si>
  <si>
    <t>Eskisehir Ili|Turkey|31,166666|39,666668|+2:00 Europe/Istanbul</t>
  </si>
  <si>
    <t>Gaziantep</t>
  </si>
  <si>
    <t>Gaziantep|Turkey|37,382500|37,059444|+2:00 Europe/Istanbul</t>
  </si>
  <si>
    <t>Gebze</t>
  </si>
  <si>
    <t>Gebze|Turkey|29,430555|40,797779|+2:00 Europe/Istanbul</t>
  </si>
  <si>
    <t>Istanbul</t>
  </si>
  <si>
    <t>Istanbul|Turkey|28,949661|41,013844|+2:00 Europe/Istanbul</t>
  </si>
  <si>
    <t>Izmir</t>
  </si>
  <si>
    <t>Izmir|Turkey|27,150278|38,407223|+2:00 Europe/Istanbul</t>
  </si>
  <si>
    <t>Kahramanmaras</t>
  </si>
  <si>
    <t>Kahramanmaras|Turkey|36,931667|37,587502|+2:00 Europe/Istanbul</t>
  </si>
  <si>
    <t>Kale</t>
  </si>
  <si>
    <t>Kale|Turkey|29,985001|36,244446|+2:00 Europe/Istanbul</t>
  </si>
  <si>
    <t>Kayseri</t>
  </si>
  <si>
    <t>Kayseri|Turkey|35,485279|38,732224|+2:00 Europe/Istanbul</t>
  </si>
  <si>
    <t>Kirikkale</t>
  </si>
  <si>
    <t>Kirikkale|Turkey|33,506390|39,845280|+2:00 Europe/Istanbul</t>
  </si>
  <si>
    <t>Konya</t>
  </si>
  <si>
    <t>Konya|Turkey|32,482498|37,865555|+2:00 Europe/Istanbul</t>
  </si>
  <si>
    <t>Malatya</t>
  </si>
  <si>
    <t>Malatya|Turkey|38,311943|38,353333|+2:00 Europe/Istanbul</t>
  </si>
  <si>
    <t>Manisa</t>
  </si>
  <si>
    <t>Manisa|Turkey|27,426111|38,613056|+2:00 Europe/Istanbul</t>
  </si>
  <si>
    <t>Mercin</t>
  </si>
  <si>
    <t>Mercin|Turkey|34,617920|36,795265|+2:00 Europe/Istanbul</t>
  </si>
  <si>
    <t>Osmaniye</t>
  </si>
  <si>
    <t>Osmaniye|Turkey|36,247776|37,074165|+2:00 Europe/Istanbul</t>
  </si>
  <si>
    <t>Sakarya</t>
  </si>
  <si>
    <t>Sakarya|Turkey|30,403334|40,780556|+2:00 Europe/Istanbul</t>
  </si>
  <si>
    <t>Samsun</t>
  </si>
  <si>
    <t>Samsun|Turkey|36,330002|41,286667|+2:00 Europe/Istanbul</t>
  </si>
  <si>
    <t>Sanliurfa</t>
  </si>
  <si>
    <t>Sanliurfa|Turkey|38,792778|37,151112|+2:00 Europe/Istanbul</t>
  </si>
  <si>
    <t>Sivas</t>
  </si>
  <si>
    <t>Sivas|Turkey|37,016109|39,748333|+2:00 Europe/Istanbul</t>
  </si>
  <si>
    <t>Tarsus</t>
  </si>
  <si>
    <t>Tarsus|Turkey|34,891666|36,917778|+2:00 Europe/Istanbul</t>
  </si>
  <si>
    <t>Trabzon</t>
  </si>
  <si>
    <t>Trabzon|Turkey|39,726944|41,005001|+2:00 Europe/Istanbul</t>
  </si>
  <si>
    <t>Van</t>
  </si>
  <si>
    <t>Van|Turkey|43,380001|38,494167|+2:00 Europe/Istanbul</t>
  </si>
  <si>
    <t>Yunak</t>
  </si>
  <si>
    <t>Yunak|Turkey|31,735556|38,817223|+2:00 Europe/Istanbul</t>
  </si>
  <si>
    <t>Zara</t>
  </si>
  <si>
    <t>Zara|Turkey|37,758335|39,897778|+2:00 Europe/Istanbul</t>
  </si>
  <si>
    <t>Ashgabat</t>
  </si>
  <si>
    <t>TM</t>
  </si>
  <si>
    <t>Turkmenistan</t>
  </si>
  <si>
    <t>+5:00 Asia/Ashgabat</t>
  </si>
  <si>
    <t>Ashgabat|Turkmenistan|58,383335|37,950001|+5:00 Asia/Ashgabat</t>
  </si>
  <si>
    <t>Balkanabat</t>
  </si>
  <si>
    <t>Balkanabat|Turkmenistan|54,365002|39,511944|+5:00 Asia/Ashgabat</t>
  </si>
  <si>
    <t>Gumdag</t>
  </si>
  <si>
    <t>Gumdag|Turkmenistan|54,590557|39,206112|+5:00 Asia/Ashgabat</t>
  </si>
  <si>
    <t>Kaka</t>
  </si>
  <si>
    <t>Kaka|Turkmenistan|59,599998|37,349998|+5:00 Asia/Ashgabat</t>
  </si>
  <si>
    <t>Turkmenabat</t>
  </si>
  <si>
    <t>Turkmenabat|Turkmenistan|63,575001|39,101387|+5:00 Asia/Ashgabat</t>
  </si>
  <si>
    <t>Kampala</t>
  </si>
  <si>
    <t>UG</t>
  </si>
  <si>
    <t>Uganda</t>
  </si>
  <si>
    <t>+3:00 Africa/Kampala</t>
  </si>
  <si>
    <t>Kampala|Uganda|32,565556|0,315556|+3:00 Africa/Kampala</t>
  </si>
  <si>
    <t>Sembabule</t>
  </si>
  <si>
    <t>Sembabule|Uganda|31,456667|-0,077222|+3:00 Africa/Kampala</t>
  </si>
  <si>
    <t>Wakiso</t>
  </si>
  <si>
    <t>Wakiso|Uganda|32,459446|0,404444|+3:00 Africa/Kampala</t>
  </si>
  <si>
    <t>Wobulenzi</t>
  </si>
  <si>
    <t>Wobulenzi|Uganda|32,512222|0,728333|+3:00 Africa/Kampala</t>
  </si>
  <si>
    <t>Cherkasy</t>
  </si>
  <si>
    <t>UA</t>
  </si>
  <si>
    <t>Ukraine</t>
  </si>
  <si>
    <t>+2:00 Europe/Kiev</t>
  </si>
  <si>
    <t>Cherkasy|Ukraine|32,066666|49,433334|+2:00 Europe/Kiev</t>
  </si>
  <si>
    <t>Chernihiv</t>
  </si>
  <si>
    <t>Chernihiv|Ukraine|31,299999|51,500000|+2:00 Europe/Kiev</t>
  </si>
  <si>
    <t>Chernivtsi</t>
  </si>
  <si>
    <t>+2:00 Europe/Uzhgorod</t>
  </si>
  <si>
    <t>Chernivtsi|Ukraine|25,933332|48,299999|+2:00 Europe/Uzhgorod</t>
  </si>
  <si>
    <t>Dniprodzerzhyns'k</t>
  </si>
  <si>
    <t>+2:00 Europe/Zaporozhye</t>
  </si>
  <si>
    <t>Dniprodzerzhyns'k|Ukraine|34,616665|48,500000|+2:00 Europe/Zaporozhye</t>
  </si>
  <si>
    <t>Dnipropetrovs'k</t>
  </si>
  <si>
    <t>Dnipropetrovs'k|Ukraine|34,983334|48,450001|+2:00 Europe/Zaporozhye</t>
  </si>
  <si>
    <t>Donets'k</t>
  </si>
  <si>
    <t>Donets'k|Ukraine|37,799999|48,000000|+2:00 Europe/Zaporozhye</t>
  </si>
  <si>
    <t>Druzhkovka</t>
  </si>
  <si>
    <t>Druzhkovka|Ukraine|37,549999|48,616665|+2:00 Europe/Zaporozhye</t>
  </si>
  <si>
    <t>Horlivka</t>
  </si>
  <si>
    <t>Horlivka|Ukraine|38,049999|48,299999|+2:00 Europe/Zaporozhye</t>
  </si>
  <si>
    <t>Kharkiv</t>
  </si>
  <si>
    <t>Kharkiv|Ukraine|36,250000|50,000000|+2:00 Europe/Zaporozhye</t>
  </si>
  <si>
    <t>Kherson</t>
  </si>
  <si>
    <t>+2:00 Europe/Simferopol</t>
  </si>
  <si>
    <t>Kherson|Ukraine|32,599998|46,633335|+2:00 Europe/Simferopol</t>
  </si>
  <si>
    <t>Kiev</t>
  </si>
  <si>
    <t>Kiev|Ukraine|30,516666|50,433334|+2:00 Europe/Kiev</t>
  </si>
  <si>
    <t>Kirovohrad</t>
  </si>
  <si>
    <t>Kirovohrad|Ukraine|32,263054|48,504166|+2:00 Europe/Zaporozhye</t>
  </si>
  <si>
    <t>Kremenchuk</t>
  </si>
  <si>
    <t>Kremenchuk|Ukraine|33,416668|49,066666|+2:00 Europe/Zaporozhye</t>
  </si>
  <si>
    <t>Kryvyy Rih</t>
  </si>
  <si>
    <t>Kryvyy Rih|Ukraine|33,349998|47,916668|+2:00 Europe/Zaporozhye</t>
  </si>
  <si>
    <t>Lebedyn</t>
  </si>
  <si>
    <t>Lebedyn|Ukraine|34,480278|50,588055|+2:00 Europe/Kiev</t>
  </si>
  <si>
    <t>Luhans'k</t>
  </si>
  <si>
    <t>Luhans'k|Ukraine|39,333332|48,566666|+2:00 Europe/Zaporozhye</t>
  </si>
  <si>
    <t>Luts'k</t>
  </si>
  <si>
    <t>Luts'k|Ukraine|25,333334|50,750000|+2:00 Europe/Uzhgorod</t>
  </si>
  <si>
    <t>L'viv</t>
  </si>
  <si>
    <t>L'viv|Ukraine|24,023237|49,838261|+2:00 Europe/Uzhgorod</t>
  </si>
  <si>
    <t>Makiyivka</t>
  </si>
  <si>
    <t>Makiyivka|Ukraine|37,966667|48,033333|+2:00 Europe/Zaporozhye</t>
  </si>
  <si>
    <t>Mariupol'</t>
  </si>
  <si>
    <t>Mariupol'|Ukraine|37,500000|47,066666|+2:00 Europe/Zaporozhye</t>
  </si>
  <si>
    <t>Mykolayiv</t>
  </si>
  <si>
    <t>Mykolayiv|Ukraine|32,000000|46,966667|+2:00 Europe/Zaporozhye</t>
  </si>
  <si>
    <t>Odesa</t>
  </si>
  <si>
    <t>Odesa|Ukraine|30,733334|46,466667|+2:00 Europe/Simferopol</t>
  </si>
  <si>
    <t>Poltava</t>
  </si>
  <si>
    <t>Poltava|Ukraine|34,566666|49,583332|+2:00 Europe/Zaporozhye</t>
  </si>
  <si>
    <t>Rivne</t>
  </si>
  <si>
    <t>Rivne|Ukraine|26,250000|50,616665|+2:00 Europe/Kiev</t>
  </si>
  <si>
    <t>Sevastopol'</t>
  </si>
  <si>
    <t>Sevastopol'|Ukraine|33,533333|44,599998|+2:00 Europe/Simferopol</t>
  </si>
  <si>
    <t>Simferopol'</t>
  </si>
  <si>
    <t>Simferopol'|Ukraine|34,099998|44,950001|+2:00 Europe/Simferopol</t>
  </si>
  <si>
    <t>Staryy Dobrotvor</t>
  </si>
  <si>
    <t>Staryy Dobrotvor|Ukraine|24,350000|50,250000|+2:00 Europe/Uzhgorod</t>
  </si>
  <si>
    <t>Sumy</t>
  </si>
  <si>
    <t>Sumy|Ukraine|34,781944|50,919724|+2:00 Europe/Kiev</t>
  </si>
  <si>
    <t>Ternopil'</t>
  </si>
  <si>
    <t>Ternopil'|Ukraine|25,583334|49,549999|+2:00 Europe/Uzhgorod</t>
  </si>
  <si>
    <t>Vinnytsya</t>
  </si>
  <si>
    <t>Vinnytsya|Ukraine|28,483334|49,233334|+2:00 Europe/Kiev</t>
  </si>
  <si>
    <t>Zaporizhzhya</t>
  </si>
  <si>
    <t>Zaporizhzhya|Ukraine|35,183334|47,816666|+2:00 Europe/Zaporozhye</t>
  </si>
  <si>
    <t>Zhytomyr</t>
  </si>
  <si>
    <t>Zhytomyr|Ukraine|28,666666|50,250000|+2:00 Europe/Kiev</t>
  </si>
  <si>
    <t>Abu Dhabi</t>
  </si>
  <si>
    <t>AE</t>
  </si>
  <si>
    <t>United Arab Emirates</t>
  </si>
  <si>
    <t>+4:00 Asia/Dubai</t>
  </si>
  <si>
    <t>Abu Dhabi|United Arab Emirates|54,366665|24,466667|+4:00 Asia/Dubai</t>
  </si>
  <si>
    <t>Ajman</t>
  </si>
  <si>
    <t>Ajman|United Arab Emirates|55,435036|25,411106|+4:00 Asia/Dubai</t>
  </si>
  <si>
    <t>Al `Ayn</t>
  </si>
  <si>
    <t>Al `Ayn|United Arab Emirates|55,760555|24,191668|+4:00 Asia/Dubai</t>
  </si>
  <si>
    <t>Dubai</t>
  </si>
  <si>
    <t>Dubai|United Arab Emirates|55,279999|25,252222|+4:00 Asia/Dubai</t>
  </si>
  <si>
    <t>Khawr Fakkan</t>
  </si>
  <si>
    <t>Khawr Fakkan|United Arab Emirates|56,356110|25,339167|+4:00 Asia/Dubai</t>
  </si>
  <si>
    <t>Ra's al Khaymah</t>
  </si>
  <si>
    <t>Ra's al Khaymah|United Arab Emirates|55,942780|25,791111|+4:00 Asia/Dubai</t>
  </si>
  <si>
    <t>Sharjah</t>
  </si>
  <si>
    <t>Sharjah|United Arab Emirates|55,391109|25,362223|+4:00 Asia/Dubai</t>
  </si>
  <si>
    <t>Umm al Qaywayn</t>
  </si>
  <si>
    <t>Umm al Qaywayn|United Arab Emirates|55,553333|25,565277|+4:00 Asia/Dubai</t>
  </si>
  <si>
    <t>Belfast</t>
  </si>
  <si>
    <t>GB</t>
  </si>
  <si>
    <t>United Kingdom</t>
  </si>
  <si>
    <t>+0:00 Europe/London</t>
  </si>
  <si>
    <t>Belfast|United Kingdom|-5,933333|54,583332|+0:00 Europe/London</t>
  </si>
  <si>
    <t>Birmingham</t>
  </si>
  <si>
    <t>Birmingham|United Kingdom|-1,916667|52,466667|+0:00 Europe/London</t>
  </si>
  <si>
    <t>Bradford</t>
  </si>
  <si>
    <t>Bradford|United Kingdom|-1,750000|53,783333|+0:00 Europe/London</t>
  </si>
  <si>
    <t>Bristol</t>
  </si>
  <si>
    <t>Bristol|United Kingdom|-2,583333|51,450001|+0:00 Europe/London</t>
  </si>
  <si>
    <t>Caerdydd</t>
  </si>
  <si>
    <t>Caerdydd|United Kingdom|-3,200000|51,500000|+0:00 Europe/London</t>
  </si>
  <si>
    <t>Coventry</t>
  </si>
  <si>
    <t>Coventry|United Kingdom|-1,550000|52,416668|+0:00 Europe/London</t>
  </si>
  <si>
    <t>Derby</t>
  </si>
  <si>
    <t>Derby|United Kingdom|-1,500000|52,933334|+0:00 Europe/London</t>
  </si>
  <si>
    <t>Edinburgh</t>
  </si>
  <si>
    <t>Edinburgh|United Kingdom|-3,200000|55,950001|+0:00 Europe/London</t>
  </si>
  <si>
    <t>Glasgow</t>
  </si>
  <si>
    <t>Glasgow|United Kingdom|-4,250000|55,833332|+0:00 Europe/London</t>
  </si>
  <si>
    <t>Kingston upon Hull</t>
  </si>
  <si>
    <t>Kingston upon Hull|United Kingdom|-0,326157|53,740387|+0:00 Europe/London</t>
  </si>
  <si>
    <t>Leeds</t>
  </si>
  <si>
    <t>Leeds|United Kingdom|-1,553192|53,794163|+0:00 Europe/London</t>
  </si>
  <si>
    <t>Leicester</t>
  </si>
  <si>
    <t>Leicester|United Kingdom|-1,133333|52,633335|+0:00 Europe/London</t>
  </si>
  <si>
    <t>Liverpool</t>
  </si>
  <si>
    <t>Liverpool|United Kingdom|-3,000000|53,416668|+0:00 Europe/London</t>
  </si>
  <si>
    <t>London|United Kingdom|-0,125533|51,508415|-5:00 America/Toronto</t>
  </si>
  <si>
    <t>Manchester</t>
  </si>
  <si>
    <t>Manchester|United Kingdom|-2,237434|53,480946|+0:00 Europe/London</t>
  </si>
  <si>
    <t>Nottingham</t>
  </si>
  <si>
    <t>Nottingham|United Kingdom|-1,166667|52,966667|+0:00 Europe/London</t>
  </si>
  <si>
    <t>Plymouth</t>
  </si>
  <si>
    <t>Plymouth|United Kingdom|-4,140000|50,369999|+0:00 Europe/London</t>
  </si>
  <si>
    <t>Reading</t>
  </si>
  <si>
    <t>Reading|United Kingdom|-1,000000|51,433334|+0:00 Europe/London</t>
  </si>
  <si>
    <t>Sheffield</t>
  </si>
  <si>
    <t>Sheffield|United Kingdom|-1,465902|53,382969|+0:00 Europe/London</t>
  </si>
  <si>
    <t>Southampton</t>
  </si>
  <si>
    <t>Southampton|United Kingdom|-1,400000|50,900002|+0:00 Europe/London</t>
  </si>
  <si>
    <t>Stoke-on-Trent</t>
  </si>
  <si>
    <t>Stoke-on-Trent|United Kingdom|-2,183333|53,000000|+0:00 Europe/London</t>
  </si>
  <si>
    <t>Wolverhampton</t>
  </si>
  <si>
    <t>Wolverhampton|United Kingdom|-2,133333|52,583332|+0:00 Europe/London</t>
  </si>
  <si>
    <t>Yeovil</t>
  </si>
  <si>
    <t>Yeovil|United Kingdom|-2,633333|50,950001|+0:00 Europe/London</t>
  </si>
  <si>
    <t>York</t>
  </si>
  <si>
    <t>York|United Kingdom|-1,083333|53,966667|+0:00 Europe/London</t>
  </si>
  <si>
    <t>Ystalyfera</t>
  </si>
  <si>
    <t>Ystalyfera|United Kingdom|-3,783333|51,750000|+0:00 Europe/London</t>
  </si>
  <si>
    <t>Akron</t>
  </si>
  <si>
    <t>US</t>
  </si>
  <si>
    <t>United States of America</t>
  </si>
  <si>
    <t>-5:00 America/Detroit</t>
  </si>
  <si>
    <t>Akron|United States of America|-81,519005|41,081444|-5:00 America/Detroit</t>
  </si>
  <si>
    <t>Albuquerque</t>
  </si>
  <si>
    <t>-7:00 America/Shiprock</t>
  </si>
  <si>
    <t>Albuquerque|United States of America|-106,651138|35,084492|-7:00 America/Shiprock</t>
  </si>
  <si>
    <t>Anaheim</t>
  </si>
  <si>
    <t>-8:00 America/Los_Angeles</t>
  </si>
  <si>
    <t>Anaheim|United States of America|-117,914505|33,835293|-8:00 America/Los_Angeles</t>
  </si>
  <si>
    <t>Anchorage</t>
  </si>
  <si>
    <t>-9:00</t>
  </si>
  <si>
    <t>-9:00 America/Anchorage</t>
  </si>
  <si>
    <t>Anchorage|United States of America|-149,900284|61,218056|-9:00 America/Anchorage</t>
  </si>
  <si>
    <t>Arlington</t>
  </si>
  <si>
    <t>-6:00 America/Chicago</t>
  </si>
  <si>
    <t>Arlington|United States of America|-97,108063|32,735687|-6:00 America/Chicago</t>
  </si>
  <si>
    <t>Atlanta</t>
  </si>
  <si>
    <t>-5:00 America/Kentucky/Monticello</t>
  </si>
  <si>
    <t>Atlanta|United States of America|-84,387985|33,748997|-5:00 America/Kentucky/Monticello</t>
  </si>
  <si>
    <t>Aurora</t>
  </si>
  <si>
    <t>-7:00 America/Denver</t>
  </si>
  <si>
    <t>Aurora|United States of America|-104,831917|39,729431|-7:00 America/Denver</t>
  </si>
  <si>
    <t>Austin</t>
  </si>
  <si>
    <t>Austin|United States of America|-97,743057|30,267153|-6:00 America/Chicago</t>
  </si>
  <si>
    <t>Bakersfield</t>
  </si>
  <si>
    <t>Bakersfield|United States of America|-119,018715|35,373291|-8:00 America/Los_Angeles</t>
  </si>
  <si>
    <t>Baltimore</t>
  </si>
  <si>
    <t>-5:00 America/New_York</t>
  </si>
  <si>
    <t>Baltimore|United States of America|-76,612190|39,290386|-5:00 America/New_York</t>
  </si>
  <si>
    <t>Baton Rouge</t>
  </si>
  <si>
    <t>-6:00 America/Indiana/Knox</t>
  </si>
  <si>
    <t>Baton Rouge|United States of America|-91,154549|30,450747|-6:00 America/Indiana/Knox</t>
  </si>
  <si>
    <t>Bay Minette</t>
  </si>
  <si>
    <t>Bay Minette|United States of America|-87,773048|30,882963|-6:00 America/Indiana/Knox</t>
  </si>
  <si>
    <t>Birmingham|United States of America|-86,802490|33,520660|+0:00 Europe/London</t>
  </si>
  <si>
    <t>Boston</t>
  </si>
  <si>
    <t>Boston|United States of America|-71,059776|42,358429|-5:00 America/New_York</t>
  </si>
  <si>
    <t>Buffalo</t>
  </si>
  <si>
    <t>Buffalo|United States of America|-78,878372|42,886448|-5:00 America/Detroit</t>
  </si>
  <si>
    <t>Chandler</t>
  </si>
  <si>
    <t>-7:00 America/Phoenix</t>
  </si>
  <si>
    <t>Chandler|United States of America|-111,841248|33,306160|-7:00 America/Phoenix</t>
  </si>
  <si>
    <t>Charlotte</t>
  </si>
  <si>
    <t>Charlotte|United States of America|-80,843124|35,227085|-5:00 America/Kentucky/Monticello</t>
  </si>
  <si>
    <t>Chicago</t>
  </si>
  <si>
    <t>Chicago|United States of America|-87,650055|41,850033|-6:00 America/Chicago</t>
  </si>
  <si>
    <t>Chula Vista</t>
  </si>
  <si>
    <t>Chula Vista|United States of America|-117,084198|32,640053|-8:00 America/Los_Angeles</t>
  </si>
  <si>
    <t>Cincinnati</t>
  </si>
  <si>
    <t>-5:00 America/Indiana/Vevay</t>
  </si>
  <si>
    <t>Cincinnati|United States of America|-84,456886|39,162003|-5:00 America/Indiana/Vevay</t>
  </si>
  <si>
    <t>Cleveland</t>
  </si>
  <si>
    <t>Cleveland|United States of America|-81,695412|41,499496|-5:00 America/Detroit</t>
  </si>
  <si>
    <t>Colorado Springs</t>
  </si>
  <si>
    <t>Colorado Springs|United States of America|-104,821365|38,833881|-7:00 America/Denver</t>
  </si>
  <si>
    <t>Columbus</t>
  </si>
  <si>
    <t>Columbus|United States of America|-82,998795|39,961174|-5:00 America/Indiana/Vevay</t>
  </si>
  <si>
    <t>Corpus Christi|United States of America|-97,396378|27,800583|-6:00 America/Indiana/Knox</t>
  </si>
  <si>
    <t>Dallas</t>
  </si>
  <si>
    <t>Dallas|United States of America|-96,806664|32,783054|-6:00 America/Chicago</t>
  </si>
  <si>
    <t>Denver</t>
  </si>
  <si>
    <t>Denver|United States of America|-104,984703|39,739155|-7:00 America/Denver</t>
  </si>
  <si>
    <t>Detroit</t>
  </si>
  <si>
    <t>Detroit|United States of America|-83,045753|42,331429|-5:00 America/Detroit</t>
  </si>
  <si>
    <t>Durham</t>
  </si>
  <si>
    <t>Durham|United States of America|-78,898621|35,994034|-5:00 America/Kentucky/Monticello</t>
  </si>
  <si>
    <t>Edna</t>
  </si>
  <si>
    <t>Edna|United States of America|-96,646088|28,978594|-6:00 America/Indiana/Knox</t>
  </si>
  <si>
    <t>El Paso</t>
  </si>
  <si>
    <t>El Paso|United States of America|-106,486931|31,758720|-7:00 America/Phoenix</t>
  </si>
  <si>
    <t>Fort Wayne</t>
  </si>
  <si>
    <t>-5:00 America/Indiana/Indianapolis</t>
  </si>
  <si>
    <t>Fort Wayne|United States of America|-85,128860|41,130604|-5:00 America/Indiana/Indianapolis</t>
  </si>
  <si>
    <t>Fort Worth</t>
  </si>
  <si>
    <t>Fort Worth|United States of America|-97,320847|32,725410|-6:00 America/Chicago</t>
  </si>
  <si>
    <t>Fremont</t>
  </si>
  <si>
    <t>Fremont|United States of America|-121,988571|37,548271|-8:00 America/Los_Angeles</t>
  </si>
  <si>
    <t>Fresno</t>
  </si>
  <si>
    <t>Fresno|United States of America|-119,772369|36,747726|-8:00 America/Los_Angeles</t>
  </si>
  <si>
    <t>Garland</t>
  </si>
  <si>
    <t>Garland|United States of America|-96,638885|32,912624|-6:00 America/Chicago</t>
  </si>
  <si>
    <t>Glendale</t>
  </si>
  <si>
    <t>Glendale|United States of America|-112,185989|33,538651|-7:00 America/Phoenix</t>
  </si>
  <si>
    <t>Greensboro</t>
  </si>
  <si>
    <t>Greensboro|United States of America|-79,791977|36,072636|-5:00 America/Kentucky/Monticello</t>
  </si>
  <si>
    <t>Henderson</t>
  </si>
  <si>
    <t>Henderson|United States of America|-94,799377|32,153217|-8:00 America/Los_Angeles</t>
  </si>
  <si>
    <t>Henderson|United States of America|-114,981934|36,039700|-8:00 America/Los_Angeles</t>
  </si>
  <si>
    <t>Hialeah</t>
  </si>
  <si>
    <t>Hialeah|United States of America|-80,278107|25,857595|-5:00 America/Kentucky/Monticello</t>
  </si>
  <si>
    <t>Honolulu</t>
  </si>
  <si>
    <t>-10:00 Pacific/Honolulu</t>
  </si>
  <si>
    <t>Honolulu|United States of America|-157,858337|21,306944|-10:00 Pacific/Honolulu</t>
  </si>
  <si>
    <t>Houston</t>
  </si>
  <si>
    <t>Houston|United States of America|-95,363274|29,763283|-6:00 America/Indiana/Knox</t>
  </si>
  <si>
    <t>Indianapolis</t>
  </si>
  <si>
    <t>Indianapolis|United States of America|-86,158043|39,768375|-5:00 America/Indiana/Indianapolis</t>
  </si>
  <si>
    <t>Jacksonville</t>
  </si>
  <si>
    <t>Jacksonville|United States of America|-81,655647|30,332184|-5:00 America/Kentucky/Monticello</t>
  </si>
  <si>
    <t>Jersey City</t>
  </si>
  <si>
    <t>Jersey City|United States of America|-74,077644|40,728157|-5:00 America/New_York</t>
  </si>
  <si>
    <t>Kansas City</t>
  </si>
  <si>
    <t>Kansas City|United States of America|-94,578568|39,099728|-6:00 America/Chicago</t>
  </si>
  <si>
    <t>Laredo</t>
  </si>
  <si>
    <t>Laredo|United States of America|-99,507545|27,506407|-6:00 America/Chicago</t>
  </si>
  <si>
    <t>Las Vegas</t>
  </si>
  <si>
    <t>Las Vegas|United States of America|-115,137222|36,174969|-8:00 America/Los_Angeles</t>
  </si>
  <si>
    <t>Lexington</t>
  </si>
  <si>
    <t>Lexington|United States of America|-84,477715|37,988689|-5:00 America/Indiana/Vevay</t>
  </si>
  <si>
    <t>Lexington-Fayette</t>
  </si>
  <si>
    <t>Lexington-Fayette|United States of America|-84,458549|38,049801|-5:00 America/Indiana/Vevay</t>
  </si>
  <si>
    <t>Lincoln</t>
  </si>
  <si>
    <t>Lincoln|United States of America|-96,666962|40,799999|-6:00 America/Chicago</t>
  </si>
  <si>
    <t>Long Beach</t>
  </si>
  <si>
    <t>Long Beach|United States of America|-118,189232|33,766964|-8:00 America/Los_Angeles</t>
  </si>
  <si>
    <t>Los Angeles</t>
  </si>
  <si>
    <t>Los Angeles|United States of America|-118,243683|34,052235|-8:00 America/Los_Angeles</t>
  </si>
  <si>
    <t>Louisville</t>
  </si>
  <si>
    <t>-5:00 America/Kentucky/Louisville</t>
  </si>
  <si>
    <t>Louisville|United States of America|-85,759407|38,254238|-5:00 America/Kentucky/Louisville</t>
  </si>
  <si>
    <t>Lubbock</t>
  </si>
  <si>
    <t>-6:00 America/North_Dakota/New_Salem</t>
  </si>
  <si>
    <t>Lubbock|United States of America|-101,855164|33,577862|-6:00 America/North_Dakota/New_Salem</t>
  </si>
  <si>
    <t>Madison</t>
  </si>
  <si>
    <t>Madison|United States of America|-89,401230|43,073051|-6:00 America/Chicago</t>
  </si>
  <si>
    <t>Memphis</t>
  </si>
  <si>
    <t>Memphis|United States of America|-90,048981|35,149536|-6:00 America/Indiana/Knox</t>
  </si>
  <si>
    <t>Mesa|United States of America|-111,822639|33,422268|-7:00 America/Phoenix</t>
  </si>
  <si>
    <t>Mesa|United States of America|-111,749580|33,401714|-7:00 America/Phoenix</t>
  </si>
  <si>
    <t>Miami</t>
  </si>
  <si>
    <t>Miami|United States of America|-80,193657|25,774265|-5:00 America/Kentucky/Monticello</t>
  </si>
  <si>
    <t>Milwaukee</t>
  </si>
  <si>
    <t>Milwaukee|United States of America|-87,906471|43,038902|-6:00 America/Chicago</t>
  </si>
  <si>
    <t>Minneapolis</t>
  </si>
  <si>
    <t>-6:00 America/Menominee</t>
  </si>
  <si>
    <t>Minneapolis|United States of America|-93,263840|44,979965|-6:00 America/Menominee</t>
  </si>
  <si>
    <t>Modesto</t>
  </si>
  <si>
    <t>Modesto|United States of America|-120,996880|37,639095|-8:00 America/Los_Angeles</t>
  </si>
  <si>
    <t>Nashville</t>
  </si>
  <si>
    <t>Nashville|United States of America|-86,784447|36,165890|-6:00 America/Indiana/Knox</t>
  </si>
  <si>
    <t>New Orleans</t>
  </si>
  <si>
    <t>New Orleans|United States of America|-90,075073|29,954649|-6:00 America/Indiana/Knox</t>
  </si>
  <si>
    <t>New South Memphis</t>
  </si>
  <si>
    <t>New South Memphis|United States of America|-90,056755|35,086758|-6:00 America/Indiana/Knox</t>
  </si>
  <si>
    <t>New York City</t>
  </si>
  <si>
    <t>New York City|United States of America|-74,005974|40,714268|-5:00 America/New_York</t>
  </si>
  <si>
    <t>Newark</t>
  </si>
  <si>
    <t>Newark|United States of America|-74,172363|40,735657|-5:00 America/New_York</t>
  </si>
  <si>
    <t>Norfolk</t>
  </si>
  <si>
    <t>Norfolk|United States of America|-76,285217|36,846813|-5:00 America/New_York</t>
  </si>
  <si>
    <t>North Glendale</t>
  </si>
  <si>
    <t>North Glendale|United States of America|-118,264519|34,160564|-8:00 America/Los_Angeles</t>
  </si>
  <si>
    <t>North Kansas City</t>
  </si>
  <si>
    <t>North Kansas City|United States of America|-94,562180|39,130005|-6:00 America/Chicago</t>
  </si>
  <si>
    <t>Oakland</t>
  </si>
  <si>
    <t>Oakland|United States of America|-122,270805|37,804371|-8:00 America/Los_Angeles</t>
  </si>
  <si>
    <t>Oklahoma City</t>
  </si>
  <si>
    <t>Oklahoma City|United States of America|-97,516426|35,467560|-6:00 America/Chicago</t>
  </si>
  <si>
    <t>Omaha</t>
  </si>
  <si>
    <t>Omaha|United States of America|-95,937790|41,258610|-6:00 America/Chicago</t>
  </si>
  <si>
    <t>Orlando</t>
  </si>
  <si>
    <t>Orlando|United States of America|-81,379234|28,538336|-5:00 America/Kentucky/Monticello</t>
  </si>
  <si>
    <t>Paradise|United States of America|-115,146667|36,097195|-4:00 America/Port_of_Spain</t>
  </si>
  <si>
    <t>Philadelphia</t>
  </si>
  <si>
    <t>Philadelphia|United States of America|-75,163788|39,952335|-5:00 America/New_York</t>
  </si>
  <si>
    <t>Phoenix</t>
  </si>
  <si>
    <t>Phoenix|United States of America|-112,074036|33,448376|-7:00 America/Phoenix</t>
  </si>
  <si>
    <t>Pittsburgh</t>
  </si>
  <si>
    <t>Pittsburgh|United States of America|-79,995888|40,440624|-5:00 America/Detroit</t>
  </si>
  <si>
    <t>Plano</t>
  </si>
  <si>
    <t>Plano|United States of America|-96,698883|33,019844|-6:00 America/Chicago</t>
  </si>
  <si>
    <t>Portland</t>
  </si>
  <si>
    <t>Portland|United States of America|-122,676208|45,523453|-8:00 America/Los_Angeles</t>
  </si>
  <si>
    <t>Raleigh</t>
  </si>
  <si>
    <t>Raleigh|United States of America|-78,638611|35,772095|-5:00 America/Kentucky/Monticello</t>
  </si>
  <si>
    <t>Reno</t>
  </si>
  <si>
    <t>Reno|United States of America|-119,813805|39,529633|-8:00 America/Los_Angeles</t>
  </si>
  <si>
    <t>Riverside</t>
  </si>
  <si>
    <t>Riverside|United States of America|-117,396156|33,953350|-8:00 America/Los_Angeles</t>
  </si>
  <si>
    <t>Rochester</t>
  </si>
  <si>
    <t>Rochester|United States of America|-77,615555|43,154785|-5:00 America/New_York</t>
  </si>
  <si>
    <t>Sacramento</t>
  </si>
  <si>
    <t>Sacramento|United States of America|-121,494400|38,581573|-8:00 America/Los_Angeles</t>
  </si>
  <si>
    <t>Saint Louis</t>
  </si>
  <si>
    <t>Saint Louis|United States of America|-90,197891|38,627274|-6:00 America/Chicago</t>
  </si>
  <si>
    <t>Saint Paul</t>
  </si>
  <si>
    <t>Saint Paul|United States of America|-93,093277|44,944408|-6:00 America/Menominee</t>
  </si>
  <si>
    <t>Saint Petersburg|United States of America|-82,679268|27,770861|+3:00 Europe/Moscow</t>
  </si>
  <si>
    <t>San Antonio|United States of America|-98,493629|29,424122|+10:00 Pacific/Saipan</t>
  </si>
  <si>
    <t>San Bernardino</t>
  </si>
  <si>
    <t>San Bernardino|United States of America|-117,289764|34,108345|-8:00 America/Los_Angeles</t>
  </si>
  <si>
    <t>San Diego</t>
  </si>
  <si>
    <t>San Diego|United States of America|-117,157257|32,715328|-8:00 America/Los_Angeles</t>
  </si>
  <si>
    <t>San Francisco</t>
  </si>
  <si>
    <t>San Francisco|United States of America|-122,419418|37,774929|-8:00 America/Los_Angeles</t>
  </si>
  <si>
    <t>San Jose|United States of America|-121,894958|37,339386|-6:00 America/Costa_Rica</t>
  </si>
  <si>
    <t>Santa Ana</t>
  </si>
  <si>
    <t>Santa Ana|United States of America|-117,867836|33,745575|-8:00 America/Los_Angeles</t>
  </si>
  <si>
    <t>Scottsdale</t>
  </si>
  <si>
    <t>Scottsdale|United States of America|-111,899033|33,509209|-7:00 America/Phoenix</t>
  </si>
  <si>
    <t>Seattle</t>
  </si>
  <si>
    <t>Seattle|United States of America|-122,332069|47,606209|-8:00 America/Los_Angeles</t>
  </si>
  <si>
    <t>Shreveport</t>
  </si>
  <si>
    <t>Shreveport|United States of America|-93,750175|32,525150|-6:00 America/Indiana/Knox</t>
  </si>
  <si>
    <t>South Boston</t>
  </si>
  <si>
    <t>South Boston|United States of America|-71,049492|42,333431|-5:00 America/New_York</t>
  </si>
  <si>
    <t>Stockton</t>
  </si>
  <si>
    <t>Stockton|United States of America|-121,290779|37,957703|-8:00 America/Los_Angeles</t>
  </si>
  <si>
    <t>Tampa</t>
  </si>
  <si>
    <t>Tampa|United States of America|-82,458427|27,947521|-5:00 America/Kentucky/Monticello</t>
  </si>
  <si>
    <t>Toledo</t>
  </si>
  <si>
    <t>Toledo|United States of America|-83,555214|41,663937|-5:00 America/Detroit</t>
  </si>
  <si>
    <t>Tucson</t>
  </si>
  <si>
    <t>Tucson|United States of America|-110,926476|32,221745|-7:00 America/Phoenix</t>
  </si>
  <si>
    <t>Tulsa</t>
  </si>
  <si>
    <t>Tulsa|United States of America|-95,992775|36,153980|-6:00 America/Chicago</t>
  </si>
  <si>
    <t>Virginia Beach</t>
  </si>
  <si>
    <t>Virginia Beach|United States of America|-75,977982|36,852928|-5:00 America/New_York</t>
  </si>
  <si>
    <t>Washington</t>
  </si>
  <si>
    <t>Washington|United States of America|-77,036369|38,895111|-5:00 America/New_York</t>
  </si>
  <si>
    <t>West Raleigh</t>
  </si>
  <si>
    <t>West Raleigh|United States of America|-78,663895|35,786819|-5:00 America/Kentucky/Monticello</t>
  </si>
  <si>
    <t>Wichita</t>
  </si>
  <si>
    <t>Wichita|United States of America|-97,337547|37,692238|-6:00 America/Chicago</t>
  </si>
  <si>
    <t>Montevideo</t>
  </si>
  <si>
    <t>UY</t>
  </si>
  <si>
    <t>Uruguay</t>
  </si>
  <si>
    <t>-3:00 America/Montevideo</t>
  </si>
  <si>
    <t>Montevideo|Uruguay|-56,170834|-34,858055|-3:00 America/Montevideo</t>
  </si>
  <si>
    <t>Treinta y Tres</t>
  </si>
  <si>
    <t>Treinta y Tres|Uruguay|-54,383335|-33,233334|-3:00 America/Montevideo</t>
  </si>
  <si>
    <t>Trinidad</t>
  </si>
  <si>
    <t>Trinidad|Uruguay|-56,888611|-33,538887|-3:00 America/Montevideo</t>
  </si>
  <si>
    <t>Young</t>
  </si>
  <si>
    <t>Young|Uruguay|-57,633335|-32,683334|-3:00 America/Montevideo</t>
  </si>
  <si>
    <t>Andijon</t>
  </si>
  <si>
    <t>UZ</t>
  </si>
  <si>
    <t>Uzbekistan</t>
  </si>
  <si>
    <t>+5:00 Asia/Tashkent</t>
  </si>
  <si>
    <t>Andijon|Uzbekistan|72,343887|40,783054|+5:00 Asia/Tashkent</t>
  </si>
  <si>
    <t>Buxoro</t>
  </si>
  <si>
    <t>+5:00 Asia/Samarkand</t>
  </si>
  <si>
    <t>Buxoro|Uzbekistan|64,428612|39,774723|+5:00 Asia/Samarkand</t>
  </si>
  <si>
    <t>Chimboy</t>
  </si>
  <si>
    <t>Chimboy|Uzbekistan|59,775276|42,935833|+5:00 Asia/Samarkand</t>
  </si>
  <si>
    <t>Kegayli</t>
  </si>
  <si>
    <t>Kegayli|Uzbekistan|59,607777|42,776669|+5:00 Asia/Samarkand</t>
  </si>
  <si>
    <t>Namangan</t>
  </si>
  <si>
    <t>Namangan|Uzbekistan|71,672569|40,998299|+5:00 Asia/Tashkent</t>
  </si>
  <si>
    <t>Nukus</t>
  </si>
  <si>
    <t>Nukus|Uzbekistan|59,610279|42,453056|+5:00 Asia/Samarkand</t>
  </si>
  <si>
    <t>Qarshi</t>
  </si>
  <si>
    <t>Qarshi|Uzbekistan|65,797775|38,863335|+5:00 Asia/Samarkand</t>
  </si>
  <si>
    <t>Samarqand</t>
  </si>
  <si>
    <t>Samarqand|Uzbekistan|66,959724|39,654167|+5:00 Asia/Samarkand</t>
  </si>
  <si>
    <t>Tashkent</t>
  </si>
  <si>
    <t>Tashkent|Uzbekistan|69,250000|41,316666|+5:00 Asia/Tashkent</t>
  </si>
  <si>
    <t>Luganville</t>
  </si>
  <si>
    <t>VU</t>
  </si>
  <si>
    <t>Vanuatu</t>
  </si>
  <si>
    <t>+11:00 Pacific/Efate</t>
  </si>
  <si>
    <t>Luganville|Vanuatu|167,166672|-15,533333|+11:00 Pacific/Efate</t>
  </si>
  <si>
    <t>Port-Vila</t>
  </si>
  <si>
    <t>Port-Vila|Vanuatu|168,316666|-17,733334|+11:00 Pacific/Efate</t>
  </si>
  <si>
    <t>Alto Barinas</t>
  </si>
  <si>
    <t>VE</t>
  </si>
  <si>
    <t>Venezuela</t>
  </si>
  <si>
    <t>-4:00 America/Caracas</t>
  </si>
  <si>
    <t>Alto Barinas|Venezuela|-70,222221|8,594444|-4:00 America/Caracas</t>
  </si>
  <si>
    <t>Anaco</t>
  </si>
  <si>
    <t>Anaco|Venezuela|-64,472778|9,438889|-4:00 America/Caracas</t>
  </si>
  <si>
    <t>Barcelona|Venezuela|-64,699997|10,133333|+1:00 Europe/Madrid</t>
  </si>
  <si>
    <t>Barquisimeto</t>
  </si>
  <si>
    <t>Barquisimeto|Venezuela|-69,322777|10,073889|-4:00 America/Caracas</t>
  </si>
  <si>
    <t>Baruta</t>
  </si>
  <si>
    <t>Baruta|Venezuela|-66,883331|10,433333|-4:00 America/Caracas</t>
  </si>
  <si>
    <t>Cabimas</t>
  </si>
  <si>
    <t>Cabimas|Venezuela|-71,446114|10,401944|-4:00 America/Caracas</t>
  </si>
  <si>
    <t>Caracas</t>
  </si>
  <si>
    <t>Caracas|Venezuela|-66,916664|10,500000|-4:00 America/Caracas</t>
  </si>
  <si>
    <t>Ciudad Guayana</t>
  </si>
  <si>
    <t>Ciudad Guayana|Venezuela|-62,652779|8,353333|-4:00 America/Caracas</t>
  </si>
  <si>
    <t>Cumana</t>
  </si>
  <si>
    <t>Cumana|Venezuela|-64,166664|10,466667|-4:00 America/Caracas</t>
  </si>
  <si>
    <t>La Asuncion</t>
  </si>
  <si>
    <t>La Asuncion|Venezuela|-63,862778|11,033333|-4:00 America/Caracas</t>
  </si>
  <si>
    <t>Maracaibo</t>
  </si>
  <si>
    <t>Maracaibo|Venezuela|-71,640556|10,631667|-4:00 America/Caracas</t>
  </si>
  <si>
    <t>Maturin</t>
  </si>
  <si>
    <t>Maturin|Venezuela|-63,176666|9,750000|-4:00 America/Caracas</t>
  </si>
  <si>
    <t>Mucumpiz</t>
  </si>
  <si>
    <t>Mucumpiz|Venezuela|-71,133331|8,416667|-4:00 America/Caracas</t>
  </si>
  <si>
    <t>Petare</t>
  </si>
  <si>
    <t>Petare|Venezuela|-66,816666|10,483334|-4:00 America/Caracas</t>
  </si>
  <si>
    <t>San Cristobal</t>
  </si>
  <si>
    <t>San Cristobal|Venezuela|-72,224998|7,766944|-4:00 America/Caracas</t>
  </si>
  <si>
    <t>Santa Teresa</t>
  </si>
  <si>
    <t>Santa Teresa|Venezuela|-66,663612|10,231389|-4:00 America/Caracas</t>
  </si>
  <si>
    <t>Turmero</t>
  </si>
  <si>
    <t>Turmero|Venezuela|-67,483330|10,233334|-4:00 America/Caracas</t>
  </si>
  <si>
    <t>Valencia|Venezuela|-68,003891|10,180555|+1:00 Europe/Madrid</t>
  </si>
  <si>
    <t>Bien Hoa</t>
  </si>
  <si>
    <t>VN</t>
  </si>
  <si>
    <t>Vietnam</t>
  </si>
  <si>
    <t>+7:00 Asia/Saigon</t>
  </si>
  <si>
    <t>Bien Hoa|Vietnam|106,816666|10,950000|+7:00 Asia/Saigon</t>
  </si>
  <si>
    <t>Can Tho</t>
  </si>
  <si>
    <t>Can Tho|Vietnam|105,783333|10,033333|+7:00 Asia/Saigon</t>
  </si>
  <si>
    <t>Da Nang</t>
  </si>
  <si>
    <t>Da Nang|Vietnam|108,220833|16,067778|+7:00 Asia/Saigon</t>
  </si>
  <si>
    <t>Haiphong</t>
  </si>
  <si>
    <t>Haiphong|Vietnam|106,682220|20,856112|+7:00 Asia/Saigon</t>
  </si>
  <si>
    <t>Hanoi</t>
  </si>
  <si>
    <t>Hanoi|Vietnam|105,849998|21,033333|+7:00 Asia/Saigon</t>
  </si>
  <si>
    <t>Ho Chi Minh City</t>
  </si>
  <si>
    <t>Ho Chi Minh City|Vietnam|106,666664|10,750000|+7:00 Asia/Saigon</t>
  </si>
  <si>
    <t>Hue</t>
  </si>
  <si>
    <t>Hue|Vietnam|107,599998|16,466667|+7:00 Asia/Saigon</t>
  </si>
  <si>
    <t>Nha Trang</t>
  </si>
  <si>
    <t>Nha Trang|Vietnam|109,183334|12,250000|+7:00 Asia/Saigon</t>
  </si>
  <si>
    <t>Quy Nhon</t>
  </si>
  <si>
    <t>Quy Nhon|Vietnam|109,233330|13,766666|+7:00 Asia/Saigon</t>
  </si>
  <si>
    <t>Rach Gia</t>
  </si>
  <si>
    <t>Rach Gia|Vietnam|105,083336|10,016666|+7:00 Asia/Saigon</t>
  </si>
  <si>
    <t>Vung Tau</t>
  </si>
  <si>
    <t>Vung Tau|Vietnam|107,066666|10,350000|+7:00 Asia/Saigon</t>
  </si>
  <si>
    <t>Yen Bai</t>
  </si>
  <si>
    <t>Yen Bai|Vietnam|104,866669|21,700001|+7:00 Asia/Saigon</t>
  </si>
  <si>
    <t>Yen Vinh</t>
  </si>
  <si>
    <t>Yen Vinh|Vietnam|105,666664|18,666666|+7:00 Asia/Saigon</t>
  </si>
  <si>
    <t>Road Town</t>
  </si>
  <si>
    <t>VG</t>
  </si>
  <si>
    <t>Virgin Islands</t>
  </si>
  <si>
    <t>-4:00 America/Tortola</t>
  </si>
  <si>
    <t>Road Town|Virgin Islands|-64,616669|18,416666|-4:00 America/Tortola</t>
  </si>
  <si>
    <t>Ejbei Uad el Aabd</t>
  </si>
  <si>
    <t>EH</t>
  </si>
  <si>
    <t>Western Sahara</t>
  </si>
  <si>
    <t>+0:00 Africa/El_Aaiun</t>
  </si>
  <si>
    <t>Ejbei Uad el Aabd|Western Sahara|-13,162500|27,135000|+0:00 Africa/El_Aaiun</t>
  </si>
  <si>
    <t>Aden</t>
  </si>
  <si>
    <t>YE</t>
  </si>
  <si>
    <t>Yemen</t>
  </si>
  <si>
    <t>+3:00 Asia/Aden</t>
  </si>
  <si>
    <t>Aden|Yemen|45,036667|12,779445|+3:00 Asia/Aden</t>
  </si>
  <si>
    <t>Al Hudaydah</t>
  </si>
  <si>
    <t>Al Hudaydah|Yemen|42,952221|14,797778|+3:00 Asia/Aden</t>
  </si>
  <si>
    <t>Al Mukalla</t>
  </si>
  <si>
    <t>Al Mukalla|Yemen|49,131390|14,530000|+3:00 Asia/Aden</t>
  </si>
  <si>
    <t>Ibb</t>
  </si>
  <si>
    <t>Ibb|Yemen|44,183334|13,966667|+3:00 Asia/Aden</t>
  </si>
  <si>
    <t>Sanaa</t>
  </si>
  <si>
    <t>Sanaa|Yemen|44,206665|15,354722|+3:00 Asia/Aden</t>
  </si>
  <si>
    <t>Ta`izz</t>
  </si>
  <si>
    <t>Ta`izz|Yemen|44,033333|13,566667|+3:00 Asia/Aden</t>
  </si>
  <si>
    <t>Yarim</t>
  </si>
  <si>
    <t>Yarim|Yemen|44,380280|14,297222|+3:00 Asia/Aden</t>
  </si>
  <si>
    <t>Zabid</t>
  </si>
  <si>
    <t>Zabid|Yemen|43,315277|14,195000|+3:00 Asia/Aden</t>
  </si>
  <si>
    <t>Kitwe</t>
  </si>
  <si>
    <t>ZM</t>
  </si>
  <si>
    <t>Zambia</t>
  </si>
  <si>
    <t>+2:00 Africa/Lusaka</t>
  </si>
  <si>
    <t>Kitwe|Zambia|28,200001|-12,816667|+2:00 Africa/Lusaka</t>
  </si>
  <si>
    <t>Lusaka</t>
  </si>
  <si>
    <t>Lusaka|Zambia|28,283333|-15,416667|+2:00 Africa/Lusaka</t>
  </si>
  <si>
    <t>Mpulungu</t>
  </si>
  <si>
    <t>Mpulungu|Zambia|31,133333|-8,766666|+2:00 Africa/Lusaka</t>
  </si>
  <si>
    <t>Nakonde</t>
  </si>
  <si>
    <t>Nakonde|Zambia|32,766666|-9,333333|+2:00 Africa/Lusaka</t>
  </si>
  <si>
    <t>Nchelenge</t>
  </si>
  <si>
    <t>Nchelenge|Zambia|28,733334|-9,350000|+2:00 Africa/Lusaka</t>
  </si>
  <si>
    <t>Ndola</t>
  </si>
  <si>
    <t>Ndola|Zambia|28,633333|-12,966667|+2:00 Africa/Lusaka</t>
  </si>
  <si>
    <t>Bulawayo</t>
  </si>
  <si>
    <t>ZW</t>
  </si>
  <si>
    <t>Zimbabwe</t>
  </si>
  <si>
    <t>+2:00 Africa/Harare</t>
  </si>
  <si>
    <t>Bulawayo|Zimbabwe|28,583334|-20,150000|+2:00 Africa/Harare</t>
  </si>
  <si>
    <t>Chitungwiza</t>
  </si>
  <si>
    <t>Chitungwiza|Zimbabwe|31,048056|-17,993889|+2:00 Africa/Harare</t>
  </si>
  <si>
    <t>Harare</t>
  </si>
  <si>
    <t>Harare|Zimbabwe|31,044722|-17,817778|+2:00 Africa/Harare</t>
  </si>
  <si>
    <t>Victoria Falls</t>
  </si>
  <si>
    <t>Victoria Falls|Zimbabwe|25,833334|-17,933332|+2:00 Africa/Harare</t>
  </si>
  <si>
    <t>Zvishavane</t>
  </si>
  <si>
    <t>Zvishavane|Zimbabwe|30,033333|-20,333334|+2:00 Africa/Harare</t>
  </si>
  <si>
    <t>Zvishavane District</t>
  </si>
  <si>
    <t>Zvishavane District|Zimbabwe|30,083334|-20,250000|+2:00 Africa/Harare</t>
  </si>
  <si>
    <t>continent</t>
  </si>
  <si>
    <t>Asia</t>
  </si>
  <si>
    <t>Europe</t>
  </si>
  <si>
    <t>Africa</t>
  </si>
  <si>
    <t>Pacific</t>
  </si>
  <si>
    <t>America</t>
  </si>
  <si>
    <t>Atlantic</t>
  </si>
  <si>
    <t>Indiana</t>
  </si>
  <si>
    <t>jan</t>
  </si>
  <si>
    <t>feb</t>
  </si>
  <si>
    <t>mar</t>
  </si>
  <si>
    <t>apr</t>
  </si>
  <si>
    <t>jun</t>
  </si>
  <si>
    <t>jul</t>
  </si>
  <si>
    <t>aug</t>
  </si>
  <si>
    <t>sep</t>
  </si>
  <si>
    <t>oct</t>
  </si>
  <si>
    <t>nov</t>
  </si>
  <si>
    <t>dec</t>
  </si>
  <si>
    <t>may</t>
  </si>
  <si>
    <t>/</t>
  </si>
  <si>
    <t>(</t>
  </si>
  <si>
    <t>)</t>
  </si>
  <si>
    <t>Year 1</t>
  </si>
  <si>
    <t>Date cont</t>
  </si>
  <si>
    <t>Year 2</t>
  </si>
  <si>
    <t>Start Lin</t>
  </si>
  <si>
    <t>78 0</t>
  </si>
  <si>
    <t>Year 3</t>
  </si>
  <si>
    <t>Easter Lin</t>
  </si>
  <si>
    <t>78 1</t>
  </si>
  <si>
    <t>Confraternização Universal</t>
  </si>
  <si>
    <t>Year 4</t>
  </si>
  <si>
    <t>WeekDay Lin</t>
  </si>
  <si>
    <t>78 2</t>
  </si>
  <si>
    <t>Dia Internacional da Mulher</t>
  </si>
  <si>
    <t>Seasons Lin</t>
  </si>
  <si>
    <t>78 3</t>
  </si>
  <si>
    <t>Dia do Amigo</t>
  </si>
  <si>
    <t>End Lin</t>
  </si>
  <si>
    <t>78 4</t>
  </si>
  <si>
    <t>Dia do Índio</t>
  </si>
  <si>
    <t>78 5</t>
  </si>
  <si>
    <t>Tiradentes</t>
  </si>
  <si>
    <t>https://gurudoexcel.com/carnaval-feriados-e-calendario-perpetuo/</t>
  </si>
  <si>
    <t>ARREDMULTB(DIA(MINUTO(K10/38)/2+56)&amp;"/5/"&amp;K10;7)-34</t>
  </si>
  <si>
    <t>78 6</t>
  </si>
  <si>
    <t>Dia do Descobrimento do Brasil</t>
  </si>
  <si>
    <t>YearCol</t>
  </si>
  <si>
    <t>**</t>
  </si>
  <si>
    <t>www.cpearson.com/excel/easter.aspx</t>
  </si>
  <si>
    <t>This formula is accurate for the years from 1900 to 2368.</t>
  </si>
  <si>
    <t>FLOOR("5/"&amp;DAY(MINUTE(YYYY/38)/2+56)&amp;"/"&amp;YYYY,7)-34</t>
  </si>
  <si>
    <t>Dia do Trabalho</t>
  </si>
  <si>
    <t>Western Christianity</t>
  </si>
  <si>
    <t>See also: liturgical year</t>
  </si>
  <si>
    <t>The Catholic patronal feast day or 'name day' are celebrated in each place's patron saint's day, according to the Calendar of saints.</t>
  </si>
  <si>
    <t>Dia da Abolição da Escravidão</t>
  </si>
  <si>
    <t>The traditional carnival celebrations which precede Lent in many cultures have become associated with the season of fasting if only because they are a last opportunity for excess before Lent begins.</t>
  </si>
  <si>
    <t>Dia dos Namorados</t>
  </si>
  <si>
    <r>
      <t>Ash Wednesday (beginning of Lent)</t>
    </r>
    <r>
      <rPr>
        <sz val="10"/>
        <rFont val="Arial"/>
        <family val="2"/>
      </rPr>
      <t>, in the calendar of Western Christianity, is the first day of Lent and occurs 46 days before Easter (or we must count 40 days back from the Sunday previous to the Passover Resurrection Sunday, that is, Palm Sunday).</t>
    </r>
  </si>
  <si>
    <t>Dia da Vovó</t>
  </si>
  <si>
    <r>
      <t>Palm Sunday</t>
    </r>
    <r>
      <rPr>
        <sz val="10"/>
        <rFont val="Arial"/>
        <family val="2"/>
      </rPr>
      <t xml:space="preserve"> is a Christian moveable feast that falls on the Sunday before Easter. The feast commemorates Jesus' triumphal entry into Jerusalem, an event mentioned in all four canonical Gospels. (Mark 11:1–11, Matthew 21:1–11, Luke 19:28–44, and John 12:12–19).</t>
    </r>
  </si>
  <si>
    <t>Dia Nacional do Estudante</t>
  </si>
  <si>
    <t>(Celebration of The Last Supper)</t>
  </si>
  <si>
    <r>
      <t>Maundy Thursday</t>
    </r>
    <r>
      <rPr>
        <sz val="10"/>
        <rFont val="Arial"/>
        <family val="2"/>
      </rPr>
      <t xml:space="preserve"> (also known as </t>
    </r>
    <r>
      <rPr>
        <b/>
        <sz val="10"/>
        <rFont val="Arial"/>
        <family val="2"/>
      </rPr>
      <t>Holy Thursday</t>
    </r>
    <r>
      <rPr>
        <sz val="10"/>
        <rFont val="Arial"/>
        <family val="2"/>
      </rPr>
      <t xml:space="preserve">, </t>
    </r>
    <r>
      <rPr>
        <b/>
        <sz val="10"/>
        <rFont val="Arial"/>
        <family val="2"/>
      </rPr>
      <t>Covenant Thursday</t>
    </r>
    <r>
      <rPr>
        <sz val="10"/>
        <rFont val="Arial"/>
        <family val="2"/>
      </rPr>
      <t xml:space="preserve">, </t>
    </r>
    <r>
      <rPr>
        <b/>
        <sz val="10"/>
        <rFont val="Arial"/>
        <family val="2"/>
      </rPr>
      <t>Great and Holy Thursday</t>
    </r>
    <r>
      <rPr>
        <sz val="10"/>
        <rFont val="Arial"/>
        <family val="2"/>
      </rPr>
      <t xml:space="preserve">, </t>
    </r>
    <r>
      <rPr>
        <b/>
        <sz val="10"/>
        <rFont val="Arial"/>
        <family val="2"/>
      </rPr>
      <t>Sheer Thursday</t>
    </r>
    <r>
      <rPr>
        <sz val="10"/>
        <rFont val="Arial"/>
        <family val="2"/>
      </rPr>
      <t xml:space="preserve"> and </t>
    </r>
    <r>
      <rPr>
        <b/>
        <sz val="10"/>
        <rFont val="Arial"/>
        <family val="2"/>
      </rPr>
      <t>Thursday of Mysteries</t>
    </r>
    <r>
      <rPr>
        <sz val="10"/>
        <rFont val="Arial"/>
        <family val="2"/>
      </rPr>
      <t>) is the Christian feast, or holy day, falling on the Thursday before Easter.</t>
    </r>
  </si>
  <si>
    <t>Shrove Tuesday or Mardi Gras (last day of Carnival, last day before Ash Wednesday)</t>
  </si>
  <si>
    <r>
      <t xml:space="preserve">The word </t>
    </r>
    <r>
      <rPr>
        <i/>
        <sz val="10"/>
        <rFont val="Arial"/>
        <family val="2"/>
      </rPr>
      <t>shrove</t>
    </r>
    <r>
      <rPr>
        <sz val="10"/>
        <rFont val="Arial"/>
        <family val="2"/>
      </rPr>
      <t xml:space="preserve"> is the past tense of the English verb </t>
    </r>
    <r>
      <rPr>
        <i/>
        <sz val="10"/>
        <rFont val="Arial"/>
        <family val="2"/>
      </rPr>
      <t>shrive</t>
    </r>
    <r>
      <rPr>
        <sz val="10"/>
        <rFont val="Arial"/>
        <family val="2"/>
      </rPr>
      <t xml:space="preserve">, which means to obtain absolution for one's sins by way of Confession and doing penance. Thus Shrove Tuesday gets its name from the shriving that English Christians were expected to do prior to receiving absolution immediately before Lent begins. Shrove Tuesday is the last day of "shrovetide", somewhat analogous to the </t>
    </r>
    <r>
      <rPr>
        <i/>
        <sz val="10"/>
        <rFont val="Arial"/>
        <family val="2"/>
      </rPr>
      <t>Carnival</t>
    </r>
    <r>
      <rPr>
        <sz val="10"/>
        <rFont val="Arial"/>
        <family val="2"/>
      </rPr>
      <t xml:space="preserve"> tradition that developed separately in countries of Latin Europe. The term "Shrove Tuesday" is no longer widely used in the United States outside of Liturgical Traditions, such as the Lutheran, Episcopal, and Roman Catholic Churches.</t>
    </r>
    <r>
      <rPr>
        <vertAlign val="superscript"/>
        <sz val="10"/>
        <rFont val="Arial"/>
        <family val="2"/>
      </rPr>
      <t>[</t>
    </r>
  </si>
  <si>
    <t>Independência</t>
  </si>
  <si>
    <t>(Death of Jesus)</t>
  </si>
  <si>
    <r>
      <t>Good Friday</t>
    </r>
    <r>
      <rPr>
        <sz val="10"/>
        <rFont val="Arial"/>
        <family val="2"/>
      </rPr>
      <t xml:space="preserve"> (from the senses </t>
    </r>
    <r>
      <rPr>
        <i/>
        <sz val="10"/>
        <rFont val="Arial"/>
        <family val="2"/>
      </rPr>
      <t>pious</t>
    </r>
    <r>
      <rPr>
        <sz val="10"/>
        <rFont val="Arial"/>
        <family val="2"/>
      </rPr>
      <t xml:space="preserve">, </t>
    </r>
    <r>
      <rPr>
        <i/>
        <sz val="10"/>
        <rFont val="Arial"/>
        <family val="2"/>
      </rPr>
      <t>holy</t>
    </r>
    <r>
      <rPr>
        <sz val="10"/>
        <rFont val="Arial"/>
        <family val="2"/>
      </rPr>
      <t xml:space="preserve"> of the word "good"),</t>
    </r>
    <r>
      <rPr>
        <vertAlign val="superscript"/>
        <sz val="10"/>
        <rFont val="Arial"/>
        <family val="2"/>
      </rPr>
      <t>[</t>
    </r>
    <r>
      <rPr>
        <sz val="10"/>
        <rFont val="Arial"/>
        <family val="2"/>
      </rPr>
      <t>1]</t>
    </r>
    <r>
      <rPr>
        <sz val="10"/>
        <rFont val="Arial"/>
        <family val="2"/>
      </rPr>
      <t xml:space="preserve"> is a religious holiday observed primarily by Christians commemorating the crucifixion of Jesus Christ and his death at Calvary. The holiday is observed during Holy Week as part of the Paschal Triduum on the Friday preceding Easter Sunday, and may coincide with the Jewish observance of Passover. It is also known as </t>
    </r>
    <r>
      <rPr>
        <b/>
        <sz val="10"/>
        <rFont val="Arial"/>
        <family val="2"/>
      </rPr>
      <t>Holy Friday</t>
    </r>
    <r>
      <rPr>
        <sz val="10"/>
        <rFont val="Arial"/>
        <family val="2"/>
      </rPr>
      <t xml:space="preserve">, </t>
    </r>
    <r>
      <rPr>
        <b/>
        <sz val="10"/>
        <rFont val="Arial"/>
        <family val="2"/>
      </rPr>
      <t>Great Friday</t>
    </r>
    <r>
      <rPr>
        <sz val="10"/>
        <rFont val="Arial"/>
        <family val="2"/>
      </rPr>
      <t xml:space="preserve">, </t>
    </r>
    <r>
      <rPr>
        <b/>
        <sz val="10"/>
        <rFont val="Arial"/>
        <family val="2"/>
      </rPr>
      <t>Black Friday</t>
    </r>
    <r>
      <rPr>
        <sz val="10"/>
        <rFont val="Arial"/>
        <family val="2"/>
      </rPr>
      <t>,</t>
    </r>
    <r>
      <rPr>
        <vertAlign val="superscript"/>
        <sz val="10"/>
        <rFont val="Arial"/>
        <family val="2"/>
      </rPr>
      <t>[</t>
    </r>
    <r>
      <rPr>
        <sz val="10"/>
        <rFont val="Arial"/>
        <family val="2"/>
      </rPr>
      <t>2]</t>
    </r>
    <r>
      <rPr>
        <sz val="10"/>
        <rFont val="Arial"/>
        <family val="2"/>
      </rPr>
      <t xml:space="preserve"> or </t>
    </r>
    <r>
      <rPr>
        <b/>
        <sz val="10"/>
        <rFont val="Arial"/>
        <family val="2"/>
      </rPr>
      <t>Easter Friday</t>
    </r>
    <r>
      <rPr>
        <sz val="10"/>
        <rFont val="Arial"/>
        <family val="2"/>
      </rPr>
      <t>,</t>
    </r>
    <r>
      <rPr>
        <vertAlign val="superscript"/>
        <sz val="10"/>
        <rFont val="Arial"/>
        <family val="2"/>
      </rPr>
      <t>[</t>
    </r>
    <r>
      <rPr>
        <sz val="10"/>
        <rFont val="Arial"/>
        <family val="2"/>
      </rPr>
      <t>3]</t>
    </r>
    <r>
      <rPr>
        <sz val="10"/>
        <rFont val="Arial"/>
        <family val="2"/>
      </rPr>
      <t xml:space="preserve"> though the latter properly refers to the Friday in Easter week.</t>
    </r>
  </si>
  <si>
    <t>Lent (40 days of penance before Easter)</t>
  </si>
  <si>
    <r>
      <t>Lent</t>
    </r>
    <r>
      <rPr>
        <sz val="10"/>
        <rFont val="Arial"/>
        <family val="2"/>
      </rPr>
      <t xml:space="preserve"> (Latin: </t>
    </r>
    <r>
      <rPr>
        <b/>
        <sz val="10"/>
        <rFont val="Arial"/>
        <family val="2"/>
      </rPr>
      <t>Quadragesima</t>
    </r>
    <r>
      <rPr>
        <sz val="10"/>
        <rFont val="Arial"/>
        <family val="2"/>
      </rPr>
      <t>, "fortieth"</t>
    </r>
    <r>
      <rPr>
        <vertAlign val="superscript"/>
        <sz val="10"/>
        <rFont val="Arial"/>
        <family val="2"/>
      </rPr>
      <t>[</t>
    </r>
    <r>
      <rPr>
        <sz val="10"/>
        <rFont val="Arial"/>
        <family val="2"/>
      </rPr>
      <t>1]</t>
    </r>
    <r>
      <rPr>
        <sz val="10"/>
        <rFont val="Arial"/>
        <family val="2"/>
      </rPr>
      <t>) is an observance in the liturgical year of many Christian denominations, lasting for a period of approximately six weeks leading up to Easter. In most Western denominations Lent is taken to run from Ash Wednesday to Maundy Thursday (Holy Thursday) or to Easter Eve.</t>
    </r>
  </si>
  <si>
    <t>Holy Week</t>
  </si>
  <si>
    <t>Easter Triduum</t>
  </si>
  <si>
    <t>Dia Internacional do Idoso</t>
  </si>
  <si>
    <r>
      <t>Holy Saturday</t>
    </r>
    <r>
      <rPr>
        <sz val="10"/>
        <rFont val="Arial"/>
        <family val="2"/>
      </rPr>
      <t xml:space="preserve"> (Latin: </t>
    </r>
    <r>
      <rPr>
        <i/>
        <sz val="10"/>
        <rFont val="Arial"/>
        <family val="2"/>
      </rPr>
      <t>Sabbatum Sanctum</t>
    </r>
    <r>
      <rPr>
        <sz val="10"/>
        <rFont val="Arial"/>
        <family val="2"/>
      </rPr>
      <t xml:space="preserve">), sometimes known as </t>
    </r>
    <r>
      <rPr>
        <b/>
        <sz val="10"/>
        <rFont val="Arial"/>
        <family val="2"/>
      </rPr>
      <t>Easter Eve</t>
    </r>
    <r>
      <rPr>
        <vertAlign val="superscript"/>
        <sz val="10"/>
        <rFont val="Arial"/>
        <family val="2"/>
      </rPr>
      <t>[</t>
    </r>
    <r>
      <rPr>
        <sz val="10"/>
        <rFont val="Arial"/>
        <family val="2"/>
      </rPr>
      <t>1]</t>
    </r>
    <r>
      <rPr>
        <sz val="10"/>
        <rFont val="Arial"/>
        <family val="2"/>
      </rPr>
      <t xml:space="preserve"> or </t>
    </r>
    <r>
      <rPr>
        <b/>
        <sz val="10"/>
        <rFont val="Arial"/>
        <family val="2"/>
      </rPr>
      <t>Black Saturday</t>
    </r>
    <r>
      <rPr>
        <sz val="10"/>
        <rFont val="Arial"/>
        <family val="2"/>
      </rPr>
      <t>, is the day after Good Friday. It is the day before Easter and the last day of Holy Week in which Christians prepare for Easter. It commemorates the day that Jesus Christ's body laid in the tomb.</t>
    </r>
  </si>
  <si>
    <t>N. Sra. Aparecida / Dia das Crianças</t>
  </si>
  <si>
    <t xml:space="preserve">   Easter</t>
  </si>
  <si>
    <r>
      <t>Easter</t>
    </r>
    <r>
      <rPr>
        <sz val="10"/>
        <rFont val="Arial"/>
        <family val="2"/>
      </rPr>
      <t xml:space="preserve"> (Old English: </t>
    </r>
    <r>
      <rPr>
        <i/>
        <sz val="10"/>
        <rFont val="Arial"/>
        <family val="2"/>
      </rPr>
      <t>Ēostre</t>
    </r>
    <r>
      <rPr>
        <sz val="10"/>
        <rFont val="Arial"/>
        <family val="2"/>
      </rPr>
      <t xml:space="preserve">) or </t>
    </r>
    <r>
      <rPr>
        <b/>
        <sz val="10"/>
        <rFont val="Arial"/>
        <family val="2"/>
      </rPr>
      <t>Pascha</t>
    </r>
    <r>
      <rPr>
        <sz val="10"/>
        <rFont val="Arial"/>
        <family val="2"/>
      </rPr>
      <t xml:space="preserve"> (Greek: Πάσχα, </t>
    </r>
    <r>
      <rPr>
        <i/>
        <sz val="10"/>
        <rFont val="Arial"/>
        <family val="2"/>
      </rPr>
      <t>Paskha</t>
    </r>
    <r>
      <rPr>
        <sz val="10"/>
        <rFont val="Arial"/>
        <family val="2"/>
      </rPr>
      <t xml:space="preserve">; Aramaic: פַּסחא‎ </t>
    </r>
    <r>
      <rPr>
        <i/>
        <sz val="10"/>
        <rFont val="Arial"/>
        <family val="2"/>
      </rPr>
      <t>Pasḥa</t>
    </r>
    <r>
      <rPr>
        <sz val="10"/>
        <rFont val="Arial"/>
        <family val="2"/>
      </rPr>
      <t xml:space="preserve">; from Hebrew: פֶּסַח‎ </t>
    </r>
    <r>
      <rPr>
        <i/>
        <sz val="10"/>
        <rFont val="Arial"/>
        <family val="2"/>
      </rPr>
      <t>Pesaḥ</t>
    </r>
    <r>
      <rPr>
        <sz val="10"/>
        <rFont val="Arial"/>
        <family val="2"/>
      </rPr>
      <t>)</t>
    </r>
    <r>
      <rPr>
        <vertAlign val="superscript"/>
        <sz val="10"/>
        <rFont val="Arial"/>
        <family val="2"/>
      </rPr>
      <t>[</t>
    </r>
    <r>
      <rPr>
        <sz val="10"/>
        <rFont val="Arial"/>
        <family val="2"/>
      </rPr>
      <t>1]</t>
    </r>
    <r>
      <rPr>
        <sz val="10"/>
        <rFont val="Arial"/>
        <family val="2"/>
      </rPr>
      <t xml:space="preserve"> is a Christian festival and holiday celebrating the resurrection of Jesus Christ on the third day after his crucifixion at Calvary as described in the New Testament.</t>
    </r>
  </si>
  <si>
    <t>(Resurrection of Jesus, end of Lent)</t>
  </si>
  <si>
    <t>Dia do Professor</t>
  </si>
  <si>
    <t>(Monday following Easter Sunday, not part of the Easter Triduum)</t>
  </si>
  <si>
    <r>
      <t>Easter Monday</t>
    </r>
    <r>
      <rPr>
        <sz val="10"/>
        <rFont val="Arial"/>
        <family val="2"/>
      </rPr>
      <t xml:space="preserve"> (also known as </t>
    </r>
    <r>
      <rPr>
        <b/>
        <sz val="10"/>
        <rFont val="Arial"/>
        <family val="2"/>
      </rPr>
      <t>Egg Nyte</t>
    </r>
    <r>
      <rPr>
        <sz val="10"/>
        <rFont val="Arial"/>
        <family val="2"/>
      </rPr>
      <t>) is the day after Easter Sunday and is celebrated as a holiday in some largely Christian cultures, especially Roman Catholic and Eastern Orthodox cultures.</t>
    </r>
  </si>
  <si>
    <t>Dia do Servidor Público</t>
  </si>
  <si>
    <r>
      <rPr>
        <b/>
        <sz val="10"/>
        <rFont val="Arial"/>
        <family val="2"/>
      </rPr>
      <t>Ascension Day</t>
    </r>
    <r>
      <rPr>
        <sz val="10"/>
        <rFont val="Arial"/>
        <family val="2"/>
      </rPr>
      <t xml:space="preserve"> (Ascension of Jesus into Heaven) is traditionally celebrated on a Thursday, the fortieth day of Easter (following the count given in Acts 1:3), although some Roman Catholic provinces have moved the observance to the following Sunday.</t>
    </r>
  </si>
  <si>
    <t>Dia do Comerciário</t>
  </si>
  <si>
    <r>
      <rPr>
        <b/>
        <sz val="10"/>
        <rFont val="Arial"/>
        <family val="2"/>
      </rPr>
      <t>Pentecost</t>
    </r>
    <r>
      <rPr>
        <sz val="10"/>
        <rFont val="Arial"/>
        <family val="2"/>
      </rPr>
      <t xml:space="preserve"> (Descent of the Holy Spirit upon the disciples of Jesus) is celebrated seven weeks (50 days) after Easter Sunday, hence its name.</t>
    </r>
    <r>
      <rPr>
        <vertAlign val="superscript"/>
        <sz val="10"/>
        <rFont val="Arial"/>
        <family val="2"/>
      </rPr>
      <t>[</t>
    </r>
    <r>
      <rPr>
        <sz val="10"/>
        <rFont val="Arial"/>
        <family val="2"/>
      </rPr>
      <t>1] Pentecost falls on the tenth day after Ascension Thursday.</t>
    </r>
  </si>
  <si>
    <t>Dia de Todos os Santos</t>
  </si>
  <si>
    <t xml:space="preserve">   Trinity Sunday</t>
  </si>
  <si>
    <r>
      <t>Trinity Sunday</t>
    </r>
    <r>
      <rPr>
        <sz val="10"/>
        <rFont val="Arial"/>
        <family val="2"/>
      </rPr>
      <t xml:space="preserve"> is the first Sunday after Pentecost in the Western Christian liturgical calendar, and the Sunday of Pentecost in Eastern Christianity. Trinity Sunday celebrates the Christian dogma of the Trinity, the three Persons of God: the Father, the Son, and the Holy Spirit.</t>
    </r>
  </si>
  <si>
    <r>
      <t xml:space="preserve">The </t>
    </r>
    <r>
      <rPr>
        <b/>
        <sz val="10"/>
        <rFont val="Arial"/>
        <family val="2"/>
      </rPr>
      <t>Feast of Corpus Christi</t>
    </r>
    <r>
      <rPr>
        <sz val="10"/>
        <rFont val="Arial"/>
        <family val="2"/>
      </rPr>
      <t xml:space="preserve"> (Latin for </t>
    </r>
    <r>
      <rPr>
        <i/>
        <sz val="10"/>
        <rFont val="Arial"/>
        <family val="2"/>
      </rPr>
      <t>Body of Christ</t>
    </r>
    <r>
      <rPr>
        <sz val="10"/>
        <rFont val="Arial"/>
        <family val="2"/>
      </rPr>
      <t>) is a Latin Rite liturgical solemnity celebrating the [Sacrifice of Jesus] tradition and belief in the body and blood of Jesus Christ and his Real Presence in the Eucharist. The feast is liturgically celebrated on the Thursday after Trinity Sunday.</t>
    </r>
  </si>
  <si>
    <t>Proc. da República</t>
  </si>
  <si>
    <r>
      <rPr>
        <b/>
        <sz val="10"/>
        <rFont val="Arial"/>
        <family val="2"/>
      </rPr>
      <t>Advent</t>
    </r>
    <r>
      <rPr>
        <sz val="10"/>
        <rFont val="Arial"/>
        <family val="2"/>
      </rPr>
      <t xml:space="preserve"> is a season observed in many Christian churches as a time of expectant waiting and preparation for the celebration of the Nativity of Jesus at Christmas as well as the return of Jesus at the second coming. Starts on the fourth Sunday before December 25, the Sunday from November 27 to December 3 inclusive.</t>
    </r>
  </si>
  <si>
    <t>Dia da Bandeira</t>
  </si>
  <si>
    <t>Dia da Consciência Negra</t>
  </si>
  <si>
    <r>
      <t>Epiphany</t>
    </r>
    <r>
      <rPr>
        <sz val="10"/>
        <rFont val="Arial"/>
        <family val="2"/>
      </rPr>
      <t xml:space="preserve"> (Koine Greek: ἐπιφάνεια, </t>
    </r>
    <r>
      <rPr>
        <i/>
        <sz val="10"/>
        <rFont val="Arial"/>
        <family val="2"/>
      </rPr>
      <t>epiphaneia</t>
    </r>
    <r>
      <rPr>
        <sz val="10"/>
        <rFont val="Arial"/>
        <family val="2"/>
      </rPr>
      <t>, "manifestation", "striking appearance"</t>
    </r>
    <r>
      <rPr>
        <vertAlign val="superscript"/>
        <sz val="10"/>
        <rFont val="Arial"/>
        <family val="2"/>
      </rPr>
      <t>[</t>
    </r>
    <r>
      <rPr>
        <sz val="10"/>
        <rFont val="Arial"/>
        <family val="2"/>
      </rPr>
      <t>1]</t>
    </r>
    <r>
      <rPr>
        <sz val="10"/>
        <rFont val="Arial"/>
        <family val="2"/>
      </rPr>
      <t xml:space="preserve">) or </t>
    </r>
    <r>
      <rPr>
        <b/>
        <sz val="10"/>
        <rFont val="Arial"/>
        <family val="2"/>
      </rPr>
      <t>Theophany</t>
    </r>
    <r>
      <rPr>
        <vertAlign val="superscript"/>
        <sz val="10"/>
        <rFont val="Arial"/>
        <family val="2"/>
      </rPr>
      <t>[</t>
    </r>
    <r>
      <rPr>
        <sz val="10"/>
        <rFont val="Arial"/>
        <family val="2"/>
      </rPr>
      <t>2]</t>
    </r>
    <r>
      <rPr>
        <sz val="10"/>
        <rFont val="Arial"/>
        <family val="2"/>
      </rPr>
      <t xml:space="preserve"> (Ancient Greek (ἡ) Θεοφάνεια, </t>
    </r>
    <r>
      <rPr>
        <i/>
        <sz val="10"/>
        <rFont val="Arial"/>
        <family val="2"/>
      </rPr>
      <t>Τheophaneia</t>
    </r>
    <r>
      <rPr>
        <sz val="10"/>
        <rFont val="Arial"/>
        <family val="2"/>
      </rPr>
      <t xml:space="preserve"> meaning "vision of God"</t>
    </r>
    <r>
      <rPr>
        <vertAlign val="superscript"/>
        <sz val="10"/>
        <rFont val="Arial"/>
        <family val="2"/>
      </rPr>
      <t>[</t>
    </r>
    <r>
      <rPr>
        <sz val="10"/>
        <rFont val="Arial"/>
        <family val="2"/>
      </rPr>
      <t>3]</t>
    </r>
    <r>
      <rPr>
        <sz val="10"/>
        <rFont val="Arial"/>
        <family val="2"/>
      </rPr>
      <t>), which traditionally falls on 6 January, is a Christian feast day that celebrates the revelation of God the Son as a human being in Jesus Christ.</t>
    </r>
  </si>
  <si>
    <r>
      <t xml:space="preserve">In addition to being known as the Presentation of Jesus at the Temple, other traditional names include </t>
    </r>
    <r>
      <rPr>
        <b/>
        <sz val="10"/>
        <rFont val="Arial"/>
        <family val="2"/>
      </rPr>
      <t>Candlemas</t>
    </r>
    <r>
      <rPr>
        <sz val="10"/>
        <rFont val="Arial"/>
        <family val="2"/>
      </rPr>
      <t>, the Feast of the Purification of the Virgin, and the Meeting of the Lord. Candlemas occurs 40 days after Christmas.</t>
    </r>
  </si>
  <si>
    <r>
      <t xml:space="preserve">The </t>
    </r>
    <r>
      <rPr>
        <b/>
        <sz val="10"/>
        <rFont val="Arial"/>
        <family val="2"/>
      </rPr>
      <t>Assumption of the Blessed Virgin Mary into Heaven</t>
    </r>
    <r>
      <rPr>
        <sz val="10"/>
        <rFont val="Arial"/>
        <family val="2"/>
      </rPr>
      <t xml:space="preserve"> (Assumption of the Virgin Mary), informally known as </t>
    </r>
    <r>
      <rPr>
        <b/>
        <sz val="10"/>
        <rFont val="Arial"/>
        <family val="2"/>
      </rPr>
      <t>The Assumption</t>
    </r>
    <r>
      <rPr>
        <sz val="10"/>
        <rFont val="Arial"/>
        <family val="2"/>
      </rPr>
      <t>, according to the belief of Christians of the Roman Catholic Church, Eastern Orthodoxy, Oriental Orthodoxy, and parts of Anglicanism, was the bodily taking up of the Virgin Mary into Heaven at the end of her life. In the churches that observe it, the Assumption is a major feast day, commonly celebrated on 15 August.</t>
    </r>
  </si>
  <si>
    <r>
      <t>Halloween</t>
    </r>
    <r>
      <rPr>
        <sz val="10"/>
        <rFont val="Arial"/>
        <family val="2"/>
      </rPr>
      <t xml:space="preserve"> (a shortening of </t>
    </r>
    <r>
      <rPr>
        <b/>
        <sz val="10"/>
        <rFont val="Arial"/>
        <family val="2"/>
      </rPr>
      <t>All Hallows’ Evening</t>
    </r>
    <r>
      <rPr>
        <sz val="10"/>
        <rFont val="Arial"/>
        <family val="2"/>
      </rPr>
      <t>),</t>
    </r>
    <r>
      <rPr>
        <sz val="10"/>
        <rFont val="Arial"/>
        <family val="2"/>
      </rPr>
      <t xml:space="preserve"> also known as </t>
    </r>
    <r>
      <rPr>
        <b/>
        <sz val="10"/>
        <rFont val="Arial"/>
        <family val="2"/>
      </rPr>
      <t>Hallowe'en</t>
    </r>
    <r>
      <rPr>
        <sz val="10"/>
        <rFont val="Arial"/>
        <family val="2"/>
      </rPr>
      <t xml:space="preserve"> or </t>
    </r>
    <r>
      <rPr>
        <b/>
        <sz val="10"/>
        <rFont val="Arial"/>
        <family val="2"/>
      </rPr>
      <t>All Hallows' Eve</t>
    </r>
    <r>
      <rPr>
        <sz val="10"/>
        <rFont val="Arial"/>
        <family val="2"/>
      </rPr>
      <t>,</t>
    </r>
    <r>
      <rPr>
        <sz val="10"/>
        <rFont val="Arial"/>
        <family val="2"/>
      </rPr>
      <t xml:space="preserve"> is a yearly holiday observed around the world on October 31, the night before All Saints' Day.</t>
    </r>
  </si>
  <si>
    <r>
      <t>All Saints' Day</t>
    </r>
    <r>
      <rPr>
        <sz val="10"/>
        <rFont val="Arial"/>
        <family val="2"/>
      </rPr>
      <t xml:space="preserve"> (in the Roman Catholic Church officially the </t>
    </r>
    <r>
      <rPr>
        <b/>
        <sz val="10"/>
        <rFont val="Arial"/>
        <family val="2"/>
      </rPr>
      <t>Solemnity of All Saints</t>
    </r>
    <r>
      <rPr>
        <sz val="10"/>
        <rFont val="Arial"/>
        <family val="2"/>
      </rPr>
      <t xml:space="preserve"> and also called </t>
    </r>
    <r>
      <rPr>
        <b/>
        <sz val="10"/>
        <rFont val="Arial"/>
        <family val="2"/>
      </rPr>
      <t>All Hallows</t>
    </r>
    <r>
      <rPr>
        <sz val="10"/>
        <rFont val="Arial"/>
        <family val="2"/>
      </rPr>
      <t xml:space="preserve"> or </t>
    </r>
    <r>
      <rPr>
        <b/>
        <sz val="10"/>
        <rFont val="Arial"/>
        <family val="2"/>
      </rPr>
      <t>Hallowmas</t>
    </r>
    <r>
      <rPr>
        <vertAlign val="superscript"/>
        <sz val="10"/>
        <rFont val="Arial"/>
        <family val="2"/>
      </rPr>
      <t>[</t>
    </r>
    <r>
      <rPr>
        <sz val="10"/>
        <rFont val="Arial"/>
        <family val="2"/>
      </rPr>
      <t>3]</t>
    </r>
    <r>
      <rPr>
        <sz val="10"/>
        <rFont val="Arial"/>
        <family val="2"/>
      </rPr>
      <t xml:space="preserve">), often shortened to </t>
    </r>
    <r>
      <rPr>
        <b/>
        <sz val="10"/>
        <rFont val="Arial"/>
        <family val="2"/>
      </rPr>
      <t>All Saints</t>
    </r>
    <r>
      <rPr>
        <sz val="10"/>
        <rFont val="Arial"/>
        <family val="2"/>
      </rPr>
      <t>, is a solemnity celebrated on 1 November by parts of Western Christianity, and on the first Sunday after Pentecost in Eastern Christianity, in honour of all the saints, known and unknown.</t>
    </r>
  </si>
  <si>
    <r>
      <t>All Souls' Day</t>
    </r>
    <r>
      <rPr>
        <sz val="10"/>
        <rFont val="Arial"/>
        <family val="2"/>
      </rPr>
      <t xml:space="preserve"> commemorates the faithful departed. In Western Christianity, this day is observed principally in the Catholic Church, although some churches of Anglican Communion and the Old Catholic Churches also celebrate it. The Eastern Orthodox Church observes several All Souls' Days during the year.</t>
    </r>
  </si>
  <si>
    <r>
      <t>Christmas</t>
    </r>
    <r>
      <rPr>
        <sz val="10"/>
        <rFont val="Arial"/>
        <family val="2"/>
      </rPr>
      <t xml:space="preserve"> or </t>
    </r>
    <r>
      <rPr>
        <b/>
        <sz val="10"/>
        <rFont val="Arial"/>
        <family val="2"/>
      </rPr>
      <t>Christmas Day</t>
    </r>
    <r>
      <rPr>
        <sz val="10"/>
        <rFont val="Arial"/>
        <family val="2"/>
      </rPr>
      <t xml:space="preserve"> (Old English: </t>
    </r>
    <r>
      <rPr>
        <i/>
        <sz val="10"/>
        <rFont val="Arial"/>
        <family val="2"/>
      </rPr>
      <t>Crīstesmæsse</t>
    </r>
    <r>
      <rPr>
        <sz val="10"/>
        <rFont val="Arial"/>
        <family val="2"/>
      </rPr>
      <t>, literally "Christ's mass") is an annual commemoration of the birth of Jesus Christ,</t>
    </r>
    <r>
      <rPr>
        <vertAlign val="superscript"/>
        <sz val="10"/>
        <rFont val="Arial"/>
        <family val="2"/>
      </rPr>
      <t>[</t>
    </r>
    <r>
      <rPr>
        <sz val="10"/>
        <rFont val="Arial"/>
        <family val="2"/>
      </rPr>
      <t>5]</t>
    </r>
    <r>
      <rPr>
        <vertAlign val="superscript"/>
        <sz val="10"/>
        <rFont val="Arial"/>
        <family val="2"/>
      </rPr>
      <t>[</t>
    </r>
    <r>
      <rPr>
        <sz val="10"/>
        <rFont val="Arial"/>
        <family val="2"/>
      </rPr>
      <t>6]</t>
    </r>
    <r>
      <rPr>
        <sz val="10"/>
        <rFont val="Arial"/>
        <family val="2"/>
      </rPr>
      <t xml:space="preserve"> celebrated generally on December 25</t>
    </r>
  </si>
  <si>
    <t>(Birth of Jesus)</t>
  </si>
  <si>
    <r>
      <t xml:space="preserve">The </t>
    </r>
    <r>
      <rPr>
        <b/>
        <sz val="10"/>
        <rFont val="Arial"/>
        <family val="2"/>
      </rPr>
      <t>Massacre of the Innocents</t>
    </r>
    <r>
      <rPr>
        <sz val="10"/>
        <rFont val="Arial"/>
        <family val="2"/>
      </rPr>
      <t xml:space="preserve"> (Winter Lent) was an episode of infanticide and gendercide by Herod the Great, the king of Iudaea Province. According to the Gospel of Matthew Herod ordered the execution of all young male children in the village of Bethlehem, so as to avoid the loss of his throne to a newborn King of the Jews whose birth had been announced to him by the Magi. Today, the date of Holy Innocents' Day, also called The Innocents' Day or Childermas or Children's Mass, varies. It is 27 December for West Syrians (Syriac Orthodox Church, Syro-Malankara Catholic Church, and Maronite Church) and 10 January for East Syrians (Chaldeans and Syro-Malabar Catholic Church), while </t>
    </r>
    <r>
      <rPr>
        <b/>
        <sz val="10"/>
        <rFont val="Arial"/>
        <family val="2"/>
      </rPr>
      <t>28 December</t>
    </r>
    <r>
      <rPr>
        <sz val="10"/>
        <rFont val="Arial"/>
        <family val="2"/>
      </rPr>
      <t xml:space="preserve"> is the date in the Church of England, the Lutheran Church and the Roman Catholic Church (in which, except on Sunday, violet vestments were worn before 1961, instead of red, the normal liturgical colour for celebrating martyrs). In these latter Western Christian denominations, Childermas is the fourth day of Christmastide. The Eastern Orthodox Church celebrates the feast on 29 December.</t>
    </r>
  </si>
  <si>
    <r>
      <t xml:space="preserve">In the Gregorian calendar, </t>
    </r>
    <r>
      <rPr>
        <b/>
        <sz val="10"/>
        <rFont val="Arial"/>
        <family val="2"/>
      </rPr>
      <t>New Year's Eve</t>
    </r>
    <r>
      <rPr>
        <sz val="10"/>
        <rFont val="Arial"/>
        <family val="2"/>
      </rPr>
      <t>, the last day of the year, is on December 31. In many countries, New Year's Eve is celebrated at evening social gatherings, where many people dance, eat, drink alcoholic beverages, and watch or light fireworks to mark the new year. Some people attend a watchnight service.</t>
    </r>
    <r>
      <rPr>
        <vertAlign val="superscript"/>
        <sz val="10"/>
        <rFont val="Arial"/>
        <family val="2"/>
      </rPr>
      <t>[</t>
    </r>
    <r>
      <rPr>
        <sz val="10"/>
        <rFont val="Arial"/>
        <family val="2"/>
      </rPr>
      <t>1]</t>
    </r>
    <r>
      <rPr>
        <sz val="10"/>
        <rFont val="Arial"/>
        <family val="2"/>
      </rPr>
      <t xml:space="preserve"> The celebrations generally go on past midnight into January 1 (New Year's Day).</t>
    </r>
  </si>
  <si>
    <t>Dia das Mães (2º domingo de maio)</t>
  </si>
  <si>
    <t>Dia dos Pais (2º domingo de agosto)</t>
  </si>
  <si>
    <t>Sri Krsna Pusya Abhiseka</t>
  </si>
  <si>
    <t>Pandava Nirjala Ekadasi</t>
  </si>
  <si>
    <t>Snana Yatra</t>
  </si>
  <si>
    <t>Varaha Dvadasi</t>
  </si>
  <si>
    <t>Ramacandra Vijayotsava</t>
  </si>
  <si>
    <t>Nityananda Trayodasi</t>
  </si>
  <si>
    <t>Sri Krsna Madhura Utsava</t>
  </si>
  <si>
    <t>Jhulana Yatra começa</t>
  </si>
  <si>
    <t>Sri Krsna Saradiya Rasayatra</t>
  </si>
  <si>
    <t>Gaura Purnima</t>
  </si>
  <si>
    <t>Dipa dana, Dipavali</t>
  </si>
  <si>
    <t>Dipa dana, Dipavali, (Kali Puja)</t>
  </si>
  <si>
    <t>Govardhana Puja</t>
  </si>
  <si>
    <t>Rama Navami</t>
  </si>
  <si>
    <t>Sri Krsna Janmastami</t>
  </si>
  <si>
    <t>Sri Balarama Rasayatra</t>
  </si>
  <si>
    <t>Sri Krsna Rasayatra</t>
  </si>
  <si>
    <t>Radhastami</t>
  </si>
  <si>
    <t>Tulasi-Saligrama Vivaha</t>
  </si>
  <si>
    <t>Nrsimha Caturdasi</t>
  </si>
  <si>
    <t>Sri Vamana Dvadasi</t>
  </si>
  <si>
    <t>lon2</t>
  </si>
  <si>
    <t>lat2</t>
  </si>
  <si>
    <t>GYear</t>
  </si>
  <si>
    <t>Paksa</t>
  </si>
  <si>
    <t>PaksaId</t>
  </si>
  <si>
    <t>Tithi</t>
  </si>
  <si>
    <t>ArunodayaTime</t>
  </si>
  <si>
    <t>SunRise</t>
  </si>
  <si>
    <t>Noon</t>
  </si>
  <si>
    <t>SunSet</t>
  </si>
  <si>
    <t>FastMark</t>
  </si>
  <si>
    <t>DateString</t>
  </si>
  <si>
    <t>Gdate</t>
  </si>
  <si>
    <t>Ref</t>
  </si>
  <si>
    <t>Tithi Paksa Masa</t>
  </si>
  <si>
    <t>Fast Subject</t>
  </si>
  <si>
    <t>codClass</t>
  </si>
  <si>
    <t>Class</t>
  </si>
  <si>
    <t>Saptami Tithi,Krsna Paksa,Madhusudana Masa</t>
  </si>
  <si>
    <t>Dasami Tithi,Krsna Paksa,Madhusudana Masa</t>
  </si>
  <si>
    <t>Amavasya,K,Madhusudana</t>
  </si>
  <si>
    <t>Amavasya Tithi,Krsna Paksa,Madhusudana Masa</t>
  </si>
  <si>
    <t>Tritiya,G,Madhusudana</t>
  </si>
  <si>
    <t>Tritiya Tithi,Gaura Paksa,Madhusudana Masa</t>
  </si>
  <si>
    <t>Saptami,G,Madhusudana</t>
  </si>
  <si>
    <t>Saptami Tithi,Gaura Paksa,Madhusudana Masa</t>
  </si>
  <si>
    <t>Jahnu Saptami</t>
  </si>
  <si>
    <t>Navami,G,Madhusudana</t>
  </si>
  <si>
    <t>Navami Tithi,Gaura Paksa,Madhusudana Masa</t>
  </si>
  <si>
    <t>Dvadasi,G,Madhusudana</t>
  </si>
  <si>
    <t>Dvadasi Tithi,Gaura Paksa,Madhusudana Masa</t>
  </si>
  <si>
    <t>Rukmini Dvadasi</t>
  </si>
  <si>
    <t>Trayodasi,G,Madhusudana</t>
  </si>
  <si>
    <t>Trayodasi Tithi,Gaura Paksa,Madhusudana Masa</t>
  </si>
  <si>
    <t>Caturdasi,G,Madhusudana</t>
  </si>
  <si>
    <t>Caturdasi Tithi,Gaura Paksa,Madhusudana Masa</t>
  </si>
  <si>
    <t>Lord Nrsimhadeva</t>
  </si>
  <si>
    <t>Purnima,G,Madhusudana</t>
  </si>
  <si>
    <t>Purnima Tithi,Gaura Paksa,Madhusudana Masa</t>
  </si>
  <si>
    <t>Krsna Phula Dola, Salila Vihara</t>
  </si>
  <si>
    <t>Pancami,K,Trivikrama</t>
  </si>
  <si>
    <t>Pancami Tithi,Krsna Paksa,Trivikrama Masa</t>
  </si>
  <si>
    <t>Dvadasi,K,Trivikrama</t>
  </si>
  <si>
    <t>Dvadasi Tithi,Krsna Paksa,Trivikrama Masa</t>
  </si>
  <si>
    <t>Dasami,G,Trivikrama</t>
  </si>
  <si>
    <t>Dasami Tithi,Gaura Paksa,Trivikrama Masa</t>
  </si>
  <si>
    <t>Ganga Puja</t>
  </si>
  <si>
    <t>Trayodasi,G,Trivikrama</t>
  </si>
  <si>
    <t>Trayodasi Tithi,Gaura Paksa,Trivikrama Masa</t>
  </si>
  <si>
    <t>Panihati Cida Dahi Utsava</t>
  </si>
  <si>
    <t>Purnima,G,Trivikrama</t>
  </si>
  <si>
    <t>Purnima Tithi,Gaura Paksa,Trivikrama Masa</t>
  </si>
  <si>
    <t>Pratipat,K,Vamana</t>
  </si>
  <si>
    <t>Pratipat Tithi,Krsna Paksa,Vamana Masa</t>
  </si>
  <si>
    <t>Pancami,K,Vamana</t>
  </si>
  <si>
    <t>Pancami Tithi,Krsna Paksa,Vamana Masa</t>
  </si>
  <si>
    <t>Dasami,K,Vamana</t>
  </si>
  <si>
    <t>Dasami Tithi,Krsna Paksa,Vamana Masa</t>
  </si>
  <si>
    <t>Amavasya,K,Vamana</t>
  </si>
  <si>
    <t>Amavasya Tithi,Krsna Paksa,Vamana Masa</t>
  </si>
  <si>
    <t>Dvitiya,G,Vamana</t>
  </si>
  <si>
    <t>Dvitiya Tithi,Gaura Paksa,Vamana Masa</t>
  </si>
  <si>
    <t>Sasti,G,Vamana</t>
  </si>
  <si>
    <t>Sasti Tithi,Gaura Paksa,Vamana Masa</t>
  </si>
  <si>
    <t>Purnima,G,Vamana</t>
  </si>
  <si>
    <t>Purnima Tithi,Gaura Paksa,Vamana Masa</t>
  </si>
  <si>
    <t>Guru (Vyasa) Purnima</t>
  </si>
  <si>
    <t>Pancami,K,Sridhara</t>
  </si>
  <si>
    <t>Pancami Tithi,Krsna Paksa,Sridhara Masa</t>
  </si>
  <si>
    <t>Astami,K,Sridhara</t>
  </si>
  <si>
    <t>Astami Tithi,Krsna Paksa,Sridhara Masa</t>
  </si>
  <si>
    <t>Navami,K,Sridhara</t>
  </si>
  <si>
    <t>Navami Tithi,Krsna Paksa,Sridhara Masa</t>
  </si>
  <si>
    <t>Caturthi,G,Sridhara</t>
  </si>
  <si>
    <t>Caturthi Tithi,Gaura Paksa,Sridhara Masa</t>
  </si>
  <si>
    <t>Ekadasi,G,Sridhara</t>
  </si>
  <si>
    <t>Ekadasi Tithi,Gaura Paksa,Sridhara Masa</t>
  </si>
  <si>
    <t>Dvadasi,G,Sridhara</t>
  </si>
  <si>
    <t>Dvadasi Tithi,Gaura Paksa,Sridhara Masa</t>
  </si>
  <si>
    <t>Purnima,G,Sridhara</t>
  </si>
  <si>
    <t>Purnima Tithi,Gaura Paksa,Sridhara Masa</t>
  </si>
  <si>
    <t>Lord Balarama</t>
  </si>
  <si>
    <t>Pratipat,K,Hrsikesa</t>
  </si>
  <si>
    <t>Pratipat Tithi,Krsna Paksa,Hrsikesa Masa</t>
  </si>
  <si>
    <t>Pancami,G,Hrsikesa</t>
  </si>
  <si>
    <t>Pancami Tithi,Gaura Paksa,Hrsikesa Masa</t>
  </si>
  <si>
    <t>Sasti,G,Hrsikesa</t>
  </si>
  <si>
    <t>Sasti Tithi,Gaura Paksa,Hrsikesa Masa</t>
  </si>
  <si>
    <t>Lalita sasti</t>
  </si>
  <si>
    <t>Astami,G,Hrsikesa</t>
  </si>
  <si>
    <t>Astami Tithi,Gaura Paksa,Hrsikesa Masa</t>
  </si>
  <si>
    <t>Dvadasi,G,Hrsikesa</t>
  </si>
  <si>
    <t>Dvadasi Tithi,Gaura Paksa,Hrsikesa Masa</t>
  </si>
  <si>
    <t>Vamanadeva</t>
  </si>
  <si>
    <t>Trayodasi,G,Hrsikesa</t>
  </si>
  <si>
    <t>Trayodasi Tithi,Gaura Paksa,Hrsikesa Masa</t>
  </si>
  <si>
    <t>Caturdasi,G,Hrsikesa</t>
  </si>
  <si>
    <t>Caturdasi Tithi,Gaura Paksa,Hrsikesa Masa</t>
  </si>
  <si>
    <t>Ananta Caturdasi Vrata</t>
  </si>
  <si>
    <t>Purnima,G,Hrsikesa</t>
  </si>
  <si>
    <t>Purnima Tithi,Gaura Paksa,Hrsikesa Masa</t>
  </si>
  <si>
    <t>Sri Visvarupa Mahotsava</t>
  </si>
  <si>
    <t>Saptami,K,Padmanabha</t>
  </si>
  <si>
    <t>Saptami Tithi,Krsna Paksa,Padmanabha Masa</t>
  </si>
  <si>
    <t>Saptami,G,Padmanabha</t>
  </si>
  <si>
    <t>Saptami Tithi,Gaura Paksa,Padmanabha Masa</t>
  </si>
  <si>
    <t>Durga Puja</t>
  </si>
  <si>
    <t>Dasami,G,Padmanabha</t>
  </si>
  <si>
    <t>Dasami Tithi,Gaura Paksa,Padmanabha Masa</t>
  </si>
  <si>
    <t>Dvadasi,G,Padmanabha</t>
  </si>
  <si>
    <t>Dvadasi Tithi,Gaura Paksa,Padmanabha Masa</t>
  </si>
  <si>
    <t>Purnima,G,Padmanabha</t>
  </si>
  <si>
    <t>Purnima Tithi,Gaura Paksa,Padmanabha Masa</t>
  </si>
  <si>
    <t>Laksmi Puja</t>
  </si>
  <si>
    <t>Pancami,K,Damodara</t>
  </si>
  <si>
    <t>Pancami Tithi,Krsna Paksa,Damodara Masa</t>
  </si>
  <si>
    <t>Astami,K,Damodara</t>
  </si>
  <si>
    <t>Astami Tithi,Krsna Paksa,Damodara Masa</t>
  </si>
  <si>
    <t>Bahulastami</t>
  </si>
  <si>
    <t>Navami,K,Damodara</t>
  </si>
  <si>
    <t>Navami Tithi,Krsna Paksa,Damodara Masa</t>
  </si>
  <si>
    <t>Amavasya,K,Damodara</t>
  </si>
  <si>
    <t>Amavasya Tithi,Krsna Paksa,Damodara Masa</t>
  </si>
  <si>
    <t>Pratipat,G,Damodara</t>
  </si>
  <si>
    <t>Pratipat Tithi,Gaura Paksa,Damodara Masa</t>
  </si>
  <si>
    <t>Bali Daityaraja Puja</t>
  </si>
  <si>
    <t>Dvitiya,G,Damodara</t>
  </si>
  <si>
    <t>Dvitiya Tithi,Gaura Paksa,Damodara Masa</t>
  </si>
  <si>
    <t>Caturthi,G,Damodara</t>
  </si>
  <si>
    <t>Caturthi Tithi,Gaura Paksa,Damodara Masa</t>
  </si>
  <si>
    <t>Astami,G,Damodara</t>
  </si>
  <si>
    <t>Astami Tithi,Gaura Paksa,Damodara Masa</t>
  </si>
  <si>
    <t>Gopastami, Gosthastami</t>
  </si>
  <si>
    <t>Navami,G,Damodara</t>
  </si>
  <si>
    <t>Navami Tithi,Gaura Paksa,Damodara Masa</t>
  </si>
  <si>
    <t>Jagaddhatri Puja</t>
  </si>
  <si>
    <t>Ekadasi,G,Damodara</t>
  </si>
  <si>
    <t>Ekadasi Tithi,Gaura Paksa,Damodara Masa</t>
  </si>
  <si>
    <t>Caturdasi,G,Damodara</t>
  </si>
  <si>
    <t>Caturdasi Tithi,Gaura Paksa,Damodara Masa</t>
  </si>
  <si>
    <t>Purnima,G,Damodara</t>
  </si>
  <si>
    <t>Purnima Tithi,Gaura Paksa,Damodara Masa</t>
  </si>
  <si>
    <t>Pratipat,K,Kesava</t>
  </si>
  <si>
    <t>Pratipat Tithi,Krsna Paksa,Kesava Masa</t>
  </si>
  <si>
    <t>Ekadasi,K,Kesava</t>
  </si>
  <si>
    <t>Ekadasi Tithi,Krsna Paksa,Kesava Masa</t>
  </si>
  <si>
    <t>Dvadasi,K,Kesava</t>
  </si>
  <si>
    <t>Dvadasi Tithi,Krsna Paksa,Kesava Masa</t>
  </si>
  <si>
    <t>Trayodasi,K,Kesava</t>
  </si>
  <si>
    <t>Trayodasi Tithi,Krsna Paksa,Kesava Masa</t>
  </si>
  <si>
    <t>Sasti,G,Kesava</t>
  </si>
  <si>
    <t>Sasti Tithi,Gaura Paksa,Kesava Masa</t>
  </si>
  <si>
    <t>Odana sasthi</t>
  </si>
  <si>
    <t>Ekadasi,G,Kesava</t>
  </si>
  <si>
    <t>Ekadasi Tithi,Gaura Paksa,Kesava Masa</t>
  </si>
  <si>
    <t>Purnima,G,Kesava</t>
  </si>
  <si>
    <t>Purnima Tithi,Gaura Paksa,Kesava Masa</t>
  </si>
  <si>
    <t>Caturthi,K,Narayana</t>
  </si>
  <si>
    <t>Caturthi Tithi,Krsna Paksa,Narayana Masa</t>
  </si>
  <si>
    <t>Ekadasi,K,Narayana</t>
  </si>
  <si>
    <t>Ekadasi Tithi,Krsna Paksa,Narayana Masa</t>
  </si>
  <si>
    <t>Trayodasi,K,Narayana</t>
  </si>
  <si>
    <t>Trayodasi Tithi,Krsna Paksa,Narayana Masa</t>
  </si>
  <si>
    <t>Pratipat,G,Narayana</t>
  </si>
  <si>
    <t>Pratipat Tithi,Gaura Paksa,Narayana Masa</t>
  </si>
  <si>
    <t>Tritiya,G,Narayana</t>
  </si>
  <si>
    <t>Tritiya Tithi,Gaura Paksa,Narayana Masa</t>
  </si>
  <si>
    <t>Dvadasi,G,Narayana</t>
  </si>
  <si>
    <t>Dvadasi Tithi,Gaura Paksa,Narayana Masa</t>
  </si>
  <si>
    <t>Purnima,G,Narayana</t>
  </si>
  <si>
    <t>Purnima Tithi,Gaura Paksa,Narayana Masa</t>
  </si>
  <si>
    <t>Pancami,K,Madhava</t>
  </si>
  <si>
    <t>Pancami Tithi,Krsna Paksa,Madhava Masa</t>
  </si>
  <si>
    <t>Sasti,K,Madhava</t>
  </si>
  <si>
    <t>Sasti Tithi,Krsna Paksa,Madhava Masa</t>
  </si>
  <si>
    <t>Saptami,K,Madhava</t>
  </si>
  <si>
    <t>Saptami Tithi,Krsna Paksa,Madhava Masa</t>
  </si>
  <si>
    <t>Pancami,G,Madhava</t>
  </si>
  <si>
    <t>Pancami Tithi,Gaura Paksa,Madhava Masa</t>
  </si>
  <si>
    <t>Vasanta Pancami</t>
  </si>
  <si>
    <t>Sarasvati Puja</t>
  </si>
  <si>
    <t>Saptami,G,Madhava</t>
  </si>
  <si>
    <t>Saptami Tithi,Gaura Paksa,Madhava Masa</t>
  </si>
  <si>
    <t>Advaita Acarya</t>
  </si>
  <si>
    <t>Astami,G,Madhava</t>
  </si>
  <si>
    <t>Astami Tithi,Gaura Paksa,Madhava Masa</t>
  </si>
  <si>
    <t>Bhismastami</t>
  </si>
  <si>
    <t>Navami,G,Madhava</t>
  </si>
  <si>
    <t>Navami Tithi,Gaura Paksa,Madhava Masa</t>
  </si>
  <si>
    <t>Dasami,G,Madhava</t>
  </si>
  <si>
    <t>Dasami Tithi,Gaura Paksa,Madhava Masa</t>
  </si>
  <si>
    <t>Dvadasi,G,Madhava</t>
  </si>
  <si>
    <t>Dvadasi Tithi,Gaura Paksa,Madhava Masa</t>
  </si>
  <si>
    <t>Trayodasi,G,Madhava</t>
  </si>
  <si>
    <t>Trayodasi Tithi,Gaura Paksa,Madhava Masa</t>
  </si>
  <si>
    <t>Sri Nityananda</t>
  </si>
  <si>
    <t>Purnima,G,Madhava</t>
  </si>
  <si>
    <t>Purnima Tithi,Gaura Paksa,Madhava Masa</t>
  </si>
  <si>
    <t>Pancami,K,Govinda</t>
  </si>
  <si>
    <t>Pancami Tithi,Krsna Paksa,Govinda Masa</t>
  </si>
  <si>
    <t>Dvadasi,K,Govinda</t>
  </si>
  <si>
    <t>Dvadasi Tithi,Krsna Paksa,Govinda Masa</t>
  </si>
  <si>
    <t>Caturdasi,K,Govinda</t>
  </si>
  <si>
    <t>Caturdasi Tithi,Krsna Paksa,Govinda Masa</t>
  </si>
  <si>
    <t>Siva Ratri</t>
  </si>
  <si>
    <t>Pratipat,G,Govinda</t>
  </si>
  <si>
    <t>Pratipat Tithi,Gaura Paksa,Govinda Masa</t>
  </si>
  <si>
    <t>Caturthi,G,Govinda</t>
  </si>
  <si>
    <t>Caturthi Tithi,Gaura Paksa,Govinda Masa</t>
  </si>
  <si>
    <t>Dvadasi,G,Govinda</t>
  </si>
  <si>
    <t>Dvadasi Tithi,Gaura Paksa,Govinda Masa</t>
  </si>
  <si>
    <t>Astami,K,Visnu</t>
  </si>
  <si>
    <t>Astami Tithi,Krsna Paksa,Visnu Masa</t>
  </si>
  <si>
    <t>Dvadasi,K,Visnu</t>
  </si>
  <si>
    <t>Dvadasi Tithi,Krsna Paksa,Visnu Masa</t>
  </si>
  <si>
    <t>Pancami,G,Visnu</t>
  </si>
  <si>
    <t>Pancami Tithi,Gaura Paksa,Visnu Masa</t>
  </si>
  <si>
    <t>Dvadasi,G,Visnu</t>
  </si>
  <si>
    <t>Dvadasi Tithi,Gaura Paksa,Visnu Masa</t>
  </si>
  <si>
    <t>Damanakaropana Dvadasi</t>
  </si>
  <si>
    <t>Purnima,G,Visnu</t>
  </si>
  <si>
    <t>Purnima Tithi,Gaura Paksa,Visnu Masa</t>
  </si>
  <si>
    <t>Sri Krsna Vasanta Rasa</t>
  </si>
  <si>
    <t>Astami,K,Hrsikesa</t>
  </si>
  <si>
    <t>Astami Tithi,Krsna Paksa,Hrsikesa Masa</t>
  </si>
  <si>
    <t>Sri Krsna</t>
  </si>
  <si>
    <t>Purnima,G,Govinda</t>
  </si>
  <si>
    <t>Purnima Tithi,Gaura Paksa,Govinda Masa</t>
  </si>
  <si>
    <t>Sri Krsna Caitanya Mahaprabhu</t>
  </si>
  <si>
    <t>Navami,K,Vamana</t>
  </si>
  <si>
    <t>Navami Tithi,Krsna Paksa,Vamana Masa</t>
  </si>
  <si>
    <t>Pratipat,K,Damodara</t>
  </si>
  <si>
    <t>Pratipat Tithi,Krsna Paksa,Damodara Masa</t>
  </si>
  <si>
    <t>Navami,G,Visnu</t>
  </si>
  <si>
    <t>Navami Tithi,Gaura Paksa,Visnu Masa</t>
  </si>
  <si>
    <t>Sri Ramacandra</t>
  </si>
  <si>
    <t>Dvitiya,K,Vamana</t>
  </si>
  <si>
    <t>Dvitiya Tithi,Krsna Paksa,Vamana Masa</t>
  </si>
  <si>
    <t>Navami,G,Hrsikesa</t>
  </si>
  <si>
    <t>Navami Tithi,Gaura Paksa,Hrsikesa Masa</t>
  </si>
  <si>
    <t>Navami,K,Hrsikesa</t>
  </si>
  <si>
    <t>Navami Tithi,Krsna Paksa,Hrsikesa Masa</t>
  </si>
  <si>
    <t>Pratipat,G,Visnu</t>
  </si>
  <si>
    <t>Pratipat Tithi,Gaura Paksa,Visnu Masa</t>
  </si>
  <si>
    <t>Makara Sankranti</t>
  </si>
  <si>
    <t>Mesha Sankranti</t>
  </si>
  <si>
    <t>A day before Vrsabha Sankranti</t>
  </si>
  <si>
    <t>Gdate String</t>
  </si>
  <si>
    <t>Gref</t>
  </si>
  <si>
    <t>Ref2</t>
  </si>
  <si>
    <t>MoonPhase</t>
  </si>
  <si>
    <t>MoonSymbol</t>
  </si>
  <si>
    <t>SunRiseTime</t>
  </si>
  <si>
    <t>NoonTime</t>
  </si>
  <si>
    <t>SunSetTime</t>
  </si>
  <si>
    <t>Event1Class</t>
  </si>
  <si>
    <t>Event2Class</t>
  </si>
  <si>
    <t>Krsna Paksa</t>
  </si>
  <si>
    <t>Masa</t>
  </si>
  <si>
    <t>Event3Class</t>
  </si>
  <si>
    <t>Event4Class</t>
  </si>
  <si>
    <t>Astami Tithi</t>
  </si>
  <si>
    <t>Sankranti</t>
  </si>
  <si>
    <t>E</t>
  </si>
  <si>
    <t>C</t>
  </si>
  <si>
    <t>F</t>
  </si>
  <si>
    <t xml:space="preserve">2Caturmasya </t>
  </si>
  <si>
    <t>Festival1</t>
  </si>
  <si>
    <t>Festival2</t>
  </si>
  <si>
    <t>Festival3</t>
  </si>
  <si>
    <t>Festival4</t>
  </si>
  <si>
    <t>Festival5</t>
  </si>
  <si>
    <t>Festival6</t>
  </si>
  <si>
    <t>Festival7</t>
  </si>
  <si>
    <t>1Caturmasya</t>
  </si>
  <si>
    <t>Class1</t>
  </si>
  <si>
    <t>Class2</t>
  </si>
  <si>
    <t>Class3</t>
  </si>
  <si>
    <t>Class4</t>
  </si>
  <si>
    <t>Class5</t>
  </si>
  <si>
    <t>Class6</t>
  </si>
  <si>
    <t>Class7</t>
  </si>
  <si>
    <t>Calendar Year</t>
  </si>
  <si>
    <t>Calendar Week</t>
  </si>
  <si>
    <t>Festival8</t>
  </si>
  <si>
    <t>Class8</t>
  </si>
  <si>
    <t>Festival9</t>
  </si>
  <si>
    <t>Class9</t>
  </si>
  <si>
    <t>Festival10</t>
  </si>
  <si>
    <t>Class10</t>
  </si>
  <si>
    <t>Varahadeva</t>
  </si>
  <si>
    <t>MassaCod</t>
  </si>
  <si>
    <t>PaksaCod</t>
  </si>
  <si>
    <t>TithiCod</t>
  </si>
  <si>
    <t>Seq</t>
  </si>
  <si>
    <t>MoonCod</t>
  </si>
  <si>
    <t>MoonDateTime</t>
  </si>
  <si>
    <t xml:space="preserve">Year First Day </t>
  </si>
  <si>
    <t xml:space="preserve">Year Last Day </t>
  </si>
  <si>
    <t>NewMoon</t>
  </si>
  <si>
    <t>WaxingMoon</t>
  </si>
  <si>
    <t>FullMoon</t>
  </si>
  <si>
    <t>WaningMoon</t>
  </si>
  <si>
    <t>MRef</t>
  </si>
  <si>
    <t>EventCorresp</t>
  </si>
  <si>
    <t>WeekNum</t>
  </si>
  <si>
    <t>Event Orig</t>
  </si>
  <si>
    <t>Corresp</t>
  </si>
  <si>
    <t>Gdate Alt</t>
  </si>
  <si>
    <t>CodType</t>
  </si>
  <si>
    <t>FestivalCorresp</t>
  </si>
  <si>
    <t>FestivalQt</t>
  </si>
  <si>
    <t>Event1</t>
  </si>
  <si>
    <t>Event2</t>
  </si>
  <si>
    <t>Event3</t>
  </si>
  <si>
    <t>Event4</t>
  </si>
  <si>
    <t>GDateFinal</t>
  </si>
  <si>
    <t>GdateOrig</t>
  </si>
  <si>
    <t>Alt</t>
  </si>
  <si>
    <t>DayType</t>
  </si>
  <si>
    <t>Sankranti depending events</t>
  </si>
  <si>
    <t>Sankranti Depending Events</t>
  </si>
  <si>
    <t>Common Events</t>
  </si>
  <si>
    <t>Fasts</t>
  </si>
  <si>
    <t>Cod</t>
  </si>
  <si>
    <t>Desc</t>
  </si>
  <si>
    <t>Order</t>
  </si>
  <si>
    <t>Order2</t>
  </si>
  <si>
    <t/>
  </si>
  <si>
    <t>Planner name</t>
  </si>
  <si>
    <t>ColRef</t>
  </si>
  <si>
    <t>DayWID</t>
  </si>
  <si>
    <t>Month Name</t>
  </si>
  <si>
    <t>Dia da semana do 1º dia do mês</t>
  </si>
  <si>
    <t>1º dia do mês</t>
  </si>
  <si>
    <t>Quantidade de dias no mês</t>
  </si>
  <si>
    <t>Número do Mês</t>
  </si>
  <si>
    <t>Weekday</t>
  </si>
  <si>
    <t>Parana Start</t>
  </si>
  <si>
    <t>Parana End</t>
  </si>
  <si>
    <t>1CatSys</t>
  </si>
  <si>
    <t>2CatSys</t>
  </si>
  <si>
    <t>1Cat</t>
  </si>
  <si>
    <t>2Caturmasya</t>
  </si>
  <si>
    <t>2Cat</t>
  </si>
  <si>
    <t>SankRasi</t>
  </si>
  <si>
    <t>SankTime</t>
  </si>
  <si>
    <t>SankDate</t>
  </si>
  <si>
    <t>Tithi And Extension</t>
  </si>
  <si>
    <t>T. Extension</t>
  </si>
  <si>
    <t>(not suitable for fasting)</t>
  </si>
  <si>
    <t>(no adecuado para el ayuno)</t>
  </si>
  <si>
    <t>(não adequado para jejum)</t>
  </si>
  <si>
    <t>EkadasiMark</t>
  </si>
  <si>
    <t>Feast</t>
  </si>
  <si>
    <t>Ekadasis</t>
  </si>
  <si>
    <t>H</t>
  </si>
  <si>
    <t>Nothing</t>
  </si>
  <si>
    <t>Ekadasis &amp; Fasts</t>
  </si>
  <si>
    <t>P</t>
  </si>
  <si>
    <t>Srimati Radharani</t>
  </si>
  <si>
    <t>Bhaktivinoda Thakura</t>
  </si>
  <si>
    <t>(Fast today till noon)</t>
  </si>
  <si>
    <t>Bhaktisiddhanta Sarasvati</t>
  </si>
  <si>
    <t>FastStart</t>
  </si>
  <si>
    <t>Srila Prabhupada</t>
  </si>
  <si>
    <t>Text1</t>
  </si>
  <si>
    <t>Text2</t>
  </si>
  <si>
    <t>Text3</t>
  </si>
  <si>
    <t>Text4</t>
  </si>
  <si>
    <t>Text5</t>
  </si>
  <si>
    <t>Text6</t>
  </si>
  <si>
    <t>Text7</t>
  </si>
  <si>
    <t>Text8</t>
  </si>
  <si>
    <t>Text9</t>
  </si>
  <si>
    <t>Text10</t>
  </si>
  <si>
    <t>Text11</t>
  </si>
  <si>
    <t>Max</t>
  </si>
  <si>
    <t>Quant</t>
  </si>
  <si>
    <t>Seg</t>
  </si>
  <si>
    <t>Remaining Days</t>
  </si>
  <si>
    <t>EventsSerie</t>
  </si>
  <si>
    <t>Yoga: Ganda
Naksatra: Swati</t>
  </si>
  <si>
    <t>Gaurabda year</t>
  </si>
  <si>
    <t>Month name</t>
  </si>
  <si>
    <t>F.C.</t>
  </si>
  <si>
    <t>data of second month considered</t>
  </si>
  <si>
    <t>data of first month considered</t>
  </si>
  <si>
    <t>citation number</t>
  </si>
  <si>
    <t>Pôr do sol</t>
  </si>
  <si>
    <t>Sunset</t>
  </si>
  <si>
    <t>Meio-dia</t>
  </si>
  <si>
    <t>Arunodaya</t>
  </si>
  <si>
    <t>Sunrise</t>
  </si>
  <si>
    <t>Nascer do sol</t>
  </si>
  <si>
    <t>=$R$23:$X$23;$R$25:$X$25;$R$27:$X$27;$R$29:$X$29;$R$31:$X$31;$R$37:$X$37;$R$39:$X$42;$D$1:$E$2;$I$1:$J$2;$N$1:$O$2;$U$1:$W$2;$V$11:$W$11</t>
  </si>
  <si>
    <t>Cond. Format.</t>
  </si>
  <si>
    <t>MNum</t>
  </si>
  <si>
    <t>=$I$1:$J$2;$N$1:$O$2</t>
  </si>
  <si>
    <t></t>
  </si>
  <si>
    <t></t>
  </si>
  <si>
    <t></t>
  </si>
  <si>
    <t></t>
  </si>
  <si>
    <t>MoonFont</t>
  </si>
  <si>
    <t>Day Ref</t>
  </si>
  <si>
    <t>Dhṛtarāṣṭra said: O Sañjaya, after my sons and the sons of Pāṇḍu assembled in the place of pilgrimage at Kurukṣetra, desiring to fight, what did they do? (Bg. 1.1)</t>
  </si>
  <si>
    <t>Dhrtarastra disse: Ó Sanjaya, que fizeram os meus filhos e os filhos de Pandu, depois de se reunirem no lugar de peregrinação de Kuruksetra, estando desejosos de lutar? (Bg. 1.1)</t>
  </si>
  <si>
    <t>Now I am confused about my duty and have lost all composure because of miserly weakness. In this condition I am asking You to tell me for certain what is best for me. Now I am Your disciple, and a soul surrendered unto You. Please instruct me. (Bg. 2.7)</t>
  </si>
  <si>
    <t>Agora estou confuso sobre meu dever e perdi toda a compostura por causa da fraqueza. Nesta condição, peço que Você me diga claramente o que é melhor para mim. Agora sou seu discípulo, e uma alma rendida a Você. Por favor, instrua-me. (Bg. 2.7)</t>
  </si>
  <si>
    <t>As the embodied soul continuously passes, in this body, from boyhood to youth to old age, the soul similarly passes into another body at death. A sober person is not bewildered by such a change. (Bg. 2.13)</t>
  </si>
  <si>
    <t>Como a alma corporificada passa continuamente, neste corpo, da infância à juventude e à velhice, da mesma forma a alma passa a um outro corpo depois da morte. A alma auto-realizada não se confunde com tal mudança. (Bg. 2.13)</t>
  </si>
  <si>
    <t>O son of Kuntī, the nonpermanent appearance of happiness and distress, and their disappearance in due course, are like the appearance and disappearance of winter and summer seasons. They arise from sense perception, O scion of Bharata, and one must learn to tolerate them without being disturbed. (Bg. 2.14)</t>
  </si>
  <si>
    <t>Ó filho de Kunti, o aparecimento temporário de felicidade e sofrimento e seu desaparecimento no devido curso, são como o aparecimento e o desaparecimento das estações de inverno e verão. Surgem da percepção sensorial, ó descendente de Bharata, e é preciso aprender a tolerá-los sem se perturbar. (Bg. 2.14)</t>
  </si>
  <si>
    <t>For the soul there is neither birth nor death at any time. He has not come into being, does not come into being, and will not come into being. He is unborn, eternal, ever-existing and primeval. He is not slain when the body is slain. (Bg. 2.20)</t>
  </si>
  <si>
    <t>Para a alma nunca há nascimento nem morte. Nem, uma vez que exista, ela vai deixar de existir. Ela é não nascida, eterna, sempre existente, imortal e primordial. Ela não morre quando o corpo morre. (Bg. 2.20)</t>
  </si>
  <si>
    <t>The devotees of the Lord are released from all kinds of sins because they eat food which is offered first for sacrifice. Others, who prepare food for personal sense enjoyment, verily eat only sin. (Bg. 3.13)</t>
  </si>
  <si>
    <t>Os devotos do Senhor se liberam de toda classe de pecados porque comem alimentos que são primeiro oferecidos em sacrifício. Os demais, que preparam os alimentos para o gozo pessoal dos sentidos, em verdade só comem pecado. (Bg. 3.13)</t>
  </si>
  <si>
    <t>The spirit soul bewildered by the influence of false ego thinks himself the doer of activities that are in actuality carried out by the three modes of material nature. (Bg. 3.27)</t>
  </si>
  <si>
    <t>A alma espiritual confundida, sob a influência dos três modos da natureza material, acha que é o executor das atividades que na realidade são levadas a cabo pela natureza. (Bg. 3.27)</t>
  </si>
  <si>
    <t>Thus knowing oneself to be transcendental to the material senses, mind and intelligence, O mighty-armed Arjuna, one should steady the mind by deliberate spiritual intelligence [Kṛṣṇa consciousness] and thus — by spiritual strength — conquer this insatiable enemy known as lust. (Bg. 3.43)</t>
  </si>
  <si>
    <t>Assim, sabendo-se transcendental aos sentidos, à mente e à inteligência materiais, a pessoa deve controlar o eu inferior por meio do eu superior e assim - através da força espiritual - conquistar este inimigo insaciável chamado luxúria. (Bg. 3.43)</t>
  </si>
  <si>
    <t>This supreme science was thus received through the chain of disciplic succession, and the saintly kings understood it in that way. But in course of time the succession was broken, and therefore the science as it is appears to be lost. (Bg. 4.2)</t>
  </si>
  <si>
    <t>Esta ciência suprema foi assim recebida através da corrente de sucessão discipular, e os reis santos compreenderam-na desta maneira. Mas com o passar do tempo a sucessão se rompeu e por isso a ciência como ela é parece estar perdida. (Bg. 4.2)</t>
  </si>
  <si>
    <t>Although I am unborn and My transcendental body never deteriorates, and although I am the Lord of all living entities, I still appear in every millennium in My original transcendental form. (Bg. 4.6)</t>
  </si>
  <si>
    <t>Embora Eu não tenha nascimento e Meu corpo transcendental nunca se deteriore, e embora Eu seja o Senhor de todos os seres vivos, ainda assim Eu apareço em todo milênio em Minha forma transcendental original. (Bg. 4.6)</t>
  </si>
  <si>
    <t>One who knows the transcendental nature of My appearance and activities does not, upon leaving the body, take his birth again in this material world, but attains My eternal abode, O Arjuna. (Bg. 4.9)</t>
  </si>
  <si>
    <t>Ó Arjuna, aquele que conhece a natureza transcendental de Meu aparecimento e atividades, ao deixar o corpo, não nasce outra vez neste mundo material, mas alcança Minha morada eterna. (Bg. 4.9)</t>
  </si>
  <si>
    <t>Just try to learn the truth by approaching a spiritual master. Inquire from him submissively and render service unto him. The self-realized souls can impart knowledge unto you because they have seen the truth. (Bg. 4.34)</t>
  </si>
  <si>
    <t>Tente aprender a verdade simplesmente aproximando-se de um mestre espiritual. Indague dele submissamente e renda-lhe serviço. A alma auto-realizada pode lhe dar conhecimento porque viu a verdade. (Bg. 4.34)</t>
  </si>
  <si>
    <t>A person in full consciousness of Me, knowing Me to be the ultimate beneficiary of all sacrifices and austerities, the Supreme Lord of all planets and demigods, and the benefactor and well-wisher of all living entities, attains peace from the pangs of material miseries. (Bg. 5.29)</t>
  </si>
  <si>
    <t>Os sábios, conhecendo-Me como o beneficiário último de todos os sacrifícios e austeridades, o Senhor Supremo de todos os planetas e semideuses e o benfeitor e benquerente de todas as entidades vivas, alcançam a paz das dores das misérias materiais. (Bg. 5.29)</t>
  </si>
  <si>
    <t>And of all yogīs, the one with great faith who always abides in Me, thinks of Me within himself, and renders transcendental loving service to Me — he is the most intimately united with Me in yoga and is the highest of all. That is My opinion. (Bg. 6.47)</t>
  </si>
  <si>
    <t>E de todos os yogis, aquele que sempre se refugia em Mim com grande fé, adorando-Me com serviço transcendental amoroso, é o que está mais intimamente unido coMigo em yoga e é o mais elevado de todos. (Bg. 6.47)</t>
  </si>
  <si>
    <t>Out of many thousands among men, one may endeavor for perfection, and of those who have achieved perfection, hardly one knows Me in truth.(Bg. 7.3)</t>
  </si>
  <si>
    <t>Dentre muitos milhares de homens, talvez um se esforce pela perfeição, e daqueles que alcançaram a perfeição, dificilmente um Me conhece de verdade. (Bg. 7.3)</t>
  </si>
  <si>
    <t>This divine energy of Mine, consisting of the three modes of material nature, is difficult to overcome. But those who have surrendered unto Me can easily cross beyond it. (Bg. 7.14)</t>
  </si>
  <si>
    <t>Esta Minha energia divina, que consiste nos três modos da natureza material, é difícil de superar. Mas aqueles que se renderam a Mim podem facilmente atravessá-la. (Bg. 7.14)</t>
  </si>
  <si>
    <t>And whoever, at the end of his life, quits his body, remembering Me alone, at once attains My nature. Of this there is no doubt.  (Bg. 8.5)</t>
  </si>
  <si>
    <t>E quem quer que, no momento da morte, abandona seu corpo, lembrando-se unicamente de Mim, alcança Minha natureza de imediato. Quanto a isto não há dúvida. (Bg. 8.5)</t>
  </si>
  <si>
    <t>This knowledge is the king of education, the most secret of all secrets. It is the purest knowledge, and because it gives direct perception of the self by realization, it is the perfection of religion. It is everlasting, and it is joyfully performed. (Bg. 9.2)</t>
  </si>
  <si>
    <t>Este conhecimento é o rei da educação, o mais secreto de todos os segredos. É o conhecimento mais puro, e por dar direta percepção do eu através da realização, é a perfeição da religião. Ele é eterno e se executa alegremente. (Bg. 9.2)</t>
  </si>
  <si>
    <t>Those who are not faithful in this devotional service cannot attain Me, O conqueror of enemies. Therefore they return to the path of birth and death in this material world. (Bg. 9.3)</t>
  </si>
  <si>
    <t>Aqueles que não têm fé no caminho do serviço devocional não podem Me alcançar, ó conquistador dos inimigos, mas voltam ao nascimento e à morte neste mundo material (Bg. 9.3)</t>
  </si>
  <si>
    <t>Always chanting My glories, endeavoring with great determination, bowing down before Me, these great souls perpetually worship Me with devotion. (9.14)</t>
  </si>
  <si>
    <t>Sempre cantando Minhas glórias, esforçando-se com grande determinação, prostrando-se diante de Mim, estas grandes almas Me adoram perpétuamente com devoção. (Bg. 9.14)</t>
  </si>
  <si>
    <t>If one offers Me with love and devotion a leaf, a flower, fruit or water, I will accept it. (Bg. 9.26)</t>
  </si>
  <si>
    <t>Se uma pessoa Me oferecer com amor e devoção uma folha, uma flor, frutas ou água, Eu aceitarei. (Bg. 9.26)</t>
  </si>
  <si>
    <t>Whatever you do, whatever you eat, whatever you offer or give away, and whatever austerities you perform — do that, O son of Kuntī, as an offering to Me. (Bg. 9.27)</t>
  </si>
  <si>
    <t>Ó filho de Kunti, tudo que você fizer, tudo que você comer, tudo que você oferecer e presentear, bem como todas as austeridades que você executar, tudo deve ser feito como um oferecimento a Mim. (Bg. 9.27)</t>
  </si>
  <si>
    <t>I am the source of all spiritual and material worlds. Everything emanates from Me. The wise who perfectly know this engage in My devotional service and worship Me with all their hearts. (Bg. 10.8)</t>
  </si>
  <si>
    <t>Eu sou a fonte de todos os mundos espirituais e materiais. Tudo emana de Mim. Os sábios que sabem disso perfeitamente ocupam-se em Meu serviço devocional e Me adoram com todo seu coração. (Bg. 10.8)</t>
  </si>
  <si>
    <t>The thoughts of My pure devotees dwell in Me, their lives are fully devoted to My service, and they derive great satisfaction and bliss from always enlightening one another and conversing about Me. (Bg. 10.9)</t>
  </si>
  <si>
    <t>Os pensamentos de Meus devotos puros vivem em Mim, suas vidas estão rendidas a Mim, e eles sentem grande satisfação e bem-aventurança iluminando-se uns aos outros e conversando sobre Mim. (Bg. 10.9)</t>
  </si>
  <si>
    <t>To those who are constantly devoted to serving Me with love, I give the understanding by which they can come to Me. (Bg. 10.10)</t>
  </si>
  <si>
    <t>Para aqueles que estão constantemente devotados e Me adoram com amor extático, Eu dou a compreensão com a qual eles podem vir a Mim. (Bg. 10.10)</t>
  </si>
  <si>
    <t>To show them special mercy, I, dwelling in their hearts, destroy with the shining lamp of knowledge the darkness born of ignorance. (Bg. 10.11)</t>
  </si>
  <si>
    <t>Por compaixão por eles, Eu, morando em seus corações, destruo com a luz brilhante do conhecimento a escuridão nascida da ignorância. (Bg. 10.11)</t>
  </si>
  <si>
    <t>Know that all opulent, beautiful and glorious creations spring from but a spark of My splendor. (Bg. 10.41)</t>
  </si>
  <si>
    <t>Saiba que todas as criações belas, gloriosas e poderosas brotam tão somente de uma centelha de Meu esplendor. (Bg. 10.41)</t>
  </si>
  <si>
    <t>My dear Arjuna, he who engages in My pure devotional service, free from the contaminations of fruitive activities and mental speculation, he who works for Me, who makes Me the supreme goal of his life, and who is friendly to every living being — he certainly comes to Me. (Bg. 11.55)</t>
  </si>
  <si>
    <t>Meu querido Arjuna, a pessoa que se ocupa em Meu serviço devocional puro, livre das contaminações de atividades anteriores e da especulação mental, que é amigável para toda entidade viva, certamente vem a Mim. (Bg. 11.55)</t>
  </si>
  <si>
    <t>The living entity in material nature thus follows the ways of life, enjoying the three modes of nature. This is due to his association with that material nature. Thus he meets with good and evil among various species. (Bg. 13.22)</t>
  </si>
  <si>
    <t>Dessa forma, a entidade viva dentro da natureza material segue os caminhos da vida, desfrutando dos três modos da natureza. Isto se deve à sua associação com esta natureza material. Assim, a entidade viva se encontra com o bem e com o mal entre as diversas espécies. (Bg. 13.22)</t>
  </si>
  <si>
    <t>It should be understood that all species of life, O son of Kuntī, are made possible by birth in this material nature, and that I am the seed-giving father. (Bg. 14.4)</t>
  </si>
  <si>
    <t>Ó filho de Kunti, deve-se compreender que todas as espécies de vida aparecem devido a seu nascimento nesta natureza material, e que Eu sou o pai que dá a semente. (Bg. 14.4)</t>
  </si>
  <si>
    <t>One who engages in full devotional service, unfailing in all circumstances, at once transcends the modes of material nature and thus comes to the level of Brahman. (Bg. 14.26)</t>
  </si>
  <si>
    <t>Aquele que se ocupa completamente em serviço devovional, que não cai em nenhuma circunstância, transcende imediatamente os modos da natureza material e desse modo chega ao nível de Brahman. (Bg. 14.26)</t>
  </si>
  <si>
    <t>The Supreme Personality of Godhead said: It is said that there is an imperishable banyan tree that has its roots upward and its branches down and whose leaves are the Vedic hymns. One who knows this tree is the knower of the Vedas. (Bg. 15.1)</t>
  </si>
  <si>
    <t>O Bem-aventurado Senhor disse: Existe uma figueira-de-bengala que tem suas raízes para cima e seus galhos para baixo e cujas folhas são os hinos védicos. A pessoa que conhece esta árvore é o conhecedor dos Vedas. (Bg. 15.1)</t>
  </si>
  <si>
    <t>I am seated in everyone's heart, and from Me come remembrance, knowledge and forgetfulness. By all the Vedas, I am to be known. Indeed, I am the compiler of Vedānta, and I am the knower of the Vedas. (Bg. 15.15)</t>
  </si>
  <si>
    <t>Eu estou situado no coração de todo mundo, e de Mim vêm a memória, o conhecimento e o esquecimento. Através de todos os Vedas, Eu sou o que há de ser conhecido; na verdade, Eu sou o compilador do Vedanta, e Eu sou o conhecedor dos Vedas como eles são. (Bg. 15.15)</t>
  </si>
  <si>
    <t>He who discards scriptural injunctions and acts according to his own whims attains neither perfection, nor happiness, nor the supreme destination. (Bg. 16.23)</t>
  </si>
  <si>
    <t>Mas aquele que põe de lado as injunções das escrituras e age de acordo com seus próprios caprichos não alcança nem a perfeição, nem a felicidade nem o destino supremo. (Bg. 16.23)</t>
  </si>
  <si>
    <t>One who is thus transcendentally situated at once realizes the Supreme Brahman and becomes fully joyful. He never laments or desires to have anything. He is equally disposed toward every living entity. In that state he attains pure devotional service unto Me. (Bg. 18.54)</t>
  </si>
  <si>
    <t>A pessoa que está assim situada transcendentalmente realiza de imediato o Brahmam Supremo. Ela nunca se lamenta nem deseja ter nada; ela está igualmente disposta com toda entidade viva. Neste estado ela alcança o serviço devocional puro a mim. (Bg. 18.54)</t>
  </si>
  <si>
    <t>One can understand Me as I am, as the Supreme Personality of Godhead, only by devotional service. And when one is in full consciousness of Me by such devotion, he can enter into the kingdom of God. (Bg. 18.55)</t>
  </si>
  <si>
    <t>Pode-se compreender a Suprema Personalidade como Ele é unicamente através do serviço devocional. E quando a pessoa tem plena consciência do Senhor Supremo através de tal devoção, ela pode entrar no reino de Deus. (Bg. 18.55)</t>
  </si>
  <si>
    <t>In all activities just depend upon Me and work always under My protection. In such devotional service, be fully conscious of Me. (Bg. 18.57)</t>
  </si>
  <si>
    <t>Em todas as atividades dependa simplesmente de Mim e trabalhe sempre sob Minha proteção. Em tal serviço devocional, seja plenamente consciente de Mim. (Bg. 18.57)</t>
  </si>
  <si>
    <t>The Supreme Lord is situated in everyone's heart, O Arjuna, and is directing the wanderings of all living entities, who are seated as on a machine, made of the material energy. (Bg. 18.61)</t>
  </si>
  <si>
    <t>Ó Arjuna, o Senhor Supremo está situado no coração de todo mundo, e dirige as divagações de todas as entidades vivas, que estão sentadas como numa máquina, feita de energia material. (Bg. 18.61)</t>
  </si>
  <si>
    <t>Always think of Me, become My devotee, worship Me and offer your homage unto Me. Thus you will come to Me without fail. I promise you this because you are My very dear friend. (Bg. 18.65)</t>
  </si>
  <si>
    <t>Pense sempre em Mim e converta-se em Meu devoto. Adore-Me e ofereça suas homenagens a Mim. Desse modo você virá a Mim sem falta. Eu lhe prometo isto porque você é Meu muito querido amigo. (Bg. 18.65)</t>
  </si>
  <si>
    <t>Abandon all varieties of religion and just surrender unto Me. I shall deliver you from all sinful reactions. Do not fear. (Bg. 18.66)</t>
  </si>
  <si>
    <t>Abandone todas as variedades de religião e simplesmente se renda a Mim. Eu libertarei você de todas as reações pecaminosas. Não tema. (Bg. 18.66)</t>
  </si>
  <si>
    <t>All of the above-mentioned incarnations are either plenary portions or portions of the plenary portions of the Lord, but Lord Śrī Kṛṣṇa is the original Personality of Godhead. All of them appear on planets whenever there is a disturbance created by the atheists. The Lord incarnates to protect the theists. (SB 1.3.28)</t>
  </si>
  <si>
    <t>As encarnações de Deus aqui apresentadas são expansões plenárias ou partes das expansões plenárias da Divindade Suprema, mas Krishna é a própria Suprema Personalidade de Deus original. Elas aparecem nos planetas em diferentes eras, sempre que há um distúrbio criado pelos ateístas. O Senhor encarna para proteger os teístas. (SB 1.3.28)</t>
  </si>
  <si>
    <t>Kṛṣṇa who is known as Govinda is the Supreme Godhead. He has an eternal blissful spiritual body. He is the origin of all. He has no other origin and He is the prime cause of all causes.  (BS 5.1)</t>
  </si>
  <si>
    <t>Há muitas personalidades que possuem as qualidades de Bhagavan, mas Krishna é o supremo porque ninguém pode superá-Lo. Ele é a Pessoa Suprema, e Seu corpo é eterno, pleno de conhecimento e bem-aventurança. Ele é o Senhor Govinda primordial e a causa de todas as causas. (BS 5.1)</t>
  </si>
  <si>
    <t>I worship Govinda, the primeval Lord, who is adept in playing on His flute, with blooming eyes like lotus petals with head decked with peacock's feather, with the figure of beauty tinged with the hue of blue clouds, and His unique loveliness charming millions of Cupids.  (BS 5.30)</t>
  </si>
  <si>
    <t>Adoro Govinda, o Senhor primordial, que é perito em tocar Sua flauta, que tem olhos exuberantes como pétalas de lótus e a cabeça ornada com uma pluma de pavão. Sua bela forma apresenta o matiz de nuvens azuladas, e Seu encanto incomparável cativa milhões de cupidos (BS 5.30)</t>
  </si>
  <si>
    <t>I worship Govinda, the primeval Lord, whose transcendental form is full of bliss, truth, substantiality and is thus full of the most dazzling splendor. Each of the limbs of that transcendental figure possesses in Himself, the full-fledged functions of all the organs, and eternally sees, maintains and manifests the infinite universes, both spiritual and mundane. (BS 5.32)</t>
  </si>
  <si>
    <t>Adoro Govinda, o Senhor primordial, cuja forma é plena de bem-aventurança, verdade, substancialidade, possuindo o mais deslumbrante esplendor. Cada um dos seus membros trancendentais possui as funções de todos os demais órgãos, e vê, mantém e manifesta eternamente infinitos universos, tanto espirituais quanto materiais. (BS 5.32)</t>
  </si>
  <si>
    <t>A sober person who can tolerate the urge to speak, the mind's demands, the actions of anger and the urges of the tongue, belly and genitals is qualified to make disciples all over the world. (NoI 1)</t>
  </si>
  <si>
    <t>Uma pessoa sóbria que seja capaz de tolerar o desejo de falar, as exigências da mente, as ações da ira e os impulsos da língua, do estômago e dos órgãos genitais é qualificada para fazer discípulos em todo o mundo. (Upadesamrita - Verso 1)</t>
  </si>
  <si>
    <t>Destroys his devotional service who: (1) eating or collecting more than necessary; (2) overendeavoring for mundane things; (3) talking unnecessarily about mundane subject matters; (4) rejecting or has exaggerated attachment to rules and regulations; (5) associating with worldly-minded persons; and (6) being greedy for mundane achievements. (NoI 2)</t>
  </si>
  <si>
    <t>Destroi seu serviço devocional aquele que: come ou arrecada mais do que o necessário; esforça-se em demasia por coisas mundanas; conversa desnecessariamente sobre assuntos mundanos; despreza ou tem apego exagerado às regras e regulações; cultiva má associação; e ambiciona realizações mundanas. (Upadesamrita-Verso 2)</t>
  </si>
  <si>
    <t>There are six principles favorable to the execution of pure devotional service: being enthusiastic; endeavoring with confidence; being patient; acting according to regulative principles; abandoning the association of nondevotees; and following in the footsteps of the previous ācāryas. These six principles undoubtedly assure the complete success of pure devotional service. (NoI 3)</t>
  </si>
  <si>
    <t>Há 6 princípios favoráveis à prática de serviço devocional puro: ser entusiasta; esforçar-se com confiança; ser paciente; agir segundo os princípios reguladores; abandonar a companhia de não-devotos; e seguir os passos dos acaryas anteriores. Estes seis princípios garantem, sem dúvida, o pleno êxito do serviço devocional puro. (Upadesamrita - Verso 3)</t>
  </si>
  <si>
    <t>Offering gifts in charity, accepting charitable gifts, revealing one's mind in confidence, inquiring confidentially, accepting prasāda and offering prasāda are the six symptoms of love shared by one devotee and another.  (NoI 4)</t>
  </si>
  <si>
    <t>Os seis sintomas de amor que os devotos compartilham entre si são: dar presentes em caridade, aceitar presentes caridosos, revelar os pensamentos confidencialmente, indagar confidencialmente, aceitar prasadam e oferecer prasadam. (Upadesamrita - Verso 4)</t>
  </si>
  <si>
    <t>1 - Listen to the name and glories of the Supreme Personality of Godhead; 
2 - Sing His glories; 
3 - Remember the Lord; 
4 - Serve the Lord's feet; 
5 - Worship the Deity; 
6 - Pay obeisance to the Lord; 
7 - To act as a servant of the Lord; 
8 - Make friendships with the Lord; 
9 - Surrendering fully to the Lord - These are the nine processes of devotional service. (SB 7.5.23)</t>
  </si>
  <si>
    <t>In the age of Kali, intelligent persons perform congregational chanting to worship the incarnation of Godhead who constantly sings the names of Kṛṣṇa. Although His complexion is not blackish, He is Kṛṣṇa Himself. He is accompanied by His associates, servants, weapons and confidential companions. (SB 11.5.32)</t>
  </si>
  <si>
    <t>Nesta era de Kali, as pessoas que são dotadas de inteligência suficiente adorarão, através da execução do sankirtana-yajna, ao Senhor, que está acompanhado por Seus associados. (SB 11.5.32)</t>
  </si>
  <si>
    <t>One should chant the holy name of the Lord in a humble state of mind, thinking oneself lower than the straw in the street; one should be more tolerant than a tree, devoid of all sense of false prestige, and ready to offer all respect to others. In such a state of mind one can chant the holy name of the Lord constantly.  (Siksastaka 3)</t>
  </si>
  <si>
    <t>Deve-se cantar o santo nome do Senhor com um estado de espírito humilde, julgando-se inferior à palha na rua; deve-se ser mais tolerante que uma árvore; desprovido de todo sentido de falso prestígio; e pronto a oferecer todo respeito aos outros. Neste estado de espírito pode-se cantar o santo nome do Senhor constantemente. (Siksastaka 3)</t>
  </si>
  <si>
    <t>The Personality of Godhead is perfect and complete. All emanations from Him, such as this phenomenal world, are perfectly equipped as complete wholes. Whatever is produced of the Complete Whole is also complete in itself. Because He is the Complete Whole, even though so many complete units emanate from Him, He remains the complete balance. (Iso Invocation)</t>
  </si>
  <si>
    <t>Deus, a Pessoa Suprema, é perfeito e completo. Tudo que emana dEle, como este mundo fenomenal, também é perfeitamen-te completo. Tudo que é produzido pelo Todo Completo também é completo em si mesmo. Porque Ele é o Todo Completo, ainda que tantas unidades completas emanem dEle, Ele permanece o equilíbrio completo. (Iso-Inv)</t>
  </si>
  <si>
    <t>Everything animate or inanimate that is within the universe is controlled and owned by the Lord. One should therefore accept only those things necessary for himself, which are set aside as his quota, and one should not accept other things, knowing well to whom they belong. (Iso 1)</t>
  </si>
  <si>
    <t>O Senhor controla e possui todas as coisas animadas e inanimadas que estão dentro do Universo. Portanto, todos devem aceitar apenas as coisas que lhes são necessárias, que foram reservadas como sua cota, e ninguém deve aceitar outras coisas, sabendo bem a quem pertencem. (Iso - Mantra Um)</t>
  </si>
  <si>
    <t>dhṛtarāṣṭra uvāca
dharma-kṣetre kuru-kṣetre
samavetā yuyutsavaḥ
māmakāḥ pāṇḍavāś caiva
kim akurvata sañjaya</t>
  </si>
  <si>
    <t>kārpaṇya-doṣopahata-svabhāvaḥ
pṛcchāmi tvāṁ dharma-sammūḍha-cetāḥ
yac chreyaḥ syān niścitaṁ brūhi tan me
śiṣyas te ’haṁ śādhi māṁ tvāṁ prapannam</t>
  </si>
  <si>
    <t>dehino ’smin yathā dehe
kaumāraṁ yauvanaṁ jarā
tathā dehāntara-prāptir
dhīras tatra na muhyati</t>
  </si>
  <si>
    <t>mātrā-sparśās tu kaunteya
śītoṣṇa-sukha-duḥkha-dāḥ
āgamāpāyino ’nityās
tāṁs titikṣasva bhārata</t>
  </si>
  <si>
    <t>na jāyate mriyate vā kadācin
nāyaṁ bhūtvā bhavitā vā na bhūyaḥ
ajo nityaḥ śāśvato ’yaṁ purāṇo
na hanyate hanyamāne śarīre</t>
  </si>
  <si>
    <t>yajña-śiṣṭāśinaḥ santo
mucyante sarva-kilbiṣaiḥ
bhuñjate te tv aghaṁ pāpā
ye pacanty ātma-kāraṇāt</t>
  </si>
  <si>
    <t>prakṛteḥ kriyamāṇāni
guṇaiḥ karmāṇi sarvaśaḥ
ahaṅkāra-vimūḍhātmā
kartāham iti manyate</t>
  </si>
  <si>
    <t>evaṁ buddheḥ paraṁ buddhvā
saṁstabhyātmānam ātmanā
jahi śatruṁ mahā-bāho
kāma-rūpaṁ durāsadam</t>
  </si>
  <si>
    <t>evaṁ paramparā-prāptam
imaṁ rājarṣayo viduḥ
sa kāleneha mahatā
yogo naṣṭaḥ paran-tapa</t>
  </si>
  <si>
    <t>ajo ’pi sann avyayātmā
bhūtānām īśvaro ’pi san
prakṛtiṁ svām adhiṣṭhāya
sambhavāmy ātma-māyayā</t>
  </si>
  <si>
    <t>janma karma ca me divyam
evaṁ yo vetti tattvataḥ
tyaktvā dehaṁ punar janma
naiti mām eti so ’rjuna</t>
  </si>
  <si>
    <t>tad viddhi praṇipātena
paripraśnena sevayā
upadekṣyanti te jñānaṁ
jñāninas tattva-darśinaḥ</t>
  </si>
  <si>
    <t>bhoktāraṁ yajña-tapasāṁ
sarva-loka-maheśvaram
suhṛdaṁ sarva-bhūtānāṁ
jñātvā māṁ śāntim ṛcchati</t>
  </si>
  <si>
    <t>yoginām api sarveṣāṁ
mad-gatenāntar-ātmanā
śraddhāvān bhajate yo māṁ
sa me yukta-tamo mataḥ</t>
  </si>
  <si>
    <t>manuṣyāṇāṁ sahasreṣu
kaścid yatati siddhaye
yatatām api siddhānāṁ
kaścin māṁ vetti tattvataḥ</t>
  </si>
  <si>
    <t>daivī hy eṣā guṇa-mayī
mama māyā duratyayā
mām eva ye prapadyante
māyām etāṁ taranti te</t>
  </si>
  <si>
    <t>anta-kāle ca mām eva
smaran muktvā kalevaram
yaḥ prayāti sa mad-bhāvaṁ
yāti nāsty atra saṁśayaḥ</t>
  </si>
  <si>
    <t>rāja-vidyā rāja-guhyaṁ
pavitram idam uttamam
pratyakṣāvagamaṁ dharmyaṁ
su-sukhaṁ kartum avyayam</t>
  </si>
  <si>
    <t>aśraddadhānāḥ puruṣā
dharmasyāsya paran-tapa
aprāpya māṁ nivartante
mṛtyu-saṁsāra-vartmani</t>
  </si>
  <si>
    <t>satataṁ kīrtayanto māṁ
yatantaś ca dṛḍha-vratāḥ
namasyantaś ca māṁ bhaktyā
nitya-yuktā upāsate</t>
  </si>
  <si>
    <t>patraṁ puṣpaṁ phalaṁ toyaṁ
yo me bhaktyā prayacchati
tad ahaṁ bhakty-upahṛtam
aśnāmi prayatātmanaḥ</t>
  </si>
  <si>
    <t>yat karoṣi yad aśnāsi
yaj juhoṣi dadāsi yat
yat tapasyasi kaunteya
tat kuruṣva mad-arpaṇam</t>
  </si>
  <si>
    <t>ahaṁ sarvasya prabhavo
mattaḥ sarvaṁ pravartate
iti matvā bhajante māṁ
budhā bhāva-samanvitāḥ</t>
  </si>
  <si>
    <t>mac-cittā mad-gata-prāṇā
bodhayantaḥ parasparam
kathayantaś ca māṁ nityaṁ
tuṣyanti ca ramanti ca</t>
  </si>
  <si>
    <t>teṣāṁ satata-yuktānāṁ
bhajatāṁ prīti-pūrvakam
dadāmi buddhi-yogaṁ taṁ
yena mām upayānti te</t>
  </si>
  <si>
    <t>teṣām evānukampārtham
aham ajñāna-jaṁ tamaḥ
nāśayāmy ātma-bhāva-stho
jñāna-dīpena bhāsvatā</t>
  </si>
  <si>
    <t>yad yad vibhūtimat sattvaṁ
śrīmad ūrjitam eva vā
tat tad evāvagaccha tvaṁ
mama tejo-’ṁśa-sambhavam</t>
  </si>
  <si>
    <t>mat-karma-kṛn mat-paramo
mad-bhaktaḥ saṅga-varjitaḥ
nirvairaḥ sarva-bhūteṣu
yaḥ sa mām eti pāṇḍava</t>
  </si>
  <si>
    <t>puruṣaḥ prakṛti-stho hi
bhuṅkte prakṛti-jān guṇān
kāraṇaṁ guṇa-saṅgo ’sya
sad-asad-yoni-janmasu</t>
  </si>
  <si>
    <t>sarva-yoniṣu kaunteya
mūrtayaḥ sambhavanti yāḥ
tāsāṁ brahma mahad yonir
ahaṁ bīja-pradaḥ pitā</t>
  </si>
  <si>
    <t>māṁ ca yo ’vyabhicāreṇa
bhakti-yogena sevate
sa guṇān samatītyaitān
brahma-bhūyāya kalpate</t>
  </si>
  <si>
    <t>śrī-bhagavān uvāca
ūrdhva-mūlam adhaḥ-śākham
aśvatthaṁ prāhur avyayam
chandāṁsi yasya parṇāni
yas taṁ veda sa veda-vit</t>
  </si>
  <si>
    <t>sarvasya cāhaṁ hṛdi sanniviṣṭo
mattaḥ smṛtir jñānam apohanaṁ ca
vedaiś ca sarvair aham eva vedyo
vedānta-kṛd veda-vid eva cāham</t>
  </si>
  <si>
    <t>yaḥ śāstra-vidhim utsṛjya
vartate kāma-kārataḥ
na sa siddhim avāpnoti
na sukhaṁ na parāṁ gatim</t>
  </si>
  <si>
    <t>brahma-bhūtaḥ prasannātmā
na śocati na kāṅkṣati
samaḥ sarveṣu bhūteṣu
mad-bhaktiṁ labhate parām</t>
  </si>
  <si>
    <t>bhaktyā mām abhijānāti
yāvān yaś cāsmi tattvataḥ
tato māṁ tattvato jñātvā
viśate tad-anantaram</t>
  </si>
  <si>
    <t>cetasā sarva-karmāṇi
mayi sannyasya mat-paraḥ
buddhi-yogam upāśritya
mac-cittaḥ satataṁ bhava</t>
  </si>
  <si>
    <t>īśvaraḥ sarva-bhūtānāṁ
hṛd-deśe ’rjuna tiṣṭhati
bhrāmayan sarva-bhūtāni
yantrārūḍhāni māyayā</t>
  </si>
  <si>
    <t>man-manā bhava mad-bhakto
mad-yājī māṁ namaskuru
mām evaiṣyasi satyaṁ te
pratijāne priyo ’si me</t>
  </si>
  <si>
    <t>sarva-dharmān parityajya
mām ekaṁ śaraṇaṁ vraja
ahaṁ tvāṁ sarva-pāpebhyo
mokṣayiṣyāmi mā śucaḥ</t>
  </si>
  <si>
    <t>ete cāṁśa-kalāḥ puṁsaḥ
 kṛṣṇas tu bhagavān svayam
indrāri-vyākulaṁ lokaṁ
 mṛḍayanti yuge yuge</t>
  </si>
  <si>
    <t>īśvaraḥ paramaḥ kṛṣṇaḥ
sac-cid-ānanda-vigrahaḥ
anādir ādir govindaḥ
sarva-kāraṇa-kāraṇam</t>
  </si>
  <si>
    <t>veṇuṁ kvaṇantam aravinda-dalāyatākṣam-
barhāvataṁsam asitāmbuda-sundarāṅgam
kandarpa-koṭi-kamanīya-viśeṣa-śobhaṁ
govindam ādi-puruṣaṁ tam ahaṁ bhajāmi</t>
  </si>
  <si>
    <t>aṅgāni yasya sakalendriya-vṛtti-manti
paśyanti pānti kalayanti ciraṁ jaganti
ānanda-cinmaya-sad-ujjvala-vigrahasya
govindam ādi-puruṣaṁ tam ahaṁ bhajāmi</t>
  </si>
  <si>
    <t>vāco vegaṁ manasaḥ krodha-vegaṁ
jihvā-vegam udaropastha-vegam
etān vegān yo viṣaheta dhīraḥ
sarvām apīmāṁ pṛthivīṁ sa śiṣyāt</t>
  </si>
  <si>
    <t>atyāhāraḥ prayāsaś ca
prajalpo niyamāgrahaḥ
jana-saṅgaś ca laulyaṁ ca
ṣaḍbhir bhaktir vinaśyati</t>
  </si>
  <si>
    <t>utsāhān niścayād dhairyāt
tat-tat-karma-pravartanāt
saṅga-tyāgāt sato vṛtteḥ
ṣaḍbhir bhaktiḥ prasidhyati</t>
  </si>
  <si>
    <t>dadāti pratigṛhṇāti
guhyam ākhyāti pṛcchati
bhuṅkte bhojayate caiva
ṣaḍ-vidhaṁ prīti-lakṣaṇam</t>
  </si>
  <si>
    <t>śravaṇaṁ kīrtanaṁ viṣṇoḥ
 smaraṇaṁ pāda-sevanam
arcanaṁ vandanaṁ dāsyaṁ
 sakhyam ātma-nivedanam</t>
  </si>
  <si>
    <t>kṛṣṇa-varṇaṁ tviṣākṛṣṇaṁ
 sāṅgopāṅgāstra-pārṣadam
yajñaiḥ saṅkīrtana-prāyair
 yajanti hi su-medhasaḥ</t>
  </si>
  <si>
    <t>oṁ pūrṇam adaḥ pūrṇam idaṁ
pūrṇāt pūrṇam udacyate
pūrṇasya pūrṇam ādāya
pūrṇam evāvaśiṣyate</t>
  </si>
  <si>
    <t>īśāvāsyam idam sarvaṁ
yat kiñca jagatyāṁ jagat
tena tyaktena bhuñjīthā
mā gṛdhaḥ kasya svid dhanam</t>
  </si>
  <si>
    <t>tṛṇād api sunīcena
taror api sahiṣṇunā
amāninā māna-dena
kīrtanīyaḥ sadā hariḥ</t>
  </si>
  <si>
    <t>Transliteration</t>
  </si>
  <si>
    <t>कार्पण्यदोषोपहतस्वभावः पृच्छामि त्वां धर्मसंमूढचेताः
यच्छ्रेयः स्यान् निश्चितं ब्रूहि तन् मे शिष्यस्तेऽहं शाधि मां तुआं प्रपन्नम्</t>
  </si>
  <si>
    <t>देहिनोऽस्मिन् यथा देहे कौमारं यौवनं जरा
तथा देहान्तरप्राप्तिर्धीरस्तत्र न मुह्यति</t>
  </si>
  <si>
    <t>मात्रास्पर्शास्तु कौन्तेय सीतोष्णसुखदुःखदाः
आगमापायिनोऽनित्यास्तांस्तितिक्षस्व भारत</t>
  </si>
  <si>
    <t>न जायते म्रियते वा कदाचिन् नायं भूत्वा भविता वा न भूयः
अजो नित्यः शाश्वतोऽयं पुराणो न हन्यते हन्यमाने शरीरे</t>
  </si>
  <si>
    <t>यज्ञशिष्टाशिनः सन्तो मुच्यन्ते सर्वकिल्बिषैः
भुञ्जते ते त्वघं पापा ये पचन्त्यात्मकारणात्</t>
  </si>
  <si>
    <t>प्रकृतेः क्रियमाणानि गुणैः कर्माणि सर्वशः
अहङ्कारविमूढात्मा कर्ताहमिति मन्यते</t>
  </si>
  <si>
    <t>एवं बुद्धेः परं बुद्धुवा संस्तभ्यात्मानमात्मना
जहि शत्रुं महाबाहो कामरुपं दुरासदम्</t>
  </si>
  <si>
    <t>एवं परम्पराप्राप्तमिमं राजर्षयो व्य्दुः
अस्कालेनेह महता योगो नष्तः परन्तप</t>
  </si>
  <si>
    <t>अजोऽपि सन्न् अव्ययात्मा भूतानामीश्वरोऽपि सन्
प्रकृतिं स्वामधिष्थाय सम्भवाम्यात्ममायया</t>
  </si>
  <si>
    <t>जन्म कर्म च मे दिव्यमेवं यो वेत्ति तत्त्वतः
त्यक्त्वा देहं पुनर्जन्म नैति मामेति सोऽर्जुन</t>
  </si>
  <si>
    <t>तद्विद्धि प्रणिपातेन परिप्रश्नेन सेवया
उपदेक्ष्यन्ति ते ज्ञानं ज्ञानिनस्तत्त्वदर्शिनः</t>
  </si>
  <si>
    <t>भोक्तारं यज्ञतपसां सर्वलोकमहेश्वरम्
सुहृदं सर्वभूतानां ज्ञात्वा मां शान्तिमृच्छति</t>
  </si>
  <si>
    <t>योगिनामपि सर्वेषाम्मद्गतेनान्तरात्मना
श्रद्धावान् भजते यो मां अस्मे युक्ततमो मतः</t>
  </si>
  <si>
    <t>मनुष्याणां सहस्रेषु कश्चिद्यतति स्द्धये
यततामपि सिद्धानां कश्चिन् मां वेत्ति तत्त्वतः</t>
  </si>
  <si>
    <t>दैवी ह्येषा गुणमयी मम माया दुरत्यया
मामेव ये प्रपद्यन्ते मायामेतां तरन्ति ते</t>
  </si>
  <si>
    <t>अन्तकाले च मामेव स्मरन् मुक्त्वा कलेवरम्
यः प्रयाति अस्मद्भावं याति नास्त्यत्र संशयः</t>
  </si>
  <si>
    <t>राजविद्या राजगुह्यं पवित्रमिदमुत्तमम्
प्रत्यक्षावगमं धमर््यं सुसुखं कर्तुमव्ययम्</t>
  </si>
  <si>
    <t>अश्रद्दधानाः पुरुषा धमस्यास्य परन्तप
अप्राप्य मां निवर्तन्ते मृत्युसंसारवत्र्मनि</t>
  </si>
  <si>
    <t>सततं कीर्तयन्तो मां यतन्तश्च दृढव्रताः
ममस्यन्तश्च मां भक्तया नित्ययुक्ता उपासते</t>
  </si>
  <si>
    <t>पत्रं पुष्पं फलं तोयं यो मे भक्तया प्रयच्छति
तदहं भक्तयुपहृतमश्नामि प्रयतात्मनः</t>
  </si>
  <si>
    <t>यत्करोषि यदश्नासि यद्जुहोषि ददासि यत्
यत्तपस्यसि कौन्तेय तत्कुरुष्व मदर्पणम्</t>
  </si>
  <si>
    <t>अहं सर्वस्य प्रभवो मत्तः सर्वं प्रवर्तते
इति मत्वा भजन्ते मां बुधा भावसमन्विताः</t>
  </si>
  <si>
    <t>मच्चित्ता मद्गतप्राणा बोधयन्तः परस्परम्
कथयन्तश्च मां नित्यं तुष्यन्ति च रमन्ति च</t>
  </si>
  <si>
    <t>तेषां सततयुक्तानां भजतां प्रीतिपूर्वकम्
ददामि बुद्धियोगं तं येन मामुपयान्ति ते</t>
  </si>
  <si>
    <t>तेषामेवानुकम्पार्थमहमज्ञानजं तमः
नाशयाम्यात्मभावस्थो ज्ञानदीपेन भास्वता</t>
  </si>
  <si>
    <t>यद्यद्विभूतिमत्सत्त्वं श्रीमदूर्जितमेव वा
तत्तदेवावगच्छ त्वं मम तेजोंऽशसम्भवम्</t>
  </si>
  <si>
    <t>मत्कर्मकृन् मत्परमो मद्भक्तः सङ्गवर्जितः
निर्वैरः सर्वभूतेषु यः स मामेति पाण्ड्व</t>
  </si>
  <si>
    <t>सर्वयोनिषु कौन्तेय मूर्तयः सम्भवन्ति याः
तासां ब्रह्म महद्योनिरहं बीजप्रदः पिता</t>
  </si>
  <si>
    <t>मां च योऽव्यभिचारेण भक्तियोगेन सेवते
अस्गुणान् समतीत्यैतान् ब्रह्मभूयाय कल्पते</t>
  </si>
  <si>
    <t>ऊधुवमूलमधःशाखमश्वत्थं प्राहुरव्ययम्
छन्दांसि यस्य पर्णानि यस्तं वेद स वेदवित्</t>
  </si>
  <si>
    <t>सर्वस्य चाहं हृदि सन्निविष्टो मत्तः स्मृतिज्र्ञानमपोहनं च
वेदैश्च सर्वैरहमेव वेद्यो वेदान्तकृद्वेदविदेव चाहम्</t>
  </si>
  <si>
    <t>यः शास्त्रविधिमुत्सृज्य वर्तते कामकारतः
न स सिद्धिमवाप्नोति न सुखं न परां गतिम्</t>
  </si>
  <si>
    <t>भक्तया मामभिजानाति यावान् यश्चास्मि तत्त्वतः
ततो मां तत्त्वतो ज्ञात्वा विशते तदनन्तरम्</t>
  </si>
  <si>
    <t>चेतसा सर्वकर्माणि मयि सन्न्यस्य मत्परः
बुद्धियोगमुपाश्रित्य मच्चित्तः सततं भव</t>
  </si>
  <si>
    <t>र्इश्वरः सर्वभूतानां हृद्देशेऽर्जुन तिष्ठति
भ्रामयन् सर्वभूतानि यन्त्रारूढानि मायया</t>
  </si>
  <si>
    <t>मन्मना भव मद्भक्तो मद्याजी मां नमस्कुरु
मामेवैष्यसि सत्यं ते प्रतिजाने प्रियोऽसि मे</t>
  </si>
  <si>
    <t>सर्वधर्मान् परित्यज्य मामेकं शरणं व्रज
अहं त्वां सर्वपापेभ्यो मोक्षयिष्यामि मा शुचः</t>
  </si>
  <si>
    <t>एते चांशकलाः पुंसः कृष्णस्तु भगवान् स्वयम्
इन्द्रारिव्याकुलं लोकं मृड्यन्ति युगे युगे</t>
  </si>
  <si>
    <t>इश्वरः परमः कृष्णः सच्चिदानन्दविग्रहः
अनादिरादिर्गोविन्दः सर्वकारणकारणम्</t>
  </si>
  <si>
    <t>वेणुं क्वणन्तमरविन्ददलायताक्षं बर्हावतंसमसिताम्बुदसुन्दराङ्गम्
कन्दर्पकोतिकमिनीयविशेषशोभं गोविन्दमादिपुरुषं तमहं भजामि</t>
  </si>
  <si>
    <t>अङ्गानि यस्य सकलेन्द्रियवृत्तिमन्ति पश्यन्ति पान्ति कलयन्ति चिरं जगन्ति
आनन्दचिन्मयसदुज्ज्वलविग्रहस्य गोविन्दमादिपुरुषं तमहं भजामि</t>
  </si>
  <si>
    <t>वाचो वेगं मनसः क्रोधवेगं जिह्वावेगं उदरोपस्थवेगम्
एतान् वेगान् यो विषहेत धीरः सर्वामपीमां पृथिवीं स शिष्यात्</t>
  </si>
  <si>
    <t>श्रवणं कीर्तनं विष्णोः स्मरणं पादसेवनम्
अर्चनं वन्दनं दास्यं सख्यमात्मनिवेदनम्</t>
  </si>
  <si>
    <t>तृणादपि सुनीचेन तरोरपि सहिष्णुना
अमानिना मानदेन कीर्तनीयः सदा हरिः</t>
  </si>
  <si>
    <t>र्इशावास्यमिदं सर्वं यत्किञ्च जगत्यां जगत्
तेन त्यक्तेन भुञ्जीथा मा गृधः कस्य स्विद्धनम्</t>
  </si>
  <si>
    <t xml:space="preserve"> धृतराष्ट्र उवाच ।
धर्मक्षेत्रे कुरुक्षेत्रे समवेता युयुत्सवः
मामकाः पाण्ड्वाश्चैव किमकुर्वत सञ्जय</t>
  </si>
  <si>
    <r>
      <t xml:space="preserve">पुरुषः प्रकृतिस्थो हि </t>
    </r>
    <r>
      <rPr>
        <sz val="11"/>
        <color rgb="FFFF0000"/>
        <rFont val="Arial"/>
        <family val="2"/>
      </rPr>
      <t>भुङ्क्ते</t>
    </r>
    <r>
      <rPr>
        <sz val="11"/>
        <rFont val="Arial"/>
        <family val="2"/>
      </rPr>
      <t xml:space="preserve"> प्रकृतिजान् गुणान्
कारणं गुणसङ्गोऽस्य सदसद्योनिजन्मसु</t>
    </r>
  </si>
  <si>
    <r>
      <t xml:space="preserve">ब्रह्मभूतः प्रसन्नात्मा न श्रोचति न </t>
    </r>
    <r>
      <rPr>
        <sz val="11"/>
        <color rgb="FFFF0000"/>
        <rFont val="Arial"/>
        <family val="2"/>
      </rPr>
      <t>काङ्क्ष्ति</t>
    </r>
    <r>
      <rPr>
        <sz val="11"/>
        <rFont val="Arial"/>
        <family val="2"/>
      </rPr>
      <t xml:space="preserve">
समः सर्वेषु भूतेषु मद्भक्तिं लभते पराम्</t>
    </r>
  </si>
  <si>
    <r>
      <t>अत्याहारः प्रयासश्च प्रजल्पो नियमाग्रहः
जनसङ्गश्च लौल्यं च ष</t>
    </r>
    <r>
      <rPr>
        <sz val="11"/>
        <color rgb="FFFF0000"/>
        <rFont val="Arial"/>
        <family val="2"/>
      </rPr>
      <t>ड्भ्र्भि</t>
    </r>
    <r>
      <rPr>
        <sz val="11"/>
        <rFont val="Arial"/>
        <family val="2"/>
      </rPr>
      <t>क्तिर्विनश्यति</t>
    </r>
  </si>
  <si>
    <r>
      <t>उत्साहान् निश्चयाद्र्धैयात्तत्तत्कर्मप्रवर्तनात्
सङ्गत्यागात्सतो वृत्तेः ष</t>
    </r>
    <r>
      <rPr>
        <sz val="11"/>
        <color rgb="FFFF0000"/>
        <rFont val="Arial"/>
        <family val="2"/>
      </rPr>
      <t>ड्भ्र्भि</t>
    </r>
    <r>
      <rPr>
        <sz val="11"/>
        <rFont val="Arial"/>
        <family val="2"/>
      </rPr>
      <t>क्तिः प्रसिध्यति</t>
    </r>
  </si>
  <si>
    <r>
      <t>ददाति प्रतिगृह्णाति गुह्यमाख्याति पृच्छति
भुङ्क्ते भोजयते चैव ष</t>
    </r>
    <r>
      <rPr>
        <sz val="11"/>
        <color rgb="FFFF0000"/>
        <rFont val="Arial"/>
        <family val="2"/>
      </rPr>
      <t>ड्वि</t>
    </r>
    <r>
      <rPr>
        <sz val="11"/>
        <rFont val="Arial"/>
        <family val="2"/>
      </rPr>
      <t>धं प्रीतिलक्षणम्</t>
    </r>
  </si>
  <si>
    <r>
      <t>कृष्णवर्णं त्विषाकृष्णं सा</t>
    </r>
    <r>
      <rPr>
        <sz val="11"/>
        <color rgb="FFFF0000"/>
        <rFont val="Arial"/>
        <family val="2"/>
      </rPr>
      <t>ङ्गो</t>
    </r>
    <r>
      <rPr>
        <sz val="11"/>
        <rFont val="Arial"/>
        <family val="2"/>
      </rPr>
      <t>पाङ्गास्त्रपार्षदम्
यज्ञैः सङ्कीर्तनप्र्रायैयजन्ति हि सुमेधसः</t>
    </r>
  </si>
  <si>
    <t>ॐ पूर्णमदः पूर्णमिदं पूर्णात्पूर्णमुदच्यते
पूर्णस्य पूर्णमादाय पूर्णमेवावशिष्यत</t>
  </si>
  <si>
    <t>(1) Ouvir o nome e as glórias da Suprema Personalidade de Deus; (2) Cantar Suas glórias; (3) Lembrar do Senhor; (4) Servir aos pés do Senhor; (5) Adorar a Deidade; (6) Prestar reverências ao Senhor; (7) Atuar como servo do Senhor; (8) Fazer amizade com o Senhor; (9) Render-se plenamente ao Senhor - Eis os 9 processos do serviço devocional. (SB 7.5.23)</t>
  </si>
  <si>
    <t>Data1</t>
  </si>
  <si>
    <t>Data2</t>
  </si>
  <si>
    <t>Data3</t>
  </si>
  <si>
    <t>(jejum até o crepúsculo)</t>
  </si>
  <si>
    <r>
      <t>O presente trabalho visa facilitar a elaboração, pelos devotos vaishnavas</t>
    </r>
    <r>
      <rPr>
        <vertAlign val="superscript"/>
        <sz val="12"/>
        <rFont val="Verdana"/>
        <family val="2"/>
      </rPr>
      <t>(1)</t>
    </r>
    <r>
      <rPr>
        <sz val="12"/>
        <rFont val="Verdana"/>
        <family val="2"/>
      </rPr>
      <t>, de</t>
    </r>
  </si>
  <si>
    <t>uma agenda impressa com as seguintes características:</t>
  </si>
  <si>
    <t>- semanal;</t>
  </si>
  <si>
    <t>- personalizada;</t>
  </si>
  <si>
    <t>- que facilite o planejamento e controle dos resultados das atividades, e não só</t>
  </si>
  <si>
    <t xml:space="preserve">  do tempo corrido;</t>
  </si>
  <si>
    <t>- que inclua as informações referentes às festividades, eventos e jejuns do</t>
  </si>
  <si>
    <r>
      <t xml:space="preserve">  calendário vaishnava, geradas pelo programa "GCAL  - Gaurabda Calendar"</t>
    </r>
    <r>
      <rPr>
        <vertAlign val="superscript"/>
        <sz val="12"/>
        <rFont val="Verdana"/>
        <family val="2"/>
      </rPr>
      <t>(2)</t>
    </r>
    <r>
      <rPr>
        <sz val="12"/>
        <rFont val="Verdana"/>
        <family val="2"/>
      </rPr>
      <t>;</t>
    </r>
  </si>
  <si>
    <r>
      <t>- que apresente citações</t>
    </r>
    <r>
      <rPr>
        <vertAlign val="superscript"/>
        <sz val="12"/>
        <rFont val="Verdana"/>
        <family val="2"/>
      </rPr>
      <t>(3)</t>
    </r>
    <r>
      <rPr>
        <sz val="12"/>
        <rFont val="Verdana"/>
        <family val="2"/>
      </rPr>
      <t xml:space="preserve"> dos textos védicos</t>
    </r>
    <r>
      <rPr>
        <vertAlign val="superscript"/>
        <sz val="12"/>
        <rFont val="Verdana"/>
        <family val="2"/>
      </rPr>
      <t>(4)</t>
    </r>
    <r>
      <rPr>
        <sz val="12"/>
        <rFont val="Verdana"/>
        <family val="2"/>
      </rPr>
      <t>, inclusive o sânscrito</t>
    </r>
    <r>
      <rPr>
        <vertAlign val="superscript"/>
        <sz val="12"/>
        <rFont val="Verdana"/>
        <family val="2"/>
      </rPr>
      <t>(5)</t>
    </r>
    <r>
      <rPr>
        <sz val="12"/>
        <rFont val="Verdana"/>
        <family val="2"/>
      </rPr>
      <t>,</t>
    </r>
  </si>
  <si>
    <t xml:space="preserve">  facilitando a meditação, o estudo e a memorização dos ensinamentos dos</t>
  </si>
  <si>
    <r>
      <t xml:space="preserve">  acharyas</t>
    </r>
    <r>
      <rPr>
        <vertAlign val="superscript"/>
        <sz val="12"/>
        <rFont val="Verdana"/>
        <family val="2"/>
      </rPr>
      <t>(6)</t>
    </r>
    <r>
      <rPr>
        <sz val="12"/>
        <rFont val="Verdana"/>
        <family val="2"/>
      </rPr>
      <t>.</t>
    </r>
  </si>
  <si>
    <r>
      <t>- que traga as demais informações comuns às agendas</t>
    </r>
    <r>
      <rPr>
        <vertAlign val="superscript"/>
        <sz val="12"/>
        <rFont val="Verdana"/>
        <family val="2"/>
      </rPr>
      <t>(7)</t>
    </r>
    <r>
      <rPr>
        <sz val="12"/>
        <rFont val="Verdana"/>
        <family val="2"/>
      </rPr>
      <t xml:space="preserve"> e calendários normais.</t>
    </r>
  </si>
  <si>
    <t xml:space="preserve">Nos sentiremos exitosos em nossa intenção caso pelo menos um servo do Senhor </t>
  </si>
  <si>
    <t>tenha encontrado maior facilidade na execução do seu serviço graças a este</t>
  </si>
  <si>
    <t>documento.</t>
  </si>
  <si>
    <r>
      <t>A licença deste documento através da "GNU Free Documentation License"</t>
    </r>
    <r>
      <rPr>
        <vertAlign val="superscript"/>
        <sz val="12"/>
        <rFont val="Verdana"/>
        <family val="2"/>
      </rPr>
      <t>(8)</t>
    </r>
    <r>
      <rPr>
        <sz val="12"/>
        <rFont val="Verdana"/>
        <family val="2"/>
      </rPr>
      <t xml:space="preserve"> - mais</t>
    </r>
  </si>
  <si>
    <t>conhecida como "GNU FDL", ou ainda "Copyleft" - objetiva possibilitar aos devotos</t>
  </si>
  <si>
    <t>utilizar, difundir e adaptar este documento às suas necessidades, sem as barreiras</t>
  </si>
  <si>
    <t>típicas da aplicação clássica das normas de Propriedade Intelectual. Esta licença</t>
  </si>
  <si>
    <t>requer somente que as modificações ou extensões efetuadas sejam livres,</t>
  </si>
  <si>
    <t>passando adiante, portanto, a liberdade de copiar e modificar novamente o</t>
  </si>
  <si>
    <t>(*)Notas, links e outros esclarecimentos na contracapa.</t>
  </si>
  <si>
    <t>Apresentação - Notas e Links</t>
  </si>
  <si>
    <t xml:space="preserve">1) Devotos do Senhor Vishnu, ou Krishna, a Suprema Personalidade de Deus, como </t>
  </si>
  <si>
    <t xml:space="preserve">    o Senhor é conhecido através da tradição, cultura, religião e filosofia védicas(4). </t>
  </si>
  <si>
    <t xml:space="preserve">    Este documento também pode ser utilizado, com adaptações, por devotos do </t>
  </si>
  <si>
    <t xml:space="preserve">    Senhor de outras denominações, que precisem de uma ferramenta de gerenciamento </t>
  </si>
  <si>
    <t xml:space="preserve">    de suas atividades que não deixe de lado as atividades espirituais.</t>
  </si>
  <si>
    <t>2) O "Gcal - Gaurabda Calendar" é de propriedade da:</t>
  </si>
  <si>
    <t xml:space="preserve">        ISKCON Society</t>
  </si>
  <si>
    <t xml:space="preserve">        GBC - Governing Body Commission</t>
  </si>
  <si>
    <t xml:space="preserve">        Vaisnava Calendar Committee</t>
  </si>
  <si>
    <t xml:space="preserve">        Copyright © All Rights Reserved  </t>
  </si>
  <si>
    <t xml:space="preserve">        Website: http://www.krishnadays.com</t>
  </si>
  <si>
    <t xml:space="preserve">        Autor: Gopalapriya Das &lt;gopalapriya.bvs@pamho.net&gt;</t>
  </si>
  <si>
    <t xml:space="preserve">            Consultants:</t>
  </si>
  <si>
    <t xml:space="preserve">                Bhanu Swami &lt;bhanu.swami@pamho.net</t>
  </si>
  <si>
    <t xml:space="preserve">                Bhaktarupa Das &lt;bhaktarupa.acbsp@pamho.net</t>
  </si>
  <si>
    <t xml:space="preserve">                Sadasivananda Das &lt;sadasivananda.jps@pamho.net&gt;</t>
  </si>
  <si>
    <t xml:space="preserve">3) As citações colocadas como exemplo neste documento foram tiradas das obras de </t>
  </si>
  <si>
    <t xml:space="preserve">    traduções e comentários de Srila Prabhupada publicadas pela BBTI </t>
  </si>
  <si>
    <t xml:space="preserve">    (The Bhaktivedanta Book Trust International, Inc.): </t>
  </si>
  <si>
    <t xml:space="preserve">    "O Bhagavad Gita Como Ele É" (Bg), "Srimad Bhagavatam" (SB), "Sri Isopanisad" </t>
  </si>
  <si>
    <t xml:space="preserve">    (Iso), "Néctar da Instrução" (Upadesamrita) e "Sri Siksastaka" (Siksastaka).</t>
  </si>
  <si>
    <t xml:space="preserve">    © The Bhaktivedanta Book Trust International.</t>
  </si>
  <si>
    <t xml:space="preserve">    Para mais informações, consulte os sites:</t>
  </si>
  <si>
    <t xml:space="preserve">    BBTI: http://www.bbti.org</t>
  </si>
  <si>
    <t xml:space="preserve">    ISKCON: http://www.krishna.com</t>
  </si>
  <si>
    <t xml:space="preserve">                 http://pt.krishna.com</t>
  </si>
  <si>
    <t xml:space="preserve">                 http://www.sankirtana.com.br</t>
  </si>
  <si>
    <t>4) Védico é o que tem relação com os Vedas, escrituras milenares da Índia Antiga.</t>
  </si>
  <si>
    <t>5) As fontes para escrever em sânscrito e devanagari também são de propriedade da BBTI.</t>
  </si>
  <si>
    <t>6) Acharya: aquele que ensina pelo seu próprio exemplo.</t>
  </si>
  <si>
    <t xml:space="preserve">7) Uma ótima orientação para utilização de agendas semanais se encontra no livro: </t>
  </si>
  <si>
    <t xml:space="preserve">    "Os 7 Hábitos das Pessoas Altamente Eficazes" - Stephen R. Covey -</t>
  </si>
  <si>
    <t xml:space="preserve">    Editora Best Seller - 2004 - 20ª edição.</t>
  </si>
  <si>
    <t xml:space="preserve">    Para mais informações:</t>
  </si>
  <si>
    <t xml:space="preserve">    Editora Best Seller: Grupo Editorial Record: http://www.record.com.br/ </t>
  </si>
  <si>
    <t xml:space="preserve">    FranklinCovey: http://www.franklincovey.com.br.</t>
  </si>
  <si>
    <t>8) A Licença "GNU FDL" se encontra na planilha "GNU Free Documentation Licence".</t>
  </si>
  <si>
    <t xml:space="preserve">    Para mais informações consulte o site: http://www.gnu.org/licenses/fdl.html.</t>
  </si>
  <si>
    <r>
      <t xml:space="preserve">    O arquivo eletrônico no formato da planilha Excel</t>
    </r>
    <r>
      <rPr>
        <vertAlign val="superscript"/>
        <sz val="12"/>
        <rFont val="Verdana"/>
        <family val="2"/>
      </rPr>
      <t>®(9)</t>
    </r>
    <r>
      <rPr>
        <sz val="12"/>
        <rFont val="Verdana"/>
        <family val="2"/>
      </rPr>
      <t xml:space="preserve"> e as amostras em meio</t>
    </r>
  </si>
  <si>
    <t xml:space="preserve">    "transparente" recomendadas pela licença "GNU FDL" podem ser acessadas em:</t>
  </si>
  <si>
    <t xml:space="preserve">         www.github.com/gopaladasa/Gplan</t>
  </si>
  <si>
    <t xml:space="preserve">         www.gopala.blog.br</t>
  </si>
  <si>
    <t xml:space="preserve">    Mais esclarecimentos e orientações quanto ao uso e adaptações deste </t>
  </si>
  <si>
    <t xml:space="preserve">    documento podem ser obtidas através do e-mail: gopala@harekrishna.org.br</t>
  </si>
  <si>
    <t xml:space="preserve">    Esperamos com isto ter criado as condições para que um elevado número de</t>
  </si>
  <si>
    <t xml:space="preserve">    devotos sintam-se livres não só para utilizar o documento, mas também para</t>
  </si>
  <si>
    <t xml:space="preserve">    contribuir com o aperfeiçoamento do mesmo, num processo contínuo.</t>
  </si>
  <si>
    <t xml:space="preserve">9) O sistema gerador da Agenda Impressa é todo automatizado, e funciona em uma </t>
  </si>
  <si>
    <t xml:space="preserve">    planilha Excel® habilitada para Macros VBA. Não é preciso saber Excel ou macros VBA </t>
  </si>
  <si>
    <t xml:space="preserve">    para usar a planilha. Excel é marca registrada da Microsoft.</t>
  </si>
  <si>
    <t xml:space="preserve">    Para mais informações sobre Excel consulte o site: http://www.microsoft.com/brasil</t>
  </si>
  <si>
    <t>10) Agenda Vaishnava Gplan</t>
  </si>
  <si>
    <t xml:space="preserve">         Editor:</t>
  </si>
  <si>
    <t xml:space="preserve">             Gopala Dasa Adhikari (HDG)</t>
  </si>
  <si>
    <t xml:space="preserve">             (Paulo Sergio de Araujo)</t>
  </si>
  <si>
    <t xml:space="preserve">             Recife - Brasil, 07 de dezembro de 2005.</t>
  </si>
  <si>
    <t xml:space="preserve">             (Última revisão em 31 de dezembro de 2017)</t>
  </si>
  <si>
    <t>Version 1.3, 3 November 2008</t>
  </si>
  <si>
    <t>Copyright © 2000, 2001, 2002, 2007, 2008 Free Software Foundation, Inc. &lt;http://fsf.org/&gt;</t>
  </si>
  <si>
    <t>Everyone is permitted to copy and distribute verbatim copies of this license document, but changing it is not allowed.</t>
  </si>
  <si>
    <t>0. PREAMBLE</t>
  </si>
  <si>
    <t>The purpose of this License is to make a manual, textbook, or other functional and useful document "free" in the sense of freedom: to assure everyone the effective freedom to copy and redistribute it, with or without modifying it, either commercially or noncommercially. Secondarily, this License preserves for the author and publisher a way to get credit for their work, while not being considered responsible for modifications made by others.</t>
  </si>
  <si>
    <t>This License is a kind of "copyleft", which means that derivative works of the document must themselves be free in the same sense. It complements the GNU General Public License, which is a copyleft license designed for free software.</t>
  </si>
  <si>
    <t>We have designed this License in order to use it for manuals for free software, because free software needs free documentation: a free program should come with manuals providing the same freedoms that the software does. But this License is not limited to software manuals; it can be used for any textual work, regardless of subject matter or whether it is published as a printed book. We recommend this License principally for works whose purpose is instruction or reference.</t>
  </si>
  <si>
    <t>1. APPLICABILITY AND DEFINITIONS</t>
  </si>
  <si>
    <t>This License applies to any manual or other work, in any medium, that contains a notice placed by the copyright holder saying it can be distributed under the terms of this License. Such a notice grants a world-wide, royalty-free license, unlimited in duration, to use that work under the conditions stated herein. The "Document", below, refers to any such manual or work. Any member of the public is a licensee, and is addressed as "you". You accept the license if you copy, modify or distribute the work in a way requiring permission under copyright law.</t>
  </si>
  <si>
    <t>A "Modified Version" of the Document means any work containing the Document or a portion of it, either copied verbatim, or with modifications and/or translated into another language.</t>
  </si>
  <si>
    <t>A "Secondary Section" is a named appendix or a front-matter section of the Document that deals exclusively with the relationship of the publishers or authors of the Document to the Document's overall subject (or to related matters) and contains nothing that could fall directly within that overall subject. (Thus, if the Document is in part a textbook of mathematics, a Secondary Section may not explain any mathematics.) The relationship could be a matter of historical connection with the subject or with related matters, or of legal, commercial, philosophical, ethical or political position regarding them.</t>
  </si>
  <si>
    <t>The "Invariant Sections" are certain Secondary Sections whose titles are designated, as being those of Invariant Sections, in the notice that says that the Document is released under this License. If a section does not fit the above definition of Secondary then it is not allowed to be designated as Invariant. The Document may contain zero Invariant Sections. If the Document does not identify any Invariant Sections then there are none.</t>
  </si>
  <si>
    <t>The "Cover Texts" are certain short passages of text that are listed, as Front-Cover Texts or Back-Cover Texts, in the notice that says that the Document is released under this License. A Front-Cover Text may be at most 5 words, and a Back-Cover Text may be at most 25 words.</t>
  </si>
  <si>
    <t>A "Transparent" copy of the Document means a machine-readable copy, represented in a format whose specification is available to the general public, that is suitable for revising the document straightforwardly with generic text editors or (for images composed of pixels) generic paint programs or (for drawings) some widely available drawing editor, and that is suitable for input to text formatters or for automatic translation to a variety of formats suitable for input to text formatters. A copy made in an otherwise Transparent file format whose markup, or absence of markup, has been arranged to thwart or discourage subsequent modification by readers is not Transparent. An image format is not Transparent if used for any substantial amount of text. A copy that is not "Transparent" is called "Opaque".</t>
  </si>
  <si>
    <t>Examples of suitable formats for Transparent copies include plain ASCII without markup, Texinfo input format, LaTeX input format, SGML or XML using a publicly available DTD, and standard-conforming simple HTML, PostScript or PDF designed for human modification. Examples of transparent image formats include PNG, XCF and JPG. Opaque formats include proprietary formats that can be read and edited only by proprietary word processors, SGML or XML for which the DTD and/or processing tools are not generally available, and the machine-generated HTML, PostScript or PDF produced by some word processors for output purposes only.</t>
  </si>
  <si>
    <t>The "Title Page" means, for a printed book, the title page itself, plus such following pages as are needed to hold, legibly, the material this License requires to appear in the title page. For works in formats which do not have any title page as such, "Title Page" means the text near the most prominent appearance of the work's title, preceding the beginning of the body of the text.</t>
  </si>
  <si>
    <t>The "publisher" means any person or entity that distributes copies of the Document to the public.</t>
  </si>
  <si>
    <t>A section "Entitled XYZ" means a named subunit of the Document whose title either is precisely XYZ or contains XYZ in parentheses following text that translates XYZ in another language. (Here XYZ stands for a specific section name mentioned below, such as "Acknowledgements", "Dedications", "Endorsements", or "History".) To "Preserve the Title" of such a section when you modify the Document means that it remains a section "Entitled XYZ" according to this definition.</t>
  </si>
  <si>
    <t>The Document may include Warranty Disclaimers next to the notice which states that this License applies to the Document. These Warranty Disclaimers are considered to be included by reference in this License, but only as regards disclaiming warranties: any other implication that these Warranty Disclaimers may have is void and has no effect on the meaning of this License.</t>
  </si>
  <si>
    <t>2. VERBATIM COPYING</t>
  </si>
  <si>
    <t>You may copy and distribute the Document in any medium, either commercially or noncommercially, provided that this License, the copyright notices, and the license notice saying this License applies to the Document are reproduced in all copies, and that you add no other conditions whatsoever to those of this License. You may not use technical measures to obstruct or control the reading or further copying of the copies you make or distribute. However, you may accept compensation in exchange for copies. If you distribute a large enough number of copies you must also follow the conditions in section 3.</t>
  </si>
  <si>
    <t>You may also lend copies, under the same conditions stated above, and you may publicly display copies.</t>
  </si>
  <si>
    <t>3. COPYING IN QUANTITY</t>
  </si>
  <si>
    <t>If you publish printed copies (or copies in media that commonly have printed covers) of the Document, numbering more than 100, and the Document's license notice requires Cover Texts, you must enclose the copies in covers that carry, clearly and legibly, all these Cover Texts: Front-Cover Texts on the front cover, and Back-Cover Texts on the back cover. Both covers must also clearly and legibly identify you as the publisher of these copies. The front cover must present the full title with all words of the title equally prominent and visible. You may add other material on the covers in addition. Copying with changes limited to the covers, as long as they preserve the title of the Document and satisfy these conditions, can be treated as verbatim copying in other respects.</t>
  </si>
  <si>
    <t>If the required texts for either cover are too voluminous to fit legibly, you should put the first ones listed (as many as fit reasonably) on the actual cover, and continue the rest onto adjacent pages.</t>
  </si>
  <si>
    <t>If you publish or distribute Opaque copies of the Document numbering more than 100, you must either include a machine-readable Transparent copy along with each Opaque copy, or state in or with each Opaque copy a computer-network location from which the general network-using public has access to download using public-standard network protocols a complete Transparent copy of the Document, free of added material. If you use the latter option, you must take reasonably prudent steps, when you begin distribution of Opaque copies in quantity, to ensure that this Transparent copy will remain thus accessible at the stated location until at least one year after the last time you distribute an Opaque copy (directly or through your agents or retailers) of that edition to the public.</t>
  </si>
  <si>
    <t>It is requested, but not required, that you contact the authors of the Document well before redistributing any large number of copies, to give them a chance to provide you with an updated version of the Document.</t>
  </si>
  <si>
    <t>4. MODIFICATIONS</t>
  </si>
  <si>
    <t>You may copy and distribute a Modified Version of the Document under the conditions of sections 2 and 3 above, provided that you release the Modified Version under precisely this License, with the Modified Version filling the role of the Document, thus licensing distribution and modification of the Modified Version to whoever possesses a copy of it. In addition, you must do these things in the Modified Version:</t>
  </si>
  <si>
    <t>A. Use in the Title Page (and on the covers, if any) a title distinct from that of the Document, and from those of previous versions (which should, if there were any, be listed in the History section of the Document). You may use the same title as a previous version if the original publisher of that version gives permission.</t>
  </si>
  <si>
    <t>B. List on the Title Page, as authors, one or more persons or entities responsible for authorship of the modifications in the Modified Version, together with at least five of the principal authors of the Document (all of its principal authors, if it has fewer than five), unless they release you from this requirement.</t>
  </si>
  <si>
    <t>C. State on the Title page the name of the publisher of the Modified Version, as the publisher.</t>
  </si>
  <si>
    <t>D. Preserve all the copyright notices of the Document.</t>
  </si>
  <si>
    <t>E. Add an appropriate copyright notice for your modifications adjacent to the other copyright notices.</t>
  </si>
  <si>
    <t>F. Include, immediately after the copyright notices, a license notice giving the public permission to use the Modified Version under the terms of this License, in the form shown in the Addendum below.</t>
  </si>
  <si>
    <t>G. Preserve in that license notice the full lists of Invariant Sections and required Cover Texts given in the Document's license notice.</t>
  </si>
  <si>
    <t>H. Include an unaltered copy of this License.</t>
  </si>
  <si>
    <t>I. Preserve the section Entitled "History", Preserve its Title, and add to it an item stating at least the title, year, new authors, and publisher of the Modified Version as given on the Title Page. If there is no section Entitled "History" in the Document, create one stating the title, year, authors, and publisher of the Document as given on its Title Page, then add an item describing the Modified Version as stated in the previous sentence.</t>
  </si>
  <si>
    <t>J. Preserve the network location, if any, given in the Document for public access to a Transparent copy of the Document, and likewise the network locations given in the Document for previous versions it was based on. These may be placed in the "History" section. You may omit a network location for a work that was published at least four years before the Document itself, or if the original publisher of the version it refers to gives permission.</t>
  </si>
  <si>
    <t>K. For any section Entitled "Acknowledgements" or "Dedications", Preserve the Title of the section, and preserve in the section all the substance and tone of each of the contributor acknowledgements and/or dedications given therein.</t>
  </si>
  <si>
    <t>L. Preserve all the Invariant Sections of the Document, unaltered in their text and in their titles. Section numbers or the equivalent are not considered part of the section titles.</t>
  </si>
  <si>
    <t>M. Delete any section Entitled "Endorsements". Such a section may not be included in the Modified Version.</t>
  </si>
  <si>
    <t>N. Do not retitle any existing section to be Entitled "Endorsements" or to conflict in title with any Invariant Section.</t>
  </si>
  <si>
    <t>O. Preserve any Warranty Disclaimers.</t>
  </si>
  <si>
    <t>If the Modified Version includes new front-matter sections or appendices that qualify as Secondary Sections and contain no material copied from the Document, you may at your option designate some or all of these sections as invariant. To do this, add their titles to the list of Invariant Sections in the Modified Version's license notice. These titles must be distinct from any other section titles.</t>
  </si>
  <si>
    <t>You may add a section Entitled "Endorsements", provided it contains nothing but endorsements of your Modified Version by various parties—for example, statements of peer review or that the text has been approved by an organization as the authoritative definition of a standard.</t>
  </si>
  <si>
    <t>You may add a passage of up to five words as a Front-Cover Text, and a passage of up to 25 words as a Back-Cover Text, to the end of the list of Cover Texts in the Modified Version. Only one passage of Front-Cover Text and one of Back-Cover Text may be added by (or through arrangements made by) any one entity. If the Document already includes a cover text for the same cover, previously added by you or by arrangement made by the same entity you are acting on behalf of, you may not add another; but you may replace the old one, on explicit permission from the previous publisher that added the old one.</t>
  </si>
  <si>
    <t>The author(s) and publisher(s) of the Document do not by this License give permission to use their names for publicity for or to assert or imply endorsement of any Modified Version.</t>
  </si>
  <si>
    <t>5. COMBINING DOCUMENTS</t>
  </si>
  <si>
    <t>You may combine the Document with other documents released under this License, under the terms defined in section 4 above for modified versions, provided that you include in the combination all of the Invariant Sections of all of the original documents, unmodified, and list them all as Invariant Sections of your combined work in its license notice, and that you preserve all their Warranty Disclaimers.</t>
  </si>
  <si>
    <t>The combined work need only contain one copy of this License, and multiple identical Invariant Sections may be replaced with a single copy. If there are multiple Invariant Sections with the same name but different contents, make the title of each such section unique by adding at the end of it, in parentheses, the name of the original author or publisher of that section if known, or else a unique number. Make the same adjustment to the section titles in the list of Invariant Sections in the license notice of the combined work.</t>
  </si>
  <si>
    <t>In the combination, you must combine any sections Entitled "History" in the various original documents, forming one section Entitled "History"; likewise combine any sections Entitled "Acknowledgements", and any sections Entitled "Dedications". You must delete all sections Entitled "Endorsements".</t>
  </si>
  <si>
    <t>6. COLLECTIONS OF DOCUMENTS</t>
  </si>
  <si>
    <t>You may make a collection consisting of the Document and other documents released under this License, and replace the individual copies of this License in the various documents with a single copy that is included in the collection, provided that you follow the rules of this License for verbatim copying of each of the documents in all other respects.</t>
  </si>
  <si>
    <t>You may extract a single document from such a collection, and distribute it individually under this License, provided you insert a copy of this License into the extracted document, and follow this License in all other respects regarding verbatim copying of that document.</t>
  </si>
  <si>
    <t>7. AGGREGATION WITH INDEPENDENT WORKS</t>
  </si>
  <si>
    <t>A compilation of the Document or its derivatives with other separate and independent documents or works, in or on a volume of a storage or distribution medium, is called an "aggregate" if the copyright resulting from the compilation is not used to limit the legal rights of the compilation's users beyond what the individual works permit. When the Document is included in an aggregate, this License does not apply to the other works in the aggregate which are not themselves derivative works of the Document.</t>
  </si>
  <si>
    <t>If the Cover Text requirement of section 3 is applicable to these copies of the Document, then if the Document is less than one half of the entire aggregate, the Document's Cover Texts may be placed on covers that bracket the Document within the aggregate, or the electronic equivalent of covers if the Document is in electronic form. Otherwise they must appear on printed covers that bracket the whole aggregate.</t>
  </si>
  <si>
    <t>8. TRANSLATION</t>
  </si>
  <si>
    <t>Translation is considered a kind of modification, so you may distribute translations of the Document under the terms of section 4. Replacing Invariant Sections with translations requires special permission from their copyright holders, but you may include translations of some or all Invariant Sections in addition to the original versions of these Invariant Sections. You may include a translation of this License, and all the license notices in the Document, and any Warranty Disclaimers, provided that you also include the original English version of this License and the original versions of those notices and disclaimers. In case of a disagreement between the translation and the original version of this License or a notice or disclaimer, the original version will prevail.</t>
  </si>
  <si>
    <t>If a section in the Document is Entitled "Acknowledgements", "Dedications", or "History", the requirement (section 4) to Preserve its Title (section 1) will typically require changing the actual title.</t>
  </si>
  <si>
    <t>9. TERMINATION</t>
  </si>
  <si>
    <t>You may not copy, modify, sublicense, or distribute the Document except as expressly provided under this License. Any attempt otherwise to copy, modify, sublicense, or distribute it is void, and will automatically terminate your rights under this License.</t>
  </si>
  <si>
    <t>However, if you cease all violation of this License, then your license from a particular copyright holder is reinstated (a) provisionally, unless and until the copyright holder explicitly and finally terminates your license, and (b) permanently, if the copyright holder fails to notify you of the violation by some reasonable means prior to 60 days after the cessation.</t>
  </si>
  <si>
    <t>Moreover, your license from a particular copyright holder is reinstated permanently if the copyright holder notifies you of the violation by some reasonable means, this is the first time you have received notice of violation of this License (for any work) from that copyright holder, and you cure the violation prior to 30 days after your receipt of the notice.</t>
  </si>
  <si>
    <t>Termination of your rights under this section does not terminate the licenses of parties who have received copies or rights from you under this License. If your rights have been terminated and not permanently reinstated, receipt of a copy of some or all of the same material does not give you any rights to use it.</t>
  </si>
  <si>
    <t>10. FUTURE REVISIONS OF THIS LICENSE</t>
  </si>
  <si>
    <t>The Free Software Foundation may publish new, revised versions of the GNU Free Documentation License from time to time. Such new versions will be similar in spirit to the present version, but may differ in detail to address new problems or concerns. See http://www.gnu.org/copyleft/.</t>
  </si>
  <si>
    <t>Each version of the License is given a distinguishing version number. If the Document specifies that a particular numbered version of this License "or any later version" applies to it, you have the option of following the terms and conditions either of that specified version or of any later version that has been published (not as a draft) by the Free Software Foundation. If the Document does not specify a version number of this License, you may choose any version ever published (not as a draft) by the Free Software Foundation. If the Document specifies that a proxy can decide which future versions of this License can be used, that proxy's public statement of acceptance of a version permanently authorizes you to choose that version for the Document.</t>
  </si>
  <si>
    <t>11. RELICENSING</t>
  </si>
  <si>
    <t>Massive Multiauthor Collaboration Site (or "MMC Site") means any World Wide Web server that publishes copyrightable works and also provides prominent facilities for anybody to edit those works. A public wiki that anybody can edit is an example of such a server. A "Massive Multiauthor Collaboration" (or "MMC") contained in the site means any set of copyrightable works thus published on the MMC site.</t>
  </si>
  <si>
    <t>CC-BY-SA means the Creative Commons Attribution-Share Alike 3.0 license published by Creative Commons Corporation, a not-for-profit corporation with a principal place of business in San Francisco, California, as well as future copyleft versions of that license published by that same organization.</t>
  </si>
  <si>
    <t>Incorporate means to publish or republish a Document, in whole or in part, as part of another Document.</t>
  </si>
  <si>
    <t>An MMC is "eligible for relicensing" if it is licensed under this License, and if all works that were first published under this License somewhere other than this MMC, and subsequently incorporated in whole or in part into the MMC, (1) had no cover texts or invariant sections, and (2) were thus incorporated prior to November 1, 2008.</t>
  </si>
  <si>
    <t>The operator of an MMC Site may republish an MMC contained in the site under CC-BY-SA on the same site at any time before August 1, 2009, provided the MMC is eligible for relicensing.</t>
  </si>
  <si>
    <t>19.1</t>
  </si>
  <si>
    <t>Agenda calculada para:</t>
  </si>
  <si>
    <t>Nome da localidade na Capa:</t>
  </si>
  <si>
    <t>Ano:</t>
  </si>
  <si>
    <t>Localidade:</t>
  </si>
  <si>
    <t>Latitude:</t>
  </si>
  <si>
    <t>Longitude:</t>
  </si>
  <si>
    <t>Fuso Horário:</t>
  </si>
  <si>
    <t>Os Avatars e outras Personalidades do Calendário Vaishnava</t>
  </si>
  <si>
    <t>Informação Biográfica compilada por Krishna-priya Devi Dasi</t>
  </si>
  <si>
    <t>Aqui estão breves dados biográficos sobre os santos e encarnações (listados alfabeticamente) cujos dias de aparecimento e desaparecimento se encontram no calendário vaisnava.</t>
  </si>
  <si>
    <t>O calendário usa o termo “aparecimento” para denotar o nascimento destas grandes almas e encarnações e o termo “desaparecimento” para denotar sua partida deste mundo. Descrições mais completas serão encontradas nos livros de Sua Divina Graça A. C. Bhaktivedanta Swami Prabhupada, especialmente o Sri Caitanya-caritamrta.</t>
  </si>
  <si>
    <r>
      <rPr>
        <b/>
        <sz val="10"/>
        <rFont val="Verdana"/>
        <family val="2"/>
      </rPr>
      <t>ABHIRAMA THAKURA</t>
    </r>
    <r>
      <rPr>
        <sz val="10"/>
        <rFont val="Verdana"/>
        <family val="2"/>
      </rPr>
      <t xml:space="preserve"> foi um dos pregadores mais vigorosos entre os associados do Senhor Nityananda Prabhu. No humor de um vaqueirinho, Sri Abhirama Thakura conduzia um chicote chamado Jaya Mangala. Quem que ele golpeava com este chicote, se tornava pleno de Krishna-prema, amor por Deus. Se Abhirama Thakura oferecesse reverências a qualquer pedra diferente de uma shalagrama-shila sagrada, esta estouraria imediatamente em pedaços. Abhirama Thakura usou a casa dele para pregar e para servir aos vaishnavas peregrinos. Sua casa constantemente ressoava com kirtana e tópicos de Krishna. (Veja Sri Caitanya-caritamrta, Adi-lila 11.13).</t>
    </r>
  </si>
  <si>
    <r>
      <rPr>
        <b/>
        <sz val="10"/>
        <rFont val="Verdana"/>
        <family val="2"/>
      </rPr>
      <t>ADWAITA ACHARYA</t>
    </r>
    <r>
      <rPr>
        <sz val="10"/>
        <rFont val="Verdana"/>
        <family val="2"/>
      </rPr>
      <t>, um associado íntimo de Sri Caitanya Mahaprabhu, é considerado uma encarnação de Sadashiva e Maha-Vishnu. Foi devido às suas súplicas que Sri Caitanya Mahaprabhu desceu a este mundo. Vendo a condição degradada das pessoas em Kali-yuga, a Era das Desavanças, Sri Adwaita Acharya adorou o Senhor Krishna nas margens do Ganges, molhando com sua água a planta tulasi, clamando e implorando ao Senhor que viesse livrar as almas do sofrimento. Por causa da pura devoção e compaixão de Sri Adwaita Acharya, o Senhor Krishna desceu como Sri Caitanya Mahaprabhu. (Veja Sri Caitanya-caritamrta, Adi-lila, Capítulo 6).</t>
    </r>
  </si>
  <si>
    <r>
      <rPr>
        <b/>
        <sz val="10"/>
        <rFont val="Verdana"/>
        <family val="2"/>
      </rPr>
      <t>BALADEVA VIDYABHUSANA</t>
    </r>
    <r>
      <rPr>
        <sz val="10"/>
        <rFont val="Verdana"/>
        <family val="2"/>
      </rPr>
      <t>, o autor do Govinda Bhasya, o primeiro comentário Gaudiya do Vedanta-sutra, apareceu em Remuna, Orissa, início dos anos 1600. Em 1706 foi enviado por Srila Vishvanatha Chakravarti Thakura a Galta (perto de Jaipur, Índia) para provar a autenticidade do movimento de Sri Caitanya Mahaprabhu. Os Ramanandis locais (uma filial de Sri vaishnavas) tinham criticado que os Gaudiya vaishnavas, não tendo nenhum comentário do Vedanta-sutra, não era uma linha de sucessão discipular autêntica, e, portanto, eles não tinham nenhum direito de adorar Govindaji ou quaisquer das outras Deidades de Vrindavana. Pela graça de Govindaji, Srila Baladeva Vidyabhushana escreveu rapidamente o comentário do Govinda-bhashya. Ele também escreveu comentários dos Upanishads e do Bhagavad-gita.</t>
    </r>
  </si>
  <si>
    <t>Fonte: www.pt.krishna.com/os-santos-e-encarnações</t>
  </si>
  <si>
    <r>
      <rPr>
        <b/>
        <sz val="10"/>
        <rFont val="Verdana"/>
        <family val="2"/>
      </rPr>
      <t>SENHOR BALARAMA</t>
    </r>
    <r>
      <rPr>
        <sz val="10"/>
        <rFont val="Verdana"/>
        <family val="2"/>
      </rPr>
      <t xml:space="preserve"> é a primeira expansão pessoal do Senhor Krishna, a Suprema Personalidade de Deus. Todas as outras encarnações se expandem d'Ele. Nos passatempos do Senhor Krishna, Ele brinca como o irmão mais velho de Krishna. Juntos Krishna e Balarama executam muitos passatempos como vaqueirinhos na terra de Vrindavana. O Senhor Balarama carrega um arado e maça e é conhecido pela Sua grande força. (Veja Sri Caitanya-caritamrta, Adi-lila, Capítulo 5).</t>
    </r>
  </si>
  <si>
    <r>
      <rPr>
        <b/>
        <sz val="10"/>
        <rFont val="Verdana"/>
        <family val="2"/>
      </rPr>
      <t>BHAKTISIDDHANTA SARASVATI THAKURA</t>
    </r>
    <r>
      <rPr>
        <sz val="10"/>
        <rFont val="Verdana"/>
        <family val="2"/>
      </rPr>
      <t xml:space="preserve"> foi o mestre espiritual de Sua Divina Graça A. C. Bhaktivedanta Swami Prabhupada, o Fundador-Acharya da ISKCON. Srila Bhaktisiddhanta Saraswati Thakura espalhou os ensinamentos do Senhor Caitanya Mahaprabhu poderosamente no início do século vinte. Ele pregou fortemente contra as influências enraizadas do sistema de castas e impersonalismo. Reunindo os estudantes, pedagogos, e outros líderes e escrevendo mais de 108 composições e livros, ele se esforçou para apresentar a consciência de Krishna como sendo uma ciência altamente estimada. Estabeleceu 64 templos, conhecidos como Gaudiya Maths, dentro e fora da Índia.</t>
    </r>
  </si>
  <si>
    <r>
      <rPr>
        <b/>
        <sz val="10"/>
        <rFont val="Verdana"/>
        <family val="2"/>
      </rPr>
      <t>A. C. BHAKTIVEDANTA SWAMI PRABHUPADA</t>
    </r>
    <r>
      <rPr>
        <sz val="10"/>
        <rFont val="Verdana"/>
        <family val="2"/>
      </rPr>
      <t xml:space="preserve"> foi o Fundador-Acharya da Sociedade Internacional para a Consciência de Krishna. Foi ele que retirou os ensinamentos do Senhor Caitanya da Índia e os divulgou no mundo inteiro. Foi o autor do Bhagavad-gita Como É e muitos outros volumes de tradução, comentários, e instrução escriturística.</t>
    </r>
  </si>
  <si>
    <r>
      <rPr>
        <b/>
        <sz val="10"/>
        <rFont val="Verdana"/>
        <family val="2"/>
      </rPr>
      <t>BHAKTIVINODA THAKURA</t>
    </r>
    <r>
      <rPr>
        <sz val="10"/>
        <rFont val="Verdana"/>
        <family val="2"/>
      </rPr>
      <t xml:space="preserve"> restabeleceu, ao término do décimo nono século, os ensinamentos do Senhor Caitanya que tinham estado perdido ou falseado. Ele escreveu quase cem livros que explicam a consciência de Krishna, desmascarou pseudo-encarnações de Deus e derrotou concepções errôneas sobre a vida no caminho do serviço devocional. O devoto Srila Bhaktivinoda Thakura era um pregador ativo e o Deputado Magistrado para Jagannatha Puri, Orissa, bem como o pai de dez crianças. Um dos seus filhos era Srila Bhaktisiddhanta Saraswati Thakura. Os biógrafos dizem que Srila Bhaktivinoda Thakura realizou perfeitamente todos os seus muitos deveres.</t>
    </r>
  </si>
  <si>
    <r>
      <rPr>
        <b/>
        <sz val="10"/>
        <rFont val="Verdana"/>
        <family val="2"/>
      </rPr>
      <t>BHUGARBHA GOSWAMI</t>
    </r>
    <r>
      <rPr>
        <sz val="10"/>
        <rFont val="Verdana"/>
        <family val="2"/>
      </rPr>
      <t>, junto com seu amigo íntimo Lokanatha Goswami, encontrou lugares sagrados perdidos situados em Vrindavana pela ordem de Sri Caitanya Mahaprabhu. Para evitar distrações materiais, Bhugarbha Goswami executava sua adoração a Krishna em uma caverna. Por causa disto, ele recebeu o nome de Bhugarbha (bhu significa "terra", garbha significa "caverna" ou lugar escondido). (Veja Sri Caitanya-caritamrta, Adi-lila 12.82).</t>
    </r>
  </si>
  <si>
    <r>
      <rPr>
        <b/>
        <sz val="10"/>
        <rFont val="Verdana"/>
        <family val="2"/>
      </rPr>
      <t>SENHOR SRI CHAITANYA MAHAPRABHU</t>
    </r>
    <r>
      <rPr>
        <sz val="10"/>
        <rFont val="Verdana"/>
        <family val="2"/>
      </rPr>
      <t xml:space="preserve"> é o próprio Senhor Krishna, na forma de Seu próprio devoto. Ele apareceu neste mundo para espalhar o amor por Krishna pelo cantar congregacional dos santos nomes de Deus. Ele apareceu em Sridhama Mayapur, Bengala Ocidental, em 1486. Suas atividades e ensinamentos são descritos em detalhes no livro Ensinamentos do Senhor Caitanya e em vários volumes do Sri Caitanya-caritamrta (também veja Srimad-Bhagavatam, 11.5.32).</t>
    </r>
  </si>
  <si>
    <r>
      <rPr>
        <b/>
        <sz val="10"/>
        <rFont val="Verdana"/>
        <family val="2"/>
      </rPr>
      <t>DEVANANDA PANDITA</t>
    </r>
    <r>
      <rPr>
        <sz val="10"/>
        <rFont val="Verdana"/>
        <family val="2"/>
      </rPr>
      <t xml:space="preserve"> era um recitador profissional do Srimad-Bhagavatam que se voltou para o serviço devocional puro durante a época do Senhor Caitanya. Devananda Pandita explicava o Srimad-Bhagavatam por meio de interpretações impersonalistas. Porque ele tinha ofendido um devoto, ele não podia entender a essência do Bhagavatam - amor e devoção a Krishna. Mas quando Devananda Pandita serviu um devoto avançado, o Senhor Caitanya ficou satisfeito com ele e revelou-lhe o caminho da devoção a Krishna. (Veja Sri Caitanya-caritamrta, Adi-lila 10.77).</t>
    </r>
  </si>
  <si>
    <r>
      <rPr>
        <b/>
        <sz val="10"/>
        <rFont val="Verdana"/>
        <family val="2"/>
      </rPr>
      <t>DHANANJAYA PANDITA</t>
    </r>
    <r>
      <rPr>
        <sz val="10"/>
        <rFont val="Verdana"/>
        <family val="2"/>
      </rPr>
      <t xml:space="preserve"> tomou parte em muitos dos passatempos de kirtana do Senhor Caitanya em Navadvipa. Por ordem do Senhor Caitanya, viajou e pregou amplamente a consciência de Krishna. Ele é mencionado no Sri Caitanya-charitamrita como estando entre os criados íntimos do Senhor Nityananda Prabhu. (Veja Sri Caitanya-caritamrta, Adi-lila 11.31).</t>
    </r>
  </si>
  <si>
    <r>
      <rPr>
        <b/>
        <sz val="10"/>
        <rFont val="Verdana"/>
        <family val="2"/>
      </rPr>
      <t>GADADHARA DASA PANDITA</t>
    </r>
    <r>
      <rPr>
        <sz val="10"/>
        <rFont val="Verdana"/>
        <family val="2"/>
      </rPr>
      <t xml:space="preserve"> foi um dos pregadores principais do Senhor Nityananda na Bengala. Ele influenciou incontáveis pecadores e ateus a tomarem parte no movimento de sankirtana. (Veja Sri Caitanya-caritamrta, Adi-lila 10.53).</t>
    </r>
  </si>
  <si>
    <r>
      <rPr>
        <b/>
        <sz val="10"/>
        <rFont val="Verdana"/>
        <family val="2"/>
      </rPr>
      <t>GADADHARA PANDITA</t>
    </r>
    <r>
      <rPr>
        <sz val="10"/>
        <rFont val="Verdana"/>
        <family val="2"/>
      </rPr>
      <t xml:space="preserve"> está entre o grupo conhecido como o Panca-tattva, sendo um dos quatro associados mais íntimos do Senhor Caitanya Mahaprabhu, Gadadhara Pandita passou a maior parte de sua vida em Jagannatha Puri adorando a Deidade de Tota-Gopinatha que ainda é adorada em Puri. Gadadhara Pandita é considerado uma encarnação de Srimati Radharani, a consorte eterna de Sri Krishna. (Veja Sri Caitanya-caritamrta, Adi-lila 10.15 e 16.130-148).</t>
    </r>
  </si>
  <si>
    <r>
      <rPr>
        <b/>
        <sz val="10"/>
        <rFont val="Verdana"/>
        <family val="2"/>
      </rPr>
      <t>GANGAMATA GOSWAMINI</t>
    </r>
    <r>
      <rPr>
        <sz val="10"/>
        <rFont val="Verdana"/>
        <family val="2"/>
      </rPr>
      <t xml:space="preserve"> era a filha do Rei Naresha Narayana da Bengala. Desde a infância, ela mostrou profunda devoção a Krishna. Recusando se casar e renunciando ao seu reino, ela foi à procura de um guru autêntico. Em Vrindavana, aceitou Haridasa Pandita como seu guru e tomou instruções dele. Executando severas austeridades, usava apenas trapos e implorava por alimento de porta em porta. Por ordem do seu mestre espiritual, foi para Jagannatha Puri, onde se tornou uma grande pregadora e guru. Centenas de pessoas assistiam aos seus discursos sobre o Srimad-Bhagavatam, e muitas pessoas, inclusive brahmanas, os sacerdotes do Senhor Jagannatha, e até mesmo o rei, a aceitaram como seu mestre espiritual.</t>
    </r>
  </si>
  <si>
    <r>
      <rPr>
        <b/>
        <sz val="10"/>
        <rFont val="Verdana"/>
        <family val="2"/>
      </rPr>
      <t>GAURIDASA PANDITA</t>
    </r>
    <r>
      <rPr>
        <sz val="10"/>
        <rFont val="Verdana"/>
        <family val="2"/>
      </rPr>
      <t xml:space="preserve"> é considerado o emblema do amoroso serviço devocional mais elevado a Deus. Ele sacrificou tudo pelo serviço do Senhor Nityananda. O Senhor Caitanya e o Senhor Nityananda apareceram pessoalmente como formas de Deidade em Sua casa. (Veja Sri Caitanya-caritamrta, Adi-lila 11.26-27).</t>
    </r>
  </si>
  <si>
    <r>
      <rPr>
        <b/>
        <sz val="10"/>
        <rFont val="Verdana"/>
        <family val="2"/>
      </rPr>
      <t>GAURAKISHORA DASA BABAJI MAHARAJA</t>
    </r>
    <r>
      <rPr>
        <sz val="10"/>
        <rFont val="Verdana"/>
        <family val="2"/>
      </rPr>
      <t>, o mestre espiritual de Srila Bhaktisiddhanta Saraswati Thakura, apareceu no início do século XIX. Viveu uma vida estritamente renunciada como um bhajananandi, ou aquele que executa adoração solitária. Ele era intimamente associado com Srila Bhaktivinoda Thakura, a quem ele respeitava como seu mestre espiritual.</t>
    </r>
  </si>
  <si>
    <r>
      <rPr>
        <b/>
        <sz val="10"/>
        <rFont val="Verdana"/>
        <family val="2"/>
      </rPr>
      <t>GOPALA BHATTA GOSWAMI</t>
    </r>
    <r>
      <rPr>
        <sz val="10"/>
        <rFont val="Verdana"/>
        <family val="2"/>
      </rPr>
      <t>, um dos seis Goswamis de Vrindavana, como um jovem menino recebeu a misericórdia do Senhor Caitanya. Enquanto visitava o sul da Índia, o Senhor Caitanya ficou quatro meses na casa de Gopala Bhatta. Em seguida, Gopala Bhatta Goswami se juntou ao movimento de sankirtana do Senhor Caitanya. Ele provou ser um perito nos regulamentos escriturísticos vaishnavas, escreveu livros vaishnava e estabeleceu o templo de Sri Sri Radha-Ramana em Vrindavana. (Veja Sri Caitanya-caritamrta, Adi-lila 10.105).</t>
    </r>
  </si>
  <si>
    <r>
      <rPr>
        <b/>
        <sz val="10"/>
        <rFont val="Verdana"/>
        <family val="2"/>
      </rPr>
      <t>GOUR GOVINDA SWAMI MAHARAJA</t>
    </r>
    <r>
      <rPr>
        <sz val="10"/>
        <rFont val="Verdana"/>
        <family val="2"/>
      </rPr>
      <t>, um discípulo de Sua Divina Graça A. C. Bhaktivedanta Swami Prabhupada, divulgou a consciência de Krishna ao longo de Orissa. Traduziu muitos dos livros de Srila Prabhupada em Oriya, trabalhou para estabelecer um grande templo da ISKCON em Bhubaneswar, viajou e ensinou a consciência de Krishna pelo mundo, e trouxe muitas pessoas aos pés de lótus de Srila Prabhupada e Krishna. Partiu deste mundo em 1996 em Sridhama Mayapur, no dia do aparecimento de Srila Bhaktisiddhanta Saraswati Thakura, durante a celebração do centenário do nascimento de sua Divina Graça A. C. Bhaktivedanta Swami Prabhupada.</t>
    </r>
  </si>
  <si>
    <r>
      <rPr>
        <b/>
        <sz val="10"/>
        <rFont val="Verdana"/>
        <family val="2"/>
      </rPr>
      <t>GOVINDA GHOSH</t>
    </r>
    <r>
      <rPr>
        <sz val="10"/>
        <rFont val="Verdana"/>
        <family val="2"/>
      </rPr>
      <t>, um associado íntimo do Senhor Caitanya, era conhecido pelos seus doces kirtanas em Jagannatha Puri nos festivais anuais de Ratha-yatra. O Senhor Caitanya começava a dançar imediatamente sempre que Govinda Ghosh cantava. Govinda Ghosh e seus irmãos Vasudeva e Madhava são os associados eternos do Senhor Caitanya e do Senhor Nityananda Prabhu. (Veja Sri Caitanya-caritamrta, Adi-lila 10.115, 11.14-15, e 11.88).</t>
    </r>
  </si>
  <si>
    <r>
      <rPr>
        <b/>
        <sz val="10"/>
        <rFont val="Verdana"/>
        <family val="2"/>
      </rPr>
      <t>HARIDASA THAKURA</t>
    </r>
    <r>
      <rPr>
        <sz val="10"/>
        <rFont val="Verdana"/>
        <family val="2"/>
      </rPr>
      <t xml:space="preserve"> é considerado o namacharya, o mestre espiritual do canto dos santos nomes de Krishna. Embora ele houvesse nascido em uma família muçulmana, os devotos do Senhor Caitanya o respeitavam como sendo melhor que o melhor dos brahmanas. Ele não comia ou dormia até que terminasse sua cota diária do canto dos nomes de Krishna 300.000 vezes. Junto com o Senhor Nityananda, Haridasa Thakura espalhou o canto do nome de Krishna em toda Bengala. Em Jagannatha Puri, onde Haridasa Thakura passou seus últimos dias, o Senhor Caitanya lhe enviava regularmente prasadam e discutia com ele tópicos de Krishna. Haridasa Thakura morreu enquanto cantava o nome de Krishna na presença de Sri Caitanya Mahaprabhu. Depois da morte de Haridasa Thakura, o Senhor Caitanya levou o corpo dele para o mar e com Suas próprias mãos o enterrou na areia. (Veja Sri Caitanya-caritamrta, Adi-lila 10.43-47 e Antya-lila, capítulos 3 e 11).</t>
    </r>
  </si>
  <si>
    <r>
      <rPr>
        <b/>
        <sz val="10"/>
        <rFont val="Verdana"/>
        <family val="2"/>
      </rPr>
      <t>ISHWARA PURI</t>
    </r>
    <r>
      <rPr>
        <sz val="10"/>
        <rFont val="Verdana"/>
        <family val="2"/>
      </rPr>
      <t xml:space="preserve"> foi o mestre espiritual de Sri Caitanya Mahaprabhu. Embora o Senhor Caitanya, o Senhor Supremo, não precisasse de um mestre espiritual, Ele aceitou Srila Ishwara Puri como Seu guru para estabelecer a importância de se aceitar um mestre espiritual. (Veja Sri Caitanya-caritamrta, Adi-lila 9.11).</t>
    </r>
  </si>
  <si>
    <r>
      <rPr>
        <b/>
        <sz val="10"/>
        <rFont val="Verdana"/>
        <family val="2"/>
      </rPr>
      <t>JAGADISHA PANDITA</t>
    </r>
    <r>
      <rPr>
        <sz val="10"/>
        <rFont val="Verdana"/>
        <family val="2"/>
      </rPr>
      <t xml:space="preserve"> viveu perto de Jagannatha Mishra, o pai do Senhor Caitanya, em Sridhama Mayapur. Jagadisha Pandita ajudou o Senhor Caitanya a divulgar o movimento de sankirtana (canto congregacional do nome de Krishna) em Jagannatha Puri. (Veja Sri Caitanya-caritamrta, Adi-lila 11.30).</t>
    </r>
  </si>
  <si>
    <r>
      <rPr>
        <b/>
        <sz val="10"/>
        <rFont val="Verdana"/>
        <family val="2"/>
      </rPr>
      <t>JAGANNATHA DASA BABAJI MAHARAJA</t>
    </r>
    <r>
      <rPr>
        <sz val="10"/>
        <rFont val="Verdana"/>
        <family val="2"/>
      </rPr>
      <t>, o mestre espiritual de Srila Bhaktivinoda Thakura, confirmou a descoberta de Srila Bhaktivinoda Thakura do local de nascimento do Senhor Caitanya. Ao chegar ao local de nascimento, Jagannatha Dasa Babaji Maharaja, embora cego e aleijado, saltou bem alto no ar e começou a cantar os nomes de Krishna e a dançar.</t>
    </r>
  </si>
  <si>
    <r>
      <rPr>
        <b/>
        <sz val="10"/>
        <rFont val="Verdana"/>
        <family val="2"/>
      </rPr>
      <t>JAGANNATHA MISHRA</t>
    </r>
    <r>
      <rPr>
        <sz val="10"/>
        <rFont val="Verdana"/>
        <family val="2"/>
      </rPr>
      <t xml:space="preserve"> apareceu como o pai do Senhor Caitanya Mahaprabhu. (Veja Sri Caitanya-caritamrta, Adi-lila, capítulo 13).</t>
    </r>
  </si>
  <si>
    <r>
      <rPr>
        <b/>
        <sz val="10"/>
        <rFont val="Verdana"/>
        <family val="2"/>
      </rPr>
      <t>JAHNAVA MATA</t>
    </r>
    <r>
      <rPr>
        <sz val="10"/>
        <rFont val="Verdana"/>
        <family val="2"/>
      </rPr>
      <t xml:space="preserve"> era a esposa do Senhor Nityananda Prabhu. Especialmente depois do desaparecimento do Senhor Caitanya e do Senhor Nityananda, ela se tornou uma figura principal no movimento de sankirtana.</t>
    </r>
  </si>
  <si>
    <r>
      <rPr>
        <b/>
        <sz val="10"/>
        <rFont val="Verdana"/>
        <family val="2"/>
      </rPr>
      <t>JAYADEVA GOSWAMI</t>
    </r>
    <r>
      <rPr>
        <sz val="10"/>
        <rFont val="Verdana"/>
        <family val="2"/>
      </rPr>
      <t xml:space="preserve"> é o autor do Gita-govinda, um poema sobre os passatempos de Sri Sri Radha Krishna. Ele apareceu 300 anos antes do advento do Senhor Caitanya. O Senhor Caitanya apreciava ouvir o Gita-govinda cantado pelos Seus associados íntimos. Até hoje o poema é recitado diariamente no templo do Senhor Jagannatha em Jagannatha Puri, Orissa. Jayadeva Goswami também é o autor do famoso Dashavatara Stotra.</t>
    </r>
  </si>
  <si>
    <r>
      <rPr>
        <b/>
        <sz val="10"/>
        <rFont val="Verdana"/>
        <family val="2"/>
      </rPr>
      <t>JAYANANDA PRABHU</t>
    </r>
    <r>
      <rPr>
        <sz val="10"/>
        <rFont val="Verdana"/>
        <family val="2"/>
      </rPr>
      <t xml:space="preserve"> era um discípulo dedicado de Srila Prabhupada que o ajudou a introduzir o festival de Ratha-yatra nos Estados Unidos.</t>
    </r>
  </si>
  <si>
    <r>
      <rPr>
        <b/>
        <sz val="10"/>
        <rFont val="Verdana"/>
        <family val="2"/>
      </rPr>
      <t>JIVA GOSWAMI</t>
    </r>
    <r>
      <rPr>
        <sz val="10"/>
        <rFont val="Verdana"/>
        <family val="2"/>
      </rPr>
      <t>, o sobrinho e discípulo de Srila Rupa Goswami, era um dos seis Goswamis de Vrindavana. Depois do desaparecimento de Rupa Goswami e Sanatana Goswami, Sri Jiva Goswami se tornou o principal acharya para a comunidade vaishnava. Srila Jiva Goswami foi o maior e o mais prolífico estudante do seu tempo. Ele compôs meio milhão de versos em sânscrito sobre a ciência da devoção e as glórias de Krishna. (Veja Sri Caitanya-caritamrta, Adi-lila 10.85).</t>
    </r>
  </si>
  <si>
    <r>
      <rPr>
        <b/>
        <sz val="10"/>
        <rFont val="Verdana"/>
        <family val="2"/>
      </rPr>
      <t>KALIYA KRISHNADASA</t>
    </r>
    <r>
      <rPr>
        <sz val="10"/>
        <rFont val="Verdana"/>
        <family val="2"/>
      </rPr>
      <t xml:space="preserve"> é mencionado como tendo sido um discípulo de Gauridasa Pandita.</t>
    </r>
  </si>
  <si>
    <r>
      <rPr>
        <b/>
        <sz val="10"/>
        <rFont val="Verdana"/>
        <family val="2"/>
      </rPr>
      <t>KASISVARA PANDITA</t>
    </r>
    <r>
      <rPr>
        <sz val="10"/>
        <rFont val="Verdana"/>
        <family val="2"/>
      </rPr>
      <t xml:space="preserve"> serviu como o guarda-costas do Senhor Caitanya em Jagannatha Puri. Outro serviço dele era distribuir prasadam depois do kirtana. (Veja Sri Caitanya-caritamrta, Adi-lila 8.66).</t>
    </r>
  </si>
  <si>
    <r>
      <rPr>
        <b/>
        <sz val="10"/>
        <rFont val="Verdana"/>
        <family val="2"/>
      </rPr>
      <t>SENHOR SRI KRISHNA</t>
    </r>
    <r>
      <rPr>
        <sz val="10"/>
        <rFont val="Verdana"/>
        <family val="2"/>
      </rPr>
      <t xml:space="preserve"> é a Verdade Absoluta, a forma original da Suprema Personalidade de Deus. As palavras do Bhagavad-gita são as instruções faladas por Ele, e o Srimad-Bhagavatam inteiro descreve Suas glórias. (Também veja o estudo sumário do Décimo Canto do Srimad-Bhagavatam intitulado Krishna, a Suprema Personalidade de Deus).</t>
    </r>
  </si>
  <si>
    <r>
      <rPr>
        <b/>
        <sz val="10"/>
        <rFont val="Verdana"/>
        <family val="2"/>
      </rPr>
      <t>LOCANA DASA THAKURA</t>
    </r>
    <r>
      <rPr>
        <sz val="10"/>
        <rFont val="Verdana"/>
        <family val="2"/>
      </rPr>
      <t>, um discípulo de Narahari Sharakara Thakura, escreveu muitas canções bengalis que glorificam o Senhor Caitanya. Seu trabalho poético mais famoso é o Chaitanya-mangala, uma representação da vida do Senhor Caitanya. (Veja Sri Caitanya-caritamrta, Adi-lila 10.78-79).</t>
    </r>
  </si>
  <si>
    <r>
      <rPr>
        <b/>
        <sz val="10"/>
        <rFont val="Verdana"/>
        <family val="2"/>
      </rPr>
      <t>LOKANATHA GOSWAMI</t>
    </r>
    <r>
      <rPr>
        <sz val="10"/>
        <rFont val="Verdana"/>
        <family val="2"/>
      </rPr>
      <t xml:space="preserve"> era um associado pessoal do Senhor Caitanya. O Senhor Caitanya ordenou que ele e Bhugarbha Goswami encontrassem os lugares santos perdidos de Vrindavana. Anos depois, os seis Goswamis chegaram a Vrindavana e continuaram este trabalho. Lokanatha Goswami construiu o templo de Radha-Gokulananda em Vrindavana. Srila Narottama Thakura dasa foi seu único discípulo. (Veja Sri Caitanya-caritamrta, Madhya-lila 18.49).</t>
    </r>
  </si>
  <si>
    <r>
      <rPr>
        <b/>
        <sz val="10"/>
        <rFont val="Verdana"/>
        <family val="2"/>
      </rPr>
      <t>MADHAVENDRA PURI</t>
    </r>
    <r>
      <rPr>
        <sz val="10"/>
        <rFont val="Verdana"/>
        <family val="2"/>
      </rPr>
      <t xml:space="preserve"> era o mestre espiritual do mestre espiritual do Senhor Caitanya Mahaprabhu. Srila Madhavendra Puri estabeleceu a adoração da Deidade de Gopala que é hoje adorada como Srinathaji. (Veja Sri Caitanya-caritamrta, Madhya-lila, capítulo 4).</t>
    </r>
  </si>
  <si>
    <r>
      <rPr>
        <b/>
        <sz val="10"/>
        <rFont val="Verdana"/>
        <family val="2"/>
      </rPr>
      <t>MADHU PANDITA</t>
    </r>
    <r>
      <rPr>
        <sz val="10"/>
        <rFont val="Verdana"/>
        <family val="2"/>
      </rPr>
      <t>, um discípulo de Sri Gadadhara Pandita, estabeleceu o templo de Gopinatha em Vrindavana, Índia. Antes de Srinivasa Acharya, Narottama dasa Thakura, e Syamananda Prabhu foram buscar os livros dos Goswamis de Vrindavana para a Bengala, Madhu Pandita abençoou Srinivasa Acharya com uma guirlanda de Sri Gopinatha. (Veja Sri Caitanya-caritamrta, Adi-lila 12.88).</t>
    </r>
  </si>
  <si>
    <r>
      <rPr>
        <b/>
        <sz val="10"/>
        <rFont val="Verdana"/>
        <family val="2"/>
      </rPr>
      <t>MADHVACHARYA</t>
    </r>
    <r>
      <rPr>
        <sz val="10"/>
        <rFont val="Verdana"/>
        <family val="2"/>
      </rPr>
      <t xml:space="preserve"> é o principal acharya, ou instrutor espiritual, na Brahma-sampradaya, sucessão discipular vaishnava, da qual a Gaudiya-sampradaya descende. Ele nasceu em Udupi, Sul da Índia, no início do século treze. À idade de cinco anos, ele tomou iniciação, e com doze anos deixou a casa para tomar sannyasa. Madhvacharya estudou os Vedas sob a guia do compilador dos Vedas, Vyasadeva, nos Himalayas. O comentário do Vedanta-sutra de Madhvacharya - Purnaprajna-bhasya - estabelece a doutrina conhecida como Suddha-dvaita-vada. Madhva usou sua erudição para esmagar a filosofia Mayavada (impersonalista) e estabelecer o serviço devocional à Suprema Personalidade de Deus. (Veja Sri Caitanya-caritamrta, Madhya-lila 9.245).</t>
    </r>
  </si>
  <si>
    <r>
      <rPr>
        <b/>
        <sz val="10"/>
        <rFont val="Verdana"/>
        <family val="2"/>
      </rPr>
      <t>MAHESHA PANDITA</t>
    </r>
    <r>
      <rPr>
        <sz val="10"/>
        <rFont val="Verdana"/>
        <family val="2"/>
      </rPr>
      <t xml:space="preserve"> era um dos doze gopalas que eram os associados íntimos do Senhor Nityananda. Ele viajou e pregou com o Senhor Nityananda. (Veja Sri Caitanya-caritamrta, Adi-lila 11.32).</t>
    </r>
  </si>
  <si>
    <r>
      <rPr>
        <b/>
        <sz val="10"/>
        <rFont val="Verdana"/>
        <family val="2"/>
      </rPr>
      <t>MUKUNDA DATTA</t>
    </r>
    <r>
      <rPr>
        <sz val="10"/>
        <rFont val="Verdana"/>
        <family val="2"/>
      </rPr>
      <t>, o filho de Vasudeva Datta, era um companheiro do Senhor Caitanya. Mukunda Datta tinha uma voz melodiosa, e sabia as complexidades das métricas musicais e ragas. O Senhor Caitanya tomou sannyasa entre o kirtana de Mukunda Datta. (Veja Sri Caitanya-caritamrta, Adi-lila 10.40 e 17.65 e Madhya-lila 11.137-140).</t>
    </r>
  </si>
  <si>
    <r>
      <rPr>
        <b/>
        <sz val="10"/>
        <rFont val="Verdana"/>
        <family val="2"/>
      </rPr>
      <t>MURARI GUPTA</t>
    </r>
    <r>
      <rPr>
        <sz val="10"/>
        <rFont val="Verdana"/>
        <family val="2"/>
      </rPr>
      <t xml:space="preserve"> era um associado eterno do Senhor Caitanya. Ele serviu o Senhor Caitanya em todos os passatempos do Senhor em Navadvipa. Através da profissão de médico, Murari Gupta não só livrava seus pacientes das doenças físicas, mas também da contaminação da energia material. Murari Gupta é considerado uma encarnação de Hanuman, o criado eterno do Senhor Ramachandra. (Veja Sri Caitanya-caritamrta, Adi-lila 10.49-51 e Madhya-lila 15.137-157).</t>
    </r>
  </si>
  <si>
    <r>
      <rPr>
        <b/>
        <sz val="10"/>
        <rFont val="Verdana"/>
        <family val="2"/>
      </rPr>
      <t>NARAHARI SARAKARA</t>
    </r>
    <r>
      <rPr>
        <sz val="10"/>
        <rFont val="Verdana"/>
        <family val="2"/>
      </rPr>
      <t xml:space="preserve"> era um associado pessoal do Senhor Caitanya. Ele servia freqüentemente o Senhor, abanando-O com um camara. Ele também era um grande estudante e poeta. Seus livros Padakalpataru e Krishna-bhajanamrita incluem doces canções que louvam o Senhor Caitanya e o Senhor Nityananda. O célebre Locana dasa Thakura foi seu discípulo. (Veja Sri Caitanya-caritamrta, Adi-lila 10.78-79).</t>
    </r>
  </si>
  <si>
    <r>
      <rPr>
        <b/>
        <sz val="10"/>
        <rFont val="Verdana"/>
        <family val="2"/>
      </rPr>
      <t>NAROTTAMA DASA THAKURA</t>
    </r>
    <r>
      <rPr>
        <sz val="10"/>
        <rFont val="Verdana"/>
        <family val="2"/>
      </rPr>
      <t xml:space="preserve"> foi o principal acharya na linha Gaudiya vaishnava. Ele era o único discípulo de Srila Lokanatha Goswami. Srila Narottama Dasa Thakura ajudou a levar os livros dos Goswamis de Vrindavana para a Bengala e Orissa. Em Kheturi, Bengala, ele inaugurou o primeiro festival de Gaura Purnima depois do desaparecimento de Sri Caitanya Mahaprabhu. Ele é muito famoso pelo seu Prarthana, uma composição de trinta e três canções bengalis.</t>
    </r>
  </si>
  <si>
    <r>
      <rPr>
        <b/>
        <sz val="10"/>
        <rFont val="Verdana"/>
        <family val="2"/>
      </rPr>
      <t>NIMBARKACARYA</t>
    </r>
    <r>
      <rPr>
        <sz val="10"/>
        <rFont val="Verdana"/>
        <family val="2"/>
      </rPr>
      <t xml:space="preserve"> era o mais proeminente acharya na Kumara sampradaya, uma das quatro linhas principais de mestres e discípulos vaishnavas. Seu comentário Vedanta-sutra - Parijata-saurabha-bhasya - estabelece a doutrina conhecida como Dwaitadwaita-vada. Ele pregou a consciência de Krishna aproximadamente 300 anos antes do advento de Sri Caitanya Mahaprabhu.</t>
    </r>
  </si>
  <si>
    <r>
      <rPr>
        <b/>
        <sz val="10"/>
        <rFont val="Verdana"/>
        <family val="2"/>
      </rPr>
      <t>SENHOR NITYANANDA PRABHU</t>
    </r>
    <r>
      <rPr>
        <sz val="10"/>
        <rFont val="Verdana"/>
        <family val="2"/>
      </rPr>
      <t xml:space="preserve"> apareceu como o associado principal do Senhor Caitanya para espalhar o canto congregacional dos santos nomes do Senhor. Ele divulgou especialmente o santo nome do Senhor em toda Bengala. Ele é considerado uma encarnação do Senhor Balarama. (Veja Sri Caitanya-caritamrta, Adi-lila, capítulo 5).</t>
    </r>
  </si>
  <si>
    <r>
      <rPr>
        <b/>
        <sz val="10"/>
        <rFont val="Verdana"/>
        <family val="2"/>
      </rPr>
      <t>PARAMESVARI DASA THAKURA</t>
    </r>
    <r>
      <rPr>
        <sz val="10"/>
        <rFont val="Verdana"/>
        <family val="2"/>
      </rPr>
      <t>, também conhecido como Parameshwara Thakura, era um associado íntimo do Senhor Nityananda Prabhu. (Veja Sri Caitanya-caritamrta, Adi-lila 11.29).</t>
    </r>
  </si>
  <si>
    <r>
      <rPr>
        <b/>
        <sz val="10"/>
        <rFont val="Verdana"/>
        <family val="2"/>
      </rPr>
      <t>PUNDARIKA VIDYANIDHI</t>
    </r>
    <r>
      <rPr>
        <sz val="10"/>
        <rFont val="Verdana"/>
        <family val="2"/>
      </rPr>
      <t xml:space="preserve"> era um discípulo de Madhavendra Puri e o guru de Sri Gadadhara Pandita. Pundarika Vidyanidhi às vezes era mal entendido por ser muito fixo em prazeres materiais, mas só ouvindo a recitação de um verso do Bhagavatam ele entrava em transe. Nos passatempos de Krishna, ele foi Vrishabhanu, o pai de Srimati Radharani. (Veja Sri Caitanya-caritamrta, Adi-lila 10.14 e Madhya-lila 16.76-81).</t>
    </r>
  </si>
  <si>
    <r>
      <rPr>
        <b/>
        <sz val="10"/>
        <rFont val="Verdana"/>
        <family val="2"/>
      </rPr>
      <t>PURUSOTTAMA DASA THAKURA</t>
    </r>
    <r>
      <rPr>
        <sz val="10"/>
        <rFont val="Verdana"/>
        <family val="2"/>
      </rPr>
      <t xml:space="preserve"> era um grande devoto do Senhor Nityananda. Em Goloka Vrindavana, Purushottama Dasa Thakura serve o Senhor Balarama como um vaqueirinho. (Veja Sri Caitanya-caritamrta, Adi-lila 11.38-40).</t>
    </r>
  </si>
  <si>
    <r>
      <rPr>
        <b/>
        <sz val="10"/>
        <rFont val="Verdana"/>
        <family val="2"/>
      </rPr>
      <t>SRIMATI RADHARANI</t>
    </r>
    <r>
      <rPr>
        <sz val="10"/>
        <rFont val="Verdana"/>
        <family val="2"/>
      </rPr>
      <t xml:space="preserve"> é a consorte eterna do Senhor Sri Krishna, a Suprema Personalidade de Deus. Ela é a potência de prazer interna do Senhor. (Veja Sri Caitanya-caritamrta, Adi-lila, capítulo 4).</t>
    </r>
  </si>
  <si>
    <r>
      <rPr>
        <b/>
        <sz val="10"/>
        <rFont val="Verdana"/>
        <family val="2"/>
      </rPr>
      <t>RAGHUNANDANA THAKURA</t>
    </r>
    <r>
      <rPr>
        <sz val="10"/>
        <rFont val="Verdana"/>
        <family val="2"/>
      </rPr>
      <t xml:space="preserve"> era o filho do grande devoto Mukunda Dasa. (Veja Sri Caitanya-caritamrta, Adi-lila 10.78-79).</t>
    </r>
  </si>
  <si>
    <r>
      <rPr>
        <b/>
        <sz val="10"/>
        <rFont val="Verdana"/>
        <family val="2"/>
      </rPr>
      <t>RAGHUNATHA BHATTA GOSWAMI</t>
    </r>
    <r>
      <rPr>
        <sz val="10"/>
        <rFont val="Verdana"/>
        <family val="2"/>
      </rPr>
      <t>, um dos seis Goswamis de Vrindavana, foi ordenado pelo Senhor Caitanya a ir para Vrindavana e lá constantemente cantava o mantra Hare Krishna e fazia a leitura do Srimad-Bhagavatam. Diariamente em Vrindavana, ele cantava docemente os versos do Bhagavatam para os residentes locais. Suas lágrimas de puro amor molhavam as páginas do Bhagavatam à medida que ele cantava. Raghunatha Bhatta Goswami nunca criticou alguém. Ele acreditava que todos os vaishnavas estão sinceramente servindo Krishna de acordo com sua realização, e, portanto, deve-se negligenciar suas faltas. Sob sua inspiração, um discípulo rico construiu o templo para as Deidades de Radha-Govinda em Vrindavana. (Veja Sri Caitanya-caritamrta, Adi-lila 10.152-158).</t>
    </r>
  </si>
  <si>
    <r>
      <rPr>
        <b/>
        <sz val="10"/>
        <rFont val="Verdana"/>
        <family val="2"/>
      </rPr>
      <t>RAGHUNATHA DASA GOSWAMI</t>
    </r>
    <r>
      <rPr>
        <sz val="10"/>
        <rFont val="Verdana"/>
        <family val="2"/>
      </rPr>
      <t>, um dos seis Goswamis, numa idade jovem renunciou à sua linda esposa e casa opulenta para se unir ao Senhor Caitanya e ao Seu movimento de sankirtana. Durante dezesseis anos, ele foi o assistente pessoal do secretário do Senhor Caitanya, Swarupa Damodara. Junto com Swarupa Damodara, ele testemunhou os últimos dias do Senhor Caitanya. Depois do desaparecimento do Senhor, ele foi para Vrindavana, onde viveu austeramente, absorto em devoção, na companhia de Srila Rupa Goswami e Srila Sanatana Goswami. (Veja Sri Caitanya-caritamrta, Adi-lila 10.91-103 e Antya-lila, capítulo 6).</t>
    </r>
  </si>
  <si>
    <r>
      <rPr>
        <b/>
        <sz val="10"/>
        <rFont val="Verdana"/>
        <family val="2"/>
      </rPr>
      <t>SENHOR SRI RAMACHANDRA</t>
    </r>
    <r>
      <rPr>
        <sz val="10"/>
        <rFont val="Verdana"/>
        <family val="2"/>
      </rPr>
      <t xml:space="preserve"> é uma encarnação poderosa da Suprema Personalidade de Deus como um rei ideal. Ele apareceu em Treta-yuga, mais de dois milhões de anos atrás. Sob a ordem do Seu pai, Maharaja Dasharatha, o Senhor Ramachandra morou na floresta de Dandakaranya durante quatorze anos, junto com Sua esposa, Sita Devi, e Seu irmão mais jovem, Lakshmana. Depois que o poderoso demônio Ravana seqüestrou Sua esposa, o Senhor Ramachandra, com a ajuda do Seu fiel servo Hanuman, retornou e matou Ravana juntamente com os exércitos de Ravana. A história dos passatempos do Senhor Ramachandra é recontada pelo sábio Valmiki no Seu Ramayana. (Também veja Srimad-Bhagavatam 1.3.22, 2.7.23-25, 5.19.1-8 e Canto Nove, capítulos 10 e 11).</t>
    </r>
  </si>
  <si>
    <r>
      <rPr>
        <b/>
        <sz val="10"/>
        <rFont val="Verdana"/>
        <family val="2"/>
      </rPr>
      <t>RAMACHANDRA KAVIRAJA</t>
    </r>
    <r>
      <rPr>
        <sz val="10"/>
        <rFont val="Verdana"/>
        <family val="2"/>
      </rPr>
      <t xml:space="preserve"> foi um discípulo de Srila Srinivasa Acharya e um amigo íntimo de Srila Narottama dasa Thakura. Ele pregou amplamente as glórias do santo nome do Senhor Krishna e iniciou muitos discípulos no serviço do Senhor Caitanya. (Veja Sri Caitanya-caritamrta, Adi-lila 11.51).</t>
    </r>
  </si>
  <si>
    <r>
      <rPr>
        <b/>
        <sz val="10"/>
        <rFont val="Verdana"/>
        <family val="2"/>
      </rPr>
      <t>RAMANANDA RAYA</t>
    </r>
    <r>
      <rPr>
        <sz val="10"/>
        <rFont val="Verdana"/>
        <family val="2"/>
      </rPr>
      <t xml:space="preserve"> foi um dos associados mais íntimos do Senhor Caitanya Mahaprabhu. O Senhor Caitanya Mahaprabhu discutia com ele os tópicos mais confidenciais da consciência de Krishna, e, na companhia dele, o Senhor Caitanya apreciava os sentimentos mais profundos do serviço devocional. (Veja Sri Caitanya-caritamrta, Adi-lila 10.134, Madhya-lila 7.62-67, Madhya-lila capítulo 8, e Antya-lila capítulo 5).</t>
    </r>
  </si>
  <si>
    <r>
      <rPr>
        <b/>
        <sz val="10"/>
        <rFont val="Verdana"/>
        <family val="2"/>
      </rPr>
      <t>RAMANUJACHARYA</t>
    </r>
    <r>
      <rPr>
        <sz val="10"/>
        <rFont val="Verdana"/>
        <family val="2"/>
      </rPr>
      <t xml:space="preserve"> (1017-1137) foi o principal acharya na Sri-sampradaya, uma das quatro linhas principais de mestres e discípulos vaishnavas. Seu comentário do Vedanta-sutra - Sri-bhasya - estabelece a qualificada doutrina conhecida como Vishishtadvaita, não-dualismo. Forte proponente da filosofia do personalismo, ele ensinou que embora o Senhor Supremo e as almas individuais sejam qualitativamente unos, ainda assim há uma diferença entre eles, porque o Senhor é infinito e as entidades vivas são infinitesimais. Srila Ramanujacharya viajou extensivamente ao longo da Índia, ensinando o personalismo e derrotando os proponentes da filosofia monística. Fundou setenta e quatro centros de Sri Vaishnavism e iniciou setecentos sannyasis (monges renunciados), doze mil brahmacharis (estudantes celibatários), e milhares de chefes de famílias, inclusive os reis e proprietários de abastadas terras.</t>
    </r>
  </si>
  <si>
    <r>
      <rPr>
        <b/>
        <sz val="10"/>
        <rFont val="Verdana"/>
        <family val="2"/>
      </rPr>
      <t>RASIKANANDA PRABHU</t>
    </r>
    <r>
      <rPr>
        <sz val="10"/>
        <rFont val="Verdana"/>
        <family val="2"/>
      </rPr>
      <t xml:space="preserve"> pregou a consciência de Krishna em Orissa do norte depois do desaparecimento do Senhor Caitanya. Foi o principal discípulo de Shyamananda Goswami.</t>
    </r>
  </si>
  <si>
    <r>
      <rPr>
        <b/>
        <sz val="10"/>
        <rFont val="Verdana"/>
        <family val="2"/>
      </rPr>
      <t>RUPA GOSWAMI</t>
    </r>
    <r>
      <rPr>
        <sz val="10"/>
        <rFont val="Verdana"/>
        <family val="2"/>
      </rPr>
      <t xml:space="preserve"> é conhecido como bhakti-rasacharya, o perito nos gostos do puro serviço devocional. Ele e seu irmão mais velho, Srila Sanatana Goswami, abandonaram elevados postos no governo de Nawab Hussein Shah para se unirem a Sri Caitanya Mahaprabhu. Autorizado pelo Senhor Caitanya, Srila Rupa Goswami escreveu muitos livros sobre a ciência da consciência de Krishna. Um estudo sumário do seu Bhakti-rasamrita-sindhu está disponível como O Néctar da Devoção, e seu Upadeshamrita se encontra disponível como O néctar da instrução. (Veja Sri Caitanya-caritamrta, Adi-lila 10.84, Madhya-lila 1.36-41, Madhya-lila capítulo 19, e Antya-lila capítulo 1).</t>
    </r>
  </si>
  <si>
    <r>
      <rPr>
        <b/>
        <sz val="10"/>
        <rFont val="Verdana"/>
        <family val="2"/>
      </rPr>
      <t>SANATANA GOSWAMI</t>
    </r>
    <r>
      <rPr>
        <sz val="10"/>
        <rFont val="Verdana"/>
        <family val="2"/>
      </rPr>
      <t>, o irmão mais velho de Srila Rupa Goswami, era o sênior maior entre os seis Goswamis de Vrindavana. Em Varanasi, o Senhor Caitanya Mahaprabhu o instruiu em detalhes sobre a ciência do serviço devocional. O Senhor Caitanya enviou Srila Sanatana Goswami a Vrindavana e lhe deu uma missão quádrupla: descobrir os locais perdidos dos passatempos de Krishna, instalar Deidades do Senhor e organizar para Sua adoração, escrever livros sobre a consciência de Krishna, e ensinar as regras da vida devocional. Srila Sanatana Goswami, junto com Srila Rupa Goswami, cumpriu todas as quatro partes desta missão. (Veja Sri Caitanya-caritamrta, Adi-lila 10.84, Madhya-lila 1.35, Madhya-lila capítulos 20-24, e Antya-lila capítulo 4).</t>
    </r>
  </si>
  <si>
    <r>
      <rPr>
        <b/>
        <sz val="10"/>
        <rFont val="Verdana"/>
        <family val="2"/>
      </rPr>
      <t>SARANGA THAKURA</t>
    </r>
    <r>
      <rPr>
        <sz val="10"/>
        <rFont val="Verdana"/>
        <family val="2"/>
      </rPr>
      <t>, um associado de Sri Caitanya Mahaprabhu, vivia sob uma árvore de Bakula em Navadvipa durante o tempo do Senhor Caitanya. Durante o dia, ele juntava materiais para a adoração das suas Deidades, e à noite, ele cruzava o sagrado Rio Ganges para se unir aos kirtanas do Senhor Caitanya. O grande devoto Murari Thakura era seu discípulo. (Veja Sri Caitanya-caritamrta, Adi-lila 10.113).</t>
    </r>
  </si>
  <si>
    <r>
      <rPr>
        <b/>
        <sz val="10"/>
        <rFont val="Verdana"/>
        <family val="2"/>
      </rPr>
      <t>SITA DEVI</t>
    </r>
    <r>
      <rPr>
        <sz val="10"/>
        <rFont val="Verdana"/>
        <family val="2"/>
      </rPr>
      <t>, uma manifestação da Deusa da Fortuna, Lakshmi Devi, é a consorte eterna do Senhor Ramachandra. Quando o Senhor Ramachandra foi banido para a floresta de Dandakaranya, Sita Devi deixou os confortos do palácio real para se unir a Ele. Enquanto na floresta, ela foi raptada pelo rei demoníaco Ravana, contudo, apesar de seus esforços para desfrutar de Sua beleza, ela permaneceu sempre dedicada ao Senhor Ramachandra.</t>
    </r>
  </si>
  <si>
    <r>
      <rPr>
        <b/>
        <sz val="10"/>
        <rFont val="Verdana"/>
        <family val="2"/>
      </rPr>
      <t>SITA THAKURANI</t>
    </r>
    <r>
      <rPr>
        <sz val="10"/>
        <rFont val="Verdana"/>
        <family val="2"/>
      </rPr>
      <t xml:space="preserve"> era a esposa de Sri Advaita Acharya. Ela sempre estava absorta em amor maternal pelo Senhor Caitanya Mahaprabhu. Por causa do amor de Sita Devi, Saci Mata a escolheu como a primeira pessoa para adorar o Senhor Caitanya durante qualquer cerimônia auspiciosa. (Veja Sri Caitanya-caritamrta, Adi-lila 13.111-118).</t>
    </r>
  </si>
  <si>
    <r>
      <rPr>
        <b/>
        <sz val="10"/>
        <rFont val="Verdana"/>
        <family val="2"/>
      </rPr>
      <t>SIVANANDA SENA</t>
    </r>
    <r>
      <rPr>
        <sz val="10"/>
        <rFont val="Verdana"/>
        <family val="2"/>
      </rPr>
      <t>, um associado do Senhor Caitanya, usou todas suas posses e riqueza no serviço do Senhor Caitanya e dos seus devotos. Ele levava um grupo de 200 devotos da Bengala para Jagannatha Puri para assistir ao festival anual de Ratha-yatra todos os anos. Ele organizava a alimentação dos devotos, pedágios, balsas, e alojamento. A família de Shivananda Sena e criados eram todos dedicados ao Senhor Caitanya Mahaprabhu. (Veja Sri Caitanya-caritamrta, Adi-lila 10.54-55 e 10.60-64, e Antya-lila 1.16-32, 2.22-82, 10.142-151 e 12.15-53).</t>
    </r>
  </si>
  <si>
    <r>
      <rPr>
        <b/>
        <sz val="10"/>
        <rFont val="Verdana"/>
        <family val="2"/>
      </rPr>
      <t>SRINIVASA ACARYA</t>
    </r>
    <r>
      <rPr>
        <sz val="10"/>
        <rFont val="Verdana"/>
        <family val="2"/>
      </rPr>
      <t xml:space="preserve"> era um associado do grupo que primeiro trouxe os livros dos seis Goswamis de Vrindavana para a Bengala e Orissa. Ele converteu o Rei Birahambira à religião vaishnava e ajudou a organizar o primeiro festival de Gaura Purnima, celebrando o aniversário de nascimento do Senhor Caitanya, em Kheturi.</t>
    </r>
  </si>
  <si>
    <r>
      <rPr>
        <b/>
        <sz val="10"/>
        <rFont val="Verdana"/>
        <family val="2"/>
      </rPr>
      <t>SRIVASA PANDITA</t>
    </r>
    <r>
      <rPr>
        <sz val="10"/>
        <rFont val="Verdana"/>
        <family val="2"/>
      </rPr>
      <t>, ou Srivasa Thakura, era um associado do Panca-tattva, que consiste do Senhor Caitanya Mahaprabhu e Suas quatro expansões e energias imediatas. Todas as noites, o Senhor Caitanya e Seus associados cantavam os nomes de Krishna e dançavam na casa de Srivasa Pandita. Srivasa Pandita nunca fez qualquer esforço para sustentar os seus dependentes. Por causa da sua plena dedicação ao Senhor Caitanya e à missão Dele, o Senhor Caitanya provia todas as suas necessidades. (Veja Sri Caitanya-caritamrta, Adi-lila 10.8).</t>
    </r>
  </si>
  <si>
    <r>
      <rPr>
        <b/>
        <sz val="10"/>
        <rFont val="Verdana"/>
        <family val="2"/>
      </rPr>
      <t>SWARUPA DAMODARA GOSWAMI</t>
    </r>
    <r>
      <rPr>
        <sz val="10"/>
        <rFont val="Verdana"/>
        <family val="2"/>
      </rPr>
      <t xml:space="preserve"> era o secretário pessoal de Sri Caitanya Mahaprabhu. É dito que ele era como um segundo Mahaprabhu porque ele era profundamente entendido das conclusões do Senhor em Krishna-bhakti, serviço devocional a Krishna. Ele era um grande estudante bem como um músico especialista. Na companhia de Srila Swarupa Damodara Goswami a Jagannatha Puri, Sri Caitanya Mahaprabhu experimentava as emoções mais profundas do serviço devocional. (Veja Sri Caitanya-caritamrta, Adi-lila 4.105 e Madhya-lila 10.102-129 e 13.163-167).</t>
    </r>
  </si>
  <si>
    <r>
      <rPr>
        <b/>
        <sz val="10"/>
        <rFont val="Verdana"/>
        <family val="2"/>
      </rPr>
      <t>SHYAMANANDA PRABHU</t>
    </r>
    <r>
      <rPr>
        <sz val="10"/>
        <rFont val="Verdana"/>
        <family val="2"/>
      </rPr>
      <t>, um discípulo de Hridaya Caitanya, estabeleceu o templo de Sri Radha-Shyamasundara em Vrindavana. Sob a ordem do seu mestre espiritual, Shyamananda, junto com seu discípulo principal, Rasikananda Prabhu, divulgaram a adoração e o serviço ao Senhor Caitanya por toda Orissa.</t>
    </r>
  </si>
  <si>
    <r>
      <rPr>
        <b/>
        <sz val="10"/>
        <rFont val="Verdana"/>
        <family val="2"/>
      </rPr>
      <t>UDDHARANA DATTA THAKURA</t>
    </r>
    <r>
      <rPr>
        <sz val="10"/>
        <rFont val="Verdana"/>
        <family val="2"/>
      </rPr>
      <t xml:space="preserve"> era um associado íntimo do Senhor Nityananda. Criado em uma família de comerciantes de ouro, ele se casou depois e se tornou um ministro rico. O Senhor Nityananda se hospedava freqüentemente na casa dele. Na idade de vinte e seis anos, Uddharana Datta Thakura renunciou à sua casa e família e se uniu à festa de kirtana do Senhor Nityananda. (Veja Sri Caitanya-caritamrta, Adi-lila 11.41).</t>
    </r>
  </si>
  <si>
    <r>
      <rPr>
        <b/>
        <sz val="10"/>
        <rFont val="Verdana"/>
        <family val="2"/>
      </rPr>
      <t>VAKRESHWARA PANDITA</t>
    </r>
    <r>
      <rPr>
        <sz val="10"/>
        <rFont val="Verdana"/>
        <family val="2"/>
      </rPr>
      <t xml:space="preserve"> é mencionado no Sri Caitanya-caritamrita por causa de seu dançar extático. Uma vez, na casa de Srivasa Thakura, ele dançou em êxtase constante por setenta e duas horas. Ele fez muitos discípulos, especialmente em Orissa, entre eles Sri Gopala-guru Goswami. (Veja Sri Caitanya-caritamrta, Adi-lila 10.17-18).</t>
    </r>
  </si>
  <si>
    <r>
      <rPr>
        <b/>
        <sz val="10"/>
        <rFont val="Verdana"/>
        <family val="2"/>
      </rPr>
      <t>VAMANADEVA</t>
    </r>
    <r>
      <rPr>
        <sz val="10"/>
        <rFont val="Verdana"/>
        <family val="2"/>
      </rPr>
      <t xml:space="preserve"> é a encarnação do Senhor Krishna como um brahmana anão. O Senhor Vamanadeva implorou de Bali Maharaja três passos de terra. Quando o pedido foi concedido, o Senhor Vamanadeva assumiu uma forma gigantesca e com dois passos cobriu a terra primeiro, e então o universo inteiro. No terceiro passo, Bali Maharaja ficou satisfeito em receber o pé de lótus do Senhor em sua cabeça. (Veja Srimad-Bhagavatam, 1.3.19, 2.7.17 e Oitavo Canto, capítulos 20-23).</t>
    </r>
  </si>
  <si>
    <r>
      <rPr>
        <b/>
        <sz val="10"/>
        <rFont val="Verdana"/>
        <family val="2"/>
      </rPr>
      <t>VAMSHIDASA BABAJI MAHARAJA</t>
    </r>
    <r>
      <rPr>
        <sz val="10"/>
        <rFont val="Verdana"/>
        <family val="2"/>
      </rPr>
      <t xml:space="preserve"> era um devoto paramahamsa que às vezes vivia em Navadvipa na época de Srila Bhaktisiddhanta Saraswati Thakura. Usava só uma tanga e comia o que chegava até ele. Vamshidasa Babaji Maharaja viajou por toda a Índia, visitando lugares santos. Ele adorava o Senhor Krishna em uma plataforma espontânea que os neófitos no caminho de devoção não podem imitar.</t>
    </r>
  </si>
  <si>
    <r>
      <rPr>
        <b/>
        <sz val="10"/>
        <rFont val="Verdana"/>
        <family val="2"/>
      </rPr>
      <t>VAMSIVADANANDA THAKURA</t>
    </r>
    <r>
      <rPr>
        <sz val="10"/>
        <rFont val="Verdana"/>
        <family val="2"/>
      </rPr>
      <t xml:space="preserve"> escreveu muitos doces poemas que expressam sua devoção por Krishna. No dia em que ele apareceu, o Senhor Caitanya e Sri Advaita Prabhu estavam na casa dele na Bengala. Depois do desaparecimento de Srimati Vishnupriya Devi, adorou as Deidades dela em Navadvipa.</t>
    </r>
  </si>
  <si>
    <r>
      <rPr>
        <b/>
        <sz val="10"/>
        <rFont val="Verdana"/>
        <family val="2"/>
      </rPr>
      <t>VARAHADEVA</t>
    </r>
    <r>
      <rPr>
        <sz val="10"/>
        <rFont val="Verdana"/>
        <family val="2"/>
      </rPr>
      <t xml:space="preserve"> é a encarnação javali de Sri Krishna. Ele assumiu a forma de um javali para erguer o planeta terra da submersão no Oceano Garbhodaka com Suas presas. O demônio Hiryanyaksha tinha lançado o planeta terra neste oceano, mas o Senhor apunhalou o demônio com Seus dentes e salvou a Terra. (Veja Srimad-Bhagavatam, 1.3.7 e 2.7.1 e Canto três, Capítulos 13, 18 e 19).</t>
    </r>
  </si>
  <si>
    <r>
      <rPr>
        <b/>
        <sz val="10"/>
        <rFont val="Verdana"/>
        <family val="2"/>
      </rPr>
      <t>VASUDEVA GHOSH</t>
    </r>
    <r>
      <rPr>
        <sz val="10"/>
        <rFont val="Verdana"/>
        <family val="2"/>
      </rPr>
      <t>, um associado íntimo do Senhor Caitanya, era conhecido pelo seu kirtana. O Sri Caitanya-charitamrita diz que quando Vasudeva Ghosh liderava o kirtana, madeira e pedra se derretiam ao ouvi-lo. Ele compôs muitas canções sobre Sri Caitanya Mahaprabhu. Vasudeva Ghosh e seus irmãos Govinda e Madhava são os associados eternos do Senhor Caitanya e do Senhor Nityananda Prabhu. (Veja Sri Caitanya-caritamrta, Adi-lila 10.115, 11.14-15, 11.19 e 11.88).</t>
    </r>
  </si>
  <si>
    <r>
      <rPr>
        <b/>
        <sz val="10"/>
        <rFont val="Verdana"/>
        <family val="2"/>
      </rPr>
      <t>VIRACANDRA PRABHU</t>
    </r>
    <r>
      <rPr>
        <sz val="10"/>
        <rFont val="Verdana"/>
        <family val="2"/>
      </rPr>
      <t xml:space="preserve"> era o filho da segunda esposa do Senhor Nityananda, Vasudha Devi, e era um discípulo de Sri Jahnava Devi, a primeira esposa do Senhor Nityananda. Ele é considerado uma encarnação de Kshirodakasayi Visnu.</t>
    </r>
  </si>
  <si>
    <r>
      <rPr>
        <b/>
        <sz val="10"/>
        <rFont val="Verdana"/>
        <family val="2"/>
      </rPr>
      <t>VISNUPRIYA DEVI</t>
    </r>
    <r>
      <rPr>
        <sz val="10"/>
        <rFont val="Verdana"/>
        <family val="2"/>
      </rPr>
      <t xml:space="preserve"> era a esposa do Senhor Caitanya antes de Ele tomar sannyasa. Depois do Seu sannyasa, ela viveu uma vida de severa austeridade. Diariamente, separava um grão de arroz para cada volta do mantra Hare Krishna que cantava. Ao término do dia, cozinhava e oferecia estes poucos grãos ao Senhor Caitanya, e isso era sua comida. Ela é uma manifestação da energia interna do Senhor. (Veja o comentário Bhaktivedanta do Srimad-Bhagavatam, 4.23.20).</t>
    </r>
  </si>
  <si>
    <r>
      <rPr>
        <b/>
        <sz val="10"/>
        <rFont val="Verdana"/>
        <family val="2"/>
      </rPr>
      <t>VISVANATHA CAKRAVARTI THAKURA</t>
    </r>
    <r>
      <rPr>
        <sz val="10"/>
        <rFont val="Verdana"/>
        <family val="2"/>
      </rPr>
      <t>, um grande acharya vaishnava, apareceu em 1674, onde é agora o distrito de Nadia da Bengala Ocidental. Durante sua época, ele serviu como o protetor, guardião e acharya da linha Gaudiya vaishnava. Ele escreveu mais de quarenta textos em sânscrito sobre a ciência da pura devoção, inclusive comentários do Srimad-Bhagavatam, Bhagavad-gita, e os livros dos seis Goswamis. Suas oito orações para o mestre espiritual são cantadas diariamente pelos Gaudiya vaishnavas.</t>
    </r>
  </si>
  <si>
    <r>
      <rPr>
        <b/>
        <sz val="10"/>
        <rFont val="Verdana"/>
        <family val="2"/>
      </rPr>
      <t>VISVARUPA</t>
    </r>
    <r>
      <rPr>
        <sz val="10"/>
        <rFont val="Verdana"/>
        <family val="2"/>
      </rPr>
      <t xml:space="preserve"> era o irmão mais velho do Senhor Caitanya. Ele é considerado uma expansão parcial do Senhor Nityananda. Numa idade precoce, ele deixou sua casa para tomar sannyasa. Em 1431, desapareceu em Pandarpura no distrito de Solapura, Índia. (Veja Sri Caitanya-caritamrta, Adi-lila 10.106, 13.74-80, e 15.11-14 e Madhya-lila 9.299-300).</t>
    </r>
  </si>
  <si>
    <r>
      <rPr>
        <b/>
        <sz val="10"/>
        <rFont val="Verdana"/>
        <family val="2"/>
      </rPr>
      <t>VRNDAVANA DASA THAKURA</t>
    </r>
    <r>
      <rPr>
        <sz val="10"/>
        <rFont val="Verdana"/>
        <family val="2"/>
      </rPr>
      <t xml:space="preserve"> foi o autor do Sri Caitanya Bhagavata, uma grande biografia do Senhor Caitanya Mahaprabhu. Ele é considerado a manifestação de Vyasadeva dos passatempos do Senhor Caitanya. Nasceu logo após o desaparecimento de Sri Caitanya Mahaprabhu. Na idade de vinte anos, aceitou iniciação formal do Senhor Nityananda. Sob a ordem do Senhor Nityananda escreveu o Sri Caitanya Bhagavata. (Veja Sri Caitanya-caritamrta, Adi-lila 8.33-42 e 11.54-55).</t>
    </r>
  </si>
  <si>
    <t>cbPersonalities</t>
  </si>
  <si>
    <t>CheckBox</t>
  </si>
  <si>
    <t>Festivais, votos (vratas) e outros eventos do calendário vaisnava</t>
  </si>
  <si>
    <t>(Vaisnava Academy for Girls, Alachua, Florida, USA)</t>
  </si>
  <si>
    <t>Baseado nas explanações compiladas por Krishna-priya Devi Dasi</t>
  </si>
  <si>
    <t>Aqui estão breves dados sobre festivais, votos (vratas) e outros eventos (listados alfabeticamente) observados no calendário vaisnava.</t>
  </si>
  <si>
    <t>Nota: O calendário vaishnava usa o termo "aparecimento" para denotar o nascimento destas grandes almas e encarnações e o termo "desaparecimento" para denotar sua partida deste mundo. Descrições mais completas serão encontradas nos livros de Sua Divina Graça A. C. Bhaktivedanta Swami Prabhupada, especialmente o Sri Caitanya-caritamrta.</t>
  </si>
  <si>
    <t>Fonte: www.gopala.blog.br/products/festivais-votos-e-outros-eventos-do-calendario-vaishnava</t>
  </si>
  <si>
    <r>
      <rPr>
        <b/>
        <sz val="10"/>
        <rFont val="Verdana"/>
        <family val="2"/>
      </rPr>
      <t>Bahulastami</t>
    </r>
    <r>
      <rPr>
        <sz val="10"/>
        <rFont val="Verdana"/>
        <family val="2"/>
      </rPr>
      <t xml:space="preserve"> -- dia de aparecimento do Radha-kunda e Syama-kunda, lagos sagrados que são lugares de banho de Srimati Radharani e do Senhor Krishna em Vrndavana.</t>
    </r>
  </si>
  <si>
    <r>
      <rPr>
        <b/>
        <sz val="10"/>
        <rFont val="Verdana"/>
        <family val="2"/>
      </rPr>
      <t>Balarama Rasayatra</t>
    </r>
    <r>
      <rPr>
        <sz val="10"/>
        <rFont val="Verdana"/>
        <family val="2"/>
      </rPr>
      <t xml:space="preserve"> -- dança da rasa da primavera do Senhor Balarama com Suas namoradas vaqueirinhas.</t>
    </r>
  </si>
  <si>
    <r>
      <rPr>
        <b/>
        <sz val="10"/>
        <rFont val="Verdana"/>
        <family val="2"/>
      </rPr>
      <t>Bali Daityaraja Puja</t>
    </r>
    <r>
      <rPr>
        <sz val="10"/>
        <rFont val="Verdana"/>
        <family val="2"/>
      </rPr>
      <t xml:space="preserve"> -- festival que comemora a rendição de Bali Maharaja ao Senhor Vamanadeva, a encarnação de anão do Senhor Krsna. Uma Deidade de Vamana é adorada.</t>
    </r>
  </si>
  <si>
    <r>
      <rPr>
        <b/>
        <sz val="10"/>
        <rFont val="Verdana"/>
        <family val="2"/>
      </rPr>
      <t>Bhismastami</t>
    </r>
    <r>
      <rPr>
        <sz val="10"/>
        <rFont val="Verdana"/>
        <family val="2"/>
      </rPr>
      <t xml:space="preserve"> -- aniversário de aparecimento de Bhismadeva, o "avô" dos Pandavas.</t>
    </r>
  </si>
  <si>
    <r>
      <rPr>
        <b/>
        <sz val="10"/>
        <rFont val="Verdana"/>
        <family val="2"/>
      </rPr>
      <t>Candana Yatra</t>
    </r>
    <r>
      <rPr>
        <sz val="10"/>
        <rFont val="Verdana"/>
        <family val="2"/>
      </rPr>
      <t xml:space="preserve"> -- é um festival durante a estação quente da Índia, no qual as Deidades são cobertas com pasta de sândalo (candana) para refrescá-Las. (Geralmente, isso não é prático no Ocidente, onde é frio durante essa época do ano.)</t>
    </r>
  </si>
  <si>
    <r>
      <rPr>
        <b/>
        <sz val="10"/>
        <rFont val="Verdana"/>
        <family val="2"/>
      </rPr>
      <t>Caturmasya</t>
    </r>
    <r>
      <rPr>
        <sz val="10"/>
        <rFont val="Verdana"/>
        <family val="2"/>
      </rPr>
      <t xml:space="preserve"> -- é um período de quatro (catur) meses (masya) durante o qual chove muito na Índia e os sábios param de viajar e se recolhem para fazer austeridades. Na ISKCON ele é observado principalmente fazendo-se os jejuns específicos. Consultar o Sri Caitanya-Caritamrta, Madhya-lila, volume I, pág. 334. Caturmasya não é opcional para vaisnavas. Primeiro mês de Caturmasya - jejum de vegetais de folhas verdes frondosas, por um mês. Segundo mês de Caturmasya - jejum de yogurte por um mês. Terceiro mes de Caturmasya - Jejum de leite por um mês. Quarto mês Caturmasya - jejum de urad dahl, lentilha, por um mês.</t>
    </r>
  </si>
  <si>
    <r>
      <rPr>
        <b/>
        <sz val="10"/>
        <rFont val="Verdana"/>
        <family val="2"/>
      </rPr>
      <t>Damodara Masa</t>
    </r>
    <r>
      <rPr>
        <sz val="10"/>
        <rFont val="Verdana"/>
        <family val="2"/>
      </rPr>
      <t xml:space="preserve"> -- o mês de Damodara. Ao longo deste mês, os devotos comemoram o passatempo do travesso Senhor Krsna sendo amarrado com cordas por mãe Yasoda. Os devotos oferecem pequenas lâmpadas de ghi todos os dias ao Senhor Damodara (Krsna).</t>
    </r>
  </si>
  <si>
    <r>
      <rPr>
        <b/>
        <sz val="10"/>
        <rFont val="Verdana"/>
        <family val="2"/>
      </rPr>
      <t>Dipa-dan, Dipavali, ou Diwali (Festival das luzes) (e Kalipuja)</t>
    </r>
    <r>
      <rPr>
        <sz val="10"/>
        <rFont val="Verdana"/>
        <family val="2"/>
      </rPr>
      <t xml:space="preserve"> -- comemoração do retorno do Senhor Rama do exílio para Ayodhya, Sua capital, após a derrota do demônio Ravana. (Vaishnavas não observam regularmente Kalipuja, a adoração a Durga Devi.)</t>
    </r>
  </si>
  <si>
    <r>
      <rPr>
        <b/>
        <sz val="10"/>
        <rFont val="Verdana"/>
        <family val="2"/>
      </rPr>
      <t>Ekadasi</t>
    </r>
    <r>
      <rPr>
        <sz val="10"/>
        <rFont val="Verdana"/>
        <family val="2"/>
      </rPr>
      <t xml:space="preserve"> -- é o décimo primeiro dia lunar (tithi) das quinzenas brilhante (shukla paksha) ou escura (krishna paksha) de cada mês lunar (masa) do Calendário Védico (também chamado Panchang). Nestes dias se observa jejum completo de grãos, feijões, cereais e derivados.</t>
    </r>
  </si>
  <si>
    <r>
      <rPr>
        <b/>
        <sz val="10"/>
        <rFont val="Verdana"/>
        <family val="2"/>
      </rPr>
      <t>Ganga Puja</t>
    </r>
    <r>
      <rPr>
        <sz val="10"/>
        <rFont val="Verdana"/>
        <family val="2"/>
      </rPr>
      <t xml:space="preserve"> -- aniversário de aparecimento de Ganga Devi, a semideusa do rio Ganges.</t>
    </r>
  </si>
  <si>
    <r>
      <rPr>
        <b/>
        <sz val="10"/>
        <rFont val="Verdana"/>
        <family val="2"/>
      </rPr>
      <t>Ganga Sagara Mela</t>
    </r>
    <r>
      <rPr>
        <sz val="10"/>
        <rFont val="Verdana"/>
        <family val="2"/>
      </rPr>
      <t xml:space="preserve"> -- festival observado especialmente na confluência do Ganges com a baía da Bengala. Kapilasrama, o asrama da encarnação do Senhor Krsna como Kapiladeva, o filho de Devahuti, está situado neste lugar. O festival comemora a trazida do rio Ganges pelo rei Bhagirathi dos planetas celestiais para o oceano e os planetas inferiores.</t>
    </r>
  </si>
  <si>
    <r>
      <rPr>
        <b/>
        <sz val="10"/>
        <rFont val="Verdana"/>
        <family val="2"/>
      </rPr>
      <t>Gaura Purnima</t>
    </r>
    <r>
      <rPr>
        <sz val="10"/>
        <rFont val="Verdana"/>
        <family val="2"/>
      </rPr>
      <t xml:space="preserve"> -- aniversário de aparecimento do Senhor Sri Caitanya Mahaprabhu, que é o mesmo Krishna no papel de Seu próprio devoto. Ele aparece neste mundo para difundir o amor a Krishna através do canto congregacional de Seus santos nomes. Ele apareceu em Sridhama Mayapur, Bengala Ocidental, em 1486. Suas atividades e ensinamentos estão descritos em detalhes no livro "Ensinamentos do Senhor Caitanya" e no "Sri Caitanya-Caritamrta". (Veja também o Srimad-Bhagavatam 11.5.32)</t>
    </r>
  </si>
  <si>
    <r>
      <rPr>
        <b/>
        <sz val="10"/>
        <rFont val="Verdana"/>
        <family val="2"/>
      </rPr>
      <t>Gopastami, ou Gosthastami</t>
    </r>
    <r>
      <rPr>
        <sz val="10"/>
        <rFont val="Verdana"/>
        <family val="2"/>
      </rPr>
      <t xml:space="preserve"> -- após haver previamente pastoreado os bezerros, neste dia Krishna saiu para pastorear as vacas pela primeira vez. Assim Ele se tornou um gopa, um vaqueiro. Neste dia as gosalas (currais para vacas) são limpas, as vacas são adoradas e prasada (comida santificada) é oferecida a elas pelos devotos.</t>
    </r>
  </si>
  <si>
    <r>
      <rPr>
        <b/>
        <sz val="10"/>
        <rFont val="Verdana"/>
        <family val="2"/>
      </rPr>
      <t>Govardhana Puja</t>
    </r>
    <r>
      <rPr>
        <sz val="10"/>
        <rFont val="Verdana"/>
        <family val="2"/>
      </rPr>
      <t xml:space="preserve"> (adoração à Colina de Govardhana) -- festival que comemora a adoração da colina de Govardhana pelos residentes de Vrndavana e o levantamento da colina pelo Senhor Krsna.</t>
    </r>
  </si>
  <si>
    <r>
      <rPr>
        <b/>
        <sz val="10"/>
        <rFont val="Verdana"/>
        <family val="2"/>
      </rPr>
      <t>Go Puja (ou Go-krda)</t>
    </r>
    <r>
      <rPr>
        <sz val="10"/>
        <rFont val="Verdana"/>
        <family val="2"/>
      </rPr>
      <t xml:space="preserve"> -- neste dia, de acordo com o Hari-Bhakti-Vilasa, deve-se decorar as vacas e os touros, fazê-los correr, e fazer com que os touros arem o campo.</t>
    </r>
  </si>
  <si>
    <r>
      <rPr>
        <b/>
        <sz val="10"/>
        <rFont val="Verdana"/>
        <family val="2"/>
      </rPr>
      <t>Gundica Marjana</t>
    </r>
    <r>
      <rPr>
        <sz val="10"/>
        <rFont val="Verdana"/>
        <family val="2"/>
      </rPr>
      <t xml:space="preserve"> -- limpeza do templo de Gundica em Jagannatha Puri, Índia.</t>
    </r>
  </si>
  <si>
    <r>
      <rPr>
        <b/>
        <sz val="10"/>
        <rFont val="Verdana"/>
        <family val="2"/>
      </rPr>
      <t>Guru (Vyasa) Purnima</t>
    </r>
    <r>
      <rPr>
        <sz val="10"/>
        <rFont val="Verdana"/>
        <family val="2"/>
      </rPr>
      <t xml:space="preserve"> -- aniversário de aparecimento de Srila Vyasadeva, o compilador da literatura Védica.</t>
    </r>
  </si>
  <si>
    <r>
      <rPr>
        <b/>
        <sz val="10"/>
        <rFont val="Verdana"/>
        <family val="2"/>
      </rPr>
      <t>Hera Pancami</t>
    </r>
    <r>
      <rPr>
        <sz val="10"/>
        <rFont val="Verdana"/>
        <family val="2"/>
      </rPr>
      <t xml:space="preserve"> -- é um festival realizado três dias após o Ratha Yatra para celebrar a visita de Srimati Rukmini Devi a Vrndavana para levar o Senhor Krsna de volta a Dvaraka. (Veja o Sri Caitanya-Caritamrta, Antya-lila, volume I, páginas 770 e 771)</t>
    </r>
  </si>
  <si>
    <r>
      <rPr>
        <b/>
        <sz val="10"/>
        <rFont val="Verdana"/>
        <family val="2"/>
      </rPr>
      <t>Jagaddhatri Puja</t>
    </r>
    <r>
      <rPr>
        <sz val="10"/>
        <rFont val="Verdana"/>
        <family val="2"/>
      </rPr>
      <t xml:space="preserve"> -- dia do festival de uma forma de Mahamaya ou Durga chamada Jagaddhatri, "a mantenedora do mundo material". Esse festival é predominantemente comemorado na Bengala. (os vaishnavas geralmente não observam este festival)</t>
    </r>
  </si>
  <si>
    <r>
      <rPr>
        <b/>
        <sz val="10"/>
        <rFont val="Verdana"/>
        <family val="2"/>
      </rPr>
      <t>Jagannatha Misra Festival</t>
    </r>
    <r>
      <rPr>
        <sz val="10"/>
        <rFont val="Verdana"/>
        <family val="2"/>
      </rPr>
      <t xml:space="preserve"> -- dia em que o pai do Senhor Caitanya Mahaprabhu (Jagannatha Misra) fez as celebrações do aparecimento dEle.</t>
    </r>
  </si>
  <si>
    <r>
      <rPr>
        <b/>
        <sz val="10"/>
        <rFont val="Verdana"/>
        <family val="2"/>
      </rPr>
      <t>Jahnu Saptami</t>
    </r>
    <r>
      <rPr>
        <sz val="10"/>
        <rFont val="Verdana"/>
        <family val="2"/>
      </rPr>
      <t xml:space="preserve"> -- dia em que o sábio Jahnu liberou o rio Ganges depois de tê-lo engolido. Neste dia, se possível, deve-se adorar o Ganges e tomar banho em suas águas.</t>
    </r>
  </si>
  <si>
    <r>
      <rPr>
        <b/>
        <sz val="10"/>
        <rFont val="Verdana"/>
        <family val="2"/>
      </rPr>
      <t>Katyayani vrata</t>
    </r>
    <r>
      <rPr>
        <sz val="10"/>
        <rFont val="Verdana"/>
        <family val="2"/>
      </rPr>
      <t xml:space="preserve"> -- um voto de um mês (vaisnava) para observar austeridades para agradar Katyayani Devi, ou Yogamaya Devi, a energia espiritual do Senhor Krishna.</t>
    </r>
  </si>
  <si>
    <r>
      <rPr>
        <b/>
        <sz val="10"/>
        <rFont val="Verdana"/>
        <family val="2"/>
      </rPr>
      <t>Krishna Janmastami</t>
    </r>
    <r>
      <rPr>
        <sz val="10"/>
        <rFont val="Verdana"/>
        <family val="2"/>
      </rPr>
      <t xml:space="preserve"> -- o aniversário de aparecimento do Senhor Sri Krishna, a Suprema Personalidade de Deus.</t>
    </r>
  </si>
  <si>
    <r>
      <rPr>
        <b/>
        <sz val="10"/>
        <rFont val="Verdana"/>
        <family val="2"/>
      </rPr>
      <t>Krishna Phula Dola, Salila Vihara</t>
    </r>
    <r>
      <rPr>
        <sz val="10"/>
        <rFont val="Verdana"/>
        <family val="2"/>
      </rPr>
      <t xml:space="preserve"> -- festival de barco de verão para as Deidades de Sri Sri Radha-Krsna.</t>
    </r>
  </si>
  <si>
    <r>
      <rPr>
        <b/>
        <sz val="10"/>
        <rFont val="Verdana"/>
        <family val="2"/>
      </rPr>
      <t>Krishna Pusya abhiseka</t>
    </r>
    <r>
      <rPr>
        <sz val="10"/>
        <rFont val="Verdana"/>
        <family val="2"/>
      </rPr>
      <t xml:space="preserve"> -- durante o puja (adoração) matinal a Deidade ou uma salagrama é banhada em puro ghi. Srila Prabhupada uma vez explicou o festival dessa maneira: "Krishna era só um brinquedo nas mãos das gopis, então um dia as gopis decidiram que 'Nós vamos decorá-lO'. Pusyabhisheka quer dizer uma cerimônia para decorar com abundância a Deidade com flores, ornamentos, tecidos etc. Depois disso deve haver uma procissão pelas ruas, de forma que todos os cidadãos vejam quão belo Krishna se apresenta."</t>
    </r>
  </si>
  <si>
    <r>
      <rPr>
        <b/>
        <sz val="10"/>
        <rFont val="Verdana"/>
        <family val="2"/>
      </rPr>
      <t>Krsna Rasayatra</t>
    </r>
    <r>
      <rPr>
        <sz val="10"/>
        <rFont val="Verdana"/>
        <family val="2"/>
      </rPr>
      <t xml:space="preserve"> -- dança da rasa do Senhor Krishna com as gopis.</t>
    </r>
  </si>
  <si>
    <r>
      <rPr>
        <b/>
        <sz val="10"/>
        <rFont val="Verdana"/>
        <family val="2"/>
      </rPr>
      <t>Krishna Saradiya Rasayatra</t>
    </r>
    <r>
      <rPr>
        <sz val="10"/>
        <rFont val="Verdana"/>
        <family val="2"/>
      </rPr>
      <t xml:space="preserve"> -- dança da rasa de outono do Senhor Krishna com Suas namoradas.</t>
    </r>
  </si>
  <si>
    <r>
      <rPr>
        <b/>
        <sz val="10"/>
        <rFont val="Verdana"/>
        <family val="2"/>
      </rPr>
      <t>Krishna Vasanta Rasa</t>
    </r>
    <r>
      <rPr>
        <sz val="10"/>
        <rFont val="Verdana"/>
        <family val="2"/>
      </rPr>
      <t xml:space="preserve"> -- dança da rasa da primavera do Senhor Krsna.</t>
    </r>
  </si>
  <si>
    <r>
      <rPr>
        <b/>
        <sz val="10"/>
        <rFont val="Verdana"/>
        <family val="2"/>
      </rPr>
      <t>Laksmi Puja</t>
    </r>
    <r>
      <rPr>
        <sz val="10"/>
        <rFont val="Verdana"/>
        <family val="2"/>
      </rPr>
      <t xml:space="preserve"> -- adoração a Laksmi Devi, a consorte do Senhor Visnu (não observado por Gaudiya Vaisnavas).</t>
    </r>
  </si>
  <si>
    <r>
      <rPr>
        <b/>
        <sz val="10"/>
        <rFont val="Verdana"/>
        <family val="2"/>
      </rPr>
      <t>Lalita sasti</t>
    </r>
    <r>
      <rPr>
        <sz val="10"/>
        <rFont val="Verdana"/>
        <family val="2"/>
      </rPr>
      <t xml:space="preserve"> -- dia de aparecimento de Lalita-sakhi, a confidente íntima de Srimati Radharani.</t>
    </r>
  </si>
  <si>
    <r>
      <rPr>
        <b/>
        <sz val="10"/>
        <rFont val="Verdana"/>
        <family val="2"/>
      </rPr>
      <t>Nandotsava</t>
    </r>
    <r>
      <rPr>
        <sz val="10"/>
        <rFont val="Verdana"/>
        <family val="2"/>
      </rPr>
      <t xml:space="preserve"> -- festival observado por Nanda Maharaja, o pai do Senhor Krishna, para celebrar Seu aparecimento.</t>
    </r>
  </si>
  <si>
    <r>
      <rPr>
        <b/>
        <sz val="10"/>
        <rFont val="Verdana"/>
        <family val="2"/>
      </rPr>
      <t>Nrsimha Caturdasi</t>
    </r>
    <r>
      <rPr>
        <sz val="10"/>
        <rFont val="Verdana"/>
        <family val="2"/>
      </rPr>
      <t xml:space="preserve"> -- aniversário de aparecimento do Senhor Nrsimhadeva, a encarnação do Senhor Krsna metade homem, metade leão.</t>
    </r>
  </si>
  <si>
    <r>
      <rPr>
        <b/>
        <sz val="10"/>
        <rFont val="Verdana"/>
        <family val="2"/>
      </rPr>
      <t>Odana sasthi</t>
    </r>
    <r>
      <rPr>
        <sz val="10"/>
        <rFont val="Verdana"/>
        <family val="2"/>
      </rPr>
      <t xml:space="preserve"> -- começo do inverno na Índia. A partir deste dia deve-se oferecer ao Senhor Jagannatha um agasalho de inverno. Segundo o livro de adoração Arcana Marga, deve-se primeiro lavar o tecido para remover toda goma e então se pode utilizá-lo para agasalhar o Senhor. No Brasil esta cerimônia pode ser observada no primeiro dia do inverno, 21 de junho. (Veja o Sri Caitanya-Caritamrta, Madhya-lila, volume II, pág. 805, verso 78)</t>
    </r>
  </si>
  <si>
    <r>
      <rPr>
        <b/>
        <sz val="10"/>
        <rFont val="Verdana"/>
        <family val="2"/>
      </rPr>
      <t>Panihati Cida Dahi Utsava</t>
    </r>
    <r>
      <rPr>
        <sz val="10"/>
        <rFont val="Verdana"/>
        <family val="2"/>
      </rPr>
      <t xml:space="preserve"> -- festival de arroz inflado (tipo pipoca) com iogurte de Srila Raghunatha Dasa Gosvami para o Senhor Caitanya e Seus associados. Celebrado especialmente em Panihati, na Bengala Ocidental.</t>
    </r>
  </si>
  <si>
    <r>
      <rPr>
        <b/>
        <sz val="10"/>
        <rFont val="Verdana"/>
        <family val="2"/>
      </rPr>
      <t>Radhastami</t>
    </r>
    <r>
      <rPr>
        <sz val="10"/>
        <rFont val="Verdana"/>
        <family val="2"/>
      </rPr>
      <t xml:space="preserve"> -- aniversário de aparecimento de Srimati Radharani,a eterna consorte do Senhor Krishna.</t>
    </r>
  </si>
  <si>
    <r>
      <rPr>
        <b/>
        <sz val="10"/>
        <rFont val="Verdana"/>
        <family val="2"/>
      </rPr>
      <t>Radha Govinda Jhulana Yatra</t>
    </r>
    <r>
      <rPr>
        <sz val="10"/>
        <rFont val="Verdana"/>
        <family val="2"/>
      </rPr>
      <t xml:space="preserve"> -- é o festival do balanço de Radha-Krshna. As Deidades Se divertem em um balanço decorado com bastante esmero.</t>
    </r>
  </si>
  <si>
    <r>
      <rPr>
        <b/>
        <sz val="10"/>
        <rFont val="Verdana"/>
        <family val="2"/>
      </rPr>
      <t>Radha Kunda prakat, Snana Dana</t>
    </r>
    <r>
      <rPr>
        <sz val="10"/>
        <rFont val="Verdana"/>
        <family val="2"/>
      </rPr>
      <t xml:space="preserve"> -- aniversário de aparecimento de Radha-kunda, o lago onde Srimati Radharani Se banha em Vrndavana. Os devotos tomam banho lá especialmente na meia-noite deste dia.</t>
    </r>
  </si>
  <si>
    <r>
      <rPr>
        <b/>
        <sz val="10"/>
        <rFont val="Verdana"/>
        <family val="2"/>
      </rPr>
      <t>Radha Ramana Devji - aparecimento</t>
    </r>
    <r>
      <rPr>
        <sz val="10"/>
        <rFont val="Verdana"/>
        <family val="2"/>
      </rPr>
      <t xml:space="preserve"> -- aparecimento da deidade do Senhor Krishna adorada por Srila Gopala Bhatta Gosvami.</t>
    </r>
  </si>
  <si>
    <r>
      <rPr>
        <b/>
        <sz val="10"/>
        <rFont val="Verdana"/>
        <family val="2"/>
      </rPr>
      <t>Ramacandra Vijayotsava</t>
    </r>
    <r>
      <rPr>
        <sz val="10"/>
        <rFont val="Verdana"/>
        <family val="2"/>
      </rPr>
      <t xml:space="preserve"> -- celebração da vitória do Senhor Ramacandra sobre o demônio Ravana. Uma grande imagem de Ravana é ceremoniosamente queimada.</t>
    </r>
  </si>
  <si>
    <r>
      <rPr>
        <b/>
        <sz val="10"/>
        <rFont val="Verdana"/>
        <family val="2"/>
      </rPr>
      <t>Ratha Yatra</t>
    </r>
    <r>
      <rPr>
        <sz val="10"/>
        <rFont val="Verdana"/>
        <family val="2"/>
      </rPr>
      <t xml:space="preserve"> -- festival de carros em Jagannatha Puri, Índia, no qual o Senhor Krsna, na forma do Senhor Jagannatha, passeia com o Senhor Balarama e Subhadra Devi. (Hera Pancami depois de 4 dias) (Retorno do Ratha depois de 8 dias)</t>
    </r>
  </si>
  <si>
    <r>
      <rPr>
        <b/>
        <sz val="10"/>
        <rFont val="Verdana"/>
        <family val="2"/>
      </rPr>
      <t>Salagrama e Tulasi Jala Dana</t>
    </r>
    <r>
      <rPr>
        <sz val="10"/>
        <rFont val="Verdana"/>
        <family val="2"/>
      </rPr>
      <t xml:space="preserve"> -- durante a estação quente na Índia, uma vasilha de água gotejante é colocada em cima de Tulasi e Salagrama para mantê-los refrescados. (Geralmente, isso não é prático no Ocidente, onde é frio durante essa época do ano.)</t>
    </r>
  </si>
  <si>
    <r>
      <rPr>
        <b/>
        <sz val="10"/>
        <rFont val="Verdana"/>
        <family val="2"/>
      </rPr>
      <t>Sarasvati Puja</t>
    </r>
    <r>
      <rPr>
        <sz val="10"/>
        <rFont val="Verdana"/>
        <family val="2"/>
      </rPr>
      <t xml:space="preserve"> -- adoração a deusa Sarasvati. (geralmente não observado por vaishnavas)</t>
    </r>
  </si>
  <si>
    <r>
      <rPr>
        <b/>
        <sz val="10"/>
        <rFont val="Verdana"/>
        <family val="2"/>
      </rPr>
      <t>Siva Ratri</t>
    </r>
    <r>
      <rPr>
        <sz val="10"/>
        <rFont val="Verdana"/>
        <family val="2"/>
      </rPr>
      <t xml:space="preserve"> -- adoração ao Senhor Siva. Os devotos podem banhar uma Siva-linga em água e panca-gavya (cinco substâncias da vaca) e oferecer Krsna-prasada ao Senhor Siva. Jejuar é opcional para vaisnavas.</t>
    </r>
  </si>
  <si>
    <r>
      <rPr>
        <b/>
        <sz val="10"/>
        <rFont val="Verdana"/>
        <family val="2"/>
      </rPr>
      <t>Snana Dana</t>
    </r>
    <r>
      <rPr>
        <sz val="10"/>
        <rFont val="Verdana"/>
        <family val="2"/>
      </rPr>
      <t xml:space="preserve"> -- aniversário de aparecimento de Radha-kunda, o lago onde Srimati Radharani Se banha em Vrndavana. Os devotos tomam banho lá especialmente na meia-noite deste dia.</t>
    </r>
  </si>
  <si>
    <r>
      <rPr>
        <b/>
        <sz val="10"/>
        <rFont val="Verdana"/>
        <family val="2"/>
      </rPr>
      <t>Snana Yatra</t>
    </r>
    <r>
      <rPr>
        <sz val="10"/>
        <rFont val="Verdana"/>
        <family val="2"/>
      </rPr>
      <t xml:space="preserve"> -- neste dia de lua cheia, dezesseis dias lunares antes do Ratha Yatra, o Senhor Jagannatha é banhado. Ele fica doente e Se retira para descansar por quatorze dias. Então um cuidado especial é oferecido a Ele até que Ele saia para o Ratha Yatra.</t>
    </r>
  </si>
  <si>
    <r>
      <rPr>
        <b/>
        <sz val="10"/>
        <rFont val="Verdana"/>
        <family val="2"/>
      </rPr>
      <t>Srila Prabhupada - Aceitação de sannyasa</t>
    </r>
    <r>
      <rPr>
        <sz val="10"/>
        <rFont val="Verdana"/>
        <family val="2"/>
      </rPr>
      <t xml:space="preserve"> -- Srila Prabhupada aceitou sannyasa, a ordem renunciada da vida, de Sri Srimad Bhakti Vijnana Kesava Goswami Maharaja em Mathura, Índia, em 1959.</t>
    </r>
  </si>
  <si>
    <r>
      <rPr>
        <b/>
        <sz val="10"/>
        <rFont val="Verdana"/>
        <family val="2"/>
      </rPr>
      <t>Srila Prabhupada - Partida para os EUA</t>
    </r>
    <r>
      <rPr>
        <sz val="10"/>
        <rFont val="Verdana"/>
        <family val="2"/>
      </rPr>
      <t xml:space="preserve"> -- neste dia, em 1965, Srila Prabhupada deixou Calcutá a bordo do navio cargueiro a vapor Jaladuta.</t>
    </r>
  </si>
  <si>
    <r>
      <rPr>
        <b/>
        <sz val="10"/>
        <rFont val="Verdana"/>
        <family val="2"/>
      </rPr>
      <t>Srila Prabhupada - Chegada aos EUA</t>
    </r>
    <r>
      <rPr>
        <sz val="10"/>
        <rFont val="Verdana"/>
        <family val="2"/>
      </rPr>
      <t xml:space="preserve"> -- Srila Prabhupada chegou em Boston em 17 de setembro de 1965.</t>
    </r>
  </si>
  <si>
    <r>
      <rPr>
        <b/>
        <sz val="10"/>
        <rFont val="Verdana"/>
        <family val="2"/>
      </rPr>
      <t>Srila Prabhupada - Fundação da ISKCON em Nova York</t>
    </r>
    <r>
      <rPr>
        <sz val="10"/>
        <rFont val="Verdana"/>
        <family val="2"/>
      </rPr>
      <t xml:space="preserve"> -- Srila Prabhupada fundou a ISKCON, a Sociedade Internacional para a Consciência de Krishna, em 1966.</t>
    </r>
  </si>
  <si>
    <r>
      <rPr>
        <b/>
        <sz val="10"/>
        <rFont val="Verdana"/>
        <family val="2"/>
      </rPr>
      <t>Srila Prabhupada - Desaparecimento</t>
    </r>
    <r>
      <rPr>
        <sz val="10"/>
        <rFont val="Verdana"/>
        <family val="2"/>
      </rPr>
      <t xml:space="preserve"> -- Srila Prabhupada deixou este mundo no dia 14 de novembro de 1977, em Vrndavana, Índia. Os devotos observam este aniversário com recordações pessoais de Prabhupada, leituras de sua biografia e assim por diante.</t>
    </r>
  </si>
  <si>
    <r>
      <rPr>
        <b/>
        <sz val="10"/>
        <rFont val="Verdana"/>
        <family val="2"/>
      </rPr>
      <t>Tulasi-Saligrama Vivaha (casamento)</t>
    </r>
    <r>
      <rPr>
        <sz val="10"/>
        <rFont val="Verdana"/>
        <family val="2"/>
      </rPr>
      <t xml:space="preserve"> -- casamento de Salagrama e Tulasi Devi.</t>
    </r>
  </si>
  <si>
    <r>
      <rPr>
        <b/>
        <sz val="10"/>
        <rFont val="Verdana"/>
        <family val="2"/>
      </rPr>
      <t>Vamana Dvadasi</t>
    </r>
    <r>
      <rPr>
        <sz val="10"/>
        <rFont val="Verdana"/>
        <family val="2"/>
      </rPr>
      <t xml:space="preserve"> -- aniversário de aparecimento do Senhor Vamanadava, a encarnação como brahmana anão do Senhor Krishna.</t>
    </r>
  </si>
  <si>
    <r>
      <rPr>
        <b/>
        <sz val="10"/>
        <rFont val="Verdana"/>
        <family val="2"/>
      </rPr>
      <t>Vasanta Pancami</t>
    </r>
    <r>
      <rPr>
        <sz val="10"/>
        <rFont val="Verdana"/>
        <family val="2"/>
      </rPr>
      <t xml:space="preserve"> -- o primeiro dia da primavera. Neste dia, são oferecidas para as Deidades muitas flores, folhas e ramos novos de grama. (Este também é um dos dias mais auspiciosos do ano para cerimônias de casamento.)</t>
    </r>
  </si>
  <si>
    <t>1.</t>
  </si>
  <si>
    <t>2.</t>
  </si>
  <si>
    <t>3.</t>
  </si>
  <si>
    <t>4.</t>
  </si>
  <si>
    <t>5.</t>
  </si>
  <si>
    <t>6.</t>
  </si>
  <si>
    <t>Itens da agenda</t>
  </si>
  <si>
    <t>Participantes:</t>
  </si>
  <si>
    <t>Data:</t>
  </si>
  <si>
    <t>Local:</t>
  </si>
  <si>
    <t>Reunião</t>
  </si>
  <si>
    <t>Itens de ação</t>
  </si>
  <si>
    <t>Proprietário(s)</t>
  </si>
  <si>
    <t>Status</t>
  </si>
  <si>
    <t>Hora:</t>
  </si>
  <si>
    <t>Data limite</t>
  </si>
  <si>
    <t>cbReunions</t>
  </si>
  <si>
    <t>Acrescentar:</t>
  </si>
  <si>
    <t>Personalidades e Eventos</t>
  </si>
  <si>
    <t>Reuniões</t>
  </si>
  <si>
    <t>Add:</t>
  </si>
  <si>
    <t>Personalities and Events</t>
  </si>
  <si>
    <t>Reunions</t>
  </si>
  <si>
    <t>Añadir:</t>
  </si>
  <si>
    <t>Personalidades y Eventos</t>
  </si>
  <si>
    <t>Reuniones</t>
  </si>
  <si>
    <t>ind_add</t>
  </si>
  <si>
    <t>ind_personalities</t>
  </si>
  <si>
    <t>ind_Reunions</t>
  </si>
  <si>
    <t>cbPersonalitiesLabel</t>
  </si>
  <si>
    <t>cbReunionsLabel</t>
  </si>
  <si>
    <t>btCalculateLabel</t>
  </si>
  <si>
    <t>reu_section</t>
  </si>
  <si>
    <t>Meeting</t>
  </si>
  <si>
    <t>reu_plan</t>
  </si>
  <si>
    <t>reu_title</t>
  </si>
  <si>
    <t>Reuniao</t>
  </si>
  <si>
    <t>Reunión</t>
  </si>
  <si>
    <t>Nome da reunião:</t>
  </si>
  <si>
    <t>reu_name</t>
  </si>
  <si>
    <t>Meeting Name:</t>
  </si>
  <si>
    <t>Date:</t>
  </si>
  <si>
    <t>Hour:</t>
  </si>
  <si>
    <t>Participants:</t>
  </si>
  <si>
    <t>Calendar items</t>
  </si>
  <si>
    <t>Action Items</t>
  </si>
  <si>
    <t>Owner (s)</t>
  </si>
  <si>
    <t>Deadline</t>
  </si>
  <si>
    <t>Nombre de la reunión:</t>
  </si>
  <si>
    <t>Lugar:</t>
  </si>
  <si>
    <t>Fecha:</t>
  </si>
  <si>
    <t>Tiempo:</t>
  </si>
  <si>
    <t>Artículos de la agenda</t>
  </si>
  <si>
    <t>Artículos de acción</t>
  </si>
  <si>
    <t>Propietario (s)</t>
  </si>
  <si>
    <t>Fecha limite</t>
  </si>
  <si>
    <t>Estatus</t>
  </si>
  <si>
    <t>reu_local</t>
  </si>
  <si>
    <t>reu_date</t>
  </si>
  <si>
    <t>reu_hour</t>
  </si>
  <si>
    <t>reu_participants</t>
  </si>
  <si>
    <t>reu_calendar_items</t>
  </si>
  <si>
    <t>reu_action_itens</t>
  </si>
  <si>
    <t>reu_owner</t>
  </si>
  <si>
    <t>reu_deadline</t>
  </si>
  <si>
    <t>reu_status</t>
  </si>
  <si>
    <t>http://www.excelfox.com/forum/showthread.php/398-Nth-Such-And-Such-Day-Of-The-Month</t>
  </si>
  <si>
    <t>First Sunday</t>
  </si>
  <si>
    <t>Day 1 Weekday</t>
  </si>
  <si>
    <t>Beginning of fasting at</t>
  </si>
  <si>
    <t>Jejum começa às</t>
  </si>
  <si>
    <t>El ayuno comienza a las</t>
  </si>
  <si>
    <t>Ready! #p# pages in #t#</t>
  </si>
  <si>
    <t>Pronto! #p# páginas em #t#</t>
  </si>
  <si>
    <t xml:space="preserve">Listo! #p# páginas en #t# </t>
  </si>
  <si>
    <t>sys_cstrGPlanCreateOK</t>
  </si>
  <si>
    <t>Pronto!  P: #p#  T: #t#</t>
  </si>
  <si>
    <t>OK!  P: #p#  T: #t#</t>
  </si>
  <si>
    <t>SOME FESTIVAL DAYS FROM THE VAISNAVA CALENDAR</t>
  </si>
  <si>
    <t>Explanations compiled by Krsna-priya Devi Dasi</t>
  </si>
  <si>
    <t>NOTE: This Vaisnava calendar uses the terms "appearance" and "disappearance" to denote the birth ("appearance") and the departure ("disappearance") of great souls and incarnations of the Lord.</t>
  </si>
  <si>
    <t>Vaishnava Saints</t>
  </si>
  <si>
    <t>Here is brief biographical information about the saints and incarnations whose appearance and disappearance days are listed by the Vaisnava calendar program. The calendar uses the term "appearance" to denote the so-called birth of these great souls and incarnations and the term "disappearance" to denote their departure from this world.</t>
  </si>
  <si>
    <t>Fuller descriptions are to be found in the books of His Divine Grace A.C. Bhaktivedanta Swami Prabhupada, especially "Sri Caitanya-caritamrta."</t>
  </si>
  <si>
    <r>
      <rPr>
        <b/>
        <sz val="10"/>
        <rFont val="Verdana"/>
        <family val="2"/>
      </rPr>
      <t>Bhisma Pancaka</t>
    </r>
    <r>
      <rPr>
        <sz val="10"/>
        <rFont val="Verdana"/>
        <family val="2"/>
      </rPr>
      <t xml:space="preserve"> -- é um período de cinco días para se realizar austeridades. Começa no último Ekadasi do mês de Kartika (Haribodhini ou Utthana Ekadasi) e termina no Purnima. O Senhor Krsna em pessoa deu estes cinco días a Bhismadeva dizendo: "O serviço devocional puro a Mim, é facilmente obtido por se seguir este voto em Mathura-Vrndavana durante Kartika". Deve-se começar o jejum em Haribodhini Ekadasi, lembrando-se de Sri Bhismadeva, jejuar de todos os grãos e feijões, comer somente uma vez por dia frutas e vegetais (depois do pôr-do-Sol). Se possível, jejuar por completo durante os cinco dias é uma grande austeridade. Durante todo o período do jejum, o devoto deve cantar constantemente os santos nomes de Krishna, adorar Radha e Krishna e os vaihsnavas e dar caridade aos templos e vaishnavas dignos.</t>
    </r>
  </si>
  <si>
    <t>Font: http://www.veda.harekrsna.cz/encyclopedia/festival.txt</t>
  </si>
  <si>
    <t>Copyright (c) 1999 The Bhaktivedanta Book Trust International, Inc. All rights reserved.</t>
  </si>
  <si>
    <t>Los Avatares y otras Personalidades del Calendario Vaishnava</t>
  </si>
  <si>
    <t>Información biográfica compilada por Krishna-priya Devi Dasi</t>
  </si>
  <si>
    <t>Aquí están breves datos biográficos sobre los santos y encarnaciones (listados alfabéticamente) cuyos días de aparición y desaparición se encuentran en el calendario vaisnava.</t>
  </si>
  <si>
    <t>El calendario utiliza el término "aparición" para denotar el nacimiento de estas grandes almas y encarnaciones y el término "desaparición" para denotar su partida de este mundo. Las descripciones más completas se encontrarán en los libros de Su Divina Gracia A. C. Bhaktivedanta Swami Prabhupada, especialmente el Sri Caitanya-caritamrta.</t>
  </si>
  <si>
    <t>Festivales, votos (vratas) y otros eventos del calendario vaisnava</t>
  </si>
  <si>
    <t>Basado en las explicaciones compiladas por Krishna-priya Devi Dasi</t>
  </si>
  <si>
    <t>Aquí hay breves datos sobre festivales, votos (vratas) y otros eventos (listados alfabéticamente) observados en el calendario vaisnava.</t>
  </si>
  <si>
    <t>Nota: El calendario vaishnava utiliza el término "aparición" para denotar el nacimiento de estas grandes almas y encarnaciones y el término "desaparición" para denotar su partida de este mundo. Las descripciones más completas se encontrarán en los libros de Su Divina Gracia A. C. Bhaktivedanta Swami Prabhupada, especialmente el Sri Caitanya-caritamrta.</t>
  </si>
  <si>
    <t>https://stackoverflow.com/questions/41450460/import-xml-children-as-columns-in-excel</t>
  </si>
  <si>
    <t>Biographical information compiled by Krsna-priya Devi Dasi</t>
  </si>
  <si>
    <t>Country Ref</t>
  </si>
  <si>
    <t>Personalities Print Area</t>
  </si>
  <si>
    <t>Events Print Area</t>
  </si>
  <si>
    <r>
      <rPr>
        <b/>
        <sz val="10"/>
        <rFont val="Verdana"/>
        <family val="2"/>
      </rPr>
      <t>ABHIRAMA THAKURA</t>
    </r>
    <r>
      <rPr>
        <sz val="10"/>
        <rFont val="Verdana"/>
        <family val="2"/>
      </rPr>
      <t xml:space="preserve"> was one of the most vigorous preachers among the associates of Lord Nityananda Prabhu. In the mood of a cowherd boy, Sri Abhirama Thakura carried a bullwhip named Jaya Mangala. Whomever he struck with this whip became filled with Krsna prema, love for God. If Abhirama Thakura offered obeisances to any stone other than a sacred salagrama-sila, it would at once burst into pieces. Abhirama Thakura used his home for preaching and for serving Vaisnava pilgrims. His house constantly resounded with kirtana and topics of Krsna. (See Sri Caitanya-caritamrta, Adi-lila 11.13.)</t>
    </r>
  </si>
  <si>
    <r>
      <rPr>
        <b/>
        <sz val="10"/>
        <rFont val="Verdana"/>
        <family val="2"/>
      </rPr>
      <t>ADVAITA ACARYA</t>
    </r>
    <r>
      <rPr>
        <sz val="10"/>
        <rFont val="Verdana"/>
        <family val="2"/>
      </rPr>
      <t>, an intimate associate of Sri Caitanya Mahaprabhu, is considered an incarnation of Sadasiva and Maha-Visnu. It was in response to His calls that Sri Caitanya Mahaprabhu descended to this world. Seeing the degraded condition of the people in Kali Yuga, the Age of Quarrel, Sri Advaita Acarya worshiped Lord Krsna on the banks of the Ganges with Ganges water and tulasi leaves, crying out and begging for the Lord to come save the suffering souls. Because of Sri Advaita Acarya's pure devotion and compassion, Lord Krsna descended as Sri Caitanya Mahaprabhu. (See Sri Caitanya- caritamrta, Adi-lila, Chapter 6.)</t>
    </r>
  </si>
  <si>
    <r>
      <rPr>
        <b/>
        <sz val="10"/>
        <rFont val="Verdana"/>
        <family val="2"/>
      </rPr>
      <t>BALADEVA VIDYABHUSANA</t>
    </r>
    <r>
      <rPr>
        <sz val="10"/>
        <rFont val="Verdana"/>
        <family val="2"/>
      </rPr>
      <t>, the author of Govinda Bhasya, the first Gaudiya commentary on the Vedanta-sutras, appeared in Remuna, Orissa, in the late 1600s. In 1706 he was sent by Srila Visvanatha Cakravarti Thakura to Galta (near Jaipur, India) to prove the authenticity of Sri Caitanya Mahaprabhu's movement. The local Ramanandis (a branch of Sri Vaisnavas) had charged that the Gaudiya Vaisnavas, having no commentary on the Vedanta- sutras, were not a bona fide disiplic line and therefore they had no right to worship Govindaji or any of the other Deities of Vrndavana. By the grace of Govindaji, Srila Baladeva Vidyabhusana then swiftly wrote the Govinda-bhasya commentary. He also wrote commentaries on the Upanisads and the Bhagavad- gita.</t>
    </r>
  </si>
  <si>
    <r>
      <rPr>
        <b/>
        <sz val="10"/>
        <rFont val="Verdana"/>
        <family val="2"/>
      </rPr>
      <t>LORD BALARAMA</t>
    </r>
    <r>
      <rPr>
        <sz val="10"/>
        <rFont val="Verdana"/>
        <family val="2"/>
      </rPr>
      <t xml:space="preserve"> is the first personal expansion of Lord Krsna, the Supreme Personality of Godhead. All other incarnations expand from Him. In Lord Krsna's pastimes, He plays as Krsna's older brother. Together Krsna and Balarama enact many pastimes as cowherd boys in the land of Vrndavana. Lord Balarama carries a plow and club and is known for His great strength. (See Sri Caitanya-caritamrta, Adi-lila, Chapter 5.)</t>
    </r>
  </si>
  <si>
    <r>
      <rPr>
        <b/>
        <sz val="10"/>
        <rFont val="Verdana"/>
        <family val="2"/>
      </rPr>
      <t>BHAKTISIDDHANTA SARASVATI THAKURA</t>
    </r>
    <r>
      <rPr>
        <sz val="10"/>
        <rFont val="Verdana"/>
        <family val="2"/>
      </rPr>
      <t xml:space="preserve"> was the spiritual master of His Divine Grace A.C. Bhaktivedanta Swami Prabhupada, the Founder-Acarya of ISKCON. Srila Bhaktisiddhanta Sarasvati Thakura powerfully spread the teachings of Lord Caitanya Mahaprabhu in the early twentieth century. He preached strongly against the deep-rooted influences of caste-ism and impersonalism. Meeting with scholars, educators, and other leaders and writing over 108 essays and books, he strove to present Krsna consciousness as a science to be highly esteemed. He established 64 temples, known as Gaudiya Maths, inside and outside of India.</t>
    </r>
  </si>
  <si>
    <r>
      <rPr>
        <b/>
        <sz val="10"/>
        <rFont val="Verdana"/>
        <family val="2"/>
      </rPr>
      <t>A.C. BHAKTIVEDANTA SWAMI PRABHUPADA</t>
    </r>
    <r>
      <rPr>
        <sz val="10"/>
        <rFont val="Verdana"/>
        <family val="2"/>
      </rPr>
      <t xml:space="preserve"> was the Founder-Acarya of the International Society for Krishna Consciousness. It was he who brought the teachings of Lord Caitanya out of India and spread them all over the world. He was the author of "Bhagavad- gita As It Is" and many other volumes of translation, commentary, and scriptural instruction. The file PRABHPAD.TXT, which accompanies the file you are reading, tells of his life in more detail.</t>
    </r>
  </si>
  <si>
    <r>
      <rPr>
        <b/>
        <sz val="10"/>
        <rFont val="Verdana"/>
        <family val="2"/>
      </rPr>
      <t>BHAKTIVINODA THAKURA</t>
    </r>
    <r>
      <rPr>
        <sz val="10"/>
        <rFont val="Verdana"/>
        <family val="2"/>
      </rPr>
      <t xml:space="preserve"> reestablished, in the closing days of the nineteenth century, the teachings of Lord Caitanya, which by then had been largely misrepresented or lost. Srila Bhaktivinoda Thakura wrote almost one hundred books to explain the science of Krsna consciousness, expose pseudo incarnations of God, and defeat misconceptions about the path of devotional service. Srila Bhaktivinoda Thakura was both an active preacher and the Deputy Magistrate for Jagannatha Puri, Orissa, as well as the father of ten children. One of his sons was Srila Bhaktisiddhanta Sarasvati Thakura. Biographers say that Srila Bhaktivinoda Thakura accomplished all his many duties perfectly.</t>
    </r>
  </si>
  <si>
    <r>
      <rPr>
        <b/>
        <sz val="10"/>
        <rFont val="Verdana"/>
        <family val="2"/>
      </rPr>
      <t>BHURGARBHA GOSVAMI</t>
    </r>
    <r>
      <rPr>
        <sz val="10"/>
        <rFont val="Verdana"/>
        <family val="2"/>
      </rPr>
      <t>, along with his intimate friend Lokanatha Gosvami, located lost sacred places in Vrndavana by the order of Sri Caitanya Mahaprabhu. To avoid material distractions, Bhugarbha Gosvami would perform his worship to Krsna in a cave. Because of this, he received the name Bhugarabha (bhu means "earth," garbha means "cave" or "hidden place"). (See Sri Caitanya-caritamrta, Adi-lila 12.82.)</t>
    </r>
  </si>
  <si>
    <r>
      <rPr>
        <b/>
        <sz val="10"/>
        <rFont val="Verdana"/>
        <family val="2"/>
      </rPr>
      <t>LORD SRI CAITANYA MAHAPRABHU</t>
    </r>
    <r>
      <rPr>
        <sz val="10"/>
        <rFont val="Verdana"/>
        <family val="2"/>
      </rPr>
      <t xml:space="preserve"> is Lord Krsna Himself, in the form of His own devotee. He appears in this world to spread love for Krsna through the congregational chanting of the holy names of the Lord. He appeared in Sridhama Mayapur, West Bengal, in 1486. His activities and teachings are described in detail in the book "Teachings of Lord Caitanya" and the multi-volume "Sri Caitanya- caritamrta." (See also Srimad-Bhagavatam 11.5.32.)</t>
    </r>
  </si>
  <si>
    <r>
      <rPr>
        <b/>
        <sz val="10"/>
        <rFont val="Verdana"/>
        <family val="2"/>
      </rPr>
      <t>DEVANANDA PANDITA</t>
    </r>
    <r>
      <rPr>
        <sz val="10"/>
        <rFont val="Verdana"/>
        <family val="2"/>
      </rPr>
      <t xml:space="preserve"> was a professional reciter of Srimad- Bhagavatam who turned to pure devotional service during the time of Lord Caitanya. Devananda Pandita used to explain Srimad- Bhagavatam through impersonalistic interpretations. Because he had offended a devotee, he couldn't understand the essence of the Bhagavatam -- love and devotion for Krsna. But when Devananda Pandita served an advanced devotee, Lord Caitanya became pleased with him and revealed to him the path of devotion to Krsna. (See Sri Caitanya-caritamrta, Adi-lila 10.77.)</t>
    </r>
  </si>
  <si>
    <r>
      <rPr>
        <b/>
        <sz val="10"/>
        <rFont val="Verdana"/>
        <family val="2"/>
      </rPr>
      <t>DHANANJAYA PANDITA</t>
    </r>
    <r>
      <rPr>
        <sz val="10"/>
        <rFont val="Verdana"/>
        <family val="2"/>
      </rPr>
      <t xml:space="preserve"> took part in many of Lord Caitanya's kirtana pastimes in Navadvipa. On the order of Lord Caitanya, he traveled widely and preached Krsna consciousness. He is mentioned in Sri Caitanya-caritamrta as being among the intimate servants of Lord Nityananda Prabhu. (See Sri Caitanya- caritamrta, Adi-lila 11.31.)</t>
    </r>
  </si>
  <si>
    <r>
      <rPr>
        <b/>
        <sz val="10"/>
        <rFont val="Verdana"/>
        <family val="2"/>
      </rPr>
      <t>GADADHARA DASA PANDITA</t>
    </r>
    <r>
      <rPr>
        <sz val="10"/>
        <rFont val="Verdana"/>
        <family val="2"/>
      </rPr>
      <t xml:space="preserve"> was one of Lord Nityananda's chief preachers in Bengal. He influenced countless sinners and atheists to take part in the sankirtana movement. (See Sri Caitanya-caritamrta, Adi-lila 10.53.)</t>
    </r>
  </si>
  <si>
    <r>
      <rPr>
        <b/>
        <sz val="10"/>
        <rFont val="Verdana"/>
        <family val="2"/>
      </rPr>
      <t>GADADHARA PANDITA</t>
    </r>
    <r>
      <rPr>
        <sz val="10"/>
        <rFont val="Verdana"/>
        <family val="2"/>
      </rPr>
      <t xml:space="preserve"> is among the group known as the Panca-tattva, consisting of Lord Caitanya Mahaprabhu and four of His closest associates. Gadadhara Pandita spent most of his life in Jagannatha Puri worshiping the Tota-Gopinatha Deity, who is still worshiped in Puri. Gadadhara Pandita is considered an incarnation of Srimati Radharani, the eternal consort of Sri Krsna. (See Sri Caitanya-caritamrta, Adi-lila 10.15 and 16.130- 148.)</t>
    </r>
  </si>
  <si>
    <r>
      <rPr>
        <b/>
        <sz val="10"/>
        <rFont val="Verdana"/>
        <family val="2"/>
      </rPr>
      <t>GANGAMATA GOSWAMINI</t>
    </r>
    <r>
      <rPr>
        <sz val="10"/>
        <rFont val="Verdana"/>
        <family val="2"/>
      </rPr>
      <t xml:space="preserve"> was the daughter of King Naresa Narayana of Bengal. From childhood she showed deep devotion to Krsna. Refusing to marry and renouncing her kingdom, she went in search of a bona fide guru. In Vrndavana she accepted Haridasa Pandita as her guru and took instructions from him. Performing severe austerities, she wore only rags and begged food door to door. On her guru's order, she went to Jagannatha Puri, where she became a great preacher and guru. Hundreds of people attended her discourses on Srimad-Bhagavatam, and many people, including brahmanas, Lord Jagannatha's priests, and even the king, accepted her as their spiritual master.</t>
    </r>
  </si>
  <si>
    <r>
      <rPr>
        <b/>
        <sz val="10"/>
        <rFont val="Verdana"/>
        <family val="2"/>
      </rPr>
      <t>GAURIDASA PANDITA</t>
    </r>
    <r>
      <rPr>
        <sz val="10"/>
        <rFont val="Verdana"/>
        <family val="2"/>
      </rPr>
      <t xml:space="preserve"> is considered the emblem of the most elevated devotional service in love of Godhead. He sacrificed everything for the service of Lord Nityananda. Lord Caitanya and Lord Nityananda personally appeared as Deity forms in his home. (See Sri Caitanya-caritamrta, Adi-lila 11.26-27.)</t>
    </r>
  </si>
  <si>
    <r>
      <rPr>
        <b/>
        <sz val="10"/>
        <rFont val="Verdana"/>
        <family val="2"/>
      </rPr>
      <t>GAURAKISORA DASA BABAJI MAHARAJA</t>
    </r>
    <r>
      <rPr>
        <sz val="10"/>
        <rFont val="Verdana"/>
        <family val="2"/>
      </rPr>
      <t>, the spiritual master of Srila Bhaktisiddhanta Sarasvati Thakura, appeared early in the nineteenth century. He lived a strictly renounced life as a bhajananandi, or one who performs solitary worship. He was intimately associated with Srila Bhaktivinoda Thakura, whom he respected as his spiritual master.</t>
    </r>
  </si>
  <si>
    <r>
      <rPr>
        <b/>
        <sz val="10"/>
        <rFont val="Verdana"/>
        <family val="2"/>
      </rPr>
      <t>GOPALA BHATTA GOSVAMI</t>
    </r>
    <r>
      <rPr>
        <sz val="10"/>
        <rFont val="Verdana"/>
        <family val="2"/>
      </rPr>
      <t>, one of the six Gosvamis of Vrndavana, as a young boy received the mercy of Lord Caitanya. While touring south India, Lord Caitanya stayed four months at Gopala Bhatta's house. Gopala Bhatta Gosvami later joined Lord Caitanya's sankirtana movement. He proved himself an expert in Vaisnava scriptural regulations, wrote Vaisnava books, and established the temple of Sri Sri Radha-Ramana in Vrndavana. (See Sri Caitanya-caritamrta, Adi-lila 10.105.)</t>
    </r>
  </si>
  <si>
    <r>
      <rPr>
        <b/>
        <sz val="10"/>
        <rFont val="Verdana"/>
        <family val="2"/>
      </rPr>
      <t>GOUR GOVINDA SWAMI MAHARAJA</t>
    </r>
    <r>
      <rPr>
        <sz val="10"/>
        <rFont val="Verdana"/>
        <family val="2"/>
      </rPr>
      <t>, a disciple of His Divine Grace A.C. Bhaktivedanta Swami Prabhupada, spread Krsna consciousness throughout Orissa. He translated many of Srila Prabhupada's books into Oriya, worked to establish a large ISKCON temple in Bhubaneswar, traveled and taught Krsna consciousness throughout the world, and brought many people to the lotus feet of Srila Prabhupada and Krsna. He departed this world in 1996 at Sridhama Mayapur, on the appearance day of Srila Bhaktisiddhanta Sarasvati Thakura, during the centennial birth celebration of His Divine Grace A.C. Bhaktivedanta Swami Prabhupada.</t>
    </r>
  </si>
  <si>
    <r>
      <rPr>
        <b/>
        <sz val="10"/>
        <rFont val="Verdana"/>
        <family val="2"/>
      </rPr>
      <t>GOVINDA GHOSH</t>
    </r>
    <r>
      <rPr>
        <sz val="10"/>
        <rFont val="Verdana"/>
        <family val="2"/>
      </rPr>
      <t>, an intimate associate of Lord Caitanya, was known for his sweet kirtanas at the annual Jagannatha Puri Ratha- yatra festival. Lord Caitanya would at once begin to dance whenever Govinda Ghosh would sing. Govinda Ghosh and his brothers Vasudeva and Madhava are eternal associates of Lord Caitanya and Lord Nityananda Prabhu. (See Sri Caitanya- caritamrta, Adi-lila 10.115, 11.14-15, and 11.88.)</t>
    </r>
  </si>
  <si>
    <r>
      <rPr>
        <b/>
        <sz val="10"/>
        <rFont val="Verdana"/>
        <family val="2"/>
      </rPr>
      <t>HARIDASA THAKURA</t>
    </r>
    <r>
      <rPr>
        <sz val="10"/>
        <rFont val="Verdana"/>
        <family val="2"/>
      </rPr>
      <t xml:space="preserve"> is considered the namacarya, the spiritual master in chanting the holy name of Krsna. Though he was born in a Muslim family, Lord Caitanya's devotees respected him as being better than the best of brahmanas. He would not eat or sleep until he finished his daily quota of chanting the name of Krsna 300,000 times. Along with Lord Nityananda, Haridasa Thakura spread the chanting of Krsna's name throughout Bengal. In Jagannatha Puri, where Haridasa Thakura spent his later days, Lord Caitanya would regularly send him prasadam and discuss with him topics of Krsna. Haridasa Thakura died chanting Krsna's name in the presence of Sri Caitanya Mahaprabhu. After Haridasa Thakura's death, Lord Caitanya carried his body to the sea and with His own hands buried him in the sand. (See Sri Caitanya- caritamrta, Adi-lila 10.43-47 and Antya-lila, chapters 3 and 11.)</t>
    </r>
  </si>
  <si>
    <r>
      <rPr>
        <b/>
        <sz val="10"/>
        <rFont val="Verdana"/>
        <family val="2"/>
      </rPr>
      <t>ISVARA PURI</t>
    </r>
    <r>
      <rPr>
        <sz val="10"/>
        <rFont val="Verdana"/>
        <family val="2"/>
      </rPr>
      <t xml:space="preserve"> was the spiritual master of Sri Caitanya Mahaprabhu. Even though Lord Caitanya, the Supreme Godhead, did not need a spiritual master, He accepted Srila Isvara Puri as His guru to establish the importance of accepting a spiritual master. (See Sri Caitanya-caritamrta, Adi-lila 9.11.)</t>
    </r>
  </si>
  <si>
    <r>
      <rPr>
        <b/>
        <sz val="10"/>
        <rFont val="Verdana"/>
        <family val="2"/>
      </rPr>
      <t>JAGADISA PANDITA</t>
    </r>
    <r>
      <rPr>
        <sz val="10"/>
        <rFont val="Verdana"/>
        <family val="2"/>
      </rPr>
      <t xml:space="preserve"> lived near Jagannatha Misra, the father of Lord Caitanya, in Sridhama Mayapur. Jagadisa Pandita assisted Lord Caitanya in spreading the sankirtana movement (congregational chanting of Krsna's name) in Jagannatha Puri. (See Sri Caitanya-caritamrta, Adi-lila 11.30.)</t>
    </r>
  </si>
  <si>
    <r>
      <rPr>
        <b/>
        <sz val="10"/>
        <rFont val="Verdana"/>
        <family val="2"/>
      </rPr>
      <t>JAGANNATHA DASA BABAJI MAHARAJA</t>
    </r>
    <r>
      <rPr>
        <sz val="10"/>
        <rFont val="Verdana"/>
        <family val="2"/>
      </rPr>
      <t>, the spiritual master of Srila Bhaktivinoda Thakura, confirmed Srila Bhaktivinoda Thakura's discovery of the birthplace of Lord Caitanya. Upon arriving at the birthplace, Jagannatha dasa Babaji Maharaja, though blind and crippled, leaped high into the air and began chanting the names of Krsna and dancing.</t>
    </r>
  </si>
  <si>
    <r>
      <rPr>
        <b/>
        <sz val="10"/>
        <rFont val="Verdana"/>
        <family val="2"/>
      </rPr>
      <t>JAGANNATHA MISRA</t>
    </r>
    <r>
      <rPr>
        <sz val="10"/>
        <rFont val="Verdana"/>
        <family val="2"/>
      </rPr>
      <t xml:space="preserve"> appeared as the father of Lord Caitanya Mahaprabhu. (See Sri Caitanya-caritamrta, Adi-lila, chapter 13.)</t>
    </r>
  </si>
  <si>
    <r>
      <rPr>
        <b/>
        <sz val="10"/>
        <rFont val="Verdana"/>
        <family val="2"/>
      </rPr>
      <t>JAHNAVA MATA</t>
    </r>
    <r>
      <rPr>
        <sz val="10"/>
        <rFont val="Verdana"/>
        <family val="2"/>
      </rPr>
      <t xml:space="preserve"> was the wife of Lord Nityananda Prabhu. Especially after the disappearance of Lord Caitanya and Lord Nityananda, she became a leading figure in the sankirtana movement.</t>
    </r>
  </si>
  <si>
    <r>
      <rPr>
        <b/>
        <sz val="10"/>
        <rFont val="Verdana"/>
        <family val="2"/>
      </rPr>
      <t>JAYADEVA GOSVAMI</t>
    </r>
    <r>
      <rPr>
        <sz val="10"/>
        <rFont val="Verdana"/>
        <family val="2"/>
      </rPr>
      <t xml:space="preserve"> is the author of the Gita-govinda, a poem about the pastimes of Sri Sri Radha Krsna. He appeared 300 years before the advent of Lord Caitanya. Lord Caitanya relished hearing the Gita-govinda sung by His close associates. To this day the poem is recited daily in the temple of Lord Jagannatha in Jagannatha Puri, Orissa. Jayadeva Gosvami is also the author of the famed Dasavatara Stotra.</t>
    </r>
  </si>
  <si>
    <r>
      <rPr>
        <b/>
        <sz val="10"/>
        <rFont val="Verdana"/>
        <family val="2"/>
      </rPr>
      <t>JAYANANDA PRABHU</t>
    </r>
    <r>
      <rPr>
        <sz val="10"/>
        <rFont val="Verdana"/>
        <family val="2"/>
      </rPr>
      <t xml:space="preserve"> was a dedicated disciple of Srila Prabhupada's who helped Srila Prabhupada introduce the Rathayatra festival in the United States.</t>
    </r>
  </si>
  <si>
    <r>
      <rPr>
        <b/>
        <sz val="10"/>
        <rFont val="Verdana"/>
        <family val="2"/>
      </rPr>
      <t>JIVA GOSVAMI</t>
    </r>
    <r>
      <rPr>
        <sz val="10"/>
        <rFont val="Verdana"/>
        <family val="2"/>
      </rPr>
      <t>, the nephew and disciple of Srila Rupa Gosvami, was one of the six Gosvamis of Vrndavana. After the disappearance of Rupa Gosvami and Sanatana Gosvami, Sri Jiva Gosvami became the leading acarya for the Vaisnava community. Srila Jiva Gosvami was the greatest and most prolific scholar of his time. He composed half a million Sanskrit verses about the science of devotion and the glories of Krsna. (See Sri Caitanya- caritamrta, Adi-lila 10.85.)</t>
    </r>
  </si>
  <si>
    <r>
      <rPr>
        <b/>
        <sz val="10"/>
        <rFont val="Verdana"/>
        <family val="2"/>
      </rPr>
      <t>KALIYA KRSNADASA</t>
    </r>
    <r>
      <rPr>
        <sz val="10"/>
        <rFont val="Verdana"/>
        <family val="2"/>
      </rPr>
      <t xml:space="preserve"> is mentioned as having been a disciple of Gauridasa Pandita.</t>
    </r>
  </si>
  <si>
    <r>
      <rPr>
        <b/>
        <sz val="10"/>
        <rFont val="Verdana"/>
        <family val="2"/>
      </rPr>
      <t>KASISVARA PANDITA</t>
    </r>
    <r>
      <rPr>
        <sz val="10"/>
        <rFont val="Verdana"/>
        <family val="2"/>
      </rPr>
      <t xml:space="preserve"> served as Lord Caitanya's bodyguard in Jagannatha Puri. Another of His services was to distribute prasadam after kirtana. (See Sri Caitanya-caritamrta, Adi-lila 8.66)</t>
    </r>
  </si>
  <si>
    <r>
      <rPr>
        <b/>
        <sz val="10"/>
        <rFont val="Verdana"/>
        <family val="2"/>
      </rPr>
      <t>LORD SRI KRSNA</t>
    </r>
    <r>
      <rPr>
        <sz val="10"/>
        <rFont val="Verdana"/>
        <family val="2"/>
      </rPr>
      <t xml:space="preserve"> is the Absolute Truth, the original form of the Supreme Personality of Godhead. The words of Bhagavad-gita are His spoken instructions, and the entire Srimad-Bhagavatam aims at describing His glories. (See also the summary study for the Tenth Canto of Srimad-Bhagavatam entitled "Krsna, the Supreme Personality of Godhead.")</t>
    </r>
  </si>
  <si>
    <r>
      <rPr>
        <b/>
        <sz val="10"/>
        <rFont val="Verdana"/>
        <family val="2"/>
      </rPr>
      <t>LOCANA DASA THAKURA</t>
    </r>
    <r>
      <rPr>
        <sz val="10"/>
        <rFont val="Verdana"/>
        <family val="2"/>
      </rPr>
      <t>, a disciple of Narahari Sarakara Thakura, wrote many Bengali songs glorifying Lord Caitanya. His most famous poetic work is the Caitanya-mangala, a depiction of Lord Caitanya's life. (See Sri Caitanya-caritamrta, Adi-lila 10.78- 79.)</t>
    </r>
  </si>
  <si>
    <r>
      <rPr>
        <b/>
        <sz val="10"/>
        <rFont val="Verdana"/>
        <family val="2"/>
      </rPr>
      <t>LOKANATHA GOSVAMI</t>
    </r>
    <r>
      <rPr>
        <sz val="10"/>
        <rFont val="Verdana"/>
        <family val="2"/>
      </rPr>
      <t xml:space="preserve"> was a personal associate of Lord Caitanya. Lord Caitanya ordered him and Bhugarbha Gosvami to find the lost holy places of Vrndavana. Years later, the six Gosvamis came to Vrndavana and continued this work. Lokanatha Gosvami constructed the Radha-Gokulananda temple in Vrndavana. Srila Narottama dasa Thakura was his only disciple. (See Sri Caitanya-caritamrta, Madhya-lila 18.49.)</t>
    </r>
  </si>
  <si>
    <r>
      <rPr>
        <b/>
        <sz val="10"/>
        <rFont val="Verdana"/>
        <family val="2"/>
      </rPr>
      <t>MADHAVENDRA PURI</t>
    </r>
    <r>
      <rPr>
        <sz val="10"/>
        <rFont val="Verdana"/>
        <family val="2"/>
      </rPr>
      <t xml:space="preserve"> was the spiritual master of the spiritual master of Lord Caitanya Mahaprabhu. Srila Madhavendra Puri established the worship of the Gopala Deity, who is today worshiped as Srinathaji. (See Sri Caitanya-caritamrta, Madhya- lila, chapter 4.)</t>
    </r>
  </si>
  <si>
    <r>
      <rPr>
        <b/>
        <sz val="10"/>
        <rFont val="Verdana"/>
        <family val="2"/>
      </rPr>
      <t>MADHU PANDITA</t>
    </r>
    <r>
      <rPr>
        <sz val="10"/>
        <rFont val="Verdana"/>
        <family val="2"/>
      </rPr>
      <t>, a disciple of Sri Gadadhara Pandita, established the temple of Gopinatha in Vrndavana, India. Before Srinivasa Acarya, Narottama dasa Thakura, and Syamananda Prabhu went to bring the books of the Gosvamis from Vrndavana to Bengal, Madhu Pandita blessed Srinivasa Acarya with a garland from Sri Gopinatha. (See Sri Caitanya-caritamrta, Adi-lila 12.88.)</t>
    </r>
  </si>
  <si>
    <r>
      <rPr>
        <b/>
        <sz val="10"/>
        <rFont val="Verdana"/>
        <family val="2"/>
      </rPr>
      <t>MADHVACARYA</t>
    </r>
    <r>
      <rPr>
        <sz val="10"/>
        <rFont val="Verdana"/>
        <family val="2"/>
      </rPr>
      <t xml:space="preserve"> is the principal acarya, or spiritual teacher, in in the Brahma-sampradaya, the Vaisnava disciplic line from which the Gaudiya sampradaya descends. He was born in Udupi, South India, in the early thirteenth century. At the age of five he took initiation and at the age of twelve left home to take sannyasa. Madhvacarya studied the Vedas under the compiler of the Vedas, Vyasadeva, in the Himalayas. Madhvacarya's Vedanta- sutra commentary -- Purnaprajna-bhasya -- establishes the doctrine known as Suddha-dvaita-vada. Madhva used his erudite scholarship to crush the Mayavada (impersonalistic) philosophy and establish devotional service to the Supreme Personality of Godhead. (See Sri Caitanya-caritamrta, Madhya-lila 9.245.)</t>
    </r>
  </si>
  <si>
    <r>
      <rPr>
        <b/>
        <sz val="10"/>
        <rFont val="Verdana"/>
        <family val="2"/>
      </rPr>
      <t>MAHESA PANDITA</t>
    </r>
    <r>
      <rPr>
        <sz val="10"/>
        <rFont val="Verdana"/>
        <family val="2"/>
      </rPr>
      <t xml:space="preserve"> was one of the twelve gopalas who were close associates of Lord Nityananda. He traveled and preached with Lord Nityananda. (See Sri Caitanya-caritamrta, Adi-lila 11.32.)</t>
    </r>
  </si>
  <si>
    <r>
      <rPr>
        <b/>
        <sz val="10"/>
        <rFont val="Verdana"/>
        <family val="2"/>
      </rPr>
      <t>MUKUNDA DATTA</t>
    </r>
    <r>
      <rPr>
        <sz val="10"/>
        <rFont val="Verdana"/>
        <family val="2"/>
      </rPr>
      <t>, the son of Vasudeva Datta, was a classmate of Lord Caitanya's. Mukunda Datta had a melodious voice, and he knew the intricacies of musical meters and ragas. Lord Caitanya took sannyasa amidst Mukunda Datta's kirtana. (See Sri Caitanya- caritamrta, Adi-lila 10.40 and 17.65 and Madhya-lila 11.137-140.)</t>
    </r>
  </si>
  <si>
    <r>
      <rPr>
        <b/>
        <sz val="10"/>
        <rFont val="Verdana"/>
        <family val="2"/>
      </rPr>
      <t>MURARI GUPTA</t>
    </r>
    <r>
      <rPr>
        <sz val="10"/>
        <rFont val="Verdana"/>
        <family val="2"/>
      </rPr>
      <t xml:space="preserve"> was a lifelong associate of Lord Caitanya. He served Lord Caitanya in all of the Lord's Navadvipa pastimes. By profession a doctor, Murari Gupta freed his patients not only from their physical ailments but also from the contamination of the material energy. Murari Gupta is considered an incarnation of Hanuman, the eternal servant of Lord Ramacandra. (See Sri Caitanya-caritamrta, Adi-lila 10.49-51 and Madhya-lila 15.137- 157.)</t>
    </r>
  </si>
  <si>
    <r>
      <rPr>
        <b/>
        <sz val="10"/>
        <rFont val="Verdana"/>
        <family val="2"/>
      </rPr>
      <t>NARAHARI SARAKARA</t>
    </r>
    <r>
      <rPr>
        <sz val="10"/>
        <rFont val="Verdana"/>
        <family val="2"/>
      </rPr>
      <t xml:space="preserve"> was a personal associate of Lord Caitanya. He would often serve the Lord by fanning Him with a camara. He was also a great scholar and poet. His books Padakalpataru and Krishna-bhajanamrta include sweet songs praising Lord Caitanya and Lord Nityananda. The celebrated Locana dasa Thakura was his disciple. (See Sri Caitanya-caritamrta, Adi-lila 10.78-79.)</t>
    </r>
  </si>
  <si>
    <r>
      <rPr>
        <b/>
        <sz val="10"/>
        <rFont val="Verdana"/>
        <family val="2"/>
      </rPr>
      <t>NAROTTAMA DASA THAKURA</t>
    </r>
    <r>
      <rPr>
        <sz val="10"/>
        <rFont val="Verdana"/>
        <family val="2"/>
      </rPr>
      <t xml:space="preserve"> was a leading acarya in the Gaudiya Vaisnava line. He was the only disciple of Srila Lokanatha Gosvami. Srila Narottama Dasa Thakura helped bring the books of the Gosvamis from Vrndavana to Bengal and Orissa. In Kheturi gram, Bengal, he inaugurated the first Gaura Purnima festival after the disappearance of Sri Caitanya Mahaprabhu. He is most famous for his Prarthana, a composition of thirty-three Bengali songs.</t>
    </r>
  </si>
  <si>
    <r>
      <rPr>
        <b/>
        <sz val="10"/>
        <rFont val="Verdana"/>
        <family val="2"/>
      </rPr>
      <t>NIMBARKACARYA</t>
    </r>
    <r>
      <rPr>
        <sz val="10"/>
        <rFont val="Verdana"/>
        <family val="2"/>
      </rPr>
      <t xml:space="preserve"> was the principal acarya in the Kumara sampradaya, one of the four main lines of Vaisnava teachers and disciples. His Vedanta-sutra commentary -- Parijata-saurabha- bhasya -- establishes the doctrine known as Dvaitadvaita-vada. He preached Krsna consciousness about 300 years before the advent of Sri Caitanya Mahaprabhu.</t>
    </r>
  </si>
  <si>
    <r>
      <rPr>
        <b/>
        <sz val="10"/>
        <rFont val="Verdana"/>
        <family val="2"/>
      </rPr>
      <t>LORD NITYANANDA PRABHU</t>
    </r>
    <r>
      <rPr>
        <sz val="10"/>
        <rFont val="Verdana"/>
        <family val="2"/>
      </rPr>
      <t xml:space="preserve"> appeared as Lord Caitanya's principal associate for spreading the congregational chanting of the holy names of the Lord. He especially spread the holy name of the Lord throughout Bengal. He is considered an incarnation of Lord Balarama. (See Sri Caitanya-caritamrta, Adi-lila, chapter 5.)</t>
    </r>
  </si>
  <si>
    <r>
      <rPr>
        <b/>
        <sz val="10"/>
        <rFont val="Verdana"/>
        <family val="2"/>
      </rPr>
      <t>PARAMESVARI DASA THAKURA</t>
    </r>
    <r>
      <rPr>
        <sz val="10"/>
        <rFont val="Verdana"/>
        <family val="2"/>
      </rPr>
      <t>, also known as Paramesvara Thakura, was an intimate associate of Lord Nityananda Prabhu. (See Sri Caitanya-caritamrta, Adi-lila 11.29.)</t>
    </r>
  </si>
  <si>
    <r>
      <rPr>
        <b/>
        <sz val="10"/>
        <rFont val="Verdana"/>
        <family val="2"/>
      </rPr>
      <t>PUNDARIKA VIDYANIDHI</t>
    </r>
    <r>
      <rPr>
        <sz val="10"/>
        <rFont val="Verdana"/>
        <family val="2"/>
      </rPr>
      <t xml:space="preserve"> was a disciple of Madhavendra Puri and was the guru of Sri Gadadhara Pandita. Pundarika Vidyanidhi was sometimes misunderstood to be too much attached to material pleasures, but just by hearing the recitation of one verse of the Bhagavatam he would enter into a trance. In Krsna's pastimes he was Vrsabhanu, the father of Srimati Radharani. (See Sri Caitanya-caritamrta, Adi-lila 10.14 and Madhya-lila 16.76-81.)</t>
    </r>
  </si>
  <si>
    <r>
      <rPr>
        <b/>
        <sz val="10"/>
        <rFont val="Verdana"/>
        <family val="2"/>
      </rPr>
      <t>PURUSOTTAMA DASA THAKURA</t>
    </r>
    <r>
      <rPr>
        <sz val="10"/>
        <rFont val="Verdana"/>
        <family val="2"/>
      </rPr>
      <t xml:space="preserve"> was a great devotee of Lord Nityananda. In Goloka Vrndavana, Purusottama Dasa Thakura serves Lord Balarama as a cowherd boy. (See Sri Caitanya-caritamrta, Adi-lila 11.38-40.)</t>
    </r>
  </si>
  <si>
    <r>
      <rPr>
        <b/>
        <sz val="10"/>
        <rFont val="Verdana"/>
        <family val="2"/>
      </rPr>
      <t>SRIMATI RADHARANI</t>
    </r>
    <r>
      <rPr>
        <sz val="10"/>
        <rFont val="Verdana"/>
        <family val="2"/>
      </rPr>
      <t xml:space="preserve"> is the eternal consort of Lord Sri Krsna, the Supreme Personality of Godhead. She is the internal pleasure potency of the Lord. (See Sri Caitanya-caritamrta, Adi-lila, chapter 4.)</t>
    </r>
  </si>
  <si>
    <r>
      <rPr>
        <b/>
        <sz val="10"/>
        <rFont val="Verdana"/>
        <family val="2"/>
      </rPr>
      <t>RAGHUNANDANA THAKURA</t>
    </r>
    <r>
      <rPr>
        <sz val="10"/>
        <rFont val="Verdana"/>
        <family val="2"/>
      </rPr>
      <t xml:space="preserve"> was the son of the great devotee Mukunda Dasa. (See Sri Caitanya-caritamrta, Adi-lila 10.78-79.)</t>
    </r>
  </si>
  <si>
    <r>
      <rPr>
        <b/>
        <sz val="10"/>
        <rFont val="Verdana"/>
        <family val="2"/>
      </rPr>
      <t>RAGHUNATHA BHATTA GOSVAMI</t>
    </r>
    <r>
      <rPr>
        <sz val="10"/>
        <rFont val="Verdana"/>
        <family val="2"/>
      </rPr>
      <t>, one of the six Gosvamis of Vrndavana, was ordered by Lord Caitanya to go to Vrndavana and there constantly chant the Hare Krsna mantra and read Srimad- Bhagavatam. Every day in Vrndavana, he would sweetly sing the verses of the Bhagavatam to the local residents. His tears of pure love would wet the pages of the Bhagavatam as he sang. Raghunatha Bhatta Gosvami never criticized anyone. He believed that all Vaisnavas are sincerely serving Krsna according to their realization and therefore one should overlook their faults. Under his inspiration, a wealthy disciple built the temple for the Radha-Govinda Deities in Vrndavana. (See Sri Caitanya-caritamrta, Adi-lila 10.152-158.)</t>
    </r>
  </si>
  <si>
    <r>
      <rPr>
        <b/>
        <sz val="10"/>
        <rFont val="Verdana"/>
        <family val="2"/>
      </rPr>
      <t>RAGHUNATHA DASA GOSVAMI</t>
    </r>
    <r>
      <rPr>
        <sz val="10"/>
        <rFont val="Verdana"/>
        <family val="2"/>
      </rPr>
      <t>, one of the six Gosvamis, at a young age renounced his beautiful wife and opulent home to join Lord Caitanya and His sankirtana movement. For sixteen years, he was the personal assistant of Lord Caitanya's secretary, Svarupa Damodara. Along with Svarupa Damodara, he witnessed Lord Caitanya's last days on earth. After the Lord's disappearance he went to Vrndavana, where he lived austerely, absorbed in devotion, in the company of Srila Rupa Gosvami and Srila Sanatana Gosvami. (See Sri Caitanya-caritamrta, Adi-lila 10.91- 103 and Antya-lila, chapter 6.)</t>
    </r>
  </si>
  <si>
    <r>
      <rPr>
        <b/>
        <sz val="10"/>
        <rFont val="Verdana"/>
        <family val="2"/>
      </rPr>
      <t>LORD SRI RAMACANDRA</t>
    </r>
    <r>
      <rPr>
        <sz val="10"/>
        <rFont val="Verdana"/>
        <family val="2"/>
      </rPr>
      <t xml:space="preserve"> is a powerful incarnation of the Supreme Personality of Godhead as an ideal king. He appeared in the Treta-yuga, more than two million years ago. Under the order of His father, Maharaja Dasaratha, Lord Ramacandra lived in the Dandakaranya forest for fourteen years, along with His wife, Sita Devi, and His younger brother, Laksmana. After the powerful demon Ravana kidnapped His wife, Lord Ramacandra retrieved her, with the help of His faithful servant Hanuman, and killed Ravana along with Ravana's armies. The history of Lord Ramacandra's pastimes is recounted by the sage Valmiki in his Ramayana. (See also Srimad-Bhagavatam 1.3.22, 2.7.23-25, 5.19.1-8 and Canto Nine, chapters 10 and 11.)</t>
    </r>
  </si>
  <si>
    <r>
      <rPr>
        <b/>
        <sz val="10"/>
        <rFont val="Verdana"/>
        <family val="2"/>
      </rPr>
      <t>RAMACANDRA KAVIRAJA</t>
    </r>
    <r>
      <rPr>
        <sz val="10"/>
        <rFont val="Verdana"/>
        <family val="2"/>
      </rPr>
      <t xml:space="preserve"> was a disciple of Srila Srinivasa Acarya and an intimate friend of Srila Narottama dasa Thakura. He widely preached the glories of the holy name of Lord Krsna and initiated many disciples into the service of Lord Caitanya. (See Sri Caitanya-caritamrta, Adi-lila 11.51.)</t>
    </r>
  </si>
  <si>
    <r>
      <rPr>
        <b/>
        <sz val="10"/>
        <rFont val="Verdana"/>
        <family val="2"/>
      </rPr>
      <t>RAMANANDA RAYA</t>
    </r>
    <r>
      <rPr>
        <sz val="10"/>
        <rFont val="Verdana"/>
        <family val="2"/>
      </rPr>
      <t xml:space="preserve"> was one of the most intimate associates of Lord Caitanya Mahaprabhu. Lord Caitanya Mahaprabhu would discuss with him the most confidential topics of Krsna consciousness, and in his company Lord Caitanya would relish the deepest feelings of devotional service. (See Sri Caitanya-caritamrta, Adi-lila 10.134, Madhya-lila 7.62-67, Madhya-lila chapter 8, and Antya- lila chapter 5.)</t>
    </r>
  </si>
  <si>
    <r>
      <rPr>
        <b/>
        <sz val="10"/>
        <rFont val="Verdana"/>
        <family val="2"/>
      </rPr>
      <t>RAMANUJACARYA</t>
    </r>
    <r>
      <rPr>
        <sz val="10"/>
        <rFont val="Verdana"/>
        <family val="2"/>
      </rPr>
      <t xml:space="preserve"> (1017-1137) was the principal acarya in the Sri sampradaya, one of the four main lines of Vaisnava teachers and disciples. His Vedanta-sutra commentary -- Sri-bhasya -- establishes the doctrine known as Visistadvaita, "qualified nondualism." A staunch proponent of the philosophy of personalism, he taught that although the Supreme Lord and the individual souls are qualitatively one, there is still a difference between them, for the Lord is infinite and the living entities are infinitesimal. Srila Ramanujacarya traveled extensively throughout India, teaching personalism and defeating proponents of monistic philosophy. He founded seventy-four centers of Sri Vaisnavism and initiated seven hundred sannyasis (renounced monks), twelve thousand brahmacharis (celibate students), and thousands of householders, including kings and wealthy landowners.</t>
    </r>
  </si>
  <si>
    <r>
      <rPr>
        <b/>
        <sz val="10"/>
        <rFont val="Verdana"/>
        <family val="2"/>
      </rPr>
      <t>RASIKANANDA PRABHU</t>
    </r>
    <r>
      <rPr>
        <sz val="10"/>
        <rFont val="Verdana"/>
        <family val="2"/>
      </rPr>
      <t xml:space="preserve"> preached Krsna consciousness in northern Orissa after the disappearance of Lord Caitanya. He was the principal disciple of Syamananda Gosvami.</t>
    </r>
  </si>
  <si>
    <r>
      <rPr>
        <b/>
        <sz val="10"/>
        <rFont val="Verdana"/>
        <family val="2"/>
      </rPr>
      <t>RUPA GOSVAMI</t>
    </r>
    <r>
      <rPr>
        <sz val="10"/>
        <rFont val="Verdana"/>
        <family val="2"/>
      </rPr>
      <t xml:space="preserve"> is known as bhakti-rasacarya, the expert in the tastes of pure devotional service. He and his elder brother, Srila Sanatana Gosvami, left high posts in the government of Nawab Hussein Shah to join Sri Caitanya Mahaprabhu. Empowered by Lord Caitanya, Srila Rupa Gosvami wrote many books about the science of Krsna consciousness. A summary study of his Bhakti- rasasmrta-sindhu is available as "The Nectar of Devotion," and his Upadesamrta is available as "The Nectar of Instruction." (See Sri Caitanya-caritamrta, Adi-lila 10.84, Madhya-lila 1.36- 41, Madhya-lila chapter 19, and Antya-lila chapter 1.)</t>
    </r>
  </si>
  <si>
    <r>
      <rPr>
        <b/>
        <sz val="10"/>
        <rFont val="Verdana"/>
        <family val="2"/>
      </rPr>
      <t>SANATANA GOSVAMI</t>
    </r>
    <r>
      <rPr>
        <sz val="10"/>
        <rFont val="Verdana"/>
        <family val="2"/>
      </rPr>
      <t>, the elder brother of Srila Rupa Gosvami, was the seniormost among the six Gosvamis of Vrndavana. At Varanasi, Lord Caitanya Mahaprabhu instructed him in detail about the science of devotional service. Lord Caitanya sent Srila Sanatana Gosvami to Vrndavana and gave him a fourfold mission: to uncover the lost sites of Krsna's pastimes, to install Deities of the Lord and arrange for Their worship, to write books on Krsna consciousness, and to teach the rules of devotional life. Srila Sanatana Gosvami, along with Srila Rupa Gosvami, fulfilled all four parts of this mission. (See Sri Caitanya-caritamrta, Adi- lila 10.84, Madhya-lila 1.35, Madhya-lila chapters 20-24, and Antya-lila chapter 4.)</t>
    </r>
  </si>
  <si>
    <r>
      <rPr>
        <b/>
        <sz val="10"/>
        <rFont val="Verdana"/>
        <family val="2"/>
      </rPr>
      <t>SARANGA THAKURA</t>
    </r>
    <r>
      <rPr>
        <sz val="10"/>
        <rFont val="Verdana"/>
        <family val="2"/>
      </rPr>
      <t>, an associate of Sri Caitanya Mahaprabhu, lived under a Bakula tree in Navadvipa during the time of Lord Caitanya. During the day he would gather materials for the worship of his Deities, and in the evenings he would cross the sacred Ganges River to join Lord Caitanya's kirtanas. The great devotee Murari Thakura was his disciple. (See Sri Caitanya- caritamrta, Adi-lila 10.113.)</t>
    </r>
  </si>
  <si>
    <r>
      <rPr>
        <b/>
        <sz val="10"/>
        <rFont val="Verdana"/>
        <family val="2"/>
      </rPr>
      <t>SITA DEVI</t>
    </r>
    <r>
      <rPr>
        <sz val="10"/>
        <rFont val="Verdana"/>
        <family val="2"/>
      </rPr>
      <t>, a manifestation of the goddess of fortune, Laksmi Devi, is the eternal consort of Lord Ramacandra. When Lord Ramacandra was banished to the Dandakaranya forest, Sita Devi left the comforts of the royal palace to join Him. While in the forest she was kidnapped by the demonic king Ravana, yet despite his endeavors to enjoy her beauty, she remained always dedicated to Lord Ramacandra.</t>
    </r>
  </si>
  <si>
    <r>
      <rPr>
        <b/>
        <sz val="10"/>
        <rFont val="Verdana"/>
        <family val="2"/>
      </rPr>
      <t>SITA THAKURANI</t>
    </r>
    <r>
      <rPr>
        <sz val="10"/>
        <rFont val="Verdana"/>
        <family val="2"/>
      </rPr>
      <t xml:space="preserve"> was the wife of Sri Advaita Acarya. She was always absorbed in parental love for Lord Caitanya Mahaprabhu. Because of Sita Devi's love, Saci Mata often chose her as the first person to worship Lord Caitanya during any auspicious ceremony. (See Sri Caitanya-caritamrta, Adi-lila 13.111-118.)</t>
    </r>
  </si>
  <si>
    <r>
      <rPr>
        <b/>
        <sz val="10"/>
        <rFont val="Verdana"/>
        <family val="2"/>
      </rPr>
      <t>SIVANANDA SENA</t>
    </r>
    <r>
      <rPr>
        <sz val="10"/>
        <rFont val="Verdana"/>
        <family val="2"/>
      </rPr>
      <t>, an associate of Lord Caitanya, used all his possessions and wealth in the service of Lord Caitanya and His devotees. Every year he would lead a party of 200 devotees from Bengal to Jagannatha Puri to attend the annual Ratha-yatra festival. He would arrange for the devotees' food, tolls, ferries, and lodging. Sivananda Sena's family and servants were all dedicated to Lord Caitanya Mahaprabhu. (See Sri Caitanya- caritamrta, Adi-lila 10.54-55 and 10.60-64, and Antya-lila 1.16- 32, 2.22-82, 10.142-151 and 12.15-53.)</t>
    </r>
  </si>
  <si>
    <r>
      <rPr>
        <b/>
        <sz val="10"/>
        <rFont val="Verdana"/>
        <family val="2"/>
      </rPr>
      <t>SRINIVASA ACARYA</t>
    </r>
    <r>
      <rPr>
        <sz val="10"/>
        <rFont val="Verdana"/>
        <family val="2"/>
      </rPr>
      <t xml:space="preserve"> was a member of the party that first brought the books of the six Gosvamis from Vrndavana to Bengal and Orissa. He converted King Birahambira to the Vaisnava religion and helped organized the first Gaura Purnima festival, celebrating the birth anniversary of Lord Caitanya, in Kheturi Gram.</t>
    </r>
  </si>
  <si>
    <r>
      <rPr>
        <b/>
        <sz val="10"/>
        <rFont val="Verdana"/>
        <family val="2"/>
      </rPr>
      <t>SRIVASA PANDITA</t>
    </r>
    <r>
      <rPr>
        <sz val="10"/>
        <rFont val="Verdana"/>
        <family val="2"/>
      </rPr>
      <t>, or Srivasa Thakura, was a member of the Panca- tattva, consisting of Lord Caitanya Mahaprabhu and His four immediate expansions and energies. Every night, Lord Caitanya and His associates would chant the names of Krsna and dance in Srivasa Pandita's house. Srivasa Pandita never made any effort to support himself or his dependents. Because of his full dedication to Lord Caitanya and His mission, Lord Caitanya provided for all his needs. (See Sri Caitanya-caritamrta, Adi- lila 10.8.)</t>
    </r>
  </si>
  <si>
    <r>
      <rPr>
        <b/>
        <sz val="10"/>
        <rFont val="Verdana"/>
        <family val="2"/>
      </rPr>
      <t>SVARUPA DAMODARA GOSVAMI</t>
    </r>
    <r>
      <rPr>
        <sz val="10"/>
        <rFont val="Verdana"/>
        <family val="2"/>
      </rPr>
      <t xml:space="preserve"> was the personal secretary of Sri Caitanya Mahaprabhu. He is said to have been like a second Mahaprabhu because he deeply understood the Lord's conclusions on Krsna bhakti, devotional service to Krsna. He was a great scholar as well as an expert musician. In the company of Srila Svarupa Damodara Gosvami at Jagannatha Puri, Sri Caitanya Mahaprabhu would taste the deepest emotions of devotional service. (See Sri Caitanya-caritamrta, Adi-lila 4.105 and Madhya- lila 10.102-129 and 13.163-167.)</t>
    </r>
  </si>
  <si>
    <r>
      <rPr>
        <b/>
        <sz val="10"/>
        <rFont val="Verdana"/>
        <family val="2"/>
      </rPr>
      <t>SYAMANANDA PRABHU</t>
    </r>
    <r>
      <rPr>
        <sz val="10"/>
        <rFont val="Verdana"/>
        <family val="2"/>
      </rPr>
      <t>, a disciple of Hrdaya Caitanya, established the temple of Sri Radha-Syamasundara in Vrndavana. On the order of his spiritual master, Syamananda, along with his foremost disciple, Rasikananda Prabhu, spread the worship and service of Lord Caitanya throughout Orissa.</t>
    </r>
  </si>
  <si>
    <r>
      <rPr>
        <b/>
        <sz val="10"/>
        <rFont val="Verdana"/>
        <family val="2"/>
      </rPr>
      <t>UDDHARANA DATTA THAKURA</t>
    </r>
    <r>
      <rPr>
        <sz val="10"/>
        <rFont val="Verdana"/>
        <family val="2"/>
      </rPr>
      <t xml:space="preserve"> was an intimate associate of Lord Nityananda. Raised in a family of gold merchants, he later married and became a wealthy minister. Lord Nityananda would often stay in his home. At the age of twenty-six, Uddharana Datta Thakura renounced home and family and joined Lord Nityananda's kirtana party. (See Sri Caitanya-caritamrta, Adi- lila 11.41.)</t>
    </r>
  </si>
  <si>
    <r>
      <rPr>
        <b/>
        <sz val="10"/>
        <rFont val="Verdana"/>
        <family val="2"/>
      </rPr>
      <t>VAKRESVARA PANDITA</t>
    </r>
    <r>
      <rPr>
        <sz val="10"/>
        <rFont val="Verdana"/>
        <family val="2"/>
      </rPr>
      <t xml:space="preserve"> is mentioned in Sri Caitanya-caritamrta for his ecstatic dancing. Once, in the house of Srivasa Thakura, he danced in constant ecstasy for seventy-two hours. He made many disciples, especially in Orissa, among them Sri Gopala-guru Gosvami. (See Sri Caitanya-caritamrta, Adi-lila 10.17-18.)</t>
    </r>
  </si>
  <si>
    <r>
      <rPr>
        <b/>
        <sz val="10"/>
        <rFont val="Verdana"/>
        <family val="2"/>
      </rPr>
      <t>VAMANADEVA</t>
    </r>
    <r>
      <rPr>
        <sz val="10"/>
        <rFont val="Verdana"/>
        <family val="2"/>
      </rPr>
      <t xml:space="preserve"> is Lord Krsna's incarnation as a dwarf brahmana. Lord Vamanadeva begged from Bali Maharaja three paces of land. When the request was granted, Lord Vamanadeva assumed a gigantic form and with two steps covered first the earth and then the entire universe. For the third step, Bali Maharaja was then pleased to receive the Lord's lotus foot on his head. (See Srimad-Bhagavatam 1.3.19, 2.7.17 and Eighth Canto, chapters 20- 23.)</t>
    </r>
  </si>
  <si>
    <r>
      <rPr>
        <b/>
        <sz val="10"/>
        <rFont val="Verdana"/>
        <family val="2"/>
      </rPr>
      <t>VAMSIDASA BABAJI MAHARAJA</t>
    </r>
    <r>
      <rPr>
        <sz val="10"/>
        <rFont val="Verdana"/>
        <family val="2"/>
      </rPr>
      <t xml:space="preserve"> was a paramahamsa devotee who sometimes lived in Navadvipa at the time of Srila Bhaktisiddhanta Sarasvati Thakura. Wearing only a loincloth and eating whatever came his way, Vamsidasa Babaji Maharaja traveled throughout India, visiting holy places. He worshiped Lord Krsna on a spontaneous platform that neophytes on the path of devotion cannot imitate.</t>
    </r>
  </si>
  <si>
    <r>
      <rPr>
        <b/>
        <sz val="10"/>
        <rFont val="Verdana"/>
        <family val="2"/>
      </rPr>
      <t>VAMSIVADANANDA THAKURA</t>
    </r>
    <r>
      <rPr>
        <sz val="10"/>
        <rFont val="Verdana"/>
        <family val="2"/>
      </rPr>
      <t xml:space="preserve"> wrote many sweet poems expressing his devotion to Krsna. The day he appeared, Lord Caitanya and Sri Advaita Prabhu were staying in his home in Bengal. After the disappearance of Srimati Visnupriya Devi, he worshiped her Deities in Navadvipa.</t>
    </r>
  </si>
  <si>
    <r>
      <rPr>
        <b/>
        <sz val="10"/>
        <rFont val="Verdana"/>
        <family val="2"/>
      </rPr>
      <t>VARAHADEVA</t>
    </r>
    <r>
      <rPr>
        <sz val="10"/>
        <rFont val="Verdana"/>
        <family val="2"/>
      </rPr>
      <t xml:space="preserve"> is the boar incarnation Sri Krsna. He assumed the form of a boar to lift the drowning planet earth from the Garbhodaka Ocean with His tusks. The demon Hiryanyaksa had thrown the planet earth into this ocean, but the Lord stabbed the demon with His tusks and saved the earth. (See Sri Srimad- Bhagavatam 1.3.7 and 2.7.1 and Canto Three, chapters 13, 18 and 19.)</t>
    </r>
  </si>
  <si>
    <r>
      <rPr>
        <b/>
        <sz val="10"/>
        <rFont val="Verdana"/>
        <family val="2"/>
      </rPr>
      <t>VASUDEVA GHOSH</t>
    </r>
    <r>
      <rPr>
        <sz val="10"/>
        <rFont val="Verdana"/>
        <family val="2"/>
      </rPr>
      <t>, an intimate associate of Lord Caitanya, was known for his kirtana. Sri Caitanya-caritamrta says that when Vasudeva Ghosh led kirtana, even wood and stone would melt upon hearing it. He composed many songs about Sri Caitanya Mahaprabhu. Vasudeva Ghosh and his brothers Govinda and Madhava are eternal associates of Lord Caitanya and Lord Nityananda Prabhu.(See Sri Caitanya-caritamrta, Adi-lila 10.115, 11.14-15, 11.19 and 11.88.)</t>
    </r>
  </si>
  <si>
    <r>
      <rPr>
        <b/>
        <sz val="10"/>
        <rFont val="Verdana"/>
        <family val="2"/>
      </rPr>
      <t>VIRACANDRA PRABHU</t>
    </r>
    <r>
      <rPr>
        <sz val="10"/>
        <rFont val="Verdana"/>
        <family val="2"/>
      </rPr>
      <t xml:space="preserve"> was the son of Lord Nityananda's second wife, Vasudha Devi, and was a disciple of Sri Jahnava Devi, Lord Nityananda's first wife. He is considered an incarnation of Ksirodakasayi Visnu.</t>
    </r>
  </si>
  <si>
    <r>
      <rPr>
        <b/>
        <sz val="10"/>
        <rFont val="Verdana"/>
        <family val="2"/>
      </rPr>
      <t>VISNUPRIYA DEVI</t>
    </r>
    <r>
      <rPr>
        <sz val="10"/>
        <rFont val="Verdana"/>
        <family val="2"/>
      </rPr>
      <t xml:space="preserve"> was the wife of Lord Caitanya before He took sannyasa. After His sannyasa, she lived a life of severe austerity. Every day, she would set aside one grain of rice for every round of the Hare Krsna mantra she chanted. At the end of the day she would cook and offer these few grains to Lord Caitanya, and that would be her meal. She is a manifestation of the internal energy of the Lord. (See the Bhaktivedanta purport to Srimad-Bhagavatam 4.23.20.)</t>
    </r>
  </si>
  <si>
    <r>
      <rPr>
        <b/>
        <sz val="10"/>
        <rFont val="Verdana"/>
        <family val="2"/>
      </rPr>
      <t>VISVANATHA CAKRAVARTI THAKURA</t>
    </r>
    <r>
      <rPr>
        <sz val="10"/>
        <rFont val="Verdana"/>
        <family val="2"/>
      </rPr>
      <t>, a great Vaisnava acarya, appeared in 1674 in what is now the Nadia district of West Bengal. During his time, he served as the protector, guardian, and acarya of the Gaudiya Vaisnava line. He wrote more than forty Sanskrit books on the science of pure devotion, including commentaries on Srimad-Bhagavatam, Bhagavad-gita, and the books of the six Gosvamis. His eight prayers to the spiritual master are sung daily by the Gaudiya Vaisnavas.</t>
    </r>
  </si>
  <si>
    <r>
      <rPr>
        <b/>
        <sz val="10"/>
        <rFont val="Verdana"/>
        <family val="2"/>
      </rPr>
      <t>VISVARUPA</t>
    </r>
    <r>
      <rPr>
        <sz val="10"/>
        <rFont val="Verdana"/>
        <family val="2"/>
      </rPr>
      <t xml:space="preserve"> was the elder brother of Lord Caitanya. He is considered a partial expansion of Lord Nityananda. At an early age he left home to take sannyasa. In 1431 he disappeared in Pandarpura in the district of Solapura, India. (See Sri Caitanya- caritamrta, Adi-lila 10.106, 13.74-80, and 15.11-14 and Madhya- lila 9.299-300.)</t>
    </r>
  </si>
  <si>
    <r>
      <rPr>
        <b/>
        <sz val="10"/>
        <rFont val="Verdana"/>
        <family val="2"/>
      </rPr>
      <t>VRNDAVANA DASA THAKURA</t>
    </r>
    <r>
      <rPr>
        <sz val="10"/>
        <rFont val="Verdana"/>
        <family val="2"/>
      </rPr>
      <t xml:space="preserve"> was the author of Sri Caitanya Bhagavata, a great biography of Lord Caitanya Mahaprabhu. He is considered the manifest Vyasadeva of Lord Caitanya's pastimes. He was born shortly after the disappearance of Sri Caitanya Mahaprabhu. At the age of twenty, he accepted formal initiation from Lord Nityananda. It was on Lord Nityananda's order that he wrote Sri Caitanya Bhagavata. (See Sri Caitanya-caritamrta, Adi- lila 8.33-42 and 11.54-55.)</t>
    </r>
  </si>
  <si>
    <r>
      <rPr>
        <b/>
        <sz val="10"/>
        <rFont val="Verdana"/>
        <family val="2"/>
      </rPr>
      <t>ABHIRAMA THAKURA</t>
    </r>
    <r>
      <rPr>
        <sz val="10"/>
        <rFont val="Verdana"/>
        <family val="2"/>
      </rPr>
      <t xml:space="preserve"> fue uno de los predicadores más vigorosos entre los asociados del señor Nityananda Prabhu. En el humor de un vaquero, Sri Abhirama Thakura conducía un látigo llamado Jaya Mangala. El que golpeaba con este látigo, se volvía pleno de Krishna-prema, amor por Dios. Si Abhirama Thakura ofreciera reverencias a cualquier piedra distinta de una shalagrama shila sagrada, ésta estallaría inmediatamente en pedazos. Abhirama Thakura usó su casa para predicar y para servir a los vaishnavas peregrinos. Su casa constantemente resonaba con kirtana y temas de Krishna. (Véase Sri Caitanya-caritamrta, Adi-lila 11.13).</t>
    </r>
  </si>
  <si>
    <r>
      <rPr>
        <b/>
        <sz val="10"/>
        <rFont val="Verdana"/>
        <family val="2"/>
      </rPr>
      <t>ADWAITA ACHARYA</t>
    </r>
    <r>
      <rPr>
        <sz val="10"/>
        <rFont val="Verdana"/>
        <family val="2"/>
      </rPr>
      <t>, un socio íntimo de Sri Caitanya Mahaprabhu, es considerado una encarnación de Sadahiva y Maha-Vishnu. Fue debido a sus súplicas que Sri Caitanya Mahaprabhu descendió a este mundo. Al ver la condición degradada de las personas en Kali-yuga, la Era de las Desavancamientos, Sri Adwaita Acharya adoró al Señor Krishna en las márgenes del Ganges, mojando con su agua la planta tulasi, clamando e implorando al Señor que viniera a librar las almas del sufrimiento. A causa de la pura devoción y compasión de Sri Adwaita Acharya, el Señor Krishna descendió como Sri Caitanya Mahaprabhu. (Véase Sri Caitanya-caritamrta, Adi-lila, Capítulo 6).</t>
    </r>
  </si>
  <si>
    <r>
      <rPr>
        <b/>
        <sz val="10"/>
        <rFont val="Verdana"/>
        <family val="2"/>
      </rPr>
      <t>BALADEVA VIDYABHUSANA</t>
    </r>
    <r>
      <rPr>
        <sz val="10"/>
        <rFont val="Verdana"/>
        <family val="2"/>
      </rPr>
      <t>, el autor del Govinda Bhasya, el primer comentario Gaudiya del Vedanta-sutra, apareció en Remuna, Orissa, a principios de los años 1600. En 1706 fue enviado por Srila Vishvanatha Chakravarti Thakura a Galta (cerca de Jaipur, India) para probar la autenticidad del movimiento de Sri Caitanya Mahaprabhu. Los Ramanandis locales (una filial de Sri vaishnavas) habían criticado que los Gaudiya vaishnavas, no teniendo ningún comentario del Vedanta-sutra, no era una línea de sucesión discipular auténtica, y por lo tanto ellos no tenían ningún derecho de adorar a Govindaji o cualesquiera de las otras Deidades de Vrindavana. Por la gracia de Govindaji, Srila Baladeva Vidyabhushana escribió rápidamente el comentario del Govinda-bhashya. También escribió comentarios de los Upanishads y del Bhagavad-gita.</t>
    </r>
  </si>
  <si>
    <r>
      <rPr>
        <b/>
        <sz val="10"/>
        <rFont val="Verdana"/>
        <family val="2"/>
      </rPr>
      <t>SEÑOR BALARAMA</t>
    </r>
    <r>
      <rPr>
        <sz val="10"/>
        <rFont val="Verdana"/>
        <family val="2"/>
      </rPr>
      <t xml:space="preserve"> es la primera expansión personal del Señor Krishna, la Suprema Personalidad de Dios. Todas las demás encarnaciones se expanden de Él. En los pasatiempos del Señor Krishna, Él juega como el hermano mayor de Krishna. Juntos Krishna y Balarama ejecutan muchos pasatiempos como vaqueros en la tierra de Vrindavana. El Señor Balarama lleva un arado y una manzana y es conocido por su gran fuerza. (Véase Sri Caitanya-caritamrta, Adi-lila, Capítulo 5).</t>
    </r>
  </si>
  <si>
    <r>
      <rPr>
        <b/>
        <sz val="10"/>
        <rFont val="Verdana"/>
        <family val="2"/>
      </rPr>
      <t>BHAKTISIDDHANTA SARASVATI THAKURA</t>
    </r>
    <r>
      <rPr>
        <sz val="10"/>
        <rFont val="Verdana"/>
        <family val="2"/>
      </rPr>
      <t xml:space="preserve"> fue el maestro espiritual de su Divina Gracia A. C. Bhaktivedanta Swami Prabhupada, el Fundador-Acharya de ISKCON. Srila Bhaktisiddhanta Saraswati Thakura extendió las enseñanzas del Señor Caitanya Mahaprabhu poderosamente a principios del siglo veinte. Él predicó fuertemente contra las influencias enraizadas del sistema de castas e impersonalismo. Reuniendo a los estudiantes, pedagogos, y otros líderes y escribiendo más de 108 composiciones y libros, se esforzó para presentar la conciencia de Krishna como una ciencia altamente estimada. Estableció 64 templos, conocidos como Gaudiya Maths, dentro y fuera de la India.</t>
    </r>
  </si>
  <si>
    <r>
      <rPr>
        <b/>
        <sz val="10"/>
        <rFont val="Verdana"/>
        <family val="2"/>
      </rPr>
      <t>A. C. BHAKTIVEDANTA SWAMI PRABHUPADA</t>
    </r>
    <r>
      <rPr>
        <sz val="10"/>
        <rFont val="Verdana"/>
        <family val="2"/>
      </rPr>
      <t xml:space="preserve"> fue el Fundador-Acharya de la Sociedad Internacional para la Conciencia de Krishna. Fue él quien sacó las enseñanzas del Señor Caitanya de la India y las divulgó en todo el mundo. Fue el autor del Bhagavad-gita Como es y muchos otros volúmenes de traducción, comentarios, y instrucción escriturística.</t>
    </r>
  </si>
  <si>
    <r>
      <rPr>
        <b/>
        <sz val="10"/>
        <rFont val="Verdana"/>
        <family val="2"/>
      </rPr>
      <t>BHAKTIVINODA THAKURA</t>
    </r>
    <r>
      <rPr>
        <sz val="10"/>
        <rFont val="Verdana"/>
        <family val="2"/>
      </rPr>
      <t xml:space="preserve"> restableció, al término del decimonoveno siglo, las enseñanzas del señor Caitanya que habían estado perdido o falseado. Él escribió casi cien libros que explican la conciencia de Krishna, desenmascaró pseudo-encarnaciones de Dios y derrotó concepciones erróneas sobre la vida en el camino del servicio devocional. El devoto Srila Bhaktivinoda Thakura era un predicador activo y el diputado magistrado para Jagannatha Puri, Orissa, así como el padre de diez niños. Uno de sus hijos era Srila Bhaktisiddhanta Saraswati Thakura. Los biógrafos dicen que Srila Bhaktivinoda Thakura realizó perfectamente todos sus muchos deberes.</t>
    </r>
  </si>
  <si>
    <r>
      <rPr>
        <b/>
        <sz val="10"/>
        <rFont val="Verdana"/>
        <family val="2"/>
      </rPr>
      <t>BHUGARBHA GOSWAMI</t>
    </r>
    <r>
      <rPr>
        <sz val="10"/>
        <rFont val="Verdana"/>
        <family val="2"/>
      </rPr>
      <t>, junto con su amigo íntimo Lokanatha Goswami, encontró lugares sagrados perdidos situados en Vrindavana por la orden de Sri Caitanya Mahaprabhu. Para evitar distracciones materiales, Bhugarbha Goswami realizaba su adoración a Krishna</t>
    </r>
  </si>
  <si>
    <r>
      <rPr>
        <b/>
        <sz val="10"/>
        <rFont val="Verdana"/>
        <family val="2"/>
      </rPr>
      <t>SEÑOR SRI CHAITANYA MAHAPRABHU</t>
    </r>
    <r>
      <rPr>
        <sz val="10"/>
        <rFont val="Verdana"/>
        <family val="2"/>
      </rPr>
      <t xml:space="preserve"> es el propio Señor Krishna, en la forma de su propio devoto. Él apareció en este mundo para esparcir el amor por Krishna por el cantar congregacional de los santos nombres de Dios. Él apareció en Sridhama Mayapur, Bengala Occidental, en 1486. ​​Sus actividades y enseñanzas se describen en detalle en el libro Enseñanzas del Señor Caitanya y en varios volúmenes del Sri Caitanya-caritamrta (véase también Srimad-Bhagavatam, 11.5.32).</t>
    </r>
  </si>
  <si>
    <r>
      <rPr>
        <b/>
        <sz val="10"/>
        <rFont val="Verdana"/>
        <family val="2"/>
      </rPr>
      <t>DEVANANDA PANDITA</t>
    </r>
    <r>
      <rPr>
        <sz val="10"/>
        <rFont val="Verdana"/>
        <family val="2"/>
      </rPr>
      <t xml:space="preserve"> era un recitador profesional del Srimad-Bhagavatam que se volvió al servicio devocional puro durante la época del Señor Caitanya. Devananda Pandita explicaba el Srimad-Bhagavatam por medio de interpretaciones impersonalistas. Porque él había ofendido a un devoto, él no podía entender la esencia del Bhagavatam - amor y devoción a Krishna. Pero cuando Devananda Pandita sirvió a un devoto avanzado, el Señor Caitanya se quedó satisfecho con él y le reveló el camino de la devoción a Krishna. (Véase Sri Caitanya-caritamrta, Adi-lila 10.77).</t>
    </r>
  </si>
  <si>
    <r>
      <rPr>
        <b/>
        <sz val="10"/>
        <rFont val="Verdana"/>
        <family val="2"/>
      </rPr>
      <t>DHANANJAYA PANDITA</t>
    </r>
    <r>
      <rPr>
        <sz val="10"/>
        <rFont val="Verdana"/>
        <family val="2"/>
      </rPr>
      <t xml:space="preserve"> tomó parte en muchos de los pasatiempos de kirtana del señor Caitanya en Navadvipa. Por orden del Señor Caitanya, viajó y predicó ampliamente la conciencia de Krishna. Él es mencionado en el Sri Caitanya-charitamrita como estando entre los criados íntimos del Señor Nityananda Prabhu. (Véase Sri Caitanya-caritamrta, Adi-lila 11.31).</t>
    </r>
  </si>
  <si>
    <r>
      <rPr>
        <b/>
        <sz val="10"/>
        <rFont val="Verdana"/>
        <family val="2"/>
      </rPr>
      <t>GADADHARA DASA PANDITA</t>
    </r>
    <r>
      <rPr>
        <sz val="10"/>
        <rFont val="Verdana"/>
        <family val="2"/>
      </rPr>
      <t xml:space="preserve"> fue uno de los predicadores principales del señor Nityananda en Bengala. Él influenció a incontables pecadores y ateos a tomar parte en el movimiento de sankirtana. (Véase Sri Caitanya-caritamrta, Adi-lila 10.53).</t>
    </r>
  </si>
  <si>
    <r>
      <rPr>
        <b/>
        <sz val="10"/>
        <rFont val="Verdana"/>
        <family val="2"/>
      </rPr>
      <t>GADADHARA PANDITA</t>
    </r>
    <r>
      <rPr>
        <sz val="10"/>
        <rFont val="Verdana"/>
        <family val="2"/>
      </rPr>
      <t xml:space="preserve"> está entre el grupo conocido como el Panca-tattva, siendo uno de los cuatro asociados más íntimos del Señor Caitanya Mahaprabhu, Gadadhara Pandita pasó la mayor parte de su vida en Jagannatha Puri adorando la Deidad de Tota-Gopinatha que todavía es adorada en Puri . Gadadhara Pandita es considerada una encarnación de Srimati Radharani, la consorte eterna de Sri Krishna. (Véase Sri Caitanya-caritamrta, Adi-lila 10.15 y 16.130-148).</t>
    </r>
  </si>
  <si>
    <r>
      <rPr>
        <b/>
        <sz val="10"/>
        <rFont val="Verdana"/>
        <family val="2"/>
      </rPr>
      <t>GANGAMATA GOSWAMINI</t>
    </r>
    <r>
      <rPr>
        <sz val="10"/>
        <rFont val="Verdana"/>
        <family val="2"/>
      </rPr>
      <t xml:space="preserve"> era la hija del Rey Naresha Narayana de Bengala. Desde la infancia, ella mostró profunda devoción a Krishna. Rechazando casarse y renunciando a su reino, ella fue en busca de un gurú auténtico. En Vrindavana, aceptó a Haridasa Pandita como su gurú y tomó instrucciones de él. Ejecutando severas austeridades, usaba sólo trapos e imploraba por alimento de puerta en puerta. Por orden de su maestro espiritual, fue a Jagannatha Puri, donde se convirtió en una gran predicadora y gurú. Cientos de personas asistían a sus discursos sobre el Srimad-Bhagavatam, y muchas personas, incluso brahmanas, los sacerdotes del Señor Jagannatha, e incluso el rey, la aceptaron como su maestro espiritual.</t>
    </r>
  </si>
  <si>
    <r>
      <rPr>
        <b/>
        <sz val="10"/>
        <rFont val="Verdana"/>
        <family val="2"/>
      </rPr>
      <t>GAURIDASA PANDITA</t>
    </r>
    <r>
      <rPr>
        <sz val="10"/>
        <rFont val="Verdana"/>
        <family val="2"/>
      </rPr>
      <t xml:space="preserve"> es considerado el emblema del amoroso servicio devocional más elevado a Dios. Él sacrificó todo por el servicio del Señor Nityananda. El Señor Caitanya y el Señor Nityananda aparecieron personalmente como formas de Deidad en su casa. (Véase Sri Caitanya-caritamrta, Adi-lila 11.26-27).</t>
    </r>
  </si>
  <si>
    <r>
      <rPr>
        <b/>
        <sz val="10"/>
        <rFont val="Verdana"/>
        <family val="2"/>
      </rPr>
      <t>GAURAKISHORA DASA BABAJI MAHARAJA</t>
    </r>
    <r>
      <rPr>
        <sz val="10"/>
        <rFont val="Verdana"/>
        <family val="2"/>
      </rPr>
      <t>, el maestro espiritual de Srila Bhaktisiddhanta Saraswati Thakura, apareció a principios del siglo XIX. Vive una vida estrictamente renunciada como un bhajananandi, o aquel que realiza adoración solitaria. Él estaba íntimamente asociado con Srila Bhaktivinoda Thakura, a quien él respetaba como su maestro espiritual.</t>
    </r>
  </si>
  <si>
    <r>
      <rPr>
        <b/>
        <sz val="10"/>
        <rFont val="Verdana"/>
        <family val="2"/>
      </rPr>
      <t>GOPALA BHATTA GOSWAMI</t>
    </r>
    <r>
      <rPr>
        <sz val="10"/>
        <rFont val="Verdana"/>
        <family val="2"/>
      </rPr>
      <t>, uno de los seis Goswamis de Vrindavana, como un joven niño recibió la misericordia del Señor Caitanya. Mientras visitaba el sur de la India, el señor Caitanya se quedó cuatro meses en la casa de Gopala Bhatta. A continuación, Gopala Bhatta Goswami se unió al movimiento de sankirtana del Señor Caitanya. Él probó ser un experto en los reglamentos escriturales vaishnavas, escribió libros vaishnava y estableció el templo de Sri Sri Radha-Ramana en Vrindavana. (Véase Sri Caitanya-caritamrta, Adi-lila 10.105).</t>
    </r>
  </si>
  <si>
    <r>
      <rPr>
        <b/>
        <sz val="10"/>
        <rFont val="Verdana"/>
        <family val="2"/>
      </rPr>
      <t>GOUR GOVINDA SWAMI MAHARAJA</t>
    </r>
    <r>
      <rPr>
        <sz val="10"/>
        <rFont val="Verdana"/>
        <family val="2"/>
      </rPr>
      <t>, un discípulo de su Divina Gracia A. C. Bhaktivedanta Swami Prabhupada, divulgó la conciencia de Krishna a lo largo de Orissa. Tradujo muchos de los libros de Srila Prabhupada en Oriya, trabajó para establecer un gran templo de ISKCON en Bhubaneswar, viajó y enseñó la conciencia de Krishna por el mundo, y trajo a muchas personas a los pies de loto de Srila Prabhupada y Krishna. Se partió de este mundo en 1996 en Sridhama Mayapur, el día de la aparición de Srila Bhaktisiddhanta Saraswati Thakura, durante la celebración del centenario del nacimiento de su Divina Gracia A. C. Bhaktivedanta Swami Prabhupada.</t>
    </r>
  </si>
  <si>
    <r>
      <rPr>
        <b/>
        <sz val="10"/>
        <rFont val="Verdana"/>
        <family val="2"/>
      </rPr>
      <t>GOVINDA GHOSH</t>
    </r>
    <r>
      <rPr>
        <sz val="10"/>
        <rFont val="Verdana"/>
        <family val="2"/>
      </rPr>
      <t>, un socio íntimo del Señor Caitanya, era conocido por sus dulces kirtanas en Jagannatha Puri en los festivales anuales de Ratha-yatra. El Señor Caitanya empezaba a bailar inmediatamente cuando Govinda Ghosh cantaba. Govinda Ghosh y sus hermanos Vasudeva y Madhava son los asociados eternos del Señor Caitanya y del Señor Nityananda Prabhu. (Véase Sri Caitanya-caritamrta, Adi-lila 10.115, 11.14-15, y 11.88).</t>
    </r>
  </si>
  <si>
    <r>
      <rPr>
        <b/>
        <sz val="10"/>
        <rFont val="Verdana"/>
        <family val="2"/>
      </rPr>
      <t>HARIDASA THAKURA</t>
    </r>
    <r>
      <rPr>
        <sz val="10"/>
        <rFont val="Verdana"/>
        <family val="2"/>
      </rPr>
      <t xml:space="preserve"> es considerado el namacharya, el maestro espiritual del canto de los santos nombres de Krishna. Aunque él había nacido en una familia musulmana, los devotos del Señor Caitanya lo respetaban como siendo mejor que el mejor de los brahmanas. Él no comía o dormía hasta que terminara su cuota diaria del canto de los nombres de Krishna 300.000 veces. Junto con el señor Nityananda, Haridasa Thakura extendió el canto del nombre de Krishna en toda Bengala. En Jagannatha Puri, donde Haridasa Thakura pasó sus últimos días, el Señor Caitanya le enviaba regularmente prasadam y discutía con él tópicos de Krishna. Haridasa Thakura murió mientras cantaba el nombre de Krishna en presencia de Sri Caitanya Mahaprabhu. Después de la muerte de Haridasa Thakura, el Señor Caitanya llevó su cuerpo al mar y con Sus propias manos lo enterró en la arena. (Véase Sri Caitanya-caritamrta, Adi-lila 10.43-47 y Antya-lila, capítulos 3 y 11).</t>
    </r>
  </si>
  <si>
    <r>
      <rPr>
        <b/>
        <sz val="10"/>
        <rFont val="Verdana"/>
        <family val="2"/>
      </rPr>
      <t>ISHWARA PURI</t>
    </r>
    <r>
      <rPr>
        <sz val="10"/>
        <rFont val="Verdana"/>
        <family val="2"/>
      </rPr>
      <t xml:space="preserve"> fue el maestro espiritual de Sri Caitanya Mahaprabhu. Aunque el Señor Caitanya, el Señor Supremo, no necesitaba un maestro espiritual, aceptó a Srila Ishwara Puri como su gurú para establecer la importancia de aceptar un maestro espiritual. (Véase Sri Caitanya-caritamrta, Adi-lila 9.11).</t>
    </r>
  </si>
  <si>
    <r>
      <rPr>
        <b/>
        <sz val="10"/>
        <rFont val="Verdana"/>
        <family val="2"/>
      </rPr>
      <t>JAGADISHA PANDITA</t>
    </r>
    <r>
      <rPr>
        <sz val="10"/>
        <rFont val="Verdana"/>
        <family val="2"/>
      </rPr>
      <t xml:space="preserve"> vivió cerca de Jagannatha Mishra, el padre del Señor Caitanya, en Sridhama Mayapur. Jagadisha Pandita ayudó al Señor Caitanya a divulgar el movimiento de sankirtana (canto congregacional del nombre de Krishna) en Jagannatha Puri. (Véase Sri Caitanya-caritamrta, Adi-lila 11.30).</t>
    </r>
  </si>
  <si>
    <r>
      <rPr>
        <b/>
        <sz val="10"/>
        <rFont val="Verdana"/>
        <family val="2"/>
      </rPr>
      <t>JAGANNATHA DASA BABAJI MAHARAJA</t>
    </r>
    <r>
      <rPr>
        <sz val="10"/>
        <rFont val="Verdana"/>
        <family val="2"/>
      </rPr>
      <t>, el maestro espiritual de Srila Bhaktivinoda Thakura, confirmó el descubrimiento de Srila Bhaktivinoda Thakura del lugar de nacimiento del Señor Caitanya. Al llegar al lugar de nacimiento, Jagannatha Dasa Babaji Maharaja, aunque ciego y lisiado, saltó muy alto en el aire y comenzó a cantar los nombres de Krishna ya bailar.</t>
    </r>
  </si>
  <si>
    <r>
      <rPr>
        <b/>
        <sz val="10"/>
        <rFont val="Verdana"/>
        <family val="2"/>
      </rPr>
      <t>JAGANNATHA MISHRA</t>
    </r>
    <r>
      <rPr>
        <sz val="10"/>
        <rFont val="Verdana"/>
        <family val="2"/>
      </rPr>
      <t xml:space="preserve"> apareció como el padre del señor Caitanya Mahaprabhu. (Véase Sri Caitanya-caritamrta, Adi-lila, capítulo 13).</t>
    </r>
  </si>
  <si>
    <r>
      <rPr>
        <b/>
        <sz val="10"/>
        <rFont val="Verdana"/>
        <family val="2"/>
      </rPr>
      <t>JAHNAVA MATA</t>
    </r>
    <r>
      <rPr>
        <sz val="10"/>
        <rFont val="Verdana"/>
        <family val="2"/>
      </rPr>
      <t xml:space="preserve"> era la esposa del señor Nityananda Prabhu. Especialmente después de la desaparición del Señor Caitanya y del Señor Nityananda, se convirtió en una figura principal en el movimiento de sankirtana.</t>
    </r>
  </si>
  <si>
    <r>
      <rPr>
        <b/>
        <sz val="10"/>
        <rFont val="Verdana"/>
        <family val="2"/>
      </rPr>
      <t>JAYADEVA GOSWAMI</t>
    </r>
    <r>
      <rPr>
        <sz val="10"/>
        <rFont val="Verdana"/>
        <family val="2"/>
      </rPr>
      <t xml:space="preserve"> es el autor del Gita-govinda, un poema sobre los pasatiempos de Sri Sri Radha Krishna. Él apareció 300 años antes del advenimiento del Señor Caitanya. El Señor Caitanya apreciaba oír al Gita-govinda cantado por sus asociados íntimos. Hasta hoy el poema es recitado diariamente en el templo del Señor Jagannatha en Jagannatha Puri, Orissa. Jayadeva Goswami también es el autor del famoso Dashavatara Stotra.</t>
    </r>
  </si>
  <si>
    <r>
      <rPr>
        <b/>
        <sz val="10"/>
        <rFont val="Verdana"/>
        <family val="2"/>
      </rPr>
      <t>JAYANANDA PRABHU</t>
    </r>
    <r>
      <rPr>
        <sz val="10"/>
        <rFont val="Verdana"/>
        <family val="2"/>
      </rPr>
      <t xml:space="preserve"> era un discípulo dedicado de Srila Prabhupada que le ayudó a introducir el festival de Ratha-yatra en Estados Unidos.</t>
    </r>
  </si>
  <si>
    <r>
      <rPr>
        <b/>
        <sz val="10"/>
        <rFont val="Verdana"/>
        <family val="2"/>
      </rPr>
      <t>JIVA GOSWAMI</t>
    </r>
    <r>
      <rPr>
        <sz val="10"/>
        <rFont val="Verdana"/>
        <family val="2"/>
      </rPr>
      <t>, el sobrino y discípulo de Srila Rupa Goswami, era uno de los seis Goswamis de Vrindavana. Después de la desaparición de Rupa Goswami y Sanatana Goswami, Sri Jiva Goswami se convirtió en el principal acharya para la comunidad vaishnava. Srila Jiva Goswami fue el mayor y más prolífico estudiante de su tiempo. Él compuso medio millón de versos en sánscrito sobre la ciencia de la devoción y las glorias de Krishna. (Véase Sri Caitanya-caritamrta, Adi-lila 10.85).</t>
    </r>
  </si>
  <si>
    <r>
      <rPr>
        <b/>
        <sz val="10"/>
        <rFont val="Verdana"/>
        <family val="2"/>
      </rPr>
      <t>KALIYA KRISHNADASA</t>
    </r>
    <r>
      <rPr>
        <sz val="10"/>
        <rFont val="Verdana"/>
        <family val="2"/>
      </rPr>
      <t xml:space="preserve"> es mencionado como siendo un discípulo de Gauridasa Pandita.</t>
    </r>
  </si>
  <si>
    <r>
      <rPr>
        <b/>
        <sz val="10"/>
        <rFont val="Verdana"/>
        <family val="2"/>
      </rPr>
      <t>KASISVARA PANDITA</t>
    </r>
    <r>
      <rPr>
        <sz val="10"/>
        <rFont val="Verdana"/>
        <family val="2"/>
      </rPr>
      <t xml:space="preserve"> sirvió como el guardaespaldas del señor Caitanya en Jagannatha Puri. Otro servicio de él era distribuir prasadam después del kirtana. (Véase Sri Caitanya-caritamrta, Adi-lila 8.66).</t>
    </r>
  </si>
  <si>
    <r>
      <rPr>
        <b/>
        <sz val="10"/>
        <rFont val="Verdana"/>
        <family val="2"/>
      </rPr>
      <t>SEÑOR SRI KRISHNA</t>
    </r>
    <r>
      <rPr>
        <sz val="10"/>
        <rFont val="Verdana"/>
        <family val="2"/>
      </rPr>
      <t xml:space="preserve"> es la Verdad Absoluta, la forma original de la Suprema Personalidad de Dios. Las palabras del Bhagavad-gita son las instrucciones habladas por Él, y el Srimad-Bhagavatam entero describe Sus glorias. (También vea el estudio sumario del Décimo Canto del Srimad-Bhagavatam titulado Krishna, la Suprema Personalidad de Dios).</t>
    </r>
  </si>
  <si>
    <r>
      <rPr>
        <b/>
        <sz val="10"/>
        <rFont val="Verdana"/>
        <family val="2"/>
      </rPr>
      <t>LOCANA DASA THAKURA</t>
    </r>
    <r>
      <rPr>
        <sz val="10"/>
        <rFont val="Verdana"/>
        <family val="2"/>
      </rPr>
      <t>, un discípulo de Narahari Sharakara Thakura, escribió muchas canciones bengalíes que glorifican al Señor Caitanya. Su trabajo poético más famoso es el Chaitanya-mangala, una representación de la vida del Señor Caitanya. (Véase Sri Caitanya-caritamrta, Adi-lila 10.78-79).</t>
    </r>
  </si>
  <si>
    <r>
      <rPr>
        <b/>
        <sz val="10"/>
        <rFont val="Verdana"/>
        <family val="2"/>
      </rPr>
      <t>LOKANATHA GOSWAMI</t>
    </r>
    <r>
      <rPr>
        <sz val="10"/>
        <rFont val="Verdana"/>
        <family val="2"/>
      </rPr>
      <t xml:space="preserve"> era un asociado personal del señor Caitanya. El Señor Caitanya ordenó que él y Bhugarbha Goswami encontrar los lugares santos perdidos de Vrindavana. Años después, los seis Goswamis llegaron a Vrindavana y continuaron este trabajo. Lokanatha Goswami construyó el templo de Radha-Gokulananda en Vrindavana. Srila Narottama Thakura daa fue su único discípulo. (Véase Sri Caitanya-caritamrta, Madhya-lila 18.49).</t>
    </r>
  </si>
  <si>
    <r>
      <rPr>
        <b/>
        <sz val="10"/>
        <rFont val="Verdana"/>
        <family val="2"/>
      </rPr>
      <t>MADHAVENDRA PURI</t>
    </r>
    <r>
      <rPr>
        <sz val="10"/>
        <rFont val="Verdana"/>
        <family val="2"/>
      </rPr>
      <t xml:space="preserve"> era el maestro espiritual del maestro espiritual del Señor Caitanya Mahaprabhu. Srila Madhavendra Puri estableció la adoración de la Deidad de Gopala que hoy es adorada como Srinathaji. (Véase Sri Caitanya-caritamrta, Madhya-lila, capítulo 4).</t>
    </r>
  </si>
  <si>
    <r>
      <rPr>
        <b/>
        <sz val="10"/>
        <rFont val="Verdana"/>
        <family val="2"/>
      </rPr>
      <t>MADHU PANDITA</t>
    </r>
    <r>
      <rPr>
        <sz val="10"/>
        <rFont val="Verdana"/>
        <family val="2"/>
      </rPr>
      <t>, un discípulo de Sri Gadadhara Pandita, estableció el templo de Gopinatha en Vrindavana, India. Antes de Srinivasa Acharya, Narottama dasa Thakura, y Syamananda Prabhu fueron a buscar los libros de los Goswamis de Vrindavana para Bengala, Madhu Pandita bendijo a Srinivasa Acharya con una guirnalda de Sri Gopinatha. (Véase Sri Caitanya-caritamrta, Adi-lila 12.88).</t>
    </r>
  </si>
  <si>
    <r>
      <rPr>
        <b/>
        <sz val="10"/>
        <rFont val="Verdana"/>
        <family val="2"/>
      </rPr>
      <t>MADHVACHARYA</t>
    </r>
    <r>
      <rPr>
        <sz val="10"/>
        <rFont val="Verdana"/>
        <family val="2"/>
      </rPr>
      <t xml:space="preserve"> es el principal acharya, o instructor espiritual, en la Brahma-sampradaya, sucesión discipular vaishnava, de la cual la Gaudiya-sampradaya desciende. Él nació en Udupi, sur de la India, a principios del siglo trece. A la edad de cinco años, él tomó la iniciación, y con doce años dejó la casa para tomar sannyasa. Madhvacharya estudió los Vedas bajo la guía del compilador de los Vedas, Vyasadeva, en los Himalayas. El comentario del Vedanta-sutra de Madhvacharya - Purnaprajna-bhasya - establece la doctrina conocida como Suddha-dvaita-vada. Madhva usó su erudición para aplastar la filosofía Mayavada (impersonalista) y establecer el servicio devocional a la Suprema Personalidad de Dios. (Véase Sri Caitanya-caritamrta, Madhya-lila 9.245).</t>
    </r>
  </si>
  <si>
    <r>
      <rPr>
        <b/>
        <sz val="10"/>
        <rFont val="Verdana"/>
        <family val="2"/>
      </rPr>
      <t>MAHESHA PANDITA</t>
    </r>
    <r>
      <rPr>
        <sz val="10"/>
        <rFont val="Verdana"/>
        <family val="2"/>
      </rPr>
      <t xml:space="preserve"> era uno de los doce gopalas que eran los asociados íntimos del Señor Nityananda. Él viajó y predicó con el Señor Nityananda. (Véase Sri Caitanya-caritamrta, Adi-lila 11.32).</t>
    </r>
  </si>
  <si>
    <r>
      <rPr>
        <b/>
        <sz val="10"/>
        <rFont val="Verdana"/>
        <family val="2"/>
      </rPr>
      <t>MUKUNDA DATTA</t>
    </r>
    <r>
      <rPr>
        <sz val="10"/>
        <rFont val="Verdana"/>
        <family val="2"/>
      </rPr>
      <t>, el hijo de Vasudeva Datta, era un compañero del Señor Caitanya. Mukunda Datta tenía una voz melodiosa, y sabía las complejidades de las métricas musicales y ragas. El Señor Caitanya tomó sannyasa entre el kirtana de Mukunda Datta. (Véase Sri Caitanya-caritamrta, Adi-lila 10.40 y 17.65 y Madhya-lila 11.137-140).</t>
    </r>
  </si>
  <si>
    <r>
      <rPr>
        <b/>
        <sz val="10"/>
        <rFont val="Verdana"/>
        <family val="2"/>
      </rPr>
      <t>MURARI GUPTA</t>
    </r>
    <r>
      <rPr>
        <sz val="10"/>
        <rFont val="Verdana"/>
        <family val="2"/>
      </rPr>
      <t xml:space="preserve"> era un asociado eterno del Señor Caitanya. Él sirvió al Señor Caitanya en todos los pasatiempos del Señor en Navadvipa. A través de la profesión de médico, Murari Gupta no sólo liberaba a sus pacientes de las enfermedades físicas, sino también de la contaminación de la energía material. Murari Gupta es considerado una encarnación de Hanuman, el criado eterno del Señor Ramachandra. (Véase Sri Caitanya-caritamrta, Adi-lila 10.49-51 y Madhya-lila 15.137-157).</t>
    </r>
  </si>
  <si>
    <r>
      <rPr>
        <b/>
        <sz val="10"/>
        <rFont val="Verdana"/>
        <family val="2"/>
      </rPr>
      <t>NARAHARI SARAKARA</t>
    </r>
    <r>
      <rPr>
        <sz val="10"/>
        <rFont val="Verdana"/>
        <family val="2"/>
      </rPr>
      <t xml:space="preserve"> era un asociado personal del señor Caitanya. Él servía frecuentemente al Señor, sacudiéndole con un camara. Él también era un gran estudiante y poeta. Sus libros Padakalpataru y Krishna-bhajanamrita incluyen dulces canciones que alaban al Señor Caitanya y al Señor Nityananda. El célebre Locana dasa Thakura fue su discípulo. (Véase Sri Caitanya-caritamrta, Adi-lila 10.78-79).</t>
    </r>
  </si>
  <si>
    <r>
      <rPr>
        <b/>
        <sz val="10"/>
        <rFont val="Verdana"/>
        <family val="2"/>
      </rPr>
      <t>NAROTTAMA DASA THAKURA</t>
    </r>
    <r>
      <rPr>
        <sz val="10"/>
        <rFont val="Verdana"/>
        <family val="2"/>
      </rPr>
      <t xml:space="preserve"> fue el principal acharya en la línea Gaudiya vaishnava. Él era el único discípulo de Srila Lokanatha Goswami. Srila Narottama Dasa Thakura ayudó a llevar los libros de los Goswamis de Vrindavana a Bengala y Orissa. En Kheturi, Bengala, inauguró el primer festival de Gaura Purnima tras la desaparición de Sri Caitanya Mahaprabhu. Él es muy famoso por su Prarthana, una composición de treinta y tres canciones bengalíes.</t>
    </r>
  </si>
  <si>
    <r>
      <rPr>
        <b/>
        <sz val="10"/>
        <rFont val="Verdana"/>
        <family val="2"/>
      </rPr>
      <t>NIMBARKACARYA</t>
    </r>
    <r>
      <rPr>
        <sz val="10"/>
        <rFont val="Verdana"/>
        <family val="2"/>
      </rPr>
      <t xml:space="preserve"> era el más prominente acharya en la Kumara sampradaya, una de las cuatro líneas principales de maestros y discípulos vaishnavas. Su comentario Vedanta-sutra - Parijata-saurabha-bhasya - establece la doctrina conocida como Dwaitadwaita-vada. Él predicó la conciencia de Krishna aproximadamente 300 años antes del advenimiento de Sri Caitanya Mahaprabhu.</t>
    </r>
  </si>
  <si>
    <r>
      <rPr>
        <b/>
        <sz val="10"/>
        <rFont val="Verdana"/>
        <family val="2"/>
      </rPr>
      <t>SEÑOR NITYANANDA PRABHU</t>
    </r>
    <r>
      <rPr>
        <sz val="10"/>
        <rFont val="Verdana"/>
        <family val="2"/>
      </rPr>
      <t xml:space="preserve"> apareció como el asociado principal del Señor Caitanya para esparcir el canto congregacional de los santos nombres del Señor. Él divulgó especialmente el santo nombre del Señor en toda Bengala. Él es considerado una encarnación del Señor Balarama. (Véase Sri Caitanya-caritamrta, Adi-lila, capítulo 5).</t>
    </r>
  </si>
  <si>
    <r>
      <rPr>
        <b/>
        <sz val="10"/>
        <rFont val="Verdana"/>
        <family val="2"/>
      </rPr>
      <t>PARAMESVARI DASA THAKURA</t>
    </r>
    <r>
      <rPr>
        <sz val="10"/>
        <rFont val="Verdana"/>
        <family val="2"/>
      </rPr>
      <t>, también conocido como Parashwara Thakura, era un asociado íntimo del Señor Nityananda Prabhu. (Véase Sri Caitanya-caritamrta, Adi-lila 11.29).</t>
    </r>
  </si>
  <si>
    <r>
      <rPr>
        <b/>
        <sz val="10"/>
        <rFont val="Verdana"/>
        <family val="2"/>
      </rPr>
      <t>PUNDARIKA VIDYANIDHI</t>
    </r>
    <r>
      <rPr>
        <sz val="10"/>
        <rFont val="Verdana"/>
        <family val="2"/>
      </rPr>
      <t xml:space="preserve"> era un discípulo de Madhavendra Puri y el gurú de Sri Gadadhara Pandita. Pundarika Vidyanidhi a veces era mal entendido por ser muy fijo en placeres materiales, pero sólo oyendo la recitación de un verso del Bhagavatam él entraba en trance. En los pasatiempos de Krishna, él fue Vrishabhanu, el padre de Srimati Radharani. (Véase Sri Caitanya-caritamrta, Adi-lila 10.14 y Madhya-lila 16.76-81).</t>
    </r>
  </si>
  <si>
    <r>
      <rPr>
        <b/>
        <sz val="10"/>
        <rFont val="Verdana"/>
        <family val="2"/>
      </rPr>
      <t>PURUSOTTAMA DASA THAKURA</t>
    </r>
    <r>
      <rPr>
        <sz val="10"/>
        <rFont val="Verdana"/>
        <family val="2"/>
      </rPr>
      <t xml:space="preserve"> era un gran devoto del Señor Nityananda. En Goloka Vrindavana, Purushottama Dasa Thakura sirve al señor Balarama como un vaquero. (Véase Sri Caitanya-caritamrta, Adi-lila 11.38-40).</t>
    </r>
  </si>
  <si>
    <r>
      <rPr>
        <b/>
        <sz val="10"/>
        <rFont val="Verdana"/>
        <family val="2"/>
      </rPr>
      <t>SRIMATI RADHARANI</t>
    </r>
    <r>
      <rPr>
        <sz val="10"/>
        <rFont val="Verdana"/>
        <family val="2"/>
      </rPr>
      <t xml:space="preserve"> es la consorte eterna del Señor Sri Krishna, la Suprema Personalidad de Dios. Ella es la potencia de placer interior del Señor. (Véase Sri Caitanya-caritamrta, Adi-lila, capítulo 4).</t>
    </r>
  </si>
  <si>
    <r>
      <rPr>
        <b/>
        <sz val="10"/>
        <rFont val="Verdana"/>
        <family val="2"/>
      </rPr>
      <t>RAGHUNANDANA THAKURA</t>
    </r>
    <r>
      <rPr>
        <sz val="10"/>
        <rFont val="Verdana"/>
        <family val="2"/>
      </rPr>
      <t xml:space="preserve"> era el hijo del gran devoto Mukunda Dasa. (Véase Sri Caitanya-caritamrta, Adi-lila 10.78-79).</t>
    </r>
  </si>
  <si>
    <r>
      <rPr>
        <b/>
        <sz val="10"/>
        <rFont val="Verdana"/>
        <family val="2"/>
      </rPr>
      <t>RAGHUNATHA BHATTA GOSWAMI</t>
    </r>
    <r>
      <rPr>
        <sz val="10"/>
        <rFont val="Verdana"/>
        <family val="2"/>
      </rPr>
      <t>, uno de los seis Goswamis de Vrindavana, fue ordenado por el Señor Caitanya a ir a Vrindavana y allí constantemente cantaba el mantra Hare Krishna y hacía la lectura del Srimad-Bhagavatam. Diariamente en Vrindavana, él cantaba dulcemente los versos del Bhagavatam para los residentes locales. Sus lágrimas de puro amor mojaban las páginas del Bhagavatam a medida que cantaba. Raghunatha Bhatta Goswami nunca criticó a alguien. Él creía que todos los vaishnavas están sinceramente sirviendo a Krishna de acuerdo con su realización, y por lo tanto, se debe descuidar sus faltas. Bajo su inspiración, un discípulo rico construyó el templo para las Deidades de Radha-Govinda en Vrindavana. (Véase Sri Caitanya-caritamrta, Adi-lila 10.152-158).</t>
    </r>
  </si>
  <si>
    <r>
      <rPr>
        <b/>
        <sz val="10"/>
        <rFont val="Verdana"/>
        <family val="2"/>
      </rPr>
      <t>RAGHUNATHA DASA GOSWAMI</t>
    </r>
    <r>
      <rPr>
        <sz val="10"/>
        <rFont val="Verdana"/>
        <family val="2"/>
      </rPr>
      <t>, uno de los seis Goswamis, en una edad joven renunció a su hermosa esposa y casa opulenta para unirse al señor Caitanya ya su movimiento de sankirtana. Durante dieciséis años, él fue el asistente personal del secretario del señor Caitanya, Swarupa Damodara. Junto con Swarupa Damodara, él testificó los últimos días del Señor Caitanya. Después de la desaparición del Señor, fue a Vrindavana, donde vivió austeramente, absorto en devoción, en la compañía de Srila Rupa Goswami y Srila Sanatana Goswami. (Véase Sri Caitanya-caritamrta, Adi-lila 10.91-103 y Antya-lila, capítulo 6).</t>
    </r>
  </si>
  <si>
    <r>
      <rPr>
        <b/>
        <sz val="10"/>
        <rFont val="Verdana"/>
        <family val="2"/>
      </rPr>
      <t>SEÑOR SRI RAMACHANDRA</t>
    </r>
    <r>
      <rPr>
        <sz val="10"/>
        <rFont val="Verdana"/>
        <family val="2"/>
      </rPr>
      <t xml:space="preserve"> es una encarnación poderosa de la Suprema Personalidad de Dios como un rey ideal. Él apareció en Treta-yuga, hace más de dos millones de años. Bajo el orden de su padre, Maharaja Dasharatha, el Señor Ramachandra vivió en el bosque de Dandakaranya durante catorce años, junto a su esposa, Sita Devi, y su hermano menor, Lakshmana. Después que el poderoso demonio Ravana secuestró a su esposa, el Señor Ramachandra, con la ayuda de su fiel siervo Hanuman, regresó y mató a Ravana junto con los ejércitos de Ravana. La historia de los pasatiempos del Señor Ramachandra es recontada por el sabio Valmiki en Su Ramayana. (También vea Srimad-Bhagavatam 1.3.22, 2.7.23-25, 5.19.1-8 y Esquina Nueve, capítulos 10 y 11).</t>
    </r>
  </si>
  <si>
    <r>
      <rPr>
        <b/>
        <sz val="10"/>
        <rFont val="Verdana"/>
        <family val="2"/>
      </rPr>
      <t>RAMACHANDRA KAVIRAJA</t>
    </r>
    <r>
      <rPr>
        <sz val="10"/>
        <rFont val="Verdana"/>
        <family val="2"/>
      </rPr>
      <t xml:space="preserve"> fue un discípulo de Srila Srinivasa Acharya y un amigo íntimo de Srila Narottama daa Thakura. Él predicó ampliamente las glorias del santo nombre del Señor Krishna e inició muchos discípulos en el servicio del Señor Caitanya. (Véase Sri Caitanya-caritamrta, Adi-lila 11.51).</t>
    </r>
  </si>
  <si>
    <r>
      <rPr>
        <b/>
        <sz val="10"/>
        <rFont val="Verdana"/>
        <family val="2"/>
      </rPr>
      <t>RAMANANDA RAYA</t>
    </r>
    <r>
      <rPr>
        <sz val="10"/>
        <rFont val="Verdana"/>
        <family val="2"/>
      </rPr>
      <t xml:space="preserve"> fue uno de los asociados más íntimos del Señor Caitanya Mahaprabhu. El Señor Caitanya Mahaprabhu discutía con él los tópicos más confidenciales de la conciencia de Krishna, y, en compañía de él, el Señor Caitanya apreciaba los sentimientos más profundos del servicio devocional. (Véase Sri Caitanya-caritamrta, Adi-lila 10.134, Madhya-lila 7.62-67, Madhya-lila capítulo 8, y Antya-lila capítulo 5).</t>
    </r>
  </si>
  <si>
    <r>
      <rPr>
        <b/>
        <sz val="10"/>
        <rFont val="Verdana"/>
        <family val="2"/>
      </rPr>
      <t>RAMANUJACHARYA</t>
    </r>
    <r>
      <rPr>
        <sz val="10"/>
        <rFont val="Verdana"/>
        <family val="2"/>
      </rPr>
      <t xml:space="preserve"> (1017-1137) fue el principal acharya en la Sri-sampradaya, una de las cuatro líneas principales de maestros y discípulos vaishnavas. Su comentario del Vedanta-sutra - Sri-bhasya - establece la cualificada doctrina conocida como Vishishtadvaita, no dualismo. Un fuerte proponente de la filosofía del personalismo, enseñó que aunque el Señor Supremo y las almas individuales son cualitativamente unos, todavía hay una diferencia entre ellos, porque el Señor es infinito y las entidades vivas son infinitesimales. Srila Ramanujacharya viajó extensivamente a lo largo de la India, enseñando el personalismo y derrotando a los proponentes de la filosofía monista. Fundó setenta y cuatro centros de Sri Vaishnavism e inició setecientos sannyíes (monjes renunciados), doce mil brahmacharis (estudiantes célibes), y miles de jefes de familias, incluso los reyes y propietarios de tierras acomodadas.</t>
    </r>
  </si>
  <si>
    <r>
      <rPr>
        <b/>
        <sz val="10"/>
        <rFont val="Verdana"/>
        <family val="2"/>
      </rPr>
      <t>RASIKANANDA PRABHU</t>
    </r>
    <r>
      <rPr>
        <sz val="10"/>
        <rFont val="Verdana"/>
        <family val="2"/>
      </rPr>
      <t xml:space="preserve"> predicó la conciencia de Krishna en Orissa del norte después de la desaparición del Señor Caitanya. Fue el principal discípulo de Shyamananda Goswami.</t>
    </r>
  </si>
  <si>
    <r>
      <rPr>
        <b/>
        <sz val="10"/>
        <rFont val="Verdana"/>
        <family val="2"/>
      </rPr>
      <t>RUPA GOSWAMI</t>
    </r>
    <r>
      <rPr>
        <sz val="10"/>
        <rFont val="Verdana"/>
        <family val="2"/>
      </rPr>
      <t xml:space="preserve"> es conocido como bhakti-rasacharya, el experto en los gustos del puro servicio devocional. Él y su hermano mayor, Srila Sanatana Goswami, abandonaron altos puestos en el gobierno de Nawab Hussein Shah para unirse a Sri Caitanya Mahaprabhu. Autorizado por el Señor Caitanya, Srila Rupa Goswami escribió muchos libros sobre la ciencia de la conciencia de Krishna. Un estudio sumario de su Bhakti-rasamrita-sindhu está disponible como El Néctar de la Devoción, y su Upadeshamrita se encuentra disponible como El néctar de la instrucción. (Véase Sri Caitanya-caritamrta, Adi-lila 10.84, Madhya-lila 1.36-41, Madhya-lila capítulo 19, y Antya-lila capítulo 1).</t>
    </r>
  </si>
  <si>
    <r>
      <rPr>
        <b/>
        <sz val="10"/>
        <rFont val="Verdana"/>
        <family val="2"/>
      </rPr>
      <t>SANATANA GOSWAMI</t>
    </r>
    <r>
      <rPr>
        <sz val="10"/>
        <rFont val="Verdana"/>
        <family val="2"/>
      </rPr>
      <t>, el hermano mayor de Srila Rupa Goswami, era el mayor de los seis Goswamis de Vrindavana. En Varanasi, el Señor Caitanya Mahaprabhu lo instruyó en detalles sobre la ciencia del servicio devocional. El Señor Caitanya envió a Srila Sanatana Goswami a Vrindavana y le dio una misión cuádruple: descubrir los lugares perdidos de los pasatiempos de Krishna, instalar Deidades del Señor y organizar para su adoración, escribir libros sobre la conciencia de Krishna, y enseñar las reglas de la vida devocional . Srila Sanatana Goswami, junto con Srila Rupa Goswami, cumplió las cuatro partes de esta misión. (Véase Sri Caitanya-caritamrta, Adi-lila 10.84, Madhya-lila 1.35, Madhya-lila capítulos 20-24, y Antya-lila capítulo 4).</t>
    </r>
  </si>
  <si>
    <r>
      <rPr>
        <b/>
        <sz val="10"/>
        <rFont val="Verdana"/>
        <family val="2"/>
      </rPr>
      <t>SARANGA THAKURA</t>
    </r>
    <r>
      <rPr>
        <sz val="10"/>
        <rFont val="Verdana"/>
        <family val="2"/>
      </rPr>
      <t>, un asociado de Sri Caitanya Mahaprabhu, vivía bajo un árbol de Bakula en Navadvipa durante el tiempo del Señor Caitanya. Durante el día, él juntaba materiales para la adoración de sus Deidades, y por la noche, cruzaba el sagrado río Ganges para unirse a los kirtanas del Señor Caitanya. El gran devoto Murari Thakura era su discípulo. (Véase Sri Caitanya-caritamrta, Adi-lila 10.113).</t>
    </r>
  </si>
  <si>
    <r>
      <rPr>
        <b/>
        <sz val="10"/>
        <rFont val="Verdana"/>
        <family val="2"/>
      </rPr>
      <t>SITA DEVI</t>
    </r>
    <r>
      <rPr>
        <sz val="10"/>
        <rFont val="Verdana"/>
        <family val="2"/>
      </rPr>
      <t>, una manifestación de la Diosa de la Fortuna, Lakshmi Devi, es la consorte eterna del Señor Ramachandra. Cuando el Señor Ramachandra fue expulsado al bosque de Dandakaranya, Sita Devi dejó las comodidades del palacio real para unirse a Él. Mientras en el bosque, fue secuestrada por el rey demoníaco Ravana, sin embargo, a pesar de sus esfuerzos para disfrutar de Su belleza, ella permaneció siempre dedicada al Señor Ramachandra.</t>
    </r>
  </si>
  <si>
    <r>
      <rPr>
        <b/>
        <sz val="10"/>
        <rFont val="Verdana"/>
        <family val="2"/>
      </rPr>
      <t>SITA THAKURANI</t>
    </r>
    <r>
      <rPr>
        <sz val="10"/>
        <rFont val="Verdana"/>
        <family val="2"/>
      </rPr>
      <t xml:space="preserve"> era la esposa de Sri Advaita Acharya. Ella siempre estaba absorta en amor maternal por el Señor Caitanya Mahaprabhu. A causa del amor de Sita Devi, Saci Mata la eligió como la primera persona para adorar al Señor Caitanya durante cualquier ceremonia auspiciosa. (Véase Sri Caitanya-caritamrta, Adi-lila 13.111-118).</t>
    </r>
  </si>
  <si>
    <r>
      <rPr>
        <b/>
        <sz val="10"/>
        <rFont val="Verdana"/>
        <family val="2"/>
      </rPr>
      <t>SIVANANDA SENA</t>
    </r>
    <r>
      <rPr>
        <sz val="10"/>
        <rFont val="Verdana"/>
        <family val="2"/>
      </rPr>
      <t>, un asociado del Señor Caitanya, usó todas sus posesiones y riqueza en el servicio del Señor Caitanya y de sus devotos. Él llevaba un grupo de 200 devotos de Bengala a Jagannatha Puri para asistir al festival anual de Ratha-yatra cada año. Él organizaba la alimentación de los devotos, peajes, balsas, y alojamiento. La familia de Shivananda Sena y criados eran todos dedicados al Señor Caitanya Mahaprabhu. (Véase Sri Caitanya-caritamrta, Adi-lila 10.54-55 y 10.60-64, y Antya-lila 1.16-32, 2.22-82, 10.142-151 y 12.15-53).</t>
    </r>
  </si>
  <si>
    <r>
      <rPr>
        <b/>
        <sz val="10"/>
        <rFont val="Verdana"/>
        <family val="2"/>
      </rPr>
      <t>SRINIVASA ACARYA</t>
    </r>
    <r>
      <rPr>
        <sz val="10"/>
        <rFont val="Verdana"/>
        <family val="2"/>
      </rPr>
      <t xml:space="preserve"> era un asociado del grupo que primero trajo los libros de los seis Goswamis de Vrindavana para Bengala y Orissa. Él convirtió al Rey Birahambira a la religión vaishnava y ayudó a organizar el primer festival de Gaura Purnima, celebrando el aniversario de nacimiento del Señor Caitanya, en Kheturi.</t>
    </r>
  </si>
  <si>
    <r>
      <rPr>
        <b/>
        <sz val="10"/>
        <rFont val="Verdana"/>
        <family val="2"/>
      </rPr>
      <t>SRIVASA PANDITA</t>
    </r>
    <r>
      <rPr>
        <sz val="10"/>
        <rFont val="Verdana"/>
        <family val="2"/>
      </rPr>
      <t>, o Srivasa Thakura, era un asociado del Panca-tattva, que consiste del señor Caitanya Mahaprabhu y sus cuatro expansiones y energías inmediatas. Todas las noches, el Señor Caitanya y sus asociados cantaban los nombres de Krishna y bailaban en la casa de Srivasa Pandita. Srivasa Pandita nunca hizo ningún esfuerzo para sostener a sus dependientes. A causa de su plena dedicación al Señor Caitanya ya su misión, el Señor Caitanya proveía todas sus necesidades. (Véase Sri Caitanya-caritamrta, Adi-lila 10.8).</t>
    </r>
  </si>
  <si>
    <r>
      <rPr>
        <b/>
        <sz val="10"/>
        <rFont val="Verdana"/>
        <family val="2"/>
      </rPr>
      <t>SWARUPA DAMODARA GOSWAMI</t>
    </r>
    <r>
      <rPr>
        <sz val="10"/>
        <rFont val="Verdana"/>
        <family val="2"/>
      </rPr>
      <t xml:space="preserve"> era el secretario personal de Sri Caitanya Mahaprabhu. Se dice que él era como un segundo Mahaprabhu porque él era profundamente entendido de las conclusiones del Señor en Krishna-bhakti, servicio devocional a Krishna. Él era un gran estudiante así como un músico especialista. En la compañía de Srila Swarupa Damodara Goswami a Jagannatha Puri, Sri Caitanya Mahaprabhu experimentaba las emociones más profundas del servicio devocional. (Véase Sri Caitanya-caritamrta, Adi-lila 4.105 y Madhya-lila 10.102-129 y 13.163-167).</t>
    </r>
  </si>
  <si>
    <r>
      <rPr>
        <b/>
        <sz val="10"/>
        <rFont val="Verdana"/>
        <family val="2"/>
      </rPr>
      <t>SHYAMANANDA PRABHU</t>
    </r>
    <r>
      <rPr>
        <sz val="10"/>
        <rFont val="Verdana"/>
        <family val="2"/>
      </rPr>
      <t>, un discípulo de Hridaya Caitanya, estableció el templo de Sri Radha-Shyamasundara en Vrindavana. Bajo el orden de su maestro espiritual, Shyamananda, junto con su discípulo principal, Rasikananda Prabhu, divulgaron la adoración y el servicio al Señor Caitanya por toda Orissa.</t>
    </r>
  </si>
  <si>
    <r>
      <rPr>
        <b/>
        <sz val="10"/>
        <rFont val="Verdana"/>
        <family val="2"/>
      </rPr>
      <t>UDDHARANA DATTA THAKURA</t>
    </r>
    <r>
      <rPr>
        <sz val="10"/>
        <rFont val="Verdana"/>
        <family val="2"/>
      </rPr>
      <t xml:space="preserve"> era un miembro íntimo del Señor Nityananda. Creado en una familia de comerciantes de oro, se casó después y se convirtió en un ministro rico. El Señor Nityananda se hospedaba frecuentemente en su casa. A la edad de veintiséis años, Uddharana Datta Thakura renunció a su casa y familia y se unió a la fiesta de kirtana del Señor Nityananda. (Véase Sri Caitanya-caritamrta, Adi-lila 11.41).</t>
    </r>
  </si>
  <si>
    <r>
      <rPr>
        <b/>
        <sz val="10"/>
        <rFont val="Verdana"/>
        <family val="2"/>
      </rPr>
      <t>VAKRESHWARA PANDITA</t>
    </r>
    <r>
      <rPr>
        <sz val="10"/>
        <rFont val="Verdana"/>
        <family val="2"/>
      </rPr>
      <t xml:space="preserve"> se menciona en el Sri Caitanya-caritamrita debido a su bailar extático. Una vez, en la casa de Srivasa Thakura, él bailó en éxtasis constante por setenta y dos horas. Él hizo muchos discípulos, especialmente en Orissa, entre ellos Sri Gopala-guru Goswami. (Véase Sri Caitanya-caritamrta, Adi-lila 10.17-18).</t>
    </r>
  </si>
  <si>
    <r>
      <rPr>
        <b/>
        <sz val="10"/>
        <rFont val="Verdana"/>
        <family val="2"/>
      </rPr>
      <t>VAMANADEVA</t>
    </r>
    <r>
      <rPr>
        <sz val="10"/>
        <rFont val="Verdana"/>
        <family val="2"/>
      </rPr>
      <t xml:space="preserve"> es la encarnación del Señor Krishna como un brahmana enano. El Señor Vamanadeva imploró de Bali Maharaja tres pasos de tierra. Cuando el pedido fue concedido, el Señor Vamanadeva asumió una forma gigantesca y con dos pasos cubrió la tierra primero, y entonces el universo entero. En el tercer paso, Bali Maharaja quedó satisfecho en recibir el pie del loto del Señor en su cabeza. (Véase Srimad-Bhagavatam, 1.3.19, 2.7.17 y octavo canto, capítulos 20-23).</t>
    </r>
  </si>
  <si>
    <r>
      <rPr>
        <b/>
        <sz val="10"/>
        <rFont val="Verdana"/>
        <family val="2"/>
      </rPr>
      <t>VAMSHIDASA BABAJI MAHARAJA</t>
    </r>
    <r>
      <rPr>
        <sz val="10"/>
        <rFont val="Verdana"/>
        <family val="2"/>
      </rPr>
      <t xml:space="preserve"> era un devoto paramahamsa que a veces vivía en Navadvipa en la época de Srila Bhaktisiddhanta Saraswati Thakura. Usaba sólo una tanga y comía lo que llegaba hasta él. Vamshidasa Babaji Maharaja viajó por toda la India, visitando lugares santos. Él adoraba al Señor Krishna en una plataforma espontánea que los neófitos en el camino de la devoción no pueden imitar.</t>
    </r>
  </si>
  <si>
    <r>
      <rPr>
        <b/>
        <sz val="10"/>
        <rFont val="Verdana"/>
        <family val="2"/>
      </rPr>
      <t>VAMSIVADANANDA THAKURA</t>
    </r>
    <r>
      <rPr>
        <sz val="10"/>
        <rFont val="Verdana"/>
        <family val="2"/>
      </rPr>
      <t xml:space="preserve"> escribió muchos dulces poemas que expresan su devoción por Krishna. El día en que apareció, el Señor Caitanya y Sri Advaita Prabhu estaban en su casa en Bengala. Después de la desaparición de Srimati Vishnupriya Devi, adoró a las Deidades de ella en Navadvipa.</t>
    </r>
  </si>
  <si>
    <r>
      <rPr>
        <b/>
        <sz val="10"/>
        <rFont val="Verdana"/>
        <family val="2"/>
      </rPr>
      <t>VARAHADEVA</t>
    </r>
    <r>
      <rPr>
        <sz val="10"/>
        <rFont val="Verdana"/>
        <family val="2"/>
      </rPr>
      <t xml:space="preserve"> es la encarnación jabalí de Sri Krishna. Él asumió la forma de un jabalí para levantar el planeta tierra de la inmersión en el Océano Garbhodaka con Sus presas. El demonio Hiryanyaksha había lanzado el planeta tierra en este océano, pero el Señor apuñaló al demonio con Sus dientes y salvó a la Tierra. (Véase Srimad-Bhagavatam, 1.3.7 y 2.7.1 y tres esquinas, capítulos 13, 18 y 19).</t>
    </r>
  </si>
  <si>
    <r>
      <rPr>
        <b/>
        <sz val="10"/>
        <rFont val="Verdana"/>
        <family val="2"/>
      </rPr>
      <t>VASUDEVA GHOSH</t>
    </r>
    <r>
      <rPr>
        <sz val="10"/>
        <rFont val="Verdana"/>
        <family val="2"/>
      </rPr>
      <t>, un miembro íntimo del Señor Caitanya, era conocido por su kirtana. El Sri Caitanya-charitamrita dice que cuando Vasudeva Ghosh lideraba el kirtana, madera y piedra se derritieron al oírlo. Él compuso muchas canciones sobre Sri Caitanya Mahaprabhu. Vasudeva Ghosh y sus hermanos Govinda y Madhava son los asociados eternos del Señor Caitanya y del Señor Nityananda Prabhu. (Véase Sri Caitanya-caritamrta, Adi-lila 10.115, 11.14-15, 11.19 y 11.88).</t>
    </r>
  </si>
  <si>
    <r>
      <rPr>
        <b/>
        <sz val="10"/>
        <rFont val="Verdana"/>
        <family val="2"/>
      </rPr>
      <t>VIRACANDRA PRABHU</t>
    </r>
    <r>
      <rPr>
        <sz val="10"/>
        <rFont val="Verdana"/>
        <family val="2"/>
      </rPr>
      <t xml:space="preserve"> era el hijo de la segunda esposa del señor Nityananda, Vasudha Devi, y era un discípulo de Sri Jahnava Devi, la primera esposa del Señor Nityananda. Él es considerado una encarnación de Kshirodakasayi Visnu.</t>
    </r>
  </si>
  <si>
    <r>
      <rPr>
        <b/>
        <sz val="10"/>
        <rFont val="Verdana"/>
        <family val="2"/>
      </rPr>
      <t>VISNUPRIYA DEVI</t>
    </r>
    <r>
      <rPr>
        <sz val="10"/>
        <rFont val="Verdana"/>
        <family val="2"/>
      </rPr>
      <t xml:space="preserve"> era la esposa del Señor Caitanya antes de tomar sannyasa. Después de su sannyasa, ella vivió una vida de severa austeridad. Diariamente, separaba un grano de arroz para cada vuelta del mantra Hare Krishna que cantaba. Al final del día, cocinaba y ofrecía estos pocos granos al señor Caitanya, y eso era su comida. Ella es una manifestación de la energía interna del Señor. (Vea el comentario Bhaktivedanta del Srimad-Bhagavatam, 4.23.20).</t>
    </r>
  </si>
  <si>
    <r>
      <rPr>
        <b/>
        <sz val="10"/>
        <rFont val="Verdana"/>
        <family val="2"/>
      </rPr>
      <t>VISVANATHA CAKRAVARTI THAKURA</t>
    </r>
    <r>
      <rPr>
        <sz val="10"/>
        <rFont val="Verdana"/>
        <family val="2"/>
      </rPr>
      <t>, un gran acharya vaishnava, apareció en 1674, donde ahora es el distrito de Nadia de Bengala Occidental. Durante su época, él sirvió como el protector, guardián y acharya de la línea Gaudiya vaishnava. Él escribió más de cuarenta textos en sánscrito sobre la ciencia de la pura devoción, incluyendo comentarios del Srimad-Bhagavatam, Bhagavad-gita, y los libros de los seis Goswamis. Sus ocho oraciones para el maestro espiritual son cantadas diariamente por los Gaudiya vaishnavas.</t>
    </r>
  </si>
  <si>
    <r>
      <rPr>
        <b/>
        <sz val="10"/>
        <rFont val="Verdana"/>
        <family val="2"/>
      </rPr>
      <t>VISVARUPA</t>
    </r>
    <r>
      <rPr>
        <sz val="10"/>
        <rFont val="Verdana"/>
        <family val="2"/>
      </rPr>
      <t xml:space="preserve"> era el hermano mayor del Señor Caitanya. Él es considerado una expansión parcial del Señor Nityananda. A una edad temprana, dejó su casa para tomar sannyasa. En 1431, desapareció en Pandarpura en el distrito de Solapura, India. (Véase Sri Caitanya-caritamrta, Adi-lila 10.106, 13.74-80, y 15.11-14 y Madhya-lila 9.299-300).</t>
    </r>
  </si>
  <si>
    <r>
      <rPr>
        <b/>
        <sz val="10"/>
        <rFont val="Verdana"/>
        <family val="2"/>
      </rPr>
      <t>VRNDAVANA DASA THAKURA</t>
    </r>
    <r>
      <rPr>
        <sz val="10"/>
        <rFont val="Verdana"/>
        <family val="2"/>
      </rPr>
      <t xml:space="preserve"> fue el autor del Sri Caitanya Bhagavata, una gran biografía del señor Caitanya Mahaprabhu. Él es considerado la manifestación de Vyasadeva de los pasatiempos del Señor Caitanya. Nació luego de la desaparición de Sri Caitanya Mahaprabhu. A la edad de veinte años, aceptó la iniciación formal del señor Nityananda. Bajo el orden del Señor Nityananda escribió el Sri Caitanya Bhagavata. (Véase Sri Caitanya-caritamrta, Adi-lila 8.33-42 y 11.54-55).</t>
    </r>
  </si>
  <si>
    <r>
      <rPr>
        <b/>
        <sz val="10"/>
        <rFont val="Verdana"/>
        <family val="2"/>
      </rPr>
      <t>Bahulastami</t>
    </r>
    <r>
      <rPr>
        <sz val="10"/>
        <rFont val="Verdana"/>
        <family val="2"/>
      </rPr>
      <t xml:space="preserve"> -- the appearance day of Radha-kunda and Syama-kunda, sacred ponds that are the bathing places of Srimati Radharani and Lord Krsna in Vrndavana.</t>
    </r>
  </si>
  <si>
    <r>
      <rPr>
        <b/>
        <sz val="10"/>
        <rFont val="Verdana"/>
        <family val="2"/>
      </rPr>
      <t>Balarama Rasayatra</t>
    </r>
    <r>
      <rPr>
        <sz val="10"/>
        <rFont val="Verdana"/>
        <family val="2"/>
      </rPr>
      <t xml:space="preserve"> -- Lord Balarama's springtime rasa dance with His cowherd girlfriends.</t>
    </r>
  </si>
  <si>
    <r>
      <rPr>
        <b/>
        <sz val="10"/>
        <rFont val="Verdana"/>
        <family val="2"/>
      </rPr>
      <t>Bali Daityaraja Puja</t>
    </r>
    <r>
      <rPr>
        <sz val="10"/>
        <rFont val="Verdana"/>
        <family val="2"/>
      </rPr>
      <t xml:space="preserve"> -- the festival commemorating Bali Maharaja's surrender to Lord Vamanadeva, the dwarf incarnation of Lord Krsna. A Deity of Vamana is worshiped.</t>
    </r>
  </si>
  <si>
    <r>
      <rPr>
        <b/>
        <sz val="10"/>
        <rFont val="Verdana"/>
        <family val="2"/>
      </rPr>
      <t>Bhismastami</t>
    </r>
    <r>
      <rPr>
        <sz val="10"/>
        <rFont val="Verdana"/>
        <family val="2"/>
      </rPr>
      <t xml:space="preserve"> -- the appearance anniversary of Bhismadeva, the "grandfather" of the Pandavas.</t>
    </r>
  </si>
  <si>
    <r>
      <rPr>
        <b/>
        <sz val="10"/>
        <rFont val="Verdana"/>
        <family val="2"/>
      </rPr>
      <t>Candana Yatra</t>
    </r>
    <r>
      <rPr>
        <sz val="10"/>
        <rFont val="Verdana"/>
        <family val="2"/>
      </rPr>
      <t xml:space="preserve"> -- a festival during the hot season in India in which the Deities are covered with sandalwood paste (candana) to cool Them. (This is generally impractical in the West, where it is cold during this time.)</t>
    </r>
  </si>
  <si>
    <r>
      <rPr>
        <b/>
        <sz val="10"/>
        <rFont val="Verdana"/>
        <family val="2"/>
      </rPr>
      <t>Damodara Masa</t>
    </r>
    <r>
      <rPr>
        <sz val="10"/>
        <rFont val="Verdana"/>
        <family val="2"/>
      </rPr>
      <t xml:space="preserve"> -- the month of Damodara. Throughout this month, devotees commemorate the pastime of naughty Lord Krsna's being bound with ropes by mother Yasoda. Devotees offer lamps daily.</t>
    </r>
  </si>
  <si>
    <r>
      <rPr>
        <b/>
        <sz val="10"/>
        <rFont val="Verdana"/>
        <family val="2"/>
      </rPr>
      <t>Dipa-dan, Dipavali, or Diwali (and Kalipuja)</t>
    </r>
    <r>
      <rPr>
        <sz val="10"/>
        <rFont val="Verdana"/>
        <family val="2"/>
      </rPr>
      <t xml:space="preserve"> -- a commemoration of Lord Rama's return from exile to Ayodhya, His capital, following the defeat of the demon Ravana. (Vaisnavas don't regularly observe Kalipuja, the worship of Durga Devi.)</t>
    </r>
  </si>
  <si>
    <r>
      <rPr>
        <b/>
        <sz val="10"/>
        <rFont val="Verdana"/>
        <family val="2"/>
      </rPr>
      <t>Ganga Puja</t>
    </r>
    <r>
      <rPr>
        <sz val="10"/>
        <rFont val="Verdana"/>
        <family val="2"/>
      </rPr>
      <t xml:space="preserve"> -- the appearance anniversary of Ganga Devi, the goddess of the River Ganges.</t>
    </r>
  </si>
  <si>
    <r>
      <rPr>
        <b/>
        <sz val="10"/>
        <rFont val="Verdana"/>
        <family val="2"/>
      </rPr>
      <t>Ganga Sagara Mela</t>
    </r>
    <r>
      <rPr>
        <sz val="10"/>
        <rFont val="Verdana"/>
        <family val="2"/>
      </rPr>
      <t xml:space="preserve"> -- a festival observed especially at the confluence of the Ganges and the Bay of Bengal. Kapilasrama, the asrama of Lord Krsna's incarnation as Kapiladeva, the son of Devahuti, is located at this place. The festival commemorates King Bhagirathi's bringing the River Ganges down from the celestial planets to the ocean and the lower worlds.</t>
    </r>
  </si>
  <si>
    <r>
      <rPr>
        <b/>
        <sz val="10"/>
        <rFont val="Verdana"/>
        <family val="2"/>
      </rPr>
      <t>Gaura Purnima</t>
    </r>
    <r>
      <rPr>
        <sz val="10"/>
        <rFont val="Verdana"/>
        <family val="2"/>
      </rPr>
      <t xml:space="preserve"> -- the appearance anniversary of Lord Sri Caitanya Mahaprabhu, who is Krsna Himself in the role of His own devotee. He appeared in 1486 in Mayapur, West Bengal.</t>
    </r>
  </si>
  <si>
    <r>
      <rPr>
        <b/>
        <sz val="10"/>
        <rFont val="Verdana"/>
        <family val="2"/>
      </rPr>
      <t>Gopastami, or Gosthastami</t>
    </r>
    <r>
      <rPr>
        <sz val="10"/>
        <rFont val="Verdana"/>
        <family val="2"/>
      </rPr>
      <t xml:space="preserve"> -- After previously having grazed the calves, on this day Krsna first went out to graze the cows. In this way He became a gopa, a cowherd boy. On this day the gosalas (cow pens) are cleaned and the cows worshiped and offered prasada (santicified food) by the devotees.</t>
    </r>
  </si>
  <si>
    <r>
      <rPr>
        <b/>
        <sz val="10"/>
        <rFont val="Verdana"/>
        <family val="2"/>
      </rPr>
      <t>Govardhana Puja</t>
    </r>
    <r>
      <rPr>
        <sz val="10"/>
        <rFont val="Verdana"/>
        <family val="2"/>
      </rPr>
      <t xml:space="preserve"> -- the festival commemorating the worship of Govardhana Hill by the residents of Vrndavana and Lord Krsna's lifting the hill.</t>
    </r>
  </si>
  <si>
    <r>
      <rPr>
        <b/>
        <sz val="10"/>
        <rFont val="Verdana"/>
        <family val="2"/>
      </rPr>
      <t>Go Puja, or Go-krda</t>
    </r>
    <r>
      <rPr>
        <sz val="10"/>
        <rFont val="Verdana"/>
        <family val="2"/>
      </rPr>
      <t xml:space="preserve"> -- On this day, according to Hari-Bhakti-Vilasa, one should decorate the cows and bulls, make them run, and have the bulls plow the field.</t>
    </r>
  </si>
  <si>
    <r>
      <rPr>
        <b/>
        <sz val="10"/>
        <rFont val="Verdana"/>
        <family val="2"/>
      </rPr>
      <t>Gundica Marjana</t>
    </r>
    <r>
      <rPr>
        <sz val="10"/>
        <rFont val="Verdana"/>
        <family val="2"/>
      </rPr>
      <t xml:space="preserve"> -- the cleansing of the Gundica temple in Jagannatha Puri, India.</t>
    </r>
  </si>
  <si>
    <r>
      <rPr>
        <b/>
        <sz val="10"/>
        <rFont val="Verdana"/>
        <family val="2"/>
      </rPr>
      <t>Guru (Vyasa) Purnima</t>
    </r>
    <r>
      <rPr>
        <sz val="10"/>
        <rFont val="Verdana"/>
        <family val="2"/>
      </rPr>
      <t xml:space="preserve"> -- the appearance anniversary of Srila Vyasadeva, the compiler of the Vedic literature.</t>
    </r>
  </si>
  <si>
    <r>
      <rPr>
        <b/>
        <sz val="10"/>
        <rFont val="Verdana"/>
        <family val="2"/>
      </rPr>
      <t>Hera Pancami</t>
    </r>
    <r>
      <rPr>
        <sz val="10"/>
        <rFont val="Verdana"/>
        <family val="2"/>
      </rPr>
      <t xml:space="preserve"> -- a festival held three days after Ratha-yatra to commemorate Srimati Rukmini Devi's visit to Vrndavana to bring Lord Krsna back to Dvaraka.</t>
    </r>
  </si>
  <si>
    <r>
      <rPr>
        <b/>
        <sz val="10"/>
        <rFont val="Verdana"/>
        <family val="2"/>
      </rPr>
      <t>Jagaddhatri Puja</t>
    </r>
    <r>
      <rPr>
        <sz val="10"/>
        <rFont val="Verdana"/>
        <family val="2"/>
      </rPr>
      <t xml:space="preserve"> -- the day for worship of a form of Mahamaya called Jagaddhatri, "the maintainer of the material world." (Vaisnavas do not usually observe this festival.)</t>
    </r>
  </si>
  <si>
    <r>
      <rPr>
        <b/>
        <sz val="10"/>
        <rFont val="Verdana"/>
        <family val="2"/>
      </rPr>
      <t>Festival of Jagannatha Misra</t>
    </r>
    <r>
      <rPr>
        <sz val="10"/>
        <rFont val="Verdana"/>
        <family val="2"/>
      </rPr>
      <t xml:space="preserve"> -- the day the father of Lord Caitanya Mahaprabhu performed the celebrations for Lord Caitanya's appearance.</t>
    </r>
  </si>
  <si>
    <r>
      <rPr>
        <b/>
        <sz val="10"/>
        <rFont val="Verdana"/>
        <family val="2"/>
      </rPr>
      <t>Jahnu Saptami</t>
    </r>
    <r>
      <rPr>
        <sz val="10"/>
        <rFont val="Verdana"/>
        <family val="2"/>
      </rPr>
      <t xml:space="preserve"> -- The day when the sage Jahnu released the River Ganges after swallowing her.  On this day, if possible, one should worship the Ganges and bathe in her waters.</t>
    </r>
  </si>
  <si>
    <r>
      <rPr>
        <b/>
        <sz val="10"/>
        <rFont val="Verdana"/>
        <family val="2"/>
      </rPr>
      <t>Katyayani vrata</t>
    </r>
    <r>
      <rPr>
        <sz val="10"/>
        <rFont val="Verdana"/>
        <family val="2"/>
      </rPr>
      <t xml:space="preserve"> -- a vow to observe austerities to please Katyayani Devi, or Yogamaya Devi, the spiritual energy of Lord Krsna.</t>
    </r>
  </si>
  <si>
    <r>
      <rPr>
        <b/>
        <sz val="10"/>
        <rFont val="Verdana"/>
        <family val="2"/>
      </rPr>
      <t>Krsna Janmastami</t>
    </r>
    <r>
      <rPr>
        <sz val="10"/>
        <rFont val="Verdana"/>
        <family val="2"/>
      </rPr>
      <t xml:space="preserve"> -- the appearance anniversary of Lord Sri Krsna, the Supreme Personality of Godhead.</t>
    </r>
  </si>
  <si>
    <r>
      <rPr>
        <b/>
        <sz val="10"/>
        <rFont val="Verdana"/>
        <family val="2"/>
      </rPr>
      <t>Krsna Phula Dola, Salila Vihara</t>
    </r>
    <r>
      <rPr>
        <sz val="10"/>
        <rFont val="Verdana"/>
        <family val="2"/>
      </rPr>
      <t xml:space="preserve"> -- a summer boat festival for the Deities of Sri Sri Radha-Krsna.</t>
    </r>
  </si>
  <si>
    <r>
      <rPr>
        <b/>
        <sz val="10"/>
        <rFont val="Verdana"/>
        <family val="2"/>
      </rPr>
      <t>Krsna Pusya abhiseka</t>
    </r>
    <r>
      <rPr>
        <sz val="10"/>
        <rFont val="Verdana"/>
        <family val="2"/>
      </rPr>
      <t xml:space="preserve"> -- During the morning puja, or worship, the Deity or a salagrama is bathed in pure ghee. Srila Prabhupada once explained the festival this way: "Krishna was just a toy in the hands of the Gopis, so one day the Gopis decided that we shall decorate Him. Pusyabhisheka means a ceremony to decorate the deity profusely with flowers, ornaments, cloths. After there should be lavish feasting and a procession through the streets, so that all the citizens should see how beautiful Krishna appears."</t>
    </r>
  </si>
  <si>
    <r>
      <rPr>
        <b/>
        <sz val="10"/>
        <rFont val="Verdana"/>
        <family val="2"/>
      </rPr>
      <t>Krsna Rasayatra</t>
    </r>
    <r>
      <rPr>
        <sz val="10"/>
        <rFont val="Verdana"/>
        <family val="2"/>
      </rPr>
      <t xml:space="preserve"> -- Lord Krsna's rasa dance with His girlfriends.</t>
    </r>
  </si>
  <si>
    <r>
      <rPr>
        <b/>
        <sz val="10"/>
        <rFont val="Verdana"/>
        <family val="2"/>
      </rPr>
      <t>Krsna Saradiya Rasayatra</t>
    </r>
    <r>
      <rPr>
        <sz val="10"/>
        <rFont val="Verdana"/>
        <family val="2"/>
      </rPr>
      <t xml:space="preserve"> -- Lord Krsna's autumn rasa dance with His girlfriends.</t>
    </r>
  </si>
  <si>
    <r>
      <rPr>
        <b/>
        <sz val="10"/>
        <rFont val="Verdana"/>
        <family val="2"/>
      </rPr>
      <t>Krsna Vasanta Rasa</t>
    </r>
    <r>
      <rPr>
        <sz val="10"/>
        <rFont val="Verdana"/>
        <family val="2"/>
      </rPr>
      <t xml:space="preserve"> -- Lord Krsna's springtime rasa dance.</t>
    </r>
  </si>
  <si>
    <r>
      <rPr>
        <b/>
        <sz val="10"/>
        <rFont val="Verdana"/>
        <family val="2"/>
      </rPr>
      <t>Laksmi Puja</t>
    </r>
    <r>
      <rPr>
        <sz val="10"/>
        <rFont val="Verdana"/>
        <family val="2"/>
      </rPr>
      <t xml:space="preserve"> -- worship of Laksmi Devi, the consort of Lord Visnu (not observed by Gaudiya Vaisnavas).</t>
    </r>
  </si>
  <si>
    <r>
      <rPr>
        <b/>
        <sz val="10"/>
        <rFont val="Verdana"/>
        <family val="2"/>
      </rPr>
      <t>Lalita Sasti</t>
    </r>
    <r>
      <rPr>
        <sz val="10"/>
        <rFont val="Verdana"/>
        <family val="2"/>
      </rPr>
      <t xml:space="preserve"> -- The appearance day of Lalita-sakhi, the intimate confidante of Srimati Radharani.</t>
    </r>
  </si>
  <si>
    <r>
      <rPr>
        <b/>
        <sz val="10"/>
        <rFont val="Verdana"/>
        <family val="2"/>
      </rPr>
      <t>Nandotsava</t>
    </r>
    <r>
      <rPr>
        <sz val="10"/>
        <rFont val="Verdana"/>
        <family val="2"/>
      </rPr>
      <t xml:space="preserve"> -- the festival observed by Nanda Maharaja, Lord Krsna's father, to celebrate Lord Krsna's appearance.</t>
    </r>
  </si>
  <si>
    <r>
      <rPr>
        <b/>
        <sz val="10"/>
        <rFont val="Verdana"/>
        <family val="2"/>
      </rPr>
      <t>Nrsimha Caturdasi</t>
    </r>
    <r>
      <rPr>
        <sz val="10"/>
        <rFont val="Verdana"/>
        <family val="2"/>
      </rPr>
      <t xml:space="preserve"> -- the appearance anniversary of Lord Nrsimhadeva, Lord Krsna's incarnation as half-man, half-lion.</t>
    </r>
  </si>
  <si>
    <r>
      <rPr>
        <b/>
        <sz val="10"/>
        <rFont val="Verdana"/>
        <family val="2"/>
      </rPr>
      <t>Odana sasthi</t>
    </r>
    <r>
      <rPr>
        <sz val="10"/>
        <rFont val="Verdana"/>
        <family val="2"/>
      </rPr>
      <t xml:space="preserve"> -- The beginning of winter at India. From that day forward, a winter covering should be given to Lord Jagannatha. According to the arcana-marga, a cloth should first be washed to remove all the starch, and then it can be used to cover the Lord. (See Cc Madhya 16.78 purport)</t>
    </r>
  </si>
  <si>
    <r>
      <rPr>
        <b/>
        <sz val="10"/>
        <rFont val="Verdana"/>
        <family val="2"/>
      </rPr>
      <t>Panihati Cida Dahi Utsava</t>
    </r>
    <r>
      <rPr>
        <sz val="10"/>
        <rFont val="Verdana"/>
        <family val="2"/>
      </rPr>
      <t xml:space="preserve"> -- Srila Raghunatha Dasa Gosvami's chipped- rice-and-yogurt festival for Lord Caitanya and His associates. Celebrated especially in Panihati, West Bengal.</t>
    </r>
  </si>
  <si>
    <r>
      <rPr>
        <b/>
        <sz val="10"/>
        <rFont val="Verdana"/>
        <family val="2"/>
      </rPr>
      <t>Radhastami</t>
    </r>
    <r>
      <rPr>
        <sz val="10"/>
        <rFont val="Verdana"/>
        <family val="2"/>
      </rPr>
      <t xml:space="preserve"> -- the appearance anniversary of Srimati Radharani, the eternal consort of Lord Krsna.</t>
    </r>
  </si>
  <si>
    <r>
      <rPr>
        <b/>
        <sz val="10"/>
        <rFont val="Verdana"/>
        <family val="2"/>
      </rPr>
      <t>Radha Govinda Jhulan Yatra</t>
    </r>
    <r>
      <rPr>
        <sz val="10"/>
        <rFont val="Verdana"/>
        <family val="2"/>
      </rPr>
      <t xml:space="preserve"> -- the swing festival of Radha-Krsna. The Deities ride on an elaborately decorated swing.</t>
    </r>
  </si>
  <si>
    <r>
      <rPr>
        <b/>
        <sz val="10"/>
        <rFont val="Verdana"/>
        <family val="2"/>
      </rPr>
      <t>Radha Kunda prakat, snan dan</t>
    </r>
    <r>
      <rPr>
        <sz val="10"/>
        <rFont val="Verdana"/>
        <family val="2"/>
      </rPr>
      <t xml:space="preserve"> -- the appearance anniversary of Radha- kunda, the bathing pond of Srimati Radharani in Vrndavana. Devotees bathe there especially on midnight of this day.</t>
    </r>
  </si>
  <si>
    <r>
      <rPr>
        <b/>
        <sz val="10"/>
        <rFont val="Verdana"/>
        <family val="2"/>
      </rPr>
      <t>Radha Ramana Devji appearance</t>
    </r>
    <r>
      <rPr>
        <sz val="10"/>
        <rFont val="Verdana"/>
        <family val="2"/>
      </rPr>
      <t xml:space="preserve"> -- the appearance of the Deity of Lord Krsna worshiped by Srila Gopala Bhatta Gosvami.</t>
    </r>
  </si>
  <si>
    <r>
      <rPr>
        <b/>
        <sz val="10"/>
        <rFont val="Verdana"/>
        <family val="2"/>
      </rPr>
      <t>Ramacandra Vijayotsava</t>
    </r>
    <r>
      <rPr>
        <sz val="10"/>
        <rFont val="Verdana"/>
        <family val="2"/>
      </rPr>
      <t xml:space="preserve"> -- Lord Ramacandra's victory over the demon Ravana. A large effigy of Ravana is ceremoniously burned.</t>
    </r>
  </si>
  <si>
    <r>
      <rPr>
        <b/>
        <sz val="10"/>
        <rFont val="Verdana"/>
        <family val="2"/>
      </rPr>
      <t>Ratha Yatra</t>
    </r>
    <r>
      <rPr>
        <sz val="10"/>
        <rFont val="Verdana"/>
        <family val="2"/>
      </rPr>
      <t xml:space="preserve"> -- The chariot festival in which Lord Krsna in the form of Lord Jagannatha rides with Lord Balarama and Subhadra Devi in Jagannatha Puri, India.</t>
    </r>
  </si>
  <si>
    <r>
      <rPr>
        <b/>
        <sz val="10"/>
        <rFont val="Verdana"/>
        <family val="2"/>
      </rPr>
      <t>Salagrama and Tulasi Jala Dan</t>
    </r>
    <r>
      <rPr>
        <sz val="10"/>
        <rFont val="Verdana"/>
        <family val="2"/>
      </rPr>
      <t xml:space="preserve"> -- During the hot season in India, a pot of dripping water is placed over Tulasi and Salagrama to keep them cool. (Generally, this is impractical in the West, where it is cold during this time.)</t>
    </r>
  </si>
  <si>
    <r>
      <rPr>
        <b/>
        <sz val="10"/>
        <rFont val="Verdana"/>
        <family val="2"/>
      </rPr>
      <t>Sarasvati Puja</t>
    </r>
    <r>
      <rPr>
        <sz val="10"/>
        <rFont val="Verdana"/>
        <family val="2"/>
      </rPr>
      <t xml:space="preserve"> -- worship of the goddess Sarasvati (not generally observed by Vaisnavas).</t>
    </r>
  </si>
  <si>
    <r>
      <rPr>
        <b/>
        <sz val="10"/>
        <rFont val="Verdana"/>
        <family val="2"/>
      </rPr>
      <t>Siva Ratri</t>
    </r>
    <r>
      <rPr>
        <sz val="10"/>
        <rFont val="Verdana"/>
        <family val="2"/>
      </rPr>
      <t xml:space="preserve"> -- worship of Lord Siva. Devotees may bathe a Siva-linga in water and panca-gavya (five substances from the cow) and offer Krsna-prasada to Lord Siva. Fasting is optional for Vaisnavas.</t>
    </r>
  </si>
  <si>
    <r>
      <rPr>
        <b/>
        <sz val="10"/>
        <rFont val="Verdana"/>
        <family val="2"/>
      </rPr>
      <t>Snana Yatra</t>
    </r>
    <r>
      <rPr>
        <sz val="10"/>
        <rFont val="Verdana"/>
        <family val="2"/>
      </rPr>
      <t xml:space="preserve"> -- On this full-moon day, sixteen days before Ratha-yatra, Lord Jagannatha is bathed. He becomes sick and is confined to rest for fourteen days. He is then offered special care until He comes out for Ratha-yatra.</t>
    </r>
  </si>
  <si>
    <r>
      <rPr>
        <b/>
        <sz val="10"/>
        <rFont val="Verdana"/>
        <family val="2"/>
      </rPr>
      <t>Srila Prabhupada's arrival in the USA</t>
    </r>
    <r>
      <rPr>
        <sz val="10"/>
        <rFont val="Verdana"/>
        <family val="2"/>
      </rPr>
      <t xml:space="preserve"> -- Srila Prabhupada arrived in Boston on September 17, 1965.</t>
    </r>
  </si>
  <si>
    <r>
      <rPr>
        <b/>
        <sz val="10"/>
        <rFont val="Verdana"/>
        <family val="2"/>
      </rPr>
      <t>Srila Prabhupada's acceptance of sannyasa</t>
    </r>
    <r>
      <rPr>
        <sz val="10"/>
        <rFont val="Verdana"/>
        <family val="2"/>
      </rPr>
      <t xml:space="preserve"> -- Srila Prabhupada accepted sannyasa, the renounced order of life, from Sri Srimad Bhakti Vijnana Kesava Goswami Maharaja in Mathura, India, in 1959.</t>
    </r>
  </si>
  <si>
    <r>
      <rPr>
        <b/>
        <sz val="10"/>
        <rFont val="Verdana"/>
        <family val="2"/>
      </rPr>
      <t>Srila Prabhupada's departure for the USA</t>
    </r>
    <r>
      <rPr>
        <sz val="10"/>
        <rFont val="Verdana"/>
        <family val="2"/>
      </rPr>
      <t xml:space="preserve"> -- On this day in 1965, Srila Prabhupada left Calcutta aboard the steamship Jaladuta.</t>
    </r>
  </si>
  <si>
    <r>
      <rPr>
        <b/>
        <sz val="10"/>
        <rFont val="Verdana"/>
        <family val="2"/>
      </rPr>
      <t>Incorporation of ISKCON in New York</t>
    </r>
    <r>
      <rPr>
        <sz val="10"/>
        <rFont val="Verdana"/>
        <family val="2"/>
      </rPr>
      <t xml:space="preserve"> -- Srila Prabhupada founded ISKCON, the International Society for Krishna Consciousness, in 1966.</t>
    </r>
  </si>
  <si>
    <r>
      <rPr>
        <b/>
        <sz val="10"/>
        <rFont val="Verdana"/>
        <family val="2"/>
      </rPr>
      <t>Srila Prabhupada's disappearance day</t>
    </r>
    <r>
      <rPr>
        <sz val="10"/>
        <rFont val="Verdana"/>
        <family val="2"/>
      </rPr>
      <t xml:space="preserve"> -- Srila Prabhupada left this world on November 14, 1977, in Vrndavana, India. Devotees observe this anniversary with personal remembrances of Srila Prabhupada, readings from his biography, and so on.</t>
    </r>
  </si>
  <si>
    <r>
      <rPr>
        <b/>
        <sz val="10"/>
        <rFont val="Verdana"/>
        <family val="2"/>
      </rPr>
      <t>Tulasi-Saligram Vivaha</t>
    </r>
    <r>
      <rPr>
        <sz val="10"/>
        <rFont val="Verdana"/>
        <family val="2"/>
      </rPr>
      <t xml:space="preserve"> -- the wedding of Salagrama and Tulasi Devi.</t>
    </r>
  </si>
  <si>
    <r>
      <rPr>
        <b/>
        <sz val="10"/>
        <rFont val="Verdana"/>
        <family val="2"/>
      </rPr>
      <t>Vamana Dvadasi</t>
    </r>
    <r>
      <rPr>
        <sz val="10"/>
        <rFont val="Verdana"/>
        <family val="2"/>
      </rPr>
      <t xml:space="preserve"> -- the appearance anniversary of Lord Vamanadeva, the dwarf incarnation of Lord Krsna.</t>
    </r>
  </si>
  <si>
    <r>
      <rPr>
        <b/>
        <sz val="10"/>
        <rFont val="Verdana"/>
        <family val="2"/>
      </rPr>
      <t>Vasanta Pancami</t>
    </r>
    <r>
      <rPr>
        <sz val="10"/>
        <rFont val="Verdana"/>
        <family val="2"/>
      </rPr>
      <t xml:space="preserve"> -- the first day of spring. On this day, the Deities are offered many flowers, leaves and new shoots of grass.</t>
    </r>
  </si>
  <si>
    <r>
      <rPr>
        <b/>
        <sz val="10"/>
        <rFont val="Verdana"/>
        <family val="2"/>
      </rPr>
      <t>Bahulastami</t>
    </r>
    <r>
      <rPr>
        <sz val="10"/>
        <rFont val="Verdana"/>
        <family val="2"/>
      </rPr>
      <t xml:space="preserve"> - día de aparición del Radha-kunda y Syama-kunda, lagos sagrados que son lugares de baño de Srimati Radharani y del Señor Krishna en Vrndavana.</t>
    </r>
  </si>
  <si>
    <r>
      <rPr>
        <b/>
        <sz val="10"/>
        <rFont val="Verdana"/>
        <family val="2"/>
      </rPr>
      <t>Balarama Rasayatra</t>
    </r>
    <r>
      <rPr>
        <sz val="10"/>
        <rFont val="Verdana"/>
        <family val="2"/>
      </rPr>
      <t xml:space="preserve"> - danza del rasa de la primavera del Señor Balarama con sus novias vaqueras.</t>
    </r>
  </si>
  <si>
    <r>
      <rPr>
        <b/>
        <sz val="10"/>
        <rFont val="Verdana"/>
        <family val="2"/>
      </rPr>
      <t>Bali Daityaraja Puja</t>
    </r>
    <r>
      <rPr>
        <sz val="10"/>
        <rFont val="Verdana"/>
        <family val="2"/>
      </rPr>
      <t xml:space="preserve"> - festival que conmemora la rendición de Bali Maharaja al Señor Vamanadeva, la encarnación de enano del Señor Krsna. Una deidad de Vamana es adorada.</t>
    </r>
  </si>
  <si>
    <r>
      <rPr>
        <b/>
        <sz val="10"/>
        <rFont val="Verdana"/>
        <family val="2"/>
      </rPr>
      <t>Bhismastami</t>
    </r>
    <r>
      <rPr>
        <sz val="10"/>
        <rFont val="Verdana"/>
        <family val="2"/>
      </rPr>
      <t xml:space="preserve"> - aniversario de la aparición de Bhismadeva, el "abuelo" de los Pandavas.</t>
    </r>
  </si>
  <si>
    <r>
      <rPr>
        <b/>
        <sz val="10"/>
        <rFont val="Verdana"/>
        <family val="2"/>
      </rPr>
      <t>Bhisma Pancaka</t>
    </r>
    <r>
      <rPr>
        <sz val="10"/>
        <rFont val="Verdana"/>
        <family val="2"/>
      </rPr>
      <t xml:space="preserve"> - es un período de cinco días para realizar austeridades. Comienza en el último Ekadasi del mes de Kartika (Haribodhini o Utthana Ekadasi) y termina en el Purnima. El Señor Krsna en persona dio estos cinco días a Bhismadeva diciendo: "El servicio devocional puro a Mí, es fácilmente obtenido por seguir este voto en Mathura-Vrndavana durante Kartika". Se debe comenzar el ayuno en Haribodhini Ekadasi, recordando a Sri Bhismadeva, ayunar de todos los granos y frijoles, comer sólo una vez al día frutas y vegetales (después de la puesta del sol). Si es posible, ayunar por completo durante los cinco días es una gran austeridad. Durante todo el período del ayuno, el devoto debe cantar constantemente los santos nombres de Krishna, adorar a Radha y Krishna y los vahsnavas y dar caridad a los templos y vaishnavas dignos.</t>
    </r>
  </si>
  <si>
    <r>
      <rPr>
        <b/>
        <sz val="10"/>
        <rFont val="Verdana"/>
        <family val="2"/>
      </rPr>
      <t>Candana Yatra</t>
    </r>
    <r>
      <rPr>
        <sz val="10"/>
        <rFont val="Verdana"/>
        <family val="2"/>
      </rPr>
      <t xml:space="preserve"> - es un festival durante la estación caliente de la India, en el cual las Deidades están cubiertas con pasta de sándalo (candana) para refrescarlas. (Generalmente, eso no es práctico en Occidente, donde es frío durante esa época del año.)</t>
    </r>
  </si>
  <si>
    <r>
      <rPr>
        <b/>
        <sz val="10"/>
        <rFont val="Verdana"/>
        <family val="2"/>
      </rPr>
      <t>Caturmasya</t>
    </r>
    <r>
      <rPr>
        <sz val="10"/>
        <rFont val="Verdana"/>
        <family val="2"/>
      </rPr>
      <t xml:space="preserve"> - es un período de cuatro (catur) meses (masya) durante el cual llueve mucho en la India y los sabios paran de viajar y se recogen para hacer austeridades. En ISKCON se observa principalmente haciendo los ayunos específicos. Consulte el Sri Caitanya-Caritamrta, Madhya-lila, volumen I, pág. 334. Caturmasya no es opcional para vaisnavas. Primer mes de Caturmasya - ayuno de vegetales de hojas verdes frondosas, por un mes. Segundo mes de Caturmasya - ayuno de yogur por un mes. Tercero mes de Caturmasya - Ayuno de leche por un mes. Cuarto mes Caturmasya - ayuno de urad dahl, lenteja, por un mes.</t>
    </r>
  </si>
  <si>
    <r>
      <rPr>
        <b/>
        <sz val="10"/>
        <rFont val="Verdana"/>
        <family val="2"/>
      </rPr>
      <t>Damodara Masa</t>
    </r>
    <r>
      <rPr>
        <sz val="10"/>
        <rFont val="Verdana"/>
        <family val="2"/>
      </rPr>
      <t xml:space="preserve"> - el mes de Damodara. A lo largo de este mes, los devotos conmemoran el pasatiempo del travieso Señor Krsna siendo atado con cuerdas por madre Yasoda. Los devotos ofrecen pequeñas lámparas de ghi todos los días al Señor Damodara (Krsna).</t>
    </r>
  </si>
  <si>
    <r>
      <rPr>
        <b/>
        <sz val="10"/>
        <rFont val="Verdana"/>
        <family val="2"/>
      </rPr>
      <t>Dipa-dan, Dipavali, o Diwali (Festival de las luces) (y Kalipuja)</t>
    </r>
    <r>
      <rPr>
        <sz val="10"/>
        <rFont val="Verdana"/>
        <family val="2"/>
      </rPr>
      <t xml:space="preserve"> - conmemoración del regreso del Señor Rama del exilio a Ayodhya, Su capital, tras la derrota del demonio Ravana. (Vaishnavas no observan regularmente Kalipuja, la adoración a Durga Devi.)</t>
    </r>
  </si>
  <si>
    <r>
      <rPr>
        <b/>
        <sz val="10"/>
        <rFont val="Verdana"/>
        <family val="2"/>
      </rPr>
      <t>Ekadasi</t>
    </r>
    <r>
      <rPr>
        <sz val="10"/>
        <rFont val="Verdana"/>
        <family val="2"/>
      </rPr>
      <t xml:space="preserve"> - es el undécimo día lunar (tithi) de las quincenas brillantes (shukla paksha) o oscura (krishna paksha) de cada mes lunar (masa) del Calendario Védico (también llamado Panchang). En estos días se observa ayuno completo de granos, frijoles, cereales y derivados.</t>
    </r>
  </si>
  <si>
    <r>
      <rPr>
        <b/>
        <sz val="10"/>
        <rFont val="Verdana"/>
        <family val="2"/>
      </rPr>
      <t>Ganga Puja</t>
    </r>
    <r>
      <rPr>
        <sz val="10"/>
        <rFont val="Verdana"/>
        <family val="2"/>
      </rPr>
      <t xml:space="preserve"> - aniversario de la aparición de Ganga Devi, la semideusa del río Ganges.</t>
    </r>
  </si>
  <si>
    <r>
      <rPr>
        <b/>
        <sz val="10"/>
        <rFont val="Verdana"/>
        <family val="2"/>
      </rPr>
      <t>Ganga Sagara Mela</t>
    </r>
    <r>
      <rPr>
        <sz val="10"/>
        <rFont val="Verdana"/>
        <family val="2"/>
      </rPr>
      <t xml:space="preserve"> - festival observado especialmente en la confluencia del Ganges con la bahía de Bengala. Kapilasrama, el asrama de la encarnación del Señor Krsna como Kapiladeva, el hijo de Devahuti, está situado en este lugar. El festival conmemora la traída del río Ganges por el rey Bhagirathi de los planetas celestiales hacia el océano y los planetas inferiores.</t>
    </r>
  </si>
  <si>
    <r>
      <rPr>
        <b/>
        <sz val="10"/>
        <rFont val="Verdana"/>
        <family val="2"/>
      </rPr>
      <t>Gaura Purnima</t>
    </r>
    <r>
      <rPr>
        <sz val="10"/>
        <rFont val="Verdana"/>
        <family val="2"/>
      </rPr>
      <t xml:space="preserve"> - aniversario de la aparición del Señor Sri Caitanya Mahaprabhu, que es el mismo Krishna en el papel de Su propio devoto. Él aparece en este mundo para difundir el amor a Krishna a través del canto congregacional de Sus santos nombres. Él apareció en Sridhama Mayapur, Bengala Occidental, en 1486. ​​Sus actividades y enseñanzas se describen en detalle en el libro "Enseñanzas del Señor Caitanya" y en el "Sri Caitanya-Caritamrta". (Véase también el Srimad-Bhagavatam 11.5.32)</t>
    </r>
  </si>
  <si>
    <r>
      <rPr>
        <b/>
        <sz val="10"/>
        <rFont val="Verdana"/>
        <family val="2"/>
      </rPr>
      <t>Gopastami, o Gosthastami</t>
    </r>
    <r>
      <rPr>
        <sz val="10"/>
        <rFont val="Verdana"/>
        <family val="2"/>
      </rPr>
      <t xml:space="preserve"> - después de haber previamente pastoreado los terneros, en este día Krishna salió para pastorear las vacas por primera vez. Así se convirtió en un gopa, un vaquero. En este día las goteras (corrales para vacas) son limpias, las vacas son adoradas y prasadas (comida santificada) es ofrecida a ellas por los devotos.</t>
    </r>
  </si>
  <si>
    <r>
      <rPr>
        <b/>
        <sz val="10"/>
        <rFont val="Verdana"/>
        <family val="2"/>
      </rPr>
      <t>Govardhana Puja</t>
    </r>
    <r>
      <rPr>
        <sz val="10"/>
        <rFont val="Verdana"/>
        <family val="2"/>
      </rPr>
      <t xml:space="preserve"> - el festival conmemorando el almuerzo de Govardhana Hill por los residentes de Vrndavana y Lord Krsna's lifting the hill.</t>
    </r>
  </si>
  <si>
    <r>
      <rPr>
        <b/>
        <sz val="10"/>
        <rFont val="Verdana"/>
        <family val="2"/>
      </rPr>
      <t>Go Puja (o Go-krda)</t>
    </r>
    <r>
      <rPr>
        <sz val="10"/>
        <rFont val="Verdana"/>
        <family val="2"/>
      </rPr>
      <t xml:space="preserve"> - En este día, según Hari-Bhakti-Vilasa, uno debe decorar los cows y los bulls, make ellos run, y tienen los bulls plow the field.</t>
    </r>
  </si>
  <si>
    <r>
      <rPr>
        <b/>
        <sz val="10"/>
        <rFont val="Verdana"/>
        <family val="2"/>
      </rPr>
      <t>Gundica Marjana</t>
    </r>
    <r>
      <rPr>
        <sz val="10"/>
        <rFont val="Verdana"/>
        <family val="2"/>
      </rPr>
      <t xml:space="preserve"> - el limpiamiento del templo griego en Jagannatha Puri, India.</t>
    </r>
  </si>
  <si>
    <r>
      <rPr>
        <b/>
        <sz val="10"/>
        <rFont val="Verdana"/>
        <family val="2"/>
      </rPr>
      <t>Gurú (Vyasa) Purnima</t>
    </r>
    <r>
      <rPr>
        <sz val="10"/>
        <rFont val="Verdana"/>
        <family val="2"/>
      </rPr>
      <t xml:space="preserve"> - el aniversario del Srila Vyasadeva, el compilador de los Vedicentes.</t>
    </r>
  </si>
  <si>
    <r>
      <rPr>
        <b/>
        <sz val="10"/>
        <rFont val="Verdana"/>
        <family val="2"/>
      </rPr>
      <t>Hera Pancami</t>
    </r>
    <r>
      <rPr>
        <sz val="10"/>
        <rFont val="Verdana"/>
        <family val="2"/>
      </rPr>
      <t xml:space="preserve"> - a festival celebrado de tres días después Ratha-yatra para conmemorate Srimati Rukmini Devi's visitar a Vrndavana para traer Lord Krsna back to Dvaraka.</t>
    </r>
  </si>
  <si>
    <r>
      <rPr>
        <b/>
        <sz val="10"/>
        <rFont val="Verdana"/>
        <family val="2"/>
      </rPr>
      <t>Jagaddhatri Puja</t>
    </r>
    <r>
      <rPr>
        <sz val="10"/>
        <rFont val="Verdana"/>
        <family val="2"/>
      </rPr>
      <t xml:space="preserve"> - el día para la adoración de la forma de Mahamaya llamado Jagaddhatri, "el conservador del mundo del mundo." (Vaisnavas del not generalmente observe este festival.)</t>
    </r>
  </si>
  <si>
    <r>
      <rPr>
        <b/>
        <sz val="10"/>
        <rFont val="Verdana"/>
        <family val="2"/>
      </rPr>
      <t>Festival de Jagannatha Misra</t>
    </r>
    <r>
      <rPr>
        <sz val="10"/>
        <rFont val="Verdana"/>
        <family val="2"/>
      </rPr>
      <t xml:space="preserve"> - el día del padre de la Caitanya Mahaprabhu celebrado las celebraciones para la Caída de Caitanya's.</t>
    </r>
  </si>
  <si>
    <r>
      <rPr>
        <b/>
        <sz val="10"/>
        <rFont val="Verdana"/>
        <family val="2"/>
      </rPr>
      <t>Jahnu Saptami</t>
    </r>
    <r>
      <rPr>
        <sz val="10"/>
        <rFont val="Verdana"/>
        <family val="2"/>
      </rPr>
      <t xml:space="preserve"> - The day cuando el sage Jahnu puso en marcha el río Ganges después de la suya. En este día, si es posible, uno debe pagar los Ganges y golpear en las aguas.</t>
    </r>
  </si>
  <si>
    <r>
      <rPr>
        <b/>
        <sz val="10"/>
        <rFont val="Verdana"/>
        <family val="2"/>
      </rPr>
      <t>Katyayani vrata</t>
    </r>
    <r>
      <rPr>
        <sz val="10"/>
        <rFont val="Verdana"/>
        <family val="2"/>
      </rPr>
      <t xml:space="preserve"> - la vow para observar austeridades a favor de Katyayani Devi, o Yogamaya Devi, la fuerza espiritual de Lord Krsna.</t>
    </r>
  </si>
  <si>
    <r>
      <rPr>
        <b/>
        <sz val="10"/>
        <rFont val="Verdana"/>
        <family val="2"/>
      </rPr>
      <t>Krsna Janmastami</t>
    </r>
    <r>
      <rPr>
        <sz val="10"/>
        <rFont val="Verdana"/>
        <family val="2"/>
      </rPr>
      <t xml:space="preserve"> - el aniversario del Señor Sri Krsna, la Suprema Personalidad de Godhead.</t>
    </r>
  </si>
  <si>
    <r>
      <rPr>
        <b/>
        <sz val="10"/>
        <rFont val="Verdana"/>
        <family val="2"/>
      </rPr>
      <t>Krsna Phula Dola, Salila Vihara</t>
    </r>
    <r>
      <rPr>
        <sz val="10"/>
        <rFont val="Verdana"/>
        <family val="2"/>
      </rPr>
      <t xml:space="preserve"> - el festival de verano para las Deidades de Sri Sri Radha-Krsna.</t>
    </r>
  </si>
  <si>
    <r>
      <rPr>
        <b/>
        <sz val="10"/>
        <rFont val="Verdana"/>
        <family val="2"/>
      </rPr>
      <t>Krsna Pusya abhiseka</t>
    </r>
    <r>
      <rPr>
        <sz val="10"/>
        <rFont val="Verdana"/>
        <family val="2"/>
      </rPr>
      <t xml:space="preserve"> - Durante la mañana puja, o el almuerzo, la Deidad o la salagrama es bathed in pure ghee. "Srila Prabhupada once cuenta el festival de esta manera:" Krishna fue a juguete en los manos de los Gopis, so one day el Gopis decidido que hemos decorado Him. Pusyabhisheka a través de la ceremonia para decorar el deity profusamente con las flores, los ornamentos, los tejidos. Después de que debería ser lavish y se procesa a través de las calles, por lo que todos los ciudadanos deberían ver cómo el hermoso Krishna aparece.</t>
    </r>
  </si>
  <si>
    <r>
      <rPr>
        <b/>
        <sz val="10"/>
        <rFont val="Verdana"/>
        <family val="2"/>
      </rPr>
      <t>Krsna Rasayatra</t>
    </r>
    <r>
      <rPr>
        <sz val="10"/>
        <rFont val="Verdana"/>
        <family val="2"/>
      </rPr>
      <t xml:space="preserve"> - Lord Krsna's rasa dance con sus novias.</t>
    </r>
  </si>
  <si>
    <r>
      <rPr>
        <b/>
        <sz val="10"/>
        <rFont val="Verdana"/>
        <family val="2"/>
      </rPr>
      <t>Krsna Saradiya Rasayatra</t>
    </r>
    <r>
      <rPr>
        <sz val="10"/>
        <rFont val="Verdana"/>
        <family val="2"/>
      </rPr>
      <t xml:space="preserve"> - Lord Krsna's autumn rasa dance con sus novias.</t>
    </r>
  </si>
  <si>
    <r>
      <rPr>
        <b/>
        <sz val="10"/>
        <rFont val="Verdana"/>
        <family val="2"/>
      </rPr>
      <t>Krsna Vasanta Ras</t>
    </r>
    <r>
      <rPr>
        <sz val="10"/>
        <rFont val="Verdana"/>
        <family val="2"/>
      </rPr>
      <t>a - Lord Krsna's springtime rasa dance.</t>
    </r>
  </si>
  <si>
    <r>
      <rPr>
        <b/>
        <sz val="10"/>
        <rFont val="Verdana"/>
        <family val="2"/>
      </rPr>
      <t>Laksmi Puja</t>
    </r>
    <r>
      <rPr>
        <sz val="10"/>
        <rFont val="Verdana"/>
        <family val="2"/>
      </rPr>
      <t xml:space="preserve"> - adoración de Laksmi Devi, la consagra de Lord Visnu (not notado por Gaudiya Vaisnavas).</t>
    </r>
  </si>
  <si>
    <r>
      <rPr>
        <b/>
        <sz val="10"/>
        <rFont val="Verdana"/>
        <family val="2"/>
      </rPr>
      <t>Lalita Sasti</t>
    </r>
    <r>
      <rPr>
        <sz val="10"/>
        <rFont val="Verdana"/>
        <family val="2"/>
      </rPr>
      <t xml:space="preserve"> - El día de Lalita-sakhi, el íntimo confidente de Srimati Radharani.</t>
    </r>
  </si>
  <si>
    <r>
      <rPr>
        <b/>
        <sz val="10"/>
        <rFont val="Verdana"/>
        <family val="2"/>
      </rPr>
      <t>Nandotsava</t>
    </r>
    <r>
      <rPr>
        <sz val="10"/>
        <rFont val="Verdana"/>
        <family val="2"/>
      </rPr>
      <t xml:space="preserve"> - el festival observado por Nanda Maharaja, Lord Krsna's father, a celebrar Lord Krsna's appearance.</t>
    </r>
  </si>
  <si>
    <r>
      <rPr>
        <b/>
        <sz val="10"/>
        <rFont val="Verdana"/>
        <family val="2"/>
      </rPr>
      <t>Nrsimha Caturdasi</t>
    </r>
    <r>
      <rPr>
        <sz val="10"/>
        <rFont val="Verdana"/>
        <family val="2"/>
      </rPr>
      <t xml:space="preserve"> - el límite del aniversario de Lord Nrsimhadeva, Lord Krsna's encarnación las mitad-man, half-lion.</t>
    </r>
  </si>
  <si>
    <r>
      <rPr>
        <b/>
        <sz val="10"/>
        <rFont val="Verdana"/>
        <family val="2"/>
      </rPr>
      <t>Odana sasthi</t>
    </r>
    <r>
      <rPr>
        <sz val="10"/>
        <rFont val="Verdana"/>
        <family val="2"/>
      </rPr>
      <t xml:space="preserve"> - El comienzo del invierno en la India. Desde el día que viene, la cubierta de invierno debe darse a Lord Jagannatha. De acuerdo con la arcano-marga, el paño debe primero ser colocado para quitar todo el cargamento y, a continuación, se puede utilizar para cubrir el Señor. (See Cc Madhya 16.78 purport)</t>
    </r>
  </si>
  <si>
    <r>
      <rPr>
        <b/>
        <sz val="10"/>
        <rFont val="Verdana"/>
        <family val="2"/>
      </rPr>
      <t>Panihati Cida Dahi Utsava</t>
    </r>
    <r>
      <rPr>
        <sz val="10"/>
        <rFont val="Verdana"/>
        <family val="2"/>
      </rPr>
      <t xml:space="preserve"> - Srila Raghunatha Dasa Gosvami's chipped-rice-and-yogurt festival para Lord Caitanya y sus asociados. En el marco de la Conferencia de las Naciones Unidas.</t>
    </r>
  </si>
  <si>
    <r>
      <rPr>
        <b/>
        <sz val="10"/>
        <rFont val="Verdana"/>
        <family val="2"/>
      </rPr>
      <t>Radhastami</t>
    </r>
    <r>
      <rPr>
        <sz val="10"/>
        <rFont val="Verdana"/>
        <family val="2"/>
      </rPr>
      <t xml:space="preserve"> - el aniversario de Srimati Radharani, el constable consuelo de Lord Krsna.</t>
    </r>
  </si>
  <si>
    <r>
      <rPr>
        <b/>
        <sz val="10"/>
        <rFont val="Verdana"/>
        <family val="2"/>
      </rPr>
      <t>Radha Govinda Jhulan Yatra</t>
    </r>
    <r>
      <rPr>
        <sz val="10"/>
        <rFont val="Verdana"/>
        <family val="2"/>
      </rPr>
      <t xml:space="preserve"> - el swing festival de Radha-Krsna. El Deidades de viaje en un diseño de decoración personalizada.</t>
    </r>
  </si>
  <si>
    <r>
      <rPr>
        <b/>
        <sz val="10"/>
        <rFont val="Verdana"/>
        <family val="2"/>
      </rPr>
      <t>Radha Kunda prakat, snan dan</t>
    </r>
    <r>
      <rPr>
        <sz val="10"/>
        <rFont val="Verdana"/>
        <family val="2"/>
      </rPr>
      <t xml:space="preserve"> - el aniversario de la Radha- kunda, la azotea de Srimati Radharani in Vrndavana. Los devotees golpea allí sobre el día de ayer de este día.</t>
    </r>
  </si>
  <si>
    <r>
      <rPr>
        <b/>
        <sz val="10"/>
        <rFont val="Verdana"/>
        <family val="2"/>
      </rPr>
      <t>Radha Ramana Devji - aparecimiento</t>
    </r>
    <r>
      <rPr>
        <sz val="10"/>
        <rFont val="Verdana"/>
        <family val="2"/>
      </rPr>
      <t xml:space="preserve"> - el aspecto de la Deidad del Señor Krishna adorado por Srila Gopala Bhatta Goswami.</t>
    </r>
  </si>
  <si>
    <r>
      <rPr>
        <b/>
        <sz val="10"/>
        <rFont val="Verdana"/>
        <family val="2"/>
      </rPr>
      <t>Ramacandra Vijayotsava</t>
    </r>
    <r>
      <rPr>
        <sz val="10"/>
        <rFont val="Verdana"/>
        <family val="2"/>
      </rPr>
      <t xml:space="preserve"> - Lord Ramacandra's victoria sobre el demoníaco Ravana. La gran effigy de Ravana es ceremoniously quemada.</t>
    </r>
  </si>
  <si>
    <r>
      <rPr>
        <b/>
        <sz val="10"/>
        <rFont val="Verdana"/>
        <family val="2"/>
      </rPr>
      <t>Ratha Yatra</t>
    </r>
    <r>
      <rPr>
        <sz val="10"/>
        <rFont val="Verdana"/>
        <family val="2"/>
      </rPr>
      <t xml:space="preserve"> - El chariot festival en que Lord Krsna en la forma de Lord Jagannatha rides con Lord Balarama y Subhadra Devi in ​​Jagannatha Puri, India.</t>
    </r>
  </si>
  <si>
    <r>
      <rPr>
        <b/>
        <sz val="10"/>
        <rFont val="Verdana"/>
        <family val="2"/>
      </rPr>
      <t>Salagrama y Tulasi Jala Dan</t>
    </r>
    <r>
      <rPr>
        <sz val="10"/>
        <rFont val="Verdana"/>
        <family val="2"/>
      </rPr>
      <t xml:space="preserve"> - Durante la temporada caliente en India, el pot de la filtración de agua se coloca sobre Tulasi y Salagrama para mantenerlos frescos. (Generalmente, esto es impractical en el oeste, donde es frío durante este equipo.)</t>
    </r>
  </si>
  <si>
    <r>
      <rPr>
        <b/>
        <sz val="10"/>
        <rFont val="Verdana"/>
        <family val="2"/>
      </rPr>
      <t>Sarasvati Puja</t>
    </r>
    <r>
      <rPr>
        <sz val="10"/>
        <rFont val="Verdana"/>
        <family val="2"/>
      </rPr>
      <t xml:space="preserve"> - adoración de la santidad Sarasvati (no conocido por Vaisnavas).</t>
    </r>
  </si>
  <si>
    <r>
      <rPr>
        <b/>
        <sz val="10"/>
        <rFont val="Verdana"/>
        <family val="2"/>
      </rPr>
      <t>Siva Ratri</t>
    </r>
    <r>
      <rPr>
        <sz val="10"/>
        <rFont val="Verdana"/>
        <family val="2"/>
      </rPr>
      <t xml:space="preserve"> - adoración de Lord Siva. Los devotos pueden bañar Siva-lingam en agua y panca-gavya (cinco sustancias de la vaca) y ofrecer Krishna-prasadam al Señor Shiva. Fasting es opcional para Vaisnavas.</t>
    </r>
  </si>
  <si>
    <r>
      <rPr>
        <b/>
        <sz val="10"/>
        <rFont val="Verdana"/>
        <family val="2"/>
      </rPr>
      <t>Snana Yatra</t>
    </r>
    <r>
      <rPr>
        <sz val="10"/>
        <rFont val="Verdana"/>
        <family val="2"/>
      </rPr>
      <t xml:space="preserve"> - On this full-moon day, sixteen days before Ratha-yatra, Lord Jagannatha es bathed. He estado enfermo y se confinó para quedarse por cuatro días. En el caso de Ratha-yatra.</t>
    </r>
  </si>
  <si>
    <r>
      <rPr>
        <b/>
        <sz val="10"/>
        <rFont val="Verdana"/>
        <family val="2"/>
      </rPr>
      <t>Srila Prabhupada - Aceptación de sannyasa</t>
    </r>
    <r>
      <rPr>
        <sz val="10"/>
        <rFont val="Verdana"/>
        <family val="2"/>
      </rPr>
      <t xml:space="preserve"> - Srila Prabhupada aceptó sannyasa, el orden renunciado de la vida, de Sri Srimad Bhakti Vijnana Kesava Goswami Maharaja en Mathura, India, en 1959.</t>
    </r>
  </si>
  <si>
    <r>
      <rPr>
        <b/>
        <sz val="10"/>
        <rFont val="Verdana"/>
        <family val="2"/>
      </rPr>
      <t>Srila Prabhupada - Salida hacia los Estados Unidos</t>
    </r>
    <r>
      <rPr>
        <sz val="10"/>
        <rFont val="Verdana"/>
        <family val="2"/>
      </rPr>
      <t xml:space="preserve"> - este día, en 1965, Srila Prabhupada dejó Calcuta a bordo del barco carguero a vapor Jaladuta.</t>
    </r>
  </si>
  <si>
    <r>
      <rPr>
        <b/>
        <sz val="10"/>
        <rFont val="Verdana"/>
        <family val="2"/>
      </rPr>
      <t>Srila Prabhupada en los Estados Unidos</t>
    </r>
    <r>
      <rPr>
        <sz val="10"/>
        <rFont val="Verdana"/>
        <family val="2"/>
      </rPr>
      <t xml:space="preserve"> - Srila Prabhupada llegó en Boston el 17 de septiembre de 1965.</t>
    </r>
  </si>
  <si>
    <r>
      <rPr>
        <b/>
        <sz val="10"/>
        <rFont val="Verdana"/>
        <family val="2"/>
      </rPr>
      <t>La incorporación de ISKCON en Nueva York</t>
    </r>
    <r>
      <rPr>
        <sz val="10"/>
        <rFont val="Verdana"/>
        <family val="2"/>
      </rPr>
      <t xml:space="preserve"> - Srila Prabhupada fundó ISKCON, la Sociedad Internacional para Krishna Consciousness, en 1966.</t>
    </r>
  </si>
  <si>
    <r>
      <rPr>
        <b/>
        <sz val="10"/>
        <rFont val="Verdana"/>
        <family val="2"/>
      </rPr>
      <t>Srila Prabhupada - desaparecimiento</t>
    </r>
    <r>
      <rPr>
        <sz val="10"/>
        <rFont val="Verdana"/>
        <family val="2"/>
      </rPr>
      <t xml:space="preserve"> - Srila Prabhupada left this world on November 14, 1977, in Vrndavana, India. Los devotos observan este aniversario con personal remembrances de Srila Prabhupada, readings de su biografía, and so on.</t>
    </r>
  </si>
  <si>
    <r>
      <rPr>
        <b/>
        <sz val="10"/>
        <rFont val="Verdana"/>
        <family val="2"/>
      </rPr>
      <t>Tulasi-Saligram Vivaha</t>
    </r>
    <r>
      <rPr>
        <sz val="10"/>
        <rFont val="Verdana"/>
        <family val="2"/>
      </rPr>
      <t xml:space="preserve"> - la boda de Salagrama y Tulasi Devi.</t>
    </r>
  </si>
  <si>
    <r>
      <rPr>
        <b/>
        <sz val="10"/>
        <rFont val="Verdana"/>
        <family val="2"/>
      </rPr>
      <t>Vamana Dvadasi</t>
    </r>
    <r>
      <rPr>
        <sz val="10"/>
        <rFont val="Verdana"/>
        <family val="2"/>
      </rPr>
      <t xml:space="preserve"> - el aniversario del Señor Vamanadeva, el enano de la encarnación de Lord Krsna.</t>
    </r>
  </si>
  <si>
    <r>
      <rPr>
        <b/>
        <sz val="10"/>
        <rFont val="Verdana"/>
        <family val="2"/>
      </rPr>
      <t>Vasanta Pancami</t>
    </r>
    <r>
      <rPr>
        <sz val="10"/>
        <rFont val="Verdana"/>
        <family val="2"/>
      </rPr>
      <t xml:space="preserve"> - el primer día de la primavera. En este día, las Deidades están ofreciendo muchas flores, hojas y nuevos brotes de hierba.</t>
    </r>
  </si>
  <si>
    <r>
      <rPr>
        <b/>
        <sz val="10"/>
        <rFont val="Verdana"/>
        <family val="2"/>
      </rPr>
      <t>Snana Dana</t>
    </r>
    <r>
      <rPr>
        <sz val="10"/>
        <rFont val="Verdana"/>
        <family val="2"/>
      </rPr>
      <t xml:space="preserve"> - aniversario de aparecimiento de Radha-kunda, el lago donde Srimati Radharani se baña en Vrndavana. Los devotos se bañan allí especialmente en la medianoche de este día.</t>
    </r>
  </si>
  <si>
    <r>
      <rPr>
        <b/>
        <sz val="10"/>
        <rFont val="Verdana"/>
        <family val="2"/>
      </rPr>
      <t>Snana Dana</t>
    </r>
    <r>
      <rPr>
        <sz val="10"/>
        <rFont val="Verdana"/>
        <family val="2"/>
      </rPr>
      <t xml:space="preserve"> -- anniversary of appearance of Radha-kunda, the lake where Srimati Radharani Bathes in Vrndavana. The devotees bathe there especially at midnight of this day.</t>
    </r>
  </si>
  <si>
    <t>Ângulo Plano</t>
  </si>
  <si>
    <t>1 grau =</t>
  </si>
  <si>
    <t>1 minuto =</t>
  </si>
  <si>
    <t>1 segundo =</t>
  </si>
  <si>
    <t xml:space="preserve">1 radiano = </t>
  </si>
  <si>
    <t>1 revolução (volta) =</t>
  </si>
  <si>
    <t>Comprimento</t>
  </si>
  <si>
    <t>1 centímetro =</t>
  </si>
  <si>
    <t>m</t>
  </si>
  <si>
    <r>
      <t xml:space="preserve"> 10</t>
    </r>
    <r>
      <rPr>
        <vertAlign val="superscript"/>
        <sz val="11"/>
        <color theme="1"/>
        <rFont val="Calibri"/>
        <family val="2"/>
        <scheme val="minor"/>
      </rPr>
      <t>-2</t>
    </r>
  </si>
  <si>
    <t xml:space="preserve"> °</t>
  </si>
  <si>
    <t xml:space="preserve"> '</t>
  </si>
  <si>
    <t xml:space="preserve"> ''</t>
  </si>
  <si>
    <t xml:space="preserve"> radiano</t>
  </si>
  <si>
    <t xml:space="preserve"> rev </t>
  </si>
  <si>
    <r>
      <t xml:space="preserve"> 1,667 x 10</t>
    </r>
    <r>
      <rPr>
        <vertAlign val="superscript"/>
        <sz val="11"/>
        <color theme="1"/>
        <rFont val="Calibri"/>
        <family val="2"/>
        <scheme val="minor"/>
      </rPr>
      <t>-2</t>
    </r>
  </si>
  <si>
    <r>
      <t xml:space="preserve"> 2,16 x 10</t>
    </r>
    <r>
      <rPr>
        <vertAlign val="superscript"/>
        <sz val="11"/>
        <color theme="1"/>
        <rFont val="Calibri"/>
        <family val="2"/>
        <scheme val="minor"/>
      </rPr>
      <t>4</t>
    </r>
  </si>
  <si>
    <r>
      <t xml:space="preserve"> 2,063 x 10</t>
    </r>
    <r>
      <rPr>
        <vertAlign val="superscript"/>
        <sz val="11"/>
        <color theme="1"/>
        <rFont val="Calibri"/>
        <family val="2"/>
        <scheme val="minor"/>
      </rPr>
      <t>5</t>
    </r>
  </si>
  <si>
    <t xml:space="preserve"> 1,296 x 106</t>
  </si>
  <si>
    <t xml:space="preserve"> 1</t>
  </si>
  <si>
    <t xml:space="preserve"> 60</t>
  </si>
  <si>
    <t xml:space="preserve"> 3600</t>
  </si>
  <si>
    <t xml:space="preserve"> 3,438</t>
  </si>
  <si>
    <r>
      <t xml:space="preserve"> 2,778 x 10</t>
    </r>
    <r>
      <rPr>
        <vertAlign val="superscript"/>
        <sz val="11"/>
        <color theme="1"/>
        <rFont val="Calibri"/>
        <family val="2"/>
        <scheme val="minor"/>
      </rPr>
      <t>-4</t>
    </r>
  </si>
  <si>
    <t xml:space="preserve"> 57,3</t>
  </si>
  <si>
    <t xml:space="preserve"> 360</t>
  </si>
  <si>
    <r>
      <t xml:space="preserve"> 1,745 x 10</t>
    </r>
    <r>
      <rPr>
        <vertAlign val="superscript"/>
        <sz val="11"/>
        <color theme="1"/>
        <rFont val="Calibri"/>
        <family val="2"/>
        <scheme val="minor"/>
      </rPr>
      <t>-2</t>
    </r>
  </si>
  <si>
    <r>
      <t xml:space="preserve"> 2,909 x 10</t>
    </r>
    <r>
      <rPr>
        <vertAlign val="superscript"/>
        <sz val="11"/>
        <color theme="1"/>
        <rFont val="Calibri"/>
        <family val="2"/>
        <scheme val="minor"/>
      </rPr>
      <t>-4</t>
    </r>
  </si>
  <si>
    <r>
      <t xml:space="preserve"> 4,848 x 10</t>
    </r>
    <r>
      <rPr>
        <vertAlign val="superscript"/>
        <sz val="11"/>
        <color theme="1"/>
        <rFont val="Calibri"/>
        <family val="2"/>
        <scheme val="minor"/>
      </rPr>
      <t>-6</t>
    </r>
  </si>
  <si>
    <t xml:space="preserve"> 6,283</t>
  </si>
  <si>
    <r>
      <t xml:space="preserve"> 2,778 x 10</t>
    </r>
    <r>
      <rPr>
        <vertAlign val="superscript"/>
        <sz val="11"/>
        <color theme="1"/>
        <rFont val="Calibri"/>
        <family val="2"/>
        <scheme val="minor"/>
      </rPr>
      <t>-3</t>
    </r>
  </si>
  <si>
    <r>
      <t xml:space="preserve"> 4,630 x 10</t>
    </r>
    <r>
      <rPr>
        <vertAlign val="superscript"/>
        <sz val="11"/>
        <color theme="1"/>
        <rFont val="Calibri"/>
        <family val="2"/>
        <scheme val="minor"/>
      </rPr>
      <t>-5</t>
    </r>
  </si>
  <si>
    <r>
      <t xml:space="preserve"> 7,716 x 10</t>
    </r>
    <r>
      <rPr>
        <vertAlign val="superscript"/>
        <sz val="11"/>
        <color theme="1"/>
        <rFont val="Calibri"/>
        <family val="2"/>
        <scheme val="minor"/>
      </rPr>
      <t>-7</t>
    </r>
  </si>
  <si>
    <t xml:space="preserve"> 0,1592</t>
  </si>
  <si>
    <t xml:space="preserve"> cm</t>
  </si>
  <si>
    <t xml:space="preserve"> m</t>
  </si>
  <si>
    <t xml:space="preserve"> km</t>
  </si>
  <si>
    <t xml:space="preserve"> in</t>
  </si>
  <si>
    <t xml:space="preserve"> ft</t>
  </si>
  <si>
    <t xml:space="preserve"> mi</t>
  </si>
  <si>
    <r>
      <t xml:space="preserve"> 10</t>
    </r>
    <r>
      <rPr>
        <vertAlign val="superscript"/>
        <sz val="11"/>
        <color theme="1"/>
        <rFont val="Calibri"/>
        <family val="2"/>
        <scheme val="minor"/>
      </rPr>
      <t>-5</t>
    </r>
  </si>
  <si>
    <t xml:space="preserve"> 0,3937</t>
  </si>
  <si>
    <r>
      <t xml:space="preserve"> 3,281 x 10</t>
    </r>
    <r>
      <rPr>
        <vertAlign val="superscript"/>
        <sz val="11"/>
        <color theme="1"/>
        <rFont val="Calibri"/>
        <family val="2"/>
        <scheme val="minor"/>
      </rPr>
      <t>-2</t>
    </r>
  </si>
  <si>
    <r>
      <t xml:space="preserve"> 6,214 x 10</t>
    </r>
    <r>
      <rPr>
        <vertAlign val="superscript"/>
        <sz val="11"/>
        <color theme="1"/>
        <rFont val="Calibri"/>
        <family val="2"/>
        <scheme val="minor"/>
      </rPr>
      <t>-5</t>
    </r>
  </si>
  <si>
    <t>1 metro =</t>
  </si>
  <si>
    <t>1 quilômetro =</t>
  </si>
  <si>
    <t xml:space="preserve">1 milha = </t>
  </si>
  <si>
    <t>1 pé =</t>
  </si>
  <si>
    <t>1 polegada =</t>
  </si>
  <si>
    <t xml:space="preserve"> 100</t>
  </si>
  <si>
    <r>
      <t xml:space="preserve"> 10</t>
    </r>
    <r>
      <rPr>
        <vertAlign val="superscript"/>
        <sz val="11"/>
        <color theme="1"/>
        <rFont val="Calibri"/>
        <family val="2"/>
        <scheme val="minor"/>
      </rPr>
      <t>-3</t>
    </r>
  </si>
  <si>
    <t xml:space="preserve"> 39,37</t>
  </si>
  <si>
    <t xml:space="preserve"> 3,281</t>
  </si>
  <si>
    <r>
      <t xml:space="preserve"> 6,214 x 10</t>
    </r>
    <r>
      <rPr>
        <vertAlign val="superscript"/>
        <sz val="11"/>
        <color theme="1"/>
        <rFont val="Calibri"/>
        <family val="2"/>
        <scheme val="minor"/>
      </rPr>
      <t>-4</t>
    </r>
  </si>
  <si>
    <r>
      <t xml:space="preserve"> 10</t>
    </r>
    <r>
      <rPr>
        <vertAlign val="superscript"/>
        <sz val="11"/>
        <color theme="1"/>
        <rFont val="Calibri"/>
        <family val="2"/>
        <scheme val="minor"/>
      </rPr>
      <t>5</t>
    </r>
  </si>
  <si>
    <t xml:space="preserve"> 1000</t>
  </si>
  <si>
    <r>
      <t xml:space="preserve"> 3,937 x 10</t>
    </r>
    <r>
      <rPr>
        <vertAlign val="superscript"/>
        <sz val="11"/>
        <color theme="1"/>
        <rFont val="Calibri"/>
        <family val="2"/>
        <scheme val="minor"/>
      </rPr>
      <t>4</t>
    </r>
  </si>
  <si>
    <t xml:space="preserve"> 3281</t>
  </si>
  <si>
    <t xml:space="preserve"> 0,6214</t>
  </si>
  <si>
    <t xml:space="preserve"> 2,540</t>
  </si>
  <si>
    <r>
      <t xml:space="preserve"> 2,540 x 10</t>
    </r>
    <r>
      <rPr>
        <vertAlign val="superscript"/>
        <sz val="11"/>
        <color theme="1"/>
        <rFont val="Calibri"/>
        <family val="2"/>
        <scheme val="minor"/>
      </rPr>
      <t>-2</t>
    </r>
  </si>
  <si>
    <r>
      <t xml:space="preserve"> 2,540 x 10</t>
    </r>
    <r>
      <rPr>
        <vertAlign val="superscript"/>
        <sz val="11"/>
        <color theme="1"/>
        <rFont val="Calibri"/>
        <family val="2"/>
        <scheme val="minor"/>
      </rPr>
      <t>-5</t>
    </r>
  </si>
  <si>
    <r>
      <t xml:space="preserve"> 8,333 x 10</t>
    </r>
    <r>
      <rPr>
        <vertAlign val="superscript"/>
        <sz val="11"/>
        <color theme="1"/>
        <rFont val="Calibri"/>
        <family val="2"/>
        <scheme val="minor"/>
      </rPr>
      <t>-2</t>
    </r>
  </si>
  <si>
    <t xml:space="preserve"> 1,578 x 10-5</t>
  </si>
  <si>
    <t xml:space="preserve"> 30,48</t>
  </si>
  <si>
    <t xml:space="preserve"> 0,3048</t>
  </si>
  <si>
    <r>
      <t xml:space="preserve"> 3,048 x 10</t>
    </r>
    <r>
      <rPr>
        <vertAlign val="superscript"/>
        <sz val="11"/>
        <color theme="1"/>
        <rFont val="Calibri"/>
        <family val="2"/>
        <scheme val="minor"/>
      </rPr>
      <t>-4</t>
    </r>
  </si>
  <si>
    <t xml:space="preserve"> 12</t>
  </si>
  <si>
    <r>
      <t xml:space="preserve"> 1,894 x 10</t>
    </r>
    <r>
      <rPr>
        <vertAlign val="superscript"/>
        <sz val="11"/>
        <color theme="1"/>
        <rFont val="Calibri"/>
        <family val="2"/>
        <scheme val="minor"/>
      </rPr>
      <t>-4</t>
    </r>
  </si>
  <si>
    <r>
      <t xml:space="preserve"> 1,609 x 10</t>
    </r>
    <r>
      <rPr>
        <vertAlign val="superscript"/>
        <sz val="11"/>
        <color theme="1"/>
        <rFont val="Calibri"/>
        <family val="2"/>
        <scheme val="minor"/>
      </rPr>
      <t>5</t>
    </r>
  </si>
  <si>
    <t xml:space="preserve"> 1609</t>
  </si>
  <si>
    <t xml:space="preserve"> 1,609</t>
  </si>
  <si>
    <r>
      <t xml:space="preserve"> 6,336 x 10</t>
    </r>
    <r>
      <rPr>
        <vertAlign val="superscript"/>
        <sz val="11"/>
        <color theme="1"/>
        <rFont val="Calibri"/>
        <family val="2"/>
        <scheme val="minor"/>
      </rPr>
      <t>4</t>
    </r>
  </si>
  <si>
    <t xml:space="preserve"> 5280</t>
  </si>
  <si>
    <r>
      <t>1 angstron = 10</t>
    </r>
    <r>
      <rPr>
        <vertAlign val="superscript"/>
        <sz val="11"/>
        <color theme="1"/>
        <rFont val="Calibri"/>
        <family val="2"/>
        <scheme val="minor"/>
      </rPr>
      <t>-10</t>
    </r>
    <r>
      <rPr>
        <sz val="11"/>
        <color theme="1"/>
        <rFont val="Calibri"/>
        <family val="2"/>
        <scheme val="minor"/>
      </rPr>
      <t>m</t>
    </r>
  </si>
  <si>
    <t>1 milha náutica = 1852m = 1,151 milhas = 6076 pés</t>
  </si>
  <si>
    <r>
      <t>1 fermi = 10</t>
    </r>
    <r>
      <rPr>
        <vertAlign val="superscript"/>
        <sz val="11"/>
        <color theme="1"/>
        <rFont val="Calibri"/>
        <family val="2"/>
        <scheme val="minor"/>
      </rPr>
      <t>-15</t>
    </r>
    <r>
      <rPr>
        <sz val="11"/>
        <color theme="1"/>
        <rFont val="Calibri"/>
        <family val="2"/>
        <scheme val="minor"/>
      </rPr>
      <t>m</t>
    </r>
  </si>
  <si>
    <t>1 braça = 6 pés = 1,829m</t>
  </si>
  <si>
    <t>1 vara = 16,5 pés = 50,29m</t>
  </si>
  <si>
    <r>
      <t>1 raio de Bohr = 5,292 x 10</t>
    </r>
    <r>
      <rPr>
        <vertAlign val="superscript"/>
        <sz val="11"/>
        <color theme="1"/>
        <rFont val="Calibri"/>
        <family val="2"/>
        <scheme val="minor"/>
      </rPr>
      <t>-11</t>
    </r>
    <r>
      <rPr>
        <sz val="11"/>
        <color theme="1"/>
        <rFont val="Calibri"/>
        <family val="2"/>
        <scheme val="minor"/>
      </rPr>
      <t>m</t>
    </r>
  </si>
  <si>
    <r>
      <t>1 mil  = 10</t>
    </r>
    <r>
      <rPr>
        <vertAlign val="superscript"/>
        <sz val="11"/>
        <color theme="1"/>
        <rFont val="Calibri"/>
        <family val="2"/>
        <scheme val="minor"/>
      </rPr>
      <t>-3</t>
    </r>
    <r>
      <rPr>
        <sz val="11"/>
        <color theme="1"/>
        <rFont val="Calibri"/>
        <family val="2"/>
        <scheme val="minor"/>
      </rPr>
      <t xml:space="preserve"> polegadas</t>
    </r>
  </si>
  <si>
    <t>1 jarda = 3 pés = 0,9144m</t>
  </si>
  <si>
    <r>
      <t>1nm = 10</t>
    </r>
    <r>
      <rPr>
        <vertAlign val="superscript"/>
        <sz val="11"/>
        <color theme="1"/>
        <rFont val="Calibri"/>
        <family val="2"/>
        <scheme val="minor"/>
      </rPr>
      <t>-9</t>
    </r>
    <r>
      <rPr>
        <sz val="11"/>
        <color theme="1"/>
        <rFont val="Calibri"/>
        <family val="2"/>
        <scheme val="minor"/>
      </rPr>
      <t>m</t>
    </r>
  </si>
  <si>
    <r>
      <t>1 parsec = 3,084 x 10</t>
    </r>
    <r>
      <rPr>
        <vertAlign val="superscript"/>
        <sz val="11"/>
        <color theme="1"/>
        <rFont val="Calibri"/>
        <family val="2"/>
        <scheme val="minor"/>
      </rPr>
      <t>15</t>
    </r>
    <r>
      <rPr>
        <sz val="11"/>
        <color theme="1"/>
        <rFont val="Calibri"/>
        <family val="2"/>
        <scheme val="minor"/>
      </rPr>
      <t>m</t>
    </r>
  </si>
  <si>
    <r>
      <t>1 ano-luz = 9,460 x 10</t>
    </r>
    <r>
      <rPr>
        <vertAlign val="superscript"/>
        <sz val="11"/>
        <color theme="1"/>
        <rFont val="Calibri"/>
        <family val="2"/>
        <scheme val="minor"/>
      </rPr>
      <t>15</t>
    </r>
    <r>
      <rPr>
        <sz val="11"/>
        <color theme="1"/>
        <rFont val="Calibri"/>
        <family val="2"/>
        <scheme val="minor"/>
      </rPr>
      <t>m</t>
    </r>
  </si>
  <si>
    <t>1 metro quadrado =</t>
  </si>
  <si>
    <t>1 centímetro quadrado =</t>
  </si>
  <si>
    <t>1 pé quadrado =</t>
  </si>
  <si>
    <t>1 polegada quadrada =</t>
  </si>
  <si>
    <r>
      <t xml:space="preserve"> 10</t>
    </r>
    <r>
      <rPr>
        <vertAlign val="superscript"/>
        <sz val="11"/>
        <color theme="1"/>
        <rFont val="Calibri"/>
        <family val="2"/>
        <scheme val="minor"/>
      </rPr>
      <t>-4</t>
    </r>
  </si>
  <si>
    <r>
      <t xml:space="preserve"> 9,290 x 10</t>
    </r>
    <r>
      <rPr>
        <vertAlign val="superscript"/>
        <sz val="11"/>
        <color theme="1"/>
        <rFont val="Calibri"/>
        <family val="2"/>
        <scheme val="minor"/>
      </rPr>
      <t>-2</t>
    </r>
  </si>
  <si>
    <r>
      <t xml:space="preserve"> 6,452 x 10</t>
    </r>
    <r>
      <rPr>
        <vertAlign val="superscript"/>
        <sz val="11"/>
        <color theme="1"/>
        <rFont val="Calibri"/>
        <family val="2"/>
        <scheme val="minor"/>
      </rPr>
      <t>-4</t>
    </r>
  </si>
  <si>
    <r>
      <t xml:space="preserve"> 10</t>
    </r>
    <r>
      <rPr>
        <vertAlign val="superscript"/>
        <sz val="11"/>
        <color theme="1"/>
        <rFont val="Calibri"/>
        <family val="2"/>
        <scheme val="minor"/>
      </rPr>
      <t>4</t>
    </r>
  </si>
  <si>
    <t xml:space="preserve"> 929,0</t>
  </si>
  <si>
    <t xml:space="preserve"> 6,452</t>
  </si>
  <si>
    <t xml:space="preserve"> 10,76</t>
  </si>
  <si>
    <r>
      <t xml:space="preserve"> 1,076 x 10</t>
    </r>
    <r>
      <rPr>
        <vertAlign val="superscript"/>
        <sz val="11"/>
        <color theme="1"/>
        <rFont val="Calibri"/>
        <family val="2"/>
        <scheme val="minor"/>
      </rPr>
      <t>-3</t>
    </r>
  </si>
  <si>
    <r>
      <t xml:space="preserve"> 6,944 x 10</t>
    </r>
    <r>
      <rPr>
        <vertAlign val="superscript"/>
        <sz val="11"/>
        <color theme="1"/>
        <rFont val="Calibri"/>
        <family val="2"/>
        <scheme val="minor"/>
      </rPr>
      <t>-3</t>
    </r>
  </si>
  <si>
    <t xml:space="preserve"> 1,550</t>
  </si>
  <si>
    <t xml:space="preserve"> 0,1550</t>
  </si>
  <si>
    <t xml:space="preserve"> 144</t>
  </si>
  <si>
    <r>
      <t>1 are = 100m</t>
    </r>
    <r>
      <rPr>
        <vertAlign val="superscript"/>
        <sz val="11"/>
        <color theme="1"/>
        <rFont val="Calibri"/>
        <family val="2"/>
        <scheme val="minor"/>
      </rPr>
      <t>2</t>
    </r>
  </si>
  <si>
    <r>
      <t>1 hectare = 10</t>
    </r>
    <r>
      <rPr>
        <vertAlign val="superscript"/>
        <sz val="11"/>
        <color theme="1"/>
        <rFont val="Calibri"/>
        <family val="2"/>
        <scheme val="minor"/>
      </rPr>
      <t>4</t>
    </r>
    <r>
      <rPr>
        <sz val="11"/>
        <color theme="1"/>
        <rFont val="Calibri"/>
        <family val="2"/>
        <scheme val="minor"/>
      </rPr>
      <t xml:space="preserve"> m</t>
    </r>
    <r>
      <rPr>
        <vertAlign val="superscript"/>
        <sz val="11"/>
        <color theme="1"/>
        <rFont val="Calibri"/>
        <family val="2"/>
        <scheme val="minor"/>
      </rPr>
      <t>2</t>
    </r>
    <r>
      <rPr>
        <sz val="11"/>
        <color theme="1"/>
        <rFont val="Calibri"/>
        <family val="2"/>
        <scheme val="minor"/>
      </rPr>
      <t xml:space="preserve"> = 2,741 acres</t>
    </r>
  </si>
  <si>
    <r>
      <t>1 acre = 43560ft</t>
    </r>
    <r>
      <rPr>
        <vertAlign val="superscript"/>
        <sz val="11"/>
        <color theme="1"/>
        <rFont val="Calibri"/>
        <family val="2"/>
        <scheme val="minor"/>
      </rPr>
      <t>2</t>
    </r>
    <r>
      <rPr>
        <sz val="11"/>
        <color theme="1"/>
        <rFont val="Calibri"/>
        <family val="2"/>
        <scheme val="minor"/>
      </rPr>
      <t xml:space="preserve"> = 40,47 ares = 4047m</t>
    </r>
    <r>
      <rPr>
        <vertAlign val="superscript"/>
        <sz val="11"/>
        <color theme="1"/>
        <rFont val="Calibri"/>
        <family val="2"/>
        <scheme val="minor"/>
      </rPr>
      <t>2</t>
    </r>
  </si>
  <si>
    <r>
      <t>1 milha quadrada = 2,788 x 10</t>
    </r>
    <r>
      <rPr>
        <vertAlign val="superscript"/>
        <sz val="11"/>
        <color theme="1"/>
        <rFont val="Calibri"/>
        <family val="2"/>
        <scheme val="minor"/>
      </rPr>
      <t>7</t>
    </r>
    <r>
      <rPr>
        <sz val="11"/>
        <color theme="1"/>
        <rFont val="Calibri"/>
        <family val="2"/>
        <scheme val="minor"/>
      </rPr>
      <t xml:space="preserve"> ft</t>
    </r>
    <r>
      <rPr>
        <vertAlign val="superscript"/>
        <sz val="11"/>
        <color theme="1"/>
        <rFont val="Calibri"/>
        <family val="2"/>
        <scheme val="minor"/>
      </rPr>
      <t>2</t>
    </r>
    <r>
      <rPr>
        <sz val="11"/>
        <color theme="1"/>
        <rFont val="Calibri"/>
        <family val="2"/>
        <scheme val="minor"/>
      </rPr>
      <t xml:space="preserve"> = 640 acres</t>
    </r>
  </si>
  <si>
    <r>
      <t>1 alqueire (SP) = 24200m</t>
    </r>
    <r>
      <rPr>
        <vertAlign val="superscript"/>
        <sz val="11"/>
        <color theme="1"/>
        <rFont val="Calibri"/>
        <family val="2"/>
        <scheme val="minor"/>
      </rPr>
      <t>2</t>
    </r>
  </si>
  <si>
    <r>
      <t>1 alqueire (GO, MG, RJ) = 48400m</t>
    </r>
    <r>
      <rPr>
        <vertAlign val="superscript"/>
        <sz val="11"/>
        <color theme="1"/>
        <rFont val="Calibri"/>
        <family val="2"/>
        <scheme val="minor"/>
      </rPr>
      <t>2</t>
    </r>
  </si>
  <si>
    <t>Volume</t>
  </si>
  <si>
    <t>1 metro cúbico =</t>
  </si>
  <si>
    <t>1 centímetro cúbico =</t>
  </si>
  <si>
    <t>1 litro =</t>
  </si>
  <si>
    <t>1 pé cúbico =</t>
  </si>
  <si>
    <t>1 polegada cúbica =</t>
  </si>
  <si>
    <t xml:space="preserve"> l</t>
  </si>
  <si>
    <r>
      <t xml:space="preserve"> 10</t>
    </r>
    <r>
      <rPr>
        <vertAlign val="superscript"/>
        <sz val="11"/>
        <color theme="1"/>
        <rFont val="Calibri"/>
        <family val="2"/>
        <scheme val="minor"/>
      </rPr>
      <t>-6</t>
    </r>
  </si>
  <si>
    <r>
      <t xml:space="preserve"> 10</t>
    </r>
    <r>
      <rPr>
        <vertAlign val="superscript"/>
        <sz val="11"/>
        <color theme="1"/>
        <rFont val="Calibri"/>
        <family val="2"/>
        <scheme val="minor"/>
      </rPr>
      <t>6</t>
    </r>
  </si>
  <si>
    <r>
      <t xml:space="preserve"> 2,832 x 10</t>
    </r>
    <r>
      <rPr>
        <vertAlign val="superscript"/>
        <sz val="11"/>
        <color theme="1"/>
        <rFont val="Calibri"/>
        <family val="2"/>
        <scheme val="minor"/>
      </rPr>
      <t>4</t>
    </r>
  </si>
  <si>
    <t xml:space="preserve"> 16,39</t>
  </si>
  <si>
    <r>
      <t xml:space="preserve"> 2,832 x 10</t>
    </r>
    <r>
      <rPr>
        <vertAlign val="superscript"/>
        <sz val="11"/>
        <color theme="1"/>
        <rFont val="Calibri"/>
        <family val="2"/>
        <scheme val="minor"/>
      </rPr>
      <t>-2</t>
    </r>
  </si>
  <si>
    <r>
      <t xml:space="preserve"> 1,639 x 10</t>
    </r>
    <r>
      <rPr>
        <vertAlign val="superscript"/>
        <sz val="11"/>
        <color theme="1"/>
        <rFont val="Calibri"/>
        <family val="2"/>
        <scheme val="minor"/>
      </rPr>
      <t>-5</t>
    </r>
  </si>
  <si>
    <r>
      <t xml:space="preserve"> 1,000 x 10</t>
    </r>
    <r>
      <rPr>
        <vertAlign val="superscript"/>
        <sz val="11"/>
        <color theme="1"/>
        <rFont val="Calibri"/>
        <family val="2"/>
        <scheme val="minor"/>
      </rPr>
      <t>-3</t>
    </r>
  </si>
  <si>
    <t xml:space="preserve"> 28,32</t>
  </si>
  <si>
    <r>
      <t xml:space="preserve"> 1,639 x 10</t>
    </r>
    <r>
      <rPr>
        <vertAlign val="superscript"/>
        <sz val="11"/>
        <color theme="1"/>
        <rFont val="Calibri"/>
        <family val="2"/>
        <scheme val="minor"/>
      </rPr>
      <t>-2</t>
    </r>
  </si>
  <si>
    <t xml:space="preserve"> 35,31</t>
  </si>
  <si>
    <r>
      <t xml:space="preserve"> 3,531 x 10</t>
    </r>
    <r>
      <rPr>
        <vertAlign val="superscript"/>
        <sz val="11"/>
        <color theme="1"/>
        <rFont val="Calibri"/>
        <family val="2"/>
        <scheme val="minor"/>
      </rPr>
      <t>-5</t>
    </r>
  </si>
  <si>
    <r>
      <t xml:space="preserve"> 3,531 x 10</t>
    </r>
    <r>
      <rPr>
        <vertAlign val="superscript"/>
        <sz val="11"/>
        <color theme="1"/>
        <rFont val="Calibri"/>
        <family val="2"/>
        <scheme val="minor"/>
      </rPr>
      <t>-2</t>
    </r>
  </si>
  <si>
    <r>
      <t xml:space="preserve"> 5,787 x 10</t>
    </r>
    <r>
      <rPr>
        <vertAlign val="superscript"/>
        <sz val="11"/>
        <color theme="1"/>
        <rFont val="Calibri"/>
        <family val="2"/>
        <scheme val="minor"/>
      </rPr>
      <t>-4</t>
    </r>
  </si>
  <si>
    <r>
      <t xml:space="preserve"> 6,102 x 10</t>
    </r>
    <r>
      <rPr>
        <vertAlign val="superscript"/>
        <sz val="11"/>
        <color theme="1"/>
        <rFont val="Calibri"/>
        <family val="2"/>
        <scheme val="minor"/>
      </rPr>
      <t>4</t>
    </r>
  </si>
  <si>
    <r>
      <t xml:space="preserve"> 6,102 x 10</t>
    </r>
    <r>
      <rPr>
        <vertAlign val="superscript"/>
        <sz val="11"/>
        <color theme="1"/>
        <rFont val="Calibri"/>
        <family val="2"/>
        <scheme val="minor"/>
      </rPr>
      <t>-2</t>
    </r>
  </si>
  <si>
    <t xml:space="preserve"> 61,02</t>
  </si>
  <si>
    <t xml:space="preserve"> 1728</t>
  </si>
  <si>
    <t>1 grama =</t>
  </si>
  <si>
    <t>1 quilograma =</t>
  </si>
  <si>
    <t>1 slug =</t>
  </si>
  <si>
    <t>1 onça =</t>
  </si>
  <si>
    <t>1 libra =</t>
  </si>
  <si>
    <t>1 ton (curta) =</t>
  </si>
  <si>
    <t>Massa</t>
  </si>
  <si>
    <t xml:space="preserve"> g</t>
  </si>
  <si>
    <t xml:space="preserve"> kg</t>
  </si>
  <si>
    <t xml:space="preserve"> slug</t>
  </si>
  <si>
    <t xml:space="preserve"> u</t>
  </si>
  <si>
    <t xml:space="preserve"> oz</t>
  </si>
  <si>
    <r>
      <t xml:space="preserve"> 1,459 x 10</t>
    </r>
    <r>
      <rPr>
        <vertAlign val="superscript"/>
        <sz val="11"/>
        <color theme="1"/>
        <rFont val="Calibri"/>
        <family val="2"/>
        <scheme val="minor"/>
      </rPr>
      <t>4</t>
    </r>
  </si>
  <si>
    <r>
      <t xml:space="preserve"> 1,661 x 10</t>
    </r>
    <r>
      <rPr>
        <vertAlign val="superscript"/>
        <sz val="11"/>
        <color theme="1"/>
        <rFont val="Calibri"/>
        <family val="2"/>
        <scheme val="minor"/>
      </rPr>
      <t>-24</t>
    </r>
  </si>
  <si>
    <t xml:space="preserve"> 28,35</t>
  </si>
  <si>
    <t xml:space="preserve"> 453,6</t>
  </si>
  <si>
    <r>
      <t xml:space="preserve"> 9,072 x 10</t>
    </r>
    <r>
      <rPr>
        <vertAlign val="superscript"/>
        <sz val="11"/>
        <color theme="1"/>
        <rFont val="Calibri"/>
        <family val="2"/>
        <scheme val="minor"/>
      </rPr>
      <t>5</t>
    </r>
  </si>
  <si>
    <t xml:space="preserve"> 0,001</t>
  </si>
  <si>
    <t xml:space="preserve"> 14,59</t>
  </si>
  <si>
    <r>
      <t xml:space="preserve"> 1,661 x 10</t>
    </r>
    <r>
      <rPr>
        <vertAlign val="superscript"/>
        <sz val="11"/>
        <color theme="1"/>
        <rFont val="Calibri"/>
        <family val="2"/>
        <scheme val="minor"/>
      </rPr>
      <t>-27</t>
    </r>
  </si>
  <si>
    <r>
      <t xml:space="preserve"> 2,835 x 10</t>
    </r>
    <r>
      <rPr>
        <vertAlign val="superscript"/>
        <sz val="11"/>
        <color theme="1"/>
        <rFont val="Calibri"/>
        <family val="2"/>
        <scheme val="minor"/>
      </rPr>
      <t>-2</t>
    </r>
  </si>
  <si>
    <t xml:space="preserve"> 0,4536</t>
  </si>
  <si>
    <t xml:space="preserve"> 907,2</t>
  </si>
  <si>
    <r>
      <t xml:space="preserve"> 6,852 x 10</t>
    </r>
    <r>
      <rPr>
        <vertAlign val="superscript"/>
        <sz val="11"/>
        <color theme="1"/>
        <rFont val="Calibri"/>
        <family val="2"/>
        <scheme val="minor"/>
      </rPr>
      <t>-5</t>
    </r>
  </si>
  <si>
    <r>
      <t xml:space="preserve"> 6,852 x 10</t>
    </r>
    <r>
      <rPr>
        <vertAlign val="superscript"/>
        <sz val="11"/>
        <color theme="1"/>
        <rFont val="Calibri"/>
        <family val="2"/>
        <scheme val="minor"/>
      </rPr>
      <t>-2</t>
    </r>
  </si>
  <si>
    <r>
      <t xml:space="preserve"> 1,138 x 10</t>
    </r>
    <r>
      <rPr>
        <vertAlign val="superscript"/>
        <sz val="11"/>
        <color theme="1"/>
        <rFont val="Calibri"/>
        <family val="2"/>
        <scheme val="minor"/>
      </rPr>
      <t>-28</t>
    </r>
  </si>
  <si>
    <r>
      <t xml:space="preserve"> 1,943x 10</t>
    </r>
    <r>
      <rPr>
        <vertAlign val="superscript"/>
        <sz val="11"/>
        <color theme="1"/>
        <rFont val="Calibri"/>
        <family val="2"/>
        <scheme val="minor"/>
      </rPr>
      <t>-3</t>
    </r>
  </si>
  <si>
    <r>
      <t xml:space="preserve"> 3,108 x 10</t>
    </r>
    <r>
      <rPr>
        <vertAlign val="superscript"/>
        <sz val="11"/>
        <color theme="1"/>
        <rFont val="Calibri"/>
        <family val="2"/>
        <scheme val="minor"/>
      </rPr>
      <t>-2</t>
    </r>
  </si>
  <si>
    <t xml:space="preserve"> 62,16</t>
  </si>
  <si>
    <r>
      <t xml:space="preserve"> 6,022 x 10</t>
    </r>
    <r>
      <rPr>
        <vertAlign val="superscript"/>
        <sz val="11"/>
        <color theme="1"/>
        <rFont val="Calibri"/>
        <family val="2"/>
        <scheme val="minor"/>
      </rPr>
      <t>23</t>
    </r>
  </si>
  <si>
    <r>
      <t xml:space="preserve"> 6,022 x 10</t>
    </r>
    <r>
      <rPr>
        <vertAlign val="superscript"/>
        <sz val="11"/>
        <color theme="1"/>
        <rFont val="Calibri"/>
        <family val="2"/>
        <scheme val="minor"/>
      </rPr>
      <t>26</t>
    </r>
  </si>
  <si>
    <r>
      <t xml:space="preserve"> 8,786 x 10</t>
    </r>
    <r>
      <rPr>
        <vertAlign val="superscript"/>
        <sz val="11"/>
        <color theme="1"/>
        <rFont val="Calibri"/>
        <family val="2"/>
        <scheme val="minor"/>
      </rPr>
      <t>27</t>
    </r>
  </si>
  <si>
    <r>
      <t xml:space="preserve"> 1,718 x 10</t>
    </r>
    <r>
      <rPr>
        <vertAlign val="superscript"/>
        <sz val="11"/>
        <color theme="1"/>
        <rFont val="Calibri"/>
        <family val="2"/>
        <scheme val="minor"/>
      </rPr>
      <t>25</t>
    </r>
  </si>
  <si>
    <r>
      <t>2,732 x 10</t>
    </r>
    <r>
      <rPr>
        <vertAlign val="superscript"/>
        <sz val="11"/>
        <color theme="1"/>
        <rFont val="Calibri"/>
        <family val="2"/>
        <scheme val="minor"/>
      </rPr>
      <t>26</t>
    </r>
  </si>
  <si>
    <r>
      <t>5,463 x 10</t>
    </r>
    <r>
      <rPr>
        <vertAlign val="superscript"/>
        <sz val="11"/>
        <color theme="1"/>
        <rFont val="Calibri"/>
        <family val="2"/>
        <scheme val="minor"/>
      </rPr>
      <t>29</t>
    </r>
  </si>
  <si>
    <r>
      <t xml:space="preserve"> 3,527 x 10</t>
    </r>
    <r>
      <rPr>
        <vertAlign val="superscript"/>
        <sz val="11"/>
        <color theme="1"/>
        <rFont val="Calibri"/>
        <family val="2"/>
        <scheme val="minor"/>
      </rPr>
      <t>-2</t>
    </r>
  </si>
  <si>
    <t xml:space="preserve"> 35,27</t>
  </si>
  <si>
    <t xml:space="preserve"> 514,8</t>
  </si>
  <si>
    <r>
      <t xml:space="preserve"> 5,857 x 10</t>
    </r>
    <r>
      <rPr>
        <vertAlign val="superscript"/>
        <sz val="11"/>
        <color theme="1"/>
        <rFont val="Calibri"/>
        <family val="2"/>
        <scheme val="minor"/>
      </rPr>
      <t>-26</t>
    </r>
  </si>
  <si>
    <t xml:space="preserve"> 16</t>
  </si>
  <si>
    <r>
      <t xml:space="preserve"> 3,2 x 10</t>
    </r>
    <r>
      <rPr>
        <vertAlign val="superscript"/>
        <sz val="11"/>
        <color theme="1"/>
        <rFont val="Calibri"/>
        <family val="2"/>
        <scheme val="minor"/>
      </rPr>
      <t>4</t>
    </r>
  </si>
  <si>
    <r>
      <t xml:space="preserve"> 2,205 x 10</t>
    </r>
    <r>
      <rPr>
        <vertAlign val="superscript"/>
        <sz val="11"/>
        <color theme="1"/>
        <rFont val="Calibri"/>
        <family val="2"/>
        <scheme val="minor"/>
      </rPr>
      <t>-3</t>
    </r>
  </si>
  <si>
    <t xml:space="preserve"> 2,205</t>
  </si>
  <si>
    <t xml:space="preserve"> 32,17</t>
  </si>
  <si>
    <r>
      <t xml:space="preserve"> 3,662 x 10</t>
    </r>
    <r>
      <rPr>
        <vertAlign val="superscript"/>
        <sz val="11"/>
        <color theme="1"/>
        <rFont val="Calibri"/>
        <family val="2"/>
        <scheme val="minor"/>
      </rPr>
      <t>-27</t>
    </r>
  </si>
  <si>
    <r>
      <t xml:space="preserve"> 6,250 x 10</t>
    </r>
    <r>
      <rPr>
        <vertAlign val="superscript"/>
        <sz val="11"/>
        <color theme="1"/>
        <rFont val="Calibri"/>
        <family val="2"/>
        <scheme val="minor"/>
      </rPr>
      <t>-2</t>
    </r>
  </si>
  <si>
    <t xml:space="preserve"> 2000</t>
  </si>
  <si>
    <r>
      <t xml:space="preserve"> 1,102 x 10</t>
    </r>
    <r>
      <rPr>
        <vertAlign val="superscript"/>
        <sz val="11"/>
        <color theme="1"/>
        <rFont val="Calibri"/>
        <family val="2"/>
        <scheme val="minor"/>
      </rPr>
      <t>-6</t>
    </r>
  </si>
  <si>
    <r>
      <t xml:space="preserve"> 1,609 x 10</t>
    </r>
    <r>
      <rPr>
        <vertAlign val="superscript"/>
        <sz val="11"/>
        <color theme="1"/>
        <rFont val="Calibri"/>
        <family val="2"/>
        <scheme val="minor"/>
      </rPr>
      <t>-2</t>
    </r>
  </si>
  <si>
    <r>
      <t xml:space="preserve"> 1,102 x 10</t>
    </r>
    <r>
      <rPr>
        <vertAlign val="superscript"/>
        <sz val="11"/>
        <color theme="1"/>
        <rFont val="Calibri"/>
        <family val="2"/>
        <scheme val="minor"/>
      </rPr>
      <t>-3</t>
    </r>
  </si>
  <si>
    <r>
      <t xml:space="preserve"> 1,830 x 10</t>
    </r>
    <r>
      <rPr>
        <vertAlign val="superscript"/>
        <sz val="11"/>
        <color theme="1"/>
        <rFont val="Calibri"/>
        <family val="2"/>
        <scheme val="minor"/>
      </rPr>
      <t>-30</t>
    </r>
  </si>
  <si>
    <r>
      <t xml:space="preserve"> 3,125 x 10</t>
    </r>
    <r>
      <rPr>
        <vertAlign val="superscript"/>
        <sz val="11"/>
        <color theme="1"/>
        <rFont val="Calibri"/>
        <family val="2"/>
        <scheme val="minor"/>
      </rPr>
      <t>-5</t>
    </r>
  </si>
  <si>
    <t xml:space="preserve"> 0,0005</t>
  </si>
  <si>
    <t xml:space="preserve"> ton (curta)</t>
  </si>
  <si>
    <t>Conversão de Unidades</t>
  </si>
  <si>
    <t xml:space="preserve"> lb</t>
  </si>
  <si>
    <t>As unidades onça (oz), libra (lb) e ton (curta) não são unidades de massa, mas são usadas, muitas vezes, como se fossem.</t>
  </si>
  <si>
    <t xml:space="preserve">Quando escrevemos, por exemplo, 10 lb = 4,536 kg, isso significa que 10 libras é uma massa que pesa 4,536 kg num local </t>
  </si>
  <si>
    <r>
      <t>1 u.m.a.</t>
    </r>
    <r>
      <rPr>
        <vertAlign val="superscript"/>
        <sz val="11"/>
        <color theme="1"/>
        <rFont val="Calibri"/>
        <family val="2"/>
        <scheme val="minor"/>
      </rPr>
      <t>(a)</t>
    </r>
    <r>
      <rPr>
        <sz val="11"/>
        <color theme="1"/>
        <rFont val="Calibri"/>
        <family val="2"/>
        <scheme val="minor"/>
      </rPr>
      <t xml:space="preserve"> =</t>
    </r>
  </si>
  <si>
    <t>(a) 1 uma = 1 u = 1 unidade unificada de massa atômica.</t>
  </si>
  <si>
    <t>1 tonelada métrica = 1000 kg</t>
  </si>
  <si>
    <r>
      <t>1 quilate = 2 x 10</t>
    </r>
    <r>
      <rPr>
        <vertAlign val="superscript"/>
        <sz val="11"/>
        <color theme="1"/>
        <rFont val="Calibri"/>
        <family val="2"/>
        <scheme val="minor"/>
      </rPr>
      <t>-4</t>
    </r>
    <r>
      <rPr>
        <sz val="11"/>
        <color theme="1"/>
        <rFont val="Calibri"/>
        <family val="2"/>
        <scheme val="minor"/>
      </rPr>
      <t xml:space="preserve"> kg</t>
    </r>
  </si>
  <si>
    <t>Massa Específica (Densidade Absoluta)</t>
  </si>
  <si>
    <r>
      <t>1 slug por pé</t>
    </r>
    <r>
      <rPr>
        <vertAlign val="superscript"/>
        <sz val="11"/>
        <color theme="1"/>
        <rFont val="Calibri"/>
        <family val="2"/>
        <scheme val="minor"/>
      </rPr>
      <t>3</t>
    </r>
    <r>
      <rPr>
        <sz val="11"/>
        <color theme="1"/>
        <rFont val="Calibri"/>
        <family val="2"/>
        <scheme val="minor"/>
      </rPr>
      <t xml:space="preserve"> =</t>
    </r>
  </si>
  <si>
    <r>
      <t>1 quilograma por metro</t>
    </r>
    <r>
      <rPr>
        <vertAlign val="superscript"/>
        <sz val="11"/>
        <color theme="1"/>
        <rFont val="Calibri"/>
        <family val="2"/>
        <scheme val="minor"/>
      </rPr>
      <t>3</t>
    </r>
    <r>
      <rPr>
        <sz val="11"/>
        <color theme="1"/>
        <rFont val="Calibri"/>
        <family val="2"/>
        <scheme val="minor"/>
      </rPr>
      <t xml:space="preserve"> =</t>
    </r>
  </si>
  <si>
    <r>
      <t>1 grama por centímetro</t>
    </r>
    <r>
      <rPr>
        <vertAlign val="superscript"/>
        <sz val="11"/>
        <color theme="1"/>
        <rFont val="Calibri"/>
        <family val="2"/>
        <scheme val="minor"/>
      </rPr>
      <t>3</t>
    </r>
    <r>
      <rPr>
        <sz val="11"/>
        <color theme="1"/>
        <rFont val="Calibri"/>
        <family val="2"/>
        <scheme val="minor"/>
      </rPr>
      <t xml:space="preserve"> =</t>
    </r>
  </si>
  <si>
    <r>
      <t>1 libra por pé</t>
    </r>
    <r>
      <rPr>
        <vertAlign val="superscript"/>
        <sz val="11"/>
        <color theme="1"/>
        <rFont val="Calibri"/>
        <family val="2"/>
        <scheme val="minor"/>
      </rPr>
      <t>3</t>
    </r>
    <r>
      <rPr>
        <sz val="11"/>
        <color theme="1"/>
        <rFont val="Calibri"/>
        <family val="2"/>
        <scheme val="minor"/>
      </rPr>
      <t xml:space="preserve"> = </t>
    </r>
  </si>
  <si>
    <r>
      <t>1 libra por polegada</t>
    </r>
    <r>
      <rPr>
        <vertAlign val="superscript"/>
        <sz val="11"/>
        <color theme="1"/>
        <rFont val="Calibri"/>
        <family val="2"/>
        <scheme val="minor"/>
      </rPr>
      <t>3</t>
    </r>
    <r>
      <rPr>
        <sz val="11"/>
        <color theme="1"/>
        <rFont val="Calibri"/>
        <family val="2"/>
        <scheme val="minor"/>
      </rPr>
      <t xml:space="preserve"> =</t>
    </r>
  </si>
  <si>
    <r>
      <t xml:space="preserve"> 1,940 x 10</t>
    </r>
    <r>
      <rPr>
        <vertAlign val="superscript"/>
        <sz val="11"/>
        <color theme="1"/>
        <rFont val="Calibri"/>
        <family val="2"/>
        <scheme val="minor"/>
      </rPr>
      <t>-3</t>
    </r>
  </si>
  <si>
    <t xml:space="preserve"> 1,940</t>
  </si>
  <si>
    <t xml:space="preserve"> 53,71</t>
  </si>
  <si>
    <t xml:space="preserve"> 515,4</t>
  </si>
  <si>
    <t xml:space="preserve"> 16,02</t>
  </si>
  <si>
    <r>
      <t xml:space="preserve"> 2,768 x 10</t>
    </r>
    <r>
      <rPr>
        <vertAlign val="superscript"/>
        <sz val="11"/>
        <color theme="1"/>
        <rFont val="Calibri"/>
        <family val="2"/>
        <scheme val="minor"/>
      </rPr>
      <t>4</t>
    </r>
  </si>
  <si>
    <t xml:space="preserve"> 0,5154</t>
  </si>
  <si>
    <r>
      <t xml:space="preserve"> 1,602 x 10</t>
    </r>
    <r>
      <rPr>
        <vertAlign val="superscript"/>
        <sz val="11"/>
        <color theme="1"/>
        <rFont val="Calibri"/>
        <family val="2"/>
        <scheme val="minor"/>
      </rPr>
      <t>-2</t>
    </r>
  </si>
  <si>
    <t xml:space="preserve"> 27,68</t>
  </si>
  <si>
    <r>
      <t xml:space="preserve"> 6,243 x 10</t>
    </r>
    <r>
      <rPr>
        <vertAlign val="superscript"/>
        <sz val="11"/>
        <color theme="1"/>
        <rFont val="Calibri"/>
        <family val="2"/>
        <scheme val="minor"/>
      </rPr>
      <t>-2</t>
    </r>
  </si>
  <si>
    <t xml:space="preserve"> 62,43</t>
  </si>
  <si>
    <r>
      <t xml:space="preserve"> 1,862 x 10</t>
    </r>
    <r>
      <rPr>
        <vertAlign val="superscript"/>
        <sz val="11"/>
        <color theme="1"/>
        <rFont val="Calibri"/>
        <family val="2"/>
        <scheme val="minor"/>
      </rPr>
      <t>-2</t>
    </r>
  </si>
  <si>
    <r>
      <t xml:space="preserve"> 3,613 x 10</t>
    </r>
    <r>
      <rPr>
        <vertAlign val="superscript"/>
        <sz val="11"/>
        <color theme="1"/>
        <rFont val="Calibri"/>
        <family val="2"/>
        <scheme val="minor"/>
      </rPr>
      <t>-5</t>
    </r>
  </si>
  <si>
    <r>
      <t xml:space="preserve"> 3,613 x 10</t>
    </r>
    <r>
      <rPr>
        <vertAlign val="superscript"/>
        <sz val="11"/>
        <color theme="1"/>
        <rFont val="Calibri"/>
        <family val="2"/>
        <scheme val="minor"/>
      </rPr>
      <t>-2</t>
    </r>
  </si>
  <si>
    <t xml:space="preserve">As unidades lb/ft3 e lb/in3 são pesos específicos e, portanto, são dimensionalmente diferentes de massas específicas </t>
  </si>
  <si>
    <t>(densidades de massa).</t>
  </si>
  <si>
    <t>Força</t>
  </si>
  <si>
    <t xml:space="preserve"> dina</t>
  </si>
  <si>
    <t xml:space="preserve"> N</t>
  </si>
  <si>
    <t xml:space="preserve"> pdl</t>
  </si>
  <si>
    <t xml:space="preserve"> kgf</t>
  </si>
  <si>
    <t xml:space="preserve"> gf</t>
  </si>
  <si>
    <t>1 dina =</t>
  </si>
  <si>
    <t>1 newton =</t>
  </si>
  <si>
    <t>1 poundal (pdl) =</t>
  </si>
  <si>
    <t>1 grama-força =</t>
  </si>
  <si>
    <t xml:space="preserve">1 quilograma-força = </t>
  </si>
  <si>
    <r>
      <t xml:space="preserve"> 4,448 x 10</t>
    </r>
    <r>
      <rPr>
        <vertAlign val="superscript"/>
        <sz val="11"/>
        <color theme="1"/>
        <rFont val="Calibri"/>
        <family val="2"/>
        <scheme val="minor"/>
      </rPr>
      <t>5</t>
    </r>
  </si>
  <si>
    <r>
      <t xml:space="preserve"> 1,383 x 10</t>
    </r>
    <r>
      <rPr>
        <vertAlign val="superscript"/>
        <sz val="11"/>
        <color theme="1"/>
        <rFont val="Calibri"/>
        <family val="2"/>
        <scheme val="minor"/>
      </rPr>
      <t>4</t>
    </r>
  </si>
  <si>
    <t xml:space="preserve"> 980,7</t>
  </si>
  <si>
    <r>
      <t xml:space="preserve"> 9,807 x 10</t>
    </r>
    <r>
      <rPr>
        <vertAlign val="superscript"/>
        <sz val="11"/>
        <color theme="1"/>
        <rFont val="Calibri"/>
        <family val="2"/>
        <scheme val="minor"/>
      </rPr>
      <t>5</t>
    </r>
  </si>
  <si>
    <t xml:space="preserve"> 4,448</t>
  </si>
  <si>
    <t xml:space="preserve"> 0,1383</t>
  </si>
  <si>
    <r>
      <t xml:space="preserve"> 9,807 x 10</t>
    </r>
    <r>
      <rPr>
        <vertAlign val="superscript"/>
        <sz val="11"/>
        <color theme="1"/>
        <rFont val="Calibri"/>
        <family val="2"/>
        <scheme val="minor"/>
      </rPr>
      <t>-3</t>
    </r>
  </si>
  <si>
    <t xml:space="preserve"> 9,807</t>
  </si>
  <si>
    <r>
      <t xml:space="preserve"> 2,248 x 10</t>
    </r>
    <r>
      <rPr>
        <vertAlign val="superscript"/>
        <sz val="11"/>
        <color theme="1"/>
        <rFont val="Calibri"/>
        <family val="2"/>
        <scheme val="minor"/>
      </rPr>
      <t>-5</t>
    </r>
  </si>
  <si>
    <t xml:space="preserve"> 0,2248</t>
  </si>
  <si>
    <r>
      <t xml:space="preserve"> 7,233 x 10</t>
    </r>
    <r>
      <rPr>
        <vertAlign val="superscript"/>
        <sz val="11"/>
        <color theme="1"/>
        <rFont val="Calibri"/>
        <family val="2"/>
        <scheme val="minor"/>
      </rPr>
      <t>-5</t>
    </r>
  </si>
  <si>
    <t xml:space="preserve"> 7,233</t>
  </si>
  <si>
    <r>
      <t xml:space="preserve"> 7,093 x 10</t>
    </r>
    <r>
      <rPr>
        <vertAlign val="superscript"/>
        <sz val="11"/>
        <color theme="1"/>
        <rFont val="Calibri"/>
        <family val="2"/>
        <scheme val="minor"/>
      </rPr>
      <t>-2</t>
    </r>
  </si>
  <si>
    <t xml:space="preserve"> 70,93</t>
  </si>
  <si>
    <r>
      <t xml:space="preserve"> 1,020 x 10</t>
    </r>
    <r>
      <rPr>
        <vertAlign val="superscript"/>
        <sz val="11"/>
        <color theme="1"/>
        <rFont val="Calibri"/>
        <family val="2"/>
        <scheme val="minor"/>
      </rPr>
      <t>-5</t>
    </r>
  </si>
  <si>
    <t xml:space="preserve"> 0,1020</t>
  </si>
  <si>
    <r>
      <t xml:space="preserve"> 1,410 x 10</t>
    </r>
    <r>
      <rPr>
        <vertAlign val="superscript"/>
        <sz val="11"/>
        <color theme="1"/>
        <rFont val="Calibri"/>
        <family val="2"/>
        <scheme val="minor"/>
      </rPr>
      <t>-2</t>
    </r>
  </si>
  <si>
    <r>
      <t xml:space="preserve"> 1,020 x 10</t>
    </r>
    <r>
      <rPr>
        <vertAlign val="superscript"/>
        <sz val="11"/>
        <color theme="1"/>
        <rFont val="Calibri"/>
        <family val="2"/>
        <scheme val="minor"/>
      </rPr>
      <t>-3</t>
    </r>
  </si>
  <si>
    <t xml:space="preserve"> 102,0</t>
  </si>
  <si>
    <t xml:space="preserve"> 14,10</t>
  </si>
  <si>
    <t>Peso e Massa</t>
  </si>
  <si>
    <t>Unidade</t>
  </si>
  <si>
    <t>1 caract =</t>
  </si>
  <si>
    <t>1 grain =</t>
  </si>
  <si>
    <t>1 onça (avoirdupois) =</t>
  </si>
  <si>
    <t>1 onça (troy) =</t>
  </si>
  <si>
    <t>1 libra (troy) =</t>
  </si>
  <si>
    <t>1 libra (avoirdupois) =</t>
  </si>
  <si>
    <t>1 ton (avoirdupois) =</t>
  </si>
  <si>
    <r>
      <t xml:space="preserve"> 2,00 x 10</t>
    </r>
    <r>
      <rPr>
        <vertAlign val="superscript"/>
        <sz val="11"/>
        <color theme="1"/>
        <rFont val="Calibri"/>
        <family val="2"/>
        <scheme val="minor"/>
      </rPr>
      <t>-4</t>
    </r>
    <r>
      <rPr>
        <sz val="11"/>
        <color theme="1"/>
        <rFont val="Calibri"/>
        <family val="2"/>
        <scheme val="minor"/>
      </rPr>
      <t xml:space="preserve"> kg</t>
    </r>
  </si>
  <si>
    <r>
      <t xml:space="preserve"> 6,48 x 10</t>
    </r>
    <r>
      <rPr>
        <vertAlign val="superscript"/>
        <sz val="11"/>
        <color theme="1"/>
        <rFont val="Calibri"/>
        <family val="2"/>
        <scheme val="minor"/>
      </rPr>
      <t>-5</t>
    </r>
    <r>
      <rPr>
        <sz val="11"/>
        <color theme="1"/>
        <rFont val="Calibri"/>
        <family val="2"/>
        <scheme val="minor"/>
      </rPr>
      <t xml:space="preserve"> kg</t>
    </r>
  </si>
  <si>
    <r>
      <t xml:space="preserve"> 2,83 x 10</t>
    </r>
    <r>
      <rPr>
        <vertAlign val="superscript"/>
        <sz val="11"/>
        <color theme="1"/>
        <rFont val="Calibri"/>
        <family val="2"/>
        <scheme val="minor"/>
      </rPr>
      <t>-2</t>
    </r>
    <r>
      <rPr>
        <sz val="11"/>
        <color theme="1"/>
        <rFont val="Calibri"/>
        <family val="2"/>
        <scheme val="minor"/>
      </rPr>
      <t xml:space="preserve"> kg</t>
    </r>
  </si>
  <si>
    <r>
      <t xml:space="preserve"> 3,11 x 10</t>
    </r>
    <r>
      <rPr>
        <vertAlign val="superscript"/>
        <sz val="11"/>
        <color theme="1"/>
        <rFont val="Calibri"/>
        <family val="2"/>
        <scheme val="minor"/>
      </rPr>
      <t>-2</t>
    </r>
    <r>
      <rPr>
        <sz val="11"/>
        <color theme="1"/>
        <rFont val="Calibri"/>
        <family val="2"/>
        <scheme val="minor"/>
      </rPr>
      <t xml:space="preserve"> kg</t>
    </r>
  </si>
  <si>
    <t xml:space="preserve"> 0,373 kg</t>
  </si>
  <si>
    <t xml:space="preserve"> 0,453 kg</t>
  </si>
  <si>
    <t xml:space="preserve"> 907 kg</t>
  </si>
  <si>
    <r>
      <t>onde a aceleração da gravidade (g) tem o valor padrão de 9,80665 m/s</t>
    </r>
    <r>
      <rPr>
        <vertAlign val="superscript"/>
        <sz val="11"/>
        <color theme="1"/>
        <rFont val="Calibri"/>
        <family val="2"/>
        <scheme val="minor"/>
      </rPr>
      <t>2</t>
    </r>
    <r>
      <rPr>
        <sz val="11"/>
        <color theme="1"/>
        <rFont val="Calibri"/>
        <family val="2"/>
        <scheme val="minor"/>
      </rPr>
      <t>.</t>
    </r>
  </si>
  <si>
    <t>Velocidade</t>
  </si>
  <si>
    <t xml:space="preserve"> ft/s</t>
  </si>
  <si>
    <t>km/h</t>
  </si>
  <si>
    <t>m/s</t>
  </si>
  <si>
    <t>mi/h</t>
  </si>
  <si>
    <t>cm/s</t>
  </si>
  <si>
    <t>1 pé por segundo =</t>
  </si>
  <si>
    <t xml:space="preserve">1 quilômetro por hora = </t>
  </si>
  <si>
    <t xml:space="preserve">1 metro por segundo = </t>
  </si>
  <si>
    <t>1 milha por hora =</t>
  </si>
  <si>
    <t xml:space="preserve">1 centímetro por segundo = </t>
  </si>
  <si>
    <t xml:space="preserve"> 0,9113</t>
  </si>
  <si>
    <t xml:space="preserve"> 1,467</t>
  </si>
  <si>
    <t xml:space="preserve"> 1,097</t>
  </si>
  <si>
    <t xml:space="preserve"> 3,6</t>
  </si>
  <si>
    <r>
      <t xml:space="preserve"> 3,6 x 10</t>
    </r>
    <r>
      <rPr>
        <vertAlign val="superscript"/>
        <sz val="11"/>
        <color theme="1"/>
        <rFont val="Calibri"/>
        <family val="2"/>
        <scheme val="minor"/>
      </rPr>
      <t>-2</t>
    </r>
  </si>
  <si>
    <t xml:space="preserve"> 0,2778</t>
  </si>
  <si>
    <t xml:space="preserve"> 0,4470</t>
  </si>
  <si>
    <t xml:space="preserve"> 0,01</t>
  </si>
  <si>
    <t xml:space="preserve"> 0,6818</t>
  </si>
  <si>
    <t xml:space="preserve"> 2,237</t>
  </si>
  <si>
    <r>
      <t xml:space="preserve"> 2,237 10</t>
    </r>
    <r>
      <rPr>
        <vertAlign val="superscript"/>
        <sz val="11"/>
        <color theme="1"/>
        <rFont val="Calibri"/>
        <family val="2"/>
        <scheme val="minor"/>
      </rPr>
      <t>-2</t>
    </r>
  </si>
  <si>
    <t xml:space="preserve"> 27,78</t>
  </si>
  <si>
    <t xml:space="preserve"> 44,70</t>
  </si>
  <si>
    <t>1 nó = 1kt (knot) = 1 milha náutica por hora = 1,852 km/h = 1,688 ft/s</t>
  </si>
  <si>
    <t>1 mi/m = 88,00 ft/s = 60,00 mi/h</t>
  </si>
  <si>
    <t>Tempo</t>
  </si>
  <si>
    <t xml:space="preserve"> a</t>
  </si>
  <si>
    <t xml:space="preserve"> d</t>
  </si>
  <si>
    <t xml:space="preserve"> h</t>
  </si>
  <si>
    <t xml:space="preserve"> s</t>
  </si>
  <si>
    <t>1 ano =</t>
  </si>
  <si>
    <t>1 dia =</t>
  </si>
  <si>
    <t>1 hora =</t>
  </si>
  <si>
    <r>
      <t xml:space="preserve"> 2,738 x 10</t>
    </r>
    <r>
      <rPr>
        <vertAlign val="superscript"/>
        <sz val="11"/>
        <color theme="1"/>
        <rFont val="Calibri"/>
        <family val="2"/>
        <scheme val="minor"/>
      </rPr>
      <t>-3</t>
    </r>
  </si>
  <si>
    <t xml:space="preserve"> 365,25</t>
  </si>
  <si>
    <r>
      <t xml:space="preserve"> 4,167 x 10</t>
    </r>
    <r>
      <rPr>
        <vertAlign val="superscript"/>
        <sz val="11"/>
        <color theme="1"/>
        <rFont val="Calibri"/>
        <family val="2"/>
        <scheme val="minor"/>
      </rPr>
      <t>-2</t>
    </r>
  </si>
  <si>
    <r>
      <t xml:space="preserve"> 6,944 x 10</t>
    </r>
    <r>
      <rPr>
        <vertAlign val="superscript"/>
        <sz val="11"/>
        <color theme="1"/>
        <rFont val="Calibri"/>
        <family val="2"/>
        <scheme val="minor"/>
      </rPr>
      <t>-4</t>
    </r>
  </si>
  <si>
    <r>
      <t xml:space="preserve"> 1,157 x 10</t>
    </r>
    <r>
      <rPr>
        <vertAlign val="superscript"/>
        <sz val="11"/>
        <color theme="1"/>
        <rFont val="Calibri"/>
        <family val="2"/>
        <scheme val="minor"/>
      </rPr>
      <t>-5</t>
    </r>
  </si>
  <si>
    <r>
      <t xml:space="preserve"> 1,141 x 10</t>
    </r>
    <r>
      <rPr>
        <vertAlign val="superscript"/>
        <sz val="11"/>
        <color theme="1"/>
        <rFont val="Calibri"/>
        <family val="2"/>
        <scheme val="minor"/>
      </rPr>
      <t>-4</t>
    </r>
  </si>
  <si>
    <r>
      <t xml:space="preserve"> 1,901 x 10</t>
    </r>
    <r>
      <rPr>
        <vertAlign val="superscript"/>
        <sz val="11"/>
        <color theme="1"/>
        <rFont val="Calibri"/>
        <family val="2"/>
        <scheme val="minor"/>
      </rPr>
      <t>-6</t>
    </r>
  </si>
  <si>
    <r>
      <t xml:space="preserve"> 3,169 x 10</t>
    </r>
    <r>
      <rPr>
        <vertAlign val="superscript"/>
        <sz val="11"/>
        <color theme="1"/>
        <rFont val="Calibri"/>
        <family val="2"/>
        <scheme val="minor"/>
      </rPr>
      <t>-8</t>
    </r>
  </si>
  <si>
    <r>
      <t xml:space="preserve"> 8,766 x 10</t>
    </r>
    <r>
      <rPr>
        <vertAlign val="superscript"/>
        <sz val="11"/>
        <color theme="1"/>
        <rFont val="Calibri"/>
        <family val="2"/>
        <scheme val="minor"/>
      </rPr>
      <t>3</t>
    </r>
  </si>
  <si>
    <t xml:space="preserve"> 24</t>
  </si>
  <si>
    <r>
      <t xml:space="preserve"> 5,259 x 10</t>
    </r>
    <r>
      <rPr>
        <vertAlign val="superscript"/>
        <sz val="11"/>
        <color theme="1"/>
        <rFont val="Calibri"/>
        <family val="2"/>
        <scheme val="minor"/>
      </rPr>
      <t>5</t>
    </r>
  </si>
  <si>
    <t xml:space="preserve"> 1440</t>
  </si>
  <si>
    <r>
      <t xml:space="preserve"> 3,156 x 10</t>
    </r>
    <r>
      <rPr>
        <vertAlign val="superscript"/>
        <sz val="11"/>
        <color theme="1"/>
        <rFont val="Calibri"/>
        <family val="2"/>
        <scheme val="minor"/>
      </rPr>
      <t>7</t>
    </r>
  </si>
  <si>
    <r>
      <t xml:space="preserve"> 8,640 x 10</t>
    </r>
    <r>
      <rPr>
        <vertAlign val="superscript"/>
        <sz val="11"/>
        <color theme="1"/>
        <rFont val="Calibri"/>
        <family val="2"/>
        <scheme val="minor"/>
      </rPr>
      <t>4</t>
    </r>
  </si>
  <si>
    <t>Prefixo</t>
  </si>
  <si>
    <t>n</t>
  </si>
  <si>
    <t>Equivalente numérico</t>
  </si>
  <si>
    <t>Símbolo</t>
  </si>
  <si>
    <t>iota</t>
  </si>
  <si>
    <t>Y</t>
  </si>
  <si>
    <t>Septilhão</t>
  </si>
  <si>
    <t>1 000 000 000 000 000 000 000 000</t>
  </si>
  <si>
    <t>zeta</t>
  </si>
  <si>
    <t>Z</t>
  </si>
  <si>
    <t>Sextilhão</t>
  </si>
  <si>
    <t>1 000 000 000 000 000 000 000</t>
  </si>
  <si>
    <t>exa</t>
  </si>
  <si>
    <t>Quintilhão</t>
  </si>
  <si>
    <t>1 000 000 000 000 000 000</t>
  </si>
  <si>
    <t>peta</t>
  </si>
  <si>
    <t>Quadrilhão</t>
  </si>
  <si>
    <t>1 000 000 000 000 000</t>
  </si>
  <si>
    <t>tera</t>
  </si>
  <si>
    <t>Trilhão</t>
  </si>
  <si>
    <t>1 000 000 000 000</t>
  </si>
  <si>
    <t>giga</t>
  </si>
  <si>
    <t>Bilhão</t>
  </si>
  <si>
    <t>1 000 000 000</t>
  </si>
  <si>
    <t>mega</t>
  </si>
  <si>
    <t>M</t>
  </si>
  <si>
    <t>Milhão</t>
  </si>
  <si>
    <t>1 000 000</t>
  </si>
  <si>
    <t>quilo</t>
  </si>
  <si>
    <t>k</t>
  </si>
  <si>
    <t>Mil</t>
  </si>
  <si>
    <t>1 000</t>
  </si>
  <si>
    <t>hecto</t>
  </si>
  <si>
    <t>h</t>
  </si>
  <si>
    <t>Cem</t>
  </si>
  <si>
    <t>deca</t>
  </si>
  <si>
    <t>da</t>
  </si>
  <si>
    <t>Dez</t>
  </si>
  <si>
    <t>nenhum</t>
  </si>
  <si>
    <t>deci</t>
  </si>
  <si>
    <t>d</t>
  </si>
  <si>
    <t>Décimo</t>
  </si>
  <si>
    <t>centi</t>
  </si>
  <si>
    <t>c</t>
  </si>
  <si>
    <t>Centésimo</t>
  </si>
  <si>
    <t>mili</t>
  </si>
  <si>
    <t>Milésimo</t>
  </si>
  <si>
    <t>micro</t>
  </si>
  <si>
    <t>µ</t>
  </si>
  <si>
    <t>Milionésimo</t>
  </si>
  <si>
    <t>0,000 001</t>
  </si>
  <si>
    <t>nano</t>
  </si>
  <si>
    <t>Bilionésimo</t>
  </si>
  <si>
    <t>0,000 000 001</t>
  </si>
  <si>
    <t>pico</t>
  </si>
  <si>
    <t>p</t>
  </si>
  <si>
    <t>Trilionésimo</t>
  </si>
  <si>
    <t>0,000 000 000 001</t>
  </si>
  <si>
    <t>femto</t>
  </si>
  <si>
    <t>f</t>
  </si>
  <si>
    <t>Quadrilionésimo</t>
  </si>
  <si>
    <t>0,000 000 000 000 001</t>
  </si>
  <si>
    <t>atto</t>
  </si>
  <si>
    <t>a</t>
  </si>
  <si>
    <t>Quintilionésimo</t>
  </si>
  <si>
    <t>0,000 000 000 000 000 001</t>
  </si>
  <si>
    <t>zepto</t>
  </si>
  <si>
    <t>z</t>
  </si>
  <si>
    <t>Sextilionésimo</t>
  </si>
  <si>
    <t>0,000 000 000 000 000 000 001</t>
  </si>
  <si>
    <t>iocto</t>
  </si>
  <si>
    <t>y</t>
  </si>
  <si>
    <t>Septilionésimo</t>
  </si>
  <si>
    <t>0,000 000 000 000 000 000 000 001</t>
  </si>
  <si>
    <r>
      <t xml:space="preserve"> 10</t>
    </r>
    <r>
      <rPr>
        <vertAlign val="superscript"/>
        <sz val="11"/>
        <color theme="1"/>
        <rFont val="Calibri"/>
        <family val="2"/>
        <scheme val="minor"/>
      </rPr>
      <t>24</t>
    </r>
  </si>
  <si>
    <r>
      <t xml:space="preserve"> 10</t>
    </r>
    <r>
      <rPr>
        <vertAlign val="superscript"/>
        <sz val="11"/>
        <color theme="1"/>
        <rFont val="Calibri"/>
        <family val="2"/>
        <scheme val="minor"/>
      </rPr>
      <t>21</t>
    </r>
  </si>
  <si>
    <r>
      <t xml:space="preserve"> 10</t>
    </r>
    <r>
      <rPr>
        <vertAlign val="superscript"/>
        <sz val="11"/>
        <color theme="1"/>
        <rFont val="Calibri"/>
        <family val="2"/>
        <scheme val="minor"/>
      </rPr>
      <t>18</t>
    </r>
  </si>
  <si>
    <r>
      <t xml:space="preserve"> 10</t>
    </r>
    <r>
      <rPr>
        <vertAlign val="superscript"/>
        <sz val="11"/>
        <color theme="1"/>
        <rFont val="Calibri"/>
        <family val="2"/>
        <scheme val="minor"/>
      </rPr>
      <t>15</t>
    </r>
  </si>
  <si>
    <r>
      <t xml:space="preserve"> 10</t>
    </r>
    <r>
      <rPr>
        <vertAlign val="superscript"/>
        <sz val="11"/>
        <color theme="1"/>
        <rFont val="Calibri"/>
        <family val="2"/>
        <scheme val="minor"/>
      </rPr>
      <t>12</t>
    </r>
  </si>
  <si>
    <r>
      <t xml:space="preserve"> 10</t>
    </r>
    <r>
      <rPr>
        <vertAlign val="superscript"/>
        <sz val="11"/>
        <color theme="1"/>
        <rFont val="Calibri"/>
        <family val="2"/>
        <scheme val="minor"/>
      </rPr>
      <t>9</t>
    </r>
  </si>
  <si>
    <r>
      <t xml:space="preserve"> 10</t>
    </r>
    <r>
      <rPr>
        <vertAlign val="superscript"/>
        <sz val="11"/>
        <color theme="1"/>
        <rFont val="Calibri"/>
        <family val="2"/>
        <scheme val="minor"/>
      </rPr>
      <t>3</t>
    </r>
  </si>
  <si>
    <r>
      <t xml:space="preserve"> 10</t>
    </r>
    <r>
      <rPr>
        <vertAlign val="superscript"/>
        <sz val="11"/>
        <color theme="1"/>
        <rFont val="Calibri"/>
        <family val="2"/>
        <scheme val="minor"/>
      </rPr>
      <t>2</t>
    </r>
  </si>
  <si>
    <r>
      <t xml:space="preserve"> 10</t>
    </r>
    <r>
      <rPr>
        <vertAlign val="superscript"/>
        <sz val="11"/>
        <color theme="1"/>
        <rFont val="Calibri"/>
        <family val="2"/>
        <scheme val="minor"/>
      </rPr>
      <t>1</t>
    </r>
  </si>
  <si>
    <r>
      <t xml:space="preserve"> 10</t>
    </r>
    <r>
      <rPr>
        <vertAlign val="superscript"/>
        <sz val="11"/>
        <color theme="1"/>
        <rFont val="Calibri"/>
        <family val="2"/>
        <scheme val="minor"/>
      </rPr>
      <t>0</t>
    </r>
  </si>
  <si>
    <r>
      <t xml:space="preserve"> 10</t>
    </r>
    <r>
      <rPr>
        <vertAlign val="superscript"/>
        <sz val="11"/>
        <color theme="1"/>
        <rFont val="Calibri"/>
        <family val="2"/>
        <scheme val="minor"/>
      </rPr>
      <t>-1</t>
    </r>
  </si>
  <si>
    <r>
      <t xml:space="preserve"> 10</t>
    </r>
    <r>
      <rPr>
        <vertAlign val="superscript"/>
        <sz val="11"/>
        <color theme="1"/>
        <rFont val="Calibri"/>
        <family val="2"/>
        <scheme val="minor"/>
      </rPr>
      <t>-9</t>
    </r>
  </si>
  <si>
    <r>
      <t xml:space="preserve"> 10</t>
    </r>
    <r>
      <rPr>
        <vertAlign val="superscript"/>
        <sz val="11"/>
        <color theme="1"/>
        <rFont val="Calibri"/>
        <family val="2"/>
        <scheme val="minor"/>
      </rPr>
      <t>-12</t>
    </r>
  </si>
  <si>
    <r>
      <t xml:space="preserve"> 10</t>
    </r>
    <r>
      <rPr>
        <vertAlign val="superscript"/>
        <sz val="11"/>
        <color theme="1"/>
        <rFont val="Calibri"/>
        <family val="2"/>
        <scheme val="minor"/>
      </rPr>
      <t>-15</t>
    </r>
  </si>
  <si>
    <r>
      <t xml:space="preserve"> 10</t>
    </r>
    <r>
      <rPr>
        <vertAlign val="superscript"/>
        <sz val="11"/>
        <color theme="1"/>
        <rFont val="Calibri"/>
        <family val="2"/>
        <scheme val="minor"/>
      </rPr>
      <t>-18</t>
    </r>
  </si>
  <si>
    <r>
      <t xml:space="preserve"> 10</t>
    </r>
    <r>
      <rPr>
        <vertAlign val="superscript"/>
        <sz val="11"/>
        <color theme="1"/>
        <rFont val="Calibri"/>
        <family val="2"/>
        <scheme val="minor"/>
      </rPr>
      <t>-21</t>
    </r>
  </si>
  <si>
    <r>
      <t xml:space="preserve"> 10</t>
    </r>
    <r>
      <rPr>
        <vertAlign val="superscript"/>
        <sz val="11"/>
        <color theme="1"/>
        <rFont val="Calibri"/>
        <family val="2"/>
        <scheme val="minor"/>
      </rPr>
      <t>-24</t>
    </r>
  </si>
  <si>
    <t>Escala</t>
  </si>
  <si>
    <t>Notação</t>
  </si>
  <si>
    <t>Alfabeto Grego</t>
  </si>
  <si>
    <t>Ordem</t>
  </si>
  <si>
    <t>Maiúscula</t>
  </si>
  <si>
    <t>Miníscula</t>
  </si>
  <si>
    <t>HTML</t>
  </si>
  <si>
    <t>Α</t>
  </si>
  <si>
    <t>α</t>
  </si>
  <si>
    <t>Alfa</t>
  </si>
  <si>
    <t>&amp;alpha;</t>
  </si>
  <si>
    <t>/a, aː/ (a longo ou breve)</t>
  </si>
  <si>
    <t>/a/</t>
  </si>
  <si>
    <t>Β</t>
  </si>
  <si>
    <t>β</t>
  </si>
  <si>
    <t>Beta</t>
  </si>
  <si>
    <t>&amp;beta;</t>
  </si>
  <si>
    <t>/b/</t>
  </si>
  <si>
    <t>/v/</t>
  </si>
  <si>
    <t>Γ</t>
  </si>
  <si>
    <t>γ</t>
  </si>
  <si>
    <t>Gama</t>
  </si>
  <si>
    <t>&amp;gamma;</t>
  </si>
  <si>
    <t>/ɡ/→/ɣ/ (ga,gue,gui,go,gu)</t>
  </si>
  <si>
    <t>/ɣ, ʝ/</t>
  </si>
  <si>
    <t>Δ</t>
  </si>
  <si>
    <t>δ</t>
  </si>
  <si>
    <t>Delta</t>
  </si>
  <si>
    <t>&amp;delta;</t>
  </si>
  <si>
    <t>/d/→/ð/</t>
  </si>
  <si>
    <t>/ð/</t>
  </si>
  <si>
    <t>Ε</t>
  </si>
  <si>
    <t>ε</t>
  </si>
  <si>
    <t>Épsilon</t>
  </si>
  <si>
    <t>&amp;epsilon;</t>
  </si>
  <si>
    <t>/e/ (e sempre breve)</t>
  </si>
  <si>
    <t>/e/</t>
  </si>
  <si>
    <t>Ζ</t>
  </si>
  <si>
    <t>ζ</t>
  </si>
  <si>
    <t>Zeta</t>
  </si>
  <si>
    <t>&amp;zeta;</t>
  </si>
  <si>
    <t>/dz/→/z/ (ds, z italiano)</t>
  </si>
  <si>
    <t>/z/</t>
  </si>
  <si>
    <t>Η</t>
  </si>
  <si>
    <t>η</t>
  </si>
  <si>
    <t>Etá</t>
  </si>
  <si>
    <t>&amp;eta;</t>
  </si>
  <si>
    <t>/ɛː/→/i/ (e sempre longo)</t>
  </si>
  <si>
    <t>/i/</t>
  </si>
  <si>
    <t>Θ</t>
  </si>
  <si>
    <t>θ</t>
  </si>
  <si>
    <t>Teta</t>
  </si>
  <si>
    <t>&amp;theta;</t>
  </si>
  <si>
    <t>/tʰ/→/θ/</t>
  </si>
  <si>
    <t>/θ/</t>
  </si>
  <si>
    <t>Ι</t>
  </si>
  <si>
    <t>ι</t>
  </si>
  <si>
    <t>Iota</t>
  </si>
  <si>
    <t>&amp;iota;</t>
  </si>
  <si>
    <t>/i, iː/ → /i/</t>
  </si>
  <si>
    <t>Κ</t>
  </si>
  <si>
    <t>κ</t>
  </si>
  <si>
    <t>&amp;kappa;</t>
  </si>
  <si>
    <t>/k/</t>
  </si>
  <si>
    <t>/k, c/</t>
  </si>
  <si>
    <t>Λ</t>
  </si>
  <si>
    <t>λ</t>
  </si>
  <si>
    <t>Lambda</t>
  </si>
  <si>
    <t>&amp;lambda;</t>
  </si>
  <si>
    <t>/l/</t>
  </si>
  <si>
    <t>Μ</t>
  </si>
  <si>
    <t>μ</t>
  </si>
  <si>
    <t>&amp;mu;</t>
  </si>
  <si>
    <t>/m/</t>
  </si>
  <si>
    <t>Ν</t>
  </si>
  <si>
    <t>ν</t>
  </si>
  <si>
    <t>Ni</t>
  </si>
  <si>
    <t>&amp;nu;</t>
  </si>
  <si>
    <t>/n/</t>
  </si>
  <si>
    <t>Ξ</t>
  </si>
  <si>
    <t>ξ</t>
  </si>
  <si>
    <t>Csi</t>
  </si>
  <si>
    <t>&amp;xi;</t>
  </si>
  <si>
    <t>/ks/</t>
  </si>
  <si>
    <t>Ο</t>
  </si>
  <si>
    <t>ο</t>
  </si>
  <si>
    <t>Ómicron</t>
  </si>
  <si>
    <t>&amp;omicron;</t>
  </si>
  <si>
    <t>/o/ (o sempre breve)</t>
  </si>
  <si>
    <t>/o/</t>
  </si>
  <si>
    <t>Π</t>
  </si>
  <si>
    <t>π</t>
  </si>
  <si>
    <t>Pi</t>
  </si>
  <si>
    <t>&amp;pi;</t>
  </si>
  <si>
    <t>/p/</t>
  </si>
  <si>
    <t>Ρ</t>
  </si>
  <si>
    <t>ρ</t>
  </si>
  <si>
    <t>Ró</t>
  </si>
  <si>
    <t>&amp;rho;</t>
  </si>
  <si>
    <t>/r/</t>
  </si>
  <si>
    <t>Σ</t>
  </si>
  <si>
    <t>ς</t>
  </si>
  <si>
    <t>Sigma</t>
  </si>
  <si>
    <t>&amp;sigma;</t>
  </si>
  <si>
    <t>/s/</t>
  </si>
  <si>
    <t>Τ</t>
  </si>
  <si>
    <t>τ</t>
  </si>
  <si>
    <t>Tau</t>
  </si>
  <si>
    <t>&amp;tau;</t>
  </si>
  <si>
    <t>/t/</t>
  </si>
  <si>
    <t>Υ</t>
  </si>
  <si>
    <t>υ</t>
  </si>
  <si>
    <t>Upsilon</t>
  </si>
  <si>
    <t>&amp;upsilon;</t>
  </si>
  <si>
    <t>/u, uː/→/y, yː/→/i/ (u francês ou ü alemão)</t>
  </si>
  <si>
    <t>Φ</t>
  </si>
  <si>
    <t>φ</t>
  </si>
  <si>
    <t>Fi</t>
  </si>
  <si>
    <t>&amp;phi;</t>
  </si>
  <si>
    <t>/pʰ/→/f/</t>
  </si>
  <si>
    <t>/f/</t>
  </si>
  <si>
    <t>Χ</t>
  </si>
  <si>
    <t>χ</t>
  </si>
  <si>
    <t>Chi</t>
  </si>
  <si>
    <t>&amp;chi;</t>
  </si>
  <si>
    <t>/kʰ/→/x/</t>
  </si>
  <si>
    <t>/x, ç/</t>
  </si>
  <si>
    <t>Ψ</t>
  </si>
  <si>
    <t>ψ</t>
  </si>
  <si>
    <t>Psi</t>
  </si>
  <si>
    <t>&amp;psi;</t>
  </si>
  <si>
    <t>/ps/</t>
  </si>
  <si>
    <t>Ω</t>
  </si>
  <si>
    <t>ω</t>
  </si>
  <si>
    <t>Ômega</t>
  </si>
  <si>
    <t>&amp;omega;</t>
  </si>
  <si>
    <t>/ɔː/→/o/(o sempre longo)</t>
  </si>
  <si>
    <t>reconhecimento pela resolução da Conferência Geral de Pesos e Medidas (CGPM).</t>
  </si>
  <si>
    <t>Som</t>
  </si>
  <si>
    <t>Moderno</t>
  </si>
  <si>
    <t>Clássico</t>
  </si>
  <si>
    <r>
      <t xml:space="preserve"> m</t>
    </r>
    <r>
      <rPr>
        <b/>
        <vertAlign val="superscript"/>
        <sz val="11"/>
        <color theme="1"/>
        <rFont val="Calibri"/>
        <family val="2"/>
        <scheme val="minor"/>
      </rPr>
      <t>2</t>
    </r>
  </si>
  <si>
    <r>
      <t xml:space="preserve"> cm</t>
    </r>
    <r>
      <rPr>
        <b/>
        <vertAlign val="superscript"/>
        <sz val="11"/>
        <color theme="1"/>
        <rFont val="Calibri"/>
        <family val="2"/>
        <scheme val="minor"/>
      </rPr>
      <t>2</t>
    </r>
  </si>
  <si>
    <r>
      <t xml:space="preserve"> ft</t>
    </r>
    <r>
      <rPr>
        <b/>
        <vertAlign val="superscript"/>
        <sz val="11"/>
        <color theme="1"/>
        <rFont val="Calibri"/>
        <family val="2"/>
        <scheme val="minor"/>
      </rPr>
      <t>2</t>
    </r>
  </si>
  <si>
    <r>
      <t xml:space="preserve"> in</t>
    </r>
    <r>
      <rPr>
        <b/>
        <vertAlign val="superscript"/>
        <sz val="11"/>
        <color theme="1"/>
        <rFont val="Calibri"/>
        <family val="2"/>
        <scheme val="minor"/>
      </rPr>
      <t>2</t>
    </r>
  </si>
  <si>
    <r>
      <t xml:space="preserve"> m</t>
    </r>
    <r>
      <rPr>
        <b/>
        <vertAlign val="superscript"/>
        <sz val="11"/>
        <color theme="1"/>
        <rFont val="Calibri"/>
        <family val="2"/>
        <scheme val="minor"/>
      </rPr>
      <t>3</t>
    </r>
  </si>
  <si>
    <r>
      <t xml:space="preserve"> cm</t>
    </r>
    <r>
      <rPr>
        <b/>
        <vertAlign val="superscript"/>
        <sz val="11"/>
        <color theme="1"/>
        <rFont val="Calibri"/>
        <family val="2"/>
        <scheme val="minor"/>
      </rPr>
      <t>3</t>
    </r>
  </si>
  <si>
    <r>
      <t xml:space="preserve"> ft</t>
    </r>
    <r>
      <rPr>
        <b/>
        <vertAlign val="superscript"/>
        <sz val="11"/>
        <color theme="1"/>
        <rFont val="Calibri"/>
        <family val="2"/>
        <scheme val="minor"/>
      </rPr>
      <t>3</t>
    </r>
  </si>
  <si>
    <r>
      <t xml:space="preserve"> in</t>
    </r>
    <r>
      <rPr>
        <b/>
        <vertAlign val="superscript"/>
        <sz val="11"/>
        <color theme="1"/>
        <rFont val="Calibri"/>
        <family val="2"/>
        <scheme val="minor"/>
      </rPr>
      <t>3</t>
    </r>
  </si>
  <si>
    <r>
      <t xml:space="preserve"> slug/ft</t>
    </r>
    <r>
      <rPr>
        <b/>
        <vertAlign val="superscript"/>
        <sz val="11"/>
        <color theme="1"/>
        <rFont val="Calibri"/>
        <family val="2"/>
        <scheme val="minor"/>
      </rPr>
      <t>3</t>
    </r>
  </si>
  <si>
    <r>
      <t xml:space="preserve"> kg/m</t>
    </r>
    <r>
      <rPr>
        <b/>
        <vertAlign val="superscript"/>
        <sz val="11"/>
        <color theme="1"/>
        <rFont val="Calibri"/>
        <family val="2"/>
        <scheme val="minor"/>
      </rPr>
      <t>3</t>
    </r>
  </si>
  <si>
    <r>
      <t xml:space="preserve"> g/cm</t>
    </r>
    <r>
      <rPr>
        <b/>
        <vertAlign val="superscript"/>
        <sz val="11"/>
        <color theme="1"/>
        <rFont val="Calibri"/>
        <family val="2"/>
        <scheme val="minor"/>
      </rPr>
      <t>3</t>
    </r>
  </si>
  <si>
    <r>
      <t xml:space="preserve"> lb/ft</t>
    </r>
    <r>
      <rPr>
        <b/>
        <vertAlign val="superscript"/>
        <sz val="11"/>
        <color theme="1"/>
        <rFont val="Calibri"/>
        <family val="2"/>
        <scheme val="minor"/>
      </rPr>
      <t>3</t>
    </r>
  </si>
  <si>
    <r>
      <t xml:space="preserve"> lb/in</t>
    </r>
    <r>
      <rPr>
        <b/>
        <vertAlign val="superscript"/>
        <sz val="11"/>
        <color theme="1"/>
        <rFont val="Calibri"/>
        <family val="2"/>
        <scheme val="minor"/>
      </rPr>
      <t>3</t>
    </r>
  </si>
  <si>
    <r>
      <t>Desde</t>
    </r>
    <r>
      <rPr>
        <b/>
        <vertAlign val="superscript"/>
        <sz val="11"/>
        <color theme="1"/>
        <rFont val="Calibri"/>
        <family val="2"/>
        <scheme val="minor"/>
      </rPr>
      <t>[nota 1]</t>
    </r>
  </si>
  <si>
    <t>Prefixos Legais do SI - Sistema Internacional - Múltiplos e Submúltimplos Decimais das Unidades</t>
  </si>
  <si>
    <t xml:space="preserve">Nota 1. O sistema métrico foi introduzido em 1795 com seis prefixos. As outras datas estão relacionadas ao </t>
  </si>
  <si>
    <r>
      <t>onde a aceleração da gravidade é normal, ou seja:  g</t>
    </r>
    <r>
      <rPr>
        <vertAlign val="subscript"/>
        <sz val="11"/>
        <color theme="1"/>
        <rFont val="Calibri"/>
        <family val="2"/>
        <scheme val="minor"/>
      </rPr>
      <t>n</t>
    </r>
    <r>
      <rPr>
        <sz val="11"/>
        <color theme="1"/>
        <rFont val="Calibri"/>
        <family val="2"/>
        <scheme val="minor"/>
      </rPr>
      <t xml:space="preserve"> = 9,80665 m/s</t>
    </r>
    <r>
      <rPr>
        <vertAlign val="superscript"/>
        <sz val="11"/>
        <color theme="1"/>
        <rFont val="Calibri"/>
        <family val="2"/>
        <scheme val="minor"/>
      </rPr>
      <t>2</t>
    </r>
    <r>
      <rPr>
        <sz val="11"/>
        <color theme="1"/>
        <rFont val="Calibri"/>
        <family val="2"/>
        <scheme val="minor"/>
      </rPr>
      <t>.</t>
    </r>
  </si>
  <si>
    <t xml:space="preserve">Um quilograma-força (1 kgf) é a força da gravidade que atua sobre um corpo de massa igual a 1 quilograma num local </t>
  </si>
  <si>
    <t>Equivalências entre uma força (à esquerda) e a</t>
  </si>
  <si>
    <t xml:space="preserve">força execida sobre uma massa em quilogramas </t>
  </si>
  <si>
    <t xml:space="preserve">em um local onde a aceleração da gravidade é </t>
  </si>
  <si>
    <r>
      <t>normal, isto é, g</t>
    </r>
    <r>
      <rPr>
        <vertAlign val="subscript"/>
        <sz val="11"/>
        <color theme="1"/>
        <rFont val="Calibri"/>
        <family val="2"/>
        <scheme val="minor"/>
      </rPr>
      <t>n</t>
    </r>
    <r>
      <rPr>
        <sz val="11"/>
        <color theme="1"/>
        <rFont val="Calibri"/>
        <family val="2"/>
        <scheme val="minor"/>
      </rPr>
      <t xml:space="preserve"> = 9,80665 m/s</t>
    </r>
    <r>
      <rPr>
        <vertAlign val="superscript"/>
        <sz val="11"/>
        <color theme="1"/>
        <rFont val="Calibri"/>
        <family val="2"/>
        <scheme val="minor"/>
      </rPr>
      <t>2</t>
    </r>
  </si>
  <si>
    <t>Velocidade Angular</t>
  </si>
  <si>
    <t>Hz</t>
  </si>
  <si>
    <t xml:space="preserve"> 1/2π</t>
  </si>
  <si>
    <t xml:space="preserve"> 60/2π</t>
  </si>
  <si>
    <t>2π rad/s</t>
  </si>
  <si>
    <t>60 rpm</t>
  </si>
  <si>
    <t>rpm</t>
  </si>
  <si>
    <t xml:space="preserve"> 2π/60 rad/s</t>
  </si>
  <si>
    <t xml:space="preserve"> 1/60</t>
  </si>
  <si>
    <t>Velocidade angular (ω) = 2π f (expressa em rad/s)</t>
  </si>
  <si>
    <t>Fequência (f) = ω / 2π (expressa em Hz)</t>
  </si>
  <si>
    <t>Uma velocidade angular de 1 rad/s =</t>
  </si>
  <si>
    <t>Uma frequência em Hertz de 1 Hz =</t>
  </si>
  <si>
    <t>Uma rotação (revolução) de 1 rpm =</t>
  </si>
  <si>
    <t>Fonte : www.convertworld.com/en/frequency/revolutions-per-minute.html</t>
  </si>
  <si>
    <t>Medida</t>
  </si>
  <si>
    <t>Simbologia</t>
  </si>
  <si>
    <t>Equivalência</t>
  </si>
  <si>
    <t>Equivalente em Bytes</t>
  </si>
  <si>
    <t>byte</t>
  </si>
  <si>
    <t>kilobyte</t>
  </si>
  <si>
    <t>megabyte</t>
  </si>
  <si>
    <t>gigabyte</t>
  </si>
  <si>
    <t>terabyte</t>
  </si>
  <si>
    <t>petabyte</t>
  </si>
  <si>
    <t>exabyte</t>
  </si>
  <si>
    <t>yottabyte</t>
  </si>
  <si>
    <t>b</t>
  </si>
  <si>
    <t>kB</t>
  </si>
  <si>
    <t>MB</t>
  </si>
  <si>
    <t>TB</t>
  </si>
  <si>
    <t>PB</t>
  </si>
  <si>
    <t>ZB</t>
  </si>
  <si>
    <t>EB</t>
  </si>
  <si>
    <t>YB</t>
  </si>
  <si>
    <t>8 bits</t>
  </si>
  <si>
    <t>1024 bytes</t>
  </si>
  <si>
    <t>1024 kB</t>
  </si>
  <si>
    <t>1024 MB</t>
  </si>
  <si>
    <t>1024 GB</t>
  </si>
  <si>
    <t>1024 TB</t>
  </si>
  <si>
    <t>1024 PB</t>
  </si>
  <si>
    <t>1024 EB</t>
  </si>
  <si>
    <t>1024 ZB</t>
  </si>
  <si>
    <t>1  byte</t>
  </si>
  <si>
    <t>1 048 576 bytes</t>
  </si>
  <si>
    <t>1 024 bytes</t>
  </si>
  <si>
    <t>1 073 741 824 bytes</t>
  </si>
  <si>
    <t>1 099 511 627 776 bytes</t>
  </si>
  <si>
    <t>1 125 899 906 842 624 bytes</t>
  </si>
  <si>
    <t>1 152 921 504 606 846 976 bytes</t>
  </si>
  <si>
    <t>1 180 591 620 717 411 303 424 bytes</t>
  </si>
  <si>
    <t>1 208 925 819 614 629 174 706 176 bytes</t>
  </si>
  <si>
    <t>zettabyte</t>
  </si>
  <si>
    <t>Uma frequencia de 1 Hz = 1 cps (ciclo por segundo) = 60 rpm = 2π rad/s</t>
  </si>
  <si>
    <t>Medidas de Armazenamento em Tecnologia da Informação</t>
  </si>
  <si>
    <r>
      <t xml:space="preserve"> 2</t>
    </r>
    <r>
      <rPr>
        <vertAlign val="superscript"/>
        <sz val="11"/>
        <color theme="1"/>
        <rFont val="Calibri"/>
        <family val="2"/>
        <scheme val="minor"/>
      </rPr>
      <t>30</t>
    </r>
  </si>
  <si>
    <r>
      <t xml:space="preserve"> 2</t>
    </r>
    <r>
      <rPr>
        <vertAlign val="superscript"/>
        <sz val="11"/>
        <color theme="1"/>
        <rFont val="Calibri"/>
        <family val="2"/>
        <scheme val="minor"/>
      </rPr>
      <t>40</t>
    </r>
  </si>
  <si>
    <r>
      <t xml:space="preserve"> 2</t>
    </r>
    <r>
      <rPr>
        <vertAlign val="superscript"/>
        <sz val="11"/>
        <color theme="1"/>
        <rFont val="Calibri"/>
        <family val="2"/>
        <scheme val="minor"/>
      </rPr>
      <t>50</t>
    </r>
  </si>
  <si>
    <r>
      <t xml:space="preserve"> 2</t>
    </r>
    <r>
      <rPr>
        <vertAlign val="superscript"/>
        <sz val="11"/>
        <color theme="1"/>
        <rFont val="Calibri"/>
        <family val="2"/>
        <scheme val="minor"/>
      </rPr>
      <t>60</t>
    </r>
  </si>
  <si>
    <r>
      <t xml:space="preserve"> 2</t>
    </r>
    <r>
      <rPr>
        <vertAlign val="superscript"/>
        <sz val="11"/>
        <color theme="1"/>
        <rFont val="Calibri"/>
        <family val="2"/>
        <scheme val="minor"/>
      </rPr>
      <t>70</t>
    </r>
  </si>
  <si>
    <r>
      <t xml:space="preserve"> 2</t>
    </r>
    <r>
      <rPr>
        <vertAlign val="superscript"/>
        <sz val="11"/>
        <color theme="1"/>
        <rFont val="Calibri"/>
        <family val="2"/>
        <scheme val="minor"/>
      </rPr>
      <t>80</t>
    </r>
  </si>
  <si>
    <r>
      <t xml:space="preserve"> 2</t>
    </r>
    <r>
      <rPr>
        <vertAlign val="superscript"/>
        <sz val="11"/>
        <color theme="1"/>
        <rFont val="Calibri"/>
        <family val="2"/>
        <scheme val="minor"/>
      </rPr>
      <t>0</t>
    </r>
  </si>
  <si>
    <r>
      <t xml:space="preserve"> 2</t>
    </r>
    <r>
      <rPr>
        <vertAlign val="superscript"/>
        <sz val="11"/>
        <color theme="1"/>
        <rFont val="Calibri"/>
        <family val="2"/>
        <scheme val="minor"/>
      </rPr>
      <t>10</t>
    </r>
  </si>
  <si>
    <r>
      <t xml:space="preserve"> 2</t>
    </r>
    <r>
      <rPr>
        <vertAlign val="superscript"/>
        <sz val="11"/>
        <color theme="1"/>
        <rFont val="Calibri"/>
        <family val="2"/>
        <scheme val="minor"/>
      </rPr>
      <t>20</t>
    </r>
  </si>
  <si>
    <t xml:space="preserve">Ângulo Sólido: 1 esfera = 4π esterradianos = 12,57 esterradianos </t>
  </si>
  <si>
    <r>
      <t xml:space="preserve"> 2</t>
    </r>
    <r>
      <rPr>
        <b/>
        <vertAlign val="superscript"/>
        <sz val="11"/>
        <color theme="1"/>
        <rFont val="Calibri"/>
        <family val="2"/>
        <scheme val="minor"/>
      </rPr>
      <t>n</t>
    </r>
    <r>
      <rPr>
        <b/>
        <sz val="11"/>
        <color theme="1"/>
        <rFont val="Calibri"/>
        <family val="2"/>
        <scheme val="minor"/>
      </rPr>
      <t xml:space="preserve"> bytes</t>
    </r>
  </si>
  <si>
    <t>Frequência</t>
  </si>
  <si>
    <t>Denom.</t>
  </si>
  <si>
    <t>VLF</t>
  </si>
  <si>
    <t>LF</t>
  </si>
  <si>
    <t>MF</t>
  </si>
  <si>
    <t>HF</t>
  </si>
  <si>
    <t>3-30 kHz</t>
  </si>
  <si>
    <t>30-300 KHz</t>
  </si>
  <si>
    <t>300-3000 kHz</t>
  </si>
  <si>
    <t>3-30 MHz</t>
  </si>
  <si>
    <t>C. Onda (λ)</t>
  </si>
  <si>
    <t>Obs</t>
  </si>
  <si>
    <t>Ond. Muito L.</t>
  </si>
  <si>
    <t>Ondas Longas</t>
  </si>
  <si>
    <t>Ondas Médias</t>
  </si>
  <si>
    <t>Ondas Curtas</t>
  </si>
  <si>
    <t>VHF</t>
  </si>
  <si>
    <t>UHF</t>
  </si>
  <si>
    <t>SHF</t>
  </si>
  <si>
    <t>EHF</t>
  </si>
  <si>
    <t>Ondas Muito Curtas</t>
  </si>
  <si>
    <t>Microondas</t>
  </si>
  <si>
    <t>30 - 300MHz</t>
  </si>
  <si>
    <t>100 - 10km</t>
  </si>
  <si>
    <t>10 - 1km</t>
  </si>
  <si>
    <t>1000 - 100m</t>
  </si>
  <si>
    <t>100 - 10m</t>
  </si>
  <si>
    <t>300 - 3000MHz</t>
  </si>
  <si>
    <t>3 - 30 GHz</t>
  </si>
  <si>
    <t>30 - 300 GHz</t>
  </si>
  <si>
    <t>10 - 1m</t>
  </si>
  <si>
    <t>100 - 10cm</t>
  </si>
  <si>
    <t>10 - 1cm</t>
  </si>
  <si>
    <t>10 - 1mm</t>
  </si>
  <si>
    <t>Faixas de Comunicação - Classificação das ondas conforme a faixa de frequências de operação</t>
  </si>
  <si>
    <r>
      <t>1 barn = 10</t>
    </r>
    <r>
      <rPr>
        <vertAlign val="superscript"/>
        <sz val="11"/>
        <color theme="1"/>
        <rFont val="Calibri"/>
        <family val="2"/>
        <scheme val="minor"/>
      </rPr>
      <t>-28</t>
    </r>
    <r>
      <rPr>
        <sz val="11"/>
        <color theme="1"/>
        <rFont val="Calibri"/>
        <family val="2"/>
        <scheme val="minor"/>
      </rPr>
      <t xml:space="preserve"> m</t>
    </r>
    <r>
      <rPr>
        <vertAlign val="superscript"/>
        <sz val="11"/>
        <color theme="1"/>
        <rFont val="Calibri"/>
        <family val="2"/>
        <scheme val="minor"/>
      </rPr>
      <t>2</t>
    </r>
  </si>
  <si>
    <r>
      <t>1 segundo-luz = 2,997 924 58 x 10</t>
    </r>
    <r>
      <rPr>
        <vertAlign val="superscript"/>
        <sz val="11"/>
        <color theme="1"/>
        <rFont val="Calibri"/>
        <family val="2"/>
        <scheme val="minor"/>
      </rPr>
      <t>8</t>
    </r>
    <r>
      <rPr>
        <sz val="11"/>
        <color theme="1"/>
        <rFont val="Calibri"/>
        <family val="2"/>
        <scheme val="minor"/>
      </rPr>
      <t xml:space="preserve"> m</t>
    </r>
  </si>
  <si>
    <r>
      <t>1 UA = 1,49600 x 10</t>
    </r>
    <r>
      <rPr>
        <vertAlign val="superscript"/>
        <sz val="11"/>
        <color theme="1"/>
        <rFont val="Calibri"/>
        <family val="2"/>
        <scheme val="minor"/>
      </rPr>
      <t>11</t>
    </r>
    <r>
      <rPr>
        <sz val="11"/>
        <color theme="1"/>
        <rFont val="Calibri"/>
        <family val="2"/>
        <scheme val="minor"/>
      </rPr>
      <t xml:space="preserve"> m</t>
    </r>
  </si>
  <si>
    <t xml:space="preserve">1 milha geográfica = </t>
  </si>
  <si>
    <t xml:space="preserve"> = 1855 m = 6087,15 pés</t>
  </si>
  <si>
    <r>
      <t>1 galão americano (US-gal) = 4 quartos amenricanos = 8 pints americanos = 128 onças = 231 in</t>
    </r>
    <r>
      <rPr>
        <vertAlign val="superscript"/>
        <sz val="11"/>
        <color theme="1"/>
        <rFont val="Calibri"/>
        <family val="2"/>
        <scheme val="minor"/>
      </rPr>
      <t>3</t>
    </r>
    <r>
      <rPr>
        <sz val="11"/>
        <color theme="1"/>
        <rFont val="Calibri"/>
        <family val="2"/>
        <scheme val="minor"/>
      </rPr>
      <t xml:space="preserve"> = 3,786 l</t>
    </r>
  </si>
  <si>
    <t>1 galão inglês (b-gal) = 277,4 in3 = 1,201 galões americanos = 4,547 l</t>
  </si>
  <si>
    <r>
      <t>1 barril americano (US-bl) = 158,987 dm</t>
    </r>
    <r>
      <rPr>
        <vertAlign val="superscript"/>
        <sz val="11"/>
        <color theme="1"/>
        <rFont val="Calibri"/>
        <family val="2"/>
        <scheme val="minor"/>
      </rPr>
      <t>3</t>
    </r>
  </si>
  <si>
    <t>Convenções:</t>
  </si>
  <si>
    <t>1 dia = 86400 s</t>
  </si>
  <si>
    <t>1 seman = 7 dias</t>
  </si>
  <si>
    <t>1 mês = 30 dias</t>
  </si>
  <si>
    <t>1 ano = 31 556 952 s</t>
  </si>
  <si>
    <t>Fluxo Magnético</t>
  </si>
  <si>
    <t>1 maxwel =</t>
  </si>
  <si>
    <t>1 weber =</t>
  </si>
  <si>
    <r>
      <t xml:space="preserve"> 10</t>
    </r>
    <r>
      <rPr>
        <vertAlign val="superscript"/>
        <sz val="11"/>
        <color theme="1"/>
        <rFont val="Calibri"/>
        <family val="2"/>
        <scheme val="minor"/>
      </rPr>
      <t>-8</t>
    </r>
  </si>
  <si>
    <r>
      <t xml:space="preserve"> 10</t>
    </r>
    <r>
      <rPr>
        <vertAlign val="superscript"/>
        <sz val="11"/>
        <color theme="1"/>
        <rFont val="Calibri"/>
        <family val="2"/>
        <scheme val="minor"/>
      </rPr>
      <t>8</t>
    </r>
  </si>
  <si>
    <t>Indução Magnética</t>
  </si>
  <si>
    <t>1 gauss =</t>
  </si>
  <si>
    <t>1 tesla =</t>
  </si>
  <si>
    <t>1 miligauss =</t>
  </si>
  <si>
    <r>
      <t xml:space="preserve"> 10</t>
    </r>
    <r>
      <rPr>
        <vertAlign val="superscript"/>
        <sz val="11"/>
        <color theme="1"/>
        <rFont val="Calibri"/>
        <family val="2"/>
        <scheme val="minor"/>
      </rPr>
      <t>-7</t>
    </r>
  </si>
  <si>
    <r>
      <t xml:space="preserve"> 10</t>
    </r>
    <r>
      <rPr>
        <vertAlign val="superscript"/>
        <sz val="11"/>
        <color theme="1"/>
        <rFont val="Calibri"/>
        <family val="2"/>
        <scheme val="minor"/>
      </rPr>
      <t>7</t>
    </r>
  </si>
  <si>
    <r>
      <t>1 tesla = 1 Wb/m</t>
    </r>
    <r>
      <rPr>
        <vertAlign val="superscript"/>
        <sz val="11"/>
        <color theme="1"/>
        <rFont val="Calibri"/>
        <family val="2"/>
        <scheme val="minor"/>
      </rPr>
      <t>2</t>
    </r>
  </si>
  <si>
    <t>1 grau Kelvin =</t>
  </si>
  <si>
    <t>1 grau Celsius =</t>
  </si>
  <si>
    <t>1 grau Fahrenheit =</t>
  </si>
  <si>
    <t>1 grau Rankine =</t>
  </si>
  <si>
    <t xml:space="preserve"> °C + 273,15</t>
  </si>
  <si>
    <t xml:space="preserve"> K - 273,15</t>
  </si>
  <si>
    <t xml:space="preserve"> °R - 459,67</t>
  </si>
  <si>
    <t xml:space="preserve"> °F + 459,67</t>
  </si>
  <si>
    <t xml:space="preserve"> °R x ​5/9</t>
  </si>
  <si>
    <t xml:space="preserve"> K x ​9/5</t>
  </si>
  <si>
    <t xml:space="preserve"> (°C x ​9/5) + 32</t>
  </si>
  <si>
    <t xml:space="preserve"> (°F + 459,67) x ​5/9</t>
  </si>
  <si>
    <t xml:space="preserve"> (K x ​9/5) − 459,67</t>
  </si>
  <si>
    <t xml:space="preserve"> (°F - 32) x ​5/9</t>
  </si>
  <si>
    <t xml:space="preserve"> (°C + 273,15) x ​9/5</t>
  </si>
  <si>
    <t>Para intervalos de temperatura ao invés de temperaturas específicas, 1K = 1°C = 9/5 °F = 9/5 °R.</t>
  </si>
  <si>
    <t>Temperatura Termodinâmica</t>
  </si>
  <si>
    <t>Zero Absoluto</t>
  </si>
  <si>
    <t xml:space="preserve"> 0,00</t>
  </si>
  <si>
    <t xml:space="preserve"> 184</t>
  </si>
  <si>
    <t xml:space="preserve"> 255,37</t>
  </si>
  <si>
    <t xml:space="preserve"> 273,15</t>
  </si>
  <si>
    <t xml:space="preserve"> 273,16</t>
  </si>
  <si>
    <t xml:space="preserve"> 288</t>
  </si>
  <si>
    <t xml:space="preserve"> 310</t>
  </si>
  <si>
    <t xml:space="preserve"> 331</t>
  </si>
  <si>
    <t xml:space="preserve"> 373,1339</t>
  </si>
  <si>
    <t xml:space="preserve"> 1941</t>
  </si>
  <si>
    <t xml:space="preserve"> 5800</t>
  </si>
  <si>
    <t xml:space="preserve"> -273,15</t>
  </si>
  <si>
    <t xml:space="preserve"> -89,2</t>
  </si>
  <si>
    <t xml:space="preserve"> -17,78</t>
  </si>
  <si>
    <t xml:space="preserve"> 15</t>
  </si>
  <si>
    <t xml:space="preserve"> 37</t>
  </si>
  <si>
    <t xml:space="preserve"> 58</t>
  </si>
  <si>
    <t xml:space="preserve"> 99,9839</t>
  </si>
  <si>
    <t xml:space="preserve"> 1668</t>
  </si>
  <si>
    <t xml:space="preserve"> 5500</t>
  </si>
  <si>
    <t xml:space="preserve"> Kelvin</t>
  </si>
  <si>
    <t xml:space="preserve"> Celsius</t>
  </si>
  <si>
    <t xml:space="preserve"> Fahrenheit</t>
  </si>
  <si>
    <t xml:space="preserve"> Rankine</t>
  </si>
  <si>
    <t xml:space="preserve"> K</t>
  </si>
  <si>
    <t xml:space="preserve"> °C</t>
  </si>
  <si>
    <t xml:space="preserve"> °F</t>
  </si>
  <si>
    <t xml:space="preserve"> °R</t>
  </si>
  <si>
    <t xml:space="preserve"> gauss</t>
  </si>
  <si>
    <t xml:space="preserve"> T</t>
  </si>
  <si>
    <t xml:space="preserve"> miligauss</t>
  </si>
  <si>
    <t xml:space="preserve"> maxwel</t>
  </si>
  <si>
    <t xml:space="preserve"> Wb</t>
  </si>
  <si>
    <t xml:space="preserve"> -459,67</t>
  </si>
  <si>
    <t xml:space="preserve"> -128.6</t>
  </si>
  <si>
    <t xml:space="preserve"> 32,00</t>
  </si>
  <si>
    <t xml:space="preserve"> 32,018</t>
  </si>
  <si>
    <t xml:space="preserve"> 59</t>
  </si>
  <si>
    <t xml:space="preserve"> 98</t>
  </si>
  <si>
    <t xml:space="preserve"> 136,4</t>
  </si>
  <si>
    <t xml:space="preserve"> 211,97102</t>
  </si>
  <si>
    <t xml:space="preserve"> 3034</t>
  </si>
  <si>
    <t xml:space="preserve"> 9900</t>
  </si>
  <si>
    <t xml:space="preserve"> 459,67</t>
  </si>
  <si>
    <t xml:space="preserve"> 491,67</t>
  </si>
  <si>
    <t xml:space="preserve"> 491,688</t>
  </si>
  <si>
    <t xml:space="preserve"> 519</t>
  </si>
  <si>
    <t xml:space="preserve"> 558</t>
  </si>
  <si>
    <t xml:space="preserve"> 596</t>
  </si>
  <si>
    <t xml:space="preserve"> 671,64102</t>
  </si>
  <si>
    <t xml:space="preserve"> 3494</t>
  </si>
  <si>
    <t xml:space="preserve"> 10400</t>
  </si>
  <si>
    <r>
      <t xml:space="preserve">Mais baixa temperatura registrada na superfície da Terra </t>
    </r>
    <r>
      <rPr>
        <vertAlign val="superscript"/>
        <sz val="11"/>
        <color theme="1"/>
        <rFont val="Calibri"/>
        <family val="2"/>
        <scheme val="minor"/>
      </rPr>
      <t>[1]</t>
    </r>
  </si>
  <si>
    <t>Mistura de gelo e sal de Fahrenheit</t>
  </si>
  <si>
    <t>Derretimento do Gelo (à pressão padrão)</t>
  </si>
  <si>
    <t>Ponto Triplo da Água</t>
  </si>
  <si>
    <t>Temperatura média na superfície na Terra</t>
  </si>
  <si>
    <t>Temperatura média do corpo humano*</t>
  </si>
  <si>
    <t>* A temperatua normal do corpo humanao é 36,8 °C ±0,7 °C, ou 98,2 °F ±1,3 °F. (37 °C / 98,6 °F pelo padrão do século 19)</t>
  </si>
  <si>
    <t xml:space="preserve">[1] O Lugar Mais Frio Habitado na Terra: pesquisadores da Estação Vostok registraram a mais fria temperatura conhecida </t>
  </si>
  <si>
    <t>na Terra em 21 de julho de 1983: -89,2 °C (-128,6 °F).</t>
  </si>
  <si>
    <r>
      <t>Mais alta temperatura registrada na superfície da Terra</t>
    </r>
    <r>
      <rPr>
        <vertAlign val="superscript"/>
        <sz val="11"/>
        <color theme="1"/>
        <rFont val="Calibri"/>
        <family val="2"/>
        <scheme val="minor"/>
      </rPr>
      <t>[2]</t>
    </r>
  </si>
  <si>
    <t xml:space="preserve">[2] Mundo: A Mais Alta Tempreratura Registrada - Wayback Machine, 4 janeiro de 2013  - uma estação meteorológica </t>
  </si>
  <si>
    <t>italiana em  al 'Aziziyah (Líbia) registrou uma temperatura de 58 °C (136,4 ° F) em 13 de setembro de 1922.</t>
  </si>
  <si>
    <t>Ebulição (fervura) da água (à pressão padrão)</t>
  </si>
  <si>
    <t>Derretimento do titânio</t>
  </si>
  <si>
    <t>Superfície do Sol</t>
  </si>
  <si>
    <t>Comparação de escalas de temperatura</t>
  </si>
  <si>
    <t>Fonte: https://en.wikipedia.org/wiki/Conversion_of_units_of_temperature</t>
  </si>
  <si>
    <t>mol</t>
  </si>
  <si>
    <r>
      <t>6,0221367 × 10</t>
    </r>
    <r>
      <rPr>
        <vertAlign val="superscript"/>
        <sz val="11"/>
        <color theme="1"/>
        <rFont val="Calibri"/>
        <family val="2"/>
        <scheme val="minor"/>
      </rPr>
      <t>23</t>
    </r>
    <r>
      <rPr>
        <sz val="11"/>
        <color theme="1"/>
        <rFont val="Calibri"/>
        <family val="2"/>
        <scheme val="minor"/>
      </rPr>
      <t xml:space="preserve"> átomos</t>
    </r>
  </si>
  <si>
    <t>1 mole =</t>
  </si>
  <si>
    <t>Potência</t>
  </si>
  <si>
    <t>1 pé-libra / s =</t>
  </si>
  <si>
    <t>1 u. térm. britânica / h =</t>
  </si>
  <si>
    <r>
      <t>1 hp</t>
    </r>
    <r>
      <rPr>
        <vertAlign val="superscript"/>
        <sz val="11"/>
        <color theme="1"/>
        <rFont val="Calibri"/>
        <family val="2"/>
        <scheme val="minor"/>
      </rPr>
      <t>a</t>
    </r>
    <r>
      <rPr>
        <sz val="11"/>
        <color theme="1"/>
        <rFont val="Calibri"/>
        <family val="2"/>
        <scheme val="minor"/>
      </rPr>
      <t xml:space="preserve"> =</t>
    </r>
  </si>
  <si>
    <r>
      <t>1 cv</t>
    </r>
    <r>
      <rPr>
        <vertAlign val="superscript"/>
        <sz val="11"/>
        <color theme="1"/>
        <rFont val="Calibri"/>
        <family val="2"/>
        <scheme val="minor"/>
      </rPr>
      <t>b</t>
    </r>
    <r>
      <rPr>
        <sz val="11"/>
        <color theme="1"/>
        <rFont val="Calibri"/>
        <family val="2"/>
        <scheme val="minor"/>
      </rPr>
      <t xml:space="preserve"> = </t>
    </r>
  </si>
  <si>
    <t>1 caloria por segundo =</t>
  </si>
  <si>
    <t>1 quilowatt =</t>
  </si>
  <si>
    <t>1 watt =</t>
  </si>
  <si>
    <t xml:space="preserve"> Btu/h</t>
  </si>
  <si>
    <t xml:space="preserve"> ft-lb/s</t>
  </si>
  <si>
    <t xml:space="preserve"> hp</t>
  </si>
  <si>
    <t xml:space="preserve"> cv</t>
  </si>
  <si>
    <t xml:space="preserve"> cal/s</t>
  </si>
  <si>
    <t xml:space="preserve"> kW</t>
  </si>
  <si>
    <t xml:space="preserve"> W</t>
  </si>
  <si>
    <t xml:space="preserve"> 0,2161</t>
  </si>
  <si>
    <r>
      <t xml:space="preserve"> 3,929 x 10</t>
    </r>
    <r>
      <rPr>
        <vertAlign val="superscript"/>
        <sz val="11"/>
        <color theme="1"/>
        <rFont val="Calibri"/>
        <family val="2"/>
        <scheme val="minor"/>
      </rPr>
      <t>-4</t>
    </r>
  </si>
  <si>
    <r>
      <t xml:space="preserve"> 6,998 x 10</t>
    </r>
    <r>
      <rPr>
        <vertAlign val="superscript"/>
        <sz val="11"/>
        <color theme="1"/>
        <rFont val="Calibri"/>
        <family val="2"/>
        <scheme val="minor"/>
      </rPr>
      <t>-2</t>
    </r>
  </si>
  <si>
    <t xml:space="preserve"> 0,2930</t>
  </si>
  <si>
    <r>
      <t xml:space="preserve"> 2,930 x 10</t>
    </r>
    <r>
      <rPr>
        <vertAlign val="superscript"/>
        <sz val="11"/>
        <color theme="1"/>
        <rFont val="Calibri"/>
        <family val="2"/>
        <scheme val="minor"/>
      </rPr>
      <t>-4</t>
    </r>
  </si>
  <si>
    <r>
      <t xml:space="preserve"> 3,983 x 10</t>
    </r>
    <r>
      <rPr>
        <vertAlign val="superscript"/>
        <sz val="11"/>
        <color theme="1"/>
        <rFont val="Calibri"/>
        <family val="2"/>
        <scheme val="minor"/>
      </rPr>
      <t>-4</t>
    </r>
  </si>
  <si>
    <t xml:space="preserve"> 4,628</t>
  </si>
  <si>
    <r>
      <t xml:space="preserve"> 1,818 x 10</t>
    </r>
    <r>
      <rPr>
        <vertAlign val="superscript"/>
        <sz val="11"/>
        <color theme="1"/>
        <rFont val="Calibri"/>
        <family val="2"/>
        <scheme val="minor"/>
      </rPr>
      <t>-3</t>
    </r>
  </si>
  <si>
    <r>
      <t xml:space="preserve"> 1,843 x 10</t>
    </r>
    <r>
      <rPr>
        <vertAlign val="superscript"/>
        <sz val="11"/>
        <color theme="1"/>
        <rFont val="Calibri"/>
        <family val="2"/>
        <scheme val="minor"/>
      </rPr>
      <t>-3</t>
    </r>
  </si>
  <si>
    <t xml:space="preserve"> 0,3239</t>
  </si>
  <si>
    <r>
      <t xml:space="preserve"> 1,356 x 10</t>
    </r>
    <r>
      <rPr>
        <vertAlign val="superscript"/>
        <sz val="11"/>
        <color theme="1"/>
        <rFont val="Calibri"/>
        <family val="2"/>
        <scheme val="minor"/>
      </rPr>
      <t>-3</t>
    </r>
  </si>
  <si>
    <t xml:space="preserve"> 1,356</t>
  </si>
  <si>
    <t xml:space="preserve"> 2545</t>
  </si>
  <si>
    <t xml:space="preserve"> 550</t>
  </si>
  <si>
    <t xml:space="preserve"> 1,014</t>
  </si>
  <si>
    <t xml:space="preserve"> 178,1</t>
  </si>
  <si>
    <t xml:space="preserve"> 0,7457</t>
  </si>
  <si>
    <t xml:space="preserve"> 745,7</t>
  </si>
  <si>
    <t xml:space="preserve"> 2510</t>
  </si>
  <si>
    <t xml:space="preserve"> 542,5</t>
  </si>
  <si>
    <t xml:space="preserve"> 0,9863</t>
  </si>
  <si>
    <t xml:space="preserve"> 175,7</t>
  </si>
  <si>
    <t xml:space="preserve"> 0,7355</t>
  </si>
  <si>
    <t xml:space="preserve"> 735,5</t>
  </si>
  <si>
    <t xml:space="preserve"> 14,29</t>
  </si>
  <si>
    <t xml:space="preserve"> 3,088</t>
  </si>
  <si>
    <r>
      <t xml:space="preserve"> 5,615 x 10</t>
    </r>
    <r>
      <rPr>
        <vertAlign val="superscript"/>
        <sz val="11"/>
        <color theme="1"/>
        <rFont val="Calibri"/>
        <family val="2"/>
        <scheme val="minor"/>
      </rPr>
      <t>-3</t>
    </r>
  </si>
  <si>
    <r>
      <t xml:space="preserve"> 5,693 x 10</t>
    </r>
    <r>
      <rPr>
        <vertAlign val="superscript"/>
        <sz val="11"/>
        <color theme="1"/>
        <rFont val="Calibri"/>
        <family val="2"/>
        <scheme val="minor"/>
      </rPr>
      <t>-3</t>
    </r>
  </si>
  <si>
    <r>
      <t xml:space="preserve"> 4,186 x 10</t>
    </r>
    <r>
      <rPr>
        <vertAlign val="superscript"/>
        <sz val="11"/>
        <color theme="1"/>
        <rFont val="Calibri"/>
        <family val="2"/>
        <scheme val="minor"/>
      </rPr>
      <t>-3</t>
    </r>
  </si>
  <si>
    <t xml:space="preserve"> 4,186</t>
  </si>
  <si>
    <t xml:space="preserve"> 3413</t>
  </si>
  <si>
    <t xml:space="preserve"> 737,6</t>
  </si>
  <si>
    <t xml:space="preserve"> 1,341</t>
  </si>
  <si>
    <t xml:space="preserve"> 1,360</t>
  </si>
  <si>
    <t xml:space="preserve"> 238,9</t>
  </si>
  <si>
    <t xml:space="preserve"> 3,413</t>
  </si>
  <si>
    <t xml:space="preserve"> 0,7376</t>
  </si>
  <si>
    <r>
      <t xml:space="preserve"> 1,341 x 10</t>
    </r>
    <r>
      <rPr>
        <vertAlign val="superscript"/>
        <sz val="11"/>
        <color theme="1"/>
        <rFont val="Calibri"/>
        <family val="2"/>
        <scheme val="minor"/>
      </rPr>
      <t>-3</t>
    </r>
  </si>
  <si>
    <r>
      <t xml:space="preserve"> 1,360 x 10</t>
    </r>
    <r>
      <rPr>
        <vertAlign val="superscript"/>
        <sz val="11"/>
        <color theme="1"/>
        <rFont val="Calibri"/>
        <family val="2"/>
        <scheme val="minor"/>
      </rPr>
      <t>-3</t>
    </r>
  </si>
  <si>
    <t xml:space="preserve"> 0,2389</t>
  </si>
  <si>
    <t>(a) hp = horse-power = 745,7 W</t>
  </si>
  <si>
    <t>(b) cv = cavalo-vapor = 735,5 W</t>
  </si>
  <si>
    <t>Pressão</t>
  </si>
  <si>
    <t xml:space="preserve"> Pa</t>
  </si>
  <si>
    <t xml:space="preserve"> cmHg</t>
  </si>
  <si>
    <t xml:space="preserve"> atm</t>
  </si>
  <si>
    <t>1 atmosfera =</t>
  </si>
  <si>
    <r>
      <t>1 dina / cm</t>
    </r>
    <r>
      <rPr>
        <vertAlign val="superscript"/>
        <sz val="11"/>
        <color theme="1"/>
        <rFont val="Calibri"/>
        <family val="2"/>
        <scheme val="minor"/>
      </rPr>
      <t>2</t>
    </r>
    <r>
      <rPr>
        <sz val="11"/>
        <color theme="1"/>
        <rFont val="Calibri"/>
        <family val="2"/>
        <scheme val="minor"/>
      </rPr>
      <t xml:space="preserve"> = </t>
    </r>
  </si>
  <si>
    <t>1 pascal =</t>
  </si>
  <si>
    <r>
      <t>1 libra / polegada</t>
    </r>
    <r>
      <rPr>
        <vertAlign val="superscript"/>
        <sz val="11"/>
        <color theme="1"/>
        <rFont val="Calibri"/>
        <family val="2"/>
        <scheme val="minor"/>
      </rPr>
      <t>2</t>
    </r>
    <r>
      <rPr>
        <sz val="11"/>
        <color theme="1"/>
        <rFont val="Calibri"/>
        <family val="2"/>
        <scheme val="minor"/>
      </rPr>
      <t xml:space="preserve"> = </t>
    </r>
  </si>
  <si>
    <r>
      <t>1 libra / pé</t>
    </r>
    <r>
      <rPr>
        <vertAlign val="superscript"/>
        <sz val="11"/>
        <color theme="1"/>
        <rFont val="Calibri"/>
        <family val="2"/>
        <scheme val="minor"/>
      </rPr>
      <t>2</t>
    </r>
    <r>
      <rPr>
        <sz val="11"/>
        <color theme="1"/>
        <rFont val="Calibri"/>
        <family val="2"/>
        <scheme val="minor"/>
      </rPr>
      <t xml:space="preserve"> =</t>
    </r>
  </si>
  <si>
    <r>
      <t xml:space="preserve"> 1,013 x 10</t>
    </r>
    <r>
      <rPr>
        <vertAlign val="superscript"/>
        <sz val="11"/>
        <color theme="1"/>
        <rFont val="Calibri"/>
        <family val="2"/>
        <scheme val="minor"/>
      </rPr>
      <t>6</t>
    </r>
  </si>
  <si>
    <t xml:space="preserve"> 406,8</t>
  </si>
  <si>
    <t xml:space="preserve"> 76</t>
  </si>
  <si>
    <r>
      <t xml:space="preserve"> 1,013 x 10</t>
    </r>
    <r>
      <rPr>
        <vertAlign val="superscript"/>
        <sz val="11"/>
        <color theme="1"/>
        <rFont val="Calibri"/>
        <family val="2"/>
        <scheme val="minor"/>
      </rPr>
      <t>5</t>
    </r>
  </si>
  <si>
    <t xml:space="preserve"> 14,70</t>
  </si>
  <si>
    <t xml:space="preserve"> 2,116</t>
  </si>
  <si>
    <r>
      <t xml:space="preserve"> 9,869 x 10</t>
    </r>
    <r>
      <rPr>
        <vertAlign val="superscript"/>
        <sz val="11"/>
        <color theme="1"/>
        <rFont val="Calibri"/>
        <family val="2"/>
        <scheme val="minor"/>
      </rPr>
      <t>-7</t>
    </r>
  </si>
  <si>
    <r>
      <t xml:space="preserve"> 4,014 x 10</t>
    </r>
    <r>
      <rPr>
        <vertAlign val="superscript"/>
        <sz val="11"/>
        <color theme="1"/>
        <rFont val="Calibri"/>
        <family val="2"/>
        <scheme val="minor"/>
      </rPr>
      <t>-4</t>
    </r>
  </si>
  <si>
    <r>
      <t xml:space="preserve"> 7,501 x 10</t>
    </r>
    <r>
      <rPr>
        <vertAlign val="superscript"/>
        <sz val="11"/>
        <color theme="1"/>
        <rFont val="Calibri"/>
        <family val="2"/>
        <scheme val="minor"/>
      </rPr>
      <t>-5</t>
    </r>
  </si>
  <si>
    <t xml:space="preserve"> 0,1</t>
  </si>
  <si>
    <r>
      <t xml:space="preserve"> 1,405 x 10</t>
    </r>
    <r>
      <rPr>
        <vertAlign val="superscript"/>
        <sz val="11"/>
        <color theme="1"/>
        <rFont val="Calibri"/>
        <family val="2"/>
        <scheme val="minor"/>
      </rPr>
      <t>-5</t>
    </r>
  </si>
  <si>
    <r>
      <t xml:space="preserve"> 2,089 x 10</t>
    </r>
    <r>
      <rPr>
        <vertAlign val="superscript"/>
        <sz val="11"/>
        <color theme="1"/>
        <rFont val="Calibri"/>
        <family val="2"/>
        <scheme val="minor"/>
      </rPr>
      <t>-3</t>
    </r>
  </si>
  <si>
    <r>
      <t xml:space="preserve"> 2,458 x 10</t>
    </r>
    <r>
      <rPr>
        <vertAlign val="superscript"/>
        <sz val="11"/>
        <color theme="1"/>
        <rFont val="Calibri"/>
        <family val="2"/>
        <scheme val="minor"/>
      </rPr>
      <t>-3</t>
    </r>
  </si>
  <si>
    <t xml:space="preserve"> 2491</t>
  </si>
  <si>
    <t xml:space="preserve"> 0,1868</t>
  </si>
  <si>
    <t xml:space="preserve"> 249,1</t>
  </si>
  <si>
    <r>
      <t xml:space="preserve"> 3,613,10</t>
    </r>
    <r>
      <rPr>
        <vertAlign val="superscript"/>
        <sz val="11"/>
        <color theme="1"/>
        <rFont val="Calibri"/>
        <family val="2"/>
        <scheme val="minor"/>
      </rPr>
      <t>-2</t>
    </r>
  </si>
  <si>
    <t xml:space="preserve"> 5,202</t>
  </si>
  <si>
    <t xml:space="preserve"> 1,316 x 10-2</t>
  </si>
  <si>
    <r>
      <t>1,333 x 10</t>
    </r>
    <r>
      <rPr>
        <vertAlign val="superscript"/>
        <sz val="11"/>
        <color theme="1"/>
        <rFont val="Calibri"/>
        <family val="2"/>
        <scheme val="minor"/>
      </rPr>
      <t>4</t>
    </r>
  </si>
  <si>
    <t xml:space="preserve"> 5,353</t>
  </si>
  <si>
    <t xml:space="preserve"> 1333</t>
  </si>
  <si>
    <t xml:space="preserve"> 0,1934</t>
  </si>
  <si>
    <t xml:space="preserve"> 27,85</t>
  </si>
  <si>
    <r>
      <t xml:space="preserve"> 9,869 x 10</t>
    </r>
    <r>
      <rPr>
        <vertAlign val="superscript"/>
        <sz val="11"/>
        <color theme="1"/>
        <rFont val="Calibri"/>
        <family val="2"/>
        <scheme val="minor"/>
      </rPr>
      <t>-6</t>
    </r>
  </si>
  <si>
    <t xml:space="preserve"> 10</t>
  </si>
  <si>
    <r>
      <t xml:space="preserve"> 4,015 x 10</t>
    </r>
    <r>
      <rPr>
        <vertAlign val="superscript"/>
        <sz val="11"/>
        <color theme="1"/>
        <rFont val="Calibri"/>
        <family val="2"/>
        <scheme val="minor"/>
      </rPr>
      <t>-3</t>
    </r>
  </si>
  <si>
    <r>
      <t xml:space="preserve"> 7,501 x 10</t>
    </r>
    <r>
      <rPr>
        <vertAlign val="superscript"/>
        <sz val="11"/>
        <color theme="1"/>
        <rFont val="Calibri"/>
        <family val="2"/>
        <scheme val="minor"/>
      </rPr>
      <t>-4</t>
    </r>
  </si>
  <si>
    <t xml:space="preserve"> 1,450 x 10-4</t>
  </si>
  <si>
    <t xml:space="preserve"> 2,089 x 10-2</t>
  </si>
  <si>
    <r>
      <t xml:space="preserve"> 6,805 x 10</t>
    </r>
    <r>
      <rPr>
        <vertAlign val="superscript"/>
        <sz val="11"/>
        <color theme="1"/>
        <rFont val="Calibri"/>
        <family val="2"/>
        <scheme val="minor"/>
      </rPr>
      <t>-2</t>
    </r>
  </si>
  <si>
    <r>
      <t xml:space="preserve"> 6,895 x 10</t>
    </r>
    <r>
      <rPr>
        <vertAlign val="superscript"/>
        <sz val="11"/>
        <color theme="1"/>
        <rFont val="Calibri"/>
        <family val="2"/>
        <scheme val="minor"/>
      </rPr>
      <t>4</t>
    </r>
  </si>
  <si>
    <t xml:space="preserve"> 5,171</t>
  </si>
  <si>
    <r>
      <t xml:space="preserve"> 6,895 x 10</t>
    </r>
    <r>
      <rPr>
        <vertAlign val="superscript"/>
        <sz val="11"/>
        <color theme="1"/>
        <rFont val="Calibri"/>
        <family val="2"/>
        <scheme val="minor"/>
      </rPr>
      <t>3</t>
    </r>
  </si>
  <si>
    <r>
      <t xml:space="preserve"> 4,725 x 10</t>
    </r>
    <r>
      <rPr>
        <vertAlign val="superscript"/>
        <sz val="11"/>
        <color theme="1"/>
        <rFont val="Calibri"/>
        <family val="2"/>
        <scheme val="minor"/>
      </rPr>
      <t>-4</t>
    </r>
  </si>
  <si>
    <t xml:space="preserve"> 478,8</t>
  </si>
  <si>
    <t xml:space="preserve"> 0,1922</t>
  </si>
  <si>
    <r>
      <t xml:space="preserve"> 3,591 x 10</t>
    </r>
    <r>
      <rPr>
        <vertAlign val="superscript"/>
        <sz val="11"/>
        <color theme="1"/>
        <rFont val="Calibri"/>
        <family val="2"/>
        <scheme val="minor"/>
      </rPr>
      <t>-2</t>
    </r>
  </si>
  <si>
    <t xml:space="preserve"> 47,88</t>
  </si>
  <si>
    <r>
      <t xml:space="preserve"> dina/cm</t>
    </r>
    <r>
      <rPr>
        <b/>
        <vertAlign val="superscript"/>
        <sz val="11"/>
        <color theme="1"/>
        <rFont val="Calibri"/>
        <family val="2"/>
        <scheme val="minor"/>
      </rPr>
      <t>2</t>
    </r>
  </si>
  <si>
    <r>
      <t xml:space="preserve"> lb/in</t>
    </r>
    <r>
      <rPr>
        <b/>
        <vertAlign val="superscript"/>
        <sz val="11"/>
        <color theme="1"/>
        <rFont val="Calibri"/>
        <family val="2"/>
        <scheme val="minor"/>
      </rPr>
      <t>2</t>
    </r>
  </si>
  <si>
    <r>
      <t xml:space="preserve"> lb/ft</t>
    </r>
    <r>
      <rPr>
        <b/>
        <vertAlign val="superscript"/>
        <sz val="11"/>
        <color theme="1"/>
        <rFont val="Calibri"/>
        <family val="2"/>
        <scheme val="minor"/>
      </rPr>
      <t>2</t>
    </r>
  </si>
  <si>
    <t xml:space="preserve"> pol de água</t>
  </si>
  <si>
    <r>
      <t>1 polegada de água</t>
    </r>
    <r>
      <rPr>
        <vertAlign val="superscript"/>
        <sz val="11"/>
        <color theme="1"/>
        <rFont val="Calibri"/>
        <family val="2"/>
        <scheme val="minor"/>
      </rPr>
      <t>a</t>
    </r>
    <r>
      <rPr>
        <sz val="11"/>
        <color theme="1"/>
        <rFont val="Calibri"/>
        <family val="2"/>
        <scheme val="minor"/>
      </rPr>
      <t xml:space="preserve"> =</t>
    </r>
  </si>
  <si>
    <r>
      <t>1 cm de mercúrio</t>
    </r>
    <r>
      <rPr>
        <vertAlign val="superscript"/>
        <sz val="11"/>
        <color theme="1"/>
        <rFont val="Calibri"/>
        <family val="2"/>
        <scheme val="minor"/>
      </rPr>
      <t>b</t>
    </r>
    <r>
      <rPr>
        <sz val="11"/>
        <color theme="1"/>
        <rFont val="Calibri"/>
        <family val="2"/>
        <scheme val="minor"/>
      </rPr>
      <t xml:space="preserve"> =</t>
    </r>
  </si>
  <si>
    <t>(a) a 4 °C</t>
  </si>
  <si>
    <r>
      <t>(b) a 0 °C, e onde g</t>
    </r>
    <r>
      <rPr>
        <vertAlign val="subscript"/>
        <sz val="11"/>
        <color theme="1"/>
        <rFont val="Calibri"/>
        <family val="2"/>
        <scheme val="minor"/>
      </rPr>
      <t>n</t>
    </r>
    <r>
      <rPr>
        <sz val="11"/>
        <color theme="1"/>
        <rFont val="Calibri"/>
        <family val="2"/>
        <scheme val="minor"/>
      </rPr>
      <t xml:space="preserve"> = 9,80665 m/s</t>
    </r>
    <r>
      <rPr>
        <vertAlign val="superscript"/>
        <sz val="11"/>
        <color theme="1"/>
        <rFont val="Calibri"/>
        <family val="2"/>
        <scheme val="minor"/>
      </rPr>
      <t>2</t>
    </r>
  </si>
  <si>
    <r>
      <t>1 bar = 10</t>
    </r>
    <r>
      <rPr>
        <vertAlign val="superscript"/>
        <sz val="11"/>
        <color theme="1"/>
        <rFont val="Calibri"/>
        <family val="2"/>
        <scheme val="minor"/>
      </rPr>
      <t>6</t>
    </r>
    <r>
      <rPr>
        <sz val="11"/>
        <color theme="1"/>
        <rFont val="Calibri"/>
        <family val="2"/>
        <scheme val="minor"/>
      </rPr>
      <t xml:space="preserve"> dina/cm</t>
    </r>
    <r>
      <rPr>
        <vertAlign val="superscript"/>
        <sz val="11"/>
        <color theme="1"/>
        <rFont val="Calibri"/>
        <family val="2"/>
        <scheme val="minor"/>
      </rPr>
      <t>2</t>
    </r>
    <r>
      <rPr>
        <sz val="11"/>
        <color theme="1"/>
        <rFont val="Calibri"/>
        <family val="2"/>
        <scheme val="minor"/>
      </rPr>
      <t xml:space="preserve"> = 0,1MPa</t>
    </r>
  </si>
  <si>
    <r>
      <t>1 milibar = 10</t>
    </r>
    <r>
      <rPr>
        <vertAlign val="superscript"/>
        <sz val="11"/>
        <color theme="1"/>
        <rFont val="Calibri"/>
        <family val="2"/>
        <scheme val="minor"/>
      </rPr>
      <t>3</t>
    </r>
    <r>
      <rPr>
        <sz val="11"/>
        <color theme="1"/>
        <rFont val="Calibri"/>
        <family val="2"/>
        <scheme val="minor"/>
      </rPr>
      <t xml:space="preserve"> dina/cm</t>
    </r>
    <r>
      <rPr>
        <vertAlign val="superscript"/>
        <sz val="11"/>
        <color theme="1"/>
        <rFont val="Calibri"/>
        <family val="2"/>
        <scheme val="minor"/>
      </rPr>
      <t>2</t>
    </r>
    <r>
      <rPr>
        <sz val="11"/>
        <color theme="1"/>
        <rFont val="Calibri"/>
        <family val="2"/>
        <scheme val="minor"/>
      </rPr>
      <t xml:space="preserve"> = 10</t>
    </r>
    <r>
      <rPr>
        <vertAlign val="superscript"/>
        <sz val="11"/>
        <color theme="1"/>
        <rFont val="Calibri"/>
        <family val="2"/>
        <scheme val="minor"/>
      </rPr>
      <t>2</t>
    </r>
    <r>
      <rPr>
        <sz val="11"/>
        <color theme="1"/>
        <rFont val="Calibri"/>
        <family val="2"/>
        <scheme val="minor"/>
      </rPr>
      <t xml:space="preserve"> Pa</t>
    </r>
  </si>
  <si>
    <t>1 torr = 1mmHg</t>
  </si>
  <si>
    <t>Energia, Trabalho, Calor</t>
  </si>
  <si>
    <t xml:space="preserve"> Btu</t>
  </si>
  <si>
    <t xml:space="preserve"> erg</t>
  </si>
  <si>
    <t xml:space="preserve"> ft.lb</t>
  </si>
  <si>
    <t xml:space="preserve"> hp.h</t>
  </si>
  <si>
    <t xml:space="preserve"> J</t>
  </si>
  <si>
    <t xml:space="preserve"> cal</t>
  </si>
  <si>
    <t xml:space="preserve"> kWh</t>
  </si>
  <si>
    <t xml:space="preserve"> eV</t>
  </si>
  <si>
    <t>1 pé-libra=</t>
  </si>
  <si>
    <t>1 hp-hora=</t>
  </si>
  <si>
    <t>1 Btu=</t>
  </si>
  <si>
    <t>1 erg=</t>
  </si>
  <si>
    <t>1 joule=</t>
  </si>
  <si>
    <r>
      <t>1 caloria</t>
    </r>
    <r>
      <rPr>
        <vertAlign val="superscript"/>
        <sz val="11"/>
        <color theme="1"/>
        <rFont val="Calibri"/>
        <family val="2"/>
        <scheme val="minor"/>
      </rPr>
      <t>a</t>
    </r>
    <r>
      <rPr>
        <sz val="11"/>
        <color theme="1"/>
        <rFont val="Calibri"/>
        <family val="2"/>
        <scheme val="minor"/>
      </rPr>
      <t>=</t>
    </r>
  </si>
  <si>
    <t>1 kW-hora=</t>
  </si>
  <si>
    <t>1 eV=</t>
  </si>
  <si>
    <t xml:space="preserve"> 777,9</t>
  </si>
  <si>
    <t xml:space="preserve"> 1055</t>
  </si>
  <si>
    <t xml:space="preserve"> 252,0</t>
  </si>
  <si>
    <t xml:space="preserve"> 9,481</t>
  </si>
  <si>
    <r>
      <t xml:space="preserve"> 1,055 x 10</t>
    </r>
    <r>
      <rPr>
        <vertAlign val="superscript"/>
        <sz val="11"/>
        <color theme="1"/>
        <rFont val="Calibri"/>
        <family val="2"/>
        <scheme val="minor"/>
      </rPr>
      <t>10</t>
    </r>
  </si>
  <si>
    <r>
      <t xml:space="preserve"> 6,585 x 10</t>
    </r>
    <r>
      <rPr>
        <vertAlign val="superscript"/>
        <sz val="11"/>
        <color theme="1"/>
        <rFont val="Calibri"/>
        <family val="2"/>
        <scheme val="minor"/>
      </rPr>
      <t>21</t>
    </r>
  </si>
  <si>
    <r>
      <t xml:space="preserve"> 7,376 x 10</t>
    </r>
    <r>
      <rPr>
        <vertAlign val="superscript"/>
        <sz val="11"/>
        <color theme="1"/>
        <rFont val="Calibri"/>
        <family val="2"/>
        <scheme val="minor"/>
      </rPr>
      <t>-8</t>
    </r>
  </si>
  <si>
    <r>
      <t xml:space="preserve"> 3,725 x 10</t>
    </r>
    <r>
      <rPr>
        <vertAlign val="superscript"/>
        <sz val="11"/>
        <color theme="1"/>
        <rFont val="Calibri"/>
        <family val="2"/>
        <scheme val="minor"/>
      </rPr>
      <t>-14</t>
    </r>
  </si>
  <si>
    <r>
      <t xml:space="preserve"> 2,389 x 10</t>
    </r>
    <r>
      <rPr>
        <vertAlign val="superscript"/>
        <sz val="11"/>
        <color theme="1"/>
        <rFont val="Calibri"/>
        <family val="2"/>
        <scheme val="minor"/>
      </rPr>
      <t>-8</t>
    </r>
  </si>
  <si>
    <r>
      <t xml:space="preserve"> 2,778 x 10</t>
    </r>
    <r>
      <rPr>
        <vertAlign val="superscript"/>
        <sz val="11"/>
        <color theme="1"/>
        <rFont val="Calibri"/>
        <family val="2"/>
        <scheme val="minor"/>
      </rPr>
      <t>-14</t>
    </r>
  </si>
  <si>
    <r>
      <t xml:space="preserve"> 6,242 x 10</t>
    </r>
    <r>
      <rPr>
        <vertAlign val="superscript"/>
        <sz val="11"/>
        <color theme="1"/>
        <rFont val="Calibri"/>
        <family val="2"/>
        <scheme val="minor"/>
      </rPr>
      <t>11</t>
    </r>
  </si>
  <si>
    <r>
      <t xml:space="preserve"> 1,285 x 10</t>
    </r>
    <r>
      <rPr>
        <vertAlign val="superscript"/>
        <sz val="11"/>
        <color theme="1"/>
        <rFont val="Calibri"/>
        <family val="2"/>
        <scheme val="minor"/>
      </rPr>
      <t>-3</t>
    </r>
  </si>
  <si>
    <r>
      <t xml:space="preserve"> 1,356 x 10</t>
    </r>
    <r>
      <rPr>
        <vertAlign val="superscript"/>
        <sz val="11"/>
        <color theme="1"/>
        <rFont val="Calibri"/>
        <family val="2"/>
        <scheme val="minor"/>
      </rPr>
      <t>7</t>
    </r>
  </si>
  <si>
    <r>
      <t xml:space="preserve"> 5,051 x 10</t>
    </r>
    <r>
      <rPr>
        <vertAlign val="superscript"/>
        <sz val="11"/>
        <color theme="1"/>
        <rFont val="Calibri"/>
        <family val="2"/>
        <scheme val="minor"/>
      </rPr>
      <t>-7</t>
    </r>
  </si>
  <si>
    <t xml:space="preserve"> 0,3238</t>
  </si>
  <si>
    <r>
      <t xml:space="preserve"> 8,464 x 10</t>
    </r>
    <r>
      <rPr>
        <vertAlign val="superscript"/>
        <sz val="11"/>
        <color theme="1"/>
        <rFont val="Calibri"/>
        <family val="2"/>
        <scheme val="minor"/>
      </rPr>
      <t>18</t>
    </r>
  </si>
  <si>
    <r>
      <t xml:space="preserve"> 2,685 x 10</t>
    </r>
    <r>
      <rPr>
        <vertAlign val="superscript"/>
        <sz val="11"/>
        <color theme="1"/>
        <rFont val="Calibri"/>
        <family val="2"/>
        <scheme val="minor"/>
      </rPr>
      <t>13</t>
    </r>
  </si>
  <si>
    <r>
      <t xml:space="preserve"> 1,980 x 10</t>
    </r>
    <r>
      <rPr>
        <vertAlign val="superscript"/>
        <sz val="11"/>
        <color theme="1"/>
        <rFont val="Calibri"/>
        <family val="2"/>
        <scheme val="minor"/>
      </rPr>
      <t>6</t>
    </r>
  </si>
  <si>
    <r>
      <t xml:space="preserve"> 2,685 x 10</t>
    </r>
    <r>
      <rPr>
        <vertAlign val="superscript"/>
        <sz val="11"/>
        <color theme="1"/>
        <rFont val="Calibri"/>
        <family val="2"/>
        <scheme val="minor"/>
      </rPr>
      <t>6</t>
    </r>
  </si>
  <si>
    <r>
      <t xml:space="preserve"> 6,413 x 10</t>
    </r>
    <r>
      <rPr>
        <vertAlign val="superscript"/>
        <sz val="11"/>
        <color theme="1"/>
        <rFont val="Calibri"/>
        <family val="2"/>
        <scheme val="minor"/>
      </rPr>
      <t>5</t>
    </r>
  </si>
  <si>
    <r>
      <t xml:space="preserve"> 1,676 x 10</t>
    </r>
    <r>
      <rPr>
        <vertAlign val="superscript"/>
        <sz val="11"/>
        <color theme="1"/>
        <rFont val="Calibri"/>
        <family val="2"/>
        <scheme val="minor"/>
      </rPr>
      <t>25</t>
    </r>
  </si>
  <si>
    <r>
      <t xml:space="preserve"> 9,481 x 10</t>
    </r>
    <r>
      <rPr>
        <vertAlign val="superscript"/>
        <sz val="11"/>
        <color theme="1"/>
        <rFont val="Calibri"/>
        <family val="2"/>
        <scheme val="minor"/>
      </rPr>
      <t>-4</t>
    </r>
  </si>
  <si>
    <t xml:space="preserve"> 0, 7376</t>
  </si>
  <si>
    <r>
      <t xml:space="preserve"> 3,725 x 10</t>
    </r>
    <r>
      <rPr>
        <vertAlign val="superscript"/>
        <sz val="11"/>
        <color theme="1"/>
        <rFont val="Calibri"/>
        <family val="2"/>
        <scheme val="minor"/>
      </rPr>
      <t>-7</t>
    </r>
  </si>
  <si>
    <r>
      <t xml:space="preserve">  2,778 x 10</t>
    </r>
    <r>
      <rPr>
        <vertAlign val="superscript"/>
        <sz val="11"/>
        <color theme="1"/>
        <rFont val="Calibri"/>
        <family val="2"/>
        <scheme val="minor"/>
      </rPr>
      <t>-7</t>
    </r>
  </si>
  <si>
    <r>
      <t xml:space="preserve"> 3,766 x 10</t>
    </r>
    <r>
      <rPr>
        <vertAlign val="superscript"/>
        <sz val="11"/>
        <color theme="1"/>
        <rFont val="Calibri"/>
        <family val="2"/>
        <scheme val="minor"/>
      </rPr>
      <t>-7</t>
    </r>
  </si>
  <si>
    <r>
      <t xml:space="preserve"> 6242 x 10</t>
    </r>
    <r>
      <rPr>
        <vertAlign val="superscript"/>
        <sz val="11"/>
        <color theme="1"/>
        <rFont val="Calibri"/>
        <family val="2"/>
        <scheme val="minor"/>
      </rPr>
      <t>18</t>
    </r>
  </si>
  <si>
    <r>
      <t xml:space="preserve"> 3,969 x 10</t>
    </r>
    <r>
      <rPr>
        <vertAlign val="superscript"/>
        <sz val="11"/>
        <color theme="1"/>
        <rFont val="Calibri"/>
        <family val="2"/>
        <scheme val="minor"/>
      </rPr>
      <t>-3</t>
    </r>
  </si>
  <si>
    <r>
      <t xml:space="preserve"> 4,186 x 10</t>
    </r>
    <r>
      <rPr>
        <vertAlign val="superscript"/>
        <sz val="11"/>
        <color theme="1"/>
        <rFont val="Calibri"/>
        <family val="2"/>
        <scheme val="minor"/>
      </rPr>
      <t>7</t>
    </r>
  </si>
  <si>
    <r>
      <t xml:space="preserve"> 1,560 x 10</t>
    </r>
    <r>
      <rPr>
        <vertAlign val="superscript"/>
        <sz val="11"/>
        <color theme="1"/>
        <rFont val="Calibri"/>
        <family val="2"/>
        <scheme val="minor"/>
      </rPr>
      <t>-6</t>
    </r>
  </si>
  <si>
    <t xml:space="preserve"> 1,163 x 10-6</t>
  </si>
  <si>
    <r>
      <t xml:space="preserve"> 2,613 x 10</t>
    </r>
    <r>
      <rPr>
        <vertAlign val="superscript"/>
        <sz val="11"/>
        <color theme="1"/>
        <rFont val="Calibri"/>
        <family val="2"/>
        <scheme val="minor"/>
      </rPr>
      <t>19</t>
    </r>
  </si>
  <si>
    <r>
      <t xml:space="preserve"> 3,600 x 10</t>
    </r>
    <r>
      <rPr>
        <vertAlign val="superscript"/>
        <sz val="11"/>
        <color theme="1"/>
        <rFont val="Calibri"/>
        <family val="2"/>
        <scheme val="minor"/>
      </rPr>
      <t>13</t>
    </r>
  </si>
  <si>
    <r>
      <t xml:space="preserve"> 2,655 x 10</t>
    </r>
    <r>
      <rPr>
        <vertAlign val="superscript"/>
        <sz val="11"/>
        <color theme="1"/>
        <rFont val="Calibri"/>
        <family val="2"/>
        <scheme val="minor"/>
      </rPr>
      <t>6</t>
    </r>
  </si>
  <si>
    <r>
      <t xml:space="preserve"> 3,600 x 10</t>
    </r>
    <r>
      <rPr>
        <vertAlign val="superscript"/>
        <sz val="11"/>
        <color theme="1"/>
        <rFont val="Calibri"/>
        <family val="2"/>
        <scheme val="minor"/>
      </rPr>
      <t>6</t>
    </r>
  </si>
  <si>
    <r>
      <t xml:space="preserve"> 8,600 x 10</t>
    </r>
    <r>
      <rPr>
        <vertAlign val="superscript"/>
        <sz val="11"/>
        <color theme="1"/>
        <rFont val="Calibri"/>
        <family val="2"/>
        <scheme val="minor"/>
      </rPr>
      <t>5</t>
    </r>
  </si>
  <si>
    <r>
      <t xml:space="preserve"> 2,247 x 10</t>
    </r>
    <r>
      <rPr>
        <vertAlign val="superscript"/>
        <sz val="11"/>
        <color theme="1"/>
        <rFont val="Calibri"/>
        <family val="2"/>
        <scheme val="minor"/>
      </rPr>
      <t>25</t>
    </r>
  </si>
  <si>
    <r>
      <t xml:space="preserve"> 1,519 x 10</t>
    </r>
    <r>
      <rPr>
        <vertAlign val="superscript"/>
        <sz val="11"/>
        <color theme="1"/>
        <rFont val="Calibri"/>
        <family val="2"/>
        <scheme val="minor"/>
      </rPr>
      <t>-22</t>
    </r>
  </si>
  <si>
    <r>
      <t xml:space="preserve"> 1,602 x 10</t>
    </r>
    <r>
      <rPr>
        <vertAlign val="superscript"/>
        <sz val="11"/>
        <color theme="1"/>
        <rFont val="Calibri"/>
        <family val="2"/>
        <scheme val="minor"/>
      </rPr>
      <t>-12</t>
    </r>
  </si>
  <si>
    <r>
      <t xml:space="preserve"> 1,182 x 10</t>
    </r>
    <r>
      <rPr>
        <vertAlign val="superscript"/>
        <sz val="11"/>
        <color theme="1"/>
        <rFont val="Calibri"/>
        <family val="2"/>
        <scheme val="minor"/>
      </rPr>
      <t>-19</t>
    </r>
  </si>
  <si>
    <r>
      <t xml:space="preserve"> 5,967 x 10</t>
    </r>
    <r>
      <rPr>
        <vertAlign val="superscript"/>
        <sz val="11"/>
        <color theme="1"/>
        <rFont val="Calibri"/>
        <family val="2"/>
        <scheme val="minor"/>
      </rPr>
      <t>-26</t>
    </r>
  </si>
  <si>
    <r>
      <t xml:space="preserve"> 1,602 x 10</t>
    </r>
    <r>
      <rPr>
        <vertAlign val="superscript"/>
        <sz val="11"/>
        <color theme="1"/>
        <rFont val="Calibri"/>
        <family val="2"/>
        <scheme val="minor"/>
      </rPr>
      <t>-19</t>
    </r>
  </si>
  <si>
    <r>
      <t xml:space="preserve"> 3,827 x 10</t>
    </r>
    <r>
      <rPr>
        <vertAlign val="superscript"/>
        <sz val="11"/>
        <color theme="1"/>
        <rFont val="Calibri"/>
        <family val="2"/>
        <scheme val="minor"/>
      </rPr>
      <t>-20</t>
    </r>
  </si>
  <si>
    <r>
      <t xml:space="preserve"> 4,450 x 10</t>
    </r>
    <r>
      <rPr>
        <vertAlign val="superscript"/>
        <sz val="11"/>
        <color theme="1"/>
        <rFont val="Calibri"/>
        <family val="2"/>
        <scheme val="minor"/>
      </rPr>
      <t>-26</t>
    </r>
  </si>
  <si>
    <t>(a) a caloria utilizada em dieta humana (Cal) vale 1000 calorias (1 kcal). A caloria termoquímica  se define com 4,184 J.</t>
  </si>
  <si>
    <t xml:space="preserve">A unidades gf e kgf foram admitidas temporariamente pelo SI (Sisterma Internacional), e devem ser evitadas. </t>
  </si>
  <si>
    <t xml:space="preserve">Obs: Prefixos bronto e geop não são </t>
  </si>
  <si>
    <t>Quantidade de Substância</t>
  </si>
  <si>
    <r>
      <t>1 litro = 1 dm</t>
    </r>
    <r>
      <rPr>
        <b/>
        <vertAlign val="superscript"/>
        <sz val="11"/>
        <color theme="1"/>
        <rFont val="Calibri"/>
        <family val="2"/>
        <scheme val="minor"/>
      </rPr>
      <t>3</t>
    </r>
  </si>
  <si>
    <r>
      <t>2</t>
    </r>
    <r>
      <rPr>
        <vertAlign val="superscript"/>
        <sz val="11"/>
        <color theme="1"/>
        <rFont val="Calibri"/>
        <family val="2"/>
        <scheme val="minor"/>
      </rPr>
      <t>90</t>
    </r>
    <r>
      <rPr>
        <sz val="11"/>
        <color theme="1"/>
        <rFont val="Calibri"/>
        <family val="2"/>
        <scheme val="minor"/>
      </rPr>
      <t xml:space="preserve">  brontobyte  BB  1024 YB</t>
    </r>
  </si>
  <si>
    <r>
      <t>2</t>
    </r>
    <r>
      <rPr>
        <vertAlign val="superscript"/>
        <sz val="11"/>
        <color theme="1"/>
        <rFont val="Calibri"/>
        <family val="2"/>
        <scheme val="minor"/>
      </rPr>
      <t>100</t>
    </r>
    <r>
      <rPr>
        <sz val="11"/>
        <color theme="1"/>
        <rFont val="Calibri"/>
        <family val="2"/>
        <scheme val="minor"/>
      </rPr>
      <t xml:space="preserve"> geopbyte GB (?)  1024  BB</t>
    </r>
  </si>
  <si>
    <t>reconhecidos como prefixos padrão do SI</t>
  </si>
  <si>
    <t xml:space="preserve"> (°R - 491,67) x​ 5/9</t>
  </si>
  <si>
    <t>cbUnitsConversion</t>
  </si>
  <si>
    <t>cbUnitsConversionLabel</t>
  </si>
  <si>
    <t>Conversión de Unidades</t>
  </si>
  <si>
    <t>Units Conversion</t>
  </si>
  <si>
    <t>ind_UnitsConversion</t>
  </si>
  <si>
    <t>Units Conversion Print Area</t>
  </si>
  <si>
    <t>daydate</t>
  </si>
  <si>
    <t>dayweekid</t>
  </si>
  <si>
    <t>dayweekst</t>
  </si>
  <si>
    <t>gyear</t>
  </si>
  <si>
    <t>gymasa</t>
  </si>
  <si>
    <t>mpaksaid</t>
  </si>
  <si>
    <t>mpaksaname</t>
  </si>
  <si>
    <t>stithiindex</t>
  </si>
  <si>
    <t>stithiname</t>
  </si>
  <si>
    <t>atithiname</t>
  </si>
  <si>
    <t>arunodayatime</t>
  </si>
  <si>
    <t>dsunrisetime</t>
  </si>
  <si>
    <t>paranafrom</t>
  </si>
  <si>
    <t>paranato</t>
  </si>
  <si>
    <t>noontime</t>
  </si>
  <si>
    <t>sunsettime</t>
  </si>
  <si>
    <t>sankrantitime</t>
  </si>
  <si>
    <t>sankrantirasi</t>
  </si>
  <si>
    <t>ksayafrom</t>
  </si>
  <si>
    <t>ksayato</t>
  </si>
  <si>
    <t>moonrise</t>
  </si>
  <si>
    <t>moonset</t>
  </si>
  <si>
    <t>dstoffset</t>
  </si>
  <si>
    <t>vriddhisd</t>
  </si>
  <si>
    <t>tithielapse</t>
  </si>
  <si>
    <t>naksatraelapse</t>
  </si>
  <si>
    <t>naksatraname</t>
  </si>
  <si>
    <t>yoganame</t>
  </si>
  <si>
    <t>dcaturmasya1</t>
  </si>
  <si>
    <t>dcaturmasya2</t>
  </si>
  <si>
    <t>fasttype</t>
  </si>
  <si>
    <t>fastmark</t>
  </si>
  <si>
    <t>dfestival1</t>
  </si>
  <si>
    <t>dclass1</t>
  </si>
  <si>
    <t>dfestival2</t>
  </si>
  <si>
    <t>dclass2</t>
  </si>
  <si>
    <t>dfestival3</t>
  </si>
  <si>
    <t>dclass3</t>
  </si>
  <si>
    <t>dfestival4</t>
  </si>
  <si>
    <t>dclass4</t>
  </si>
  <si>
    <t>Kesava</t>
  </si>
  <si>
    <t>Narayana</t>
  </si>
  <si>
    <t>Madhava</t>
  </si>
  <si>
    <t>Govinda</t>
  </si>
  <si>
    <t>Visnu</t>
  </si>
  <si>
    <t>Madhusudana</t>
  </si>
  <si>
    <t>Trivikrama</t>
  </si>
  <si>
    <t>Purusottama-adhika</t>
  </si>
  <si>
    <t>Vamana</t>
  </si>
  <si>
    <t>Sridhara</t>
  </si>
  <si>
    <t>Hrsikesa</t>
  </si>
  <si>
    <t>Padmanabha</t>
  </si>
  <si>
    <t>Damodara</t>
  </si>
  <si>
    <t>Gaura</t>
  </si>
  <si>
    <t>Krsna</t>
  </si>
  <si>
    <t>Ekadasi (suitable for fasting)</t>
  </si>
  <si>
    <t>Ekadasi (not suitable for fasting)</t>
  </si>
  <si>
    <t>Dvadasi (suitable for fasting)</t>
  </si>
  <si>
    <t>N/A</t>
  </si>
  <si>
    <t>Sravana</t>
  </si>
  <si>
    <t>Dhanista</t>
  </si>
  <si>
    <t>Satabhisa</t>
  </si>
  <si>
    <t>Purva-bhadra</t>
  </si>
  <si>
    <t>Uttara-bhadra</t>
  </si>
  <si>
    <t>Revati</t>
  </si>
  <si>
    <t>Asvini</t>
  </si>
  <si>
    <t>Krittika</t>
  </si>
  <si>
    <t>Rohini</t>
  </si>
  <si>
    <t>Mrigasira</t>
  </si>
  <si>
    <t>Ardra</t>
  </si>
  <si>
    <t>Punarvasu</t>
  </si>
  <si>
    <t>Pusyami</t>
  </si>
  <si>
    <t>Aslesa</t>
  </si>
  <si>
    <t>Magha</t>
  </si>
  <si>
    <t>Purva-phalguni</t>
  </si>
  <si>
    <t>Uttara-phalguni</t>
  </si>
  <si>
    <t>Hasta</t>
  </si>
  <si>
    <t>Citra</t>
  </si>
  <si>
    <t>Swati</t>
  </si>
  <si>
    <t>Visakha</t>
  </si>
  <si>
    <t>Anuradha</t>
  </si>
  <si>
    <t>Jyestha</t>
  </si>
  <si>
    <t>Mula</t>
  </si>
  <si>
    <t>Purva-asadha</t>
  </si>
  <si>
    <t>Uttara-asadha</t>
  </si>
  <si>
    <t>Bharani</t>
  </si>
  <si>
    <t>Vriddhi</t>
  </si>
  <si>
    <t>Dhruva</t>
  </si>
  <si>
    <t>Vyagata</t>
  </si>
  <si>
    <t>Harsana</t>
  </si>
  <si>
    <t>Vajra</t>
  </si>
  <si>
    <t>Siddhi</t>
  </si>
  <si>
    <t>Vyatipata</t>
  </si>
  <si>
    <t>Variyana</t>
  </si>
  <si>
    <t>Siva</t>
  </si>
  <si>
    <t>Siddha</t>
  </si>
  <si>
    <t>Sadhya</t>
  </si>
  <si>
    <t>Subha</t>
  </si>
  <si>
    <t>Sukla</t>
  </si>
  <si>
    <t>Indra</t>
  </si>
  <si>
    <t>Vaidhriti</t>
  </si>
  <si>
    <t>Viskumba</t>
  </si>
  <si>
    <t>Priti</t>
  </si>
  <si>
    <t>Ayusmana</t>
  </si>
  <si>
    <t>Saubhagya</t>
  </si>
  <si>
    <t>Sobana</t>
  </si>
  <si>
    <t>Atiganda</t>
  </si>
  <si>
    <t>Sukarma</t>
  </si>
  <si>
    <t>Dhriti</t>
  </si>
  <si>
    <t>Sula</t>
  </si>
  <si>
    <t>Ganda</t>
  </si>
  <si>
    <t>Parigha</t>
  </si>
  <si>
    <t>Brahma</t>
  </si>
  <si>
    <t>Vyanjuli Mahadvadasi</t>
  </si>
  <si>
    <t>Fasting for Varuthini Ekadasi</t>
  </si>
  <si>
    <t>Trisprsa Mahadvadasi</t>
  </si>
  <si>
    <t>EKADASI_</t>
  </si>
  <si>
    <t>PURNIMA_</t>
  </si>
  <si>
    <t>1last_</t>
  </si>
  <si>
    <t>1fast_</t>
  </si>
  <si>
    <t>1cont_</t>
  </si>
  <si>
    <t>2last_</t>
  </si>
  <si>
    <t>2fast_</t>
  </si>
  <si>
    <t>2cont_</t>
  </si>
  <si>
    <t>3last_</t>
  </si>
  <si>
    <t>3fast_</t>
  </si>
  <si>
    <t>3cont_</t>
  </si>
  <si>
    <t>4last_</t>
  </si>
  <si>
    <t>4fast_</t>
  </si>
  <si>
    <t>4cont_</t>
  </si>
  <si>
    <t>[SISTEMA EKADASI]</t>
  </si>
  <si>
    <t>1first_EKADASI_</t>
  </si>
  <si>
    <t>1first_PURNIMA_</t>
  </si>
  <si>
    <t>1first_PRATIPAT</t>
  </si>
  <si>
    <t>1last_EKADASI_</t>
  </si>
  <si>
    <t>2first_EKADASI_</t>
  </si>
  <si>
    <t>1last_PURNIMA_</t>
  </si>
  <si>
    <t>2first_PURNIMA_</t>
  </si>
  <si>
    <t>2first_PRATIPAT</t>
  </si>
  <si>
    <t>2last_EKADASI_</t>
  </si>
  <si>
    <t>3first_EKADASI_</t>
  </si>
  <si>
    <t>2last_PURNIMA_</t>
  </si>
  <si>
    <t>3first_PURNIMA_</t>
  </si>
  <si>
    <t>3first_PRATIPAT</t>
  </si>
  <si>
    <t>3last_EKADASI_</t>
  </si>
  <si>
    <t>4first_EKADASI_</t>
  </si>
  <si>
    <t>3last_PURNIMA_</t>
  </si>
  <si>
    <t>4first_PURNIMA_</t>
  </si>
  <si>
    <t>4first_PRATIPAT</t>
  </si>
  <si>
    <t>4last_EKADASI_</t>
  </si>
  <si>
    <t>4last_PURNIMA_</t>
  </si>
  <si>
    <t>4last_PRATIPAT</t>
  </si>
  <si>
    <t>1last_PRATIPAT</t>
  </si>
  <si>
    <t>2last_PRATIPAT</t>
  </si>
  <si>
    <t>3last_PRATIPAT</t>
  </si>
  <si>
    <t>EventClass</t>
  </si>
  <si>
    <t>EkadFastClass</t>
  </si>
  <si>
    <t>EkFaEvClass</t>
  </si>
  <si>
    <t>Holidays &amp; Ekadasis &amp; Fasts</t>
  </si>
  <si>
    <t>Aguarde:  #|#  P: #p#  T: #t#  R: #r#  N:</t>
  </si>
  <si>
    <t>Wait:  #|#  P: #p#  T: #t#  R: #r#  N:</t>
  </si>
  <si>
    <t>Sri Madhavendra Puri - Appearance</t>
  </si>
  <si>
    <t>Sri Srinivasa Acarya - Appearance</t>
  </si>
  <si>
    <t>(Jejum hoje até o meio-dia)</t>
  </si>
  <si>
    <t>sys_cstrLoadOK</t>
  </si>
  <si>
    <t>OK!</t>
  </si>
  <si>
    <t>Jejum por Varuthini Ekadasi</t>
  </si>
  <si>
    <t>CatFast</t>
  </si>
  <si>
    <t>CatFastCod</t>
  </si>
  <si>
    <t>(Fast till noon for Vamanadeva, with feast tomorrow)</t>
  </si>
  <si>
    <t>(Jejum até o meio dia por Vamanadeva, com festa amanhã)</t>
  </si>
  <si>
    <t>(Fast till noon for Sri Nityananda, with feast tomorrow)</t>
  </si>
  <si>
    <t>(Jejum até o meio dia por Sri Nityananda, com festa amanhã)</t>
  </si>
  <si>
    <t>search</t>
  </si>
  <si>
    <t>countif</t>
  </si>
  <si>
    <t>indexmatch</t>
  </si>
  <si>
    <t>Auxiliar Validação País</t>
  </si>
  <si>
    <t>Formul</t>
  </si>
  <si>
    <t>Typed</t>
  </si>
  <si>
    <t>Auxiliar Validação Cidade</t>
  </si>
  <si>
    <t>CityTyped</t>
  </si>
  <si>
    <t>CountryTyped</t>
  </si>
  <si>
    <t>Csearch</t>
  </si>
  <si>
    <t>CityVal</t>
  </si>
  <si>
    <t>CityMinusTzCity</t>
  </si>
  <si>
    <t>Languages List</t>
  </si>
  <si>
    <t>4</t>
  </si>
  <si>
    <t>2019</t>
  </si>
  <si>
    <t>24 Nov 2018</t>
  </si>
  <si>
    <t>Years</t>
  </si>
  <si>
    <t>Hours</t>
  </si>
  <si>
    <t>Copyright (c) 2005-2019 PAULO SERGIO DE ARAUJO.</t>
  </si>
  <si>
    <t>FestivalClass</t>
  </si>
  <si>
    <t>(Fast till noon for Bhaktivinoda Thakura, with feast tomorrow)</t>
  </si>
  <si>
    <t>Viṣṇu (Chaitra)</t>
  </si>
  <si>
    <t>Madhusudana (Vaiśākha)</t>
  </si>
  <si>
    <t>Trivikrama (Jyeṣṭa)</t>
  </si>
  <si>
    <t>Vāmana (Āṣāḍha)</t>
  </si>
  <si>
    <t>Śrīdhara (Śrāvaṇa)</t>
  </si>
  <si>
    <t>Hṛṣīkeśa (Bhādrapada)</t>
  </si>
  <si>
    <t>Padmanābha (Āśvina)</t>
  </si>
  <si>
    <t>Dāmodara (Kārtika)</t>
  </si>
  <si>
    <t>Keśava (Mārgaśīrṣa)</t>
  </si>
  <si>
    <t>Nārāyaṇa (Pauṣa)</t>
  </si>
  <si>
    <t>Mādhāva (Māgha)</t>
  </si>
  <si>
    <t>Govinda (Phālguna)</t>
  </si>
  <si>
    <t>Puruṣottama-adhika (Dvitiya Jyestha)</t>
  </si>
  <si>
    <t>(Jejum até o meio dia por Bhaktivinoda, com festa amanhã)</t>
  </si>
  <si>
    <t>(Fast till noon for Bhaktivinoda, with feast tomorrow)</t>
  </si>
  <si>
    <t>Gaura Kisora</t>
  </si>
  <si>
    <t>(Fast till noon for Gaura Kisora, with feast tomorrow)</t>
  </si>
  <si>
    <t>(Jejum até o meio dia por Gaura Kisora, com festa amanhã)</t>
  </si>
  <si>
    <t>06:06:32</t>
  </si>
  <si>
    <t>05:15:28</t>
  </si>
  <si>
    <t>06:02:05</t>
  </si>
  <si>
    <t>05:05:09</t>
  </si>
  <si>
    <t>18:49:58</t>
  </si>
  <si>
    <t>17:52:26</t>
  </si>
  <si>
    <t>18:56:49</t>
  </si>
  <si>
    <t>17:53:35</t>
  </si>
  <si>
    <t>Paksa vardhini Mahadvadasi</t>
  </si>
  <si>
    <t>Vijaya Mahadvadasi</t>
  </si>
  <si>
    <t>City on Cover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</si>
</sst>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164" formatCode="0.0000"/>
    <numFmt numFmtId="165" formatCode="d"/>
    <numFmt numFmtId="166" formatCode="00"/>
    <numFmt numFmtId="167" formatCode="dd/mm/yyyy;@"/>
    <numFmt numFmtId="168" formatCode="dd"/>
    <numFmt numFmtId="169" formatCode="[$-416]dd\-mmm;@"/>
    <numFmt numFmtId="170" formatCode="dd/mm/yyyy\ hh:mm:ss"/>
    <numFmt numFmtId="171" formatCode="mm/yyyy"/>
    <numFmt numFmtId="172" formatCode="[$-F400]h:mm:ss\ AM/PM"/>
    <numFmt numFmtId="173" formatCode="h:mm;@"/>
  </numFmts>
  <fonts count="71" x14ac:knownFonts="1">
    <font>
      <sz val="11"/>
      <color theme="1"/>
      <name val="Calibri"/>
      <family val="2"/>
      <scheme val="minor"/>
    </font>
    <font>
      <b/>
      <sz val="11"/>
      <color theme="1"/>
      <name val="Calibri"/>
      <family val="2"/>
      <scheme val="minor"/>
    </font>
    <font>
      <sz val="11"/>
      <name val="Verdana"/>
      <family val="2"/>
    </font>
    <font>
      <b/>
      <sz val="16"/>
      <name val="Verdana"/>
      <family val="2"/>
    </font>
    <font>
      <b/>
      <sz val="11"/>
      <name val="Verdana"/>
      <family val="2"/>
    </font>
    <font>
      <u/>
      <sz val="10"/>
      <color indexed="12"/>
      <name val="Arial"/>
      <family val="2"/>
    </font>
    <font>
      <sz val="9"/>
      <name val="Verdana"/>
      <family val="2"/>
    </font>
    <font>
      <b/>
      <sz val="11"/>
      <color indexed="60"/>
      <name val="Verdana"/>
      <family val="2"/>
    </font>
    <font>
      <b/>
      <sz val="12"/>
      <name val="Verdana"/>
      <family val="2"/>
    </font>
    <font>
      <b/>
      <sz val="11"/>
      <color rgb="FFFF0000"/>
      <name val="Verdana"/>
      <family val="2"/>
    </font>
    <font>
      <u/>
      <sz val="11"/>
      <color indexed="12"/>
      <name val="Verdana"/>
      <family val="2"/>
    </font>
    <font>
      <sz val="10"/>
      <name val="Arial"/>
      <family val="2"/>
    </font>
    <font>
      <sz val="10"/>
      <name val="Verdana"/>
      <family val="2"/>
    </font>
    <font>
      <sz val="11"/>
      <name val="Arial"/>
      <family val="2"/>
    </font>
    <font>
      <sz val="8"/>
      <name val="Verdana"/>
      <family val="2"/>
    </font>
    <font>
      <b/>
      <sz val="14"/>
      <name val="Arial"/>
      <family val="2"/>
    </font>
    <font>
      <b/>
      <sz val="10"/>
      <name val="Arial"/>
      <family val="2"/>
    </font>
    <font>
      <sz val="11"/>
      <name val="Calibri"/>
      <family val="2"/>
      <scheme val="minor"/>
    </font>
    <font>
      <b/>
      <sz val="36"/>
      <name val="Verdana"/>
      <family val="2"/>
    </font>
    <font>
      <sz val="15"/>
      <name val="Verdana"/>
      <family val="2"/>
    </font>
    <font>
      <b/>
      <sz val="10"/>
      <name val="Verdana"/>
      <family val="2"/>
    </font>
    <font>
      <sz val="14"/>
      <name val="Verdana"/>
      <family val="2"/>
    </font>
    <font>
      <sz val="12"/>
      <name val="Verdana"/>
      <family val="2"/>
    </font>
    <font>
      <sz val="16"/>
      <name val="Verdana"/>
      <family val="2"/>
    </font>
    <font>
      <i/>
      <sz val="10"/>
      <name val="Arial"/>
      <family val="2"/>
    </font>
    <font>
      <vertAlign val="superscript"/>
      <sz val="10"/>
      <name val="Arial"/>
      <family val="2"/>
    </font>
    <font>
      <b/>
      <sz val="14"/>
      <name val="Verdana"/>
      <family val="2"/>
    </font>
    <font>
      <b/>
      <sz val="14"/>
      <color indexed="9"/>
      <name val="Verdana"/>
      <family val="2"/>
    </font>
    <font>
      <b/>
      <sz val="8"/>
      <color indexed="9"/>
      <name val="Verdana"/>
      <family val="2"/>
    </font>
    <font>
      <b/>
      <sz val="10"/>
      <color indexed="9"/>
      <name val="Verdana"/>
      <family val="2"/>
    </font>
    <font>
      <sz val="8"/>
      <name val="Arial"/>
      <family val="2"/>
    </font>
    <font>
      <sz val="7"/>
      <name val="Verdana"/>
      <family val="2"/>
    </font>
    <font>
      <sz val="10"/>
      <name val="Courier New"/>
      <family val="3"/>
    </font>
    <font>
      <b/>
      <sz val="11"/>
      <name val="Calibri"/>
      <family val="2"/>
      <scheme val="minor"/>
    </font>
    <font>
      <b/>
      <sz val="26"/>
      <name val="Verdana"/>
      <family val="2"/>
    </font>
    <font>
      <sz val="10"/>
      <color theme="1"/>
      <name val="Arial"/>
      <family val="2"/>
    </font>
    <font>
      <sz val="11"/>
      <color rgb="FF0070C0"/>
      <name val="Calibri"/>
      <family val="2"/>
      <scheme val="minor"/>
    </font>
    <font>
      <b/>
      <u/>
      <sz val="10"/>
      <name val="Verdana"/>
      <family val="2"/>
    </font>
    <font>
      <b/>
      <sz val="9"/>
      <name val="Verdana"/>
      <family val="2"/>
    </font>
    <font>
      <b/>
      <sz val="22"/>
      <name val="Verdana"/>
      <family val="2"/>
    </font>
    <font>
      <b/>
      <sz val="28"/>
      <name val="Verdana"/>
      <family val="2"/>
    </font>
    <font>
      <sz val="7"/>
      <name val="Tamal"/>
    </font>
    <font>
      <sz val="12"/>
      <name val="Symbol"/>
      <family val="1"/>
      <charset val="2"/>
    </font>
    <font>
      <b/>
      <sz val="8"/>
      <name val="Verdana"/>
      <family val="2"/>
    </font>
    <font>
      <sz val="6.5"/>
      <name val="Verdana"/>
      <family val="2"/>
    </font>
    <font>
      <sz val="7"/>
      <color indexed="23"/>
      <name val="Verdana"/>
      <family val="2"/>
    </font>
    <font>
      <b/>
      <sz val="10"/>
      <color indexed="23"/>
      <name val="Verdana"/>
      <family val="2"/>
    </font>
    <font>
      <sz val="10"/>
      <color theme="1"/>
      <name val="Verdana"/>
      <family val="2"/>
    </font>
    <font>
      <sz val="10"/>
      <name val="Wingdings 2"/>
      <family val="1"/>
      <charset val="2"/>
    </font>
    <font>
      <sz val="11"/>
      <color theme="1"/>
      <name val="Wingdings 2"/>
      <family val="1"/>
      <charset val="2"/>
    </font>
    <font>
      <sz val="14"/>
      <name val="Wingdings 2"/>
      <family val="1"/>
      <charset val="2"/>
    </font>
    <font>
      <sz val="8"/>
      <name val="Wingdings 2"/>
      <family val="1"/>
      <charset val="2"/>
    </font>
    <font>
      <sz val="11"/>
      <color rgb="FFFF0000"/>
      <name val="Arial"/>
      <family val="2"/>
    </font>
    <font>
      <sz val="8"/>
      <color indexed="23"/>
      <name val="Verdana"/>
      <family val="2"/>
    </font>
    <font>
      <sz val="7"/>
      <color rgb="FF808080"/>
      <name val="Verdana"/>
      <family val="2"/>
    </font>
    <font>
      <b/>
      <sz val="18"/>
      <name val="Verdana"/>
      <family val="2"/>
    </font>
    <font>
      <sz val="10"/>
      <color indexed="8"/>
      <name val="Verdana"/>
      <family val="2"/>
    </font>
    <font>
      <b/>
      <sz val="20"/>
      <name val="Verdana"/>
      <family val="2"/>
    </font>
    <font>
      <vertAlign val="superscript"/>
      <sz val="12"/>
      <name val="Verdana"/>
      <family val="2"/>
    </font>
    <font>
      <sz val="12"/>
      <name val="Arial"/>
      <family val="2"/>
    </font>
    <font>
      <b/>
      <sz val="12"/>
      <name val="Arial"/>
      <family val="2"/>
    </font>
    <font>
      <b/>
      <sz val="15"/>
      <name val="Verdana"/>
      <family val="2"/>
    </font>
    <font>
      <b/>
      <sz val="22"/>
      <color rgb="FF808080"/>
      <name val="Verdana"/>
      <family val="2"/>
    </font>
    <font>
      <b/>
      <sz val="10"/>
      <color theme="1"/>
      <name val="Verdana"/>
      <family val="2"/>
    </font>
    <font>
      <b/>
      <sz val="20"/>
      <color theme="1"/>
      <name val="Verdana"/>
      <family val="2"/>
    </font>
    <font>
      <vertAlign val="superscript"/>
      <sz val="11"/>
      <color theme="1"/>
      <name val="Calibri"/>
      <family val="2"/>
      <scheme val="minor"/>
    </font>
    <font>
      <vertAlign val="subscript"/>
      <sz val="11"/>
      <color theme="1"/>
      <name val="Calibri"/>
      <family val="2"/>
      <scheme val="minor"/>
    </font>
    <font>
      <b/>
      <vertAlign val="superscript"/>
      <sz val="11"/>
      <color theme="1"/>
      <name val="Calibri"/>
      <family val="2"/>
      <scheme val="minor"/>
    </font>
    <font>
      <sz val="10.5"/>
      <color theme="1"/>
      <name val="Calibri"/>
      <family val="2"/>
      <scheme val="minor"/>
    </font>
    <font>
      <b/>
      <sz val="15"/>
      <color theme="1"/>
      <name val="Calibri"/>
      <family val="2"/>
      <scheme val="minor"/>
    </font>
    <font>
      <sz val="8"/>
      <color theme="1"/>
      <name val="Calibri"/>
      <family val="2"/>
      <scheme val="minor"/>
    </font>
  </fonts>
  <fills count="37">
    <fill>
      <patternFill patternType="none"/>
    </fill>
    <fill>
      <patternFill patternType="gray125"/>
    </fill>
    <fill>
      <patternFill patternType="solid">
        <fgColor rgb="FFFAFECA"/>
        <bgColor indexed="64"/>
      </patternFill>
    </fill>
    <fill>
      <patternFill patternType="solid">
        <fgColor theme="9" tint="0.79998168889431442"/>
        <bgColor indexed="64"/>
      </patternFill>
    </fill>
    <fill>
      <patternFill patternType="solid">
        <fgColor rgb="FFFFFF00"/>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rgb="FF92D050"/>
        <bgColor indexed="64"/>
      </patternFill>
    </fill>
    <fill>
      <patternFill patternType="solid">
        <fgColor theme="5" tint="0.59999389629810485"/>
        <bgColor indexed="64"/>
      </patternFill>
    </fill>
    <fill>
      <patternFill patternType="solid">
        <fgColor theme="9" tint="0.39997558519241921"/>
        <bgColor indexed="64"/>
      </patternFill>
    </fill>
    <fill>
      <patternFill patternType="solid">
        <fgColor indexed="43"/>
        <bgColor indexed="64"/>
      </patternFill>
    </fill>
    <fill>
      <patternFill patternType="solid">
        <fgColor indexed="47"/>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indexed="55"/>
        <bgColor indexed="64"/>
      </patternFill>
    </fill>
    <fill>
      <patternFill patternType="solid">
        <fgColor indexed="22"/>
        <bgColor indexed="64"/>
      </patternFill>
    </fill>
    <fill>
      <patternFill patternType="solid">
        <fgColor indexed="46"/>
        <bgColor indexed="64"/>
      </patternFill>
    </fill>
    <fill>
      <patternFill patternType="solid">
        <fgColor rgb="FFFFFF66"/>
        <bgColor indexed="64"/>
      </patternFill>
    </fill>
    <fill>
      <patternFill patternType="solid">
        <fgColor theme="8" tint="0.59999389629810485"/>
        <bgColor indexed="64"/>
      </patternFill>
    </fill>
    <fill>
      <patternFill patternType="solid">
        <fgColor theme="8" tint="-0.249977111117893"/>
        <bgColor indexed="64"/>
      </patternFill>
    </fill>
    <fill>
      <patternFill patternType="solid">
        <fgColor theme="6" tint="0.39997558519241921"/>
        <bgColor indexed="64"/>
      </patternFill>
    </fill>
    <fill>
      <patternFill patternType="solid">
        <fgColor theme="9" tint="0.59999389629810485"/>
        <bgColor indexed="64"/>
      </patternFill>
    </fill>
    <fill>
      <patternFill patternType="solid">
        <fgColor theme="3" tint="0.59999389629810485"/>
        <bgColor indexed="64"/>
      </patternFill>
    </fill>
    <fill>
      <patternFill patternType="solid">
        <fgColor theme="7" tint="0.59999389629810485"/>
        <bgColor indexed="64"/>
      </patternFill>
    </fill>
    <fill>
      <patternFill patternType="solid">
        <fgColor theme="9" tint="-0.249977111117893"/>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theme="5" tint="-0.249977111117893"/>
        <bgColor indexed="64"/>
      </patternFill>
    </fill>
    <fill>
      <patternFill patternType="solid">
        <fgColor theme="3"/>
        <bgColor indexed="64"/>
      </patternFill>
    </fill>
    <fill>
      <patternFill patternType="solid">
        <fgColor theme="4" tint="0.59999389629810485"/>
        <bgColor indexed="64"/>
      </patternFill>
    </fill>
    <fill>
      <patternFill patternType="solid">
        <fgColor theme="8" tint="0.39997558519241921"/>
        <bgColor indexed="64"/>
      </patternFill>
    </fill>
    <fill>
      <patternFill patternType="solid">
        <fgColor theme="2" tint="-0.249977111117893"/>
        <bgColor indexed="64"/>
      </patternFill>
    </fill>
    <fill>
      <patternFill patternType="solid">
        <fgColor theme="3" tint="0.39997558519241921"/>
        <bgColor indexed="64"/>
      </patternFill>
    </fill>
    <fill>
      <patternFill patternType="solid">
        <fgColor rgb="FFFFFF99"/>
        <bgColor indexed="64"/>
      </patternFill>
    </fill>
    <fill>
      <patternFill patternType="solid">
        <fgColor theme="8" tint="0.79998168889431442"/>
        <bgColor indexed="64"/>
      </patternFill>
    </fill>
    <fill>
      <patternFill patternType="solid">
        <fgColor theme="0" tint="-0.14999847407452621"/>
        <bgColor indexed="64"/>
      </patternFill>
    </fill>
    <fill>
      <patternFill patternType="solid">
        <fgColor theme="4" tint="0.39997558519241921"/>
        <bgColor indexed="64"/>
      </patternFill>
    </fill>
  </fills>
  <borders count="72">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bottom style="thin">
        <color indexed="22"/>
      </bottom>
      <diagonal/>
    </border>
    <border>
      <left style="thin">
        <color indexed="22"/>
      </left>
      <right/>
      <top style="thin">
        <color indexed="22"/>
      </top>
      <bottom style="thin">
        <color indexed="22"/>
      </bottom>
      <diagonal/>
    </border>
    <border>
      <left/>
      <right/>
      <top style="thin">
        <color indexed="22"/>
      </top>
      <bottom style="thin">
        <color indexed="22"/>
      </bottom>
      <diagonal/>
    </border>
    <border>
      <left/>
      <right style="thin">
        <color indexed="22"/>
      </right>
      <top style="thin">
        <color indexed="22"/>
      </top>
      <bottom style="thin">
        <color indexed="22"/>
      </bottom>
      <diagonal/>
    </border>
    <border>
      <left/>
      <right style="thin">
        <color indexed="22"/>
      </right>
      <top/>
      <bottom/>
      <diagonal/>
    </border>
    <border>
      <left style="thin">
        <color indexed="22"/>
      </left>
      <right/>
      <top style="thin">
        <color indexed="22"/>
      </top>
      <bottom/>
      <diagonal/>
    </border>
    <border>
      <left/>
      <right/>
      <top style="thin">
        <color indexed="22"/>
      </top>
      <bottom/>
      <diagonal/>
    </border>
    <border>
      <left/>
      <right style="thin">
        <color indexed="22"/>
      </right>
      <top style="thin">
        <color indexed="22"/>
      </top>
      <bottom/>
      <diagonal/>
    </border>
    <border>
      <left style="thin">
        <color indexed="22"/>
      </left>
      <right style="thin">
        <color indexed="22"/>
      </right>
      <top style="thin">
        <color indexed="22"/>
      </top>
      <bottom style="thin">
        <color indexed="22"/>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dashed">
        <color indexed="64"/>
      </left>
      <right style="dotted">
        <color indexed="64"/>
      </right>
      <top style="dashed">
        <color indexed="64"/>
      </top>
      <bottom/>
      <diagonal/>
    </border>
    <border>
      <left style="dotted">
        <color indexed="64"/>
      </left>
      <right style="thin">
        <color indexed="64"/>
      </right>
      <top style="dotted">
        <color indexed="64"/>
      </top>
      <bottom/>
      <diagonal/>
    </border>
    <border>
      <left style="medium">
        <color indexed="64"/>
      </left>
      <right/>
      <top/>
      <bottom style="thin">
        <color indexed="64"/>
      </bottom>
      <diagonal/>
    </border>
    <border>
      <left/>
      <right style="medium">
        <color indexed="64"/>
      </right>
      <top/>
      <bottom style="thin">
        <color indexed="64"/>
      </bottom>
      <diagonal/>
    </border>
    <border>
      <left style="dashed">
        <color indexed="64"/>
      </left>
      <right style="dotted">
        <color indexed="64"/>
      </right>
      <top/>
      <bottom/>
      <diagonal/>
    </border>
    <border>
      <left style="dotted">
        <color indexed="64"/>
      </left>
      <right style="thin">
        <color indexed="64"/>
      </right>
      <top/>
      <bottom/>
      <diagonal/>
    </border>
    <border>
      <left style="medium">
        <color indexed="64"/>
      </left>
      <right/>
      <top/>
      <bottom/>
      <diagonal/>
    </border>
    <border>
      <left/>
      <right style="medium">
        <color indexed="64"/>
      </right>
      <top/>
      <bottom/>
      <diagonal/>
    </border>
    <border>
      <left style="dashed">
        <color indexed="64"/>
      </left>
      <right style="dotted">
        <color indexed="64"/>
      </right>
      <top/>
      <bottom style="thin">
        <color indexed="64"/>
      </bottom>
      <diagonal/>
    </border>
    <border>
      <left style="dotted">
        <color indexed="64"/>
      </left>
      <right style="thin">
        <color indexed="64"/>
      </right>
      <top/>
      <bottom style="thin">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22"/>
      </left>
      <right style="thin">
        <color indexed="22"/>
      </right>
      <top/>
      <bottom style="thin">
        <color indexed="22"/>
      </bottom>
      <diagonal/>
    </border>
    <border>
      <left style="thin">
        <color indexed="22"/>
      </left>
      <right style="thin">
        <color indexed="22"/>
      </right>
      <top/>
      <bottom/>
      <diagonal/>
    </border>
    <border>
      <left style="thin">
        <color indexed="22"/>
      </left>
      <right/>
      <top/>
      <bottom/>
      <diagonal/>
    </border>
    <border>
      <left style="thin">
        <color indexed="22"/>
      </left>
      <right style="thin">
        <color indexed="22"/>
      </right>
      <top style="medium">
        <color indexed="22"/>
      </top>
      <bottom/>
      <diagonal/>
    </border>
    <border>
      <left/>
      <right style="thin">
        <color indexed="22"/>
      </right>
      <top style="thin">
        <color indexed="22"/>
      </top>
      <bottom style="medium">
        <color indexed="22"/>
      </bottom>
      <diagonal/>
    </border>
    <border>
      <left style="thin">
        <color indexed="22"/>
      </left>
      <right/>
      <top style="thin">
        <color indexed="22"/>
      </top>
      <bottom style="medium">
        <color indexed="22"/>
      </bottom>
      <diagonal/>
    </border>
    <border>
      <left style="thin">
        <color indexed="22"/>
      </left>
      <right style="thin">
        <color indexed="22"/>
      </right>
      <top/>
      <bottom style="medium">
        <color indexed="22"/>
      </bottom>
      <diagonal/>
    </border>
    <border>
      <left/>
      <right/>
      <top/>
      <bottom style="medium">
        <color indexed="22"/>
      </bottom>
      <diagonal/>
    </border>
    <border>
      <left/>
      <right style="thin">
        <color indexed="22"/>
      </right>
      <top/>
      <bottom style="thin">
        <color indexed="22"/>
      </bottom>
      <diagonal/>
    </border>
    <border>
      <left style="thin">
        <color indexed="22"/>
      </left>
      <right/>
      <top/>
      <bottom style="thin">
        <color indexed="22"/>
      </bottom>
      <diagonal/>
    </border>
    <border>
      <left/>
      <right style="thin">
        <color indexed="22"/>
      </right>
      <top/>
      <bottom style="medium">
        <color indexed="22"/>
      </bottom>
      <diagonal/>
    </border>
    <border>
      <left style="thin">
        <color indexed="22"/>
      </left>
      <right/>
      <top/>
      <bottom style="medium">
        <color indexed="22"/>
      </bottom>
      <diagonal/>
    </border>
    <border>
      <left/>
      <right style="thin">
        <color indexed="22"/>
      </right>
      <top style="medium">
        <color indexed="22"/>
      </top>
      <bottom style="thin">
        <color indexed="22"/>
      </bottom>
      <diagonal/>
    </border>
    <border>
      <left style="thin">
        <color indexed="22"/>
      </left>
      <right/>
      <top style="medium">
        <color indexed="22"/>
      </top>
      <bottom style="thin">
        <color indexed="22"/>
      </bottom>
      <diagonal/>
    </border>
    <border>
      <left/>
      <right/>
      <top style="medium">
        <color indexed="22"/>
      </top>
      <bottom/>
      <diagonal/>
    </border>
    <border>
      <left/>
      <right style="thin">
        <color indexed="22"/>
      </right>
      <top style="medium">
        <color indexed="22"/>
      </top>
      <bottom style="medium">
        <color indexed="22"/>
      </bottom>
      <diagonal/>
    </border>
    <border>
      <left style="thin">
        <color indexed="22"/>
      </left>
      <right/>
      <top style="medium">
        <color indexed="22"/>
      </top>
      <bottom style="medium">
        <color indexed="22"/>
      </bottom>
      <diagonal/>
    </border>
    <border>
      <left/>
      <right/>
      <top style="medium">
        <color indexed="22"/>
      </top>
      <bottom style="medium">
        <color indexed="22"/>
      </bottom>
      <diagonal/>
    </border>
    <border>
      <left style="thin">
        <color indexed="64"/>
      </left>
      <right style="medium">
        <color indexed="64"/>
      </right>
      <top/>
      <bottom/>
      <diagonal/>
    </border>
    <border>
      <left style="thin">
        <color indexed="64"/>
      </left>
      <right style="medium">
        <color indexed="64"/>
      </right>
      <top style="thin">
        <color indexed="64"/>
      </top>
      <bottom/>
      <diagonal/>
    </border>
    <border>
      <left style="thin">
        <color indexed="64"/>
      </left>
      <right/>
      <top style="medium">
        <color indexed="64"/>
      </top>
      <bottom/>
      <diagonal/>
    </border>
    <border>
      <left style="thin">
        <color indexed="22"/>
      </left>
      <right style="thin">
        <color indexed="22"/>
      </right>
      <top style="medium">
        <color indexed="22"/>
      </top>
      <bottom style="thin">
        <color indexed="22"/>
      </bottom>
      <diagonal/>
    </border>
    <border>
      <left style="thin">
        <color indexed="22"/>
      </left>
      <right/>
      <top style="medium">
        <color indexed="22"/>
      </top>
      <bottom/>
      <diagonal/>
    </border>
    <border>
      <left/>
      <right style="thin">
        <color indexed="22"/>
      </right>
      <top style="medium">
        <color indexed="22"/>
      </top>
      <bottom/>
      <diagonal/>
    </border>
    <border>
      <left/>
      <right/>
      <top style="medium">
        <color indexed="22"/>
      </top>
      <bottom style="thin">
        <color indexed="22"/>
      </bottom>
      <diagonal/>
    </border>
    <border>
      <left/>
      <right/>
      <top/>
      <bottom style="thin">
        <color theme="0" tint="-0.24994659260841701"/>
      </bottom>
      <diagonal/>
    </border>
    <border>
      <left/>
      <right/>
      <top style="thin">
        <color theme="0" tint="-0.24994659260841701"/>
      </top>
      <bottom/>
      <diagonal/>
    </border>
    <border>
      <left style="thin">
        <color auto="1"/>
      </left>
      <right style="thin">
        <color auto="1"/>
      </right>
      <top style="thin">
        <color auto="1"/>
      </top>
      <bottom style="thin">
        <color auto="1"/>
      </bottom>
      <diagonal/>
    </border>
    <border>
      <left/>
      <right/>
      <top style="thin">
        <color indexed="22"/>
      </top>
      <bottom style="thin">
        <color indexed="22"/>
      </bottom>
      <diagonal/>
    </border>
    <border>
      <left/>
      <right/>
      <top style="thin">
        <color indexed="22"/>
      </top>
      <bottom/>
      <diagonal/>
    </border>
    <border>
      <left style="thin">
        <color indexed="64"/>
      </left>
      <right style="thin">
        <color indexed="64"/>
      </right>
      <top style="thin">
        <color indexed="64"/>
      </top>
      <bottom style="thin">
        <color indexed="64"/>
      </bottom>
      <diagonal/>
    </border>
  </borders>
  <cellStyleXfs count="4">
    <xf numFmtId="0" fontId="0" fillId="0" borderId="0"/>
    <xf numFmtId="0" fontId="5" fillId="0" borderId="0" applyNumberFormat="0" applyFill="0" applyBorder="0" applyAlignment="0" applyProtection="0">
      <alignment vertical="top"/>
      <protection locked="0"/>
    </xf>
    <xf numFmtId="0" fontId="11" fillId="0" borderId="0"/>
    <xf numFmtId="0" fontId="12" fillId="0" borderId="0"/>
  </cellStyleXfs>
  <cellXfs count="999">
    <xf numFmtId="0" fontId="0" fillId="0" borderId="0" xfId="0"/>
    <xf numFmtId="0" fontId="1" fillId="0" borderId="0" xfId="0" applyFont="1" applyAlignment="1">
      <alignment horizontal="right"/>
    </xf>
    <xf numFmtId="0" fontId="0" fillId="0" borderId="0" xfId="0" applyAlignment="1">
      <alignment horizontal="right"/>
    </xf>
    <xf numFmtId="0" fontId="5" fillId="0" borderId="0" xfId="1" applyAlignment="1" applyProtection="1">
      <alignment horizontal="left" indent="1"/>
    </xf>
    <xf numFmtId="0" fontId="5" fillId="0" borderId="4" xfId="1" applyBorder="1" applyAlignment="1" applyProtection="1"/>
    <xf numFmtId="0" fontId="5" fillId="0" borderId="0" xfId="1" applyBorder="1" applyAlignment="1" applyProtection="1"/>
    <xf numFmtId="0" fontId="2" fillId="0" borderId="0" xfId="2" applyFont="1"/>
    <xf numFmtId="0" fontId="3" fillId="0" borderId="0" xfId="2" applyFont="1" applyAlignment="1">
      <alignment vertical="center"/>
    </xf>
    <xf numFmtId="0" fontId="4" fillId="0" borderId="0" xfId="2" applyFont="1" applyBorder="1" applyAlignment="1">
      <alignment horizontal="right" vertical="center"/>
    </xf>
    <xf numFmtId="0" fontId="2" fillId="0" borderId="0" xfId="2" applyFont="1" applyAlignment="1">
      <alignment horizontal="left"/>
    </xf>
    <xf numFmtId="0" fontId="11" fillId="0" borderId="0" xfId="2"/>
    <xf numFmtId="0" fontId="2" fillId="0" borderId="4" xfId="2" applyFont="1" applyBorder="1"/>
    <xf numFmtId="0" fontId="2" fillId="0" borderId="0" xfId="2" applyFont="1" applyBorder="1"/>
    <xf numFmtId="0" fontId="4" fillId="0" borderId="0" xfId="2" applyFont="1" applyAlignment="1">
      <alignment vertical="top" wrapText="1"/>
    </xf>
    <xf numFmtId="0" fontId="2" fillId="0" borderId="0" xfId="2" applyNumberFormat="1" applyFont="1" applyBorder="1" applyAlignment="1" applyProtection="1">
      <alignment horizontal="left"/>
    </xf>
    <xf numFmtId="0" fontId="11" fillId="0" borderId="0" xfId="2" applyNumberFormat="1" applyFont="1" applyAlignment="1" applyProtection="1"/>
    <xf numFmtId="0" fontId="2" fillId="4" borderId="14" xfId="2" applyNumberFormat="1" applyFont="1" applyFill="1" applyBorder="1" applyAlignment="1" applyProtection="1"/>
    <xf numFmtId="0" fontId="2" fillId="0" borderId="9" xfId="2" applyFont="1" applyBorder="1"/>
    <xf numFmtId="0" fontId="2" fillId="4" borderId="9" xfId="2" applyNumberFormat="1" applyFont="1" applyFill="1" applyBorder="1" applyAlignment="1" applyProtection="1"/>
    <xf numFmtId="0" fontId="11" fillId="0" borderId="0" xfId="2" applyNumberFormat="1" applyFont="1" applyAlignment="1" applyProtection="1">
      <alignment horizontal="right"/>
    </xf>
    <xf numFmtId="0" fontId="2" fillId="5" borderId="9" xfId="2" applyFont="1" applyFill="1" applyBorder="1"/>
    <xf numFmtId="0" fontId="2" fillId="3" borderId="9" xfId="2" applyNumberFormat="1" applyFont="1" applyFill="1" applyBorder="1" applyAlignment="1" applyProtection="1">
      <protection locked="0"/>
    </xf>
    <xf numFmtId="0" fontId="11" fillId="0" borderId="0" xfId="2" applyNumberFormat="1" applyFont="1" applyFill="1" applyBorder="1" applyAlignment="1" applyProtection="1"/>
    <xf numFmtId="0" fontId="12" fillId="0" borderId="9" xfId="2" applyFont="1" applyBorder="1"/>
    <xf numFmtId="0" fontId="2" fillId="0" borderId="0" xfId="2" applyFont="1" applyAlignment="1"/>
    <xf numFmtId="0" fontId="2" fillId="0" borderId="9" xfId="2" applyFont="1" applyBorder="1" applyAlignment="1">
      <alignment horizontal="right"/>
    </xf>
    <xf numFmtId="0" fontId="11" fillId="0" borderId="0" xfId="2" applyNumberFormat="1" applyFont="1" applyFill="1" applyAlignment="1" applyProtection="1"/>
    <xf numFmtId="0" fontId="11" fillId="0" borderId="0" xfId="2" applyNumberFormat="1" applyFont="1" applyAlignment="1"/>
    <xf numFmtId="0" fontId="11" fillId="0" borderId="0" xfId="2" applyNumberFormat="1" applyFont="1" applyAlignment="1">
      <alignment horizontal="right"/>
    </xf>
    <xf numFmtId="0" fontId="11" fillId="7" borderId="9" xfId="2" applyNumberFormat="1" applyFont="1" applyFill="1" applyBorder="1" applyAlignment="1" applyProtection="1"/>
    <xf numFmtId="0" fontId="11" fillId="0" borderId="0" xfId="2" applyNumberFormat="1" applyFont="1" applyFill="1" applyBorder="1" applyAlignment="1" applyProtection="1">
      <alignment horizontal="right"/>
    </xf>
    <xf numFmtId="0" fontId="2" fillId="0" borderId="9" xfId="2" applyFont="1" applyBorder="1" applyAlignment="1"/>
    <xf numFmtId="0" fontId="11" fillId="0" borderId="0" xfId="2" applyFont="1"/>
    <xf numFmtId="0" fontId="4" fillId="0" borderId="0" xfId="2" applyFont="1" applyBorder="1"/>
    <xf numFmtId="0" fontId="4" fillId="0" borderId="0" xfId="2" applyFont="1"/>
    <xf numFmtId="0" fontId="2" fillId="0" borderId="9" xfId="2" applyNumberFormat="1" applyFont="1" applyFill="1" applyBorder="1" applyAlignment="1" applyProtection="1"/>
    <xf numFmtId="0" fontId="2" fillId="3" borderId="7" xfId="2" applyNumberFormat="1" applyFont="1" applyFill="1" applyBorder="1" applyAlignment="1" applyProtection="1">
      <protection locked="0"/>
    </xf>
    <xf numFmtId="0" fontId="2" fillId="0" borderId="9" xfId="2" applyFont="1" applyBorder="1" applyAlignment="1">
      <alignment horizontal="center" vertical="center"/>
    </xf>
    <xf numFmtId="0" fontId="14" fillId="0" borderId="9" xfId="2" applyFont="1" applyBorder="1"/>
    <xf numFmtId="164" fontId="2" fillId="0" borderId="9" xfId="2" applyNumberFormat="1" applyFont="1" applyBorder="1" applyAlignment="1"/>
    <xf numFmtId="0" fontId="11" fillId="0" borderId="9" xfId="2" applyBorder="1"/>
    <xf numFmtId="0" fontId="2" fillId="0" borderId="9" xfId="2" applyFont="1" applyBorder="1" applyAlignment="1">
      <alignment horizontal="left"/>
    </xf>
    <xf numFmtId="14" fontId="2" fillId="0" borderId="9" xfId="2" applyNumberFormat="1" applyFont="1" applyBorder="1"/>
    <xf numFmtId="14" fontId="2" fillId="3" borderId="7" xfId="2" applyNumberFormat="1" applyFont="1" applyFill="1" applyBorder="1" applyAlignment="1" applyProtection="1">
      <alignment horizontal="left"/>
      <protection locked="0"/>
    </xf>
    <xf numFmtId="14" fontId="2" fillId="4" borderId="7" xfId="2" applyNumberFormat="1" applyFont="1" applyFill="1" applyBorder="1" applyAlignment="1" applyProtection="1">
      <alignment horizontal="left"/>
    </xf>
    <xf numFmtId="0" fontId="2" fillId="0" borderId="0" xfId="2" applyNumberFormat="1" applyFont="1" applyFill="1" applyBorder="1" applyAlignment="1" applyProtection="1">
      <alignment horizontal="left"/>
    </xf>
    <xf numFmtId="0" fontId="13" fillId="4" borderId="9" xfId="2" applyNumberFormat="1" applyFont="1" applyFill="1" applyBorder="1" applyAlignment="1" applyProtection="1"/>
    <xf numFmtId="0" fontId="2" fillId="0" borderId="9" xfId="2" applyFont="1" applyBorder="1" applyAlignment="1">
      <alignment vertical="center"/>
    </xf>
    <xf numFmtId="0" fontId="2" fillId="0" borderId="9" xfId="2" applyFont="1" applyBorder="1" applyAlignment="1">
      <alignment horizontal="right" vertical="center"/>
    </xf>
    <xf numFmtId="0" fontId="2" fillId="8" borderId="9" xfId="2" applyFont="1" applyFill="1" applyBorder="1" applyAlignment="1">
      <alignment vertical="center"/>
    </xf>
    <xf numFmtId="0" fontId="2" fillId="8" borderId="9" xfId="2" applyFont="1" applyFill="1" applyBorder="1"/>
    <xf numFmtId="1" fontId="2" fillId="0" borderId="9" xfId="2" applyNumberFormat="1" applyFont="1" applyBorder="1" applyAlignment="1" applyProtection="1"/>
    <xf numFmtId="0" fontId="10" fillId="0" borderId="9" xfId="1" applyNumberFormat="1" applyFont="1" applyBorder="1" applyAlignment="1" applyProtection="1"/>
    <xf numFmtId="0" fontId="2" fillId="0" borderId="9" xfId="2" applyNumberFormat="1" applyFont="1" applyBorder="1" applyAlignment="1" applyProtection="1"/>
    <xf numFmtId="0" fontId="2" fillId="0" borderId="9" xfId="2" applyNumberFormat="1" applyFont="1" applyBorder="1" applyAlignment="1" applyProtection="1">
      <alignment horizontal="left"/>
    </xf>
    <xf numFmtId="0" fontId="2" fillId="0" borderId="0" xfId="2" applyFont="1" applyFill="1" applyBorder="1"/>
    <xf numFmtId="0" fontId="12" fillId="0" borderId="0" xfId="2" quotePrefix="1" applyFont="1" applyAlignment="1">
      <alignment horizontal="right"/>
    </xf>
    <xf numFmtId="0" fontId="11" fillId="0" borderId="0" xfId="2" applyAlignment="1"/>
    <xf numFmtId="0" fontId="15" fillId="0" borderId="0" xfId="2" applyFont="1"/>
    <xf numFmtId="0" fontId="11" fillId="0" borderId="13" xfId="2" applyFont="1" applyBorder="1"/>
    <xf numFmtId="0" fontId="0" fillId="0" borderId="13" xfId="3" applyNumberFormat="1" applyFont="1" applyFill="1" applyBorder="1" applyAlignment="1"/>
    <xf numFmtId="0" fontId="11" fillId="0" borderId="14" xfId="2" applyFont="1" applyBorder="1"/>
    <xf numFmtId="0" fontId="0" fillId="0" borderId="14" xfId="3" applyNumberFormat="1" applyFont="1" applyFill="1" applyBorder="1" applyAlignment="1"/>
    <xf numFmtId="0" fontId="11" fillId="0" borderId="15" xfId="2" applyFont="1" applyBorder="1"/>
    <xf numFmtId="0" fontId="0" fillId="0" borderId="15" xfId="3" applyNumberFormat="1" applyFont="1" applyFill="1" applyBorder="1" applyAlignment="1"/>
    <xf numFmtId="0" fontId="11" fillId="0" borderId="0" xfId="2" applyAlignment="1">
      <alignment horizontal="right"/>
    </xf>
    <xf numFmtId="0" fontId="11" fillId="9" borderId="0" xfId="2" applyFill="1"/>
    <xf numFmtId="0" fontId="11" fillId="4" borderId="0" xfId="2" applyFill="1"/>
    <xf numFmtId="0" fontId="11" fillId="0" borderId="0" xfId="2" quotePrefix="1"/>
    <xf numFmtId="0" fontId="16" fillId="0" borderId="0" xfId="2" applyFont="1"/>
    <xf numFmtId="49" fontId="2" fillId="3" borderId="7" xfId="2" applyNumberFormat="1" applyFont="1" applyFill="1" applyBorder="1" applyAlignment="1" applyProtection="1">
      <alignment horizontal="left"/>
      <protection locked="0"/>
    </xf>
    <xf numFmtId="0" fontId="17" fillId="0" borderId="9" xfId="2" applyFont="1" applyBorder="1"/>
    <xf numFmtId="0" fontId="12" fillId="0" borderId="0" xfId="2" applyFont="1"/>
    <xf numFmtId="0" fontId="18" fillId="0" borderId="0" xfId="3" applyFont="1" applyFill="1" applyBorder="1" applyAlignment="1">
      <alignment horizontal="left"/>
    </xf>
    <xf numFmtId="0" fontId="3" fillId="0" borderId="0" xfId="3" applyFont="1" applyFill="1" applyBorder="1" applyAlignment="1">
      <alignment horizontal="center" vertical="center"/>
    </xf>
    <xf numFmtId="0" fontId="12" fillId="0" borderId="0" xfId="2" applyFont="1" applyFill="1" applyBorder="1"/>
    <xf numFmtId="0" fontId="19" fillId="10" borderId="0" xfId="2" applyFont="1" applyFill="1"/>
    <xf numFmtId="0" fontId="3" fillId="0" borderId="0" xfId="3" applyFont="1" applyFill="1" applyBorder="1" applyAlignment="1">
      <alignment vertical="top"/>
    </xf>
    <xf numFmtId="165" fontId="20" fillId="0" borderId="0" xfId="3" applyNumberFormat="1" applyFont="1" applyFill="1" applyBorder="1" applyAlignment="1">
      <alignment horizontal="left" vertical="center"/>
    </xf>
    <xf numFmtId="14" fontId="12" fillId="0" borderId="0" xfId="3" applyNumberFormat="1" applyFont="1" applyFill="1" applyBorder="1" applyAlignment="1">
      <alignment horizontal="left" vertical="center" wrapText="1"/>
    </xf>
    <xf numFmtId="165" fontId="20" fillId="0" borderId="17" xfId="3" applyNumberFormat="1" applyFont="1" applyFill="1" applyBorder="1" applyAlignment="1">
      <alignment horizontal="left" vertical="center"/>
    </xf>
    <xf numFmtId="165" fontId="20" fillId="0" borderId="18" xfId="3" applyNumberFormat="1" applyFont="1" applyFill="1" applyBorder="1" applyAlignment="1">
      <alignment horizontal="left" vertical="center"/>
    </xf>
    <xf numFmtId="165" fontId="20" fillId="0" borderId="18" xfId="3" applyNumberFormat="1" applyFont="1" applyFill="1" applyBorder="1" applyAlignment="1" applyProtection="1">
      <alignment horizontal="left" vertical="center"/>
      <protection locked="0"/>
    </xf>
    <xf numFmtId="14" fontId="12" fillId="0" borderId="18" xfId="3" applyNumberFormat="1" applyFont="1" applyFill="1" applyBorder="1" applyAlignment="1" applyProtection="1">
      <alignment horizontal="left" vertical="center" wrapText="1"/>
      <protection locked="0"/>
    </xf>
    <xf numFmtId="165" fontId="20" fillId="0" borderId="19" xfId="3" applyNumberFormat="1" applyFont="1" applyFill="1" applyBorder="1" applyAlignment="1" applyProtection="1">
      <alignment horizontal="left" vertical="center"/>
      <protection locked="0"/>
    </xf>
    <xf numFmtId="0" fontId="12" fillId="0" borderId="0" xfId="2" applyFont="1" applyBorder="1" applyProtection="1">
      <protection locked="0"/>
    </xf>
    <xf numFmtId="165" fontId="20" fillId="0" borderId="18" xfId="3" applyNumberFormat="1" applyFont="1" applyFill="1" applyBorder="1" applyAlignment="1">
      <alignment vertical="center"/>
    </xf>
    <xf numFmtId="165" fontId="20" fillId="0" borderId="18" xfId="3" applyNumberFormat="1" applyFont="1" applyFill="1" applyBorder="1" applyAlignment="1">
      <alignment horizontal="right" vertical="center"/>
    </xf>
    <xf numFmtId="165" fontId="20" fillId="0" borderId="18" xfId="3" applyNumberFormat="1" applyFont="1" applyFill="1" applyBorder="1" applyAlignment="1" applyProtection="1">
      <alignment horizontal="right" vertical="center"/>
      <protection locked="0"/>
    </xf>
    <xf numFmtId="0" fontId="12" fillId="0" borderId="0" xfId="2" applyFont="1" applyProtection="1">
      <protection locked="0"/>
    </xf>
    <xf numFmtId="14" fontId="12" fillId="0" borderId="18" xfId="3" applyNumberFormat="1" applyFont="1" applyFill="1" applyBorder="1" applyAlignment="1">
      <alignment horizontal="left" vertical="center" wrapText="1"/>
    </xf>
    <xf numFmtId="165" fontId="20" fillId="0" borderId="0" xfId="3" applyNumberFormat="1" applyFont="1" applyFill="1" applyBorder="1" applyAlignment="1" applyProtection="1">
      <alignment horizontal="left" vertical="center"/>
      <protection locked="0"/>
    </xf>
    <xf numFmtId="0" fontId="12" fillId="0" borderId="20" xfId="2" applyFont="1" applyBorder="1" applyProtection="1">
      <protection locked="0"/>
    </xf>
    <xf numFmtId="165" fontId="20" fillId="0" borderId="17" xfId="3" applyNumberFormat="1" applyFont="1" applyFill="1" applyBorder="1" applyAlignment="1">
      <alignment vertical="center"/>
    </xf>
    <xf numFmtId="165" fontId="20" fillId="0" borderId="18" xfId="3" applyNumberFormat="1" applyFont="1" applyFill="1" applyBorder="1" applyAlignment="1" applyProtection="1">
      <alignment vertical="center"/>
      <protection locked="0"/>
    </xf>
    <xf numFmtId="165" fontId="20" fillId="0" borderId="19" xfId="3" applyNumberFormat="1" applyFont="1" applyFill="1" applyBorder="1" applyAlignment="1" applyProtection="1">
      <alignment vertical="center"/>
      <protection locked="0"/>
    </xf>
    <xf numFmtId="165" fontId="20" fillId="0" borderId="18" xfId="3" applyNumberFormat="1" applyFont="1" applyFill="1" applyBorder="1" applyAlignment="1" applyProtection="1">
      <alignment horizontal="center" vertical="center"/>
      <protection locked="0"/>
    </xf>
    <xf numFmtId="165" fontId="20" fillId="0" borderId="18" xfId="3" quotePrefix="1" applyNumberFormat="1" applyFont="1" applyFill="1" applyBorder="1" applyAlignment="1">
      <alignment horizontal="center" vertical="center"/>
    </xf>
    <xf numFmtId="165" fontId="20" fillId="0" borderId="21" xfId="3" applyNumberFormat="1" applyFont="1" applyFill="1" applyBorder="1" applyAlignment="1">
      <alignment horizontal="left" vertical="center"/>
    </xf>
    <xf numFmtId="165" fontId="20" fillId="0" borderId="22" xfId="3" applyNumberFormat="1" applyFont="1" applyFill="1" applyBorder="1" applyAlignment="1">
      <alignment horizontal="left" vertical="center"/>
    </xf>
    <xf numFmtId="165" fontId="20" fillId="0" borderId="22" xfId="3" applyNumberFormat="1" applyFont="1" applyFill="1" applyBorder="1" applyAlignment="1" applyProtection="1">
      <alignment horizontal="left" vertical="center"/>
      <protection locked="0"/>
    </xf>
    <xf numFmtId="14" fontId="12" fillId="0" borderId="22" xfId="3" applyNumberFormat="1" applyFont="1" applyFill="1" applyBorder="1" applyAlignment="1" applyProtection="1">
      <alignment horizontal="left" vertical="center" wrapText="1"/>
      <protection locked="0"/>
    </xf>
    <xf numFmtId="165" fontId="20" fillId="0" borderId="23" xfId="3" applyNumberFormat="1" applyFont="1" applyFill="1" applyBorder="1" applyAlignment="1" applyProtection="1">
      <alignment vertical="center"/>
      <protection locked="0"/>
    </xf>
    <xf numFmtId="0" fontId="3" fillId="0" borderId="0" xfId="3" applyFont="1" applyFill="1" applyBorder="1" applyAlignment="1">
      <alignment horizontal="left" vertical="center"/>
    </xf>
    <xf numFmtId="0" fontId="12" fillId="0" borderId="0" xfId="2" applyFont="1" applyBorder="1"/>
    <xf numFmtId="0" fontId="3" fillId="0" borderId="0" xfId="3" applyFont="1" applyFill="1" applyBorder="1" applyAlignment="1">
      <alignment horizontal="right" vertical="center"/>
    </xf>
    <xf numFmtId="0" fontId="21" fillId="11" borderId="0" xfId="2" applyFont="1" applyFill="1"/>
    <xf numFmtId="0" fontId="3" fillId="0" borderId="16" xfId="3" applyFont="1" applyFill="1" applyBorder="1" applyAlignment="1">
      <alignment vertical="center"/>
    </xf>
    <xf numFmtId="165" fontId="20" fillId="0" borderId="16" xfId="3" applyNumberFormat="1" applyFont="1" applyFill="1" applyBorder="1" applyAlignment="1">
      <alignment horizontal="left" vertical="center"/>
    </xf>
    <xf numFmtId="14" fontId="12" fillId="0" borderId="16" xfId="3" applyNumberFormat="1" applyFont="1" applyFill="1" applyBorder="1" applyAlignment="1">
      <alignment horizontal="left" vertical="center" wrapText="1"/>
    </xf>
    <xf numFmtId="14" fontId="20" fillId="0" borderId="16" xfId="3" applyNumberFormat="1" applyFont="1" applyFill="1" applyBorder="1" applyAlignment="1">
      <alignment horizontal="left" vertical="center"/>
    </xf>
    <xf numFmtId="14" fontId="20" fillId="0" borderId="16" xfId="3" applyNumberFormat="1" applyFont="1" applyFill="1" applyBorder="1" applyAlignment="1">
      <alignment horizontal="left" vertical="center" wrapText="1"/>
    </xf>
    <xf numFmtId="14" fontId="20" fillId="0" borderId="16" xfId="3" applyNumberFormat="1" applyFont="1" applyFill="1" applyBorder="1" applyAlignment="1" applyProtection="1">
      <alignment horizontal="left" vertical="center" wrapText="1"/>
      <protection locked="0"/>
    </xf>
    <xf numFmtId="165" fontId="20" fillId="0" borderId="19" xfId="3" applyNumberFormat="1" applyFont="1" applyFill="1" applyBorder="1" applyAlignment="1">
      <alignment horizontal="left" vertical="center"/>
    </xf>
    <xf numFmtId="165" fontId="20" fillId="0" borderId="17" xfId="3" applyNumberFormat="1" applyFont="1" applyFill="1" applyBorder="1" applyAlignment="1">
      <alignment horizontal="right" vertical="center"/>
    </xf>
    <xf numFmtId="165" fontId="20" fillId="0" borderId="18" xfId="3" applyNumberFormat="1" applyFont="1" applyFill="1" applyBorder="1" applyAlignment="1" applyProtection="1">
      <alignment horizontal="left" vertical="top"/>
      <protection locked="0"/>
    </xf>
    <xf numFmtId="0" fontId="12" fillId="0" borderId="18" xfId="3" applyFont="1" applyFill="1" applyBorder="1" applyAlignment="1" applyProtection="1">
      <alignment horizontal="left" vertical="center"/>
      <protection locked="0"/>
    </xf>
    <xf numFmtId="0" fontId="12" fillId="0" borderId="19" xfId="3" applyFont="1" applyFill="1" applyBorder="1" applyAlignment="1" applyProtection="1">
      <alignment horizontal="left" vertical="center"/>
      <protection locked="0"/>
    </xf>
    <xf numFmtId="0" fontId="12" fillId="0" borderId="0" xfId="3" applyFont="1" applyFill="1" applyBorder="1" applyAlignment="1">
      <alignment horizontal="left" vertical="center" wrapText="1"/>
    </xf>
    <xf numFmtId="0" fontId="3" fillId="0" borderId="0" xfId="2" applyFont="1" applyFill="1" applyBorder="1"/>
    <xf numFmtId="0" fontId="22" fillId="0" borderId="0" xfId="2" applyFont="1" applyFill="1"/>
    <xf numFmtId="0" fontId="11" fillId="0" borderId="0" xfId="2" applyFill="1"/>
    <xf numFmtId="0" fontId="23" fillId="0" borderId="0" xfId="2" applyFont="1" applyFill="1" applyBorder="1"/>
    <xf numFmtId="0" fontId="21" fillId="0" borderId="0" xfId="3" applyFont="1" applyFill="1" applyAlignment="1">
      <alignment vertical="center"/>
    </xf>
    <xf numFmtId="0" fontId="11" fillId="0" borderId="0" xfId="2" applyFont="1" applyFill="1" applyAlignment="1">
      <alignment horizontal="right"/>
    </xf>
    <xf numFmtId="0" fontId="11" fillId="12" borderId="13" xfId="2" applyFill="1" applyBorder="1"/>
    <xf numFmtId="0" fontId="11" fillId="12" borderId="9" xfId="2" applyFill="1" applyBorder="1"/>
    <xf numFmtId="0" fontId="8" fillId="0" borderId="24" xfId="2" applyFont="1" applyFill="1" applyBorder="1" applyAlignment="1">
      <alignment horizontal="center" vertical="center"/>
    </xf>
    <xf numFmtId="0" fontId="8" fillId="0" borderId="24" xfId="2" applyFont="1" applyFill="1" applyBorder="1" applyAlignment="1">
      <alignment horizontal="center" vertical="center" wrapText="1"/>
    </xf>
    <xf numFmtId="0" fontId="11" fillId="12" borderId="14" xfId="2" applyFill="1" applyBorder="1"/>
    <xf numFmtId="14" fontId="11" fillId="0" borderId="1" xfId="2" applyNumberFormat="1" applyFill="1" applyBorder="1"/>
    <xf numFmtId="0" fontId="11" fillId="0" borderId="2" xfId="2" applyBorder="1"/>
    <xf numFmtId="0" fontId="11" fillId="0" borderId="3" xfId="2" applyFill="1" applyBorder="1"/>
    <xf numFmtId="0" fontId="11" fillId="0" borderId="1" xfId="2" applyBorder="1"/>
    <xf numFmtId="0" fontId="11" fillId="0" borderId="3" xfId="2" applyBorder="1"/>
    <xf numFmtId="0" fontId="20" fillId="0" borderId="17" xfId="2" applyFont="1" applyFill="1" applyBorder="1" applyAlignment="1"/>
    <xf numFmtId="0" fontId="20" fillId="0" borderId="18" xfId="2" applyFont="1" applyFill="1" applyBorder="1" applyAlignment="1"/>
    <xf numFmtId="0" fontId="20" fillId="0" borderId="19" xfId="2" applyFont="1" applyFill="1" applyBorder="1" applyAlignment="1"/>
    <xf numFmtId="0" fontId="11" fillId="0" borderId="0" xfId="2" applyFont="1" applyFill="1"/>
    <xf numFmtId="14" fontId="11" fillId="0" borderId="4" xfId="2" applyNumberFormat="1" applyFill="1" applyBorder="1"/>
    <xf numFmtId="0" fontId="11" fillId="0" borderId="0" xfId="2" applyBorder="1"/>
    <xf numFmtId="0" fontId="11" fillId="0" borderId="8" xfId="2" applyFill="1" applyBorder="1"/>
    <xf numFmtId="0" fontId="11" fillId="0" borderId="12" xfId="2" applyFill="1" applyBorder="1"/>
    <xf numFmtId="0" fontId="11" fillId="0" borderId="4" xfId="2" applyBorder="1"/>
    <xf numFmtId="0" fontId="11" fillId="0" borderId="8" xfId="2" applyFont="1" applyBorder="1"/>
    <xf numFmtId="166" fontId="22" fillId="0" borderId="24" xfId="2" applyNumberFormat="1" applyFont="1" applyFill="1" applyBorder="1" applyAlignment="1" applyProtection="1">
      <alignment horizontal="center"/>
      <protection locked="0"/>
    </xf>
    <xf numFmtId="167" fontId="22" fillId="0" borderId="24" xfId="2" applyNumberFormat="1" applyFont="1" applyFill="1" applyBorder="1" applyAlignment="1" applyProtection="1">
      <alignment horizontal="center"/>
    </xf>
    <xf numFmtId="0" fontId="22" fillId="0" borderId="24" xfId="2" applyFont="1" applyFill="1" applyBorder="1" applyProtection="1">
      <protection locked="0"/>
    </xf>
    <xf numFmtId="0" fontId="22" fillId="0" borderId="24" xfId="2" applyFont="1" applyFill="1" applyBorder="1"/>
    <xf numFmtId="167" fontId="22" fillId="0" borderId="24" xfId="2" applyNumberFormat="1" applyFont="1" applyFill="1" applyBorder="1" applyAlignment="1" applyProtection="1">
      <alignment horizontal="center"/>
      <protection locked="0"/>
    </xf>
    <xf numFmtId="14" fontId="11" fillId="0" borderId="0" xfId="2" applyNumberFormat="1" applyFill="1"/>
    <xf numFmtId="0" fontId="11" fillId="12" borderId="15" xfId="2" applyFill="1" applyBorder="1"/>
    <xf numFmtId="0" fontId="11" fillId="0" borderId="0" xfId="2" applyFont="1" applyFill="1" applyBorder="1" applyAlignment="1">
      <alignment horizontal="right"/>
    </xf>
    <xf numFmtId="0" fontId="16" fillId="0" borderId="0" xfId="2" applyFont="1" applyFill="1"/>
    <xf numFmtId="0" fontId="11" fillId="0" borderId="0" xfId="2" applyFill="1" applyAlignment="1">
      <alignment horizontal="center"/>
    </xf>
    <xf numFmtId="0" fontId="5" fillId="0" borderId="0" xfId="1" applyFill="1" applyBorder="1" applyAlignment="1" applyProtection="1">
      <alignment horizontal="right"/>
    </xf>
    <xf numFmtId="14" fontId="11" fillId="0" borderId="10" xfId="2" applyNumberFormat="1" applyFill="1" applyBorder="1"/>
    <xf numFmtId="0" fontId="11" fillId="0" borderId="11" xfId="2" applyBorder="1"/>
    <xf numFmtId="0" fontId="11" fillId="0" borderId="10" xfId="2" applyBorder="1"/>
    <xf numFmtId="0" fontId="11" fillId="0" borderId="12" xfId="2" applyBorder="1"/>
    <xf numFmtId="0" fontId="16" fillId="0" borderId="9" xfId="2" applyFont="1" applyFill="1" applyBorder="1" applyAlignment="1">
      <alignment horizontal="center" vertical="center"/>
    </xf>
    <xf numFmtId="0" fontId="5" fillId="0" borderId="0" xfId="1" applyFill="1" applyBorder="1" applyAlignment="1" applyProtection="1"/>
    <xf numFmtId="0" fontId="11" fillId="0" borderId="0" xfId="2" applyFont="1" applyFill="1" applyBorder="1"/>
    <xf numFmtId="0" fontId="11" fillId="0" borderId="9" xfId="2" applyNumberFormat="1" applyFill="1" applyBorder="1" applyAlignment="1">
      <alignment horizontal="center"/>
    </xf>
    <xf numFmtId="0" fontId="11" fillId="0" borderId="9" xfId="2" applyFill="1" applyBorder="1" applyAlignment="1">
      <alignment horizontal="center"/>
    </xf>
    <xf numFmtId="0" fontId="5" fillId="0" borderId="0" xfId="1" applyAlignment="1" applyProtection="1"/>
    <xf numFmtId="14" fontId="11" fillId="12" borderId="1" xfId="2" applyNumberFormat="1" applyFill="1" applyBorder="1"/>
    <xf numFmtId="14" fontId="11" fillId="12" borderId="2" xfId="2" applyNumberFormat="1" applyFill="1" applyBorder="1"/>
    <xf numFmtId="14" fontId="11" fillId="12" borderId="3" xfId="2" applyNumberFormat="1" applyFill="1" applyBorder="1"/>
    <xf numFmtId="14" fontId="11" fillId="0" borderId="2" xfId="2" applyNumberFormat="1" applyFill="1" applyBorder="1"/>
    <xf numFmtId="0" fontId="11" fillId="0" borderId="2" xfId="2" applyFill="1" applyBorder="1"/>
    <xf numFmtId="0" fontId="12" fillId="0" borderId="1" xfId="2" applyFont="1" applyFill="1" applyBorder="1" applyAlignment="1">
      <alignment horizontal="center"/>
    </xf>
    <xf numFmtId="0" fontId="5" fillId="0" borderId="2" xfId="1" applyFill="1" applyBorder="1" applyAlignment="1" applyProtection="1">
      <alignment horizontal="right"/>
    </xf>
    <xf numFmtId="0" fontId="11" fillId="0" borderId="2" xfId="2" applyFont="1" applyBorder="1"/>
    <xf numFmtId="14" fontId="11" fillId="12" borderId="4" xfId="2" applyNumberFormat="1" applyFill="1" applyBorder="1"/>
    <xf numFmtId="14" fontId="11" fillId="12" borderId="0" xfId="2" applyNumberFormat="1" applyFill="1" applyBorder="1"/>
    <xf numFmtId="14" fontId="11" fillId="12" borderId="8" xfId="2" applyNumberFormat="1" applyFill="1" applyBorder="1"/>
    <xf numFmtId="14" fontId="11" fillId="0" borderId="0" xfId="2" applyNumberFormat="1" applyFill="1" applyBorder="1"/>
    <xf numFmtId="0" fontId="11" fillId="0" borderId="0" xfId="2" applyFill="1" applyBorder="1"/>
    <xf numFmtId="0" fontId="12" fillId="0" borderId="4" xfId="2" applyFont="1" applyFill="1" applyBorder="1" applyAlignment="1">
      <alignment horizontal="center"/>
    </xf>
    <xf numFmtId="0" fontId="11" fillId="0" borderId="0" xfId="2" applyFont="1" applyBorder="1" applyAlignment="1"/>
    <xf numFmtId="0" fontId="16" fillId="0" borderId="0" xfId="2" applyFont="1" applyBorder="1"/>
    <xf numFmtId="0" fontId="5" fillId="0" borderId="0" xfId="1" applyBorder="1" applyAlignment="1" applyProtection="1">
      <alignment horizontal="left" vertical="center" indent="2"/>
    </xf>
    <xf numFmtId="0" fontId="5" fillId="0" borderId="0" xfId="1" applyBorder="1" applyAlignment="1" applyProtection="1">
      <alignment horizontal="left" vertical="center" indent="1"/>
    </xf>
    <xf numFmtId="0" fontId="11" fillId="0" borderId="0" xfId="2" applyFont="1" applyBorder="1"/>
    <xf numFmtId="0" fontId="22" fillId="0" borderId="24" xfId="2" applyFont="1" applyFill="1" applyBorder="1" applyAlignment="1" applyProtection="1">
      <alignment horizontal="center"/>
      <protection locked="0"/>
    </xf>
    <xf numFmtId="0" fontId="5" fillId="0" borderId="8" xfId="1" applyBorder="1" applyAlignment="1" applyProtection="1">
      <alignment horizontal="left" vertical="center" indent="1"/>
    </xf>
    <xf numFmtId="0" fontId="11" fillId="0" borderId="0" xfId="2" applyFont="1" applyBorder="1" applyAlignment="1">
      <alignment horizontal="left" indent="1"/>
    </xf>
    <xf numFmtId="0" fontId="16" fillId="0" borderId="0" xfId="2" applyFont="1" applyFill="1" applyBorder="1"/>
    <xf numFmtId="0" fontId="11" fillId="0" borderId="0" xfId="2" applyFont="1" applyBorder="1" applyAlignment="1">
      <alignment horizontal="left" vertical="center" indent="1"/>
    </xf>
    <xf numFmtId="14" fontId="11" fillId="12" borderId="10" xfId="2" applyNumberFormat="1" applyFill="1" applyBorder="1"/>
    <xf numFmtId="14" fontId="11" fillId="12" borderId="11" xfId="2" applyNumberFormat="1" applyFill="1" applyBorder="1"/>
    <xf numFmtId="14" fontId="11" fillId="12" borderId="12" xfId="2" applyNumberFormat="1" applyFill="1" applyBorder="1"/>
    <xf numFmtId="14" fontId="11" fillId="0" borderId="11" xfId="2" applyNumberFormat="1" applyFill="1" applyBorder="1"/>
    <xf numFmtId="0" fontId="11" fillId="0" borderId="11" xfId="2" applyFill="1" applyBorder="1"/>
    <xf numFmtId="0" fontId="12" fillId="0" borderId="10" xfId="2" applyFont="1" applyFill="1" applyBorder="1" applyAlignment="1">
      <alignment horizontal="center"/>
    </xf>
    <xf numFmtId="0" fontId="11" fillId="0" borderId="11" xfId="2" applyFont="1" applyBorder="1" applyAlignment="1">
      <alignment horizontal="left" indent="1"/>
    </xf>
    <xf numFmtId="0" fontId="11" fillId="0" borderId="11" xfId="2" applyFont="1" applyBorder="1"/>
    <xf numFmtId="0" fontId="16" fillId="0" borderId="11" xfId="2" applyFont="1" applyFill="1" applyBorder="1"/>
    <xf numFmtId="14" fontId="11" fillId="12" borderId="5" xfId="2" applyNumberFormat="1" applyFill="1" applyBorder="1"/>
    <xf numFmtId="14" fontId="11" fillId="12" borderId="6" xfId="2" applyNumberFormat="1" applyFill="1" applyBorder="1"/>
    <xf numFmtId="14" fontId="11" fillId="12" borderId="7" xfId="2" applyNumberFormat="1" applyFill="1" applyBorder="1"/>
    <xf numFmtId="14" fontId="11" fillId="0" borderId="6" xfId="2" applyNumberFormat="1" applyFill="1" applyBorder="1"/>
    <xf numFmtId="0" fontId="11" fillId="0" borderId="6" xfId="2" applyFill="1" applyBorder="1"/>
    <xf numFmtId="0" fontId="12" fillId="0" borderId="5" xfId="2" applyFont="1" applyFill="1" applyBorder="1" applyAlignment="1">
      <alignment horizontal="center"/>
    </xf>
    <xf numFmtId="0" fontId="5" fillId="0" borderId="6" xfId="1" applyBorder="1" applyAlignment="1" applyProtection="1">
      <alignment horizontal="left" vertical="center" indent="1"/>
    </xf>
    <xf numFmtId="0" fontId="11" fillId="0" borderId="6" xfId="2" applyFont="1" applyFill="1" applyBorder="1"/>
    <xf numFmtId="0" fontId="11" fillId="0" borderId="7" xfId="2" applyFill="1" applyBorder="1"/>
    <xf numFmtId="0" fontId="5" fillId="0" borderId="2" xfId="1" applyBorder="1" applyAlignment="1" applyProtection="1">
      <alignment horizontal="left" indent="1"/>
    </xf>
    <xf numFmtId="0" fontId="16" fillId="0" borderId="2" xfId="2" applyFont="1" applyBorder="1"/>
    <xf numFmtId="0" fontId="20" fillId="0" borderId="19" xfId="2" applyFont="1" applyFill="1" applyBorder="1" applyAlignment="1">
      <alignment horizontal="center"/>
    </xf>
    <xf numFmtId="166" fontId="22" fillId="0" borderId="24" xfId="2" applyNumberFormat="1" applyFont="1" applyFill="1" applyBorder="1" applyAlignment="1" applyProtection="1">
      <alignment horizontal="center"/>
    </xf>
    <xf numFmtId="0" fontId="22" fillId="0" borderId="24" xfId="2" applyFont="1" applyFill="1" applyBorder="1" applyProtection="1"/>
    <xf numFmtId="0" fontId="22" fillId="0" borderId="0" xfId="3" applyFont="1" applyFill="1" applyAlignment="1">
      <alignment vertical="center"/>
    </xf>
    <xf numFmtId="0" fontId="5" fillId="0" borderId="11" xfId="1" applyBorder="1" applyAlignment="1" applyProtection="1">
      <alignment horizontal="left" vertical="center" indent="1"/>
    </xf>
    <xf numFmtId="0" fontId="22" fillId="0" borderId="24" xfId="2" applyFont="1" applyFill="1" applyBorder="1" applyAlignment="1">
      <alignment horizontal="center"/>
    </xf>
    <xf numFmtId="0" fontId="18" fillId="0" borderId="0" xfId="2" applyFont="1" applyAlignment="1">
      <alignment vertical="center"/>
    </xf>
    <xf numFmtId="0" fontId="21" fillId="10" borderId="14" xfId="3" applyFont="1" applyFill="1" applyBorder="1" applyAlignment="1">
      <alignment vertical="center"/>
    </xf>
    <xf numFmtId="14" fontId="12" fillId="0" borderId="25" xfId="2" applyNumberFormat="1" applyFont="1" applyBorder="1"/>
    <xf numFmtId="0" fontId="21" fillId="0" borderId="0" xfId="3" applyFont="1" applyAlignment="1">
      <alignment vertical="center"/>
    </xf>
    <xf numFmtId="0" fontId="27" fillId="14" borderId="26" xfId="3" applyFont="1" applyFill="1" applyBorder="1" applyAlignment="1">
      <alignment horizontal="center" vertical="center"/>
    </xf>
    <xf numFmtId="165" fontId="28" fillId="14" borderId="27" xfId="3" applyNumberFormat="1" applyFont="1" applyFill="1" applyBorder="1" applyAlignment="1">
      <alignment vertical="center"/>
    </xf>
    <xf numFmtId="0" fontId="28" fillId="14" borderId="27" xfId="3" applyFont="1" applyFill="1" applyBorder="1" applyAlignment="1">
      <alignment horizontal="center" vertical="center"/>
    </xf>
    <xf numFmtId="0" fontId="4" fillId="0" borderId="4" xfId="3" applyFont="1" applyFill="1" applyBorder="1" applyAlignment="1">
      <alignment horizontal="center" vertical="center"/>
    </xf>
    <xf numFmtId="0" fontId="4" fillId="0" borderId="0" xfId="3" applyFont="1" applyBorder="1" applyAlignment="1">
      <alignment horizontal="center" vertical="center"/>
    </xf>
    <xf numFmtId="0" fontId="4" fillId="0" borderId="29" xfId="3" applyFont="1" applyBorder="1" applyAlignment="1">
      <alignment horizontal="center" vertical="center"/>
    </xf>
    <xf numFmtId="0" fontId="4" fillId="0" borderId="30" xfId="3" applyFont="1" applyFill="1" applyBorder="1" applyAlignment="1">
      <alignment horizontal="center" vertical="center"/>
    </xf>
    <xf numFmtId="0" fontId="4" fillId="0" borderId="31" xfId="3" applyFont="1" applyBorder="1" applyAlignment="1">
      <alignment horizontal="center" vertical="center"/>
    </xf>
    <xf numFmtId="0" fontId="4" fillId="0" borderId="11" xfId="3" applyFont="1" applyBorder="1" applyAlignment="1">
      <alignment horizontal="center" vertical="center"/>
    </xf>
    <xf numFmtId="0" fontId="4" fillId="15" borderId="11" xfId="3" applyFont="1" applyFill="1" applyBorder="1" applyAlignment="1">
      <alignment horizontal="center" vertical="center"/>
    </xf>
    <xf numFmtId="0" fontId="4" fillId="15" borderId="32" xfId="3" applyFont="1" applyFill="1" applyBorder="1" applyAlignment="1">
      <alignment horizontal="center" vertical="center"/>
    </xf>
    <xf numFmtId="166" fontId="14" fillId="0" borderId="0" xfId="2" applyNumberFormat="1" applyFont="1" applyAlignment="1">
      <alignment horizontal="left" vertical="center"/>
    </xf>
    <xf numFmtId="165" fontId="12" fillId="0" borderId="4" xfId="3" applyNumberFormat="1" applyFont="1" applyFill="1" applyBorder="1" applyAlignment="1">
      <alignment horizontal="center" vertical="center"/>
    </xf>
    <xf numFmtId="165" fontId="12" fillId="0" borderId="0" xfId="3" applyNumberFormat="1" applyFont="1" applyFill="1" applyBorder="1" applyAlignment="1">
      <alignment horizontal="center" vertical="center"/>
    </xf>
    <xf numFmtId="165" fontId="12" fillId="0" borderId="33" xfId="3" applyNumberFormat="1" applyFont="1" applyFill="1" applyBorder="1" applyAlignment="1">
      <alignment horizontal="center" vertical="center"/>
    </xf>
    <xf numFmtId="165" fontId="12" fillId="0" borderId="34" xfId="3" applyNumberFormat="1" applyFont="1" applyFill="1" applyBorder="1" applyAlignment="1">
      <alignment horizontal="center" vertical="center"/>
    </xf>
    <xf numFmtId="0" fontId="14" fillId="0" borderId="0" xfId="3" applyFont="1" applyBorder="1" applyAlignment="1">
      <alignment horizontal="right" vertical="center"/>
    </xf>
    <xf numFmtId="0" fontId="12" fillId="0" borderId="35" xfId="3" applyFont="1" applyBorder="1" applyAlignment="1">
      <alignment horizontal="center" vertical="center"/>
    </xf>
    <xf numFmtId="0" fontId="12" fillId="0" borderId="0" xfId="3" applyFont="1" applyBorder="1" applyAlignment="1">
      <alignment horizontal="center" vertical="center"/>
    </xf>
    <xf numFmtId="0" fontId="12" fillId="15" borderId="0" xfId="3" applyFont="1" applyFill="1" applyBorder="1" applyAlignment="1">
      <alignment horizontal="center" vertical="center"/>
    </xf>
    <xf numFmtId="0" fontId="12" fillId="15" borderId="36" xfId="3" applyFont="1" applyFill="1" applyBorder="1" applyAlignment="1">
      <alignment horizontal="center" vertical="center"/>
    </xf>
    <xf numFmtId="166" fontId="14" fillId="0" borderId="0" xfId="2" applyNumberFormat="1" applyFont="1" applyAlignment="1">
      <alignment horizontal="left"/>
    </xf>
    <xf numFmtId="165" fontId="12" fillId="0" borderId="10" xfId="3" applyNumberFormat="1" applyFont="1" applyFill="1" applyBorder="1" applyAlignment="1">
      <alignment horizontal="center" vertical="center"/>
    </xf>
    <xf numFmtId="165" fontId="12" fillId="0" borderId="11" xfId="3" applyNumberFormat="1" applyFont="1" applyFill="1" applyBorder="1" applyAlignment="1">
      <alignment horizontal="center" vertical="center"/>
    </xf>
    <xf numFmtId="165" fontId="12" fillId="0" borderId="37" xfId="3" applyNumberFormat="1" applyFont="1" applyFill="1" applyBorder="1" applyAlignment="1">
      <alignment horizontal="center" vertical="center"/>
    </xf>
    <xf numFmtId="165" fontId="12" fillId="0" borderId="38" xfId="3" applyNumberFormat="1" applyFont="1" applyFill="1" applyBorder="1" applyAlignment="1">
      <alignment horizontal="center" vertical="center"/>
    </xf>
    <xf numFmtId="0" fontId="12" fillId="0" borderId="39" xfId="3" applyFont="1" applyBorder="1" applyAlignment="1">
      <alignment horizontal="center" vertical="center"/>
    </xf>
    <xf numFmtId="0" fontId="12" fillId="0" borderId="25" xfId="3" applyFont="1" applyBorder="1" applyAlignment="1">
      <alignment horizontal="center" vertical="center"/>
    </xf>
    <xf numFmtId="168" fontId="14" fillId="16" borderId="25" xfId="3" applyNumberFormat="1" applyFont="1" applyFill="1" applyBorder="1" applyAlignment="1">
      <alignment horizontal="center" vertical="center"/>
    </xf>
    <xf numFmtId="168" fontId="12" fillId="16" borderId="40" xfId="3" applyNumberFormat="1" applyFont="1" applyFill="1" applyBorder="1" applyAlignment="1">
      <alignment horizontal="center" vertical="center"/>
    </xf>
    <xf numFmtId="0" fontId="14" fillId="0" borderId="0" xfId="2" applyFont="1" applyAlignment="1">
      <alignment horizontal="left" vertical="center"/>
    </xf>
    <xf numFmtId="0" fontId="14" fillId="0" borderId="0" xfId="2" applyFont="1" applyAlignment="1">
      <alignment horizontal="left"/>
    </xf>
    <xf numFmtId="0" fontId="12" fillId="0" borderId="11" xfId="3" applyFont="1" applyFill="1" applyBorder="1" applyAlignment="1">
      <alignment horizontal="center" vertical="center"/>
    </xf>
    <xf numFmtId="0" fontId="29" fillId="14" borderId="26" xfId="3" applyFont="1" applyFill="1" applyBorder="1" applyAlignment="1">
      <alignment horizontal="center" vertical="center"/>
    </xf>
    <xf numFmtId="0" fontId="12" fillId="0" borderId="0" xfId="3" applyFont="1" applyBorder="1" applyAlignment="1">
      <alignment vertical="center"/>
    </xf>
    <xf numFmtId="0" fontId="31" fillId="10" borderId="14" xfId="3" applyFont="1" applyFill="1" applyBorder="1" applyAlignment="1">
      <alignment vertical="center"/>
    </xf>
    <xf numFmtId="0" fontId="12" fillId="0" borderId="0" xfId="2" applyFont="1" applyAlignment="1">
      <alignment horizontal="right"/>
    </xf>
    <xf numFmtId="169" fontId="14" fillId="0" borderId="0" xfId="2" applyNumberFormat="1" applyFont="1" applyAlignment="1">
      <alignment horizontal="center"/>
    </xf>
    <xf numFmtId="0" fontId="14" fillId="0" borderId="0" xfId="2" applyFont="1"/>
    <xf numFmtId="0" fontId="14" fillId="0" borderId="0" xfId="2" applyFont="1" applyAlignment="1">
      <alignment horizontal="right"/>
    </xf>
    <xf numFmtId="0" fontId="12" fillId="0" borderId="0" xfId="2" applyFont="1" applyBorder="1" applyAlignment="1">
      <alignment horizontal="center" vertical="top"/>
    </xf>
    <xf numFmtId="0" fontId="12" fillId="0" borderId="0" xfId="2" applyFont="1" applyAlignment="1">
      <alignment vertical="top"/>
    </xf>
    <xf numFmtId="49" fontId="2" fillId="3" borderId="15" xfId="2" applyNumberFormat="1" applyFont="1" applyFill="1" applyBorder="1" applyAlignment="1" applyProtection="1">
      <alignment horizontal="left"/>
      <protection locked="0"/>
    </xf>
    <xf numFmtId="0" fontId="2" fillId="4" borderId="9" xfId="2" applyFont="1" applyFill="1" applyBorder="1" applyAlignment="1">
      <alignment vertical="center"/>
    </xf>
    <xf numFmtId="1" fontId="2" fillId="4" borderId="9" xfId="2" applyNumberFormat="1" applyFont="1" applyFill="1" applyBorder="1" applyAlignment="1" applyProtection="1"/>
    <xf numFmtId="14" fontId="0" fillId="0" borderId="0" xfId="0" applyNumberFormat="1"/>
    <xf numFmtId="0" fontId="32" fillId="0" borderId="0" xfId="2" applyFont="1"/>
    <xf numFmtId="0" fontId="0" fillId="0" borderId="0" xfId="0" applyNumberFormat="1"/>
    <xf numFmtId="14" fontId="0" fillId="18" borderId="0" xfId="0" applyNumberFormat="1" applyFill="1"/>
    <xf numFmtId="0" fontId="11" fillId="20" borderId="9" xfId="2" applyFill="1" applyBorder="1" applyAlignment="1" applyProtection="1">
      <alignment horizontal="center"/>
      <protection locked="0"/>
    </xf>
    <xf numFmtId="0" fontId="0" fillId="20" borderId="9" xfId="0" applyFill="1" applyBorder="1" applyAlignment="1">
      <alignment horizontal="center"/>
    </xf>
    <xf numFmtId="0" fontId="11" fillId="13" borderId="9" xfId="2" applyFill="1" applyBorder="1" applyAlignment="1">
      <alignment horizontal="center" vertical="center"/>
    </xf>
    <xf numFmtId="14" fontId="2" fillId="18" borderId="7" xfId="2" applyNumberFormat="1" applyFont="1" applyFill="1" applyBorder="1" applyAlignment="1" applyProtection="1">
      <alignment horizontal="left"/>
    </xf>
    <xf numFmtId="0" fontId="11" fillId="3" borderId="0" xfId="2" applyFill="1"/>
    <xf numFmtId="0" fontId="0" fillId="3" borderId="0" xfId="0" applyFill="1"/>
    <xf numFmtId="0" fontId="11" fillId="3" borderId="0" xfId="2" applyFill="1" applyAlignment="1">
      <alignment horizontal="left"/>
    </xf>
    <xf numFmtId="0" fontId="11" fillId="3" borderId="0" xfId="2" applyFill="1" applyAlignment="1">
      <alignment horizontal="right"/>
    </xf>
    <xf numFmtId="0" fontId="32" fillId="3" borderId="0" xfId="2" applyFont="1" applyFill="1"/>
    <xf numFmtId="0" fontId="11" fillId="21" borderId="0" xfId="2" applyFill="1"/>
    <xf numFmtId="0" fontId="0" fillId="21" borderId="0" xfId="0" applyFill="1"/>
    <xf numFmtId="0" fontId="11" fillId="21" borderId="0" xfId="2" applyFill="1" applyAlignment="1">
      <alignment horizontal="left"/>
    </xf>
    <xf numFmtId="0" fontId="11" fillId="21" borderId="0" xfId="2" applyFill="1" applyAlignment="1">
      <alignment horizontal="right"/>
    </xf>
    <xf numFmtId="0" fontId="32" fillId="21" borderId="0" xfId="2" applyFont="1" applyFill="1"/>
    <xf numFmtId="0" fontId="11" fillId="21" borderId="0" xfId="2" applyFont="1" applyFill="1"/>
    <xf numFmtId="0" fontId="16" fillId="9" borderId="0" xfId="2" applyFont="1" applyFill="1"/>
    <xf numFmtId="0" fontId="1" fillId="9" borderId="0" xfId="0" applyFont="1" applyFill="1"/>
    <xf numFmtId="2" fontId="0" fillId="22" borderId="9" xfId="0" applyNumberFormat="1" applyFill="1" applyBorder="1"/>
    <xf numFmtId="170" fontId="0" fillId="0" borderId="0" xfId="0" applyNumberFormat="1"/>
    <xf numFmtId="0" fontId="1" fillId="18" borderId="0" xfId="0" applyFont="1" applyFill="1"/>
    <xf numFmtId="170" fontId="0" fillId="23" borderId="0" xfId="0" applyNumberFormat="1" applyFill="1"/>
    <xf numFmtId="0" fontId="0" fillId="23" borderId="0" xfId="0" applyFill="1"/>
    <xf numFmtId="0" fontId="12" fillId="0" borderId="0" xfId="2" applyFont="1" applyAlignment="1">
      <alignment horizontal="center" vertical="center"/>
    </xf>
    <xf numFmtId="0" fontId="14" fillId="0" borderId="0" xfId="2" applyFont="1" applyAlignment="1">
      <alignment horizontal="center" vertical="center"/>
    </xf>
    <xf numFmtId="171" fontId="0" fillId="0" borderId="0" xfId="0" applyNumberFormat="1"/>
    <xf numFmtId="172" fontId="0" fillId="0" borderId="0" xfId="0" applyNumberFormat="1"/>
    <xf numFmtId="0" fontId="14" fillId="0" borderId="0" xfId="2" applyFont="1" applyBorder="1" applyAlignment="1">
      <alignment vertical="top"/>
    </xf>
    <xf numFmtId="168" fontId="14" fillId="0" borderId="0" xfId="2" applyNumberFormat="1" applyFont="1" applyBorder="1" applyAlignment="1">
      <alignment vertical="top"/>
    </xf>
    <xf numFmtId="0" fontId="14" fillId="17" borderId="9" xfId="2" applyFont="1" applyFill="1" applyBorder="1" applyAlignment="1">
      <alignment horizontal="left" vertical="top"/>
    </xf>
    <xf numFmtId="0" fontId="14" fillId="18" borderId="9" xfId="2" applyFont="1" applyFill="1" applyBorder="1" applyAlignment="1">
      <alignment horizontal="left" vertical="top"/>
    </xf>
    <xf numFmtId="0" fontId="14" fillId="19" borderId="9" xfId="2" applyFont="1" applyFill="1" applyBorder="1" applyAlignment="1">
      <alignment horizontal="left" vertical="top"/>
    </xf>
    <xf numFmtId="0" fontId="14" fillId="18" borderId="9" xfId="2" applyFont="1" applyFill="1" applyBorder="1" applyAlignment="1">
      <alignment horizontal="right" vertical="top"/>
    </xf>
    <xf numFmtId="14" fontId="11" fillId="3" borderId="0" xfId="2" applyNumberFormat="1" applyFill="1"/>
    <xf numFmtId="0" fontId="14" fillId="12" borderId="0" xfId="2" applyFont="1" applyFill="1"/>
    <xf numFmtId="0" fontId="0" fillId="9" borderId="0" xfId="0" applyFill="1"/>
    <xf numFmtId="0" fontId="8" fillId="0" borderId="0" xfId="2" applyFont="1" applyFill="1"/>
    <xf numFmtId="0" fontId="0" fillId="24" borderId="0" xfId="0" applyFill="1"/>
    <xf numFmtId="0" fontId="11" fillId="0" borderId="9" xfId="2" applyFont="1" applyFill="1" applyBorder="1"/>
    <xf numFmtId="0" fontId="11" fillId="0" borderId="9" xfId="2" applyFill="1" applyBorder="1"/>
    <xf numFmtId="0" fontId="11" fillId="12" borderId="3" xfId="2" applyFill="1" applyBorder="1" applyAlignment="1">
      <alignment horizontal="center"/>
    </xf>
    <xf numFmtId="0" fontId="11" fillId="12" borderId="8" xfId="2" applyFill="1" applyBorder="1" applyAlignment="1">
      <alignment horizontal="center"/>
    </xf>
    <xf numFmtId="0" fontId="11" fillId="12" borderId="12" xfId="2" applyFill="1" applyBorder="1" applyAlignment="1">
      <alignment horizontal="center"/>
    </xf>
    <xf numFmtId="14" fontId="11" fillId="21" borderId="0" xfId="2" applyNumberFormat="1" applyFill="1"/>
    <xf numFmtId="0" fontId="11" fillId="23" borderId="0" xfId="2" applyFill="1"/>
    <xf numFmtId="14" fontId="11" fillId="23" borderId="0" xfId="2" applyNumberFormat="1" applyFill="1"/>
    <xf numFmtId="0" fontId="11" fillId="23" borderId="0" xfId="2" applyFont="1" applyFill="1" applyAlignment="1">
      <alignment horizontal="left"/>
    </xf>
    <xf numFmtId="0" fontId="11" fillId="23" borderId="0" xfId="2" applyFill="1" applyAlignment="1">
      <alignment horizontal="right"/>
    </xf>
    <xf numFmtId="0" fontId="32" fillId="23" borderId="0" xfId="2" applyFont="1" applyFill="1"/>
    <xf numFmtId="0" fontId="11" fillId="23" borderId="0" xfId="2" applyFill="1" applyAlignment="1">
      <alignment horizontal="left"/>
    </xf>
    <xf numFmtId="0" fontId="11" fillId="25" borderId="0" xfId="2" applyFill="1"/>
    <xf numFmtId="14" fontId="11" fillId="25" borderId="0" xfId="2" applyNumberFormat="1" applyFill="1"/>
    <xf numFmtId="0" fontId="0" fillId="25" borderId="0" xfId="0" applyFill="1"/>
    <xf numFmtId="0" fontId="11" fillId="25" borderId="0" xfId="2" applyFill="1" applyAlignment="1">
      <alignment horizontal="left"/>
    </xf>
    <xf numFmtId="0" fontId="11" fillId="25" borderId="0" xfId="2" applyFill="1" applyAlignment="1">
      <alignment horizontal="right"/>
    </xf>
    <xf numFmtId="0" fontId="32" fillId="25" borderId="0" xfId="2" applyFont="1" applyFill="1"/>
    <xf numFmtId="0" fontId="11" fillId="25" borderId="0" xfId="2" applyFont="1" applyFill="1"/>
    <xf numFmtId="0" fontId="11" fillId="26" borderId="0" xfId="2" applyFill="1"/>
    <xf numFmtId="0" fontId="0" fillId="26" borderId="0" xfId="0" applyFill="1"/>
    <xf numFmtId="0" fontId="0" fillId="20" borderId="0" xfId="0" applyFill="1"/>
    <xf numFmtId="14" fontId="14" fillId="12" borderId="0" xfId="2" applyNumberFormat="1" applyFont="1" applyFill="1" applyAlignment="1">
      <alignment horizontal="right"/>
    </xf>
    <xf numFmtId="14" fontId="14" fillId="22" borderId="0" xfId="2" applyNumberFormat="1" applyFont="1" applyFill="1" applyAlignment="1">
      <alignment horizontal="right"/>
    </xf>
    <xf numFmtId="0" fontId="11" fillId="12" borderId="0" xfId="2" applyFill="1"/>
    <xf numFmtId="0" fontId="0" fillId="27" borderId="0" xfId="0" applyFill="1"/>
    <xf numFmtId="0" fontId="11" fillId="18" borderId="0" xfId="2" applyFill="1" applyAlignment="1">
      <alignment horizontal="left"/>
    </xf>
    <xf numFmtId="0" fontId="11" fillId="13" borderId="0" xfId="2" applyFill="1" applyAlignment="1"/>
    <xf numFmtId="0" fontId="16" fillId="0" borderId="9" xfId="2" applyFont="1" applyBorder="1"/>
    <xf numFmtId="0" fontId="33" fillId="0" borderId="9" xfId="2" applyFont="1" applyBorder="1"/>
    <xf numFmtId="0" fontId="1" fillId="0" borderId="0" xfId="0" applyFont="1"/>
    <xf numFmtId="0" fontId="21" fillId="0" borderId="0" xfId="3" applyFont="1" applyBorder="1" applyAlignment="1">
      <alignment vertical="center"/>
    </xf>
    <xf numFmtId="0" fontId="21" fillId="10" borderId="8" xfId="3" applyFont="1" applyFill="1" applyBorder="1" applyAlignment="1">
      <alignment vertical="center"/>
    </xf>
    <xf numFmtId="0" fontId="31" fillId="0" borderId="4" xfId="3" applyFont="1" applyFill="1" applyBorder="1" applyAlignment="1">
      <alignment horizontal="left" vertical="center" wrapText="1"/>
    </xf>
    <xf numFmtId="0" fontId="31" fillId="0" borderId="10" xfId="3" applyFont="1" applyFill="1" applyBorder="1" applyAlignment="1">
      <alignment horizontal="left" vertical="center" wrapText="1"/>
    </xf>
    <xf numFmtId="0" fontId="12" fillId="0" borderId="10" xfId="2" applyFont="1" applyBorder="1"/>
    <xf numFmtId="0" fontId="12" fillId="0" borderId="4" xfId="2" applyFont="1" applyBorder="1"/>
    <xf numFmtId="0" fontId="22" fillId="0" borderId="4" xfId="3" applyFont="1" applyFill="1" applyBorder="1" applyAlignment="1">
      <alignment horizontal="center" vertical="center"/>
    </xf>
    <xf numFmtId="165" fontId="8" fillId="0" borderId="4" xfId="3" applyNumberFormat="1" applyFont="1" applyFill="1" applyBorder="1" applyAlignment="1">
      <alignment horizontal="left" vertical="center"/>
    </xf>
    <xf numFmtId="0" fontId="31" fillId="0" borderId="1" xfId="3" applyFont="1" applyFill="1" applyBorder="1" applyAlignment="1">
      <alignment horizontal="left" vertical="center" wrapText="1"/>
    </xf>
    <xf numFmtId="0" fontId="12" fillId="28" borderId="12" xfId="3" applyFont="1" applyFill="1" applyBorder="1" applyAlignment="1">
      <alignment horizontal="center" vertical="center"/>
    </xf>
    <xf numFmtId="0" fontId="12" fillId="28" borderId="10" xfId="3" applyFont="1" applyFill="1" applyBorder="1" applyAlignment="1">
      <alignment horizontal="center" vertical="center"/>
    </xf>
    <xf numFmtId="0" fontId="12" fillId="28" borderId="11" xfId="3" applyFont="1" applyFill="1" applyBorder="1" applyAlignment="1">
      <alignment horizontal="center" vertical="center"/>
    </xf>
    <xf numFmtId="0" fontId="12" fillId="0" borderId="11" xfId="3" applyFont="1" applyBorder="1" applyAlignment="1">
      <alignment horizontal="center" vertical="center"/>
    </xf>
    <xf numFmtId="0" fontId="12" fillId="0" borderId="10" xfId="3" applyFont="1" applyBorder="1" applyAlignment="1">
      <alignment horizontal="center" vertical="center"/>
    </xf>
    <xf numFmtId="0" fontId="12" fillId="28" borderId="8" xfId="3" applyFont="1" applyFill="1" applyBorder="1" applyAlignment="1">
      <alignment horizontal="center" vertical="center"/>
    </xf>
    <xf numFmtId="0" fontId="12" fillId="28" borderId="4" xfId="3" applyFont="1" applyFill="1" applyBorder="1" applyAlignment="1">
      <alignment horizontal="center" vertical="center"/>
    </xf>
    <xf numFmtId="0" fontId="12" fillId="28" borderId="0" xfId="3" applyFont="1" applyFill="1" applyBorder="1" applyAlignment="1">
      <alignment horizontal="center" vertical="center"/>
    </xf>
    <xf numFmtId="0" fontId="12" fillId="0" borderId="4" xfId="3" applyFont="1" applyBorder="1" applyAlignment="1">
      <alignment horizontal="center" vertical="center"/>
    </xf>
    <xf numFmtId="0" fontId="12" fillId="0" borderId="8" xfId="2" applyFont="1" applyBorder="1"/>
    <xf numFmtId="0" fontId="4" fillId="28" borderId="7" xfId="3" applyFont="1" applyFill="1" applyBorder="1" applyAlignment="1">
      <alignment horizontal="center" vertical="center"/>
    </xf>
    <xf numFmtId="0" fontId="4" fillId="28" borderId="5" xfId="3" applyFont="1" applyFill="1" applyBorder="1" applyAlignment="1">
      <alignment horizontal="center" vertical="center"/>
    </xf>
    <xf numFmtId="0" fontId="4" fillId="28" borderId="6" xfId="3" applyFont="1" applyFill="1" applyBorder="1" applyAlignment="1">
      <alignment horizontal="center" vertical="center"/>
    </xf>
    <xf numFmtId="0" fontId="4" fillId="0" borderId="6" xfId="3" applyFont="1" applyBorder="1" applyAlignment="1">
      <alignment horizontal="center" vertical="center"/>
    </xf>
    <xf numFmtId="0" fontId="4" fillId="0" borderId="5" xfId="3" applyFont="1" applyBorder="1" applyAlignment="1">
      <alignment horizontal="center" vertical="center"/>
    </xf>
    <xf numFmtId="0" fontId="11" fillId="0" borderId="12" xfId="2" applyNumberFormat="1" applyFont="1" applyBorder="1" applyAlignment="1" applyProtection="1"/>
    <xf numFmtId="0" fontId="11" fillId="0" borderId="10" xfId="2" applyNumberFormat="1" applyFont="1" applyBorder="1" applyAlignment="1" applyProtection="1"/>
    <xf numFmtId="0" fontId="11" fillId="0" borderId="8" xfId="2" applyNumberFormat="1" applyFont="1" applyBorder="1" applyAlignment="1" applyProtection="1"/>
    <xf numFmtId="0" fontId="11" fillId="0" borderId="4" xfId="2" applyNumberFormat="1" applyFont="1" applyBorder="1" applyAlignment="1" applyProtection="1"/>
    <xf numFmtId="0" fontId="11" fillId="0" borderId="4" xfId="2" applyFont="1" applyBorder="1" applyAlignment="1" applyProtection="1">
      <alignment vertical="center"/>
      <protection locked="0"/>
    </xf>
    <xf numFmtId="165" fontId="12" fillId="15" borderId="12" xfId="3" applyNumberFormat="1" applyFont="1" applyFill="1" applyBorder="1" applyAlignment="1">
      <alignment horizontal="center" vertical="center"/>
    </xf>
    <xf numFmtId="165" fontId="12" fillId="15" borderId="10" xfId="3" applyNumberFormat="1" applyFont="1" applyFill="1" applyBorder="1" applyAlignment="1">
      <alignment horizontal="center" vertical="center"/>
    </xf>
    <xf numFmtId="165" fontId="12" fillId="0" borderId="11" xfId="3" applyNumberFormat="1" applyFont="1" applyBorder="1" applyAlignment="1">
      <alignment horizontal="center" vertical="center"/>
    </xf>
    <xf numFmtId="165" fontId="12" fillId="0" borderId="10" xfId="3" applyNumberFormat="1" applyFont="1" applyBorder="1" applyAlignment="1">
      <alignment horizontal="center" vertical="center"/>
    </xf>
    <xf numFmtId="0" fontId="11" fillId="0" borderId="4" xfId="2" applyNumberFormat="1" applyFont="1" applyBorder="1" applyAlignment="1"/>
    <xf numFmtId="165" fontId="12" fillId="15" borderId="8" xfId="3" applyNumberFormat="1" applyFont="1" applyFill="1" applyBorder="1" applyAlignment="1">
      <alignment horizontal="center" vertical="center"/>
    </xf>
    <xf numFmtId="165" fontId="12" fillId="15" borderId="4" xfId="3" applyNumberFormat="1" applyFont="1" applyFill="1" applyBorder="1" applyAlignment="1">
      <alignment horizontal="center" vertical="center"/>
    </xf>
    <xf numFmtId="165" fontId="12" fillId="0" borderId="0" xfId="3" applyNumberFormat="1" applyFont="1" applyBorder="1" applyAlignment="1">
      <alignment horizontal="center" vertical="center"/>
    </xf>
    <xf numFmtId="165" fontId="12" fillId="0" borderId="4" xfId="3" applyNumberFormat="1" applyFont="1" applyBorder="1" applyAlignment="1">
      <alignment horizontal="center" vertical="center"/>
    </xf>
    <xf numFmtId="0" fontId="31" fillId="0" borderId="10" xfId="3" applyFont="1" applyFill="1" applyBorder="1" applyAlignment="1">
      <alignment horizontal="left" vertical="top" wrapText="1"/>
    </xf>
    <xf numFmtId="165" fontId="12" fillId="15" borderId="3" xfId="3" applyNumberFormat="1" applyFont="1" applyFill="1" applyBorder="1" applyAlignment="1">
      <alignment horizontal="center" vertical="center"/>
    </xf>
    <xf numFmtId="165" fontId="12" fillId="15" borderId="1" xfId="3" applyNumberFormat="1" applyFont="1" applyFill="1" applyBorder="1" applyAlignment="1">
      <alignment horizontal="center" vertical="center"/>
    </xf>
    <xf numFmtId="165" fontId="12" fillId="0" borderId="2" xfId="3" applyNumberFormat="1" applyFont="1" applyBorder="1" applyAlignment="1">
      <alignment horizontal="center" vertical="center"/>
    </xf>
    <xf numFmtId="165" fontId="12" fillId="0" borderId="1" xfId="3" applyNumberFormat="1" applyFont="1" applyBorder="1" applyAlignment="1">
      <alignment horizontal="center" vertical="center"/>
    </xf>
    <xf numFmtId="0" fontId="4" fillId="15" borderId="7" xfId="3" applyFont="1" applyFill="1" applyBorder="1" applyAlignment="1">
      <alignment horizontal="center" vertical="center"/>
    </xf>
    <xf numFmtId="0" fontId="4" fillId="15" borderId="5" xfId="3" applyFont="1" applyFill="1" applyBorder="1" applyAlignment="1">
      <alignment horizontal="center" vertical="center"/>
    </xf>
    <xf numFmtId="165" fontId="12" fillId="0" borderId="0" xfId="2" applyNumberFormat="1" applyFont="1"/>
    <xf numFmtId="0" fontId="11" fillId="0" borderId="10" xfId="2" applyNumberFormat="1" applyFont="1" applyFill="1" applyBorder="1" applyAlignment="1" applyProtection="1">
      <alignment vertical="center"/>
      <protection locked="0"/>
    </xf>
    <xf numFmtId="0" fontId="11" fillId="0" borderId="8" xfId="2" applyFont="1" applyBorder="1" applyAlignment="1" applyProtection="1">
      <alignment horizontal="center" vertical="center"/>
      <protection locked="0"/>
    </xf>
    <xf numFmtId="0" fontId="11" fillId="0" borderId="4" xfId="2" applyNumberFormat="1" applyFont="1" applyFill="1" applyBorder="1" applyAlignment="1" applyProtection="1">
      <alignment vertical="center"/>
      <protection locked="0"/>
    </xf>
    <xf numFmtId="0" fontId="12" fillId="0" borderId="9" xfId="3" applyFont="1" applyFill="1" applyBorder="1" applyAlignment="1">
      <alignment horizontal="center" vertical="center"/>
    </xf>
    <xf numFmtId="14" fontId="11" fillId="0" borderId="3" xfId="2" applyNumberFormat="1" applyFont="1" applyBorder="1" applyAlignment="1" applyProtection="1">
      <alignment horizontal="center" vertical="center"/>
      <protection locked="0"/>
    </xf>
    <xf numFmtId="0" fontId="11" fillId="0" borderId="1" xfId="2" applyFont="1" applyBorder="1" applyAlignment="1" applyProtection="1">
      <alignment vertical="center"/>
      <protection locked="0"/>
    </xf>
    <xf numFmtId="14" fontId="12" fillId="0" borderId="9" xfId="3" applyNumberFormat="1" applyFont="1" applyFill="1" applyBorder="1" applyAlignment="1">
      <alignment horizontal="center" vertical="center"/>
    </xf>
    <xf numFmtId="0" fontId="11" fillId="0" borderId="11" xfId="2" applyNumberFormat="1" applyFont="1" applyBorder="1" applyAlignment="1" applyProtection="1">
      <alignment horizontal="center" vertical="center"/>
      <protection locked="0"/>
    </xf>
    <xf numFmtId="0" fontId="11" fillId="0" borderId="11" xfId="2" applyNumberFormat="1" applyFont="1" applyBorder="1" applyAlignment="1" applyProtection="1">
      <alignment vertical="center"/>
      <protection locked="0"/>
    </xf>
    <xf numFmtId="0" fontId="11" fillId="0" borderId="10" xfId="2" applyFont="1" applyBorder="1" applyAlignment="1" applyProtection="1">
      <alignment vertical="center"/>
      <protection locked="0"/>
    </xf>
    <xf numFmtId="0" fontId="12" fillId="0" borderId="0" xfId="3" applyFont="1" applyBorder="1" applyAlignment="1">
      <alignment horizontal="right" vertical="center"/>
    </xf>
    <xf numFmtId="0" fontId="12" fillId="0" borderId="0" xfId="2" applyFont="1" applyAlignment="1">
      <alignment horizontal="left" vertical="center"/>
    </xf>
    <xf numFmtId="0" fontId="11" fillId="0" borderId="1" xfId="2" applyNumberFormat="1" applyFont="1" applyBorder="1" applyAlignment="1" applyProtection="1"/>
    <xf numFmtId="0" fontId="21" fillId="0" borderId="0" xfId="3" applyFont="1" applyBorder="1" applyAlignment="1">
      <alignment horizontal="center" vertical="center"/>
    </xf>
    <xf numFmtId="0" fontId="21" fillId="10" borderId="8" xfId="3" applyFont="1" applyFill="1" applyBorder="1" applyAlignment="1">
      <alignment horizontal="center" vertical="center"/>
    </xf>
    <xf numFmtId="0" fontId="8" fillId="0" borderId="4" xfId="3" applyFont="1" applyBorder="1" applyAlignment="1">
      <alignment horizontal="center" vertical="center"/>
    </xf>
    <xf numFmtId="0" fontId="8" fillId="0" borderId="3" xfId="3" applyFont="1" applyBorder="1" applyAlignment="1">
      <alignment horizontal="center" vertical="center"/>
    </xf>
    <xf numFmtId="0" fontId="8" fillId="0" borderId="1" xfId="3" applyFont="1" applyBorder="1" applyAlignment="1">
      <alignment horizontal="center" vertical="center"/>
    </xf>
    <xf numFmtId="0" fontId="8" fillId="0" borderId="3" xfId="3" applyFont="1" applyFill="1" applyBorder="1" applyAlignment="1">
      <alignment horizontal="center" vertical="center"/>
    </xf>
    <xf numFmtId="0" fontId="8" fillId="0" borderId="1" xfId="3" applyFont="1" applyFill="1" applyBorder="1" applyAlignment="1">
      <alignment horizontal="center" vertical="center"/>
    </xf>
    <xf numFmtId="0" fontId="8" fillId="0" borderId="13" xfId="2" applyFont="1" applyBorder="1" applyAlignment="1">
      <alignment horizontal="center" vertical="center"/>
    </xf>
    <xf numFmtId="0" fontId="31" fillId="0" borderId="8" xfId="3" applyFont="1" applyFill="1" applyBorder="1" applyAlignment="1">
      <alignment horizontal="left" vertical="center" wrapText="1"/>
    </xf>
    <xf numFmtId="0" fontId="22" fillId="0" borderId="8" xfId="3" applyFont="1" applyFill="1" applyBorder="1" applyAlignment="1">
      <alignment horizontal="center" vertical="center"/>
    </xf>
    <xf numFmtId="165" fontId="8" fillId="0" borderId="8" xfId="3" applyNumberFormat="1" applyFont="1" applyFill="1" applyBorder="1" applyAlignment="1">
      <alignment horizontal="left" vertical="center"/>
    </xf>
    <xf numFmtId="0" fontId="12" fillId="15" borderId="12" xfId="3" applyFont="1" applyFill="1" applyBorder="1" applyAlignment="1">
      <alignment horizontal="center" vertical="center"/>
    </xf>
    <xf numFmtId="0" fontId="12" fillId="15" borderId="10" xfId="3" applyFont="1" applyFill="1" applyBorder="1" applyAlignment="1">
      <alignment horizontal="center" vertical="center"/>
    </xf>
    <xf numFmtId="0" fontId="12" fillId="15" borderId="8" xfId="3" applyFont="1" applyFill="1" applyBorder="1" applyAlignment="1">
      <alignment horizontal="center" vertical="center"/>
    </xf>
    <xf numFmtId="0" fontId="12" fillId="15" borderId="4" xfId="3" applyFont="1" applyFill="1" applyBorder="1" applyAlignment="1">
      <alignment horizontal="center" vertical="center"/>
    </xf>
    <xf numFmtId="0" fontId="8" fillId="0" borderId="2" xfId="3" applyFont="1" applyBorder="1" applyAlignment="1">
      <alignment horizontal="center" vertical="center"/>
    </xf>
    <xf numFmtId="0" fontId="8" fillId="0" borderId="8" xfId="3" applyFont="1" applyBorder="1" applyAlignment="1">
      <alignment horizontal="center" vertical="center"/>
    </xf>
    <xf numFmtId="49" fontId="11" fillId="0" borderId="3" xfId="2" applyNumberFormat="1" applyFont="1" applyBorder="1" applyAlignment="1" applyProtection="1">
      <alignment horizontal="center" vertical="center"/>
      <protection locked="0"/>
    </xf>
    <xf numFmtId="14" fontId="11" fillId="0" borderId="9" xfId="2" applyNumberFormat="1" applyBorder="1"/>
    <xf numFmtId="14" fontId="0" fillId="29" borderId="9" xfId="0" applyNumberFormat="1" applyFill="1" applyBorder="1"/>
    <xf numFmtId="0" fontId="0" fillId="30" borderId="0" xfId="0" applyFill="1"/>
    <xf numFmtId="0" fontId="0" fillId="18" borderId="0" xfId="0" applyFill="1"/>
    <xf numFmtId="0" fontId="0" fillId="0" borderId="0" xfId="0" applyNumberFormat="1" applyAlignment="1">
      <alignment horizontal="center"/>
    </xf>
    <xf numFmtId="0" fontId="0" fillId="31" borderId="0" xfId="0" applyFill="1"/>
    <xf numFmtId="0" fontId="0" fillId="22" borderId="0" xfId="0" applyFill="1"/>
    <xf numFmtId="14" fontId="11" fillId="32" borderId="0" xfId="2" applyNumberFormat="1" applyFill="1"/>
    <xf numFmtId="0" fontId="2" fillId="4" borderId="7" xfId="2" applyNumberFormat="1" applyFont="1" applyFill="1" applyBorder="1" applyAlignment="1" applyProtection="1">
      <alignment horizontal="left"/>
      <protection locked="0"/>
    </xf>
    <xf numFmtId="0" fontId="2" fillId="3" borderId="7" xfId="2" applyNumberFormat="1" applyFont="1" applyFill="1" applyBorder="1" applyAlignment="1" applyProtection="1">
      <alignment horizontal="left"/>
      <protection locked="0"/>
    </xf>
    <xf numFmtId="0" fontId="2" fillId="18" borderId="9" xfId="2" applyNumberFormat="1" applyFont="1" applyFill="1" applyBorder="1" applyAlignment="1">
      <alignment horizontal="left"/>
    </xf>
    <xf numFmtId="0" fontId="11" fillId="0" borderId="9" xfId="2" applyFont="1" applyBorder="1"/>
    <xf numFmtId="14" fontId="11" fillId="0" borderId="9" xfId="2" applyNumberFormat="1" applyFont="1" applyFill="1" applyBorder="1" applyAlignment="1" applyProtection="1"/>
    <xf numFmtId="0" fontId="11" fillId="0" borderId="9" xfId="2" applyNumberFormat="1" applyFont="1" applyBorder="1" applyAlignment="1"/>
    <xf numFmtId="0" fontId="35" fillId="0" borderId="9" xfId="0" applyNumberFormat="1" applyFont="1" applyBorder="1"/>
    <xf numFmtId="0" fontId="35" fillId="0" borderId="9" xfId="0" applyFont="1" applyBorder="1"/>
    <xf numFmtId="14" fontId="35" fillId="0" borderId="9" xfId="0" applyNumberFormat="1" applyFont="1" applyBorder="1"/>
    <xf numFmtId="14" fontId="11" fillId="20" borderId="0" xfId="2" applyNumberFormat="1" applyFill="1"/>
    <xf numFmtId="0" fontId="0" fillId="4" borderId="0" xfId="0" applyFill="1"/>
    <xf numFmtId="0" fontId="0" fillId="33" borderId="0" xfId="0" applyFill="1"/>
    <xf numFmtId="0" fontId="11" fillId="30" borderId="0" xfId="2" applyFill="1"/>
    <xf numFmtId="14" fontId="11" fillId="30" borderId="0" xfId="2" applyNumberFormat="1" applyFill="1"/>
    <xf numFmtId="0" fontId="11" fillId="30" borderId="0" xfId="2" applyFill="1" applyAlignment="1">
      <alignment horizontal="right"/>
    </xf>
    <xf numFmtId="0" fontId="11" fillId="30" borderId="0" xfId="2" applyFill="1" applyAlignment="1"/>
    <xf numFmtId="0" fontId="32" fillId="30" borderId="0" xfId="2" applyFont="1" applyFill="1"/>
    <xf numFmtId="0" fontId="11" fillId="20" borderId="0" xfId="2" applyFill="1"/>
    <xf numFmtId="0" fontId="11" fillId="20" borderId="0" xfId="2" applyFill="1" applyAlignment="1">
      <alignment horizontal="right"/>
    </xf>
    <xf numFmtId="0" fontId="32" fillId="20" borderId="0" xfId="2" applyFont="1" applyFill="1"/>
    <xf numFmtId="0" fontId="11" fillId="20" borderId="0" xfId="2" applyFill="1" applyAlignment="1"/>
    <xf numFmtId="0" fontId="0" fillId="0" borderId="0" xfId="0" applyAlignment="1">
      <alignment horizontal="center"/>
    </xf>
    <xf numFmtId="0" fontId="0" fillId="34" borderId="0" xfId="0" applyFill="1"/>
    <xf numFmtId="0" fontId="0" fillId="35" borderId="0" xfId="0" applyFill="1"/>
    <xf numFmtId="0" fontId="36" fillId="0" borderId="0" xfId="0" applyFont="1"/>
    <xf numFmtId="0" fontId="17" fillId="35" borderId="0" xfId="0" applyFont="1" applyFill="1"/>
    <xf numFmtId="0" fontId="12" fillId="0" borderId="0" xfId="3" applyFont="1" applyAlignment="1">
      <alignment vertical="center"/>
    </xf>
    <xf numFmtId="172" fontId="12" fillId="0" borderId="0" xfId="3" applyNumberFormat="1" applyFont="1" applyAlignment="1">
      <alignment vertical="center"/>
    </xf>
    <xf numFmtId="0" fontId="31" fillId="0" borderId="22" xfId="3" applyFont="1" applyBorder="1" applyAlignment="1">
      <alignment horizontal="right" vertical="center" wrapText="1"/>
    </xf>
    <xf numFmtId="172" fontId="12" fillId="0" borderId="0" xfId="3" applyNumberFormat="1" applyFont="1" applyBorder="1" applyAlignment="1">
      <alignment vertical="center"/>
    </xf>
    <xf numFmtId="0" fontId="20" fillId="0" borderId="0" xfId="3" applyFont="1" applyBorder="1" applyAlignment="1">
      <alignment horizontal="center"/>
    </xf>
    <xf numFmtId="0" fontId="21" fillId="0" borderId="19" xfId="3" applyFont="1" applyBorder="1" applyAlignment="1">
      <alignment vertical="center"/>
    </xf>
    <xf numFmtId="0" fontId="21" fillId="0" borderId="17" xfId="3" applyFont="1" applyBorder="1" applyAlignment="1">
      <alignment vertical="center"/>
    </xf>
    <xf numFmtId="0" fontId="20" fillId="0" borderId="16" xfId="3" applyFont="1" applyBorder="1" applyAlignment="1">
      <alignment horizontal="right"/>
    </xf>
    <xf numFmtId="0" fontId="12" fillId="0" borderId="18" xfId="3" applyFont="1" applyBorder="1" applyAlignment="1">
      <alignment vertical="center"/>
    </xf>
    <xf numFmtId="0" fontId="21" fillId="0" borderId="18" xfId="3" applyFont="1" applyBorder="1" applyAlignment="1">
      <alignment vertical="center"/>
    </xf>
    <xf numFmtId="0" fontId="37" fillId="0" borderId="16" xfId="3" applyFont="1" applyBorder="1" applyAlignment="1">
      <alignment horizontal="right"/>
    </xf>
    <xf numFmtId="0" fontId="21" fillId="0" borderId="23" xfId="3" applyFont="1" applyBorder="1" applyAlignment="1">
      <alignment vertical="center"/>
    </xf>
    <xf numFmtId="0" fontId="21" fillId="0" borderId="21" xfId="3" applyFont="1" applyBorder="1" applyAlignment="1">
      <alignment vertical="center"/>
    </xf>
    <xf numFmtId="0" fontId="21" fillId="0" borderId="20" xfId="3" applyFont="1" applyBorder="1" applyAlignment="1">
      <alignment vertical="center"/>
    </xf>
    <xf numFmtId="0" fontId="21" fillId="0" borderId="43" xfId="3" applyFont="1" applyBorder="1" applyAlignment="1">
      <alignment vertical="center"/>
    </xf>
    <xf numFmtId="0" fontId="21" fillId="0" borderId="45" xfId="3" applyFont="1" applyBorder="1" applyAlignment="1">
      <alignment vertical="center"/>
    </xf>
    <xf numFmtId="0" fontId="21" fillId="0" borderId="46" xfId="3" applyFont="1" applyBorder="1" applyAlignment="1">
      <alignment vertical="center"/>
    </xf>
    <xf numFmtId="0" fontId="12" fillId="0" borderId="47" xfId="3" applyFont="1" applyBorder="1" applyAlignment="1">
      <alignment vertical="center"/>
    </xf>
    <xf numFmtId="0" fontId="21" fillId="0" borderId="48" xfId="3" applyFont="1" applyBorder="1" applyAlignment="1">
      <alignment vertical="center"/>
    </xf>
    <xf numFmtId="0" fontId="21" fillId="0" borderId="47" xfId="3" applyFont="1" applyBorder="1" applyAlignment="1">
      <alignment vertical="center"/>
    </xf>
    <xf numFmtId="0" fontId="12" fillId="0" borderId="42" xfId="3" applyFont="1" applyBorder="1" applyAlignment="1">
      <alignment vertical="center"/>
    </xf>
    <xf numFmtId="0" fontId="21" fillId="0" borderId="42" xfId="3" applyFont="1" applyBorder="1" applyAlignment="1">
      <alignment vertical="center"/>
    </xf>
    <xf numFmtId="0" fontId="21" fillId="0" borderId="49" xfId="3" applyFont="1" applyBorder="1" applyAlignment="1">
      <alignment vertical="center"/>
    </xf>
    <xf numFmtId="0" fontId="21" fillId="0" borderId="50" xfId="3" applyFont="1" applyBorder="1" applyAlignment="1">
      <alignment vertical="center"/>
    </xf>
    <xf numFmtId="0" fontId="12" fillId="0" borderId="16" xfId="3" applyFont="1" applyBorder="1" applyAlignment="1">
      <alignment vertical="center"/>
    </xf>
    <xf numFmtId="0" fontId="21" fillId="0" borderId="16" xfId="3" applyFont="1" applyBorder="1" applyAlignment="1">
      <alignment vertical="center"/>
    </xf>
    <xf numFmtId="0" fontId="37" fillId="0" borderId="0" xfId="3" applyFont="1" applyBorder="1" applyAlignment="1">
      <alignment horizontal="right"/>
    </xf>
    <xf numFmtId="0" fontId="37" fillId="0" borderId="22" xfId="3" applyFont="1" applyBorder="1" applyAlignment="1">
      <alignment horizontal="right"/>
    </xf>
    <xf numFmtId="0" fontId="12" fillId="0" borderId="22" xfId="3" applyNumberFormat="1" applyFont="1" applyBorder="1" applyAlignment="1">
      <alignment vertical="center"/>
    </xf>
    <xf numFmtId="0" fontId="21" fillId="0" borderId="22" xfId="3" applyNumberFormat="1" applyFont="1" applyBorder="1" applyAlignment="1">
      <alignment vertical="center"/>
    </xf>
    <xf numFmtId="0" fontId="12" fillId="0" borderId="22" xfId="3" applyFont="1" applyBorder="1" applyAlignment="1">
      <alignment vertical="center"/>
    </xf>
    <xf numFmtId="0" fontId="21" fillId="0" borderId="22" xfId="3" applyFont="1" applyBorder="1" applyAlignment="1">
      <alignment vertical="center"/>
    </xf>
    <xf numFmtId="0" fontId="21" fillId="0" borderId="51" xfId="3" applyFont="1" applyBorder="1" applyAlignment="1">
      <alignment vertical="center"/>
    </xf>
    <xf numFmtId="0" fontId="21" fillId="0" borderId="52" xfId="3" applyFont="1" applyBorder="1" applyAlignment="1">
      <alignment vertical="center"/>
    </xf>
    <xf numFmtId="0" fontId="12" fillId="0" borderId="9" xfId="3" applyFont="1" applyBorder="1" applyAlignment="1">
      <alignment vertical="center"/>
    </xf>
    <xf numFmtId="0" fontId="12" fillId="0" borderId="9" xfId="3" applyFont="1" applyBorder="1" applyAlignment="1">
      <alignment horizontal="right" vertical="center"/>
    </xf>
    <xf numFmtId="0" fontId="21" fillId="0" borderId="53" xfId="3" applyFont="1" applyBorder="1" applyAlignment="1">
      <alignment vertical="center"/>
    </xf>
    <xf numFmtId="0" fontId="21" fillId="0" borderId="54" xfId="3" applyFont="1" applyBorder="1" applyAlignment="1">
      <alignment vertical="center"/>
    </xf>
    <xf numFmtId="0" fontId="12" fillId="0" borderId="44" xfId="3" applyFont="1" applyBorder="1" applyAlignment="1">
      <alignment vertical="center"/>
    </xf>
    <xf numFmtId="0" fontId="21" fillId="0" borderId="55" xfId="3" applyFont="1" applyBorder="1" applyAlignment="1">
      <alignment vertical="center"/>
    </xf>
    <xf numFmtId="0" fontId="21" fillId="0" borderId="44" xfId="3" applyFont="1" applyBorder="1" applyAlignment="1">
      <alignment vertical="center"/>
    </xf>
    <xf numFmtId="14" fontId="12" fillId="0" borderId="9" xfId="3" applyNumberFormat="1" applyFont="1" applyBorder="1" applyAlignment="1">
      <alignment vertical="center"/>
    </xf>
    <xf numFmtId="0" fontId="12" fillId="0" borderId="12" xfId="3" applyFont="1" applyBorder="1" applyAlignment="1">
      <alignment vertical="center"/>
    </xf>
    <xf numFmtId="0" fontId="12" fillId="0" borderId="10" xfId="3" applyFont="1" applyBorder="1" applyAlignment="1">
      <alignment vertical="center"/>
    </xf>
    <xf numFmtId="0" fontId="12" fillId="0" borderId="8" xfId="3" applyFont="1" applyBorder="1" applyAlignment="1">
      <alignment vertical="center"/>
    </xf>
    <xf numFmtId="0" fontId="12" fillId="0" borderId="4" xfId="3" applyFont="1" applyBorder="1" applyAlignment="1">
      <alignment vertical="center"/>
    </xf>
    <xf numFmtId="0" fontId="31" fillId="0" borderId="0" xfId="3" applyFont="1" applyBorder="1" applyAlignment="1">
      <alignment vertical="center" wrapText="1"/>
    </xf>
    <xf numFmtId="0" fontId="6" fillId="0" borderId="22" xfId="3" applyFont="1" applyBorder="1" applyAlignment="1">
      <alignment vertical="center"/>
    </xf>
    <xf numFmtId="0" fontId="12" fillId="0" borderId="0" xfId="3" applyFont="1" applyBorder="1" applyAlignment="1"/>
    <xf numFmtId="0" fontId="6" fillId="0" borderId="18" xfId="3" applyFont="1" applyBorder="1" applyAlignment="1">
      <alignment vertical="center"/>
    </xf>
    <xf numFmtId="0" fontId="6" fillId="0" borderId="16" xfId="3" applyFont="1" applyBorder="1" applyAlignment="1">
      <alignment vertical="center"/>
    </xf>
    <xf numFmtId="0" fontId="12" fillId="0" borderId="9" xfId="3" applyFont="1" applyBorder="1" applyAlignment="1">
      <alignment horizontal="center" vertical="center"/>
    </xf>
    <xf numFmtId="14" fontId="12" fillId="0" borderId="9" xfId="3" applyNumberFormat="1" applyFont="1" applyBorder="1" applyAlignment="1">
      <alignment horizontal="center" vertical="center"/>
    </xf>
    <xf numFmtId="0" fontId="26" fillId="0" borderId="16" xfId="3" applyFont="1" applyBorder="1" applyAlignment="1">
      <alignment horizontal="center" wrapText="1"/>
    </xf>
    <xf numFmtId="0" fontId="31" fillId="0" borderId="0" xfId="3" applyFont="1" applyBorder="1" applyAlignment="1">
      <alignment horizontal="left" wrapText="1"/>
    </xf>
    <xf numFmtId="0" fontId="12" fillId="0" borderId="3" xfId="3" applyFont="1" applyBorder="1" applyAlignment="1">
      <alignment vertical="center"/>
    </xf>
    <xf numFmtId="0" fontId="12" fillId="0" borderId="1" xfId="3" applyFont="1" applyBorder="1" applyAlignment="1">
      <alignment vertical="center"/>
    </xf>
    <xf numFmtId="0" fontId="40" fillId="0" borderId="0" xfId="3" applyFont="1" applyBorder="1" applyAlignment="1">
      <alignment horizontal="center" vertical="center"/>
    </xf>
    <xf numFmtId="14" fontId="31" fillId="0" borderId="0" xfId="3" applyNumberFormat="1" applyFont="1" applyBorder="1" applyAlignment="1">
      <alignment horizontal="center" vertical="center"/>
    </xf>
    <xf numFmtId="0" fontId="20" fillId="0" borderId="0" xfId="3" applyFont="1" applyBorder="1" applyAlignment="1">
      <alignment horizontal="left" vertical="center"/>
    </xf>
    <xf numFmtId="0" fontId="21" fillId="0" borderId="8" xfId="3" applyFont="1" applyBorder="1" applyAlignment="1">
      <alignment vertical="center"/>
    </xf>
    <xf numFmtId="0" fontId="12" fillId="0" borderId="0" xfId="3" applyFont="1" applyBorder="1" applyAlignment="1">
      <alignment horizontal="center"/>
    </xf>
    <xf numFmtId="173" fontId="12" fillId="0" borderId="0" xfId="3" applyNumberFormat="1" applyFont="1" applyBorder="1" applyAlignment="1">
      <alignment vertical="center"/>
    </xf>
    <xf numFmtId="0" fontId="31" fillId="0" borderId="0" xfId="3" applyFont="1" applyBorder="1" applyAlignment="1">
      <alignment horizontal="justify" vertical="top" wrapText="1"/>
    </xf>
    <xf numFmtId="165" fontId="31" fillId="0" borderId="22" xfId="3" applyNumberFormat="1" applyFont="1" applyBorder="1" applyAlignment="1">
      <alignment horizontal="right" vertical="center" wrapText="1"/>
    </xf>
    <xf numFmtId="0" fontId="31" fillId="0" borderId="18" xfId="3" applyFont="1" applyBorder="1" applyAlignment="1">
      <alignment horizontal="left" vertical="center"/>
    </xf>
    <xf numFmtId="0" fontId="11" fillId="0" borderId="8" xfId="2" applyBorder="1"/>
    <xf numFmtId="0" fontId="41" fillId="0" borderId="8" xfId="3" applyFont="1" applyBorder="1" applyAlignment="1">
      <alignment horizontal="center" vertical="top" wrapText="1"/>
    </xf>
    <xf numFmtId="0" fontId="12" fillId="0" borderId="0" xfId="3" applyNumberFormat="1" applyFont="1" applyBorder="1" applyAlignment="1">
      <alignment vertical="center"/>
    </xf>
    <xf numFmtId="165" fontId="12" fillId="0" borderId="0" xfId="3" applyNumberFormat="1" applyFont="1" applyBorder="1" applyAlignment="1">
      <alignment vertical="center"/>
    </xf>
    <xf numFmtId="0" fontId="12" fillId="10" borderId="14" xfId="3" applyFont="1" applyFill="1" applyBorder="1" applyAlignment="1">
      <alignment vertical="center"/>
    </xf>
    <xf numFmtId="0" fontId="12" fillId="0" borderId="18" xfId="3" applyFont="1" applyBorder="1" applyAlignment="1">
      <alignment horizontal="left" vertical="center"/>
    </xf>
    <xf numFmtId="0" fontId="21" fillId="0" borderId="0" xfId="3" applyNumberFormat="1" applyFont="1" applyBorder="1" applyAlignment="1">
      <alignment vertical="center"/>
    </xf>
    <xf numFmtId="0" fontId="12" fillId="15" borderId="40" xfId="3" applyFont="1" applyFill="1" applyBorder="1" applyAlignment="1">
      <alignment horizontal="center" vertical="center"/>
    </xf>
    <xf numFmtId="0" fontId="12" fillId="15" borderId="39" xfId="3" applyFont="1" applyFill="1" applyBorder="1" applyAlignment="1">
      <alignment horizontal="center" vertical="center"/>
    </xf>
    <xf numFmtId="0" fontId="12" fillId="0" borderId="39" xfId="3" applyFont="1" applyFill="1" applyBorder="1" applyAlignment="1">
      <alignment horizontal="center" vertical="center"/>
    </xf>
    <xf numFmtId="168" fontId="12" fillId="0" borderId="9" xfId="3" applyNumberFormat="1" applyFont="1" applyBorder="1" applyAlignment="1">
      <alignment horizontal="right" vertical="center"/>
    </xf>
    <xf numFmtId="165" fontId="14" fillId="0" borderId="49" xfId="3" applyNumberFormat="1" applyFont="1" applyFill="1" applyBorder="1" applyAlignment="1">
      <alignment horizontal="center" vertical="center"/>
    </xf>
    <xf numFmtId="165" fontId="14" fillId="0" borderId="50" xfId="3" applyNumberFormat="1" applyFont="1" applyFill="1" applyBorder="1" applyAlignment="1">
      <alignment horizontal="center" vertical="center"/>
    </xf>
    <xf numFmtId="165" fontId="14" fillId="0" borderId="16" xfId="3" applyNumberFormat="1" applyFont="1" applyFill="1" applyBorder="1" applyAlignment="1">
      <alignment horizontal="center" vertical="center"/>
    </xf>
    <xf numFmtId="0" fontId="12" fillId="15" borderId="35" xfId="3" applyFont="1" applyFill="1" applyBorder="1" applyAlignment="1">
      <alignment horizontal="center" vertical="center"/>
    </xf>
    <xf numFmtId="0" fontId="12" fillId="0" borderId="35" xfId="3" applyFont="1" applyFill="1" applyBorder="1" applyAlignment="1">
      <alignment horizontal="center" vertical="center"/>
    </xf>
    <xf numFmtId="165" fontId="14" fillId="0" borderId="20" xfId="3" applyNumberFormat="1" applyFont="1" applyFill="1" applyBorder="1" applyAlignment="1">
      <alignment horizontal="center" vertical="center"/>
    </xf>
    <xf numFmtId="165" fontId="14" fillId="0" borderId="43" xfId="3" applyNumberFormat="1" applyFont="1" applyFill="1" applyBorder="1" applyAlignment="1">
      <alignment horizontal="center" vertical="center"/>
    </xf>
    <xf numFmtId="165" fontId="14" fillId="0" borderId="0" xfId="3" applyNumberFormat="1" applyFont="1" applyFill="1" applyBorder="1" applyAlignment="1">
      <alignment horizontal="center" vertical="center"/>
    </xf>
    <xf numFmtId="0" fontId="31" fillId="0" borderId="16" xfId="3" applyFont="1" applyBorder="1" applyAlignment="1">
      <alignment horizontal="left" vertical="center"/>
    </xf>
    <xf numFmtId="0" fontId="4" fillId="15" borderId="36" xfId="3" applyFont="1" applyFill="1" applyBorder="1" applyAlignment="1">
      <alignment horizontal="center" vertical="center"/>
    </xf>
    <xf numFmtId="0" fontId="4" fillId="15" borderId="35" xfId="3" applyFont="1" applyFill="1" applyBorder="1" applyAlignment="1">
      <alignment horizontal="center" vertical="center"/>
    </xf>
    <xf numFmtId="0" fontId="4" fillId="0" borderId="35" xfId="3" applyFont="1" applyBorder="1" applyAlignment="1">
      <alignment horizontal="center" vertical="center"/>
    </xf>
    <xf numFmtId="0" fontId="4" fillId="0" borderId="20" xfId="3" applyFont="1" applyBorder="1" applyAlignment="1">
      <alignment horizontal="center" vertical="center"/>
    </xf>
    <xf numFmtId="0" fontId="4" fillId="0" borderId="43" xfId="3" applyFont="1" applyBorder="1" applyAlignment="1">
      <alignment horizontal="center" vertical="center"/>
    </xf>
    <xf numFmtId="0" fontId="31" fillId="0" borderId="0" xfId="3" applyFont="1" applyBorder="1" applyAlignment="1">
      <alignment vertical="center"/>
    </xf>
    <xf numFmtId="0" fontId="42" fillId="14" borderId="59" xfId="3" applyNumberFormat="1" applyFont="1" applyFill="1" applyBorder="1" applyAlignment="1">
      <alignment horizontal="center" vertical="center"/>
    </xf>
    <xf numFmtId="0" fontId="4" fillId="0" borderId="35" xfId="3" applyFont="1" applyFill="1" applyBorder="1" applyAlignment="1">
      <alignment horizontal="center" vertical="center"/>
    </xf>
    <xf numFmtId="165" fontId="43" fillId="0" borderId="20" xfId="3" applyNumberFormat="1" applyFont="1" applyBorder="1" applyAlignment="1">
      <alignment horizontal="center" vertical="center"/>
    </xf>
    <xf numFmtId="165" fontId="43" fillId="0" borderId="43" xfId="3" applyNumberFormat="1" applyFont="1" applyBorder="1" applyAlignment="1">
      <alignment horizontal="center" vertical="center"/>
    </xf>
    <xf numFmtId="165" fontId="43" fillId="0" borderId="0" xfId="3" applyNumberFormat="1" applyFont="1" applyBorder="1" applyAlignment="1">
      <alignment horizontal="center" vertical="center"/>
    </xf>
    <xf numFmtId="0" fontId="31" fillId="0" borderId="22" xfId="3" applyFont="1" applyBorder="1" applyAlignment="1">
      <alignment vertical="center"/>
    </xf>
    <xf numFmtId="0" fontId="4" fillId="15" borderId="31" xfId="3" applyFont="1" applyFill="1" applyBorder="1" applyAlignment="1">
      <alignment horizontal="center" vertical="center"/>
    </xf>
    <xf numFmtId="0" fontId="4" fillId="0" borderId="31" xfId="3" applyFont="1" applyFill="1" applyBorder="1" applyAlignment="1">
      <alignment horizontal="center" vertical="center"/>
    </xf>
    <xf numFmtId="0" fontId="4" fillId="0" borderId="23" xfId="3" applyFont="1" applyFill="1" applyBorder="1" applyAlignment="1">
      <alignment horizontal="center" vertical="center"/>
    </xf>
    <xf numFmtId="0" fontId="4" fillId="0" borderId="21" xfId="3" applyFont="1" applyFill="1" applyBorder="1" applyAlignment="1">
      <alignment horizontal="center" vertical="center"/>
    </xf>
    <xf numFmtId="0" fontId="4" fillId="0" borderId="22" xfId="3" applyFont="1" applyBorder="1" applyAlignment="1">
      <alignment horizontal="center" vertical="center"/>
    </xf>
    <xf numFmtId="0" fontId="4" fillId="0" borderId="21" xfId="3" applyFont="1" applyBorder="1" applyAlignment="1">
      <alignment horizontal="center" vertical="center"/>
    </xf>
    <xf numFmtId="0" fontId="31" fillId="0" borderId="0" xfId="3" applyFont="1" applyBorder="1" applyAlignment="1">
      <alignment horizontal="left" vertical="center"/>
    </xf>
    <xf numFmtId="0" fontId="4" fillId="0" borderId="49" xfId="3" applyFont="1" applyBorder="1" applyAlignment="1">
      <alignment horizontal="center" vertical="center"/>
    </xf>
    <xf numFmtId="0" fontId="4" fillId="0" borderId="16" xfId="3" applyFont="1" applyBorder="1" applyAlignment="1">
      <alignment horizontal="center" vertical="center"/>
    </xf>
    <xf numFmtId="0" fontId="4" fillId="0" borderId="50" xfId="3" applyFont="1" applyBorder="1" applyAlignment="1">
      <alignment horizontal="center" vertical="center"/>
    </xf>
    <xf numFmtId="0" fontId="31" fillId="0" borderId="16" xfId="3" applyFont="1" applyBorder="1" applyAlignment="1">
      <alignment vertical="center"/>
    </xf>
    <xf numFmtId="0" fontId="27" fillId="14" borderId="28" xfId="3" applyFont="1" applyFill="1" applyBorder="1" applyAlignment="1">
      <alignment horizontal="center" vertical="center"/>
    </xf>
    <xf numFmtId="0" fontId="27" fillId="14" borderId="27" xfId="3" applyFont="1" applyFill="1" applyBorder="1" applyAlignment="1">
      <alignment horizontal="center" vertical="center"/>
    </xf>
    <xf numFmtId="0" fontId="42" fillId="14" borderId="10" xfId="3" applyNumberFormat="1" applyFont="1" applyFill="1" applyBorder="1" applyAlignment="1">
      <alignment horizontal="center" vertical="center"/>
    </xf>
    <xf numFmtId="0" fontId="21" fillId="14" borderId="59" xfId="3" applyFont="1" applyFill="1" applyBorder="1" applyAlignment="1">
      <alignment horizontal="center" vertical="center"/>
    </xf>
    <xf numFmtId="165" fontId="43" fillId="0" borderId="49" xfId="3" applyNumberFormat="1" applyFont="1" applyBorder="1" applyAlignment="1">
      <alignment horizontal="center" vertical="center"/>
    </xf>
    <xf numFmtId="165" fontId="43" fillId="0" borderId="50" xfId="3" applyNumberFormat="1" applyFont="1" applyBorder="1" applyAlignment="1">
      <alignment horizontal="center" vertical="center"/>
    </xf>
    <xf numFmtId="165" fontId="43" fillId="0" borderId="16" xfId="3" applyNumberFormat="1" applyFont="1" applyBorder="1" applyAlignment="1">
      <alignment horizontal="center" vertical="center"/>
    </xf>
    <xf numFmtId="165" fontId="43" fillId="0" borderId="20" xfId="3" applyNumberFormat="1" applyFont="1" applyFill="1" applyBorder="1" applyAlignment="1">
      <alignment horizontal="center" vertical="center"/>
    </xf>
    <xf numFmtId="165" fontId="43" fillId="0" borderId="43" xfId="3" applyNumberFormat="1" applyFont="1" applyFill="1" applyBorder="1" applyAlignment="1">
      <alignment horizontal="center" vertical="center"/>
    </xf>
    <xf numFmtId="0" fontId="4" fillId="0" borderId="20" xfId="3" applyFont="1" applyFill="1" applyBorder="1" applyAlignment="1">
      <alignment horizontal="center" vertical="center"/>
    </xf>
    <xf numFmtId="0" fontId="4" fillId="0" borderId="43" xfId="3" applyFont="1" applyFill="1" applyBorder="1" applyAlignment="1">
      <alignment horizontal="center" vertical="center"/>
    </xf>
    <xf numFmtId="0" fontId="27" fillId="14" borderId="61" xfId="3" applyFont="1" applyFill="1" applyBorder="1" applyAlignment="1">
      <alignment horizontal="center" vertical="center"/>
    </xf>
    <xf numFmtId="168" fontId="12" fillId="15" borderId="9" xfId="3" applyNumberFormat="1" applyFont="1" applyFill="1" applyBorder="1" applyAlignment="1">
      <alignment horizontal="center" vertical="center"/>
    </xf>
    <xf numFmtId="0" fontId="12" fillId="0" borderId="0" xfId="3" applyNumberFormat="1" applyFont="1" applyBorder="1" applyAlignment="1">
      <alignment horizontal="center" vertical="center"/>
    </xf>
    <xf numFmtId="0" fontId="44" fillId="0" borderId="0" xfId="3" applyFont="1" applyBorder="1" applyAlignment="1">
      <alignment horizontal="right" vertical="center" wrapText="1"/>
    </xf>
    <xf numFmtId="0" fontId="22" fillId="0" borderId="0" xfId="3" applyFont="1" applyBorder="1" applyAlignment="1">
      <alignment vertical="center"/>
    </xf>
    <xf numFmtId="14" fontId="45" fillId="0" borderId="55" xfId="3" applyNumberFormat="1" applyFont="1" applyBorder="1" applyAlignment="1">
      <alignment horizontal="center" vertical="center"/>
    </xf>
    <xf numFmtId="0" fontId="44" fillId="0" borderId="48" xfId="3" applyFont="1" applyBorder="1" applyAlignment="1">
      <alignment horizontal="right" vertical="center" wrapText="1"/>
    </xf>
    <xf numFmtId="0" fontId="20" fillId="0" borderId="0" xfId="3" applyFont="1" applyBorder="1" applyAlignment="1">
      <alignment horizontal="right" vertical="center"/>
    </xf>
    <xf numFmtId="14" fontId="0" fillId="33" borderId="0" xfId="0" applyNumberFormat="1" applyFill="1"/>
    <xf numFmtId="0" fontId="0" fillId="33" borderId="0" xfId="0" applyNumberFormat="1" applyFill="1"/>
    <xf numFmtId="0" fontId="0" fillId="33" borderId="0" xfId="0" applyFill="1" applyAlignment="1">
      <alignment horizontal="center"/>
    </xf>
    <xf numFmtId="0" fontId="14" fillId="0" borderId="43" xfId="3" applyFont="1" applyBorder="1" applyAlignment="1">
      <alignment vertical="center"/>
    </xf>
    <xf numFmtId="0" fontId="14" fillId="0" borderId="17" xfId="3" applyFont="1" applyBorder="1" applyAlignment="1">
      <alignment vertical="center"/>
    </xf>
    <xf numFmtId="0" fontId="14" fillId="0" borderId="21" xfId="3" applyFont="1" applyBorder="1" applyAlignment="1">
      <alignment vertical="center"/>
    </xf>
    <xf numFmtId="0" fontId="14" fillId="0" borderId="20" xfId="3" applyNumberFormat="1" applyFont="1" applyBorder="1" applyAlignment="1">
      <alignment vertical="center"/>
    </xf>
    <xf numFmtId="0" fontId="14" fillId="0" borderId="19" xfId="3" applyNumberFormat="1" applyFont="1" applyBorder="1" applyAlignment="1">
      <alignment vertical="center"/>
    </xf>
    <xf numFmtId="0" fontId="14" fillId="0" borderId="23" xfId="3" applyNumberFormat="1" applyFont="1" applyBorder="1" applyAlignment="1">
      <alignment vertical="center"/>
    </xf>
    <xf numFmtId="0" fontId="12" fillId="0" borderId="0" xfId="3" quotePrefix="1" applyFont="1" applyBorder="1" applyAlignment="1">
      <alignment vertical="center"/>
    </xf>
    <xf numFmtId="0" fontId="47" fillId="0" borderId="0" xfId="0" applyFont="1" applyAlignment="1">
      <alignment vertical="top"/>
    </xf>
    <xf numFmtId="0" fontId="12" fillId="0" borderId="0" xfId="3" applyFont="1" applyBorder="1" applyAlignment="1">
      <alignment horizontal="right" vertical="top"/>
    </xf>
    <xf numFmtId="0" fontId="12" fillId="0" borderId="0" xfId="3" applyFont="1" applyBorder="1" applyAlignment="1">
      <alignment vertical="top"/>
    </xf>
    <xf numFmtId="0" fontId="21" fillId="14" borderId="60" xfId="3" applyFont="1" applyFill="1" applyBorder="1" applyAlignment="1">
      <alignment horizontal="right" vertical="center"/>
    </xf>
    <xf numFmtId="14" fontId="21" fillId="0" borderId="11" xfId="3" applyNumberFormat="1" applyFont="1" applyBorder="1" applyAlignment="1">
      <alignment vertical="center"/>
    </xf>
    <xf numFmtId="0" fontId="21" fillId="0" borderId="0" xfId="3" applyFont="1" applyBorder="1" applyAlignment="1">
      <alignment vertical="top"/>
    </xf>
    <xf numFmtId="173" fontId="14" fillId="0" borderId="62" xfId="3" applyNumberFormat="1" applyFont="1" applyBorder="1" applyAlignment="1">
      <alignment horizontal="right" vertical="center"/>
    </xf>
    <xf numFmtId="173" fontId="14" fillId="0" borderId="24" xfId="3" applyNumberFormat="1" applyFont="1" applyBorder="1" applyAlignment="1">
      <alignment horizontal="right" vertical="center"/>
    </xf>
    <xf numFmtId="173" fontId="14" fillId="0" borderId="44" xfId="3" applyNumberFormat="1" applyFont="1" applyBorder="1" applyAlignment="1">
      <alignment vertical="center"/>
    </xf>
    <xf numFmtId="173" fontId="14" fillId="0" borderId="42" xfId="3" applyNumberFormat="1" applyFont="1" applyBorder="1" applyAlignment="1">
      <alignment vertical="center"/>
    </xf>
    <xf numFmtId="173" fontId="14" fillId="0" borderId="41" xfId="3" applyNumberFormat="1" applyFont="1" applyBorder="1" applyAlignment="1">
      <alignment vertical="center"/>
    </xf>
    <xf numFmtId="0" fontId="21" fillId="0" borderId="44" xfId="3" applyFont="1" applyBorder="1" applyAlignment="1">
      <alignment vertical="center"/>
    </xf>
    <xf numFmtId="0" fontId="21" fillId="0" borderId="42" xfId="3" applyFont="1" applyBorder="1" applyAlignment="1">
      <alignment vertical="center"/>
    </xf>
    <xf numFmtId="0" fontId="21" fillId="0" borderId="41" xfId="3" applyFont="1" applyBorder="1" applyAlignment="1">
      <alignment vertical="center"/>
    </xf>
    <xf numFmtId="0" fontId="21" fillId="0" borderId="44" xfId="3" applyFont="1" applyBorder="1" applyAlignment="1">
      <alignment horizontal="center" vertical="center"/>
    </xf>
    <xf numFmtId="0" fontId="21" fillId="0" borderId="42" xfId="3" applyFont="1" applyBorder="1" applyAlignment="1">
      <alignment horizontal="center" vertical="center"/>
    </xf>
    <xf numFmtId="0" fontId="21" fillId="0" borderId="41" xfId="3" applyFont="1" applyBorder="1" applyAlignment="1">
      <alignment horizontal="center" vertical="center"/>
    </xf>
    <xf numFmtId="0" fontId="12" fillId="0" borderId="44" xfId="3" applyFont="1" applyBorder="1" applyAlignment="1">
      <alignment vertical="center"/>
    </xf>
    <xf numFmtId="0" fontId="12" fillId="0" borderId="42" xfId="3" applyFont="1" applyBorder="1" applyAlignment="1">
      <alignment vertical="center"/>
    </xf>
    <xf numFmtId="0" fontId="12" fillId="0" borderId="41" xfId="3" applyFont="1" applyBorder="1" applyAlignment="1">
      <alignment vertical="center"/>
    </xf>
    <xf numFmtId="0" fontId="31" fillId="0" borderId="0" xfId="3" applyFont="1" applyBorder="1" applyAlignment="1">
      <alignment horizontal="left"/>
    </xf>
    <xf numFmtId="0" fontId="11" fillId="0" borderId="9" xfId="2" applyBorder="1" applyAlignment="1">
      <alignment horizontal="center" vertical="center"/>
    </xf>
    <xf numFmtId="0" fontId="12" fillId="0" borderId="9" xfId="2" applyFont="1" applyBorder="1" applyAlignment="1">
      <alignment horizontal="center" vertical="center"/>
    </xf>
    <xf numFmtId="0" fontId="11" fillId="0" borderId="0" xfId="2" applyAlignment="1">
      <alignment horizontal="center" vertical="center"/>
    </xf>
    <xf numFmtId="0" fontId="12" fillId="0" borderId="0" xfId="2" applyFont="1" applyAlignment="1">
      <alignment vertical="center"/>
    </xf>
    <xf numFmtId="0" fontId="48" fillId="0" borderId="0" xfId="2" applyFont="1"/>
    <xf numFmtId="0" fontId="47" fillId="0" borderId="0" xfId="0" applyFont="1" applyAlignment="1">
      <alignment vertical="center"/>
    </xf>
    <xf numFmtId="0" fontId="21" fillId="0" borderId="9" xfId="3" applyFont="1" applyBorder="1" applyAlignment="1">
      <alignment vertical="center"/>
    </xf>
    <xf numFmtId="0" fontId="49" fillId="0" borderId="0" xfId="0" applyFont="1"/>
    <xf numFmtId="0" fontId="49" fillId="33" borderId="0" xfId="0" applyFont="1" applyFill="1"/>
    <xf numFmtId="0" fontId="30" fillId="0" borderId="0" xfId="3" applyFont="1" applyBorder="1" applyAlignment="1">
      <alignment horizontal="left" vertical="top"/>
    </xf>
    <xf numFmtId="0" fontId="30" fillId="0" borderId="0" xfId="3" applyFont="1" applyBorder="1" applyAlignment="1">
      <alignment vertical="top"/>
    </xf>
    <xf numFmtId="0" fontId="51" fillId="0" borderId="0" xfId="2" applyFont="1" applyBorder="1" applyAlignment="1">
      <alignment horizontal="right" vertical="top"/>
    </xf>
    <xf numFmtId="168" fontId="14" fillId="0" borderId="0" xfId="2" applyNumberFormat="1" applyFont="1" applyBorder="1" applyAlignment="1">
      <alignment horizontal="left" vertical="top"/>
    </xf>
    <xf numFmtId="0" fontId="14" fillId="0" borderId="0" xfId="2" applyFont="1" applyBorder="1" applyAlignment="1">
      <alignment horizontal="left" vertical="top"/>
    </xf>
    <xf numFmtId="165" fontId="14" fillId="0" borderId="0" xfId="2" applyNumberFormat="1" applyFont="1" applyBorder="1" applyAlignment="1">
      <alignment horizontal="left" vertical="top"/>
    </xf>
    <xf numFmtId="0" fontId="0" fillId="5" borderId="9" xfId="3" applyNumberFormat="1" applyFont="1" applyFill="1" applyBorder="1" applyAlignment="1" applyProtection="1">
      <alignment horizontal="center" vertical="center"/>
    </xf>
    <xf numFmtId="0" fontId="11" fillId="5" borderId="9" xfId="2" applyNumberFormat="1" applyFont="1" applyFill="1" applyBorder="1" applyAlignment="1" applyProtection="1">
      <alignment horizontal="center" vertical="center"/>
    </xf>
    <xf numFmtId="0" fontId="11" fillId="0" borderId="12" xfId="2" applyNumberFormat="1" applyFont="1" applyBorder="1" applyAlignment="1">
      <alignment horizontal="center" vertical="center"/>
    </xf>
    <xf numFmtId="49" fontId="11" fillId="0" borderId="9" xfId="2" applyNumberFormat="1" applyFont="1" applyBorder="1" applyAlignment="1" applyProtection="1">
      <alignment horizontal="center" vertical="center"/>
      <protection locked="0"/>
    </xf>
    <xf numFmtId="0" fontId="12" fillId="0" borderId="0" xfId="2" applyFont="1" applyAlignment="1">
      <alignment horizontal="left" vertical="top"/>
    </xf>
    <xf numFmtId="0" fontId="16" fillId="0" borderId="9" xfId="2" applyFont="1" applyFill="1" applyBorder="1" applyAlignment="1">
      <alignment horizontal="center" vertical="center" wrapText="1"/>
    </xf>
    <xf numFmtId="0" fontId="11" fillId="0" borderId="0" xfId="2" applyFont="1" applyFill="1" applyAlignment="1">
      <alignment vertical="center"/>
    </xf>
    <xf numFmtId="0" fontId="16" fillId="0" borderId="0" xfId="2" applyFont="1" applyFill="1" applyBorder="1" applyAlignment="1" applyProtection="1">
      <alignment horizontal="center" vertical="center"/>
      <protection locked="0"/>
    </xf>
    <xf numFmtId="0" fontId="11" fillId="0" borderId="0" xfId="2" applyFont="1" applyFill="1" applyAlignment="1"/>
    <xf numFmtId="0" fontId="16" fillId="0" borderId="9" xfId="2" applyFont="1" applyFill="1" applyBorder="1" applyAlignment="1" applyProtection="1">
      <alignment horizontal="center" vertical="center"/>
      <protection locked="0"/>
    </xf>
    <xf numFmtId="0" fontId="12" fillId="0" borderId="9" xfId="2" applyFont="1" applyFill="1" applyBorder="1" applyAlignment="1">
      <alignment horizontal="center" vertical="center" wrapText="1"/>
    </xf>
    <xf numFmtId="0" fontId="12" fillId="0" borderId="0" xfId="2" applyFont="1" applyFill="1" applyBorder="1" applyAlignment="1" applyProtection="1">
      <alignment horizontal="center" vertical="center" wrapText="1"/>
      <protection locked="0"/>
    </xf>
    <xf numFmtId="0" fontId="12" fillId="0" borderId="9" xfId="2" applyFont="1" applyFill="1" applyBorder="1" applyAlignment="1">
      <alignment vertical="center" wrapText="1"/>
    </xf>
    <xf numFmtId="0" fontId="12" fillId="0" borderId="0" xfId="2" applyFont="1" applyFill="1" applyBorder="1" applyAlignment="1" applyProtection="1">
      <alignment vertical="center" wrapText="1"/>
      <protection locked="0"/>
    </xf>
    <xf numFmtId="0" fontId="12" fillId="0" borderId="0" xfId="2" applyNumberFormat="1" applyFont="1" applyFill="1" applyBorder="1" applyAlignment="1" applyProtection="1">
      <alignment vertical="center" wrapText="1"/>
      <protection locked="0"/>
    </xf>
    <xf numFmtId="0" fontId="11" fillId="0" borderId="0" xfId="2" applyFont="1" applyFill="1" applyAlignment="1">
      <alignment horizontal="center"/>
    </xf>
    <xf numFmtId="0" fontId="24" fillId="0" borderId="9" xfId="2" applyFont="1" applyFill="1" applyBorder="1" applyAlignment="1">
      <alignment horizontal="center" vertical="center" wrapText="1"/>
    </xf>
    <xf numFmtId="0" fontId="13" fillId="0" borderId="9" xfId="2" applyFont="1" applyFill="1" applyBorder="1" applyAlignment="1">
      <alignment horizontal="center" vertical="center" wrapText="1"/>
    </xf>
    <xf numFmtId="0" fontId="21" fillId="0" borderId="63" xfId="3" applyFont="1" applyBorder="1" applyAlignment="1">
      <alignment vertical="center"/>
    </xf>
    <xf numFmtId="0" fontId="21" fillId="0" borderId="64" xfId="3" applyFont="1" applyBorder="1" applyAlignment="1">
      <alignment vertical="center"/>
    </xf>
    <xf numFmtId="0" fontId="21" fillId="0" borderId="65" xfId="3" applyFont="1" applyBorder="1" applyAlignment="1">
      <alignment vertical="center"/>
    </xf>
    <xf numFmtId="0" fontId="12" fillId="0" borderId="65" xfId="3" applyFont="1" applyBorder="1" applyAlignment="1">
      <alignment vertical="center"/>
    </xf>
    <xf numFmtId="0" fontId="46" fillId="0" borderId="55" xfId="3" applyFont="1" applyBorder="1" applyAlignment="1">
      <alignment vertical="center"/>
    </xf>
    <xf numFmtId="0" fontId="31" fillId="0" borderId="0" xfId="3" applyFont="1" applyBorder="1" applyAlignment="1">
      <alignment horizontal="right" vertical="center" wrapText="1"/>
    </xf>
    <xf numFmtId="0" fontId="21" fillId="0" borderId="19" xfId="3" applyFont="1" applyFill="1" applyBorder="1" applyAlignment="1">
      <alignment vertical="center"/>
    </xf>
    <xf numFmtId="0" fontId="21" fillId="0" borderId="42" xfId="3" applyFont="1" applyFill="1" applyBorder="1" applyAlignment="1">
      <alignment vertical="center"/>
    </xf>
    <xf numFmtId="0" fontId="11" fillId="0" borderId="0" xfId="2" applyFill="1" applyBorder="1" applyAlignment="1">
      <alignment horizontal="center"/>
    </xf>
    <xf numFmtId="0" fontId="20" fillId="0" borderId="0" xfId="3" applyFont="1" applyFill="1" applyAlignment="1">
      <alignment vertical="center"/>
    </xf>
    <xf numFmtId="0" fontId="1" fillId="0" borderId="0" xfId="0" applyFont="1" applyAlignment="1">
      <alignment horizontal="center" vertical="center"/>
    </xf>
    <xf numFmtId="0" fontId="22" fillId="0" borderId="0" xfId="2" applyFont="1"/>
    <xf numFmtId="0" fontId="3" fillId="0" borderId="0" xfId="2" applyFont="1" applyAlignment="1">
      <alignment vertical="center" wrapText="1"/>
    </xf>
    <xf numFmtId="0" fontId="8" fillId="0" borderId="0" xfId="2" applyFont="1" applyAlignment="1">
      <alignment horizontal="right"/>
    </xf>
    <xf numFmtId="0" fontId="8" fillId="0" borderId="0" xfId="2" applyFont="1" applyAlignment="1" applyProtection="1">
      <alignment horizontal="left"/>
      <protection locked="0"/>
    </xf>
    <xf numFmtId="0" fontId="39" fillId="0" borderId="0" xfId="2" applyFont="1"/>
    <xf numFmtId="0" fontId="20" fillId="0" borderId="0" xfId="2" applyFont="1"/>
    <xf numFmtId="0" fontId="56" fillId="0" borderId="0" xfId="2" applyFont="1"/>
    <xf numFmtId="0" fontId="57" fillId="0" borderId="0" xfId="2" applyFont="1"/>
    <xf numFmtId="0" fontId="8" fillId="0" borderId="0" xfId="2" applyFont="1"/>
    <xf numFmtId="0" fontId="26" fillId="0" borderId="0" xfId="2" applyFont="1"/>
    <xf numFmtId="0" fontId="22" fillId="0" borderId="0" xfId="2" quotePrefix="1" applyFont="1"/>
    <xf numFmtId="0" fontId="22" fillId="0" borderId="0" xfId="2" applyNumberFormat="1" applyFont="1"/>
    <xf numFmtId="0" fontId="22" fillId="0" borderId="0" xfId="2" applyFont="1" applyAlignment="1"/>
    <xf numFmtId="0" fontId="22" fillId="0" borderId="0" xfId="2" applyFont="1" applyAlignment="1">
      <alignment horizontal="right"/>
    </xf>
    <xf numFmtId="0" fontId="22" fillId="0" borderId="0" xfId="2" applyFont="1" applyAlignment="1">
      <alignment horizontal="left"/>
    </xf>
    <xf numFmtId="0" fontId="59" fillId="0" borderId="0" xfId="2" applyFont="1"/>
    <xf numFmtId="0" fontId="60" fillId="0" borderId="0" xfId="2" applyFont="1" applyAlignment="1">
      <alignment horizontal="justify" vertical="top" wrapText="1"/>
    </xf>
    <xf numFmtId="0" fontId="11" fillId="0" borderId="0" xfId="2" applyAlignment="1">
      <alignment horizontal="justify" vertical="top" wrapText="1"/>
    </xf>
    <xf numFmtId="0" fontId="11" fillId="0" borderId="0" xfId="2" applyAlignment="1">
      <alignment horizontal="right" vertical="top" wrapText="1"/>
    </xf>
    <xf numFmtId="0" fontId="11" fillId="0" borderId="0" xfId="2" applyAlignment="1">
      <alignment horizontal="center" vertical="top" wrapText="1"/>
    </xf>
    <xf numFmtId="0" fontId="11" fillId="0" borderId="0" xfId="2" applyAlignment="1">
      <alignment horizontal="justify" vertical="top"/>
    </xf>
    <xf numFmtId="0" fontId="57" fillId="0" borderId="0" xfId="3" applyFont="1" applyFill="1" applyBorder="1" applyAlignment="1">
      <alignment vertical="center"/>
    </xf>
    <xf numFmtId="0" fontId="57" fillId="0" borderId="0" xfId="3" applyFont="1" applyFill="1" applyBorder="1" applyAlignment="1" applyProtection="1">
      <alignment horizontal="right" vertical="center"/>
      <protection locked="0"/>
    </xf>
    <xf numFmtId="0" fontId="21" fillId="0" borderId="0" xfId="2" applyFont="1"/>
    <xf numFmtId="0" fontId="26" fillId="0" borderId="16" xfId="3" applyFont="1" applyFill="1" applyBorder="1" applyAlignment="1">
      <alignment horizontal="left" vertical="top"/>
    </xf>
    <xf numFmtId="0" fontId="26" fillId="0" borderId="49" xfId="3" applyFont="1" applyFill="1" applyBorder="1" applyAlignment="1">
      <alignment vertical="top"/>
    </xf>
    <xf numFmtId="0" fontId="26" fillId="0" borderId="50" xfId="3" applyFont="1" applyFill="1" applyBorder="1" applyAlignment="1">
      <alignment vertical="top"/>
    </xf>
    <xf numFmtId="0" fontId="26" fillId="0" borderId="16" xfId="3" applyFont="1" applyFill="1" applyBorder="1" applyAlignment="1">
      <alignment horizontal="right" vertical="top"/>
    </xf>
    <xf numFmtId="14" fontId="21" fillId="0" borderId="18" xfId="3" applyNumberFormat="1" applyFont="1" applyFill="1" applyBorder="1" applyAlignment="1">
      <alignment horizontal="left" vertical="center" wrapText="1"/>
    </xf>
    <xf numFmtId="14" fontId="21" fillId="0" borderId="19" xfId="3" applyNumberFormat="1" applyFont="1" applyFill="1" applyBorder="1" applyAlignment="1">
      <alignment horizontal="left" vertical="center" wrapText="1"/>
    </xf>
    <xf numFmtId="14" fontId="21" fillId="0" borderId="17" xfId="3" applyNumberFormat="1" applyFont="1" applyFill="1" applyBorder="1" applyAlignment="1">
      <alignment horizontal="left" vertical="center" wrapText="1"/>
    </xf>
    <xf numFmtId="14" fontId="21" fillId="0" borderId="18" xfId="3" applyNumberFormat="1" applyFont="1" applyFill="1" applyBorder="1" applyAlignment="1">
      <alignment horizontal="left" vertical="center"/>
    </xf>
    <xf numFmtId="0" fontId="21" fillId="0" borderId="19" xfId="3" applyFont="1" applyFill="1" applyBorder="1" applyAlignment="1">
      <alignment horizontal="left" vertical="center" wrapText="1"/>
    </xf>
    <xf numFmtId="0" fontId="21" fillId="0" borderId="17" xfId="3" applyFont="1" applyFill="1" applyBorder="1" applyAlignment="1">
      <alignment horizontal="left" vertical="center" wrapText="1"/>
    </xf>
    <xf numFmtId="0" fontId="21" fillId="0" borderId="18" xfId="3" applyFont="1" applyFill="1" applyBorder="1" applyAlignment="1">
      <alignment horizontal="left" vertical="center" wrapText="1"/>
    </xf>
    <xf numFmtId="0" fontId="3" fillId="0" borderId="0" xfId="3" applyFont="1" applyFill="1" applyBorder="1" applyAlignment="1">
      <alignment vertical="center"/>
    </xf>
    <xf numFmtId="0" fontId="57" fillId="0" borderId="0" xfId="3" applyFont="1" applyFill="1" applyBorder="1" applyAlignment="1" applyProtection="1">
      <alignment horizontal="center" vertical="center"/>
      <protection locked="0"/>
    </xf>
    <xf numFmtId="0" fontId="57" fillId="0" borderId="0" xfId="3" applyFont="1" applyFill="1" applyBorder="1" applyAlignment="1">
      <alignment horizontal="right" vertical="center"/>
    </xf>
    <xf numFmtId="0" fontId="3" fillId="0" borderId="0" xfId="3" applyFont="1" applyFill="1" applyBorder="1" applyAlignment="1" applyProtection="1">
      <alignment horizontal="center" vertical="center"/>
      <protection locked="0"/>
    </xf>
    <xf numFmtId="0" fontId="57" fillId="0" borderId="0" xfId="3" applyFont="1" applyFill="1" applyBorder="1" applyAlignment="1">
      <alignment horizontal="left" vertical="top"/>
    </xf>
    <xf numFmtId="0" fontId="26" fillId="0" borderId="0" xfId="3" applyFont="1" applyFill="1" applyBorder="1" applyAlignment="1">
      <alignment vertical="top"/>
    </xf>
    <xf numFmtId="0" fontId="26" fillId="0" borderId="0" xfId="3" applyFont="1" applyFill="1" applyBorder="1" applyAlignment="1">
      <alignment horizontal="center" vertical="top"/>
    </xf>
    <xf numFmtId="14" fontId="21" fillId="0" borderId="16" xfId="3" applyNumberFormat="1" applyFont="1" applyFill="1" applyBorder="1" applyAlignment="1">
      <alignment horizontal="left" vertical="center" wrapText="1"/>
    </xf>
    <xf numFmtId="0" fontId="26" fillId="0" borderId="0" xfId="3" applyFont="1" applyFill="1" applyBorder="1" applyAlignment="1">
      <alignment horizontal="left" vertical="top"/>
    </xf>
    <xf numFmtId="0" fontId="3" fillId="0" borderId="0" xfId="2" applyFont="1" applyAlignment="1">
      <alignment horizontal="center" vertical="center" wrapText="1"/>
    </xf>
    <xf numFmtId="165" fontId="8" fillId="0" borderId="12" xfId="3" applyNumberFormat="1" applyFont="1" applyFill="1" applyBorder="1" applyAlignment="1">
      <alignment horizontal="right" vertical="center"/>
    </xf>
    <xf numFmtId="0" fontId="12" fillId="0" borderId="0" xfId="2" applyFont="1" applyAlignment="1">
      <alignment horizontal="justify" wrapText="1"/>
    </xf>
    <xf numFmtId="0" fontId="12" fillId="0" borderId="0" xfId="2" applyFont="1" applyAlignment="1">
      <alignment horizontal="right" vertical="top"/>
    </xf>
    <xf numFmtId="0" fontId="61" fillId="0" borderId="0" xfId="2" applyFont="1" applyAlignment="1">
      <alignment horizontal="center" vertical="top"/>
    </xf>
    <xf numFmtId="0" fontId="2" fillId="20" borderId="9" xfId="2" applyFont="1" applyFill="1" applyBorder="1"/>
    <xf numFmtId="0" fontId="63" fillId="0" borderId="0" xfId="0" applyFont="1"/>
    <xf numFmtId="0" fontId="47" fillId="0" borderId="0" xfId="0" applyFont="1"/>
    <xf numFmtId="0" fontId="47" fillId="0" borderId="66" xfId="0" applyFont="1" applyBorder="1"/>
    <xf numFmtId="0" fontId="47" fillId="0" borderId="0" xfId="0" applyFont="1" applyBorder="1"/>
    <xf numFmtId="0" fontId="63" fillId="0" borderId="0" xfId="0" applyFont="1" applyBorder="1"/>
    <xf numFmtId="0" fontId="63" fillId="0" borderId="67" xfId="0" applyFont="1" applyBorder="1" applyAlignment="1">
      <alignment horizontal="center"/>
    </xf>
    <xf numFmtId="14" fontId="0" fillId="32" borderId="0" xfId="0" applyNumberFormat="1" applyFill="1"/>
    <xf numFmtId="0" fontId="50" fillId="0" borderId="0" xfId="3" applyFont="1" applyBorder="1" applyAlignment="1">
      <alignment horizontal="left" vertical="center"/>
    </xf>
    <xf numFmtId="14" fontId="5" fillId="0" borderId="0" xfId="1" applyNumberFormat="1" applyAlignment="1" applyProtection="1"/>
    <xf numFmtId="14" fontId="0" fillId="36" borderId="0" xfId="0" applyNumberFormat="1" applyFill="1"/>
    <xf numFmtId="0" fontId="12" fillId="0" borderId="0" xfId="2" applyFont="1" applyAlignment="1">
      <alignment horizontal="justify" vertical="top" wrapText="1"/>
    </xf>
    <xf numFmtId="0" fontId="12" fillId="0" borderId="0" xfId="2" applyNumberFormat="1" applyFont="1" applyAlignment="1">
      <alignment horizontal="justify" vertical="top" wrapText="1"/>
    </xf>
    <xf numFmtId="0" fontId="12" fillId="0" borderId="0" xfId="2" applyFont="1" applyAlignment="1">
      <alignment horizontal="justify" vertical="top" wrapText="1"/>
    </xf>
    <xf numFmtId="0" fontId="12" fillId="0" borderId="0" xfId="2" applyNumberFormat="1" applyFont="1" applyAlignment="1">
      <alignment horizontal="justify" vertical="top" wrapText="1"/>
    </xf>
    <xf numFmtId="0" fontId="64" fillId="0" borderId="0" xfId="0" applyFont="1" applyAlignment="1">
      <alignment horizontal="center" vertical="top"/>
    </xf>
    <xf numFmtId="0" fontId="2" fillId="0" borderId="9" xfId="2" applyFont="1" applyBorder="1" applyAlignment="1">
      <alignment horizontal="center"/>
    </xf>
    <xf numFmtId="0" fontId="0" fillId="0" borderId="0" xfId="0" applyAlignment="1"/>
    <xf numFmtId="0" fontId="0" fillId="0" borderId="0" xfId="0" quotePrefix="1" applyAlignment="1"/>
    <xf numFmtId="0" fontId="0" fillId="0" borderId="0" xfId="0" applyAlignment="1">
      <alignment horizontal="left"/>
    </xf>
    <xf numFmtId="0" fontId="0" fillId="0" borderId="3" xfId="0" applyBorder="1"/>
    <xf numFmtId="0" fontId="0" fillId="0" borderId="4" xfId="0" applyBorder="1" applyAlignment="1">
      <alignment horizontal="center"/>
    </xf>
    <xf numFmtId="0" fontId="0" fillId="0" borderId="8" xfId="0" applyBorder="1"/>
    <xf numFmtId="0" fontId="0" fillId="0" borderId="10" xfId="0" applyBorder="1" applyAlignment="1">
      <alignment horizontal="center"/>
    </xf>
    <xf numFmtId="0" fontId="0" fillId="0" borderId="12" xfId="0" applyBorder="1"/>
    <xf numFmtId="0" fontId="0" fillId="0" borderId="1" xfId="0" applyBorder="1"/>
    <xf numFmtId="0" fontId="0" fillId="0" borderId="4" xfId="0" applyBorder="1"/>
    <xf numFmtId="0" fontId="0" fillId="0" borderId="10" xfId="0" applyBorder="1"/>
    <xf numFmtId="0" fontId="0" fillId="0" borderId="2" xfId="0" applyBorder="1"/>
    <xf numFmtId="0" fontId="0" fillId="0" borderId="0" xfId="0" applyBorder="1"/>
    <xf numFmtId="0" fontId="0" fillId="0" borderId="11" xfId="0" applyBorder="1"/>
    <xf numFmtId="0" fontId="0" fillId="0" borderId="0" xfId="0" applyBorder="1" applyAlignment="1">
      <alignment horizontal="right"/>
    </xf>
    <xf numFmtId="0" fontId="0" fillId="0" borderId="11" xfId="0" applyBorder="1" applyAlignment="1">
      <alignment horizontal="right"/>
    </xf>
    <xf numFmtId="0" fontId="1" fillId="0" borderId="1" xfId="0" applyFont="1" applyBorder="1"/>
    <xf numFmtId="0" fontId="0" fillId="0" borderId="0" xfId="0" applyFill="1" applyBorder="1"/>
    <xf numFmtId="0" fontId="1" fillId="0" borderId="5" xfId="0" applyFont="1" applyBorder="1" applyAlignment="1">
      <alignment horizontal="center"/>
    </xf>
    <xf numFmtId="0" fontId="1" fillId="0" borderId="7" xfId="0" applyFont="1" applyBorder="1"/>
    <xf numFmtId="0" fontId="1" fillId="0" borderId="6" xfId="0" applyFont="1" applyBorder="1"/>
    <xf numFmtId="0" fontId="1" fillId="0" borderId="5" xfId="0" applyFont="1" applyBorder="1"/>
    <xf numFmtId="0" fontId="1" fillId="0" borderId="6" xfId="0" applyFont="1" applyBorder="1" applyAlignment="1">
      <alignment horizontal="center"/>
    </xf>
    <xf numFmtId="0" fontId="0" fillId="0" borderId="5" xfId="0" applyBorder="1"/>
    <xf numFmtId="0" fontId="0" fillId="0" borderId="6" xfId="0" applyBorder="1"/>
    <xf numFmtId="0" fontId="0" fillId="0" borderId="7" xfId="0" applyBorder="1"/>
    <xf numFmtId="0" fontId="1" fillId="0" borderId="0" xfId="0" applyFont="1" applyAlignment="1"/>
    <xf numFmtId="0" fontId="0" fillId="0" borderId="0" xfId="0" quotePrefix="1" applyBorder="1" applyAlignment="1">
      <alignment horizontal="left"/>
    </xf>
    <xf numFmtId="0" fontId="0" fillId="0" borderId="8" xfId="0" quotePrefix="1" applyBorder="1" applyAlignment="1">
      <alignment horizontal="left"/>
    </xf>
    <xf numFmtId="0" fontId="0" fillId="0" borderId="0" xfId="0" quotePrefix="1" applyBorder="1"/>
    <xf numFmtId="0" fontId="0" fillId="0" borderId="8" xfId="0" quotePrefix="1" applyBorder="1"/>
    <xf numFmtId="0" fontId="0" fillId="0" borderId="11" xfId="0" quotePrefix="1" applyBorder="1"/>
    <xf numFmtId="0" fontId="0" fillId="0" borderId="12" xfId="0" quotePrefix="1" applyBorder="1"/>
    <xf numFmtId="0" fontId="1" fillId="0" borderId="5" xfId="0" applyFont="1" applyBorder="1" applyAlignment="1">
      <alignment horizontal="left"/>
    </xf>
    <xf numFmtId="0" fontId="1" fillId="0" borderId="6" xfId="0" quotePrefix="1" applyFont="1" applyBorder="1"/>
    <xf numFmtId="0" fontId="1" fillId="0" borderId="7" xfId="0" quotePrefix="1" applyFont="1" applyBorder="1"/>
    <xf numFmtId="0" fontId="0" fillId="0" borderId="0" xfId="0" applyBorder="1" applyAlignment="1">
      <alignment horizontal="left"/>
    </xf>
    <xf numFmtId="2" fontId="0" fillId="0" borderId="0" xfId="0" quotePrefix="1" applyNumberFormat="1" applyBorder="1" applyAlignment="1">
      <alignment horizontal="left"/>
    </xf>
    <xf numFmtId="0" fontId="0" fillId="0" borderId="11" xfId="0" quotePrefix="1" applyBorder="1" applyAlignment="1">
      <alignment horizontal="left"/>
    </xf>
    <xf numFmtId="0" fontId="0" fillId="0" borderId="11" xfId="0" applyBorder="1" applyAlignment="1">
      <alignment horizontal="left"/>
    </xf>
    <xf numFmtId="0" fontId="0" fillId="0" borderId="12" xfId="0" quotePrefix="1" applyBorder="1" applyAlignment="1">
      <alignment horizontal="left"/>
    </xf>
    <xf numFmtId="0" fontId="1" fillId="0" borderId="6" xfId="0" applyFont="1" applyBorder="1" applyAlignment="1">
      <alignment horizontal="left"/>
    </xf>
    <xf numFmtId="0" fontId="1" fillId="0" borderId="6" xfId="0" quotePrefix="1" applyFont="1" applyBorder="1" applyAlignment="1">
      <alignment horizontal="left"/>
    </xf>
    <xf numFmtId="0" fontId="1" fillId="0" borderId="7" xfId="0" applyFont="1" applyBorder="1" applyAlignment="1">
      <alignment horizontal="left"/>
    </xf>
    <xf numFmtId="0" fontId="0" fillId="0" borderId="11" xfId="0" quotePrefix="1" applyBorder="1" applyAlignment="1"/>
    <xf numFmtId="0" fontId="0" fillId="0" borderId="0" xfId="0" applyBorder="1" applyAlignment="1">
      <alignment horizontal="center"/>
    </xf>
    <xf numFmtId="0" fontId="0" fillId="0" borderId="0" xfId="0" quotePrefix="1" applyBorder="1" applyAlignment="1">
      <alignment horizontal="center"/>
    </xf>
    <xf numFmtId="0" fontId="0" fillId="0" borderId="8" xfId="0" applyBorder="1" applyAlignment="1">
      <alignment horizontal="center"/>
    </xf>
    <xf numFmtId="0" fontId="0" fillId="0" borderId="11" xfId="0" applyBorder="1" applyAlignment="1">
      <alignment horizontal="center"/>
    </xf>
    <xf numFmtId="0" fontId="0" fillId="0" borderId="11" xfId="0" quotePrefix="1" applyBorder="1" applyAlignment="1">
      <alignment horizontal="center"/>
    </xf>
    <xf numFmtId="0" fontId="0" fillId="0" borderId="12" xfId="0" applyBorder="1" applyAlignment="1">
      <alignment horizontal="center"/>
    </xf>
    <xf numFmtId="0" fontId="0" fillId="0" borderId="0" xfId="0" quotePrefix="1" applyBorder="1" applyAlignment="1"/>
    <xf numFmtId="0" fontId="0" fillId="0" borderId="0" xfId="0" quotePrefix="1" applyFill="1" applyBorder="1"/>
    <xf numFmtId="0" fontId="0" fillId="0" borderId="8" xfId="0" quotePrefix="1" applyFill="1" applyBorder="1"/>
    <xf numFmtId="0" fontId="0" fillId="0" borderId="11" xfId="0" quotePrefix="1" applyFill="1" applyBorder="1"/>
    <xf numFmtId="0" fontId="1" fillId="0" borderId="6" xfId="0" quotePrefix="1" applyFont="1" applyBorder="1" applyAlignment="1"/>
    <xf numFmtId="0" fontId="1" fillId="0" borderId="6" xfId="0" applyFont="1" applyBorder="1" applyAlignment="1"/>
    <xf numFmtId="0" fontId="0" fillId="0" borderId="0" xfId="0" applyFill="1" applyBorder="1" applyAlignment="1">
      <alignment horizontal="right"/>
    </xf>
    <xf numFmtId="0" fontId="0" fillId="0" borderId="0" xfId="0" quotePrefix="1" applyFill="1" applyBorder="1" applyAlignment="1"/>
    <xf numFmtId="0" fontId="0" fillId="0" borderId="0" xfId="0" applyFill="1" applyBorder="1" applyAlignment="1"/>
    <xf numFmtId="0" fontId="0" fillId="0" borderId="1" xfId="0" applyFill="1" applyBorder="1"/>
    <xf numFmtId="0" fontId="0" fillId="0" borderId="4" xfId="0" quotePrefix="1" applyBorder="1" applyAlignment="1">
      <alignment horizontal="center"/>
    </xf>
    <xf numFmtId="0" fontId="0" fillId="0" borderId="10" xfId="0" quotePrefix="1" applyBorder="1" applyAlignment="1">
      <alignment horizontal="center"/>
    </xf>
    <xf numFmtId="0" fontId="0" fillId="0" borderId="11" xfId="0" quotePrefix="1" applyFill="1" applyBorder="1" applyAlignment="1"/>
    <xf numFmtId="0" fontId="0" fillId="0" borderId="11" xfId="0" applyFill="1" applyBorder="1"/>
    <xf numFmtId="0" fontId="0" fillId="0" borderId="6" xfId="0" quotePrefix="1" applyBorder="1" applyAlignment="1"/>
    <xf numFmtId="0" fontId="1" fillId="0" borderId="5" xfId="0" quotePrefix="1" applyFont="1" applyFill="1" applyBorder="1" applyAlignment="1">
      <alignment horizontal="center"/>
    </xf>
    <xf numFmtId="0" fontId="1" fillId="0" borderId="6" xfId="0" applyFont="1" applyFill="1" applyBorder="1"/>
    <xf numFmtId="0" fontId="68" fillId="0" borderId="8" xfId="0" applyFont="1" applyBorder="1"/>
    <xf numFmtId="0" fontId="68" fillId="0" borderId="12" xfId="0" applyFont="1" applyBorder="1"/>
    <xf numFmtId="0" fontId="1" fillId="0" borderId="5" xfId="0" applyFont="1" applyFill="1" applyBorder="1"/>
    <xf numFmtId="0" fontId="69" fillId="0" borderId="0" xfId="0" applyFont="1"/>
    <xf numFmtId="0" fontId="0" fillId="0" borderId="0" xfId="0" quotePrefix="1" applyFill="1" applyBorder="1" applyAlignment="1">
      <alignment horizontal="left"/>
    </xf>
    <xf numFmtId="0" fontId="1" fillId="0" borderId="6" xfId="0" quotePrefix="1" applyFont="1" applyFill="1" applyBorder="1" applyAlignment="1">
      <alignment horizontal="left"/>
    </xf>
    <xf numFmtId="0" fontId="1" fillId="0" borderId="7" xfId="0" quotePrefix="1" applyFont="1" applyBorder="1" applyAlignment="1">
      <alignment horizontal="left"/>
    </xf>
    <xf numFmtId="3" fontId="0" fillId="0" borderId="0" xfId="0" quotePrefix="1" applyNumberFormat="1" applyBorder="1"/>
    <xf numFmtId="3" fontId="0" fillId="0" borderId="8" xfId="0" quotePrefix="1" applyNumberFormat="1" applyBorder="1"/>
    <xf numFmtId="0" fontId="0" fillId="0" borderId="2" xfId="0" quotePrefix="1" applyBorder="1"/>
    <xf numFmtId="0" fontId="0" fillId="0" borderId="3" xfId="0" quotePrefix="1" applyBorder="1"/>
    <xf numFmtId="0" fontId="1" fillId="0" borderId="6" xfId="0" quotePrefix="1" applyFont="1" applyFill="1" applyBorder="1"/>
    <xf numFmtId="0" fontId="1" fillId="0" borderId="7" xfId="0" quotePrefix="1" applyFont="1" applyFill="1" applyBorder="1"/>
    <xf numFmtId="0" fontId="0" fillId="0" borderId="1" xfId="0" applyBorder="1" applyAlignment="1">
      <alignment horizontal="right"/>
    </xf>
    <xf numFmtId="0" fontId="0" fillId="0" borderId="4" xfId="0" applyBorder="1" applyAlignment="1">
      <alignment horizontal="right"/>
    </xf>
    <xf numFmtId="0" fontId="0" fillId="0" borderId="10" xfId="0" applyBorder="1" applyAlignment="1">
      <alignment horizontal="right"/>
    </xf>
    <xf numFmtId="0" fontId="0" fillId="0" borderId="4" xfId="0" applyFill="1" applyBorder="1" applyAlignment="1"/>
    <xf numFmtId="0" fontId="0" fillId="0" borderId="7" xfId="0" applyBorder="1" applyAlignment="1">
      <alignment horizontal="right"/>
    </xf>
    <xf numFmtId="0" fontId="1" fillId="0" borderId="2" xfId="0" applyFont="1" applyFill="1" applyBorder="1" applyAlignment="1">
      <alignment horizontal="right"/>
    </xf>
    <xf numFmtId="0" fontId="0" fillId="0" borderId="4" xfId="0" applyFill="1" applyBorder="1"/>
    <xf numFmtId="0" fontId="0" fillId="0" borderId="4" xfId="0" applyFill="1" applyBorder="1" applyAlignment="1">
      <alignment horizontal="left" indent="2"/>
    </xf>
    <xf numFmtId="0" fontId="0" fillId="0" borderId="10" xfId="0" applyFill="1" applyBorder="1" applyAlignment="1">
      <alignment horizontal="left" indent="2"/>
    </xf>
    <xf numFmtId="0" fontId="1" fillId="0" borderId="6" xfId="0" quotePrefix="1" applyFont="1" applyFill="1" applyBorder="1" applyAlignment="1"/>
    <xf numFmtId="0" fontId="1" fillId="0" borderId="5" xfId="0" applyFont="1" applyBorder="1" applyAlignment="1">
      <alignment horizontal="center"/>
    </xf>
    <xf numFmtId="0" fontId="1" fillId="0" borderId="6" xfId="0" applyFont="1" applyBorder="1" applyAlignment="1">
      <alignment horizontal="center"/>
    </xf>
    <xf numFmtId="0" fontId="0" fillId="0" borderId="2" xfId="0" applyBorder="1"/>
    <xf numFmtId="0" fontId="0" fillId="0" borderId="3" xfId="0" applyBorder="1"/>
    <xf numFmtId="0" fontId="0" fillId="0" borderId="11" xfId="0" applyBorder="1"/>
    <xf numFmtId="0" fontId="0" fillId="0" borderId="12" xfId="0" applyBorder="1"/>
    <xf numFmtId="1" fontId="11" fillId="0" borderId="0" xfId="2" applyNumberFormat="1"/>
    <xf numFmtId="49" fontId="11" fillId="0" borderId="0" xfId="2" applyNumberFormat="1"/>
    <xf numFmtId="49" fontId="0" fillId="0" borderId="0" xfId="0" applyNumberFormat="1"/>
    <xf numFmtId="21" fontId="0" fillId="0" borderId="0" xfId="0" applyNumberFormat="1"/>
    <xf numFmtId="0" fontId="1" fillId="0" borderId="0" xfId="0" applyFont="1" applyAlignment="1">
      <alignment horizontal="center"/>
    </xf>
    <xf numFmtId="49" fontId="2" fillId="3" borderId="9" xfId="2" applyNumberFormat="1" applyFont="1" applyFill="1" applyBorder="1" applyAlignment="1" applyProtection="1">
      <protection locked="0"/>
    </xf>
    <xf numFmtId="0" fontId="16" fillId="0" borderId="0" xfId="2" applyFont="1" applyAlignment="1">
      <alignment horizontal="center"/>
    </xf>
    <xf numFmtId="49" fontId="11" fillId="0" borderId="68" xfId="2" applyNumberFormat="1" applyBorder="1"/>
    <xf numFmtId="0" fontId="2" fillId="6" borderId="7" xfId="2" applyNumberFormat="1" applyFont="1" applyFill="1" applyBorder="1" applyAlignment="1" applyProtection="1">
      <alignment horizontal="center"/>
      <protection locked="0"/>
    </xf>
    <xf numFmtId="0" fontId="0" fillId="36" borderId="0" xfId="0" applyFill="1"/>
    <xf numFmtId="0" fontId="0" fillId="0" borderId="0" xfId="0" applyFill="1"/>
    <xf numFmtId="0" fontId="32" fillId="0" borderId="0" xfId="2" applyFont="1" applyFill="1"/>
    <xf numFmtId="2" fontId="0" fillId="30" borderId="0" xfId="0" applyNumberFormat="1" applyFill="1"/>
    <xf numFmtId="0" fontId="11" fillId="0" borderId="0" xfId="2" applyFill="1" applyAlignment="1">
      <alignment horizontal="left"/>
    </xf>
    <xf numFmtId="0" fontId="0" fillId="12" borderId="0" xfId="0" applyFill="1"/>
    <xf numFmtId="0" fontId="11" fillId="0" borderId="0" xfId="2" applyNumberFormat="1" applyAlignment="1">
      <alignment horizontal="center"/>
    </xf>
    <xf numFmtId="0" fontId="11" fillId="0" borderId="0" xfId="2" applyNumberFormat="1"/>
    <xf numFmtId="0" fontId="3" fillId="0" borderId="48" xfId="3" applyFont="1" applyBorder="1" applyAlignment="1">
      <alignment horizontal="center" vertical="center" wrapText="1"/>
    </xf>
    <xf numFmtId="172" fontId="14" fillId="0" borderId="48" xfId="3" applyNumberFormat="1" applyFont="1" applyBorder="1" applyAlignment="1">
      <alignment horizontal="left" vertical="center"/>
    </xf>
    <xf numFmtId="0" fontId="14" fillId="0" borderId="48" xfId="3" applyFont="1" applyBorder="1" applyAlignment="1">
      <alignment horizontal="left" vertical="center"/>
    </xf>
    <xf numFmtId="0" fontId="6" fillId="0" borderId="69" xfId="3" applyFont="1" applyBorder="1" applyAlignment="1">
      <alignment vertical="center"/>
    </xf>
    <xf numFmtId="0" fontId="6" fillId="0" borderId="70" xfId="3" applyFont="1" applyBorder="1" applyAlignment="1">
      <alignment vertical="center"/>
    </xf>
    <xf numFmtId="0" fontId="21" fillId="0" borderId="69" xfId="3" applyFont="1" applyBorder="1" applyAlignment="1">
      <alignment vertical="center"/>
    </xf>
    <xf numFmtId="0" fontId="21" fillId="0" borderId="70" xfId="3" applyFont="1" applyBorder="1" applyAlignment="1">
      <alignment vertical="center"/>
    </xf>
    <xf numFmtId="0" fontId="14" fillId="0" borderId="0" xfId="3" applyFont="1" applyBorder="1" applyAlignment="1">
      <alignment horizontal="justify" vertical="top" wrapText="1"/>
    </xf>
    <xf numFmtId="20" fontId="0" fillId="0" borderId="0" xfId="0" applyNumberFormat="1"/>
    <xf numFmtId="172" fontId="0" fillId="33" borderId="0" xfId="0" applyNumberFormat="1" applyFill="1"/>
    <xf numFmtId="20" fontId="0" fillId="33" borderId="0" xfId="0" applyNumberFormat="1" applyFill="1"/>
    <xf numFmtId="0" fontId="11" fillId="0" borderId="71" xfId="2" applyBorder="1"/>
    <xf numFmtId="0" fontId="2" fillId="2" borderId="1" xfId="2" applyFont="1" applyFill="1" applyBorder="1"/>
    <xf numFmtId="0" fontId="2" fillId="2" borderId="2" xfId="2" applyFont="1" applyFill="1" applyBorder="1"/>
    <xf numFmtId="0" fontId="2" fillId="2" borderId="3" xfId="2" applyFont="1" applyFill="1" applyBorder="1" applyAlignment="1">
      <alignment horizontal="right"/>
    </xf>
    <xf numFmtId="0" fontId="2" fillId="2" borderId="4" xfId="2" applyFont="1" applyFill="1" applyBorder="1"/>
    <xf numFmtId="0" fontId="2" fillId="2" borderId="0" xfId="2" applyFont="1" applyFill="1" applyBorder="1"/>
    <xf numFmtId="0" fontId="2" fillId="2" borderId="0" xfId="2" applyFont="1" applyFill="1" applyBorder="1" applyAlignment="1">
      <alignment horizontal="right" vertical="center"/>
    </xf>
    <xf numFmtId="0" fontId="2" fillId="2" borderId="8" xfId="2" applyFont="1" applyFill="1" applyBorder="1"/>
    <xf numFmtId="0" fontId="2" fillId="2" borderId="0" xfId="2" applyFont="1" applyFill="1"/>
    <xf numFmtId="0" fontId="2" fillId="2" borderId="8" xfId="2" applyFont="1" applyFill="1" applyBorder="1" applyAlignment="1"/>
    <xf numFmtId="0" fontId="4" fillId="2" borderId="3" xfId="2" applyFont="1" applyFill="1" applyBorder="1" applyAlignment="1">
      <alignment horizontal="right"/>
    </xf>
    <xf numFmtId="0" fontId="4" fillId="2" borderId="0" xfId="2" applyFont="1" applyFill="1" applyBorder="1" applyAlignment="1">
      <alignment vertical="top" wrapText="1"/>
    </xf>
    <xf numFmtId="0" fontId="6" fillId="2" borderId="0" xfId="2" applyFont="1" applyFill="1" applyBorder="1" applyAlignment="1">
      <alignment horizontal="right" vertical="center"/>
    </xf>
    <xf numFmtId="0" fontId="5" fillId="2" borderId="0" xfId="1" applyFill="1" applyBorder="1" applyAlignment="1" applyProtection="1"/>
    <xf numFmtId="0" fontId="5" fillId="2" borderId="0" xfId="1" applyFill="1" applyAlignment="1" applyProtection="1"/>
    <xf numFmtId="0" fontId="5" fillId="2" borderId="4" xfId="1" applyFill="1" applyBorder="1" applyAlignment="1" applyProtection="1"/>
    <xf numFmtId="0" fontId="6" fillId="2" borderId="0" xfId="2" applyFont="1" applyFill="1" applyBorder="1" applyAlignment="1">
      <alignment vertical="top"/>
    </xf>
    <xf numFmtId="0" fontId="2" fillId="2" borderId="2" xfId="2" applyFont="1" applyFill="1" applyBorder="1" applyAlignment="1">
      <alignment horizontal="left"/>
    </xf>
    <xf numFmtId="0" fontId="2" fillId="2" borderId="3" xfId="2" applyFont="1" applyFill="1" applyBorder="1" applyAlignment="1">
      <alignment horizontal="left"/>
    </xf>
    <xf numFmtId="0" fontId="2" fillId="2" borderId="0" xfId="2" applyFont="1" applyFill="1" applyBorder="1" applyAlignment="1"/>
    <xf numFmtId="0" fontId="8" fillId="2" borderId="8" xfId="2" applyFont="1" applyFill="1" applyBorder="1" applyAlignment="1">
      <alignment horizontal="right" vertical="top"/>
    </xf>
    <xf numFmtId="0" fontId="2" fillId="2" borderId="0" xfId="2" applyFont="1" applyFill="1" applyBorder="1" applyAlignment="1">
      <alignment horizontal="left"/>
    </xf>
    <xf numFmtId="0" fontId="2" fillId="2" borderId="8" xfId="2" applyFont="1" applyFill="1" applyBorder="1" applyAlignment="1">
      <alignment horizontal="left"/>
    </xf>
    <xf numFmtId="0" fontId="2" fillId="2" borderId="10" xfId="2" applyFont="1" applyFill="1" applyBorder="1"/>
    <xf numFmtId="0" fontId="2" fillId="2" borderId="11" xfId="2" applyFont="1" applyFill="1" applyBorder="1"/>
    <xf numFmtId="0" fontId="2" fillId="2" borderId="12" xfId="2" applyFont="1" applyFill="1" applyBorder="1"/>
    <xf numFmtId="0" fontId="7" fillId="0" borderId="9" xfId="2" applyFont="1" applyFill="1" applyBorder="1" applyAlignment="1" applyProtection="1">
      <alignment horizontal="center" vertical="center"/>
      <protection locked="0"/>
    </xf>
    <xf numFmtId="0" fontId="5" fillId="2" borderId="2" xfId="1" applyFill="1" applyBorder="1" applyAlignment="1" applyProtection="1">
      <alignment vertical="top"/>
    </xf>
    <xf numFmtId="0" fontId="2" fillId="0" borderId="9" xfId="2" applyFont="1" applyFill="1" applyBorder="1" applyAlignment="1" applyProtection="1">
      <alignment horizontal="center" vertical="center"/>
      <protection locked="0"/>
    </xf>
    <xf numFmtId="0" fontId="2" fillId="0" borderId="71" xfId="2" applyFont="1" applyFill="1" applyBorder="1" applyAlignment="1" applyProtection="1">
      <alignment vertical="center"/>
      <protection locked="0"/>
    </xf>
    <xf numFmtId="0" fontId="2" fillId="2" borderId="0" xfId="2" applyFont="1" applyFill="1" applyBorder="1" applyAlignment="1">
      <alignment horizontal="center" vertical="center"/>
    </xf>
    <xf numFmtId="0" fontId="5" fillId="2" borderId="0" xfId="1" applyFill="1" applyBorder="1" applyAlignment="1" applyProtection="1">
      <alignment vertical="center"/>
    </xf>
    <xf numFmtId="0" fontId="2" fillId="0" borderId="71" xfId="2" applyFont="1" applyBorder="1" applyAlignment="1">
      <alignment horizontal="center" vertical="center"/>
    </xf>
    <xf numFmtId="0" fontId="2" fillId="0" borderId="0" xfId="2" applyFont="1" applyAlignment="1">
      <alignment horizontal="center"/>
    </xf>
    <xf numFmtId="0" fontId="2" fillId="0" borderId="0" xfId="2" applyFont="1" applyAlignment="1">
      <alignment horizontal="right"/>
    </xf>
    <xf numFmtId="0" fontId="2" fillId="0" borderId="71" xfId="2" applyFont="1" applyBorder="1" applyAlignment="1" applyProtection="1">
      <alignment vertical="center"/>
      <protection locked="0"/>
    </xf>
    <xf numFmtId="0" fontId="2" fillId="0" borderId="71" xfId="2" applyFont="1" applyBorder="1" applyProtection="1">
      <protection locked="0"/>
    </xf>
    <xf numFmtId="0" fontId="10" fillId="2" borderId="0" xfId="1" applyFont="1" applyFill="1" applyBorder="1" applyAlignment="1" applyProtection="1">
      <alignment vertical="center"/>
    </xf>
    <xf numFmtId="164" fontId="11" fillId="0" borderId="0" xfId="2" applyNumberFormat="1"/>
    <xf numFmtId="164" fontId="2" fillId="3" borderId="7" xfId="2" applyNumberFormat="1" applyFont="1" applyFill="1" applyBorder="1" applyAlignment="1" applyProtection="1">
      <protection locked="0"/>
    </xf>
    <xf numFmtId="0" fontId="9" fillId="2" borderId="0" xfId="2" applyFont="1" applyFill="1" applyBorder="1" applyAlignment="1">
      <alignment horizontal="left" vertical="center" indent="3"/>
    </xf>
    <xf numFmtId="0" fontId="12" fillId="0" borderId="0" xfId="2" applyFont="1" applyFill="1" applyBorder="1" applyAlignment="1">
      <alignment horizontal="justify" vertical="center" wrapText="1"/>
    </xf>
    <xf numFmtId="0" fontId="11" fillId="0" borderId="0" xfId="2" applyFont="1" applyFill="1" applyBorder="1" applyAlignment="1">
      <alignment horizontal="center" vertical="center" wrapText="1"/>
    </xf>
    <xf numFmtId="0" fontId="24" fillId="0" borderId="0" xfId="2" applyFont="1" applyFill="1" applyBorder="1" applyAlignment="1">
      <alignment horizontal="center" vertical="center" wrapText="1"/>
    </xf>
    <xf numFmtId="0" fontId="47" fillId="0" borderId="0" xfId="0" applyFont="1" applyAlignment="1">
      <alignment horizontal="justify" vertical="center" wrapText="1"/>
    </xf>
    <xf numFmtId="0" fontId="34" fillId="0" borderId="0" xfId="2" applyFont="1" applyAlignment="1" applyProtection="1">
      <alignment horizontal="center" vertical="center" wrapText="1"/>
    </xf>
    <xf numFmtId="0" fontId="3" fillId="0" borderId="0" xfId="2" applyFont="1" applyAlignment="1">
      <alignment horizontal="center" vertical="center" wrapText="1"/>
    </xf>
    <xf numFmtId="0" fontId="55" fillId="0" borderId="0" xfId="2" applyFont="1" applyAlignment="1">
      <alignment horizontal="center"/>
    </xf>
    <xf numFmtId="0" fontId="3" fillId="0" borderId="0" xfId="2" applyFont="1" applyAlignment="1">
      <alignment horizontal="justify" vertical="center" wrapText="1"/>
    </xf>
    <xf numFmtId="0" fontId="12" fillId="0" borderId="0" xfId="2" applyFont="1" applyAlignment="1">
      <alignment horizontal="justify" vertical="top" wrapText="1"/>
    </xf>
    <xf numFmtId="0" fontId="21" fillId="0" borderId="0" xfId="2" applyFont="1" applyAlignment="1">
      <alignment horizontal="justify" vertical="center" wrapText="1"/>
    </xf>
    <xf numFmtId="0" fontId="12" fillId="0" borderId="0" xfId="2" applyNumberFormat="1" applyFont="1" applyAlignment="1">
      <alignment horizontal="justify" vertical="top" wrapText="1"/>
    </xf>
    <xf numFmtId="0" fontId="22" fillId="0" borderId="0" xfId="2" applyFont="1" applyAlignment="1">
      <alignment horizontal="left"/>
    </xf>
    <xf numFmtId="165" fontId="20" fillId="0" borderId="18" xfId="3" applyNumberFormat="1" applyFont="1" applyFill="1" applyBorder="1" applyAlignment="1" applyProtection="1">
      <alignment horizontal="center" vertical="center"/>
      <protection locked="0"/>
    </xf>
    <xf numFmtId="0" fontId="16" fillId="0" borderId="18" xfId="2" applyFont="1" applyBorder="1" applyAlignment="1" applyProtection="1">
      <alignment horizontal="center" vertical="center"/>
      <protection locked="0"/>
    </xf>
    <xf numFmtId="0" fontId="20" fillId="0" borderId="18" xfId="3" applyNumberFormat="1" applyFont="1" applyFill="1" applyBorder="1" applyAlignment="1" applyProtection="1">
      <alignment horizontal="center" vertical="center"/>
      <protection locked="0"/>
    </xf>
    <xf numFmtId="0" fontId="16" fillId="0" borderId="19" xfId="2" applyNumberFormat="1" applyFont="1" applyBorder="1" applyAlignment="1" applyProtection="1">
      <alignment horizontal="center" vertical="center"/>
      <protection locked="0"/>
    </xf>
    <xf numFmtId="0" fontId="18" fillId="0" borderId="0" xfId="3" applyFont="1" applyFill="1" applyBorder="1" applyAlignment="1">
      <alignment horizontal="right" vertical="top"/>
    </xf>
    <xf numFmtId="0" fontId="18" fillId="0" borderId="16" xfId="3" applyFont="1" applyFill="1" applyBorder="1" applyAlignment="1">
      <alignment horizontal="right" vertical="top"/>
    </xf>
    <xf numFmtId="14" fontId="14" fillId="0" borderId="0" xfId="2" applyNumberFormat="1" applyFont="1" applyAlignment="1">
      <alignment horizontal="right"/>
    </xf>
    <xf numFmtId="14" fontId="70" fillId="12" borderId="0" xfId="2" applyNumberFormat="1" applyFont="1" applyFill="1" applyAlignment="1">
      <alignment horizontal="right"/>
    </xf>
    <xf numFmtId="14" fontId="14" fillId="12" borderId="0" xfId="2" applyNumberFormat="1" applyFont="1" applyFill="1" applyAlignment="1">
      <alignment horizontal="right"/>
    </xf>
    <xf numFmtId="169" fontId="14" fillId="0" borderId="0" xfId="2" applyNumberFormat="1" applyFont="1" applyAlignment="1">
      <alignment horizontal="left"/>
    </xf>
    <xf numFmtId="0" fontId="29" fillId="14" borderId="27" xfId="3" applyFont="1" applyFill="1" applyBorder="1" applyAlignment="1">
      <alignment horizontal="center" vertical="center"/>
    </xf>
    <xf numFmtId="0" fontId="29" fillId="14" borderId="28" xfId="3" applyFont="1" applyFill="1" applyBorder="1" applyAlignment="1">
      <alignment horizontal="center" vertical="center"/>
    </xf>
    <xf numFmtId="0" fontId="14" fillId="0" borderId="11" xfId="3" applyFont="1" applyFill="1" applyBorder="1" applyAlignment="1">
      <alignment horizontal="left"/>
    </xf>
    <xf numFmtId="0" fontId="14" fillId="0" borderId="12" xfId="3" applyFont="1" applyFill="1" applyBorder="1" applyAlignment="1">
      <alignment horizontal="left"/>
    </xf>
    <xf numFmtId="0" fontId="26" fillId="0" borderId="1" xfId="3" applyFont="1" applyFill="1" applyBorder="1" applyAlignment="1">
      <alignment horizontal="center" vertical="center"/>
    </xf>
    <xf numFmtId="0" fontId="26" fillId="0" borderId="2" xfId="3" applyFont="1" applyFill="1" applyBorder="1" applyAlignment="1">
      <alignment horizontal="center" vertical="center"/>
    </xf>
    <xf numFmtId="0" fontId="26" fillId="0" borderId="3" xfId="3" applyFont="1" applyFill="1" applyBorder="1" applyAlignment="1">
      <alignment horizontal="center" vertical="center"/>
    </xf>
    <xf numFmtId="165" fontId="14" fillId="0" borderId="11" xfId="3" applyNumberFormat="1" applyFont="1" applyFill="1" applyBorder="1" applyAlignment="1">
      <alignment horizontal="left"/>
    </xf>
    <xf numFmtId="165" fontId="14" fillId="0" borderId="12" xfId="3" applyNumberFormat="1" applyFont="1" applyFill="1" applyBorder="1" applyAlignment="1">
      <alignment horizontal="left"/>
    </xf>
    <xf numFmtId="0" fontId="18" fillId="0" borderId="0" xfId="2" applyFont="1" applyAlignment="1" applyProtection="1">
      <alignment horizontal="right" vertical="center"/>
    </xf>
    <xf numFmtId="0" fontId="11" fillId="0" borderId="0" xfId="2" applyAlignment="1" applyProtection="1"/>
    <xf numFmtId="0" fontId="31" fillId="0" borderId="0" xfId="3" applyFont="1" applyBorder="1" applyAlignment="1">
      <alignment vertical="center" wrapText="1"/>
    </xf>
    <xf numFmtId="0" fontId="11" fillId="0" borderId="0" xfId="2" applyFont="1" applyBorder="1" applyAlignment="1">
      <alignment vertical="center"/>
    </xf>
    <xf numFmtId="0" fontId="14" fillId="0" borderId="43" xfId="3" applyFont="1" applyBorder="1" applyAlignment="1">
      <alignment horizontal="center" vertical="top" wrapText="1"/>
    </xf>
    <xf numFmtId="0" fontId="14" fillId="0" borderId="0" xfId="3" applyFont="1" applyBorder="1" applyAlignment="1">
      <alignment horizontal="center" vertical="top" wrapText="1"/>
    </xf>
    <xf numFmtId="0" fontId="14" fillId="0" borderId="20" xfId="3" applyFont="1" applyBorder="1" applyAlignment="1">
      <alignment horizontal="center" vertical="top" wrapText="1"/>
    </xf>
    <xf numFmtId="0" fontId="14" fillId="0" borderId="50" xfId="3" applyFont="1" applyBorder="1" applyAlignment="1">
      <alignment horizontal="center" vertical="top" wrapText="1"/>
    </xf>
    <xf numFmtId="0" fontId="14" fillId="0" borderId="16" xfId="3" applyFont="1" applyBorder="1" applyAlignment="1">
      <alignment horizontal="center" vertical="top" wrapText="1"/>
    </xf>
    <xf numFmtId="0" fontId="14" fillId="0" borderId="49" xfId="3" applyFont="1" applyBorder="1" applyAlignment="1">
      <alignment horizontal="center" vertical="top" wrapText="1"/>
    </xf>
    <xf numFmtId="0" fontId="26" fillId="0" borderId="57" xfId="3" applyFont="1" applyBorder="1" applyAlignment="1">
      <alignment horizontal="center" vertical="center"/>
    </xf>
    <xf numFmtId="0" fontId="26" fillId="0" borderId="58" xfId="3" applyFont="1" applyBorder="1" applyAlignment="1">
      <alignment horizontal="center" vertical="center"/>
    </xf>
    <xf numFmtId="0" fontId="26" fillId="0" borderId="56" xfId="3" applyFont="1" applyBorder="1" applyAlignment="1">
      <alignment horizontal="center" vertical="center"/>
    </xf>
    <xf numFmtId="0" fontId="31" fillId="0" borderId="18" xfId="3" applyNumberFormat="1" applyFont="1" applyFill="1" applyBorder="1" applyAlignment="1">
      <alignment vertical="center" wrapText="1"/>
    </xf>
    <xf numFmtId="14" fontId="31" fillId="0" borderId="18" xfId="3" applyNumberFormat="1" applyFont="1" applyBorder="1" applyAlignment="1">
      <alignment vertical="center" wrapText="1"/>
    </xf>
    <xf numFmtId="14" fontId="31" fillId="0" borderId="65" xfId="3" applyNumberFormat="1" applyFont="1" applyBorder="1" applyAlignment="1">
      <alignment vertical="center" wrapText="1"/>
    </xf>
    <xf numFmtId="0" fontId="31" fillId="0" borderId="18" xfId="3" applyNumberFormat="1" applyFont="1" applyBorder="1" applyAlignment="1">
      <alignment vertical="center" wrapText="1"/>
    </xf>
    <xf numFmtId="0" fontId="31" fillId="0" borderId="18" xfId="3" applyNumberFormat="1" applyFont="1" applyBorder="1" applyAlignment="1">
      <alignment vertical="center"/>
    </xf>
    <xf numFmtId="0" fontId="31" fillId="0" borderId="16" xfId="3" applyNumberFormat="1" applyFont="1" applyBorder="1" applyAlignment="1">
      <alignment vertical="center"/>
    </xf>
    <xf numFmtId="0" fontId="31" fillId="0" borderId="22" xfId="3" applyFont="1" applyFill="1" applyBorder="1" applyAlignment="1">
      <alignment vertical="center" wrapText="1"/>
    </xf>
    <xf numFmtId="0" fontId="11" fillId="0" borderId="22" xfId="2" applyFont="1" applyFill="1" applyBorder="1" applyAlignment="1">
      <alignment vertical="center"/>
    </xf>
    <xf numFmtId="165" fontId="39" fillId="0" borderId="0" xfId="3" applyNumberFormat="1" applyFont="1" applyBorder="1" applyAlignment="1">
      <alignment horizontal="center" vertical="center"/>
    </xf>
    <xf numFmtId="0" fontId="14" fillId="0" borderId="16" xfId="3" applyFont="1" applyBorder="1" applyAlignment="1">
      <alignment horizontal="left" vertical="center" wrapText="1"/>
    </xf>
    <xf numFmtId="0" fontId="31" fillId="0" borderId="0" xfId="3" applyFont="1" applyBorder="1" applyAlignment="1">
      <alignment horizontal="left" vertical="center" wrapText="1"/>
    </xf>
    <xf numFmtId="0" fontId="14" fillId="0" borderId="22" xfId="3" applyFont="1" applyBorder="1" applyAlignment="1">
      <alignment vertical="top" wrapText="1"/>
    </xf>
    <xf numFmtId="0" fontId="14" fillId="0" borderId="0" xfId="3" applyFont="1" applyBorder="1" applyAlignment="1">
      <alignment vertical="top" wrapText="1"/>
    </xf>
    <xf numFmtId="0" fontId="14" fillId="0" borderId="48" xfId="3" applyFont="1" applyBorder="1" applyAlignment="1">
      <alignment vertical="top" wrapText="1"/>
    </xf>
    <xf numFmtId="0" fontId="31" fillId="0" borderId="16" xfId="3" applyNumberFormat="1" applyFont="1" applyBorder="1" applyAlignment="1">
      <alignment vertical="center" wrapText="1"/>
    </xf>
    <xf numFmtId="0" fontId="6" fillId="0" borderId="17" xfId="3" applyFont="1" applyBorder="1" applyAlignment="1">
      <alignment horizontal="left" vertical="center"/>
    </xf>
    <xf numFmtId="0" fontId="6" fillId="0" borderId="18" xfId="3" applyFont="1" applyBorder="1" applyAlignment="1">
      <alignment horizontal="left" vertical="center"/>
    </xf>
    <xf numFmtId="0" fontId="26" fillId="0" borderId="0" xfId="3" applyFont="1" applyBorder="1" applyAlignment="1">
      <alignment horizontal="center" vertical="center" textRotation="90"/>
    </xf>
    <xf numFmtId="0" fontId="6" fillId="0" borderId="21" xfId="3" applyFont="1" applyBorder="1" applyAlignment="1">
      <alignment horizontal="left" vertical="center"/>
    </xf>
    <xf numFmtId="0" fontId="6" fillId="0" borderId="22" xfId="3" applyFont="1" applyBorder="1" applyAlignment="1">
      <alignment horizontal="left" vertical="center"/>
    </xf>
    <xf numFmtId="0" fontId="6" fillId="0" borderId="50" xfId="3" applyFont="1" applyBorder="1" applyAlignment="1">
      <alignment horizontal="left" vertical="center"/>
    </xf>
    <xf numFmtId="0" fontId="6" fillId="0" borderId="16" xfId="3" applyFont="1" applyBorder="1" applyAlignment="1">
      <alignment horizontal="left" vertical="center"/>
    </xf>
    <xf numFmtId="0" fontId="31" fillId="0" borderId="0" xfId="3" applyNumberFormat="1" applyFont="1" applyBorder="1" applyAlignment="1">
      <alignment vertical="center"/>
    </xf>
    <xf numFmtId="0" fontId="40" fillId="0" borderId="0" xfId="3" applyFont="1" applyBorder="1" applyAlignment="1">
      <alignment horizontal="center" vertical="center"/>
    </xf>
    <xf numFmtId="0" fontId="8" fillId="0" borderId="0" xfId="3" applyFont="1" applyBorder="1" applyAlignment="1">
      <alignment horizontal="center" vertical="center"/>
    </xf>
    <xf numFmtId="0" fontId="20" fillId="0" borderId="0" xfId="3" applyFont="1" applyBorder="1" applyAlignment="1">
      <alignment horizontal="center" vertical="center"/>
    </xf>
    <xf numFmtId="0" fontId="38" fillId="0" borderId="0" xfId="3" applyFont="1" applyBorder="1" applyAlignment="1">
      <alignment horizontal="center" vertical="center" wrapText="1"/>
    </xf>
    <xf numFmtId="0" fontId="3" fillId="0" borderId="0" xfId="3" applyFont="1" applyBorder="1" applyAlignment="1">
      <alignment horizontal="center" vertical="center" wrapText="1"/>
    </xf>
    <xf numFmtId="165" fontId="62" fillId="0" borderId="55" xfId="3" applyNumberFormat="1" applyFont="1" applyBorder="1" applyAlignment="1">
      <alignment horizontal="center" vertical="center"/>
    </xf>
    <xf numFmtId="165" fontId="62" fillId="0" borderId="0" xfId="3" applyNumberFormat="1" applyFont="1" applyBorder="1" applyAlignment="1">
      <alignment horizontal="center" vertical="center"/>
    </xf>
    <xf numFmtId="0" fontId="54" fillId="0" borderId="0" xfId="3" applyFont="1" applyBorder="1" applyAlignment="1">
      <alignment vertical="center"/>
    </xf>
    <xf numFmtId="0" fontId="53" fillId="0" borderId="16" xfId="3" applyFont="1" applyBorder="1" applyAlignment="1">
      <alignment horizontal="left" vertical="center" wrapText="1"/>
    </xf>
    <xf numFmtId="0" fontId="31" fillId="0" borderId="48" xfId="3" applyFont="1" applyBorder="1" applyAlignment="1">
      <alignment vertical="center" wrapText="1"/>
    </xf>
    <xf numFmtId="0" fontId="21" fillId="0" borderId="18" xfId="3" applyNumberFormat="1" applyFont="1" applyBorder="1" applyAlignment="1">
      <alignment vertical="center" wrapText="1"/>
    </xf>
    <xf numFmtId="0" fontId="20" fillId="0" borderId="0" xfId="3" applyFont="1" applyBorder="1" applyAlignment="1">
      <alignment horizontal="left" vertical="center"/>
    </xf>
    <xf numFmtId="0" fontId="31" fillId="0" borderId="22" xfId="3" applyFont="1" applyBorder="1" applyAlignment="1">
      <alignment vertical="center" wrapText="1"/>
    </xf>
    <xf numFmtId="0" fontId="26" fillId="0" borderId="21" xfId="3" applyFont="1" applyFill="1" applyBorder="1" applyAlignment="1">
      <alignment horizontal="center" vertical="center"/>
    </xf>
    <xf numFmtId="0" fontId="26" fillId="0" borderId="22" xfId="3" applyFont="1" applyFill="1" applyBorder="1" applyAlignment="1">
      <alignment horizontal="center" vertical="center"/>
    </xf>
    <xf numFmtId="0" fontId="26" fillId="0" borderId="23" xfId="3" applyFont="1" applyFill="1" applyBorder="1" applyAlignment="1">
      <alignment horizontal="center" vertical="center"/>
    </xf>
    <xf numFmtId="0" fontId="31" fillId="0" borderId="16" xfId="3" applyFont="1" applyBorder="1" applyAlignment="1">
      <alignment vertical="center" wrapText="1"/>
    </xf>
    <xf numFmtId="0" fontId="11" fillId="0" borderId="22" xfId="2" applyFont="1" applyBorder="1" applyAlignment="1">
      <alignment vertical="center"/>
    </xf>
    <xf numFmtId="0" fontId="21" fillId="0" borderId="16" xfId="3" applyNumberFormat="1" applyFont="1" applyBorder="1" applyAlignment="1">
      <alignment vertical="center"/>
    </xf>
    <xf numFmtId="0" fontId="21" fillId="0" borderId="18" xfId="3" applyNumberFormat="1" applyFont="1" applyBorder="1" applyAlignment="1">
      <alignment vertical="center"/>
    </xf>
    <xf numFmtId="0" fontId="21" fillId="0" borderId="0" xfId="3" applyNumberFormat="1" applyFont="1" applyBorder="1" applyAlignment="1">
      <alignment vertical="center"/>
    </xf>
    <xf numFmtId="0" fontId="31" fillId="0" borderId="0" xfId="3" applyFont="1" applyBorder="1" applyAlignment="1">
      <alignment horizontal="left" wrapText="1"/>
    </xf>
    <xf numFmtId="0" fontId="11" fillId="0" borderId="0" xfId="2" applyBorder="1" applyAlignment="1">
      <alignment horizontal="center"/>
    </xf>
    <xf numFmtId="0" fontId="3" fillId="0" borderId="48" xfId="3" applyFont="1" applyBorder="1" applyAlignment="1">
      <alignment horizontal="center" vertical="center" wrapText="1"/>
    </xf>
    <xf numFmtId="0" fontId="38" fillId="0" borderId="48" xfId="3" applyFont="1" applyBorder="1" applyAlignment="1">
      <alignment horizontal="center" vertical="center" wrapText="1"/>
    </xf>
    <xf numFmtId="0" fontId="34" fillId="0" borderId="8" xfId="2" applyFont="1" applyBorder="1" applyAlignment="1">
      <alignment horizontal="right" textRotation="90"/>
    </xf>
    <xf numFmtId="0" fontId="18" fillId="0" borderId="8" xfId="3" applyFont="1" applyFill="1" applyBorder="1" applyAlignment="1" applyProtection="1">
      <alignment horizontal="left" vertical="top" textRotation="90"/>
      <protection locked="0"/>
    </xf>
    <xf numFmtId="0" fontId="18" fillId="0" borderId="8" xfId="3" applyFont="1" applyFill="1" applyBorder="1" applyAlignment="1">
      <alignment horizontal="left" textRotation="90"/>
    </xf>
    <xf numFmtId="165" fontId="12" fillId="0" borderId="1" xfId="3" applyNumberFormat="1" applyFont="1" applyFill="1" applyBorder="1" applyAlignment="1">
      <alignment horizontal="left" vertical="top" wrapText="1"/>
    </xf>
    <xf numFmtId="0" fontId="12" fillId="0" borderId="3" xfId="3" applyNumberFormat="1" applyFont="1" applyFill="1" applyBorder="1" applyAlignment="1">
      <alignment horizontal="left" vertical="top" wrapText="1"/>
    </xf>
    <xf numFmtId="0" fontId="12" fillId="0" borderId="4" xfId="3" applyNumberFormat="1" applyFont="1" applyFill="1" applyBorder="1" applyAlignment="1">
      <alignment horizontal="left" vertical="top" wrapText="1"/>
    </xf>
    <xf numFmtId="0" fontId="12" fillId="0" borderId="8" xfId="3" applyNumberFormat="1" applyFont="1" applyFill="1" applyBorder="1" applyAlignment="1">
      <alignment horizontal="left" vertical="top" wrapText="1"/>
    </xf>
    <xf numFmtId="0" fontId="18" fillId="0" borderId="4" xfId="3" applyFont="1" applyFill="1" applyBorder="1" applyAlignment="1">
      <alignment horizontal="right" textRotation="180"/>
    </xf>
    <xf numFmtId="165" fontId="12" fillId="0" borderId="1" xfId="3" applyNumberFormat="1" applyFont="1" applyFill="1" applyBorder="1" applyAlignment="1">
      <alignment vertical="top" wrapText="1"/>
    </xf>
    <xf numFmtId="0" fontId="12" fillId="0" borderId="3" xfId="3" applyNumberFormat="1" applyFont="1" applyFill="1" applyBorder="1" applyAlignment="1">
      <alignment vertical="top" wrapText="1"/>
    </xf>
    <xf numFmtId="0" fontId="12" fillId="0" borderId="4" xfId="3" applyNumberFormat="1" applyFont="1" applyFill="1" applyBorder="1" applyAlignment="1">
      <alignment vertical="top" wrapText="1"/>
    </xf>
    <xf numFmtId="0" fontId="12" fillId="0" borderId="8" xfId="3" applyNumberFormat="1" applyFont="1" applyFill="1" applyBorder="1" applyAlignment="1">
      <alignment vertical="top" wrapText="1"/>
    </xf>
    <xf numFmtId="0" fontId="18" fillId="0" borderId="4" xfId="3" applyFont="1" applyFill="1" applyBorder="1" applyAlignment="1" applyProtection="1">
      <alignment horizontal="right" vertical="top" textRotation="180"/>
      <protection locked="0"/>
    </xf>
    <xf numFmtId="165" fontId="12" fillId="0" borderId="3" xfId="3" applyNumberFormat="1" applyFont="1" applyFill="1" applyBorder="1" applyAlignment="1">
      <alignment horizontal="left" vertical="top" wrapText="1"/>
    </xf>
    <xf numFmtId="165" fontId="12" fillId="0" borderId="4" xfId="3" applyNumberFormat="1" applyFont="1" applyFill="1" applyBorder="1" applyAlignment="1">
      <alignment horizontal="left" vertical="top" wrapText="1"/>
    </xf>
    <xf numFmtId="165" fontId="12" fillId="0" borderId="8" xfId="3" applyNumberFormat="1" applyFont="1" applyFill="1" applyBorder="1" applyAlignment="1">
      <alignment horizontal="left" vertical="top" wrapText="1"/>
    </xf>
    <xf numFmtId="0" fontId="34" fillId="0" borderId="4" xfId="2" applyFont="1" applyBorder="1" applyAlignment="1">
      <alignment horizontal="left" textRotation="180"/>
    </xf>
    <xf numFmtId="0" fontId="63" fillId="0" borderId="67" xfId="0" applyFont="1" applyBorder="1" applyAlignment="1">
      <alignment horizontal="center"/>
    </xf>
    <xf numFmtId="0" fontId="64" fillId="0" borderId="0" xfId="0" applyFont="1" applyAlignment="1">
      <alignment horizontal="center" vertical="top"/>
    </xf>
    <xf numFmtId="0" fontId="57" fillId="0" borderId="0" xfId="3" applyFont="1" applyFill="1" applyBorder="1" applyAlignment="1">
      <alignment horizontal="right" vertical="top"/>
    </xf>
    <xf numFmtId="0" fontId="1" fillId="0" borderId="6" xfId="0" applyFont="1" applyBorder="1" applyAlignment="1">
      <alignment horizontal="center"/>
    </xf>
    <xf numFmtId="0" fontId="1" fillId="0" borderId="5" xfId="0" applyFont="1" applyBorder="1" applyAlignment="1">
      <alignment horizontal="center"/>
    </xf>
    <xf numFmtId="0" fontId="1" fillId="0" borderId="7" xfId="0" applyFont="1" applyBorder="1" applyAlignment="1">
      <alignment horizontal="center"/>
    </xf>
    <xf numFmtId="0" fontId="2" fillId="0" borderId="71" xfId="2" applyFont="1" applyBorder="1"/>
  </cellXfs>
  <cellStyles count="4">
    <cellStyle name="Hiperlink" xfId="1" builtinId="8"/>
    <cellStyle name="Normal" xfId="0" builtinId="0"/>
    <cellStyle name="Normal 2" xfId="2" xr:uid="{00000000-0005-0000-0000-000002000000}"/>
    <cellStyle name="Normal_Agenda" xfId="3" xr:uid="{00000000-0005-0000-0000-000003000000}"/>
  </cellStyles>
  <dxfs count="48">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font>
      <fill>
        <patternFill patternType="gray125"/>
      </fill>
      <border>
        <left style="thin">
          <color auto="1"/>
        </left>
        <right style="thin">
          <color auto="1"/>
        </right>
        <top style="thin">
          <color auto="1"/>
        </top>
        <bottom style="thin">
          <color auto="1"/>
        </bottom>
        <vertical/>
        <horizontal/>
      </border>
    </dxf>
    <dxf>
      <font>
        <b/>
        <i val="0"/>
      </font>
      <fill>
        <patternFill patternType="gray125">
          <bgColor rgb="FFC0C0C0"/>
        </patternFill>
      </fill>
      <border>
        <left style="thin">
          <color auto="1"/>
        </left>
        <right style="thin">
          <color auto="1"/>
        </right>
        <top style="thin">
          <color auto="1"/>
        </top>
        <bottom style="thin">
          <color auto="1"/>
        </bottom>
        <vertical/>
        <horizontal/>
      </border>
    </dxf>
    <dxf>
      <font>
        <b/>
        <i val="0"/>
        <color theme="0"/>
      </font>
      <fill>
        <patternFill>
          <bgColor rgb="FF0000FF"/>
        </patternFill>
      </fill>
      <border>
        <left style="thin">
          <color auto="1"/>
        </left>
        <right style="thin">
          <color auto="1"/>
        </right>
        <top style="thin">
          <color auto="1"/>
        </top>
        <bottom style="thin">
          <color auto="1"/>
        </bottom>
        <vertical/>
        <horizontal/>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b/>
        <i val="0"/>
        <color theme="0"/>
      </font>
      <fill>
        <patternFill patternType="lightGray">
          <bgColor rgb="FFCC0000"/>
        </patternFill>
      </fill>
      <border>
        <left style="thin">
          <color auto="1"/>
        </left>
        <right style="thin">
          <color auto="1"/>
        </right>
        <top style="thin">
          <color auto="1"/>
        </top>
        <bottom style="thin">
          <color auto="1"/>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font>
      <fill>
        <patternFill patternType="gray125"/>
      </fill>
      <border>
        <left style="thin">
          <color auto="1"/>
        </left>
        <right style="thin">
          <color auto="1"/>
        </right>
        <top style="thin">
          <color auto="1"/>
        </top>
        <bottom style="thin">
          <color auto="1"/>
        </bottom>
        <vertical/>
        <horizontal/>
      </border>
    </dxf>
    <dxf>
      <font>
        <b/>
        <i val="0"/>
      </font>
      <fill>
        <patternFill patternType="gray125">
          <bgColor rgb="FFC0C0C0"/>
        </patternFill>
      </fill>
      <border>
        <left style="thin">
          <color auto="1"/>
        </left>
        <right style="thin">
          <color auto="1"/>
        </right>
        <top style="thin">
          <color auto="1"/>
        </top>
        <bottom style="thin">
          <color auto="1"/>
        </bottom>
        <vertical/>
        <horizontal/>
      </border>
    </dxf>
    <dxf>
      <font>
        <b/>
        <i val="0"/>
        <color theme="0"/>
      </font>
      <fill>
        <patternFill>
          <bgColor rgb="FF0000FF"/>
        </patternFill>
      </fill>
      <border>
        <left style="thin">
          <color auto="1"/>
        </left>
        <right style="thin">
          <color auto="1"/>
        </right>
        <top style="thin">
          <color auto="1"/>
        </top>
        <bottom style="thin">
          <color auto="1"/>
        </bottom>
        <vertical/>
        <horizontal/>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b/>
        <i val="0"/>
        <color theme="0"/>
      </font>
      <fill>
        <patternFill patternType="lightGray">
          <bgColor rgb="FFCC0000"/>
        </patternFill>
      </fill>
      <border>
        <left style="thin">
          <color auto="1"/>
        </left>
        <right style="thin">
          <color auto="1"/>
        </right>
        <top style="thin">
          <color auto="1"/>
        </top>
        <bottom style="thin">
          <color auto="1"/>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font>
      <fill>
        <patternFill patternType="gray125"/>
      </fill>
      <border>
        <left style="thin">
          <color auto="1"/>
        </left>
        <right style="thin">
          <color auto="1"/>
        </right>
        <top style="thin">
          <color auto="1"/>
        </top>
        <bottom style="thin">
          <color auto="1"/>
        </bottom>
        <vertical/>
        <horizontal/>
      </border>
    </dxf>
    <dxf>
      <font>
        <b/>
        <i val="0"/>
      </font>
      <fill>
        <patternFill patternType="gray125">
          <bgColor rgb="FFC0C0C0"/>
        </patternFill>
      </fill>
      <border>
        <left style="thin">
          <color auto="1"/>
        </left>
        <right style="thin">
          <color auto="1"/>
        </right>
        <top style="thin">
          <color auto="1"/>
        </top>
        <bottom style="thin">
          <color auto="1"/>
        </bottom>
        <vertical/>
        <horizontal/>
      </border>
    </dxf>
    <dxf>
      <font>
        <b/>
        <i val="0"/>
        <color theme="0"/>
      </font>
      <fill>
        <patternFill>
          <bgColor rgb="FF0000FF"/>
        </patternFill>
      </fill>
      <border>
        <left style="thin">
          <color auto="1"/>
        </left>
        <right style="thin">
          <color auto="1"/>
        </right>
        <top style="thin">
          <color auto="1"/>
        </top>
        <bottom style="thin">
          <color auto="1"/>
        </bottom>
        <vertical/>
        <horizontal/>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b/>
        <i val="0"/>
        <color theme="0"/>
      </font>
      <fill>
        <patternFill patternType="lightGray">
          <bgColor rgb="FFCC0000"/>
        </patternFill>
      </fill>
      <border>
        <left style="thin">
          <color auto="1"/>
        </left>
        <right style="thin">
          <color auto="1"/>
        </right>
        <top style="thin">
          <color auto="1"/>
        </top>
        <bottom style="thin">
          <color auto="1"/>
        </bottom>
      </border>
    </dxf>
    <dxf>
      <font>
        <condense val="0"/>
        <extend val="0"/>
        <color auto="1"/>
      </font>
      <fill>
        <patternFill>
          <bgColor indexed="22"/>
        </patternFill>
      </fill>
      <border>
        <bottom style="thin">
          <color indexed="22"/>
        </bottom>
      </border>
    </dxf>
    <dxf>
      <font>
        <condense val="0"/>
        <extend val="0"/>
        <color auto="1"/>
      </font>
      <fill>
        <patternFill>
          <bgColor indexed="22"/>
        </patternFill>
      </fill>
      <border>
        <bottom style="thin">
          <color indexed="22"/>
        </bottom>
      </border>
    </dxf>
    <dxf>
      <font>
        <condense val="0"/>
        <extend val="0"/>
        <color auto="1"/>
      </font>
      <fill>
        <patternFill>
          <bgColor indexed="22"/>
        </patternFill>
      </fill>
      <border>
        <bottom style="thin">
          <color indexed="22"/>
        </bottom>
      </border>
    </dxf>
    <dxf>
      <font>
        <condense val="0"/>
        <extend val="0"/>
        <color auto="1"/>
      </font>
      <fill>
        <patternFill>
          <bgColor indexed="22"/>
        </patternFill>
      </fill>
      <border>
        <bottom style="thin">
          <color indexed="22"/>
        </bottom>
      </border>
    </dxf>
    <dxf>
      <font>
        <condense val="0"/>
        <extend val="0"/>
        <color auto="1"/>
      </font>
      <fill>
        <patternFill>
          <bgColor indexed="22"/>
        </patternFill>
      </fill>
      <border>
        <bottom style="thin">
          <color indexed="22"/>
        </bottom>
      </border>
    </dxf>
    <dxf>
      <font>
        <condense val="0"/>
        <extend val="0"/>
        <color auto="1"/>
      </font>
      <fill>
        <patternFill>
          <bgColor indexed="22"/>
        </patternFill>
      </fill>
      <border>
        <bottom style="thin">
          <color indexed="22"/>
        </bottom>
      </border>
    </dxf>
    <dxf>
      <font>
        <condense val="0"/>
        <extend val="0"/>
        <color auto="1"/>
      </font>
      <fill>
        <patternFill>
          <bgColor indexed="22"/>
        </patternFill>
      </fill>
      <border>
        <bottom style="thin">
          <color indexed="22"/>
        </bottom>
      </border>
    </dxf>
    <dxf>
      <font>
        <condense val="0"/>
        <extend val="0"/>
        <color auto="1"/>
      </font>
      <fill>
        <patternFill>
          <bgColor indexed="22"/>
        </patternFill>
      </fill>
      <border>
        <bottom style="thin">
          <color indexed="22"/>
        </bottom>
      </border>
    </dxf>
    <dxf>
      <font>
        <condense val="0"/>
        <extend val="0"/>
        <color auto="1"/>
      </font>
      <fill>
        <patternFill>
          <bgColor indexed="22"/>
        </patternFill>
      </fill>
      <border>
        <bottom style="thin">
          <color indexed="22"/>
        </bottom>
      </border>
    </dxf>
    <dxf>
      <font>
        <condense val="0"/>
        <extend val="0"/>
        <color auto="1"/>
      </font>
      <fill>
        <patternFill>
          <bgColor indexed="22"/>
        </patternFill>
      </fill>
      <border>
        <bottom style="thin">
          <color indexed="22"/>
        </bottom>
      </border>
    </dxf>
    <dxf>
      <font>
        <condense val="0"/>
        <extend val="0"/>
        <color auto="1"/>
      </font>
      <fill>
        <patternFill>
          <bgColor indexed="22"/>
        </patternFill>
      </fill>
      <border>
        <bottom style="thin">
          <color indexed="22"/>
        </bottom>
      </border>
    </dxf>
    <dxf>
      <font>
        <condense val="0"/>
        <extend val="0"/>
        <color auto="1"/>
      </font>
      <fill>
        <patternFill>
          <bgColor indexed="22"/>
        </patternFill>
      </fill>
      <border>
        <bottom style="thin">
          <color indexed="22"/>
        </bottom>
      </border>
    </dxf>
    <dxf>
      <font>
        <condense val="0"/>
        <extend val="0"/>
        <color auto="1"/>
      </font>
      <fill>
        <patternFill>
          <bgColor indexed="22"/>
        </patternFill>
      </fill>
      <border>
        <top style="thin">
          <color indexed="22"/>
        </top>
        <bottom style="thin">
          <color indexed="22"/>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font>
      <fill>
        <patternFill patternType="gray125"/>
      </fill>
      <border>
        <left style="thin">
          <color auto="1"/>
        </left>
        <right style="thin">
          <color auto="1"/>
        </right>
        <top style="thin">
          <color auto="1"/>
        </top>
        <bottom style="thin">
          <color auto="1"/>
        </bottom>
        <vertical/>
        <horizontal/>
      </border>
    </dxf>
    <dxf>
      <font>
        <b/>
        <i val="0"/>
      </font>
      <fill>
        <patternFill patternType="gray125">
          <bgColor rgb="FFC0C0C0"/>
        </patternFill>
      </fill>
      <border>
        <left style="thin">
          <color auto="1"/>
        </left>
        <right style="thin">
          <color auto="1"/>
        </right>
        <top style="thin">
          <color auto="1"/>
        </top>
        <bottom style="thin">
          <color auto="1"/>
        </bottom>
        <vertical/>
        <horizontal/>
      </border>
    </dxf>
    <dxf>
      <font>
        <b/>
        <i val="0"/>
        <color theme="0"/>
      </font>
      <fill>
        <patternFill>
          <bgColor rgb="FF0000FF"/>
        </patternFill>
      </fill>
      <border>
        <left style="thin">
          <color auto="1"/>
        </left>
        <right style="thin">
          <color auto="1"/>
        </right>
        <top style="thin">
          <color auto="1"/>
        </top>
        <bottom style="thin">
          <color auto="1"/>
        </bottom>
        <vertical/>
        <horizontal/>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b/>
        <i val="0"/>
        <color theme="0"/>
      </font>
      <fill>
        <patternFill patternType="lightGray">
          <bgColor rgb="FFCC0000"/>
        </patternFill>
      </fill>
      <border>
        <left style="thin">
          <color auto="1"/>
        </left>
        <right style="thin">
          <color auto="1"/>
        </right>
        <top style="thin">
          <color auto="1"/>
        </top>
        <bottom style="thin">
          <color auto="1"/>
        </bottom>
      </border>
    </dxf>
    <dxf>
      <font>
        <b/>
        <i val="0"/>
        <color theme="0"/>
      </font>
      <fill>
        <patternFill>
          <bgColor rgb="FF0000FF"/>
        </patternFill>
      </fill>
      <border>
        <left style="thin">
          <color auto="1"/>
        </left>
        <right style="thin">
          <color auto="1"/>
        </right>
        <top style="thin">
          <color auto="1"/>
        </top>
        <bottom style="thin">
          <color auto="1"/>
        </bottom>
        <vertical/>
        <horizontal/>
      </border>
    </dxf>
    <dxf>
      <font>
        <b/>
        <i val="0"/>
      </font>
      <fill>
        <patternFill patternType="gray125"/>
      </fill>
      <border>
        <left style="thin">
          <color auto="1"/>
        </left>
        <right style="thin">
          <color auto="1"/>
        </right>
        <top style="thin">
          <color auto="1"/>
        </top>
        <bottom style="thin">
          <color auto="1"/>
        </bottom>
        <vertical/>
        <horizontal/>
      </border>
    </dxf>
    <dxf>
      <font>
        <b/>
        <i val="0"/>
      </font>
      <fill>
        <patternFill patternType="gray125">
          <bgColor rgb="FFC0C0C0"/>
        </patternFill>
      </fill>
      <border>
        <left style="thin">
          <color auto="1"/>
        </left>
        <right style="thin">
          <color auto="1"/>
        </right>
        <top style="thin">
          <color auto="1"/>
        </top>
        <bottom style="thin">
          <color auto="1"/>
        </bottom>
        <vertical/>
        <horizontal/>
      </border>
    </dxf>
    <dxf>
      <font>
        <b/>
        <i val="0"/>
        <color theme="0"/>
      </font>
      <fill>
        <patternFill patternType="lightGray">
          <bgColor rgb="FFCC0000"/>
        </patternFill>
      </fill>
      <border>
        <left style="thin">
          <color auto="1"/>
        </left>
        <right style="thin">
          <color auto="1"/>
        </right>
        <top style="thin">
          <color auto="1"/>
        </top>
        <bottom style="thin">
          <color auto="1"/>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s>
  <tableStyles count="0" defaultTableStyle="TableStyleMedium9" defaultPivotStyle="PivotStyleLight16"/>
  <colors>
    <mruColors>
      <color rgb="FFFAFECA"/>
      <color rgb="FF808080"/>
      <color rgb="FFFFFF99"/>
      <color rgb="FF0000FF"/>
      <color rgb="FFC0C0C0"/>
      <color rgb="FFCC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2">
    <xs:schema xmlns:xs="http://www.w3.org/2001/XMLSchema" xmlns="" attributeFormDefault="unqualified" elementFormDefault="qualified">
      <xs:element name="xml">
        <xs:complexType>
          <xs:sequence>
            <xs:element name="request">
              <xs:complexType>
                <xs:sequence>
                  <xs:element type="xs:string" name="reqname"/>
                  <xs:element type="xs:string" name="reqversion"/>
                  <xs:element type="xs:float" name="reqlongitude"/>
                  <xs:element type="xs:float" name="reqlatitude"/>
                  <xs:element type="xs:float" name="reqtimezone"/>
                  <xs:element type="xs:string" name="reqstartdate"/>
                  <xs:element type="xs:short" name="reqdaycount"/>
                  <xs:element type="xs:byte" name="reqdst"/>
                  <xs:element type="xs:string" name="resname"/>
                  <xs:element type="xs:string" name="resdstsystem"/>
                </xs:sequence>
              </xs:complexType>
            </xs:element>
            <xs:element name="result">
              <xs:complexType>
                <xs:sequence>
                  <xs:element name="masa" maxOccurs="unbounded" minOccurs="0">
                    <xs:complexType>
                      <xs:sequence>
                        <xs:element name="msday" maxOccurs="unbounded" minOccurs="0">
                          <xs:complexType>
                            <xs:sequence>
                              <xs:element name="daydate" type="xs:date"/>
                              <xs:element name="dayweekid" type="xs:positiveInteger"/>
                              <xs:element name="dayweekst"/>
                              <xs:element name="gyear" type="xs:short"/>
                              <xs:element name="gymasa"/>
                              <xs:element name="mpaksaid"/>
                              <xs:element name="mpaksaname"/>
                              <xs:element name="stithiindex" type="xs:positiveInteger"/>
                              <xs:element name="stithiname"/>
                              <xs:element name="atithiname"/>
                              <xs:element name="arunodayatime" type="xs:time"/>
                              <xs:element name="dsunrisetime" type="xs:time"/>
                              <xs:element name="paranafrom" type="xs:time" minOccurs="0"/>
                              <xs:element name="paranato" type="xs:time" minOccurs="0"/>
                              <xs:element name="noontime" type="xs:time"/>
                              <xs:element name="sunsettime" type="xs:time"/>
                              <xs:element name="sankrantitime" type="xs:time" minOccurs="0"/>
                              <xs:element name="sankrantirasi" minOccurs="0"/>
                              <xs:element name="ksayafrom" type="xs:time" minOccurs="0"/>
                              <xs:element name="ksayato" type="xs:time" minOccurs="0"/>
                              <xs:element name="moonrise"/>
                              <xs:element name="moonset"/>
                              <xs:element name="dstoffset" type="xs:float" minOccurs="0"/>
                              <xs:element name="vriddhisd"/>
                              <xs:element name="tithielapse" type="xs:float"/>
                              <xs:element name="naksatraelapse" type="xs:float"/>
                              <xs:element name="naksatraname"/>
                              <xs:element name="yoganame"/>
                              <xs:element name="dcaturmasya1" minOccurs="0"/>
                              <xs:element name="dcaturmasya2" minOccurs="0"/>
                              <xs:element name="fasttype" minOccurs="0"/>
                              <xs:element name="fastmark" minOccurs="0"/>
                              <xs:element name="dfestival1" minOccurs="0"/>
                              <xs:element name="dclass1" type="xs:integer" minOccurs="0"/>
                              <xs:element name="dfestival2" minOccurs="0"/>
                              <xs:element name="dclass2" type="xs:integer" minOccurs="0"/>
                              <xs:element name="dfestival3" minOccurs="0"/>
                              <xs:element name="dclass3" type="xs:integer" minOccurs="0"/>
                              <xs:element name="dfestival4" minOccurs="0"/>
                              <xs:element name="dclass4" type="xs:integer" minOccurs="0"/>
                            </xs:sequence>
                          </xs:complexType>
                        </xs:element>
                      </xs:sequence>
                      <xs:attribute type="xs:string" name="gyear" use="optional"/>
                      <xs:attribute type="xs:string" name="name" use="optional"/>
                    </xs:complexType>
                  </xs:element>
                </xs:sequence>
                <xs:attribute type="xs:string" name="name"/>
              </xs:complexType>
            </xs:element>
          </xs:sequence>
        </xs:complexType>
      </xs:element>
    </xs:schema>
  </Schema>
  <Map ID="4" Name="calendar-rd" RootElement="xml" SchemaID="Schema2" ShowImportExportValidationErrors="false" AutoFit="true" Append="false" PreserveSortAFLayout="true" PreserveFormat="true">
    <DataBinding FileBinding="true" ConnectionID="2" DataBindingLoadMode="1"/>
  </Map>
</MapInfo>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xmlMaps" Target="xmlMap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tyles" Target="styles.xml"/><Relationship Id="rId40"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onnections" Target="connection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10-EC42-11CE-9E0D-00AA006002F3}" ax:persistence="persistStreamInit" r:id="rId1"/>
</file>

<file path=xl/ctrlProps/ctrlProp1.xml><?xml version="1.0" encoding="utf-8"?>
<formControlPr xmlns="http://schemas.microsoft.com/office/spreadsheetml/2009/9/main" objectType="Spin" dx="16" fmlaLink="Parameters!$B$19" max="3" min="1" page="10"/>
</file>

<file path=xl/ctrlProps/ctrlProp2.xml><?xml version="1.0" encoding="utf-8"?>
<formControlPr xmlns="http://schemas.microsoft.com/office/spreadsheetml/2009/9/main" objectType="Spin" dx="16" fmlaLink="Parameters!$B$20" max="53" min="1" page="10"/>
</file>

<file path=xl/ctrlProps/ctrlProp3.xml><?xml version="1.0" encoding="utf-8"?>
<formControlPr xmlns="http://schemas.microsoft.com/office/spreadsheetml/2009/9/main" objectType="Spin" dx="16" fmlaLink="Parameters!$B$19" max="3" min="1" page="10"/>
</file>

<file path=xl/ctrlProps/ctrlProp4.xml><?xml version="1.0" encoding="utf-8"?>
<formControlPr xmlns="http://schemas.microsoft.com/office/spreadsheetml/2009/9/main" objectType="Spin" dx="16" fmlaLink="Parameters!$B$20" max="53" min="1" page="10"/>
</file>

<file path=xl/ctrlProps/ctrlProp5.xml><?xml version="1.0" encoding="utf-8"?>
<formControlPr xmlns="http://schemas.microsoft.com/office/spreadsheetml/2009/9/main" objectType="Spin" dx="16" fmlaLink="Parameters!$E$19" max="12" min="1" page="10"/>
</file>

<file path=xl/ctrlProps/ctrlProp6.xml><?xml version="1.0" encoding="utf-8"?>
<formControlPr xmlns="http://schemas.microsoft.com/office/spreadsheetml/2009/9/main" objectType="Spin" dx="16" fmlaLink="Parameters!$E$19" max="12" min="1" page="10"/>
</file>

<file path=xl/ctrlProps/ctrlProp7.xml><?xml version="1.0" encoding="utf-8"?>
<formControlPr xmlns="http://schemas.microsoft.com/office/spreadsheetml/2009/9/main" objectType="Spin" dx="16" fmlaLink="Parameters!$C$61" max="3" min="1" page="10"/>
</file>

<file path=xl/ctrlProps/ctrlProp8.xml><?xml version="1.0" encoding="utf-8"?>
<formControlPr xmlns="http://schemas.microsoft.com/office/spreadsheetml/2009/9/main" objectType="Spin" dx="16" fmlaLink="Parameters!$C$61" max="3" min="1" page="10"/>
</file>

<file path=xl/drawings/_rels/drawing1.xml.rels><?xml version="1.0" encoding="UTF-8" standalone="yes"?>
<Relationships xmlns="http://schemas.openxmlformats.org/package/2006/relationships"><Relationship Id="rId1" Type="http://schemas.openxmlformats.org/officeDocument/2006/relationships/image" Target="../media/image12.png"/></Relationships>
</file>

<file path=xl/drawings/_rels/drawing2.xml.rels><?xml version="1.0" encoding="UTF-8" standalone="yes"?>
<Relationships xmlns="http://schemas.openxmlformats.org/package/2006/relationships"><Relationship Id="rId2" Type="http://schemas.openxmlformats.org/officeDocument/2006/relationships/image" Target="../media/image13.png"/><Relationship Id="rId1" Type="http://schemas.openxmlformats.org/officeDocument/2006/relationships/hyperlink" Target="#Index!A1"/></Relationships>
</file>

<file path=xl/drawings/_rels/drawing3.xml.rels><?xml version="1.0" encoding="UTF-8" standalone="yes"?>
<Relationships xmlns="http://schemas.openxmlformats.org/package/2006/relationships"><Relationship Id="rId2" Type="http://schemas.openxmlformats.org/officeDocument/2006/relationships/image" Target="../media/image14.png"/><Relationship Id="rId1" Type="http://schemas.openxmlformats.org/officeDocument/2006/relationships/hyperlink" Target="#Index!A1"/></Relationships>
</file>

<file path=xl/drawings/_rels/drawing4.xml.rels><?xml version="1.0" encoding="UTF-8" standalone="yes"?>
<Relationships xmlns="http://schemas.openxmlformats.org/package/2006/relationships"><Relationship Id="rId2" Type="http://schemas.openxmlformats.org/officeDocument/2006/relationships/image" Target="../media/image14.png"/><Relationship Id="rId1" Type="http://schemas.openxmlformats.org/officeDocument/2006/relationships/hyperlink" Target="#Index!A1"/></Relationships>
</file>

<file path=xl/drawings/_rels/drawing5.xml.rels><?xml version="1.0" encoding="UTF-8" standalone="yes"?>
<Relationships xmlns="http://schemas.openxmlformats.org/package/2006/relationships"><Relationship Id="rId2" Type="http://schemas.openxmlformats.org/officeDocument/2006/relationships/image" Target="../media/image14.png"/><Relationship Id="rId1" Type="http://schemas.openxmlformats.org/officeDocument/2006/relationships/hyperlink" Target="#Index!A1"/></Relationships>
</file>

<file path=xl/drawings/_rels/drawing6.xml.rels><?xml version="1.0" encoding="UTF-8" standalone="yes"?>
<Relationships xmlns="http://schemas.openxmlformats.org/package/2006/relationships"><Relationship Id="rId2" Type="http://schemas.openxmlformats.org/officeDocument/2006/relationships/image" Target="../media/image14.png"/><Relationship Id="rId1" Type="http://schemas.openxmlformats.org/officeDocument/2006/relationships/hyperlink" Target="#Op&#231;&#245;es!A1"/></Relationships>
</file>

<file path=xl/drawings/_rels/drawing7.xml.rels><?xml version="1.0" encoding="UTF-8" standalone="yes"?>
<Relationships xmlns="http://schemas.openxmlformats.org/package/2006/relationships"><Relationship Id="rId2" Type="http://schemas.openxmlformats.org/officeDocument/2006/relationships/image" Target="../media/image14.png"/><Relationship Id="rId1" Type="http://schemas.openxmlformats.org/officeDocument/2006/relationships/hyperlink" Target="#Op&#231;&#245;es!A1"/></Relationships>
</file>

<file path=xl/drawings/_rels/drawing8.xml.rels><?xml version="1.0" encoding="UTF-8" standalone="yes"?>
<Relationships xmlns="http://schemas.openxmlformats.org/package/2006/relationships"><Relationship Id="rId2" Type="http://schemas.openxmlformats.org/officeDocument/2006/relationships/image" Target="../media/image14.png"/><Relationship Id="rId1" Type="http://schemas.openxmlformats.org/officeDocument/2006/relationships/hyperlink" Target="#Index!A1"/></Relationships>
</file>

<file path=xl/drawings/_rels/drawing9.xml.rels><?xml version="1.0" encoding="UTF-8" standalone="yes"?>
<Relationships xmlns="http://schemas.openxmlformats.org/package/2006/relationships"><Relationship Id="rId3" Type="http://schemas.openxmlformats.org/officeDocument/2006/relationships/image" Target="../media/image15.png"/><Relationship Id="rId2" Type="http://schemas.openxmlformats.org/officeDocument/2006/relationships/image" Target="../media/image14.png"/><Relationship Id="rId1" Type="http://schemas.openxmlformats.org/officeDocument/2006/relationships/hyperlink" Target="#Index!A1"/><Relationship Id="rId6" Type="http://schemas.openxmlformats.org/officeDocument/2006/relationships/image" Target="../media/image18.png"/><Relationship Id="rId5" Type="http://schemas.openxmlformats.org/officeDocument/2006/relationships/image" Target="../media/image17.png"/><Relationship Id="rId4" Type="http://schemas.openxmlformats.org/officeDocument/2006/relationships/image" Target="../media/image16.png"/></Relationships>
</file>

<file path=xl/drawings/_rels/drawing10.xml.rels><?xml version="1.0" encoding="UTF-8" standalone="yes"?>
<Relationships xmlns="http://schemas.openxmlformats.org/package/2006/relationships"><Relationship Id="rId2" Type="http://schemas.openxmlformats.org/officeDocument/2006/relationships/image" Target="../media/image14.png"/><Relationship Id="rId1" Type="http://schemas.openxmlformats.org/officeDocument/2006/relationships/hyperlink" Target="#Index!A1"/></Relationships>
</file>

<file path=xl/drawings/_rels/drawing11.xml.rels><?xml version="1.0" encoding="UTF-8" standalone="yes"?>
<Relationships xmlns="http://schemas.openxmlformats.org/package/2006/relationships"><Relationship Id="rId2" Type="http://schemas.openxmlformats.org/officeDocument/2006/relationships/image" Target="../media/image14.png"/><Relationship Id="rId1" Type="http://schemas.openxmlformats.org/officeDocument/2006/relationships/hyperlink" Target="#Index!A1"/></Relationships>
</file>

<file path=xl/drawings/_rels/drawing12.xml.rels><?xml version="1.0" encoding="UTF-8" standalone="yes"?>
<Relationships xmlns="http://schemas.openxmlformats.org/package/2006/relationships"><Relationship Id="rId2" Type="http://schemas.openxmlformats.org/officeDocument/2006/relationships/image" Target="../media/image14.png"/><Relationship Id="rId1" Type="http://schemas.openxmlformats.org/officeDocument/2006/relationships/hyperlink" Target="#Index!A1"/></Relationships>
</file>

<file path=xl/drawings/_rels/drawing13.xml.rels><?xml version="1.0" encoding="UTF-8" standalone="yes"?>
<Relationships xmlns="http://schemas.openxmlformats.org/package/2006/relationships"><Relationship Id="rId2" Type="http://schemas.openxmlformats.org/officeDocument/2006/relationships/image" Target="../media/image14.png"/><Relationship Id="rId1" Type="http://schemas.openxmlformats.org/officeDocument/2006/relationships/hyperlink" Target="#Index!A1"/></Relationships>
</file>

<file path=xl/drawings/_rels/drawing14.xml.rels><?xml version="1.0" encoding="UTF-8" standalone="yes"?>
<Relationships xmlns="http://schemas.openxmlformats.org/package/2006/relationships"><Relationship Id="rId2" Type="http://schemas.openxmlformats.org/officeDocument/2006/relationships/image" Target="../media/image14.png"/><Relationship Id="rId1" Type="http://schemas.openxmlformats.org/officeDocument/2006/relationships/hyperlink" Target="#Index!A1"/></Relationships>
</file>

<file path=xl/drawings/_rels/drawing15.xml.rels><?xml version="1.0" encoding="UTF-8" standalone="yes"?>
<Relationships xmlns="http://schemas.openxmlformats.org/package/2006/relationships"><Relationship Id="rId2" Type="http://schemas.openxmlformats.org/officeDocument/2006/relationships/image" Target="../media/image14.png"/><Relationship Id="rId1" Type="http://schemas.openxmlformats.org/officeDocument/2006/relationships/hyperlink" Target="#Index!F8"/></Relationships>
</file>

<file path=xl/drawings/_rels/drawing16.xml.rels><?xml version="1.0" encoding="UTF-8" standalone="yes"?>
<Relationships xmlns="http://schemas.openxmlformats.org/package/2006/relationships"><Relationship Id="rId2" Type="http://schemas.openxmlformats.org/officeDocument/2006/relationships/image" Target="../media/image14.png"/><Relationship Id="rId1" Type="http://schemas.openxmlformats.org/officeDocument/2006/relationships/hyperlink" Target="#Index!A1"/></Relationships>
</file>

<file path=xl/drawings/_rels/drawing17.xml.rels><?xml version="1.0" encoding="UTF-8" standalone="yes"?>
<Relationships xmlns="http://schemas.openxmlformats.org/package/2006/relationships"><Relationship Id="rId2" Type="http://schemas.openxmlformats.org/officeDocument/2006/relationships/image" Target="../media/image14.png"/><Relationship Id="rId1" Type="http://schemas.openxmlformats.org/officeDocument/2006/relationships/hyperlink" Target="#Index!A1"/></Relationships>
</file>

<file path=xl/drawings/_rels/drawing18.xml.rels><?xml version="1.0" encoding="UTF-8" standalone="yes"?>
<Relationships xmlns="http://schemas.openxmlformats.org/package/2006/relationships"><Relationship Id="rId2" Type="http://schemas.openxmlformats.org/officeDocument/2006/relationships/image" Target="../media/image14.png"/><Relationship Id="rId1" Type="http://schemas.openxmlformats.org/officeDocument/2006/relationships/hyperlink" Target="#Index!A1"/></Relationships>
</file>

<file path=xl/drawings/_rels/drawing19.xml.rels><?xml version="1.0" encoding="UTF-8" standalone="yes"?>
<Relationships xmlns="http://schemas.openxmlformats.org/package/2006/relationships"><Relationship Id="rId2" Type="http://schemas.openxmlformats.org/officeDocument/2006/relationships/image" Target="../media/image14.png"/><Relationship Id="rId1" Type="http://schemas.openxmlformats.org/officeDocument/2006/relationships/hyperlink" Target="#Index!A1"/></Relationships>
</file>

<file path=xl/drawings/_rels/drawing20.xml.rels><?xml version="1.0" encoding="UTF-8" standalone="yes"?>
<Relationships xmlns="http://schemas.openxmlformats.org/package/2006/relationships"><Relationship Id="rId1" Type="http://schemas.openxmlformats.org/officeDocument/2006/relationships/image" Target="../media/image19.png"/></Relationships>
</file>

<file path=xl/drawings/_rels/drawing21.xml.rels><?xml version="1.0" encoding="UTF-8" standalone="yes"?>
<Relationships xmlns="http://schemas.openxmlformats.org/package/2006/relationships"><Relationship Id="rId2" Type="http://schemas.openxmlformats.org/officeDocument/2006/relationships/image" Target="../media/image14.png"/><Relationship Id="rId1" Type="http://schemas.openxmlformats.org/officeDocument/2006/relationships/hyperlink" Target="#Index!A1"/></Relationships>
</file>

<file path=xl/drawings/_rels/vmlDrawing1.vml.rels><?xml version="1.0" encoding="UTF-8" standalone="yes"?>
<Relationships xmlns="http://schemas.openxmlformats.org/package/2006/relationships"><Relationship Id="rId8" Type="http://schemas.openxmlformats.org/officeDocument/2006/relationships/image" Target="../media/image4.emf"/><Relationship Id="rId3" Type="http://schemas.openxmlformats.org/officeDocument/2006/relationships/image" Target="../media/image7.emf"/><Relationship Id="rId7" Type="http://schemas.openxmlformats.org/officeDocument/2006/relationships/image" Target="../media/image5.emf"/><Relationship Id="rId2" Type="http://schemas.openxmlformats.org/officeDocument/2006/relationships/image" Target="../media/image9.emf"/><Relationship Id="rId1" Type="http://schemas.openxmlformats.org/officeDocument/2006/relationships/image" Target="../media/image8.emf"/><Relationship Id="rId6" Type="http://schemas.openxmlformats.org/officeDocument/2006/relationships/image" Target="../media/image6.emf"/><Relationship Id="rId11" Type="http://schemas.openxmlformats.org/officeDocument/2006/relationships/image" Target="../media/image1.emf"/><Relationship Id="rId5" Type="http://schemas.openxmlformats.org/officeDocument/2006/relationships/image" Target="../media/image11.emf"/><Relationship Id="rId10" Type="http://schemas.openxmlformats.org/officeDocument/2006/relationships/image" Target="../media/image2.emf"/><Relationship Id="rId4" Type="http://schemas.openxmlformats.org/officeDocument/2006/relationships/image" Target="../media/image10.emf"/><Relationship Id="rId9"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editAs="oneCell">
    <xdr:from>
      <xdr:col>13</xdr:col>
      <xdr:colOff>28575</xdr:colOff>
      <xdr:row>14</xdr:row>
      <xdr:rowOff>52953</xdr:rowOff>
    </xdr:from>
    <xdr:to>
      <xdr:col>14</xdr:col>
      <xdr:colOff>971550</xdr:colOff>
      <xdr:row>18</xdr:row>
      <xdr:rowOff>172317</xdr:rowOff>
    </xdr:to>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667250" y="2624703"/>
          <a:ext cx="1514475" cy="1071864"/>
        </a:xfrm>
        <a:prstGeom prst="rect">
          <a:avLst/>
        </a:prstGeom>
        <a:ln w="19050">
          <a:solidFill>
            <a:schemeClr val="tx1">
              <a:lumMod val="50000"/>
              <a:lumOff val="50000"/>
            </a:schemeClr>
          </a:solidFill>
        </a:ln>
      </xdr:spPr>
    </xdr:pic>
    <xdr:clientData/>
  </xdr:twoCellAnchor>
  <mc:AlternateContent xmlns:mc="http://schemas.openxmlformats.org/markup-compatibility/2006">
    <mc:Choice xmlns:a14="http://schemas.microsoft.com/office/drawing/2010/main" Requires="a14">
      <xdr:twoCellAnchor editAs="oneCell">
        <xdr:from>
          <xdr:col>6</xdr:col>
          <xdr:colOff>95250</xdr:colOff>
          <xdr:row>8</xdr:row>
          <xdr:rowOff>114300</xdr:rowOff>
        </xdr:from>
        <xdr:to>
          <xdr:col>12</xdr:col>
          <xdr:colOff>0</xdr:colOff>
          <xdr:row>10</xdr:row>
          <xdr:rowOff>19050</xdr:rowOff>
        </xdr:to>
        <xdr:sp macro="" textlink="">
          <xdr:nvSpPr>
            <xdr:cNvPr id="2081" name="CommandButtonCalculate" hidden="1">
              <a:extLst>
                <a:ext uri="{63B3BB69-23CF-44E3-9099-C40C66FF867C}">
                  <a14:compatExt spid="_x0000_s2081"/>
                </a:ext>
                <a:ext uri="{FF2B5EF4-FFF2-40B4-BE49-F238E27FC236}">
                  <a16:creationId xmlns:a16="http://schemas.microsoft.com/office/drawing/2014/main" id="{00000000-0008-0000-0000-00002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2</xdr:row>
          <xdr:rowOff>0</xdr:rowOff>
        </xdr:from>
        <xdr:to>
          <xdr:col>12</xdr:col>
          <xdr:colOff>9525</xdr:colOff>
          <xdr:row>3</xdr:row>
          <xdr:rowOff>19050</xdr:rowOff>
        </xdr:to>
        <xdr:sp macro="" textlink="">
          <xdr:nvSpPr>
            <xdr:cNvPr id="2082" name="ComboBoxLanguages" hidden="1">
              <a:extLst>
                <a:ext uri="{63B3BB69-23CF-44E3-9099-C40C66FF867C}">
                  <a14:compatExt spid="_x0000_s2082"/>
                </a:ext>
                <a:ext uri="{FF2B5EF4-FFF2-40B4-BE49-F238E27FC236}">
                  <a16:creationId xmlns:a16="http://schemas.microsoft.com/office/drawing/2014/main" id="{00000000-0008-0000-0000-00002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7</xdr:row>
          <xdr:rowOff>9525</xdr:rowOff>
        </xdr:from>
        <xdr:to>
          <xdr:col>12</xdr:col>
          <xdr:colOff>9525</xdr:colOff>
          <xdr:row>8</xdr:row>
          <xdr:rowOff>28575</xdr:rowOff>
        </xdr:to>
        <xdr:sp macro="" textlink="">
          <xdr:nvSpPr>
            <xdr:cNvPr id="2083" name="ComboBoxCities" hidden="1">
              <a:extLst>
                <a:ext uri="{63B3BB69-23CF-44E3-9099-C40C66FF867C}">
                  <a14:compatExt spid="_x0000_s2083"/>
                </a:ext>
                <a:ext uri="{FF2B5EF4-FFF2-40B4-BE49-F238E27FC236}">
                  <a16:creationId xmlns:a16="http://schemas.microsoft.com/office/drawing/2014/main" id="{00000000-0008-0000-0000-00002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5</xdr:row>
          <xdr:rowOff>9525</xdr:rowOff>
        </xdr:from>
        <xdr:to>
          <xdr:col>12</xdr:col>
          <xdr:colOff>9525</xdr:colOff>
          <xdr:row>6</xdr:row>
          <xdr:rowOff>28575</xdr:rowOff>
        </xdr:to>
        <xdr:sp macro="" textlink="">
          <xdr:nvSpPr>
            <xdr:cNvPr id="2084" name="ComboBoxCountries" hidden="1">
              <a:extLst>
                <a:ext uri="{63B3BB69-23CF-44E3-9099-C40C66FF867C}">
                  <a14:compatExt spid="_x0000_s2084"/>
                </a:ext>
                <a:ext uri="{FF2B5EF4-FFF2-40B4-BE49-F238E27FC236}">
                  <a16:creationId xmlns:a16="http://schemas.microsoft.com/office/drawing/2014/main" id="{00000000-0008-0000-0000-000024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247650</xdr:colOff>
          <xdr:row>15</xdr:row>
          <xdr:rowOff>19050</xdr:rowOff>
        </xdr:from>
        <xdr:to>
          <xdr:col>11</xdr:col>
          <xdr:colOff>600075</xdr:colOff>
          <xdr:row>16</xdr:row>
          <xdr:rowOff>38100</xdr:rowOff>
        </xdr:to>
        <xdr:sp macro="" textlink="">
          <xdr:nvSpPr>
            <xdr:cNvPr id="2086" name="TextBoxCityCustomName" hidden="1">
              <a:extLst>
                <a:ext uri="{63B3BB69-23CF-44E3-9099-C40C66FF867C}">
                  <a14:compatExt spid="_x0000_s2086"/>
                </a:ext>
                <a:ext uri="{FF2B5EF4-FFF2-40B4-BE49-F238E27FC236}">
                  <a16:creationId xmlns:a16="http://schemas.microsoft.com/office/drawing/2014/main" id="{00000000-0008-0000-0000-00002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190500</xdr:colOff>
          <xdr:row>18</xdr:row>
          <xdr:rowOff>9525</xdr:rowOff>
        </xdr:from>
        <xdr:to>
          <xdr:col>11</xdr:col>
          <xdr:colOff>571500</xdr:colOff>
          <xdr:row>19</xdr:row>
          <xdr:rowOff>28575</xdr:rowOff>
        </xdr:to>
        <xdr:sp macro="" textlink="">
          <xdr:nvSpPr>
            <xdr:cNvPr id="2088" name="CheckBoxPersons" hidden="1">
              <a:extLst>
                <a:ext uri="{63B3BB69-23CF-44E3-9099-C40C66FF867C}">
                  <a14:compatExt spid="_x0000_s2088"/>
                </a:ext>
                <a:ext uri="{FF2B5EF4-FFF2-40B4-BE49-F238E27FC236}">
                  <a16:creationId xmlns:a16="http://schemas.microsoft.com/office/drawing/2014/main" id="{00000000-0008-0000-0000-000028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190500</xdr:colOff>
          <xdr:row>19</xdr:row>
          <xdr:rowOff>38100</xdr:rowOff>
        </xdr:from>
        <xdr:to>
          <xdr:col>11</xdr:col>
          <xdr:colOff>571500</xdr:colOff>
          <xdr:row>20</xdr:row>
          <xdr:rowOff>57150</xdr:rowOff>
        </xdr:to>
        <xdr:sp macro="" textlink="">
          <xdr:nvSpPr>
            <xdr:cNvPr id="2089" name="CheckBoxReunions" hidden="1">
              <a:extLst>
                <a:ext uri="{63B3BB69-23CF-44E3-9099-C40C66FF867C}">
                  <a14:compatExt spid="_x0000_s2089"/>
                </a:ext>
                <a:ext uri="{FF2B5EF4-FFF2-40B4-BE49-F238E27FC236}">
                  <a16:creationId xmlns:a16="http://schemas.microsoft.com/office/drawing/2014/main" id="{00000000-0008-0000-0000-000029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190500</xdr:colOff>
          <xdr:row>20</xdr:row>
          <xdr:rowOff>66675</xdr:rowOff>
        </xdr:from>
        <xdr:to>
          <xdr:col>11</xdr:col>
          <xdr:colOff>571500</xdr:colOff>
          <xdr:row>21</xdr:row>
          <xdr:rowOff>85725</xdr:rowOff>
        </xdr:to>
        <xdr:sp macro="" textlink="">
          <xdr:nvSpPr>
            <xdr:cNvPr id="2090" name="CheckBoxUnits" hidden="1">
              <a:extLst>
                <a:ext uri="{63B3BB69-23CF-44E3-9099-C40C66FF867C}">
                  <a14:compatExt spid="_x0000_s2090"/>
                </a:ext>
                <a:ext uri="{FF2B5EF4-FFF2-40B4-BE49-F238E27FC236}">
                  <a16:creationId xmlns:a16="http://schemas.microsoft.com/office/drawing/2014/main" id="{00000000-0008-0000-0000-00002A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19050</xdr:colOff>
          <xdr:row>19</xdr:row>
          <xdr:rowOff>95250</xdr:rowOff>
        </xdr:from>
        <xdr:to>
          <xdr:col>14</xdr:col>
          <xdr:colOff>990600</xdr:colOff>
          <xdr:row>20</xdr:row>
          <xdr:rowOff>180975</xdr:rowOff>
        </xdr:to>
        <xdr:sp macro="" textlink="">
          <xdr:nvSpPr>
            <xdr:cNvPr id="2091" name="CommandButtonGPlanCreate" hidden="1">
              <a:extLst>
                <a:ext uri="{63B3BB69-23CF-44E3-9099-C40C66FF867C}">
                  <a14:compatExt spid="_x0000_s2091"/>
                </a:ext>
                <a:ext uri="{FF2B5EF4-FFF2-40B4-BE49-F238E27FC236}">
                  <a16:creationId xmlns:a16="http://schemas.microsoft.com/office/drawing/2014/main" id="{00000000-0008-0000-0000-00002B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8</xdr:row>
          <xdr:rowOff>161925</xdr:rowOff>
        </xdr:from>
        <xdr:to>
          <xdr:col>5</xdr:col>
          <xdr:colOff>19050</xdr:colOff>
          <xdr:row>10</xdr:row>
          <xdr:rowOff>0</xdr:rowOff>
        </xdr:to>
        <xdr:sp macro="" textlink="">
          <xdr:nvSpPr>
            <xdr:cNvPr id="2092" name="ComboBoxYears" hidden="1">
              <a:extLst>
                <a:ext uri="{63B3BB69-23CF-44E3-9099-C40C66FF867C}">
                  <a14:compatExt spid="_x0000_s2092"/>
                </a:ext>
                <a:ext uri="{FF2B5EF4-FFF2-40B4-BE49-F238E27FC236}">
                  <a16:creationId xmlns:a16="http://schemas.microsoft.com/office/drawing/2014/main" id="{00000000-0008-0000-0000-00002C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247650</xdr:colOff>
          <xdr:row>17</xdr:row>
          <xdr:rowOff>19050</xdr:rowOff>
        </xdr:from>
        <xdr:to>
          <xdr:col>2</xdr:col>
          <xdr:colOff>1028700</xdr:colOff>
          <xdr:row>18</xdr:row>
          <xdr:rowOff>38100</xdr:rowOff>
        </xdr:to>
        <xdr:sp macro="" textlink="">
          <xdr:nvSpPr>
            <xdr:cNvPr id="2093" name="ComboBoxHours" hidden="1">
              <a:extLst>
                <a:ext uri="{63B3BB69-23CF-44E3-9099-C40C66FF867C}">
                  <a14:compatExt spid="_x0000_s2093"/>
                </a:ext>
                <a:ext uri="{FF2B5EF4-FFF2-40B4-BE49-F238E27FC236}">
                  <a16:creationId xmlns:a16="http://schemas.microsoft.com/office/drawing/2014/main" id="{00000000-0008-0000-0000-00002D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66675</xdr:colOff>
      <xdr:row>0</xdr:row>
      <xdr:rowOff>76200</xdr:rowOff>
    </xdr:from>
    <xdr:to>
      <xdr:col>0</xdr:col>
      <xdr:colOff>209550</xdr:colOff>
      <xdr:row>1</xdr:row>
      <xdr:rowOff>47625</xdr:rowOff>
    </xdr:to>
    <xdr:pic>
      <xdr:nvPicPr>
        <xdr:cNvPr id="2" name="Picture 2">
          <a:hlinkClick xmlns:r="http://schemas.openxmlformats.org/officeDocument/2006/relationships" r:id="rId1"/>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66675" y="76200"/>
          <a:ext cx="142875" cy="171450"/>
        </a:xfrm>
        <a:prstGeom prst="rect">
          <a:avLst/>
        </a:prstGeom>
        <a:noFill/>
        <a:ln w="9525">
          <a:noFill/>
          <a:miter lim="800000"/>
          <a:headEnd/>
          <a:tailEnd/>
        </a:ln>
      </xdr:spPr>
    </xdr:pic>
    <xdr:clientData fPrintsWithSheet="0"/>
  </xdr:twoCellAnchor>
</xdr:wsDr>
</file>

<file path=xl/drawings/drawing3.xml><?xml version="1.0" encoding="utf-8"?>
<xdr:wsDr xmlns:xdr="http://schemas.openxmlformats.org/drawingml/2006/spreadsheetDrawing" xmlns:a="http://schemas.openxmlformats.org/drawingml/2006/main">
  <xdr:twoCellAnchor editAs="oneCell">
    <xdr:from>
      <xdr:col>0</xdr:col>
      <xdr:colOff>66675</xdr:colOff>
      <xdr:row>0</xdr:row>
      <xdr:rowOff>47625</xdr:rowOff>
    </xdr:from>
    <xdr:to>
      <xdr:col>0</xdr:col>
      <xdr:colOff>209550</xdr:colOff>
      <xdr:row>1</xdr:row>
      <xdr:rowOff>28575</xdr:rowOff>
    </xdr:to>
    <xdr:pic>
      <xdr:nvPicPr>
        <xdr:cNvPr id="2" name="Picture 1">
          <a:hlinkClick xmlns:r="http://schemas.openxmlformats.org/officeDocument/2006/relationships" r:id="rId1"/>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66675" y="47625"/>
          <a:ext cx="142875" cy="171450"/>
        </a:xfrm>
        <a:prstGeom prst="rect">
          <a:avLst/>
        </a:prstGeom>
        <a:noFill/>
        <a:ln w="9525">
          <a:noFill/>
          <a:miter lim="800000"/>
          <a:headEnd/>
          <a:tailEnd/>
        </a:ln>
      </xdr:spPr>
    </xdr:pic>
    <xdr:clientData fPrintsWithSheet="0"/>
  </xdr:twoCellAnchor>
</xdr:wsDr>
</file>

<file path=xl/drawings/drawing4.xml><?xml version="1.0" encoding="utf-8"?>
<xdr:wsDr xmlns:xdr="http://schemas.openxmlformats.org/drawingml/2006/spreadsheetDrawing" xmlns:a="http://schemas.openxmlformats.org/drawingml/2006/main">
  <xdr:twoCellAnchor editAs="oneCell">
    <xdr:from>
      <xdr:col>0</xdr:col>
      <xdr:colOff>66675</xdr:colOff>
      <xdr:row>0</xdr:row>
      <xdr:rowOff>47625</xdr:rowOff>
    </xdr:from>
    <xdr:to>
      <xdr:col>1</xdr:col>
      <xdr:colOff>95250</xdr:colOff>
      <xdr:row>1</xdr:row>
      <xdr:rowOff>28575</xdr:rowOff>
    </xdr:to>
    <xdr:pic>
      <xdr:nvPicPr>
        <xdr:cNvPr id="2" name="Picture 1">
          <a:hlinkClick xmlns:r="http://schemas.openxmlformats.org/officeDocument/2006/relationships" r:id="rId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66675" y="47625"/>
          <a:ext cx="142875" cy="171450"/>
        </a:xfrm>
        <a:prstGeom prst="rect">
          <a:avLst/>
        </a:prstGeom>
        <a:noFill/>
        <a:ln w="9525">
          <a:noFill/>
          <a:miter lim="800000"/>
          <a:headEnd/>
          <a:tailEnd/>
        </a:ln>
      </xdr:spPr>
    </xdr:pic>
    <xdr:clientData fPrintsWithSheet="0"/>
  </xdr:twoCellAnchor>
</xdr:wsDr>
</file>

<file path=xl/drawings/drawing5.xml><?xml version="1.0" encoding="utf-8"?>
<xdr:wsDr xmlns:xdr="http://schemas.openxmlformats.org/drawingml/2006/spreadsheetDrawing" xmlns:a="http://schemas.openxmlformats.org/drawingml/2006/main">
  <xdr:twoCellAnchor editAs="oneCell">
    <xdr:from>
      <xdr:col>0</xdr:col>
      <xdr:colOff>66675</xdr:colOff>
      <xdr:row>0</xdr:row>
      <xdr:rowOff>47625</xdr:rowOff>
    </xdr:from>
    <xdr:to>
      <xdr:col>0</xdr:col>
      <xdr:colOff>209550</xdr:colOff>
      <xdr:row>1</xdr:row>
      <xdr:rowOff>28575</xdr:rowOff>
    </xdr:to>
    <xdr:pic>
      <xdr:nvPicPr>
        <xdr:cNvPr id="2" name="Picture 1">
          <a:hlinkClick xmlns:r="http://schemas.openxmlformats.org/officeDocument/2006/relationships" r:id="rId1"/>
          <a:extLst>
            <a:ext uri="{FF2B5EF4-FFF2-40B4-BE49-F238E27FC236}">
              <a16:creationId xmlns:a16="http://schemas.microsoft.com/office/drawing/2014/main" id="{00000000-0008-0000-0400-000002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66675" y="47625"/>
          <a:ext cx="142875" cy="171450"/>
        </a:xfrm>
        <a:prstGeom prst="rect">
          <a:avLst/>
        </a:prstGeom>
        <a:noFill/>
        <a:ln w="9525">
          <a:noFill/>
          <a:miter lim="800000"/>
          <a:headEnd/>
          <a:tailEnd/>
        </a:ln>
      </xdr:spPr>
    </xdr:pic>
    <xdr:clientData fPrintsWithSheet="0"/>
  </xdr:twoCellAnchor>
</xdr:wsDr>
</file>

<file path=xl/drawings/drawing6.xml><?xml version="1.0" encoding="utf-8"?>
<xdr:wsDr xmlns:xdr="http://schemas.openxmlformats.org/drawingml/2006/spreadsheetDrawing" xmlns:a="http://schemas.openxmlformats.org/drawingml/2006/main">
  <xdr:twoCellAnchor editAs="oneCell">
    <xdr:from>
      <xdr:col>0</xdr:col>
      <xdr:colOff>66675</xdr:colOff>
      <xdr:row>0</xdr:row>
      <xdr:rowOff>47625</xdr:rowOff>
    </xdr:from>
    <xdr:to>
      <xdr:col>0</xdr:col>
      <xdr:colOff>209550</xdr:colOff>
      <xdr:row>0</xdr:row>
      <xdr:rowOff>219075</xdr:rowOff>
    </xdr:to>
    <xdr:pic>
      <xdr:nvPicPr>
        <xdr:cNvPr id="2" name="Picture 42">
          <a:hlinkClick xmlns:r="http://schemas.openxmlformats.org/officeDocument/2006/relationships" r:id="rId1"/>
          <a:extLst>
            <a:ext uri="{FF2B5EF4-FFF2-40B4-BE49-F238E27FC236}">
              <a16:creationId xmlns:a16="http://schemas.microsoft.com/office/drawing/2014/main" id="{00000000-0008-0000-0600-000002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66675" y="47625"/>
          <a:ext cx="142875" cy="171450"/>
        </a:xfrm>
        <a:prstGeom prst="rect">
          <a:avLst/>
        </a:prstGeom>
        <a:noFill/>
        <a:ln w="9525">
          <a:noFill/>
          <a:miter lim="800000"/>
          <a:headEnd/>
          <a:tailEnd/>
        </a:ln>
      </xdr:spPr>
    </xdr:pic>
    <xdr:clientData fPrintsWithSheet="0"/>
  </xdr:twoCellAnchor>
</xdr:wsDr>
</file>

<file path=xl/drawings/drawing7.xml><?xml version="1.0" encoding="utf-8"?>
<xdr:wsDr xmlns:xdr="http://schemas.openxmlformats.org/drawingml/2006/spreadsheetDrawing" xmlns:a="http://schemas.openxmlformats.org/drawingml/2006/main">
  <xdr:twoCellAnchor editAs="oneCell">
    <xdr:from>
      <xdr:col>0</xdr:col>
      <xdr:colOff>66675</xdr:colOff>
      <xdr:row>0</xdr:row>
      <xdr:rowOff>47625</xdr:rowOff>
    </xdr:from>
    <xdr:to>
      <xdr:col>1</xdr:col>
      <xdr:colOff>19050</xdr:colOff>
      <xdr:row>0</xdr:row>
      <xdr:rowOff>219075</xdr:rowOff>
    </xdr:to>
    <xdr:pic>
      <xdr:nvPicPr>
        <xdr:cNvPr id="2" name="Picture 25">
          <a:hlinkClick xmlns:r="http://schemas.openxmlformats.org/officeDocument/2006/relationships" r:id="rId1"/>
          <a:extLst>
            <a:ext uri="{FF2B5EF4-FFF2-40B4-BE49-F238E27FC236}">
              <a16:creationId xmlns:a16="http://schemas.microsoft.com/office/drawing/2014/main" id="{00000000-0008-0000-0700-000002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66675" y="47625"/>
          <a:ext cx="142875" cy="171450"/>
        </a:xfrm>
        <a:prstGeom prst="rect">
          <a:avLst/>
        </a:prstGeom>
        <a:noFill/>
        <a:ln w="9525">
          <a:noFill/>
          <a:miter lim="800000"/>
          <a:headEnd/>
          <a:tailEnd/>
        </a:ln>
      </xdr:spPr>
    </xdr:pic>
    <xdr:clientData fPrintsWithSheet="0"/>
  </xdr:twoCellAnchor>
</xdr:wsDr>
</file>

<file path=xl/drawings/drawing8.xml><?xml version="1.0" encoding="utf-8"?>
<xdr:wsDr xmlns:xdr="http://schemas.openxmlformats.org/drawingml/2006/spreadsheetDrawing" xmlns:a="http://schemas.openxmlformats.org/drawingml/2006/main">
  <xdr:twoCellAnchor editAs="oneCell">
    <xdr:from>
      <xdr:col>1</xdr:col>
      <xdr:colOff>66675</xdr:colOff>
      <xdr:row>0</xdr:row>
      <xdr:rowOff>47625</xdr:rowOff>
    </xdr:from>
    <xdr:to>
      <xdr:col>1</xdr:col>
      <xdr:colOff>209550</xdr:colOff>
      <xdr:row>0</xdr:row>
      <xdr:rowOff>219075</xdr:rowOff>
    </xdr:to>
    <xdr:pic>
      <xdr:nvPicPr>
        <xdr:cNvPr id="2" name="Picture 92">
          <a:hlinkClick xmlns:r="http://schemas.openxmlformats.org/officeDocument/2006/relationships" r:id="rId1"/>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323850" y="47625"/>
          <a:ext cx="142875" cy="171450"/>
        </a:xfrm>
        <a:prstGeom prst="rect">
          <a:avLst/>
        </a:prstGeom>
        <a:noFill/>
        <a:ln w="9525">
          <a:noFill/>
          <a:miter lim="800000"/>
          <a:headEnd/>
          <a:tailEnd/>
        </a:ln>
      </xdr:spPr>
    </xdr:pic>
    <xdr:clientData fPrintsWithSheet="0"/>
  </xdr:twoCellAnchor>
  <mc:AlternateContent xmlns:mc="http://schemas.openxmlformats.org/markup-compatibility/2006">
    <mc:Choice xmlns:a14="http://schemas.microsoft.com/office/drawing/2010/main" Requires="a14">
      <xdr:twoCellAnchor editAs="oneCell">
        <xdr:from>
          <xdr:col>18</xdr:col>
          <xdr:colOff>85725</xdr:colOff>
          <xdr:row>0</xdr:row>
          <xdr:rowOff>85725</xdr:rowOff>
        </xdr:from>
        <xdr:to>
          <xdr:col>19</xdr:col>
          <xdr:colOff>152400</xdr:colOff>
          <xdr:row>0</xdr:row>
          <xdr:rowOff>504825</xdr:rowOff>
        </xdr:to>
        <xdr:sp macro="" textlink="">
          <xdr:nvSpPr>
            <xdr:cNvPr id="3073" name="YearSelect2" hidden="1">
              <a:extLst>
                <a:ext uri="{63B3BB69-23CF-44E3-9099-C40C66FF867C}">
                  <a14:compatExt spid="_x0000_s3073"/>
                </a:ext>
                <a:ext uri="{FF2B5EF4-FFF2-40B4-BE49-F238E27FC236}">
                  <a16:creationId xmlns:a16="http://schemas.microsoft.com/office/drawing/2014/main" id="{00000000-0008-0000-0800-0000010C0000}"/>
                </a:ext>
              </a:extLst>
            </xdr:cNvPr>
            <xdr:cNvSpPr/>
          </xdr:nvSpPr>
          <xdr:spPr bwMode="auto">
            <a:xfrm>
              <a:off x="0" y="0"/>
              <a:ext cx="0" cy="0"/>
            </a:xfrm>
            <a:prstGeom prst="rect">
              <a:avLst/>
            </a:prstGeom>
            <a:noFill/>
            <a:ln w="9525">
              <a:miter lim="800000"/>
              <a:headEnd/>
              <a:tailEnd/>
            </a:ln>
          </xdr:spPr>
        </xdr:sp>
        <xdr:clientData fLocksWithSheet="0" fPrintsWithSheet="0"/>
      </xdr:twoCellAnchor>
    </mc:Choice>
    <mc:Fallback/>
  </mc:AlternateContent>
</xdr:wsDr>
</file>

<file path=xl/drawings/drawing9.xml><?xml version="1.0" encoding="utf-8"?>
<xdr:wsDr xmlns:xdr="http://schemas.openxmlformats.org/drawingml/2006/spreadsheetDrawing" xmlns:a="http://schemas.openxmlformats.org/drawingml/2006/main">
  <xdr:oneCellAnchor>
    <xdr:from>
      <xdr:col>0</xdr:col>
      <xdr:colOff>28575</xdr:colOff>
      <xdr:row>3</xdr:row>
      <xdr:rowOff>47625</xdr:rowOff>
    </xdr:from>
    <xdr:ext cx="142875" cy="161925"/>
    <xdr:pic>
      <xdr:nvPicPr>
        <xdr:cNvPr id="2" name="Picture 98">
          <a:hlinkClick xmlns:r="http://schemas.openxmlformats.org/officeDocument/2006/relationships" r:id="rId1"/>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28575" y="733425"/>
          <a:ext cx="142875" cy="161925"/>
        </a:xfrm>
        <a:prstGeom prst="rect">
          <a:avLst/>
        </a:prstGeom>
        <a:noFill/>
        <a:ln w="9525">
          <a:noFill/>
          <a:miter lim="800000"/>
          <a:headEnd/>
          <a:tailEnd/>
        </a:ln>
      </xdr:spPr>
    </xdr:pic>
    <xdr:clientData fPrintsWithSheet="0"/>
  </xdr:oneCellAnchor>
  <xdr:twoCellAnchor editAs="oneCell">
    <xdr:from>
      <xdr:col>0</xdr:col>
      <xdr:colOff>38100</xdr:colOff>
      <xdr:row>3</xdr:row>
      <xdr:rowOff>243495</xdr:rowOff>
    </xdr:from>
    <xdr:to>
      <xdr:col>0</xdr:col>
      <xdr:colOff>209550</xdr:colOff>
      <xdr:row>4</xdr:row>
      <xdr:rowOff>227484</xdr:rowOff>
    </xdr:to>
    <xdr:pic>
      <xdr:nvPicPr>
        <xdr:cNvPr id="4" name="Imagem 3">
          <a:extLst>
            <a:ext uri="{FF2B5EF4-FFF2-40B4-BE49-F238E27FC236}">
              <a16:creationId xmlns:a16="http://schemas.microsoft.com/office/drawing/2014/main" id="{00000000-0008-0000-09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38100" y="929295"/>
          <a:ext cx="171450" cy="231639"/>
        </a:xfrm>
        <a:prstGeom prst="rect">
          <a:avLst/>
        </a:prstGeom>
      </xdr:spPr>
    </xdr:pic>
    <xdr:clientData/>
  </xdr:twoCellAnchor>
  <xdr:twoCellAnchor editAs="oneCell">
    <xdr:from>
      <xdr:col>7</xdr:col>
      <xdr:colOff>38100</xdr:colOff>
      <xdr:row>4</xdr:row>
      <xdr:rowOff>13013</xdr:rowOff>
    </xdr:from>
    <xdr:to>
      <xdr:col>7</xdr:col>
      <xdr:colOff>295275</xdr:colOff>
      <xdr:row>4</xdr:row>
      <xdr:rowOff>190500</xdr:rowOff>
    </xdr:to>
    <xdr:pic>
      <xdr:nvPicPr>
        <xdr:cNvPr id="6" name="Imagem 5">
          <a:extLst>
            <a:ext uri="{FF2B5EF4-FFF2-40B4-BE49-F238E27FC236}">
              <a16:creationId xmlns:a16="http://schemas.microsoft.com/office/drawing/2014/main" id="{00000000-0008-0000-0900-000006000000}"/>
            </a:ext>
          </a:extLst>
        </xdr:cNvPr>
        <xdr:cNvPicPr>
          <a:picLocks noChangeAspect="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b="30986"/>
        <a:stretch/>
      </xdr:blipFill>
      <xdr:spPr>
        <a:xfrm>
          <a:off x="2190750" y="946463"/>
          <a:ext cx="257175" cy="177487"/>
        </a:xfrm>
        <a:prstGeom prst="rect">
          <a:avLst/>
        </a:prstGeom>
      </xdr:spPr>
    </xdr:pic>
    <xdr:clientData/>
  </xdr:twoCellAnchor>
  <xdr:twoCellAnchor editAs="oneCell">
    <xdr:from>
      <xdr:col>5</xdr:col>
      <xdr:colOff>47624</xdr:colOff>
      <xdr:row>3</xdr:row>
      <xdr:rowOff>217248</xdr:rowOff>
    </xdr:from>
    <xdr:to>
      <xdr:col>5</xdr:col>
      <xdr:colOff>303224</xdr:colOff>
      <xdr:row>4</xdr:row>
      <xdr:rowOff>218534</xdr:rowOff>
    </xdr:to>
    <xdr:pic>
      <xdr:nvPicPr>
        <xdr:cNvPr id="8" name="Imagem 7">
          <a:extLst>
            <a:ext uri="{FF2B5EF4-FFF2-40B4-BE49-F238E27FC236}">
              <a16:creationId xmlns:a16="http://schemas.microsoft.com/office/drawing/2014/main" id="{00000000-0008-0000-0900-000008000000}"/>
            </a:ext>
          </a:extLst>
        </xdr:cNvPr>
        <xdr:cNvPicPr>
          <a:picLocks noChangeAspect="1"/>
        </xdr:cNvPicPr>
      </xdr:nvPicPr>
      <xdr:blipFill rotWithShape="1">
        <a:blip xmlns:r="http://schemas.openxmlformats.org/officeDocument/2006/relationships" r:embed="rId5" cstate="print">
          <a:extLst>
            <a:ext uri="{28A0092B-C50C-407E-A947-70E740481C1C}">
              <a14:useLocalDpi xmlns:a14="http://schemas.microsoft.com/office/drawing/2010/main" val="0"/>
            </a:ext>
          </a:extLst>
        </a:blip>
        <a:srcRect b="4907"/>
        <a:stretch/>
      </xdr:blipFill>
      <xdr:spPr>
        <a:xfrm>
          <a:off x="1466849" y="903048"/>
          <a:ext cx="255600" cy="248936"/>
        </a:xfrm>
        <a:prstGeom prst="rect">
          <a:avLst/>
        </a:prstGeom>
      </xdr:spPr>
    </xdr:pic>
    <xdr:clientData/>
  </xdr:twoCellAnchor>
  <xdr:twoCellAnchor editAs="oneCell">
    <xdr:from>
      <xdr:col>3</xdr:col>
      <xdr:colOff>40883</xdr:colOff>
      <xdr:row>4</xdr:row>
      <xdr:rowOff>9525</xdr:rowOff>
    </xdr:from>
    <xdr:to>
      <xdr:col>3</xdr:col>
      <xdr:colOff>296483</xdr:colOff>
      <xdr:row>4</xdr:row>
      <xdr:rowOff>186772</xdr:rowOff>
    </xdr:to>
    <xdr:pic>
      <xdr:nvPicPr>
        <xdr:cNvPr id="10" name="Imagem 9">
          <a:extLst>
            <a:ext uri="{FF2B5EF4-FFF2-40B4-BE49-F238E27FC236}">
              <a16:creationId xmlns:a16="http://schemas.microsoft.com/office/drawing/2014/main" id="{00000000-0008-0000-0900-00000A000000}"/>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val="0"/>
            </a:ext>
          </a:extLst>
        </a:blip>
        <a:srcRect b="32293"/>
        <a:stretch/>
      </xdr:blipFill>
      <xdr:spPr>
        <a:xfrm>
          <a:off x="726683" y="942975"/>
          <a:ext cx="255600" cy="177247"/>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9</xdr:col>
          <xdr:colOff>57150</xdr:colOff>
          <xdr:row>1</xdr:row>
          <xdr:rowOff>19050</xdr:rowOff>
        </xdr:from>
        <xdr:to>
          <xdr:col>10</xdr:col>
          <xdr:colOff>0</xdr:colOff>
          <xdr:row>2</xdr:row>
          <xdr:rowOff>142875</xdr:rowOff>
        </xdr:to>
        <xdr:sp macro="" textlink="">
          <xdr:nvSpPr>
            <xdr:cNvPr id="43009" name="WeekSelect2" hidden="1">
              <a:extLst>
                <a:ext uri="{63B3BB69-23CF-44E3-9099-C40C66FF867C}">
                  <a14:compatExt spid="_x0000_s43009"/>
                </a:ext>
                <a:ext uri="{FF2B5EF4-FFF2-40B4-BE49-F238E27FC236}">
                  <a16:creationId xmlns:a16="http://schemas.microsoft.com/office/drawing/2014/main" id="{00000000-0008-0000-0900-000001A800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57150</xdr:colOff>
          <xdr:row>0</xdr:row>
          <xdr:rowOff>47625</xdr:rowOff>
        </xdr:from>
        <xdr:to>
          <xdr:col>1</xdr:col>
          <xdr:colOff>19050</xdr:colOff>
          <xdr:row>1</xdr:row>
          <xdr:rowOff>180975</xdr:rowOff>
        </xdr:to>
        <xdr:sp macro="" textlink="">
          <xdr:nvSpPr>
            <xdr:cNvPr id="43010" name="YearSelect3" hidden="1">
              <a:extLst>
                <a:ext uri="{63B3BB69-23CF-44E3-9099-C40C66FF867C}">
                  <a14:compatExt spid="_x0000_s43010"/>
                </a:ext>
                <a:ext uri="{FF2B5EF4-FFF2-40B4-BE49-F238E27FC236}">
                  <a16:creationId xmlns:a16="http://schemas.microsoft.com/office/drawing/2014/main" id="{00000000-0008-0000-0900-000002A800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oneCellAnchor>
    <xdr:from>
      <xdr:col>0</xdr:col>
      <xdr:colOff>66675</xdr:colOff>
      <xdr:row>0</xdr:row>
      <xdr:rowOff>47625</xdr:rowOff>
    </xdr:from>
    <xdr:ext cx="142875" cy="171450"/>
    <xdr:pic>
      <xdr:nvPicPr>
        <xdr:cNvPr id="2" name="Picture 45">
          <a:hlinkClick xmlns:r="http://schemas.openxmlformats.org/officeDocument/2006/relationships" r:id="rId1"/>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66675" y="47625"/>
          <a:ext cx="142875" cy="171450"/>
        </a:xfrm>
        <a:prstGeom prst="rect">
          <a:avLst/>
        </a:prstGeom>
        <a:noFill/>
        <a:ln w="9525">
          <a:noFill/>
          <a:miter lim="800000"/>
          <a:headEnd/>
          <a:tailEnd/>
        </a:ln>
      </xdr:spPr>
    </xdr:pic>
    <xdr:clientData fPrintsWithSheet="0"/>
  </xdr:oneCellAnchor>
  <mc:AlternateContent xmlns:mc="http://schemas.openxmlformats.org/markup-compatibility/2006">
    <mc:Choice xmlns:a14="http://schemas.microsoft.com/office/drawing/2010/main" Requires="a14">
      <xdr:twoCellAnchor editAs="oneCell">
        <xdr:from>
          <xdr:col>0</xdr:col>
          <xdr:colOff>47625</xdr:colOff>
          <xdr:row>1</xdr:row>
          <xdr:rowOff>66675</xdr:rowOff>
        </xdr:from>
        <xdr:to>
          <xdr:col>1</xdr:col>
          <xdr:colOff>9525</xdr:colOff>
          <xdr:row>2</xdr:row>
          <xdr:rowOff>180975</xdr:rowOff>
        </xdr:to>
        <xdr:sp macro="" textlink="">
          <xdr:nvSpPr>
            <xdr:cNvPr id="44033" name="WeekSelect1" hidden="1">
              <a:extLst>
                <a:ext uri="{63B3BB69-23CF-44E3-9099-C40C66FF867C}">
                  <a14:compatExt spid="_x0000_s44033"/>
                </a:ext>
                <a:ext uri="{FF2B5EF4-FFF2-40B4-BE49-F238E27FC236}">
                  <a16:creationId xmlns:a16="http://schemas.microsoft.com/office/drawing/2014/main" id="{00000000-0008-0000-0A00-000001AC00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oneCellAnchor>
    <xdr:from>
      <xdr:col>1</xdr:col>
      <xdr:colOff>75412</xdr:colOff>
      <xdr:row>0</xdr:row>
      <xdr:rowOff>63500</xdr:rowOff>
    </xdr:from>
    <xdr:ext cx="232833" cy="279400"/>
    <xdr:pic>
      <xdr:nvPicPr>
        <xdr:cNvPr id="2" name="Picture 45">
          <a:hlinkClick xmlns:r="http://schemas.openxmlformats.org/officeDocument/2006/relationships" r:id="rId1"/>
          <a:extLst>
            <a:ext uri="{FF2B5EF4-FFF2-40B4-BE49-F238E27FC236}">
              <a16:creationId xmlns:a16="http://schemas.microsoft.com/office/drawing/2014/main" id="{00000000-0008-0000-0B00-000002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265912" y="63500"/>
          <a:ext cx="232833" cy="279400"/>
        </a:xfrm>
        <a:prstGeom prst="rect">
          <a:avLst/>
        </a:prstGeom>
        <a:noFill/>
        <a:ln w="9525">
          <a:noFill/>
          <a:miter lim="800000"/>
          <a:headEnd/>
          <a:tailEnd/>
        </a:ln>
      </xdr:spPr>
    </xdr:pic>
    <xdr:clientData fPrintsWithSheet="0"/>
  </xdr:oneCellAnchor>
  <mc:AlternateContent xmlns:mc="http://schemas.openxmlformats.org/markup-compatibility/2006">
    <mc:Choice xmlns:a14="http://schemas.microsoft.com/office/drawing/2010/main" Requires="a14">
      <xdr:twoCellAnchor editAs="oneCell">
        <xdr:from>
          <xdr:col>11</xdr:col>
          <xdr:colOff>95250</xdr:colOff>
          <xdr:row>0</xdr:row>
          <xdr:rowOff>76200</xdr:rowOff>
        </xdr:from>
        <xdr:to>
          <xdr:col>11</xdr:col>
          <xdr:colOff>619125</xdr:colOff>
          <xdr:row>2</xdr:row>
          <xdr:rowOff>123825</xdr:rowOff>
        </xdr:to>
        <xdr:sp macro="" textlink="">
          <xdr:nvSpPr>
            <xdr:cNvPr id="19457" name="MonthSelect2" hidden="1">
              <a:extLst>
                <a:ext uri="{63B3BB69-23CF-44E3-9099-C40C66FF867C}">
                  <a14:compatExt spid="_x0000_s19457"/>
                </a:ext>
                <a:ext uri="{FF2B5EF4-FFF2-40B4-BE49-F238E27FC236}">
                  <a16:creationId xmlns:a16="http://schemas.microsoft.com/office/drawing/2014/main" id="{00000000-0008-0000-0B00-0000014C00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xdr:oneCellAnchor>
    <xdr:from>
      <xdr:col>2</xdr:col>
      <xdr:colOff>38100</xdr:colOff>
      <xdr:row>0</xdr:row>
      <xdr:rowOff>25400</xdr:rowOff>
    </xdr:from>
    <xdr:ext cx="232833" cy="279400"/>
    <xdr:pic>
      <xdr:nvPicPr>
        <xdr:cNvPr id="2" name="Picture 45">
          <a:hlinkClick xmlns:r="http://schemas.openxmlformats.org/officeDocument/2006/relationships" r:id="rId1"/>
          <a:extLst>
            <a:ext uri="{FF2B5EF4-FFF2-40B4-BE49-F238E27FC236}">
              <a16:creationId xmlns:a16="http://schemas.microsoft.com/office/drawing/2014/main" id="{00000000-0008-0000-0C00-000002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38100" y="25400"/>
          <a:ext cx="232833" cy="279400"/>
        </a:xfrm>
        <a:prstGeom prst="rect">
          <a:avLst/>
        </a:prstGeom>
        <a:noFill/>
        <a:ln w="9525">
          <a:noFill/>
          <a:miter lim="800000"/>
          <a:headEnd/>
          <a:tailEnd/>
        </a:ln>
      </xdr:spPr>
    </xdr:pic>
    <xdr:clientData fPrintsWithSheet="0"/>
  </xdr:oneCellAnchor>
  <mc:AlternateContent xmlns:mc="http://schemas.openxmlformats.org/markup-compatibility/2006">
    <mc:Choice xmlns:a14="http://schemas.microsoft.com/office/drawing/2010/main" Requires="a14">
      <xdr:twoCellAnchor editAs="oneCell">
        <xdr:from>
          <xdr:col>0</xdr:col>
          <xdr:colOff>114300</xdr:colOff>
          <xdr:row>1</xdr:row>
          <xdr:rowOff>190500</xdr:rowOff>
        </xdr:from>
        <xdr:to>
          <xdr:col>2</xdr:col>
          <xdr:colOff>257175</xdr:colOff>
          <xdr:row>3</xdr:row>
          <xdr:rowOff>161925</xdr:rowOff>
        </xdr:to>
        <xdr:sp macro="" textlink="">
          <xdr:nvSpPr>
            <xdr:cNvPr id="20481" name="MonthSelect1" hidden="1">
              <a:extLst>
                <a:ext uri="{63B3BB69-23CF-44E3-9099-C40C66FF867C}">
                  <a14:compatExt spid="_x0000_s20481"/>
                </a:ext>
                <a:ext uri="{FF2B5EF4-FFF2-40B4-BE49-F238E27FC236}">
                  <a16:creationId xmlns:a16="http://schemas.microsoft.com/office/drawing/2014/main" id="{00000000-0008-0000-0C00-0000015000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xdr:twoCellAnchor editAs="oneCell">
    <xdr:from>
      <xdr:col>1</xdr:col>
      <xdr:colOff>38100</xdr:colOff>
      <xdr:row>0</xdr:row>
      <xdr:rowOff>57150</xdr:rowOff>
    </xdr:from>
    <xdr:to>
      <xdr:col>1</xdr:col>
      <xdr:colOff>180975</xdr:colOff>
      <xdr:row>0</xdr:row>
      <xdr:rowOff>228600</xdr:rowOff>
    </xdr:to>
    <xdr:pic>
      <xdr:nvPicPr>
        <xdr:cNvPr id="2" name="Picture 1">
          <a:hlinkClick xmlns:r="http://schemas.openxmlformats.org/officeDocument/2006/relationships" r:id="rId1"/>
          <a:extLst>
            <a:ext uri="{FF2B5EF4-FFF2-40B4-BE49-F238E27FC236}">
              <a16:creationId xmlns:a16="http://schemas.microsoft.com/office/drawing/2014/main" id="{00000000-0008-0000-0D00-000002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133350" y="57150"/>
          <a:ext cx="142875" cy="171450"/>
        </a:xfrm>
        <a:prstGeom prst="rect">
          <a:avLst/>
        </a:prstGeom>
        <a:noFill/>
        <a:ln w="9525">
          <a:noFill/>
          <a:miter lim="800000"/>
          <a:headEnd/>
          <a:tailEnd/>
        </a:ln>
      </xdr:spPr>
    </xdr:pic>
    <xdr:clientData fPrintsWithSheet="0"/>
  </xdr:twoCellAnchor>
</xdr:wsDr>
</file>

<file path=xl/drawings/drawing14.xml><?xml version="1.0" encoding="utf-8"?>
<xdr:wsDr xmlns:xdr="http://schemas.openxmlformats.org/drawingml/2006/spreadsheetDrawing" xmlns:a="http://schemas.openxmlformats.org/drawingml/2006/main">
  <xdr:twoCellAnchor editAs="oneCell">
    <xdr:from>
      <xdr:col>1</xdr:col>
      <xdr:colOff>47625</xdr:colOff>
      <xdr:row>1</xdr:row>
      <xdr:rowOff>76200</xdr:rowOff>
    </xdr:from>
    <xdr:to>
      <xdr:col>1</xdr:col>
      <xdr:colOff>190500</xdr:colOff>
      <xdr:row>2</xdr:row>
      <xdr:rowOff>57150</xdr:rowOff>
    </xdr:to>
    <xdr:pic>
      <xdr:nvPicPr>
        <xdr:cNvPr id="2" name="Picture 1">
          <a:hlinkClick xmlns:r="http://schemas.openxmlformats.org/officeDocument/2006/relationships" r:id="rId1"/>
          <a:extLst>
            <a:ext uri="{FF2B5EF4-FFF2-40B4-BE49-F238E27FC236}">
              <a16:creationId xmlns:a16="http://schemas.microsoft.com/office/drawing/2014/main" id="{00000000-0008-0000-0E00-000002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142875" y="333375"/>
          <a:ext cx="142875" cy="171450"/>
        </a:xfrm>
        <a:prstGeom prst="rect">
          <a:avLst/>
        </a:prstGeom>
        <a:noFill/>
        <a:ln w="9525">
          <a:noFill/>
          <a:miter lim="800000"/>
          <a:headEnd/>
          <a:tailEnd/>
        </a:ln>
      </xdr:spPr>
    </xdr:pic>
    <xdr:clientData fPrintsWithSheet="0"/>
  </xdr:twoCellAnchor>
</xdr:wsDr>
</file>

<file path=xl/drawings/drawing15.xml><?xml version="1.0" encoding="utf-8"?>
<xdr:wsDr xmlns:xdr="http://schemas.openxmlformats.org/drawingml/2006/spreadsheetDrawing" xmlns:a="http://schemas.openxmlformats.org/drawingml/2006/main">
  <xdr:twoCellAnchor editAs="oneCell">
    <xdr:from>
      <xdr:col>0</xdr:col>
      <xdr:colOff>66675</xdr:colOff>
      <xdr:row>0</xdr:row>
      <xdr:rowOff>66675</xdr:rowOff>
    </xdr:from>
    <xdr:to>
      <xdr:col>0</xdr:col>
      <xdr:colOff>209550</xdr:colOff>
      <xdr:row>0</xdr:row>
      <xdr:rowOff>238125</xdr:rowOff>
    </xdr:to>
    <xdr:pic>
      <xdr:nvPicPr>
        <xdr:cNvPr id="2" name="Picture 25">
          <a:hlinkClick xmlns:r="http://schemas.openxmlformats.org/officeDocument/2006/relationships" r:id="rId1"/>
          <a:extLst>
            <a:ext uri="{FF2B5EF4-FFF2-40B4-BE49-F238E27FC236}">
              <a16:creationId xmlns:a16="http://schemas.microsoft.com/office/drawing/2014/main" id="{00000000-0008-0000-0F00-000002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66675" y="66675"/>
          <a:ext cx="142875" cy="171450"/>
        </a:xfrm>
        <a:prstGeom prst="rect">
          <a:avLst/>
        </a:prstGeom>
        <a:noFill/>
        <a:ln w="9525">
          <a:noFill/>
          <a:miter lim="800000"/>
          <a:headEnd/>
          <a:tailEnd/>
        </a:ln>
      </xdr:spPr>
    </xdr:pic>
    <xdr:clientData fPrintsWithSheet="0"/>
  </xdr:twoCellAnchor>
</xdr:wsDr>
</file>

<file path=xl/drawings/drawing16.xml><?xml version="1.0" encoding="utf-8"?>
<xdr:wsDr xmlns:xdr="http://schemas.openxmlformats.org/drawingml/2006/spreadsheetDrawing" xmlns:a="http://schemas.openxmlformats.org/drawingml/2006/main">
  <xdr:twoCellAnchor editAs="oneCell">
    <xdr:from>
      <xdr:col>0</xdr:col>
      <xdr:colOff>66675</xdr:colOff>
      <xdr:row>0</xdr:row>
      <xdr:rowOff>47625</xdr:rowOff>
    </xdr:from>
    <xdr:to>
      <xdr:col>0</xdr:col>
      <xdr:colOff>209550</xdr:colOff>
      <xdr:row>0</xdr:row>
      <xdr:rowOff>219075</xdr:rowOff>
    </xdr:to>
    <xdr:pic>
      <xdr:nvPicPr>
        <xdr:cNvPr id="2" name="Picture 17">
          <a:hlinkClick xmlns:r="http://schemas.openxmlformats.org/officeDocument/2006/relationships" r:id="rId1"/>
          <a:extLst>
            <a:ext uri="{FF2B5EF4-FFF2-40B4-BE49-F238E27FC236}">
              <a16:creationId xmlns:a16="http://schemas.microsoft.com/office/drawing/2014/main" id="{00000000-0008-0000-1000-000002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66675" y="47625"/>
          <a:ext cx="142875" cy="171450"/>
        </a:xfrm>
        <a:prstGeom prst="rect">
          <a:avLst/>
        </a:prstGeom>
        <a:noFill/>
        <a:ln w="9525">
          <a:noFill/>
          <a:miter lim="800000"/>
          <a:headEnd/>
          <a:tailEnd/>
        </a:ln>
      </xdr:spPr>
    </xdr:pic>
    <xdr:clientData fPrintsWithSheet="0"/>
  </xdr:twoCellAnchor>
</xdr:wsDr>
</file>

<file path=xl/drawings/drawing17.xml><?xml version="1.0" encoding="utf-8"?>
<xdr:wsDr xmlns:xdr="http://schemas.openxmlformats.org/drawingml/2006/spreadsheetDrawing" xmlns:a="http://schemas.openxmlformats.org/drawingml/2006/main">
  <xdr:twoCellAnchor editAs="oneCell">
    <xdr:from>
      <xdr:col>0</xdr:col>
      <xdr:colOff>66675</xdr:colOff>
      <xdr:row>0</xdr:row>
      <xdr:rowOff>47625</xdr:rowOff>
    </xdr:from>
    <xdr:to>
      <xdr:col>0</xdr:col>
      <xdr:colOff>209550</xdr:colOff>
      <xdr:row>0</xdr:row>
      <xdr:rowOff>219075</xdr:rowOff>
    </xdr:to>
    <xdr:pic>
      <xdr:nvPicPr>
        <xdr:cNvPr id="2" name="Picture 17">
          <a:hlinkClick xmlns:r="http://schemas.openxmlformats.org/officeDocument/2006/relationships" r:id="rId1"/>
          <a:extLst>
            <a:ext uri="{FF2B5EF4-FFF2-40B4-BE49-F238E27FC236}">
              <a16:creationId xmlns:a16="http://schemas.microsoft.com/office/drawing/2014/main" id="{00000000-0008-0000-1100-000002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66675" y="47625"/>
          <a:ext cx="142875" cy="171450"/>
        </a:xfrm>
        <a:prstGeom prst="rect">
          <a:avLst/>
        </a:prstGeom>
        <a:noFill/>
        <a:ln w="9525">
          <a:noFill/>
          <a:miter lim="800000"/>
          <a:headEnd/>
          <a:tailEnd/>
        </a:ln>
      </xdr:spPr>
    </xdr:pic>
    <xdr:clientData fPrintsWithSheet="0"/>
  </xdr:twoCellAnchor>
</xdr:wsDr>
</file>

<file path=xl/drawings/drawing18.xml><?xml version="1.0" encoding="utf-8"?>
<xdr:wsDr xmlns:xdr="http://schemas.openxmlformats.org/drawingml/2006/spreadsheetDrawing" xmlns:a="http://schemas.openxmlformats.org/drawingml/2006/main">
  <xdr:twoCellAnchor editAs="oneCell">
    <xdr:from>
      <xdr:col>0</xdr:col>
      <xdr:colOff>104775</xdr:colOff>
      <xdr:row>1</xdr:row>
      <xdr:rowOff>38100</xdr:rowOff>
    </xdr:from>
    <xdr:to>
      <xdr:col>0</xdr:col>
      <xdr:colOff>247650</xdr:colOff>
      <xdr:row>1</xdr:row>
      <xdr:rowOff>209550</xdr:rowOff>
    </xdr:to>
    <xdr:pic>
      <xdr:nvPicPr>
        <xdr:cNvPr id="2" name="Picture 25">
          <a:hlinkClick xmlns:r="http://schemas.openxmlformats.org/officeDocument/2006/relationships" r:id="rId1"/>
          <a:extLst>
            <a:ext uri="{FF2B5EF4-FFF2-40B4-BE49-F238E27FC236}">
              <a16:creationId xmlns:a16="http://schemas.microsoft.com/office/drawing/2014/main" id="{00000000-0008-0000-1200-000002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104775" y="352425"/>
          <a:ext cx="142875" cy="171450"/>
        </a:xfrm>
        <a:prstGeom prst="rect">
          <a:avLst/>
        </a:prstGeom>
        <a:noFill/>
        <a:ln w="9525">
          <a:noFill/>
          <a:miter lim="800000"/>
          <a:headEnd/>
          <a:tailEnd/>
        </a:ln>
      </xdr:spPr>
    </xdr:pic>
    <xdr:clientData fPrintsWithSheet="0"/>
  </xdr:twoCellAnchor>
  <mc:AlternateContent xmlns:mc="http://schemas.openxmlformats.org/markup-compatibility/2006">
    <mc:Choice xmlns:a14="http://schemas.microsoft.com/office/drawing/2010/main" Requires="a14">
      <xdr:twoCellAnchor editAs="oneCell">
        <xdr:from>
          <xdr:col>2</xdr:col>
          <xdr:colOff>238125</xdr:colOff>
          <xdr:row>0</xdr:row>
          <xdr:rowOff>76200</xdr:rowOff>
        </xdr:from>
        <xdr:to>
          <xdr:col>2</xdr:col>
          <xdr:colOff>609600</xdr:colOff>
          <xdr:row>1</xdr:row>
          <xdr:rowOff>85725</xdr:rowOff>
        </xdr:to>
        <xdr:sp macro="" textlink="">
          <xdr:nvSpPr>
            <xdr:cNvPr id="64513" name="ContactSelect1" hidden="1">
              <a:extLst>
                <a:ext uri="{63B3BB69-23CF-44E3-9099-C40C66FF867C}">
                  <a14:compatExt spid="_x0000_s64513"/>
                </a:ext>
                <a:ext uri="{FF2B5EF4-FFF2-40B4-BE49-F238E27FC236}">
                  <a16:creationId xmlns:a16="http://schemas.microsoft.com/office/drawing/2014/main" id="{00000000-0008-0000-1200-000001FC00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xdr:twoCellAnchor editAs="oneCell">
    <xdr:from>
      <xdr:col>0</xdr:col>
      <xdr:colOff>66675</xdr:colOff>
      <xdr:row>0</xdr:row>
      <xdr:rowOff>47625</xdr:rowOff>
    </xdr:from>
    <xdr:to>
      <xdr:col>0</xdr:col>
      <xdr:colOff>209550</xdr:colOff>
      <xdr:row>0</xdr:row>
      <xdr:rowOff>219075</xdr:rowOff>
    </xdr:to>
    <xdr:pic>
      <xdr:nvPicPr>
        <xdr:cNvPr id="2" name="Picture 26">
          <a:hlinkClick xmlns:r="http://schemas.openxmlformats.org/officeDocument/2006/relationships" r:id="rId1"/>
          <a:extLst>
            <a:ext uri="{FF2B5EF4-FFF2-40B4-BE49-F238E27FC236}">
              <a16:creationId xmlns:a16="http://schemas.microsoft.com/office/drawing/2014/main" id="{00000000-0008-0000-1300-000002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66675" y="47625"/>
          <a:ext cx="142875" cy="171450"/>
        </a:xfrm>
        <a:prstGeom prst="rect">
          <a:avLst/>
        </a:prstGeom>
        <a:noFill/>
        <a:ln w="9525">
          <a:noFill/>
          <a:miter lim="800000"/>
          <a:headEnd/>
          <a:tailEnd/>
        </a:ln>
      </xdr:spPr>
    </xdr:pic>
    <xdr:clientData fPrintsWithSheet="0"/>
  </xdr:twoCellAnchor>
  <mc:AlternateContent xmlns:mc="http://schemas.openxmlformats.org/markup-compatibility/2006">
    <mc:Choice xmlns:a14="http://schemas.microsoft.com/office/drawing/2010/main" Requires="a14">
      <xdr:twoCellAnchor editAs="oneCell">
        <xdr:from>
          <xdr:col>3</xdr:col>
          <xdr:colOff>123825</xdr:colOff>
          <xdr:row>0</xdr:row>
          <xdr:rowOff>66675</xdr:rowOff>
        </xdr:from>
        <xdr:to>
          <xdr:col>3</xdr:col>
          <xdr:colOff>495300</xdr:colOff>
          <xdr:row>1</xdr:row>
          <xdr:rowOff>76200</xdr:rowOff>
        </xdr:to>
        <xdr:sp macro="" textlink="">
          <xdr:nvSpPr>
            <xdr:cNvPr id="65537" name="ContactSelect2" hidden="1">
              <a:extLst>
                <a:ext uri="{63B3BB69-23CF-44E3-9099-C40C66FF867C}">
                  <a14:compatExt spid="_x0000_s65537"/>
                </a:ext>
                <a:ext uri="{FF2B5EF4-FFF2-40B4-BE49-F238E27FC236}">
                  <a16:creationId xmlns:a16="http://schemas.microsoft.com/office/drawing/2014/main" id="{00000000-0008-0000-1300-0000010001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xdr:twoCellAnchor editAs="oneCell">
    <xdr:from>
      <xdr:col>1</xdr:col>
      <xdr:colOff>0</xdr:colOff>
      <xdr:row>154</xdr:row>
      <xdr:rowOff>190499</xdr:rowOff>
    </xdr:from>
    <xdr:to>
      <xdr:col>9</xdr:col>
      <xdr:colOff>552450</xdr:colOff>
      <xdr:row>170</xdr:row>
      <xdr:rowOff>161924</xdr:rowOff>
    </xdr:to>
    <xdr:pic>
      <xdr:nvPicPr>
        <xdr:cNvPr id="2" name="Imagem 1">
          <a:extLst>
            <a:ext uri="{FF2B5EF4-FFF2-40B4-BE49-F238E27FC236}">
              <a16:creationId xmlns:a16="http://schemas.microsoft.com/office/drawing/2014/main" id="{00000000-0008-0000-14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31708724"/>
          <a:ext cx="7324725" cy="3019425"/>
        </a:xfrm>
        <a:prstGeom prst="rect">
          <a:avLst/>
        </a:prstGeom>
      </xdr:spPr>
    </xdr:pic>
    <xdr:clientData/>
  </xdr:twoCellAnchor>
  <xdr:oneCellAnchor>
    <xdr:from>
      <xdr:col>11</xdr:col>
      <xdr:colOff>0</xdr:colOff>
      <xdr:row>154</xdr:row>
      <xdr:rowOff>190499</xdr:rowOff>
    </xdr:from>
    <xdr:ext cx="6962775" cy="3019425"/>
    <xdr:pic>
      <xdr:nvPicPr>
        <xdr:cNvPr id="3" name="Imagem 2">
          <a:extLst>
            <a:ext uri="{FF2B5EF4-FFF2-40B4-BE49-F238E27FC236}">
              <a16:creationId xmlns:a16="http://schemas.microsoft.com/office/drawing/2014/main" id="{00000000-0008-0000-14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5250" y="31708724"/>
          <a:ext cx="6962775" cy="3019425"/>
        </a:xfrm>
        <a:prstGeom prst="rect">
          <a:avLst/>
        </a:prstGeom>
      </xdr:spPr>
    </xdr:pic>
    <xdr:clientData/>
  </xdr:oneCellAnchor>
  <xdr:oneCellAnchor>
    <xdr:from>
      <xdr:col>21</xdr:col>
      <xdr:colOff>0</xdr:colOff>
      <xdr:row>154</xdr:row>
      <xdr:rowOff>190499</xdr:rowOff>
    </xdr:from>
    <xdr:ext cx="6962775" cy="3019425"/>
    <xdr:pic>
      <xdr:nvPicPr>
        <xdr:cNvPr id="4" name="Imagem 3">
          <a:extLst>
            <a:ext uri="{FF2B5EF4-FFF2-40B4-BE49-F238E27FC236}">
              <a16:creationId xmlns:a16="http://schemas.microsoft.com/office/drawing/2014/main" id="{00000000-0008-0000-14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5250" y="31708724"/>
          <a:ext cx="6962775" cy="3019425"/>
        </a:xfrm>
        <a:prstGeom prst="rect">
          <a:avLst/>
        </a:prstGeom>
      </xdr:spPr>
    </xdr:pic>
    <xdr:clientData/>
  </xdr:oneCellAnchor>
</xdr:wsDr>
</file>

<file path=xl/drawings/drawing21.xml><?xml version="1.0" encoding="utf-8"?>
<xdr:wsDr xmlns:xdr="http://schemas.openxmlformats.org/drawingml/2006/spreadsheetDrawing" xmlns:a="http://schemas.openxmlformats.org/drawingml/2006/main">
  <xdr:twoCellAnchor editAs="oneCell">
    <xdr:from>
      <xdr:col>1</xdr:col>
      <xdr:colOff>76200</xdr:colOff>
      <xdr:row>0</xdr:row>
      <xdr:rowOff>85725</xdr:rowOff>
    </xdr:from>
    <xdr:to>
      <xdr:col>1</xdr:col>
      <xdr:colOff>219075</xdr:colOff>
      <xdr:row>0</xdr:row>
      <xdr:rowOff>257175</xdr:rowOff>
    </xdr:to>
    <xdr:pic>
      <xdr:nvPicPr>
        <xdr:cNvPr id="2" name="Picture 4">
          <a:hlinkClick xmlns:r="http://schemas.openxmlformats.org/officeDocument/2006/relationships" r:id="rId1"/>
          <a:extLst>
            <a:ext uri="{FF2B5EF4-FFF2-40B4-BE49-F238E27FC236}">
              <a16:creationId xmlns:a16="http://schemas.microsoft.com/office/drawing/2014/main" id="{00000000-0008-0000-1A00-000002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2276475" y="85725"/>
          <a:ext cx="142875" cy="171450"/>
        </a:xfrm>
        <a:prstGeom prst="rect">
          <a:avLst/>
        </a:prstGeom>
        <a:noFill/>
        <a:ln w="9525">
          <a:noFill/>
          <a:miter lim="800000"/>
          <a:headEnd/>
          <a:tailEnd/>
        </a:ln>
      </xdr:spPr>
    </xdr:pic>
    <xdr:clientData fPrintsWithSheet="0"/>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A000000}" name="GCalXMLT" displayName="GCalXMLT" ref="A1:AN802" tableType="xml" totalsRowShown="0" connectionId="2">
  <autoFilter ref="A1:AN802" xr:uid="{00000000-0009-0000-0100-000001000000}"/>
  <tableColumns count="40">
    <tableColumn id="1" xr3:uid="{00000000-0010-0000-0A00-000001000000}" uniqueName="daydate" name="daydate">
      <xmlColumnPr mapId="4" xpath="/xml/result/masa/msday/daydate" xmlDataType="date"/>
    </tableColumn>
    <tableColumn id="2" xr3:uid="{00000000-0010-0000-0A00-000002000000}" uniqueName="dayweekid" name="dayweekid">
      <xmlColumnPr mapId="4" xpath="/xml/result/masa/msday/dayweekid" xmlDataType="positiveInteger"/>
    </tableColumn>
    <tableColumn id="3" xr3:uid="{00000000-0010-0000-0A00-000003000000}" uniqueName="dayweekst" name="dayweekst">
      <xmlColumnPr mapId="4" xpath="/xml/result/masa/msday/dayweekst" xmlDataType="anyType"/>
    </tableColumn>
    <tableColumn id="4" xr3:uid="{00000000-0010-0000-0A00-000004000000}" uniqueName="gyear" name="gyear">
      <xmlColumnPr mapId="4" xpath="/xml/result/masa/msday/gyear" xmlDataType="short"/>
    </tableColumn>
    <tableColumn id="5" xr3:uid="{00000000-0010-0000-0A00-000005000000}" uniqueName="gymasa" name="gymasa">
      <xmlColumnPr mapId="4" xpath="/xml/result/masa/msday/gymasa" xmlDataType="anyType"/>
    </tableColumn>
    <tableColumn id="6" xr3:uid="{00000000-0010-0000-0A00-000006000000}" uniqueName="mpaksaid" name="mpaksaid">
      <xmlColumnPr mapId="4" xpath="/xml/result/masa/msday/mpaksaid" xmlDataType="anyType"/>
    </tableColumn>
    <tableColumn id="7" xr3:uid="{00000000-0010-0000-0A00-000007000000}" uniqueName="mpaksaname" name="mpaksaname">
      <xmlColumnPr mapId="4" xpath="/xml/result/masa/msday/mpaksaname" xmlDataType="anyType"/>
    </tableColumn>
    <tableColumn id="8" xr3:uid="{00000000-0010-0000-0A00-000008000000}" uniqueName="stithiindex" name="stithiindex">
      <xmlColumnPr mapId="4" xpath="/xml/result/masa/msday/stithiindex" xmlDataType="positiveInteger"/>
    </tableColumn>
    <tableColumn id="9" xr3:uid="{00000000-0010-0000-0A00-000009000000}" uniqueName="stithiname" name="stithiname">
      <xmlColumnPr mapId="4" xpath="/xml/result/masa/msday/stithiname" xmlDataType="anyType"/>
    </tableColumn>
    <tableColumn id="10" xr3:uid="{00000000-0010-0000-0A00-00000A000000}" uniqueName="atithiname" name="atithiname">
      <xmlColumnPr mapId="4" xpath="/xml/result/masa/msday/atithiname" xmlDataType="anyType"/>
    </tableColumn>
    <tableColumn id="11" xr3:uid="{00000000-0010-0000-0A00-00000B000000}" uniqueName="arunodayatime" name="arunodayatime">
      <xmlColumnPr mapId="4" xpath="/xml/result/masa/msday/arunodayatime" xmlDataType="time"/>
    </tableColumn>
    <tableColumn id="12" xr3:uid="{00000000-0010-0000-0A00-00000C000000}" uniqueName="dsunrisetime" name="dsunrisetime">
      <xmlColumnPr mapId="4" xpath="/xml/result/masa/msday/dsunrisetime" xmlDataType="time"/>
    </tableColumn>
    <tableColumn id="13" xr3:uid="{00000000-0010-0000-0A00-00000D000000}" uniqueName="paranafrom" name="paranafrom">
      <xmlColumnPr mapId="4" xpath="/xml/result/masa/msday/paranafrom" xmlDataType="time"/>
    </tableColumn>
    <tableColumn id="14" xr3:uid="{00000000-0010-0000-0A00-00000E000000}" uniqueName="paranato" name="paranato">
      <xmlColumnPr mapId="4" xpath="/xml/result/masa/msday/paranato" xmlDataType="time"/>
    </tableColumn>
    <tableColumn id="15" xr3:uid="{00000000-0010-0000-0A00-00000F000000}" uniqueName="noontime" name="noontime">
      <xmlColumnPr mapId="4" xpath="/xml/result/masa/msday/noontime" xmlDataType="time"/>
    </tableColumn>
    <tableColumn id="16" xr3:uid="{00000000-0010-0000-0A00-000010000000}" uniqueName="sunsettime" name="sunsettime">
      <xmlColumnPr mapId="4" xpath="/xml/result/masa/msday/sunsettime" xmlDataType="time"/>
    </tableColumn>
    <tableColumn id="17" xr3:uid="{00000000-0010-0000-0A00-000011000000}" uniqueName="sankrantitime" name="sankrantitime">
      <xmlColumnPr mapId="4" xpath="/xml/result/masa/msday/sankrantitime" xmlDataType="time"/>
    </tableColumn>
    <tableColumn id="18" xr3:uid="{00000000-0010-0000-0A00-000012000000}" uniqueName="sankrantirasi" name="sankrantirasi">
      <xmlColumnPr mapId="4" xpath="/xml/result/masa/msday/sankrantirasi" xmlDataType="anyType"/>
    </tableColumn>
    <tableColumn id="19" xr3:uid="{00000000-0010-0000-0A00-000013000000}" uniqueName="ksayafrom" name="ksayafrom">
      <xmlColumnPr mapId="4" xpath="/xml/result/masa/msday/ksayafrom" xmlDataType="time"/>
    </tableColumn>
    <tableColumn id="20" xr3:uid="{00000000-0010-0000-0A00-000014000000}" uniqueName="ksayato" name="ksayato">
      <xmlColumnPr mapId="4" xpath="/xml/result/masa/msday/ksayato" xmlDataType="time"/>
    </tableColumn>
    <tableColumn id="21" xr3:uid="{00000000-0010-0000-0A00-000015000000}" uniqueName="moonrise" name="moonrise">
      <xmlColumnPr mapId="4" xpath="/xml/result/masa/msday/moonrise" xmlDataType="anyType"/>
    </tableColumn>
    <tableColumn id="22" xr3:uid="{00000000-0010-0000-0A00-000016000000}" uniqueName="moonset" name="moonset">
      <xmlColumnPr mapId="4" xpath="/xml/result/masa/msday/moonset" xmlDataType="anyType"/>
    </tableColumn>
    <tableColumn id="23" xr3:uid="{00000000-0010-0000-0A00-000017000000}" uniqueName="dstoffset" name="dstoffset">
      <xmlColumnPr mapId="4" xpath="/xml/result/masa/msday/dstoffset" xmlDataType="float"/>
    </tableColumn>
    <tableColumn id="24" xr3:uid="{00000000-0010-0000-0A00-000018000000}" uniqueName="vriddhisd" name="vriddhisd">
      <xmlColumnPr mapId="4" xpath="/xml/result/masa/msday/vriddhisd" xmlDataType="anyType"/>
    </tableColumn>
    <tableColumn id="25" xr3:uid="{00000000-0010-0000-0A00-000019000000}" uniqueName="tithielapse" name="tithielapse">
      <xmlColumnPr mapId="4" xpath="/xml/result/masa/msday/tithielapse" xmlDataType="float"/>
    </tableColumn>
    <tableColumn id="26" xr3:uid="{00000000-0010-0000-0A00-00001A000000}" uniqueName="naksatraelapse" name="naksatraelapse">
      <xmlColumnPr mapId="4" xpath="/xml/result/masa/msday/naksatraelapse" xmlDataType="float"/>
    </tableColumn>
    <tableColumn id="27" xr3:uid="{00000000-0010-0000-0A00-00001B000000}" uniqueName="naksatraname" name="naksatraname">
      <xmlColumnPr mapId="4" xpath="/xml/result/masa/msday/naksatraname" xmlDataType="anyType"/>
    </tableColumn>
    <tableColumn id="28" xr3:uid="{00000000-0010-0000-0A00-00001C000000}" uniqueName="yoganame" name="yoganame">
      <xmlColumnPr mapId="4" xpath="/xml/result/masa/msday/yoganame" xmlDataType="anyType"/>
    </tableColumn>
    <tableColumn id="29" xr3:uid="{00000000-0010-0000-0A00-00001D000000}" uniqueName="dcaturmasya1" name="dcaturmasya1">
      <xmlColumnPr mapId="4" xpath="/xml/result/masa/msday/dcaturmasya1" xmlDataType="anyType"/>
    </tableColumn>
    <tableColumn id="30" xr3:uid="{00000000-0010-0000-0A00-00001E000000}" uniqueName="dcaturmasya2" name="dcaturmasya2">
      <xmlColumnPr mapId="4" xpath="/xml/result/masa/msday/dcaturmasya2" xmlDataType="anyType"/>
    </tableColumn>
    <tableColumn id="31" xr3:uid="{00000000-0010-0000-0A00-00001F000000}" uniqueName="fasttype" name="fasttype">
      <xmlColumnPr mapId="4" xpath="/xml/result/masa/msday/fasttype" xmlDataType="anyType"/>
    </tableColumn>
    <tableColumn id="32" xr3:uid="{00000000-0010-0000-0A00-000020000000}" uniqueName="fastmark" name="fastmark">
      <xmlColumnPr mapId="4" xpath="/xml/result/masa/msday/fastmark" xmlDataType="anyType"/>
    </tableColumn>
    <tableColumn id="33" xr3:uid="{00000000-0010-0000-0A00-000021000000}" uniqueName="dfestival1" name="dfestival1">
      <xmlColumnPr mapId="4" xpath="/xml/result/masa/msday/dfestival1" xmlDataType="anyType"/>
    </tableColumn>
    <tableColumn id="34" xr3:uid="{00000000-0010-0000-0A00-000022000000}" uniqueName="dclass1" name="dclass1">
      <xmlColumnPr mapId="4" xpath="/xml/result/masa/msday/dclass1" xmlDataType="integer"/>
    </tableColumn>
    <tableColumn id="35" xr3:uid="{00000000-0010-0000-0A00-000023000000}" uniqueName="dfestival2" name="dfestival2">
      <xmlColumnPr mapId="4" xpath="/xml/result/masa/msday/dfestival2" xmlDataType="anyType"/>
    </tableColumn>
    <tableColumn id="36" xr3:uid="{00000000-0010-0000-0A00-000024000000}" uniqueName="dclass2" name="dclass2">
      <xmlColumnPr mapId="4" xpath="/xml/result/masa/msday/dclass2" xmlDataType="integer"/>
    </tableColumn>
    <tableColumn id="37" xr3:uid="{00000000-0010-0000-0A00-000025000000}" uniqueName="dfestival3" name="dfestival3">
      <xmlColumnPr mapId="4" xpath="/xml/result/masa/msday/dfestival3" xmlDataType="anyType"/>
    </tableColumn>
    <tableColumn id="38" xr3:uid="{00000000-0010-0000-0A00-000026000000}" uniqueName="dclass3" name="dclass3">
      <xmlColumnPr mapId="4" xpath="/xml/result/masa/msday/dclass3" xmlDataType="integer"/>
    </tableColumn>
    <tableColumn id="39" xr3:uid="{00000000-0010-0000-0A00-000027000000}" uniqueName="dfestival4" name="dfestival4">
      <xmlColumnPr mapId="4" xpath="/xml/result/masa/msday/dfestival4" xmlDataType="anyType"/>
    </tableColumn>
    <tableColumn id="40" xr3:uid="{00000000-0010-0000-0A00-000028000000}" uniqueName="dclass4" name="dclass4">
      <xmlColumnPr mapId="4" xpath="/xml/result/masa/msday/dclass4" xmlDataType="integer"/>
    </tableColumn>
  </tableColumns>
  <tableStyleInfo name="TableStyleMedium9" showFirstColumn="0" showLastColumn="0" showRowStripes="1" showColumnStripes="0"/>
</table>
</file>

<file path=xl/tables/tableSingleCells1.xml><?xml version="1.0" encoding="utf-8"?>
<singleXmlCells xmlns="http://schemas.openxmlformats.org/spreadsheetml/2006/main" xmlns:mc="http://schemas.openxmlformats.org/markup-compatibility/2006" xmlns:xr="http://schemas.microsoft.com/office/spreadsheetml/2014/revision" xmlns:xr3="http://schemas.microsoft.com/office/spreadsheetml/2016/revision3" xmlns:xr6="http://schemas.microsoft.com/office/spreadsheetml/2016/revision6" mc:Ignorable="xr xr3 xr6">
  <singleXmlCell id="2" xr6:uid="{00000000-000C-0000-FFFF-FFFF00000000}" r="V2" connectionId="2">
    <xmlCellPr id="1" xr6:uid="{00000000-0010-0000-0000-000001000000}" uniqueName="reqname">
      <xmlPr mapId="4" xpath="/xml/request/reqname" xmlDataType="string"/>
    </xmlCellPr>
  </singleXmlCell>
  <singleXmlCell id="3" xr6:uid="{00000000-000C-0000-FFFF-FFFF01000000}" r="W2" connectionId="2">
    <xmlCellPr id="1" xr6:uid="{00000000-0010-0000-0100-000001000000}" uniqueName="reqversion">
      <xmlPr mapId="4" xpath="/xml/request/reqversion" xmlDataType="string"/>
    </xmlCellPr>
  </singleXmlCell>
  <singleXmlCell id="4" xr6:uid="{00000000-000C-0000-FFFF-FFFF02000000}" r="X2" connectionId="2">
    <xmlCellPr id="1" xr6:uid="{00000000-0010-0000-0200-000001000000}" uniqueName="reqlongitude">
      <xmlPr mapId="4" xpath="/xml/request/reqlongitude" xmlDataType="float"/>
    </xmlCellPr>
  </singleXmlCell>
  <singleXmlCell id="5" xr6:uid="{00000000-000C-0000-FFFF-FFFF03000000}" r="Y2" connectionId="2">
    <xmlCellPr id="1" xr6:uid="{00000000-0010-0000-0300-000001000000}" uniqueName="reqlatitude">
      <xmlPr mapId="4" xpath="/xml/request/reqlatitude" xmlDataType="float"/>
    </xmlCellPr>
  </singleXmlCell>
  <singleXmlCell id="6" xr6:uid="{00000000-000C-0000-FFFF-FFFF04000000}" r="Z2" connectionId="2">
    <xmlCellPr id="1" xr6:uid="{00000000-0010-0000-0400-000001000000}" uniqueName="reqtimezone">
      <xmlPr mapId="4" xpath="/xml/request/reqtimezone" xmlDataType="float"/>
    </xmlCellPr>
  </singleXmlCell>
  <singleXmlCell id="7" xr6:uid="{00000000-000C-0000-FFFF-FFFF05000000}" r="AA2" connectionId="2">
    <xmlCellPr id="1" xr6:uid="{00000000-0010-0000-0500-000001000000}" uniqueName="reqstartdate">
      <xmlPr mapId="4" xpath="/xml/request/reqstartdate" xmlDataType="string"/>
    </xmlCellPr>
  </singleXmlCell>
  <singleXmlCell id="8" xr6:uid="{00000000-000C-0000-FFFF-FFFF06000000}" r="AB2" connectionId="2">
    <xmlCellPr id="1" xr6:uid="{00000000-0010-0000-0600-000001000000}" uniqueName="reqdaycount">
      <xmlPr mapId="4" xpath="/xml/request/reqdaycount" xmlDataType="short"/>
    </xmlCellPr>
  </singleXmlCell>
  <singleXmlCell id="9" xr6:uid="{00000000-000C-0000-FFFF-FFFF07000000}" r="AC2" connectionId="2">
    <xmlCellPr id="1" xr6:uid="{00000000-0010-0000-0700-000001000000}" uniqueName="reqdst">
      <xmlPr mapId="4" xpath="/xml/request/reqdst" xmlDataType="byte"/>
    </xmlCellPr>
  </singleXmlCell>
  <singleXmlCell id="10" xr6:uid="{00000000-000C-0000-FFFF-FFFF08000000}" r="AD2" connectionId="2">
    <xmlCellPr id="1" xr6:uid="{00000000-0010-0000-0800-000001000000}" uniqueName="resname">
      <xmlPr mapId="4" xpath="/xml/request/resname" xmlDataType="string"/>
    </xmlCellPr>
  </singleXmlCell>
  <singleXmlCell id="11" xr6:uid="{00000000-000C-0000-FFFF-FFFF09000000}" r="AE2" connectionId="2">
    <xmlCellPr id="1" xr6:uid="{00000000-0010-0000-0900-000001000000}" uniqueName="resdstsystem">
      <xmlPr mapId="4" xpath="/xml/request/resdstsystem" xmlDataType="string"/>
    </xmlCellPr>
  </singleXmlCell>
</singleXmlCells>
</file>

<file path=xl/theme/theme1.xml><?xml version="1.0" encoding="utf-8"?>
<a:theme xmlns:a="http://schemas.openxmlformats.org/drawingml/2006/main" name="Tema do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18" Type="http://schemas.openxmlformats.org/officeDocument/2006/relationships/control" Target="../activeX/activeX8.xml"/><Relationship Id="rId3" Type="http://schemas.openxmlformats.org/officeDocument/2006/relationships/vmlDrawing" Target="../drawings/vmlDrawing1.vml"/><Relationship Id="rId21" Type="http://schemas.openxmlformats.org/officeDocument/2006/relationships/image" Target="../media/image9.emf"/><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2" Type="http://schemas.openxmlformats.org/officeDocument/2006/relationships/drawing" Target="../drawings/drawing1.xml"/><Relationship Id="rId16" Type="http://schemas.openxmlformats.org/officeDocument/2006/relationships/control" Target="../activeX/activeX7.xml"/><Relationship Id="rId20" Type="http://schemas.openxmlformats.org/officeDocument/2006/relationships/control" Target="../activeX/activeX9.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24" Type="http://schemas.openxmlformats.org/officeDocument/2006/relationships/control" Target="../activeX/activeX11.xml"/><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image" Target="../media/image10.emf"/><Relationship Id="rId10" Type="http://schemas.openxmlformats.org/officeDocument/2006/relationships/control" Target="../activeX/activeX4.xml"/><Relationship Id="rId19" Type="http://schemas.openxmlformats.org/officeDocument/2006/relationships/image" Target="../media/image8.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hyperlink" Target="http://en.wikipedia.org/wiki/Easter_Triduum" TargetMode="External"/><Relationship Id="rId13" Type="http://schemas.openxmlformats.org/officeDocument/2006/relationships/hyperlink" Target="http://en.wikipedia.org/wiki/Halloween" TargetMode="External"/><Relationship Id="rId18" Type="http://schemas.openxmlformats.org/officeDocument/2006/relationships/hyperlink" Target="http://en.wikipedia.org/wiki/Holy_Week" TargetMode="External"/><Relationship Id="rId26" Type="http://schemas.openxmlformats.org/officeDocument/2006/relationships/hyperlink" Target="https://gurudoexcel.com/carnaval-feriados-e-calendario-perpetuo/" TargetMode="External"/><Relationship Id="rId3" Type="http://schemas.openxmlformats.org/officeDocument/2006/relationships/hyperlink" Target="http://en.wikipedia.org/wiki/All_Saints%27_Day" TargetMode="External"/><Relationship Id="rId21" Type="http://schemas.openxmlformats.org/officeDocument/2006/relationships/hyperlink" Target="http://en.wikipedia.org/wiki/Easter_Monday" TargetMode="External"/><Relationship Id="rId7" Type="http://schemas.openxmlformats.org/officeDocument/2006/relationships/hyperlink" Target="http://en.wikipedia.org/wiki/Childermas" TargetMode="External"/><Relationship Id="rId12" Type="http://schemas.openxmlformats.org/officeDocument/2006/relationships/hyperlink" Target="http://en.wikipedia.org/wiki/Western_Christianity" TargetMode="External"/><Relationship Id="rId17" Type="http://schemas.openxmlformats.org/officeDocument/2006/relationships/hyperlink" Target="http://en.wikipedia.org/wiki/Trinity_Sunday" TargetMode="External"/><Relationship Id="rId25" Type="http://schemas.openxmlformats.org/officeDocument/2006/relationships/hyperlink" Target="http://www.cpearson.com/excel/easter.aspx" TargetMode="External"/><Relationship Id="rId2" Type="http://schemas.openxmlformats.org/officeDocument/2006/relationships/hyperlink" Target="http://en.wikipedia.org/wiki/Advent" TargetMode="External"/><Relationship Id="rId16" Type="http://schemas.openxmlformats.org/officeDocument/2006/relationships/hyperlink" Target="http://en.wikipedia.org/wiki/Christmas" TargetMode="External"/><Relationship Id="rId20" Type="http://schemas.openxmlformats.org/officeDocument/2006/relationships/hyperlink" Target="http://en.wikipedia.org/wiki/Good_Friday" TargetMode="External"/><Relationship Id="rId29" Type="http://schemas.openxmlformats.org/officeDocument/2006/relationships/drawing" Target="../drawings/drawing7.xml"/><Relationship Id="rId1" Type="http://schemas.openxmlformats.org/officeDocument/2006/relationships/hyperlink" Target="http://en.wikipedia.org/wiki/Liturgical_year" TargetMode="External"/><Relationship Id="rId6" Type="http://schemas.openxmlformats.org/officeDocument/2006/relationships/hyperlink" Target="http://en.wikipedia.org/wiki/Candlemas" TargetMode="External"/><Relationship Id="rId11" Type="http://schemas.openxmlformats.org/officeDocument/2006/relationships/hyperlink" Target="http://en.wikipedia.org/wiki/Watch_Night" TargetMode="External"/><Relationship Id="rId24" Type="http://schemas.openxmlformats.org/officeDocument/2006/relationships/hyperlink" Target="http://en.wikipedia.org/wiki/Palm_Sunday" TargetMode="External"/><Relationship Id="rId5" Type="http://schemas.openxmlformats.org/officeDocument/2006/relationships/hyperlink" Target="http://en.wikipedia.org/wiki/Assumption_of_Mary" TargetMode="External"/><Relationship Id="rId15" Type="http://schemas.openxmlformats.org/officeDocument/2006/relationships/hyperlink" Target="http://en.wikipedia.org/wiki/Carnival" TargetMode="External"/><Relationship Id="rId23" Type="http://schemas.openxmlformats.org/officeDocument/2006/relationships/hyperlink" Target="http://en.wikipedia.org/wiki/Shrove_Tuesday" TargetMode="External"/><Relationship Id="rId28" Type="http://schemas.openxmlformats.org/officeDocument/2006/relationships/printerSettings" Target="../printerSettings/printerSettings8.bin"/><Relationship Id="rId10" Type="http://schemas.openxmlformats.org/officeDocument/2006/relationships/hyperlink" Target="http://en.wikipedia.org/wiki/Epiphany_%28feast%29" TargetMode="External"/><Relationship Id="rId19" Type="http://schemas.openxmlformats.org/officeDocument/2006/relationships/hyperlink" Target="http://en.wikipedia.org/wiki/Holy_Saturday" TargetMode="External"/><Relationship Id="rId4" Type="http://schemas.openxmlformats.org/officeDocument/2006/relationships/hyperlink" Target="http://en.wikipedia.org/wiki/All_Souls%27_Day" TargetMode="External"/><Relationship Id="rId9" Type="http://schemas.openxmlformats.org/officeDocument/2006/relationships/hyperlink" Target="http://en.wikipedia.org/wiki/Holy_Saturday" TargetMode="External"/><Relationship Id="rId14" Type="http://schemas.openxmlformats.org/officeDocument/2006/relationships/hyperlink" Target="http://en.wikipedia.org/wiki/Pentecost" TargetMode="External"/><Relationship Id="rId22" Type="http://schemas.openxmlformats.org/officeDocument/2006/relationships/hyperlink" Target="http://en.wikipedia.org/wiki/Lent" TargetMode="External"/><Relationship Id="rId27" Type="http://schemas.openxmlformats.org/officeDocument/2006/relationships/hyperlink" Target="http://www.excelfox.com/forum/showthread.php/398-Nth-Such-And-Such-Day-Of-The-Month" TargetMode="Externa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8.xml"/><Relationship Id="rId1" Type="http://schemas.openxmlformats.org/officeDocument/2006/relationships/printerSettings" Target="../printerSettings/printerSettings9.bin"/><Relationship Id="rId4" Type="http://schemas.openxmlformats.org/officeDocument/2006/relationships/ctrlProp" Target="../ctrlProps/ctrlProp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10.bin"/><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11.bin"/><Relationship Id="rId4" Type="http://schemas.openxmlformats.org/officeDocument/2006/relationships/ctrlProp" Target="../ctrlProps/ctrlProp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1.xml"/><Relationship Id="rId1" Type="http://schemas.openxmlformats.org/officeDocument/2006/relationships/printerSettings" Target="../printerSettings/printerSettings12.bin"/><Relationship Id="rId4" Type="http://schemas.openxmlformats.org/officeDocument/2006/relationships/ctrlProp" Target="../ctrlProps/ctrlProp5.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2.xml"/><Relationship Id="rId1" Type="http://schemas.openxmlformats.org/officeDocument/2006/relationships/printerSettings" Target="../printerSettings/printerSettings13.bin"/><Relationship Id="rId4" Type="http://schemas.openxmlformats.org/officeDocument/2006/relationships/ctrlProp" Target="../ctrlProps/ctrlProp6.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8.xml"/><Relationship Id="rId1" Type="http://schemas.openxmlformats.org/officeDocument/2006/relationships/printerSettings" Target="../printerSettings/printerSettings19.bin"/><Relationship Id="rId4" Type="http://schemas.openxmlformats.org/officeDocument/2006/relationships/ctrlProp" Target="../ctrlProps/ctrlProp7.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9.xml"/><Relationship Id="rId1" Type="http://schemas.openxmlformats.org/officeDocument/2006/relationships/printerSettings" Target="../printerSettings/printerSettings20.bin"/><Relationship Id="rId4" Type="http://schemas.openxmlformats.org/officeDocument/2006/relationships/ctrlProp" Target="../ctrlProps/ctrlProp8.xml"/></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tableSingleCells" Target="../tables/tableSingleCells1.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wksOptions">
    <pageSetUpPr fitToPage="1"/>
  </sheetPr>
  <dimension ref="A1:W84"/>
  <sheetViews>
    <sheetView showGridLines="0" showRowColHeaders="0" tabSelected="1" workbookViewId="0"/>
  </sheetViews>
  <sheetFormatPr defaultColWidth="9.140625" defaultRowHeight="14.25" x14ac:dyDescent="0.2"/>
  <cols>
    <col min="1" max="1" width="2.85546875" style="6" customWidth="1"/>
    <col min="2" max="2" width="1.42578125" style="6" customWidth="1"/>
    <col min="3" max="3" width="15.5703125" style="6" customWidth="1"/>
    <col min="4" max="4" width="1.42578125" style="6" customWidth="1"/>
    <col min="5" max="5" width="12.5703125" style="6" customWidth="1"/>
    <col min="6" max="6" width="1.42578125" style="6" customWidth="1"/>
    <col min="7" max="7" width="4.5703125" style="6" customWidth="1"/>
    <col min="8" max="9" width="5" style="6" customWidth="1"/>
    <col min="10" max="10" width="4.5703125" style="12" customWidth="1"/>
    <col min="11" max="11" width="4.5703125" style="6" customWidth="1"/>
    <col min="12" max="12" width="9.140625" style="6" customWidth="1"/>
    <col min="13" max="13" width="1.42578125" style="6" customWidth="1"/>
    <col min="14" max="14" width="8.5703125" style="6" customWidth="1"/>
    <col min="15" max="15" width="15" style="6" customWidth="1"/>
    <col min="16" max="16" width="1.42578125" style="12" customWidth="1"/>
    <col min="17" max="17" width="2.85546875" style="6" customWidth="1"/>
    <col min="18" max="18" width="16" style="6" hidden="1" customWidth="1"/>
    <col min="19" max="23" width="9.140625" style="6" hidden="1" customWidth="1"/>
    <col min="24" max="26" width="9.140625" style="6" customWidth="1"/>
    <col min="27" max="16384" width="9.140625" style="6"/>
  </cols>
  <sheetData>
    <row r="1" spans="1:22" ht="27.75" customHeight="1" x14ac:dyDescent="0.2">
      <c r="B1" s="7" t="str">
        <f ca="1">'GPlan-Translations'!C26</f>
        <v>Agenda Vaishnava Gplan</v>
      </c>
      <c r="C1" s="7"/>
      <c r="D1" s="7"/>
      <c r="E1" s="7"/>
      <c r="F1" s="7"/>
      <c r="G1" s="7"/>
      <c r="H1" s="7"/>
      <c r="I1" s="7"/>
      <c r="J1" s="7"/>
      <c r="P1" s="8" t="str">
        <f ca="1">'GPlan-Translations'!C72</f>
        <v>Geração Automática</v>
      </c>
      <c r="Q1" s="7"/>
      <c r="R1" s="874">
        <f ca="1">MATCH(R3,LanguagesList,0)</f>
        <v>3</v>
      </c>
      <c r="T1" s="875" t="s">
        <v>9683</v>
      </c>
      <c r="V1" s="876" t="s">
        <v>9682</v>
      </c>
    </row>
    <row r="2" spans="1:22" ht="7.5" customHeight="1" x14ac:dyDescent="0.2">
      <c r="B2" s="843"/>
      <c r="C2" s="844"/>
      <c r="D2" s="844"/>
      <c r="E2" s="844"/>
      <c r="F2" s="844"/>
      <c r="G2" s="844"/>
      <c r="H2" s="844"/>
      <c r="I2" s="844"/>
      <c r="J2" s="844"/>
      <c r="K2" s="844"/>
      <c r="L2" s="844"/>
      <c r="M2" s="844"/>
      <c r="N2" s="844"/>
      <c r="O2" s="844"/>
      <c r="P2" s="845"/>
      <c r="Q2" s="11"/>
      <c r="T2" s="875">
        <v>2</v>
      </c>
      <c r="V2" s="6">
        <v>2017</v>
      </c>
    </row>
    <row r="3" spans="1:22" ht="18.75" customHeight="1" x14ac:dyDescent="0.2">
      <c r="B3" s="846"/>
      <c r="C3" s="847"/>
      <c r="D3" s="848" t="str">
        <f ca="1">"1- " &amp; 'GPlan-Translations'!C27 &amp; ":"</f>
        <v>1- Linguagem:</v>
      </c>
      <c r="E3" s="847"/>
      <c r="F3" s="847"/>
      <c r="G3" s="847"/>
      <c r="H3" s="847"/>
      <c r="I3" s="847"/>
      <c r="J3" s="847"/>
      <c r="K3" s="847"/>
      <c r="L3" s="847"/>
      <c r="M3" s="847"/>
      <c r="N3" s="847"/>
      <c r="O3" s="847"/>
      <c r="P3" s="849"/>
      <c r="Q3" s="11"/>
      <c r="R3" s="871" t="s">
        <v>123</v>
      </c>
      <c r="T3" s="875">
        <v>3</v>
      </c>
      <c r="V3" s="6">
        <v>2018</v>
      </c>
    </row>
    <row r="4" spans="1:22" ht="7.5" customHeight="1" x14ac:dyDescent="0.2">
      <c r="A4" s="13"/>
      <c r="B4" s="846"/>
      <c r="C4" s="850"/>
      <c r="D4" s="850"/>
      <c r="E4" s="850"/>
      <c r="F4" s="850"/>
      <c r="G4" s="850"/>
      <c r="H4" s="850"/>
      <c r="I4" s="850"/>
      <c r="J4" s="847"/>
      <c r="K4" s="850"/>
      <c r="L4" s="850"/>
      <c r="M4" s="847"/>
      <c r="N4" s="847"/>
      <c r="O4" s="847"/>
      <c r="P4" s="851"/>
      <c r="Q4" s="11"/>
      <c r="T4" s="875">
        <v>4</v>
      </c>
      <c r="V4" s="6">
        <v>2019</v>
      </c>
    </row>
    <row r="5" spans="1:22" ht="7.5" customHeight="1" x14ac:dyDescent="0.2">
      <c r="B5" s="843"/>
      <c r="C5" s="844"/>
      <c r="D5" s="844"/>
      <c r="E5" s="844"/>
      <c r="F5" s="844"/>
      <c r="G5" s="844"/>
      <c r="H5" s="844"/>
      <c r="I5" s="844"/>
      <c r="J5" s="844"/>
      <c r="K5" s="844"/>
      <c r="L5" s="844"/>
      <c r="M5" s="844"/>
      <c r="N5" s="844"/>
      <c r="O5" s="844"/>
      <c r="P5" s="852"/>
      <c r="Q5" s="11"/>
      <c r="T5" s="875">
        <v>5</v>
      </c>
      <c r="V5" s="6">
        <v>2020</v>
      </c>
    </row>
    <row r="6" spans="1:22" ht="18.75" customHeight="1" x14ac:dyDescent="0.2">
      <c r="B6" s="846"/>
      <c r="C6" s="847"/>
      <c r="D6" s="848" t="str">
        <f ca="1">"2- " &amp; 'GPlan-Translations'!C29 &amp; ":"</f>
        <v>2- País:</v>
      </c>
      <c r="E6" s="850"/>
      <c r="F6" s="850"/>
      <c r="G6" s="850"/>
      <c r="H6" s="850"/>
      <c r="I6" s="850"/>
      <c r="J6" s="850"/>
      <c r="K6" s="850"/>
      <c r="L6" s="850"/>
      <c r="M6" s="850"/>
      <c r="N6" s="872" t="str">
        <f ca="1">'GPlan-Translations'!C45 &amp; ":"</f>
        <v>Ver:</v>
      </c>
      <c r="O6" s="847"/>
      <c r="P6" s="849"/>
      <c r="Q6" s="11"/>
      <c r="R6" s="871" t="s">
        <v>99</v>
      </c>
      <c r="T6" s="875">
        <v>6</v>
      </c>
      <c r="V6" s="6">
        <v>2021</v>
      </c>
    </row>
    <row r="7" spans="1:22" ht="14.25" customHeight="1" x14ac:dyDescent="0.2">
      <c r="A7" s="3"/>
      <c r="B7" s="846"/>
      <c r="C7" s="847"/>
      <c r="D7" s="847"/>
      <c r="E7" s="853"/>
      <c r="F7" s="853"/>
      <c r="G7" s="847"/>
      <c r="H7" s="847"/>
      <c r="I7" s="847"/>
      <c r="J7" s="847"/>
      <c r="K7" s="847"/>
      <c r="L7" s="854" t="str">
        <f ca="1">'GPlan-Translations'!C74</f>
        <v>(selecione)</v>
      </c>
      <c r="M7" s="847"/>
      <c r="N7" s="850"/>
      <c r="O7" s="847"/>
      <c r="P7" s="849"/>
      <c r="Q7" s="11"/>
      <c r="T7" s="875">
        <v>7</v>
      </c>
      <c r="V7" s="6">
        <v>2022</v>
      </c>
    </row>
    <row r="8" spans="1:22" ht="18.75" customHeight="1" x14ac:dyDescent="0.2">
      <c r="B8" s="846"/>
      <c r="C8" s="847"/>
      <c r="D8" s="848" t="str">
        <f ca="1">"3- " &amp; 'GPlan-Translations'!C30 &amp; ":"</f>
        <v>3- Localidade:</v>
      </c>
      <c r="E8" s="850"/>
      <c r="F8" s="850"/>
      <c r="G8" s="850"/>
      <c r="H8" s="850"/>
      <c r="I8" s="850"/>
      <c r="J8" s="850"/>
      <c r="K8" s="850"/>
      <c r="L8" s="850"/>
      <c r="M8" s="850"/>
      <c r="N8" s="850"/>
      <c r="O8" s="873" t="str">
        <f>HYPERLINK(Parameters!C42,"Google Maps")</f>
        <v>Google Maps</v>
      </c>
      <c r="P8" s="849"/>
      <c r="Q8" s="11"/>
      <c r="R8" s="871" t="s">
        <v>100</v>
      </c>
      <c r="V8" s="6">
        <v>2023</v>
      </c>
    </row>
    <row r="9" spans="1:22" ht="14.25" customHeight="1" x14ac:dyDescent="0.2">
      <c r="B9" s="846"/>
      <c r="C9" s="850"/>
      <c r="D9" s="850"/>
      <c r="E9" s="847"/>
      <c r="F9" s="847"/>
      <c r="G9" s="847"/>
      <c r="H9" s="847"/>
      <c r="I9" s="847"/>
      <c r="J9" s="847"/>
      <c r="K9" s="847"/>
      <c r="L9" s="850"/>
      <c r="M9" s="847"/>
      <c r="N9" s="850"/>
      <c r="O9" s="855" t="str">
        <f ca="1">HYPERLINK(Parameters!C46&amp;"calendar.xml","calendar.xml")</f>
        <v>calendar.xml</v>
      </c>
      <c r="P9" s="849"/>
      <c r="Q9" s="11"/>
      <c r="V9" s="6">
        <v>2024</v>
      </c>
    </row>
    <row r="10" spans="1:22" ht="18.75" customHeight="1" x14ac:dyDescent="0.2">
      <c r="B10" s="846"/>
      <c r="C10" s="847"/>
      <c r="D10" s="848" t="str">
        <f ca="1">"4- " &amp; 'GPlan-Translations'!C31 &amp; ":"</f>
        <v>4- Ano:</v>
      </c>
      <c r="E10" s="847"/>
      <c r="F10" s="847"/>
      <c r="G10" s="847"/>
      <c r="H10" s="847"/>
      <c r="I10" s="847"/>
      <c r="J10" s="847"/>
      <c r="K10" s="847"/>
      <c r="L10" s="847"/>
      <c r="M10" s="847"/>
      <c r="N10" s="850"/>
      <c r="O10" s="856" t="str">
        <f ca="1">HYPERLINK(Parameters!C46&amp;"calendar-re.xml","calendar-re.xml")</f>
        <v>calendar-re.xml</v>
      </c>
      <c r="P10" s="849"/>
      <c r="Q10" s="11"/>
      <c r="V10" s="6">
        <v>2025</v>
      </c>
    </row>
    <row r="11" spans="1:22" ht="7.5" customHeight="1" x14ac:dyDescent="0.2">
      <c r="B11" s="857"/>
      <c r="C11" s="847"/>
      <c r="D11" s="847"/>
      <c r="E11" s="858"/>
      <c r="F11" s="858"/>
      <c r="G11" s="858"/>
      <c r="H11" s="858"/>
      <c r="I11" s="847"/>
      <c r="J11" s="847"/>
      <c r="K11" s="847"/>
      <c r="L11" s="847"/>
      <c r="M11" s="855"/>
      <c r="N11" s="847"/>
      <c r="O11" s="847"/>
      <c r="P11" s="849"/>
      <c r="Q11" s="4"/>
      <c r="V11" s="6">
        <v>2026</v>
      </c>
    </row>
    <row r="12" spans="1:22" ht="7.5" customHeight="1" x14ac:dyDescent="0.2">
      <c r="B12" s="843"/>
      <c r="C12" s="869"/>
      <c r="D12" s="869"/>
      <c r="E12" s="844"/>
      <c r="F12" s="844"/>
      <c r="G12" s="844"/>
      <c r="H12" s="844"/>
      <c r="I12" s="844"/>
      <c r="J12" s="844"/>
      <c r="K12" s="844"/>
      <c r="L12" s="844"/>
      <c r="M12" s="844"/>
      <c r="N12" s="844"/>
      <c r="O12" s="859"/>
      <c r="P12" s="860"/>
      <c r="Q12" s="11"/>
      <c r="V12" s="6">
        <v>2027</v>
      </c>
    </row>
    <row r="13" spans="1:22" ht="15" customHeight="1" x14ac:dyDescent="0.2">
      <c r="B13" s="846"/>
      <c r="C13" s="861" t="str">
        <f ca="1">"6- " &amp; IF(NOT(Parameters!C38), 'GPlan-Translations'!C44 &amp; ":",Parameters!C39)</f>
        <v>6- Calendário atual calculado para:</v>
      </c>
      <c r="D13" s="847"/>
      <c r="E13" s="847"/>
      <c r="F13" s="847"/>
      <c r="G13" s="850"/>
      <c r="H13" s="847"/>
      <c r="I13" s="861"/>
      <c r="J13" s="847"/>
      <c r="K13" s="847"/>
      <c r="L13" s="847"/>
      <c r="M13" s="847"/>
      <c r="N13" s="847"/>
      <c r="O13" s="847"/>
      <c r="P13" s="862"/>
      <c r="Q13" s="11"/>
      <c r="V13" s="6">
        <v>2028</v>
      </c>
    </row>
    <row r="14" spans="1:22" ht="18.75" customHeight="1" x14ac:dyDescent="0.2">
      <c r="B14" s="846"/>
      <c r="C14" s="882" t="str">
        <f ca="1">IF(NOT(Parameters!C38),HYPERLINK(Parameters!C46&amp;Parameters!C33,Parameters!C22),HYPERLINK(Parameters!C41,Parameters!C40))</f>
        <v>Recife - Brazil - 2019</v>
      </c>
      <c r="D14" s="882"/>
      <c r="E14" s="882"/>
      <c r="F14" s="882"/>
      <c r="G14" s="882"/>
      <c r="H14" s="882"/>
      <c r="I14" s="882"/>
      <c r="J14" s="882"/>
      <c r="K14" s="882"/>
      <c r="L14" s="882"/>
      <c r="M14" s="882"/>
      <c r="N14" s="882"/>
      <c r="O14" s="882"/>
      <c r="P14" s="849"/>
      <c r="Q14" s="11"/>
      <c r="R14" s="868" t="s">
        <v>9680</v>
      </c>
      <c r="V14" s="6">
        <v>2029</v>
      </c>
    </row>
    <row r="15" spans="1:22" ht="18.75" customHeight="1" x14ac:dyDescent="0.2">
      <c r="B15" s="846"/>
      <c r="C15" s="861" t="str">
        <f ca="1">"7- " &amp; 'GPlan-Translations'!C33 &amp; ":"</f>
        <v>7- Nome da localidade na Capa:</v>
      </c>
      <c r="D15" s="847"/>
      <c r="E15" s="847"/>
      <c r="F15" s="847"/>
      <c r="G15" s="850"/>
      <c r="H15" s="847"/>
      <c r="I15" s="847"/>
      <c r="J15" s="847"/>
      <c r="K15" s="847"/>
      <c r="L15" s="847"/>
      <c r="M15" s="847"/>
      <c r="N15" s="847"/>
      <c r="O15" s="847"/>
      <c r="P15" s="849"/>
      <c r="Q15" s="11"/>
      <c r="V15" s="6">
        <v>2030</v>
      </c>
    </row>
    <row r="16" spans="1:22" ht="18.75" customHeight="1" x14ac:dyDescent="0.2">
      <c r="B16" s="846"/>
      <c r="C16" s="847"/>
      <c r="D16" s="847"/>
      <c r="E16" s="847"/>
      <c r="F16" s="847"/>
      <c r="G16" s="847"/>
      <c r="H16" s="847"/>
      <c r="I16" s="847"/>
      <c r="J16" s="847"/>
      <c r="K16" s="847"/>
      <c r="L16" s="847"/>
      <c r="M16" s="847"/>
      <c r="N16" s="847"/>
      <c r="O16" s="863"/>
      <c r="P16" s="864"/>
      <c r="Q16" s="11"/>
      <c r="R16" s="871" t="s">
        <v>101</v>
      </c>
      <c r="V16" s="6">
        <v>2031</v>
      </c>
    </row>
    <row r="17" spans="2:22" ht="18.75" customHeight="1" x14ac:dyDescent="0.2">
      <c r="B17" s="846"/>
      <c r="C17" s="861" t="str">
        <f ca="1">"8- " &amp; 'GPlan-Translations'!C71 &amp; ":"</f>
        <v>8- Hora Inicial (na agenda semanal):</v>
      </c>
      <c r="D17" s="850"/>
      <c r="E17" s="850"/>
      <c r="F17" s="850"/>
      <c r="G17" s="850"/>
      <c r="H17" s="847"/>
      <c r="I17" s="847"/>
      <c r="J17" s="847"/>
      <c r="K17" s="847"/>
      <c r="L17" s="847"/>
      <c r="M17" s="847"/>
      <c r="N17" s="847"/>
      <c r="O17" s="847"/>
      <c r="P17" s="849"/>
      <c r="Q17" s="11"/>
      <c r="V17" s="6">
        <v>2032</v>
      </c>
    </row>
    <row r="18" spans="2:22" ht="18.75" customHeight="1" x14ac:dyDescent="0.2">
      <c r="B18" s="846"/>
      <c r="C18" s="850"/>
      <c r="D18" s="850"/>
      <c r="E18" s="861" t="str">
        <f ca="1">"10- " &amp; 'GPlan-Translations'!C39</f>
        <v>10- Acrescentar:</v>
      </c>
      <c r="F18" s="850"/>
      <c r="G18" s="850"/>
      <c r="H18" s="850"/>
      <c r="I18" s="850"/>
      <c r="J18" s="847"/>
      <c r="K18" s="847"/>
      <c r="L18" s="847"/>
      <c r="M18" s="847"/>
      <c r="N18" s="847"/>
      <c r="O18" s="863"/>
      <c r="P18" s="864"/>
      <c r="Q18" s="11"/>
      <c r="R18" s="870" t="s">
        <v>9679</v>
      </c>
      <c r="V18" s="6">
        <v>2033</v>
      </c>
    </row>
    <row r="19" spans="2:22" ht="18.75" customHeight="1" x14ac:dyDescent="0.2">
      <c r="B19" s="846"/>
      <c r="C19" s="861" t="str">
        <f ca="1">"9- " &amp; 'GPlan-Translations'!C34 &amp; ":"</f>
        <v>9- Editar:</v>
      </c>
      <c r="D19" s="847"/>
      <c r="E19" s="850" t="s">
        <v>126</v>
      </c>
      <c r="F19" s="850"/>
      <c r="G19" s="850"/>
      <c r="H19" s="847"/>
      <c r="I19" s="850"/>
      <c r="J19" s="847"/>
      <c r="K19" s="847"/>
      <c r="L19" s="847"/>
      <c r="M19" s="847"/>
      <c r="N19" s="847"/>
      <c r="O19" s="847"/>
      <c r="P19" s="849"/>
      <c r="Q19" s="11"/>
      <c r="R19" s="877" t="b">
        <v>1</v>
      </c>
      <c r="V19" s="6">
        <v>2034</v>
      </c>
    </row>
    <row r="20" spans="2:22" ht="18.75" customHeight="1" x14ac:dyDescent="0.2">
      <c r="B20" s="846"/>
      <c r="C20" s="879" t="str">
        <f ca="1">HYPERLINK(Parameters!C50,'GPlan-Translations'!C38)</f>
        <v>Feriados</v>
      </c>
      <c r="D20" s="850"/>
      <c r="E20" s="850" t="s">
        <v>126</v>
      </c>
      <c r="F20" s="847"/>
      <c r="G20" s="850"/>
      <c r="H20" s="847"/>
      <c r="I20" s="850"/>
      <c r="J20" s="847"/>
      <c r="K20" s="850"/>
      <c r="L20" s="850"/>
      <c r="M20" s="847"/>
      <c r="N20" s="847"/>
      <c r="O20" s="863"/>
      <c r="P20" s="864"/>
      <c r="Q20" s="11"/>
      <c r="R20" s="878" t="b">
        <v>1</v>
      </c>
      <c r="V20" s="6">
        <v>2035</v>
      </c>
    </row>
    <row r="21" spans="2:22" ht="18.75" customHeight="1" x14ac:dyDescent="0.2">
      <c r="B21" s="846"/>
      <c r="C21" s="879" t="str">
        <f ca="1">HYPERLINK(Parameters!C51,'GPlan-Translations'!C37)</f>
        <v>Dados Pessoais</v>
      </c>
      <c r="D21" s="850"/>
      <c r="E21" s="850" t="s">
        <v>126</v>
      </c>
      <c r="F21" s="850"/>
      <c r="G21" s="850"/>
      <c r="H21" s="850"/>
      <c r="I21" s="850"/>
      <c r="J21" s="847"/>
      <c r="K21" s="850"/>
      <c r="L21" s="850"/>
      <c r="M21" s="847"/>
      <c r="N21" s="847"/>
      <c r="O21" s="863"/>
      <c r="P21" s="864"/>
      <c r="Q21" s="11"/>
      <c r="R21" s="878" t="b">
        <v>1</v>
      </c>
      <c r="V21" s="6">
        <v>2036</v>
      </c>
    </row>
    <row r="22" spans="2:22" ht="7.5" customHeight="1" x14ac:dyDescent="0.2">
      <c r="B22" s="865"/>
      <c r="C22" s="866"/>
      <c r="D22" s="866"/>
      <c r="E22" s="866"/>
      <c r="F22" s="866"/>
      <c r="G22" s="866"/>
      <c r="H22" s="866"/>
      <c r="I22" s="866"/>
      <c r="J22" s="866"/>
      <c r="K22" s="866"/>
      <c r="L22" s="866"/>
      <c r="M22" s="866"/>
      <c r="N22" s="866"/>
      <c r="O22" s="866"/>
      <c r="P22" s="867"/>
      <c r="Q22" s="11"/>
      <c r="V22" s="6">
        <v>2037</v>
      </c>
    </row>
    <row r="23" spans="2:22" ht="7.5" customHeight="1" x14ac:dyDescent="0.2">
      <c r="V23" s="6">
        <v>2038</v>
      </c>
    </row>
    <row r="24" spans="2:22" x14ac:dyDescent="0.2">
      <c r="V24" s="6">
        <v>2039</v>
      </c>
    </row>
    <row r="25" spans="2:22" x14ac:dyDescent="0.2">
      <c r="V25" s="6">
        <v>2040</v>
      </c>
    </row>
    <row r="26" spans="2:22" x14ac:dyDescent="0.2">
      <c r="V26" s="6">
        <v>2041</v>
      </c>
    </row>
    <row r="27" spans="2:22" x14ac:dyDescent="0.2">
      <c r="V27" s="6">
        <v>2042</v>
      </c>
    </row>
    <row r="28" spans="2:22" x14ac:dyDescent="0.2">
      <c r="V28" s="6">
        <v>2043</v>
      </c>
    </row>
    <row r="29" spans="2:22" x14ac:dyDescent="0.2">
      <c r="V29" s="6">
        <v>2044</v>
      </c>
    </row>
    <row r="30" spans="2:22" x14ac:dyDescent="0.2">
      <c r="V30" s="6">
        <v>2045</v>
      </c>
    </row>
    <row r="31" spans="2:22" x14ac:dyDescent="0.2">
      <c r="V31" s="6">
        <v>2046</v>
      </c>
    </row>
    <row r="32" spans="2:22" x14ac:dyDescent="0.2">
      <c r="V32" s="6">
        <v>2047</v>
      </c>
    </row>
    <row r="33" spans="22:22" x14ac:dyDescent="0.2">
      <c r="V33" s="6">
        <v>2048</v>
      </c>
    </row>
    <row r="34" spans="22:22" x14ac:dyDescent="0.2">
      <c r="V34" s="6">
        <v>2049</v>
      </c>
    </row>
    <row r="35" spans="22:22" x14ac:dyDescent="0.2">
      <c r="V35" s="6">
        <v>2050</v>
      </c>
    </row>
    <row r="36" spans="22:22" x14ac:dyDescent="0.2">
      <c r="V36" s="6">
        <v>2051</v>
      </c>
    </row>
    <row r="37" spans="22:22" x14ac:dyDescent="0.2">
      <c r="V37" s="6">
        <v>2052</v>
      </c>
    </row>
    <row r="38" spans="22:22" x14ac:dyDescent="0.2">
      <c r="V38" s="6">
        <v>2053</v>
      </c>
    </row>
    <row r="39" spans="22:22" x14ac:dyDescent="0.2">
      <c r="V39" s="6">
        <v>2054</v>
      </c>
    </row>
    <row r="40" spans="22:22" x14ac:dyDescent="0.2">
      <c r="V40" s="6">
        <v>2055</v>
      </c>
    </row>
    <row r="41" spans="22:22" x14ac:dyDescent="0.2">
      <c r="V41" s="6">
        <v>2056</v>
      </c>
    </row>
    <row r="42" spans="22:22" x14ac:dyDescent="0.2">
      <c r="V42" s="6">
        <v>2057</v>
      </c>
    </row>
    <row r="43" spans="22:22" x14ac:dyDescent="0.2">
      <c r="V43" s="6">
        <v>2058</v>
      </c>
    </row>
    <row r="44" spans="22:22" x14ac:dyDescent="0.2">
      <c r="V44" s="6">
        <v>2059</v>
      </c>
    </row>
    <row r="45" spans="22:22" x14ac:dyDescent="0.2">
      <c r="V45" s="6">
        <v>2060</v>
      </c>
    </row>
    <row r="46" spans="22:22" x14ac:dyDescent="0.2">
      <c r="V46" s="6">
        <v>2061</v>
      </c>
    </row>
    <row r="47" spans="22:22" x14ac:dyDescent="0.2">
      <c r="V47" s="6">
        <v>2062</v>
      </c>
    </row>
    <row r="48" spans="22:22" x14ac:dyDescent="0.2">
      <c r="V48" s="6">
        <v>2063</v>
      </c>
    </row>
    <row r="49" spans="22:22" x14ac:dyDescent="0.2">
      <c r="V49" s="6">
        <v>2064</v>
      </c>
    </row>
    <row r="50" spans="22:22" x14ac:dyDescent="0.2">
      <c r="V50" s="6">
        <v>2065</v>
      </c>
    </row>
    <row r="51" spans="22:22" x14ac:dyDescent="0.2">
      <c r="V51" s="6">
        <v>2066</v>
      </c>
    </row>
    <row r="52" spans="22:22" x14ac:dyDescent="0.2">
      <c r="V52" s="6">
        <v>2067</v>
      </c>
    </row>
    <row r="53" spans="22:22" x14ac:dyDescent="0.2">
      <c r="V53" s="6">
        <v>2068</v>
      </c>
    </row>
    <row r="54" spans="22:22" x14ac:dyDescent="0.2">
      <c r="V54" s="6">
        <v>2069</v>
      </c>
    </row>
    <row r="55" spans="22:22" x14ac:dyDescent="0.2">
      <c r="V55" s="6">
        <v>2070</v>
      </c>
    </row>
    <row r="56" spans="22:22" x14ac:dyDescent="0.2">
      <c r="V56" s="6">
        <v>2071</v>
      </c>
    </row>
    <row r="57" spans="22:22" x14ac:dyDescent="0.2">
      <c r="V57" s="6">
        <v>2072</v>
      </c>
    </row>
    <row r="58" spans="22:22" x14ac:dyDescent="0.2">
      <c r="V58" s="6">
        <v>2073</v>
      </c>
    </row>
    <row r="59" spans="22:22" x14ac:dyDescent="0.2">
      <c r="V59" s="6">
        <v>2074</v>
      </c>
    </row>
    <row r="60" spans="22:22" x14ac:dyDescent="0.2">
      <c r="V60" s="6">
        <v>2075</v>
      </c>
    </row>
    <row r="61" spans="22:22" x14ac:dyDescent="0.2">
      <c r="V61" s="6">
        <v>2076</v>
      </c>
    </row>
    <row r="62" spans="22:22" x14ac:dyDescent="0.2">
      <c r="V62" s="6">
        <v>2077</v>
      </c>
    </row>
    <row r="63" spans="22:22" x14ac:dyDescent="0.2">
      <c r="V63" s="6">
        <v>2078</v>
      </c>
    </row>
    <row r="64" spans="22:22" x14ac:dyDescent="0.2">
      <c r="V64" s="6">
        <v>2079</v>
      </c>
    </row>
    <row r="65" spans="22:22" x14ac:dyDescent="0.2">
      <c r="V65" s="6">
        <v>2080</v>
      </c>
    </row>
    <row r="66" spans="22:22" x14ac:dyDescent="0.2">
      <c r="V66" s="6">
        <v>2081</v>
      </c>
    </row>
    <row r="67" spans="22:22" x14ac:dyDescent="0.2">
      <c r="V67" s="6">
        <v>2082</v>
      </c>
    </row>
    <row r="68" spans="22:22" x14ac:dyDescent="0.2">
      <c r="V68" s="6">
        <v>2083</v>
      </c>
    </row>
    <row r="69" spans="22:22" x14ac:dyDescent="0.2">
      <c r="V69" s="6">
        <v>2084</v>
      </c>
    </row>
    <row r="70" spans="22:22" x14ac:dyDescent="0.2">
      <c r="V70" s="6">
        <v>2085</v>
      </c>
    </row>
    <row r="71" spans="22:22" x14ac:dyDescent="0.2">
      <c r="V71" s="6">
        <v>2086</v>
      </c>
    </row>
    <row r="72" spans="22:22" x14ac:dyDescent="0.2">
      <c r="V72" s="6">
        <v>2087</v>
      </c>
    </row>
    <row r="73" spans="22:22" x14ac:dyDescent="0.2">
      <c r="V73" s="6">
        <v>2088</v>
      </c>
    </row>
    <row r="74" spans="22:22" x14ac:dyDescent="0.2">
      <c r="V74" s="6">
        <v>2089</v>
      </c>
    </row>
    <row r="75" spans="22:22" x14ac:dyDescent="0.2">
      <c r="V75" s="6">
        <v>2090</v>
      </c>
    </row>
    <row r="76" spans="22:22" x14ac:dyDescent="0.2">
      <c r="V76" s="6">
        <v>2091</v>
      </c>
    </row>
    <row r="77" spans="22:22" x14ac:dyDescent="0.2">
      <c r="V77" s="6">
        <v>2092</v>
      </c>
    </row>
    <row r="78" spans="22:22" x14ac:dyDescent="0.2">
      <c r="V78" s="6">
        <v>2093</v>
      </c>
    </row>
    <row r="79" spans="22:22" x14ac:dyDescent="0.2">
      <c r="V79" s="6">
        <v>2094</v>
      </c>
    </row>
    <row r="80" spans="22:22" x14ac:dyDescent="0.2">
      <c r="V80" s="6">
        <v>2095</v>
      </c>
    </row>
    <row r="81" spans="22:22" x14ac:dyDescent="0.2">
      <c r="V81" s="6">
        <v>2096</v>
      </c>
    </row>
    <row r="82" spans="22:22" x14ac:dyDescent="0.2">
      <c r="V82" s="6">
        <v>2097</v>
      </c>
    </row>
    <row r="83" spans="22:22" x14ac:dyDescent="0.2">
      <c r="V83" s="6">
        <v>2098</v>
      </c>
    </row>
    <row r="84" spans="22:22" x14ac:dyDescent="0.2">
      <c r="V84" s="6">
        <v>2099</v>
      </c>
    </row>
  </sheetData>
  <sheetProtection sheet="1" objects="1" scenarios="1" selectLockedCells="1" selectUnlockedCells="1"/>
  <mergeCells count="1">
    <mergeCell ref="C14:O14"/>
  </mergeCells>
  <dataValidations disablePrompts="1" count="1">
    <dataValidation allowBlank="1" showInputMessage="1" showErrorMessage="1" sqref="D7" xr:uid="{00000000-0002-0000-0000-000000000000}"/>
  </dataValidations>
  <printOptions horizontalCentered="1" verticalCentered="1"/>
  <pageMargins left="0.78740157480314965" right="0.78740157480314965" top="0.98425196850393704" bottom="0.98425196850393704" header="0.51181102362204722" footer="0.51181102362204722"/>
  <pageSetup paperSize="9" orientation="landscape" r:id="rId1"/>
  <headerFooter alignWithMargins="0"/>
  <drawing r:id="rId2"/>
  <legacyDrawing r:id="rId3"/>
  <controls>
    <mc:AlternateContent xmlns:mc="http://schemas.openxmlformats.org/markup-compatibility/2006">
      <mc:Choice Requires="x14">
        <control shapeId="2093" r:id="rId4" name="ComboBoxHours">
          <controlPr locked="0" defaultSize="0" autoLine="0" autoPict="0" linkedCell="R18" listFillRange="HoursList" r:id="rId5">
            <anchor moveWithCells="1">
              <from>
                <xdr:col>2</xdr:col>
                <xdr:colOff>247650</xdr:colOff>
                <xdr:row>17</xdr:row>
                <xdr:rowOff>19050</xdr:rowOff>
              </from>
              <to>
                <xdr:col>2</xdr:col>
                <xdr:colOff>1028700</xdr:colOff>
                <xdr:row>18</xdr:row>
                <xdr:rowOff>38100</xdr:rowOff>
              </to>
            </anchor>
          </controlPr>
        </control>
      </mc:Choice>
      <mc:Fallback>
        <control shapeId="2093" r:id="rId4" name="ComboBoxHours"/>
      </mc:Fallback>
    </mc:AlternateContent>
    <mc:AlternateContent xmlns:mc="http://schemas.openxmlformats.org/markup-compatibility/2006">
      <mc:Choice Requires="x14">
        <control shapeId="2092" r:id="rId6" name="ComboBoxYears">
          <controlPr locked="0" defaultSize="0" autoLine="0" linkedCell="R14" listFillRange="YearsLists" r:id="rId7">
            <anchor moveWithCells="1">
              <from>
                <xdr:col>3</xdr:col>
                <xdr:colOff>85725</xdr:colOff>
                <xdr:row>8</xdr:row>
                <xdr:rowOff>161925</xdr:rowOff>
              </from>
              <to>
                <xdr:col>5</xdr:col>
                <xdr:colOff>19050</xdr:colOff>
                <xdr:row>10</xdr:row>
                <xdr:rowOff>0</xdr:rowOff>
              </to>
            </anchor>
          </controlPr>
        </control>
      </mc:Choice>
      <mc:Fallback>
        <control shapeId="2092" r:id="rId6" name="ComboBoxYears"/>
      </mc:Fallback>
    </mc:AlternateContent>
    <mc:AlternateContent xmlns:mc="http://schemas.openxmlformats.org/markup-compatibility/2006">
      <mc:Choice Requires="x14">
        <control shapeId="2091" r:id="rId8" name="CommandButtonGPlanCreate">
          <controlPr locked="0" defaultSize="0" autoLine="0" r:id="rId9">
            <anchor moveWithCells="1">
              <from>
                <xdr:col>13</xdr:col>
                <xdr:colOff>19050</xdr:colOff>
                <xdr:row>19</xdr:row>
                <xdr:rowOff>95250</xdr:rowOff>
              </from>
              <to>
                <xdr:col>14</xdr:col>
                <xdr:colOff>990600</xdr:colOff>
                <xdr:row>20</xdr:row>
                <xdr:rowOff>180975</xdr:rowOff>
              </to>
            </anchor>
          </controlPr>
        </control>
      </mc:Choice>
      <mc:Fallback>
        <control shapeId="2091" r:id="rId8" name="CommandButtonGPlanCreate"/>
      </mc:Fallback>
    </mc:AlternateContent>
    <mc:AlternateContent xmlns:mc="http://schemas.openxmlformats.org/markup-compatibility/2006">
      <mc:Choice Requires="x14">
        <control shapeId="2090" r:id="rId10" name="CheckBoxUnits">
          <controlPr locked="0" defaultSize="0" autoLine="0" autoPict="0" linkedCell="R21" r:id="rId11">
            <anchor moveWithCells="1">
              <from>
                <xdr:col>4</xdr:col>
                <xdr:colOff>190500</xdr:colOff>
                <xdr:row>20</xdr:row>
                <xdr:rowOff>66675</xdr:rowOff>
              </from>
              <to>
                <xdr:col>11</xdr:col>
                <xdr:colOff>571500</xdr:colOff>
                <xdr:row>21</xdr:row>
                <xdr:rowOff>85725</xdr:rowOff>
              </to>
            </anchor>
          </controlPr>
        </control>
      </mc:Choice>
      <mc:Fallback>
        <control shapeId="2090" r:id="rId10" name="CheckBoxUnits"/>
      </mc:Fallback>
    </mc:AlternateContent>
    <mc:AlternateContent xmlns:mc="http://schemas.openxmlformats.org/markup-compatibility/2006">
      <mc:Choice Requires="x14">
        <control shapeId="2089" r:id="rId12" name="CheckBoxReunions">
          <controlPr locked="0" defaultSize="0" autoLine="0" autoPict="0" linkedCell="R20" r:id="rId13">
            <anchor moveWithCells="1">
              <from>
                <xdr:col>4</xdr:col>
                <xdr:colOff>190500</xdr:colOff>
                <xdr:row>19</xdr:row>
                <xdr:rowOff>38100</xdr:rowOff>
              </from>
              <to>
                <xdr:col>11</xdr:col>
                <xdr:colOff>571500</xdr:colOff>
                <xdr:row>20</xdr:row>
                <xdr:rowOff>57150</xdr:rowOff>
              </to>
            </anchor>
          </controlPr>
        </control>
      </mc:Choice>
      <mc:Fallback>
        <control shapeId="2089" r:id="rId12" name="CheckBoxReunions"/>
      </mc:Fallback>
    </mc:AlternateContent>
    <mc:AlternateContent xmlns:mc="http://schemas.openxmlformats.org/markup-compatibility/2006">
      <mc:Choice Requires="x14">
        <control shapeId="2088" r:id="rId14" name="CheckBoxPersons">
          <controlPr locked="0" defaultSize="0" autoLine="0" autoPict="0" linkedCell="R19" r:id="rId15">
            <anchor moveWithCells="1">
              <from>
                <xdr:col>4</xdr:col>
                <xdr:colOff>190500</xdr:colOff>
                <xdr:row>18</xdr:row>
                <xdr:rowOff>9525</xdr:rowOff>
              </from>
              <to>
                <xdr:col>11</xdr:col>
                <xdr:colOff>571500</xdr:colOff>
                <xdr:row>19</xdr:row>
                <xdr:rowOff>28575</xdr:rowOff>
              </to>
            </anchor>
          </controlPr>
        </control>
      </mc:Choice>
      <mc:Fallback>
        <control shapeId="2088" r:id="rId14" name="CheckBoxPersons"/>
      </mc:Fallback>
    </mc:AlternateContent>
    <mc:AlternateContent xmlns:mc="http://schemas.openxmlformats.org/markup-compatibility/2006">
      <mc:Choice Requires="x14">
        <control shapeId="2083" r:id="rId16" name="ComboBoxCities">
          <controlPr locked="0" defaultSize="0" autoLine="0" linkedCell="R8" listFillRange="CitiesSearch" r:id="rId17">
            <anchor moveWithCells="1">
              <from>
                <xdr:col>3</xdr:col>
                <xdr:colOff>85725</xdr:colOff>
                <xdr:row>7</xdr:row>
                <xdr:rowOff>9525</xdr:rowOff>
              </from>
              <to>
                <xdr:col>12</xdr:col>
                <xdr:colOff>9525</xdr:colOff>
                <xdr:row>8</xdr:row>
                <xdr:rowOff>28575</xdr:rowOff>
              </to>
            </anchor>
          </controlPr>
        </control>
      </mc:Choice>
      <mc:Fallback>
        <control shapeId="2083" r:id="rId16" name="ComboBoxCities"/>
      </mc:Fallback>
    </mc:AlternateContent>
    <mc:AlternateContent xmlns:mc="http://schemas.openxmlformats.org/markup-compatibility/2006">
      <mc:Choice Requires="x14">
        <control shapeId="2081" r:id="rId18" name="CommandButtonCalculate">
          <controlPr locked="0" defaultSize="0" autoLine="0" autoPict="0" r:id="rId19">
            <anchor moveWithCells="1">
              <from>
                <xdr:col>6</xdr:col>
                <xdr:colOff>95250</xdr:colOff>
                <xdr:row>8</xdr:row>
                <xdr:rowOff>114300</xdr:rowOff>
              </from>
              <to>
                <xdr:col>12</xdr:col>
                <xdr:colOff>0</xdr:colOff>
                <xdr:row>10</xdr:row>
                <xdr:rowOff>19050</xdr:rowOff>
              </to>
            </anchor>
          </controlPr>
        </control>
      </mc:Choice>
      <mc:Fallback>
        <control shapeId="2081" r:id="rId18" name="CommandButtonCalculate"/>
      </mc:Fallback>
    </mc:AlternateContent>
    <mc:AlternateContent xmlns:mc="http://schemas.openxmlformats.org/markup-compatibility/2006">
      <mc:Choice Requires="x14">
        <control shapeId="2082" r:id="rId20" name="ComboBoxLanguages">
          <controlPr locked="0" defaultSize="0" autoLine="0" linkedCell="R3" r:id="rId21">
            <anchor moveWithCells="1">
              <from>
                <xdr:col>3</xdr:col>
                <xdr:colOff>85725</xdr:colOff>
                <xdr:row>2</xdr:row>
                <xdr:rowOff>0</xdr:rowOff>
              </from>
              <to>
                <xdr:col>12</xdr:col>
                <xdr:colOff>9525</xdr:colOff>
                <xdr:row>3</xdr:row>
                <xdr:rowOff>19050</xdr:rowOff>
              </to>
            </anchor>
          </controlPr>
        </control>
      </mc:Choice>
      <mc:Fallback>
        <control shapeId="2082" r:id="rId20" name="ComboBoxLanguages"/>
      </mc:Fallback>
    </mc:AlternateContent>
    <mc:AlternateContent xmlns:mc="http://schemas.openxmlformats.org/markup-compatibility/2006">
      <mc:Choice Requires="x14">
        <control shapeId="2084" r:id="rId22" name="ComboBoxCountries">
          <controlPr locked="0" defaultSize="0" autoLine="0" linkedCell="R6" listFillRange="CountriesSearch" r:id="rId23">
            <anchor moveWithCells="1">
              <from>
                <xdr:col>3</xdr:col>
                <xdr:colOff>85725</xdr:colOff>
                <xdr:row>5</xdr:row>
                <xdr:rowOff>9525</xdr:rowOff>
              </from>
              <to>
                <xdr:col>12</xdr:col>
                <xdr:colOff>9525</xdr:colOff>
                <xdr:row>6</xdr:row>
                <xdr:rowOff>28575</xdr:rowOff>
              </to>
            </anchor>
          </controlPr>
        </control>
      </mc:Choice>
      <mc:Fallback>
        <control shapeId="2084" r:id="rId22" name="ComboBoxCountries"/>
      </mc:Fallback>
    </mc:AlternateContent>
    <mc:AlternateContent xmlns:mc="http://schemas.openxmlformats.org/markup-compatibility/2006">
      <mc:Choice Requires="x14">
        <control shapeId="2086" r:id="rId24" name="TextBoxCityCustomName">
          <controlPr locked="0" defaultSize="0" autoLine="0" linkedCell="R16" r:id="rId25">
            <anchor moveWithCells="1">
              <from>
                <xdr:col>2</xdr:col>
                <xdr:colOff>247650</xdr:colOff>
                <xdr:row>15</xdr:row>
                <xdr:rowOff>19050</xdr:rowOff>
              </from>
              <to>
                <xdr:col>11</xdr:col>
                <xdr:colOff>600075</xdr:colOff>
                <xdr:row>16</xdr:row>
                <xdr:rowOff>38100</xdr:rowOff>
              </to>
            </anchor>
          </controlPr>
        </control>
      </mc:Choice>
      <mc:Fallback>
        <control shapeId="2086" r:id="rId24" name="TextBoxCityCustomName"/>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wksCover">
    <pageSetUpPr fitToPage="1"/>
  </sheetPr>
  <dimension ref="A1:S27"/>
  <sheetViews>
    <sheetView showGridLines="0" showRowColHeaders="0" workbookViewId="0"/>
  </sheetViews>
  <sheetFormatPr defaultColWidth="0" defaultRowHeight="15" customHeight="1" zeroHeight="1" x14ac:dyDescent="0.25"/>
  <cols>
    <col min="1" max="1" width="4.28515625" customWidth="1"/>
    <col min="2" max="8" width="9.140625" style="651" customWidth="1"/>
    <col min="9" max="9" width="4.28515625" style="651" customWidth="1"/>
    <col min="10" max="18" width="9.140625" style="651" hidden="1" customWidth="1"/>
    <col min="19" max="19" width="17.5703125" style="651" hidden="1" customWidth="1"/>
    <col min="20" max="16384" width="9.140625" style="651" hidden="1"/>
  </cols>
  <sheetData>
    <row r="1" spans="2:8" ht="15.75" x14ac:dyDescent="0.25">
      <c r="B1" s="887" t="str">
        <f ca="1">'GPlan-Translations'!C7</f>
        <v>AGENDA VAISHNAVA GPLAN</v>
      </c>
      <c r="C1" s="887"/>
      <c r="D1" s="887"/>
      <c r="E1" s="887"/>
      <c r="F1" s="887"/>
      <c r="G1" s="887"/>
      <c r="H1" s="887"/>
    </row>
    <row r="2" spans="2:8" ht="32.25" customHeight="1" x14ac:dyDescent="0.25">
      <c r="B2" s="887"/>
      <c r="C2" s="887"/>
      <c r="D2" s="887"/>
      <c r="E2" s="887"/>
      <c r="F2" s="887"/>
      <c r="G2" s="887"/>
      <c r="H2" s="887"/>
    </row>
    <row r="3" spans="2:8" ht="24.75" customHeight="1" x14ac:dyDescent="0.25">
      <c r="B3" s="887"/>
      <c r="C3" s="887"/>
      <c r="D3" s="887"/>
      <c r="E3" s="887"/>
      <c r="F3" s="887"/>
      <c r="G3" s="887"/>
      <c r="H3" s="887"/>
    </row>
    <row r="4" spans="2:8" ht="15.75" x14ac:dyDescent="0.25"/>
    <row r="5" spans="2:8" ht="15.75" x14ac:dyDescent="0.25"/>
    <row r="6" spans="2:8" ht="19.5" customHeight="1" x14ac:dyDescent="0.25">
      <c r="B6" s="888" t="str">
        <f>Parameters!C21</f>
        <v>Gaurabda 532 / 533</v>
      </c>
      <c r="C6" s="888"/>
      <c r="D6" s="888"/>
      <c r="E6" s="888"/>
      <c r="F6" s="888"/>
      <c r="G6" s="888"/>
      <c r="H6" s="888"/>
    </row>
    <row r="7" spans="2:8" ht="19.5" customHeight="1" x14ac:dyDescent="0.25">
      <c r="B7" s="652"/>
      <c r="C7" s="652"/>
      <c r="D7" s="652"/>
      <c r="E7" s="652"/>
      <c r="F7" s="652"/>
      <c r="G7" s="652"/>
      <c r="H7" s="652"/>
    </row>
    <row r="8" spans="2:8" ht="19.5" customHeight="1" x14ac:dyDescent="0.25">
      <c r="B8" s="888" t="str">
        <f>Opções!R16</f>
        <v>Recife</v>
      </c>
      <c r="C8" s="888"/>
      <c r="D8" s="888"/>
      <c r="E8" s="888"/>
      <c r="F8" s="888"/>
      <c r="G8" s="888"/>
      <c r="H8" s="888"/>
    </row>
    <row r="9" spans="2:8" ht="15.75" x14ac:dyDescent="0.25">
      <c r="B9" s="889">
        <f>Parameters!C14</f>
        <v>2019</v>
      </c>
      <c r="C9" s="889"/>
      <c r="D9" s="889"/>
      <c r="E9" s="889"/>
      <c r="F9" s="889"/>
      <c r="G9" s="889"/>
      <c r="H9" s="889"/>
    </row>
    <row r="10" spans="2:8" ht="22.5" customHeight="1" x14ac:dyDescent="0.25">
      <c r="B10" s="889"/>
      <c r="C10" s="889"/>
      <c r="D10" s="889"/>
      <c r="E10" s="889"/>
      <c r="F10" s="889"/>
      <c r="G10" s="889"/>
      <c r="H10" s="889"/>
    </row>
    <row r="11" spans="2:8" ht="15.75" x14ac:dyDescent="0.25"/>
    <row r="12" spans="2:8" ht="15.75" x14ac:dyDescent="0.25"/>
    <row r="13" spans="2:8" ht="15" customHeight="1" x14ac:dyDescent="0.25">
      <c r="B13" s="890" t="str">
        <f ca="1">'GPlan-Translations'!C8</f>
        <v>Uma agenda transcendental, para você não perder de vista o que realmente importa.</v>
      </c>
      <c r="C13" s="890"/>
      <c r="D13" s="890"/>
      <c r="E13" s="890"/>
      <c r="F13" s="890"/>
      <c r="G13" s="890"/>
      <c r="H13" s="890"/>
    </row>
    <row r="14" spans="2:8" ht="15" customHeight="1" x14ac:dyDescent="0.25">
      <c r="B14" s="890"/>
      <c r="C14" s="890"/>
      <c r="D14" s="890"/>
      <c r="E14" s="890"/>
      <c r="F14" s="890"/>
      <c r="G14" s="890"/>
      <c r="H14" s="890"/>
    </row>
    <row r="15" spans="2:8" ht="15" customHeight="1" x14ac:dyDescent="0.25">
      <c r="B15" s="890"/>
      <c r="C15" s="890"/>
      <c r="D15" s="890"/>
      <c r="E15" s="890"/>
      <c r="F15" s="890"/>
      <c r="G15" s="890"/>
      <c r="H15" s="890"/>
    </row>
    <row r="16" spans="2:8" ht="15" customHeight="1" x14ac:dyDescent="0.25">
      <c r="B16" s="890"/>
      <c r="C16" s="890"/>
      <c r="D16" s="890"/>
      <c r="E16" s="890"/>
      <c r="F16" s="890"/>
      <c r="G16" s="890"/>
      <c r="H16" s="890"/>
    </row>
    <row r="17" spans="2:8" ht="15" customHeight="1" x14ac:dyDescent="0.25">
      <c r="B17" s="695"/>
      <c r="C17" s="695"/>
      <c r="D17" s="695"/>
      <c r="E17" s="695"/>
      <c r="F17" s="695"/>
      <c r="G17" s="653" t="str">
        <f ca="1">'GPlan-Translations'!C9</f>
        <v>Versão</v>
      </c>
      <c r="H17" s="654" t="s">
        <v>8009</v>
      </c>
    </row>
    <row r="18" spans="2:8" ht="15.75" x14ac:dyDescent="0.25"/>
    <row r="19" spans="2:8" ht="15.75" x14ac:dyDescent="0.25"/>
    <row r="20" spans="2:8" ht="33.75" customHeight="1" x14ac:dyDescent="0.25">
      <c r="B20" s="884" t="str">
        <f>Quotes!B44</f>
        <v>वेणुं क्वणन्तमरविन्ददलायताक्षं बर्हावतंसमसिताम्बुदसुन्दराङ्गम्
कन्दर्पकोतिकमिनीयविशेषशोभं गोविन्दमादिपुरुषं तमहं भजामि</v>
      </c>
      <c r="C20" s="884"/>
      <c r="D20" s="884"/>
      <c r="E20" s="884"/>
      <c r="F20" s="884"/>
      <c r="G20" s="884"/>
      <c r="H20" s="884"/>
    </row>
    <row r="21" spans="2:8" ht="67.5" customHeight="1" x14ac:dyDescent="0.25">
      <c r="B21" s="885" t="str">
        <f>Quotes!C44</f>
        <v>veṇuṁ kvaṇantam aravinda-dalāyatākṣam-
barhāvataṁsam asitāmbuda-sundarāṅgam
kandarpa-koṭi-kamanīya-viśeṣa-śobhaṁ
govindam ādi-puruṣaṁ tam ahaṁ bhajāmi</v>
      </c>
      <c r="C21" s="885"/>
      <c r="D21" s="885"/>
      <c r="E21" s="885"/>
      <c r="F21" s="885"/>
      <c r="G21" s="885"/>
      <c r="H21" s="885"/>
    </row>
    <row r="22" spans="2:8" customFormat="1" ht="75" customHeight="1" x14ac:dyDescent="0.25">
      <c r="B22" s="886" t="str">
        <f ca="1">Quotes!D44</f>
        <v>Adoro Govinda, o Senhor primordial, que é perito em tocar Sua flauta, que tem olhos exuberantes como pétalas de lótus e a cabeça ornada com uma pluma de pavão. Sua bela forma apresenta o matiz de nuvens azuladas, e Seu encanto incomparável cativa milhões de cupidos (BS 5.30)</v>
      </c>
      <c r="C22" s="886"/>
      <c r="D22" s="886"/>
      <c r="E22" s="886"/>
      <c r="F22" s="886"/>
      <c r="G22" s="886"/>
      <c r="H22" s="886"/>
    </row>
    <row r="23" spans="2:8" ht="22.5" customHeight="1" x14ac:dyDescent="0.25"/>
    <row r="24" spans="2:8" ht="33.75" customHeight="1" x14ac:dyDescent="0.25">
      <c r="B24" s="884" t="str">
        <f>Quotes!B45</f>
        <v>अङ्गानि यस्य सकलेन्द्रियवृत्तिमन्ति पश्यन्ति पान्ति कलयन्ति चिरं जगन्ति
आनन्दचिन्मयसदुज्ज्वलविग्रहस्य गोविन्दमादिपुरुषं तमहं भजामि</v>
      </c>
      <c r="C24" s="884"/>
      <c r="D24" s="884"/>
      <c r="E24" s="884"/>
      <c r="F24" s="884"/>
      <c r="G24" s="884"/>
      <c r="H24" s="884"/>
    </row>
    <row r="25" spans="2:8" ht="67.5" customHeight="1" x14ac:dyDescent="0.25">
      <c r="B25" s="885" t="str">
        <f>Quotes!C45</f>
        <v>aṅgāni yasya sakalendriya-vṛtti-manti
paśyanti pānti kalayanti ciraṁ jaganti
ānanda-cinmaya-sad-ujjvala-vigrahasya
govindam ādi-puruṣaṁ tam ahaṁ bhajāmi</v>
      </c>
      <c r="C25" s="885"/>
      <c r="D25" s="885"/>
      <c r="E25" s="885"/>
      <c r="F25" s="885"/>
      <c r="G25" s="885"/>
      <c r="H25" s="885"/>
    </row>
    <row r="26" spans="2:8" ht="86.25" customHeight="1" x14ac:dyDescent="0.25">
      <c r="B26" s="883" t="str">
        <f ca="1">Quotes!D45</f>
        <v>Adoro Govinda, o Senhor primordial, cuja forma é plena de bem-aventurança, verdade, substancialidade, possuindo o mais deslumbrante esplendor. Cada um dos seus membros trancendentais possui as funções de todos os demais órgãos, e vê, mantém e manifesta eternamente infinitos universos, tanto espirituais quanto materiais. (BS 5.32)</v>
      </c>
      <c r="C26" s="883"/>
      <c r="D26" s="883"/>
      <c r="E26" s="883"/>
      <c r="F26" s="883"/>
      <c r="G26" s="883"/>
      <c r="H26" s="883"/>
    </row>
    <row r="27" spans="2:8" ht="15" customHeight="1" x14ac:dyDescent="0.25"/>
  </sheetData>
  <mergeCells count="11">
    <mergeCell ref="B1:H3"/>
    <mergeCell ref="B6:H6"/>
    <mergeCell ref="B8:H8"/>
    <mergeCell ref="B9:H10"/>
    <mergeCell ref="B13:H16"/>
    <mergeCell ref="B26:H26"/>
    <mergeCell ref="B20:H20"/>
    <mergeCell ref="B21:H21"/>
    <mergeCell ref="B22:H22"/>
    <mergeCell ref="B24:H24"/>
    <mergeCell ref="B25:H25"/>
  </mergeCells>
  <printOptions horizontalCentered="1"/>
  <pageMargins left="0.78740157480314965" right="0.78740157480314965" top="0.98425196850393704" bottom="0.98425196850393704" header="0.51181102362204722" footer="0.51181102362204722"/>
  <pageSetup paperSize="9" scale="99" orientation="portrait"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wksTitle">
    <pageSetUpPr fitToPage="1"/>
  </sheetPr>
  <dimension ref="A1:L79"/>
  <sheetViews>
    <sheetView showGridLines="0" showRowColHeaders="0" workbookViewId="0"/>
  </sheetViews>
  <sheetFormatPr defaultColWidth="0" defaultRowHeight="15" customHeight="1" zeroHeight="1" x14ac:dyDescent="0.2"/>
  <cols>
    <col min="1" max="1" width="9.140625" style="651" customWidth="1"/>
    <col min="2" max="2" width="9.140625" style="72" customWidth="1"/>
    <col min="3" max="10" width="9.140625" style="651" customWidth="1"/>
    <col min="11" max="11" width="9.140625" style="651" hidden="1" customWidth="1"/>
    <col min="12" max="12" width="6.7109375" style="651" hidden="1" customWidth="1"/>
    <col min="13" max="16384" width="9.140625" style="651" hidden="1"/>
  </cols>
  <sheetData>
    <row r="1" spans="2:9" x14ac:dyDescent="0.2"/>
    <row r="2" spans="2:9" x14ac:dyDescent="0.2"/>
    <row r="3" spans="2:9" ht="27" x14ac:dyDescent="0.35">
      <c r="B3" s="655" t="str">
        <f ca="1">'GPlan-Translations'!C12</f>
        <v>AGENDA VAISHNAVA GPLAN</v>
      </c>
    </row>
    <row r="4" spans="2:9" x14ac:dyDescent="0.2"/>
    <row r="5" spans="2:9" ht="18" customHeight="1" x14ac:dyDescent="0.2">
      <c r="B5" s="892" t="str">
        <f ca="1">'GPlan-Translations'!C13</f>
        <v>Uma agenda transcendental, para você não perder de vista o que realmente importa.</v>
      </c>
      <c r="C5" s="892"/>
      <c r="D5" s="892"/>
      <c r="E5" s="892"/>
      <c r="F5" s="892"/>
      <c r="G5" s="892"/>
      <c r="H5" s="892"/>
      <c r="I5" s="892"/>
    </row>
    <row r="6" spans="2:9" ht="18" customHeight="1" x14ac:dyDescent="0.2">
      <c r="B6" s="892"/>
      <c r="C6" s="892"/>
      <c r="D6" s="892"/>
      <c r="E6" s="892"/>
      <c r="F6" s="892"/>
      <c r="G6" s="892"/>
      <c r="H6" s="892"/>
      <c r="I6" s="892"/>
    </row>
    <row r="7" spans="2:9" ht="18" customHeight="1" x14ac:dyDescent="0.2">
      <c r="B7" s="892"/>
      <c r="C7" s="892"/>
      <c r="D7" s="892"/>
      <c r="E7" s="892"/>
      <c r="F7" s="892"/>
      <c r="G7" s="892"/>
      <c r="H7" s="892"/>
      <c r="I7" s="892"/>
    </row>
    <row r="8" spans="2:9" x14ac:dyDescent="0.2">
      <c r="B8" s="892"/>
      <c r="C8" s="892"/>
      <c r="D8" s="892"/>
      <c r="E8" s="892"/>
      <c r="F8" s="892"/>
      <c r="G8" s="892"/>
      <c r="H8" s="892"/>
      <c r="I8" s="892"/>
    </row>
    <row r="9" spans="2:9" x14ac:dyDescent="0.2"/>
    <row r="10" spans="2:9" x14ac:dyDescent="0.2">
      <c r="B10" s="72" t="str">
        <f ca="1">'GPlan-Translations'!C14</f>
        <v>Copyright (c) 2005-2019 PAULO SERGIO DE ARAUJO.</v>
      </c>
    </row>
    <row r="11" spans="2:9" x14ac:dyDescent="0.2">
      <c r="B11" s="891" t="str">
        <f ca="1">'GPlan-Translations'!C15</f>
        <v>Permission is granted to copy, distribute and/or modify this document under the terms of the GNU Free Documentation License, Version 1.3 or any later version published by the Free Software Foundation; with the Invariant Sections being "Dedicatória", "Agradecimentos", "Apresentação"  and "Apresentação - Notas e Links", with the Front-Cover Texts being "AGENDA VAISHNAVA", and with the Back-Cover Texts being "Uma agenda transcendental, para você não perder de vista o que realmente importa". A copy of the license is included in the section entitled "GNU Free Documentation License".</v>
      </c>
      <c r="C11" s="891"/>
      <c r="D11" s="891"/>
      <c r="E11" s="891"/>
      <c r="F11" s="891"/>
      <c r="G11" s="891"/>
      <c r="H11" s="891"/>
      <c r="I11" s="891"/>
    </row>
    <row r="12" spans="2:9" x14ac:dyDescent="0.2">
      <c r="B12" s="891"/>
      <c r="C12" s="891"/>
      <c r="D12" s="891"/>
      <c r="E12" s="891"/>
      <c r="F12" s="891"/>
      <c r="G12" s="891"/>
      <c r="H12" s="891"/>
      <c r="I12" s="891"/>
    </row>
    <row r="13" spans="2:9" x14ac:dyDescent="0.2">
      <c r="B13" s="891"/>
      <c r="C13" s="891"/>
      <c r="D13" s="891"/>
      <c r="E13" s="891"/>
      <c r="F13" s="891"/>
      <c r="G13" s="891"/>
      <c r="H13" s="891"/>
      <c r="I13" s="891"/>
    </row>
    <row r="14" spans="2:9" x14ac:dyDescent="0.2">
      <c r="B14" s="891"/>
      <c r="C14" s="891"/>
      <c r="D14" s="891"/>
      <c r="E14" s="891"/>
      <c r="F14" s="891"/>
      <c r="G14" s="891"/>
      <c r="H14" s="891"/>
      <c r="I14" s="891"/>
    </row>
    <row r="15" spans="2:9" x14ac:dyDescent="0.2">
      <c r="B15" s="891"/>
      <c r="C15" s="891"/>
      <c r="D15" s="891"/>
      <c r="E15" s="891"/>
      <c r="F15" s="891"/>
      <c r="G15" s="891"/>
      <c r="H15" s="891"/>
      <c r="I15" s="891"/>
    </row>
    <row r="16" spans="2:9" x14ac:dyDescent="0.2">
      <c r="B16" s="891"/>
      <c r="C16" s="891"/>
      <c r="D16" s="891"/>
      <c r="E16" s="891"/>
      <c r="F16" s="891"/>
      <c r="G16" s="891"/>
      <c r="H16" s="891"/>
      <c r="I16" s="891"/>
    </row>
    <row r="17" spans="2:9" x14ac:dyDescent="0.2">
      <c r="B17" s="891"/>
      <c r="C17" s="891"/>
      <c r="D17" s="891"/>
      <c r="E17" s="891"/>
      <c r="F17" s="891"/>
      <c r="G17" s="891"/>
      <c r="H17" s="891"/>
      <c r="I17" s="891"/>
    </row>
    <row r="18" spans="2:9" x14ac:dyDescent="0.2">
      <c r="B18" s="891"/>
      <c r="C18" s="891"/>
      <c r="D18" s="891"/>
      <c r="E18" s="891"/>
      <c r="F18" s="891"/>
      <c r="G18" s="891"/>
      <c r="H18" s="891"/>
      <c r="I18" s="891"/>
    </row>
    <row r="19" spans="2:9" x14ac:dyDescent="0.2"/>
    <row r="20" spans="2:9" x14ac:dyDescent="0.2">
      <c r="B20" s="72" t="str">
        <f ca="1">'GPlan-Translations'!C16</f>
        <v>Copyright (c) 2005-2019 PAULO SERGIO DE ARAUJO.</v>
      </c>
    </row>
    <row r="21" spans="2:9" ht="15" customHeight="1" x14ac:dyDescent="0.2">
      <c r="B21" s="891" t="str">
        <f ca="1">'GPlan-Translations'!C17</f>
        <v>É garantida a permissão para copiar, distribuir e/ou modificar este documento sob os termos da Licença de Documentação Livre GNU (GNU Free Documentation License), Versão 1.3 ou qualquer versão posterior publicada pela Free Software Foundation; com as Seções Invariantes sendo "Dedicatória", "Agradecimentos", "Apresentação"  e "Apresentação - Notas e Links", com os Textos de Capa Frontal sendo "AGENDA VAISHNAVA", e com os Textos de Quarta Capa sendo "Uma agenda semanal transcendental, para você não perder de vista o que realmente importa". Uma cópia da licença é incluída na seção intitulada "GNU Free Documentation License".</v>
      </c>
      <c r="C21" s="891"/>
      <c r="D21" s="891"/>
      <c r="E21" s="891"/>
      <c r="F21" s="891"/>
      <c r="G21" s="891"/>
      <c r="H21" s="891"/>
      <c r="I21" s="891"/>
    </row>
    <row r="22" spans="2:9" ht="15" customHeight="1" x14ac:dyDescent="0.2">
      <c r="B22" s="891"/>
      <c r="C22" s="891"/>
      <c r="D22" s="891"/>
      <c r="E22" s="891"/>
      <c r="F22" s="891"/>
      <c r="G22" s="891"/>
      <c r="H22" s="891"/>
      <c r="I22" s="891"/>
    </row>
    <row r="23" spans="2:9" ht="15" customHeight="1" x14ac:dyDescent="0.2">
      <c r="B23" s="891"/>
      <c r="C23" s="891"/>
      <c r="D23" s="891"/>
      <c r="E23" s="891"/>
      <c r="F23" s="891"/>
      <c r="G23" s="891"/>
      <c r="H23" s="891"/>
      <c r="I23" s="891"/>
    </row>
    <row r="24" spans="2:9" ht="15" customHeight="1" x14ac:dyDescent="0.2">
      <c r="B24" s="891"/>
      <c r="C24" s="891"/>
      <c r="D24" s="891"/>
      <c r="E24" s="891"/>
      <c r="F24" s="891"/>
      <c r="G24" s="891"/>
      <c r="H24" s="891"/>
      <c r="I24" s="891"/>
    </row>
    <row r="25" spans="2:9" ht="15" customHeight="1" x14ac:dyDescent="0.2">
      <c r="B25" s="891"/>
      <c r="C25" s="891"/>
      <c r="D25" s="891"/>
      <c r="E25" s="891"/>
      <c r="F25" s="891"/>
      <c r="G25" s="891"/>
      <c r="H25" s="891"/>
      <c r="I25" s="891"/>
    </row>
    <row r="26" spans="2:9" ht="15" customHeight="1" x14ac:dyDescent="0.2">
      <c r="B26" s="891"/>
      <c r="C26" s="891"/>
      <c r="D26" s="891"/>
      <c r="E26" s="891"/>
      <c r="F26" s="891"/>
      <c r="G26" s="891"/>
      <c r="H26" s="891"/>
      <c r="I26" s="891"/>
    </row>
    <row r="27" spans="2:9" ht="15" customHeight="1" x14ac:dyDescent="0.2">
      <c r="B27" s="891"/>
      <c r="C27" s="891"/>
      <c r="D27" s="891"/>
      <c r="E27" s="891"/>
      <c r="F27" s="891"/>
      <c r="G27" s="891"/>
      <c r="H27" s="891"/>
      <c r="I27" s="891"/>
    </row>
    <row r="28" spans="2:9" ht="15" customHeight="1" x14ac:dyDescent="0.2">
      <c r="B28" s="891"/>
      <c r="C28" s="891"/>
      <c r="D28" s="891"/>
      <c r="E28" s="891"/>
      <c r="F28" s="891"/>
      <c r="G28" s="891"/>
      <c r="H28" s="891"/>
      <c r="I28" s="891"/>
    </row>
    <row r="29" spans="2:9" x14ac:dyDescent="0.2">
      <c r="B29" s="891"/>
      <c r="C29" s="891"/>
      <c r="D29" s="891"/>
      <c r="E29" s="891"/>
      <c r="F29" s="891"/>
      <c r="G29" s="891"/>
      <c r="H29" s="891"/>
      <c r="I29" s="891"/>
    </row>
    <row r="30" spans="2:9" x14ac:dyDescent="0.2"/>
    <row r="31" spans="2:9" x14ac:dyDescent="0.2"/>
    <row r="32" spans="2:9" x14ac:dyDescent="0.2">
      <c r="B32" s="656" t="str">
        <f ca="1">'GPlan-Translations'!C18</f>
        <v>NO WARRANTY</v>
      </c>
    </row>
    <row r="33" spans="2:9" x14ac:dyDescent="0.2">
      <c r="B33" s="891" t="str">
        <f ca="1">'GPlan-Translations'!C19</f>
        <v>This document could include technical or other mistakes, inaccuracies, or typographical errors. This document is distributed in the hope that it will be useful, but it is provided "as is" WITHOUT WARRANTY OF ANY KIND, either express or implied, including, but not limited to, the implied warranties of express or implied, including, but not limited to, the implied warranties of merchantability or fitness for a particular purpose, or the warranty of non-infringement. See the GNU General Public License for more details.</v>
      </c>
      <c r="C33" s="891"/>
      <c r="D33" s="891"/>
      <c r="E33" s="891"/>
      <c r="F33" s="891"/>
      <c r="G33" s="891"/>
      <c r="H33" s="891"/>
      <c r="I33" s="891"/>
    </row>
    <row r="34" spans="2:9" x14ac:dyDescent="0.2">
      <c r="B34" s="891"/>
      <c r="C34" s="891"/>
      <c r="D34" s="891"/>
      <c r="E34" s="891"/>
      <c r="F34" s="891"/>
      <c r="G34" s="891"/>
      <c r="H34" s="891"/>
      <c r="I34" s="891"/>
    </row>
    <row r="35" spans="2:9" x14ac:dyDescent="0.2">
      <c r="B35" s="891"/>
      <c r="C35" s="891"/>
      <c r="D35" s="891"/>
      <c r="E35" s="891"/>
      <c r="F35" s="891"/>
      <c r="G35" s="891"/>
      <c r="H35" s="891"/>
      <c r="I35" s="891"/>
    </row>
    <row r="36" spans="2:9" x14ac:dyDescent="0.2">
      <c r="B36" s="891"/>
      <c r="C36" s="891"/>
      <c r="D36" s="891"/>
      <c r="E36" s="891"/>
      <c r="F36" s="891"/>
      <c r="G36" s="891"/>
      <c r="H36" s="891"/>
      <c r="I36" s="891"/>
    </row>
    <row r="37" spans="2:9" x14ac:dyDescent="0.2">
      <c r="B37" s="891"/>
      <c r="C37" s="891"/>
      <c r="D37" s="891"/>
      <c r="E37" s="891"/>
      <c r="F37" s="891"/>
      <c r="G37" s="891"/>
      <c r="H37" s="891"/>
      <c r="I37" s="891"/>
    </row>
    <row r="38" spans="2:9" x14ac:dyDescent="0.2">
      <c r="B38" s="891"/>
      <c r="C38" s="891"/>
      <c r="D38" s="891"/>
      <c r="E38" s="891"/>
      <c r="F38" s="891"/>
      <c r="G38" s="891"/>
      <c r="H38" s="891"/>
      <c r="I38" s="891"/>
    </row>
    <row r="39" spans="2:9" x14ac:dyDescent="0.2">
      <c r="B39" s="891"/>
      <c r="C39" s="891"/>
      <c r="D39" s="891"/>
      <c r="E39" s="891"/>
      <c r="F39" s="891"/>
      <c r="G39" s="891"/>
      <c r="H39" s="891"/>
      <c r="I39" s="891"/>
    </row>
    <row r="40" spans="2:9" x14ac:dyDescent="0.2">
      <c r="B40" s="657"/>
    </row>
    <row r="41" spans="2:9" x14ac:dyDescent="0.2">
      <c r="B41" s="893" t="str">
        <f ca="1">'GPlan-Translations'!C20</f>
        <v>In case that you or any reader of this document sends a reply with information,  feedback, data, questions, commentaries, suggestions, etc. with relation to the content of this document, this reply the author will be considered NOT confidential and he reserves the right to reproduce, to use, to divulge and to distribute the reply for third, without restrictions. You agree to allowing that the author uses any idea, technique or concept contained in its reply with any end, including, but not limited to, the perfectioning of this document.</v>
      </c>
      <c r="C41" s="893"/>
      <c r="D41" s="893"/>
      <c r="E41" s="893"/>
      <c r="F41" s="893"/>
      <c r="G41" s="893"/>
      <c r="H41" s="893"/>
      <c r="I41" s="893"/>
    </row>
    <row r="42" spans="2:9" x14ac:dyDescent="0.2">
      <c r="B42" s="893"/>
      <c r="C42" s="893"/>
      <c r="D42" s="893"/>
      <c r="E42" s="893"/>
      <c r="F42" s="893"/>
      <c r="G42" s="893"/>
      <c r="H42" s="893"/>
      <c r="I42" s="893"/>
    </row>
    <row r="43" spans="2:9" x14ac:dyDescent="0.2">
      <c r="B43" s="893"/>
      <c r="C43" s="893"/>
      <c r="D43" s="893"/>
      <c r="E43" s="893"/>
      <c r="F43" s="893"/>
      <c r="G43" s="893"/>
      <c r="H43" s="893"/>
      <c r="I43" s="893"/>
    </row>
    <row r="44" spans="2:9" x14ac:dyDescent="0.2">
      <c r="B44" s="893"/>
      <c r="C44" s="893"/>
      <c r="D44" s="893"/>
      <c r="E44" s="893"/>
      <c r="F44" s="893"/>
      <c r="G44" s="893"/>
      <c r="H44" s="893"/>
      <c r="I44" s="893"/>
    </row>
    <row r="45" spans="2:9" x14ac:dyDescent="0.2">
      <c r="B45" s="893"/>
      <c r="C45" s="893"/>
      <c r="D45" s="893"/>
      <c r="E45" s="893"/>
      <c r="F45" s="893"/>
      <c r="G45" s="893"/>
      <c r="H45" s="893"/>
      <c r="I45" s="893"/>
    </row>
    <row r="46" spans="2:9" x14ac:dyDescent="0.2">
      <c r="B46" s="893"/>
      <c r="C46" s="893"/>
      <c r="D46" s="893"/>
      <c r="E46" s="893"/>
      <c r="F46" s="893"/>
      <c r="G46" s="893"/>
      <c r="H46" s="893"/>
      <c r="I46" s="893"/>
    </row>
    <row r="47" spans="2:9" x14ac:dyDescent="0.2">
      <c r="B47" s="893"/>
      <c r="C47" s="893"/>
      <c r="D47" s="893"/>
      <c r="E47" s="893"/>
      <c r="F47" s="893"/>
      <c r="G47" s="893"/>
      <c r="H47" s="893"/>
      <c r="I47" s="893"/>
    </row>
    <row r="48" spans="2:9" x14ac:dyDescent="0.2">
      <c r="B48" s="893"/>
      <c r="C48" s="893"/>
      <c r="D48" s="893"/>
      <c r="E48" s="893"/>
      <c r="F48" s="893"/>
      <c r="G48" s="893"/>
      <c r="H48" s="893"/>
      <c r="I48" s="893"/>
    </row>
    <row r="49" spans="2:9" x14ac:dyDescent="0.2"/>
    <row r="50" spans="2:9" x14ac:dyDescent="0.2">
      <c r="B50" s="72" t="s">
        <v>7560</v>
      </c>
    </row>
    <row r="51" spans="2:9" x14ac:dyDescent="0.2">
      <c r="B51" s="656" t="str">
        <f ca="1">'GPlan-Translations'!C21</f>
        <v>AUSÊNCIA DE GARANTIAS</v>
      </c>
    </row>
    <row r="52" spans="2:9" x14ac:dyDescent="0.2">
      <c r="B52" s="891" t="str">
        <f ca="1">'GPlan-Translations'!C22</f>
        <v>Este documento poderá conter imprecisões técnicas, ou erros tipográficos ou de outros tipos. Este documento é fornecido na expectativa de que seja útil, mas "da maneira como se encontra", SEM GARANTIAS DE QUALQUER ESPÉCIE, expressas ou implícitas, incluindo, mas não limitadas, às garantias implícitas de comerciabilidade, adequação a um determinado propósito ou não-infração. Consulte a Licença Pública Geral GNU para obter mais detalhes.</v>
      </c>
      <c r="C52" s="891"/>
      <c r="D52" s="891"/>
      <c r="E52" s="891"/>
      <c r="F52" s="891"/>
      <c r="G52" s="891"/>
      <c r="H52" s="891"/>
      <c r="I52" s="891"/>
    </row>
    <row r="53" spans="2:9" x14ac:dyDescent="0.2">
      <c r="B53" s="891"/>
      <c r="C53" s="891"/>
      <c r="D53" s="891"/>
      <c r="E53" s="891"/>
      <c r="F53" s="891"/>
      <c r="G53" s="891"/>
      <c r="H53" s="891"/>
      <c r="I53" s="891"/>
    </row>
    <row r="54" spans="2:9" x14ac:dyDescent="0.2">
      <c r="B54" s="891"/>
      <c r="C54" s="891"/>
      <c r="D54" s="891"/>
      <c r="E54" s="891"/>
      <c r="F54" s="891"/>
      <c r="G54" s="891"/>
      <c r="H54" s="891"/>
      <c r="I54" s="891"/>
    </row>
    <row r="55" spans="2:9" x14ac:dyDescent="0.2">
      <c r="B55" s="891"/>
      <c r="C55" s="891"/>
      <c r="D55" s="891"/>
      <c r="E55" s="891"/>
      <c r="F55" s="891"/>
      <c r="G55" s="891"/>
      <c r="H55" s="891"/>
      <c r="I55" s="891"/>
    </row>
    <row r="56" spans="2:9" x14ac:dyDescent="0.2">
      <c r="B56" s="891"/>
      <c r="C56" s="891"/>
      <c r="D56" s="891"/>
      <c r="E56" s="891"/>
      <c r="F56" s="891"/>
      <c r="G56" s="891"/>
      <c r="H56" s="891"/>
      <c r="I56" s="891"/>
    </row>
    <row r="57" spans="2:9" x14ac:dyDescent="0.2">
      <c r="B57" s="891"/>
      <c r="C57" s="891"/>
      <c r="D57" s="891"/>
      <c r="E57" s="891"/>
      <c r="F57" s="891"/>
      <c r="G57" s="891"/>
      <c r="H57" s="891"/>
      <c r="I57" s="891"/>
    </row>
    <row r="58" spans="2:9" x14ac:dyDescent="0.2">
      <c r="B58" s="891"/>
      <c r="C58" s="891"/>
      <c r="D58" s="891"/>
      <c r="E58" s="891"/>
      <c r="F58" s="891"/>
      <c r="G58" s="891"/>
      <c r="H58" s="891"/>
      <c r="I58" s="891"/>
    </row>
    <row r="59" spans="2:9" x14ac:dyDescent="0.2"/>
    <row r="60" spans="2:9" x14ac:dyDescent="0.2">
      <c r="B60" s="891" t="str">
        <f ca="1">'GPlan-Translations'!C23</f>
        <v>Caso você ou qualquer leitor deste documento envie uma resposta com informações, feedback, dados, perguntas, comentários, sugestões etc. com relação ao conteúdo deste documento, essa resposta será considerada NÃO confidencial e o autor se reserva o direito de reproduzir, usar, divulgar e distribuir a resposta para terceiros, sem restrições. Você concorda em permitir que o autor utilize qualquer idéia, técnica ou conceito contido na sua resposta com qualquer fim, incluindo, mas não se limitando, ao aperfeiçoamento deste documento.</v>
      </c>
      <c r="C60" s="891"/>
      <c r="D60" s="891"/>
      <c r="E60" s="891"/>
      <c r="F60" s="891"/>
      <c r="G60" s="891"/>
      <c r="H60" s="891"/>
      <c r="I60" s="891"/>
    </row>
    <row r="61" spans="2:9" x14ac:dyDescent="0.2">
      <c r="B61" s="891"/>
      <c r="C61" s="891"/>
      <c r="D61" s="891"/>
      <c r="E61" s="891"/>
      <c r="F61" s="891"/>
      <c r="G61" s="891"/>
      <c r="H61" s="891"/>
      <c r="I61" s="891"/>
    </row>
    <row r="62" spans="2:9" x14ac:dyDescent="0.2">
      <c r="B62" s="891"/>
      <c r="C62" s="891"/>
      <c r="D62" s="891"/>
      <c r="E62" s="891"/>
      <c r="F62" s="891"/>
      <c r="G62" s="891"/>
      <c r="H62" s="891"/>
      <c r="I62" s="891"/>
    </row>
    <row r="63" spans="2:9" x14ac:dyDescent="0.2">
      <c r="B63" s="891"/>
      <c r="C63" s="891"/>
      <c r="D63" s="891"/>
      <c r="E63" s="891"/>
      <c r="F63" s="891"/>
      <c r="G63" s="891"/>
      <c r="H63" s="891"/>
      <c r="I63" s="891"/>
    </row>
    <row r="64" spans="2:9" x14ac:dyDescent="0.2">
      <c r="B64" s="891"/>
      <c r="C64" s="891"/>
      <c r="D64" s="891"/>
      <c r="E64" s="891"/>
      <c r="F64" s="891"/>
      <c r="G64" s="891"/>
      <c r="H64" s="891"/>
      <c r="I64" s="891"/>
    </row>
    <row r="65" spans="2:9" x14ac:dyDescent="0.2">
      <c r="B65" s="891"/>
      <c r="C65" s="891"/>
      <c r="D65" s="891"/>
      <c r="E65" s="891"/>
      <c r="F65" s="891"/>
      <c r="G65" s="891"/>
      <c r="H65" s="891"/>
      <c r="I65" s="891"/>
    </row>
    <row r="66" spans="2:9" x14ac:dyDescent="0.2">
      <c r="B66" s="891"/>
      <c r="C66" s="891"/>
      <c r="D66" s="891"/>
      <c r="E66" s="891"/>
      <c r="F66" s="891"/>
      <c r="G66" s="891"/>
      <c r="H66" s="891"/>
      <c r="I66" s="891"/>
    </row>
    <row r="67" spans="2:9" x14ac:dyDescent="0.2">
      <c r="B67" s="891"/>
      <c r="C67" s="891"/>
      <c r="D67" s="891"/>
      <c r="E67" s="891"/>
      <c r="F67" s="891"/>
      <c r="G67" s="891"/>
      <c r="H67" s="891"/>
      <c r="I67" s="891"/>
    </row>
    <row r="68" spans="2:9" x14ac:dyDescent="0.2">
      <c r="B68" s="72" t="s">
        <v>7560</v>
      </c>
    </row>
    <row r="69" spans="2:9" x14ac:dyDescent="0.2"/>
    <row r="70" spans="2:9" hidden="1" x14ac:dyDescent="0.2"/>
    <row r="71" spans="2:9" hidden="1" x14ac:dyDescent="0.2"/>
    <row r="72" spans="2:9" hidden="1" x14ac:dyDescent="0.2"/>
    <row r="73" spans="2:9" hidden="1" x14ac:dyDescent="0.2"/>
    <row r="74" spans="2:9" hidden="1" x14ac:dyDescent="0.2"/>
    <row r="75" spans="2:9" hidden="1" x14ac:dyDescent="0.2"/>
    <row r="76" spans="2:9" hidden="1" x14ac:dyDescent="0.2"/>
    <row r="77" spans="2:9" hidden="1" x14ac:dyDescent="0.2"/>
    <row r="78" spans="2:9" hidden="1" x14ac:dyDescent="0.2"/>
    <row r="79" spans="2:9" hidden="1" x14ac:dyDescent="0.2"/>
  </sheetData>
  <sheetProtection sheet="1" objects="1" scenarios="1"/>
  <mergeCells count="7">
    <mergeCell ref="B60:I67"/>
    <mergeCell ref="B5:I8"/>
    <mergeCell ref="B11:I18"/>
    <mergeCell ref="B21:I29"/>
    <mergeCell ref="B33:I39"/>
    <mergeCell ref="B41:I48"/>
    <mergeCell ref="B52:I58"/>
  </mergeCells>
  <printOptions horizontalCentered="1"/>
  <pageMargins left="0.78740157480314965" right="0.78740157480314965" top="0.98425196850393704" bottom="0.98425196850393704" header="0.51181102362204722" footer="0.51181102362204722"/>
  <pageSetup paperSize="9" scale="69" orientation="portrait"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wksApresentationLeft">
    <pageSetUpPr fitToPage="1"/>
  </sheetPr>
  <dimension ref="A1:I134"/>
  <sheetViews>
    <sheetView showGridLines="0" showRowColHeaders="0" workbookViewId="0"/>
  </sheetViews>
  <sheetFormatPr defaultColWidth="0" defaultRowHeight="15" customHeight="1" zeroHeight="1" x14ac:dyDescent="0.2"/>
  <cols>
    <col min="1" max="1" width="1.7109375" style="666" customWidth="1"/>
    <col min="2" max="12" width="9.140625" style="651" customWidth="1"/>
    <col min="13" max="16384" width="0" style="651" hidden="1"/>
  </cols>
  <sheetData>
    <row r="1" spans="2:2" x14ac:dyDescent="0.2"/>
    <row r="2" spans="2:2" x14ac:dyDescent="0.2"/>
    <row r="3" spans="2:2" ht="24.75" x14ac:dyDescent="0.3">
      <c r="B3" s="658" t="s">
        <v>731</v>
      </c>
    </row>
    <row r="4" spans="2:2" x14ac:dyDescent="0.2">
      <c r="B4" s="659"/>
    </row>
    <row r="5" spans="2:2" x14ac:dyDescent="0.2"/>
    <row r="6" spans="2:2" x14ac:dyDescent="0.2"/>
    <row r="7" spans="2:2" ht="18" x14ac:dyDescent="0.25">
      <c r="B7" s="660" t="s">
        <v>978</v>
      </c>
    </row>
    <row r="8" spans="2:2" x14ac:dyDescent="0.2">
      <c r="B8" s="659"/>
    </row>
    <row r="9" spans="2:2" x14ac:dyDescent="0.2"/>
    <row r="10" spans="2:2" ht="18" x14ac:dyDescent="0.2">
      <c r="B10" s="651" t="s">
        <v>7854</v>
      </c>
    </row>
    <row r="11" spans="2:2" x14ac:dyDescent="0.2">
      <c r="B11" s="651" t="s">
        <v>7855</v>
      </c>
    </row>
    <row r="12" spans="2:2" x14ac:dyDescent="0.2"/>
    <row r="13" spans="2:2" x14ac:dyDescent="0.2">
      <c r="B13" s="661" t="s">
        <v>7856</v>
      </c>
    </row>
    <row r="14" spans="2:2" x14ac:dyDescent="0.2">
      <c r="B14" s="661"/>
    </row>
    <row r="15" spans="2:2" x14ac:dyDescent="0.2">
      <c r="B15" s="661" t="s">
        <v>7857</v>
      </c>
    </row>
    <row r="16" spans="2:2" x14ac:dyDescent="0.2">
      <c r="B16" s="661"/>
    </row>
    <row r="17" spans="2:2" x14ac:dyDescent="0.2">
      <c r="B17" s="661" t="s">
        <v>7858</v>
      </c>
    </row>
    <row r="18" spans="2:2" x14ac:dyDescent="0.2">
      <c r="B18" s="651" t="s">
        <v>7859</v>
      </c>
    </row>
    <row r="19" spans="2:2" x14ac:dyDescent="0.2"/>
    <row r="20" spans="2:2" x14ac:dyDescent="0.2">
      <c r="B20" s="661" t="s">
        <v>7860</v>
      </c>
    </row>
    <row r="21" spans="2:2" ht="18" x14ac:dyDescent="0.2">
      <c r="B21" s="651" t="s">
        <v>7861</v>
      </c>
    </row>
    <row r="22" spans="2:2" x14ac:dyDescent="0.2"/>
    <row r="23" spans="2:2" ht="18" x14ac:dyDescent="0.2">
      <c r="B23" s="651" t="s">
        <v>7862</v>
      </c>
    </row>
    <row r="24" spans="2:2" x14ac:dyDescent="0.2">
      <c r="B24" s="651" t="s">
        <v>7863</v>
      </c>
    </row>
    <row r="25" spans="2:2" ht="18" x14ac:dyDescent="0.2">
      <c r="B25" s="651" t="s">
        <v>7864</v>
      </c>
    </row>
    <row r="26" spans="2:2" x14ac:dyDescent="0.2"/>
    <row r="27" spans="2:2" ht="18" x14ac:dyDescent="0.2">
      <c r="B27" s="661" t="s">
        <v>7865</v>
      </c>
    </row>
    <row r="28" spans="2:2" x14ac:dyDescent="0.2"/>
    <row r="29" spans="2:2" x14ac:dyDescent="0.2"/>
    <row r="30" spans="2:2" x14ac:dyDescent="0.2">
      <c r="B30" s="651" t="s">
        <v>7866</v>
      </c>
    </row>
    <row r="31" spans="2:2" x14ac:dyDescent="0.2">
      <c r="B31" s="662" t="s">
        <v>7867</v>
      </c>
    </row>
    <row r="32" spans="2:2" x14ac:dyDescent="0.2">
      <c r="B32" s="662" t="s">
        <v>7868</v>
      </c>
    </row>
    <row r="33" spans="2:2" x14ac:dyDescent="0.2">
      <c r="B33" s="661"/>
    </row>
    <row r="34" spans="2:2" x14ac:dyDescent="0.2"/>
    <row r="35" spans="2:2" ht="18" x14ac:dyDescent="0.2">
      <c r="B35" s="651" t="s">
        <v>7869</v>
      </c>
    </row>
    <row r="36" spans="2:2" x14ac:dyDescent="0.2">
      <c r="B36" s="651" t="s">
        <v>7870</v>
      </c>
    </row>
    <row r="37" spans="2:2" x14ac:dyDescent="0.2">
      <c r="B37" s="651" t="s">
        <v>7871</v>
      </c>
    </row>
    <row r="38" spans="2:2" x14ac:dyDescent="0.2">
      <c r="B38" s="651" t="s">
        <v>7872</v>
      </c>
    </row>
    <row r="39" spans="2:2" x14ac:dyDescent="0.2">
      <c r="B39" s="651" t="s">
        <v>7873</v>
      </c>
    </row>
    <row r="40" spans="2:2" x14ac:dyDescent="0.2">
      <c r="B40" s="651" t="s">
        <v>7874</v>
      </c>
    </row>
    <row r="41" spans="2:2" x14ac:dyDescent="0.2">
      <c r="B41" s="651" t="s">
        <v>7868</v>
      </c>
    </row>
    <row r="42" spans="2:2" x14ac:dyDescent="0.2"/>
    <row r="43" spans="2:2" x14ac:dyDescent="0.2"/>
    <row r="44" spans="2:2" x14ac:dyDescent="0.2">
      <c r="B44" s="663" t="s">
        <v>7875</v>
      </c>
    </row>
    <row r="45" spans="2:2" x14ac:dyDescent="0.2"/>
    <row r="46" spans="2:2" x14ac:dyDescent="0.2"/>
    <row r="47" spans="2:2" ht="18" x14ac:dyDescent="0.25">
      <c r="B47" s="660" t="s">
        <v>8010</v>
      </c>
    </row>
    <row r="48" spans="2:2" x14ac:dyDescent="0.2"/>
    <row r="49" spans="2:9" x14ac:dyDescent="0.2">
      <c r="B49" s="664"/>
      <c r="F49" s="664" t="s">
        <v>8011</v>
      </c>
      <c r="G49" s="651" t="str">
        <f>Parameters!D7</f>
        <v>Recife</v>
      </c>
    </row>
    <row r="50" spans="2:9" x14ac:dyDescent="0.2">
      <c r="B50" s="664"/>
    </row>
    <row r="51" spans="2:9" x14ac:dyDescent="0.2">
      <c r="F51" s="664" t="s">
        <v>8012</v>
      </c>
      <c r="G51" s="665">
        <f>Parameters!C14</f>
        <v>2019</v>
      </c>
    </row>
    <row r="52" spans="2:9" x14ac:dyDescent="0.2"/>
    <row r="53" spans="2:9" x14ac:dyDescent="0.2">
      <c r="F53" s="664" t="s">
        <v>8013</v>
      </c>
      <c r="G53" s="651" t="str">
        <f>Parameters!C8 &amp; " - " &amp;  Parameters!C4</f>
        <v>Recife - Brazil</v>
      </c>
    </row>
    <row r="54" spans="2:9" x14ac:dyDescent="0.2">
      <c r="F54" s="664"/>
    </row>
    <row r="55" spans="2:9" x14ac:dyDescent="0.2">
      <c r="F55" s="664" t="s">
        <v>8014</v>
      </c>
      <c r="G55" s="894">
        <f>Parameters!Y4</f>
        <v>-8.0538900000000009</v>
      </c>
      <c r="H55" s="894"/>
      <c r="I55" s="894"/>
    </row>
    <row r="56" spans="2:9" x14ac:dyDescent="0.2">
      <c r="F56" s="664"/>
    </row>
    <row r="57" spans="2:9" x14ac:dyDescent="0.2">
      <c r="F57" s="664" t="s">
        <v>8015</v>
      </c>
      <c r="G57" s="894">
        <f>Parameters!X4</f>
        <v>-34.88111</v>
      </c>
      <c r="H57" s="894"/>
      <c r="I57" s="894"/>
    </row>
    <row r="58" spans="2:9" x14ac:dyDescent="0.2">
      <c r="F58" s="664"/>
      <c r="G58" s="665"/>
      <c r="H58" s="665"/>
      <c r="I58" s="665"/>
    </row>
    <row r="59" spans="2:9" x14ac:dyDescent="0.2">
      <c r="F59" s="664" t="s">
        <v>8016</v>
      </c>
      <c r="G59" s="665" t="str">
        <f>Parameters!C11</f>
        <v>-3:00</v>
      </c>
      <c r="H59" s="665"/>
      <c r="I59" s="665"/>
    </row>
    <row r="60" spans="2:9" x14ac:dyDescent="0.2"/>
    <row r="61" spans="2:9" hidden="1" x14ac:dyDescent="0.2"/>
    <row r="62" spans="2:9" hidden="1" x14ac:dyDescent="0.2"/>
    <row r="63" spans="2:9" hidden="1" x14ac:dyDescent="0.2"/>
    <row r="64" spans="2:9" hidden="1" x14ac:dyDescent="0.2"/>
    <row r="65" hidden="1" x14ac:dyDescent="0.2"/>
    <row r="66" hidden="1" x14ac:dyDescent="0.2"/>
    <row r="67" hidden="1" x14ac:dyDescent="0.2"/>
    <row r="68" hidden="1" x14ac:dyDescent="0.2"/>
    <row r="69" hidden="1" x14ac:dyDescent="0.2"/>
    <row r="70" hidden="1" x14ac:dyDescent="0.2"/>
    <row r="71" hidden="1" x14ac:dyDescent="0.2"/>
    <row r="72" hidden="1" x14ac:dyDescent="0.2"/>
    <row r="73" hidden="1" x14ac:dyDescent="0.2"/>
    <row r="74" hidden="1" x14ac:dyDescent="0.2"/>
    <row r="75" hidden="1" x14ac:dyDescent="0.2"/>
    <row r="76" hidden="1" x14ac:dyDescent="0.2"/>
    <row r="77" hidden="1" x14ac:dyDescent="0.2"/>
    <row r="78" hidden="1" x14ac:dyDescent="0.2"/>
    <row r="79" hidden="1" x14ac:dyDescent="0.2"/>
    <row r="80" hidden="1" x14ac:dyDescent="0.2"/>
    <row r="81" hidden="1" x14ac:dyDescent="0.2"/>
    <row r="82" hidden="1" x14ac:dyDescent="0.2"/>
    <row r="83" hidden="1" x14ac:dyDescent="0.2"/>
    <row r="84" hidden="1" x14ac:dyDescent="0.2"/>
    <row r="85" hidden="1" x14ac:dyDescent="0.2"/>
    <row r="86" hidden="1" x14ac:dyDescent="0.2"/>
    <row r="87" hidden="1" x14ac:dyDescent="0.2"/>
    <row r="88" hidden="1" x14ac:dyDescent="0.2"/>
    <row r="89" hidden="1" x14ac:dyDescent="0.2"/>
    <row r="90" hidden="1" x14ac:dyDescent="0.2"/>
    <row r="91" hidden="1" x14ac:dyDescent="0.2"/>
    <row r="92" hidden="1" x14ac:dyDescent="0.2"/>
    <row r="93" hidden="1" x14ac:dyDescent="0.2"/>
    <row r="94" hidden="1" x14ac:dyDescent="0.2"/>
    <row r="95" hidden="1" x14ac:dyDescent="0.2"/>
    <row r="96" hidden="1" x14ac:dyDescent="0.2"/>
    <row r="97" hidden="1" x14ac:dyDescent="0.2"/>
    <row r="98" hidden="1" x14ac:dyDescent="0.2"/>
    <row r="99" hidden="1" x14ac:dyDescent="0.2"/>
    <row r="100" hidden="1" x14ac:dyDescent="0.2"/>
    <row r="101" hidden="1" x14ac:dyDescent="0.2"/>
    <row r="102" hidden="1" x14ac:dyDescent="0.2"/>
    <row r="103" hidden="1" x14ac:dyDescent="0.2"/>
    <row r="104" hidden="1" x14ac:dyDescent="0.2"/>
    <row r="105" hidden="1" x14ac:dyDescent="0.2"/>
    <row r="106" hidden="1" x14ac:dyDescent="0.2"/>
    <row r="107" hidden="1" x14ac:dyDescent="0.2"/>
    <row r="108" hidden="1" x14ac:dyDescent="0.2"/>
    <row r="109" hidden="1" x14ac:dyDescent="0.2"/>
    <row r="110" hidden="1" x14ac:dyDescent="0.2"/>
    <row r="111" hidden="1" x14ac:dyDescent="0.2"/>
    <row r="112" hidden="1" x14ac:dyDescent="0.2"/>
    <row r="113" hidden="1" x14ac:dyDescent="0.2"/>
    <row r="114" hidden="1" x14ac:dyDescent="0.2"/>
    <row r="115" hidden="1" x14ac:dyDescent="0.2"/>
    <row r="116" hidden="1" x14ac:dyDescent="0.2"/>
    <row r="117" hidden="1" x14ac:dyDescent="0.2"/>
    <row r="118" hidden="1" x14ac:dyDescent="0.2"/>
    <row r="119" hidden="1" x14ac:dyDescent="0.2"/>
    <row r="120" hidden="1" x14ac:dyDescent="0.2"/>
    <row r="121" hidden="1" x14ac:dyDescent="0.2"/>
    <row r="122" hidden="1" x14ac:dyDescent="0.2"/>
    <row r="123" hidden="1" x14ac:dyDescent="0.2"/>
    <row r="124" hidden="1" x14ac:dyDescent="0.2"/>
    <row r="125" hidden="1" x14ac:dyDescent="0.2"/>
    <row r="126" hidden="1" x14ac:dyDescent="0.2"/>
    <row r="127" hidden="1" x14ac:dyDescent="0.2"/>
    <row r="128" hidden="1" x14ac:dyDescent="0.2"/>
    <row r="129" hidden="1" x14ac:dyDescent="0.2"/>
    <row r="130" hidden="1" x14ac:dyDescent="0.2"/>
    <row r="131" hidden="1" x14ac:dyDescent="0.2"/>
    <row r="132" hidden="1" x14ac:dyDescent="0.2"/>
    <row r="133" hidden="1" x14ac:dyDescent="0.2"/>
    <row r="134" hidden="1" x14ac:dyDescent="0.2"/>
  </sheetData>
  <mergeCells count="2">
    <mergeCell ref="G55:I55"/>
    <mergeCell ref="G57:I57"/>
  </mergeCells>
  <printOptions horizontalCentered="1"/>
  <pageMargins left="0.78740157480314965" right="0.78740157480314965" top="0.39370078740157483" bottom="0.39370078740157483" header="0.11811023622047245" footer="0.11811023622047245"/>
  <pageSetup paperSize="9" scale="83" orientation="portrait" r:id="rId1"/>
  <headerFooter alignWithMargins="0"/>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wksApresentationRight">
    <pageSetUpPr fitToPage="1"/>
  </sheetPr>
  <dimension ref="A1:B156"/>
  <sheetViews>
    <sheetView showGridLines="0" showRowColHeaders="0" workbookViewId="0"/>
  </sheetViews>
  <sheetFormatPr defaultColWidth="0" defaultRowHeight="15" customHeight="1" zeroHeight="1" x14ac:dyDescent="0.2"/>
  <cols>
    <col min="1" max="1" width="8.5703125" style="666" customWidth="1"/>
    <col min="2" max="13" width="9.140625" style="651" customWidth="1"/>
    <col min="14" max="16384" width="0" style="651" hidden="1"/>
  </cols>
  <sheetData>
    <row r="1" spans="2:2" ht="15" customHeight="1" x14ac:dyDescent="0.2"/>
    <row r="2" spans="2:2" ht="18" x14ac:dyDescent="0.25">
      <c r="B2" s="660" t="s">
        <v>7876</v>
      </c>
    </row>
    <row r="3" spans="2:2" ht="15" customHeight="1" x14ac:dyDescent="0.2"/>
    <row r="4" spans="2:2" x14ac:dyDescent="0.2">
      <c r="B4" s="651" t="s">
        <v>7877</v>
      </c>
    </row>
    <row r="5" spans="2:2" x14ac:dyDescent="0.2">
      <c r="B5" s="651" t="s">
        <v>7878</v>
      </c>
    </row>
    <row r="6" spans="2:2" x14ac:dyDescent="0.2">
      <c r="B6" s="651" t="s">
        <v>7879</v>
      </c>
    </row>
    <row r="7" spans="2:2" x14ac:dyDescent="0.2">
      <c r="B7" s="651" t="s">
        <v>7880</v>
      </c>
    </row>
    <row r="8" spans="2:2" x14ac:dyDescent="0.2">
      <c r="B8" s="651" t="s">
        <v>7881</v>
      </c>
    </row>
    <row r="9" spans="2:2" ht="15" customHeight="1" x14ac:dyDescent="0.2"/>
    <row r="10" spans="2:2" x14ac:dyDescent="0.2">
      <c r="B10" s="651" t="s">
        <v>7882</v>
      </c>
    </row>
    <row r="11" spans="2:2" x14ac:dyDescent="0.2">
      <c r="B11" s="651" t="s">
        <v>7883</v>
      </c>
    </row>
    <row r="12" spans="2:2" x14ac:dyDescent="0.2">
      <c r="B12" s="651" t="s">
        <v>7884</v>
      </c>
    </row>
    <row r="13" spans="2:2" x14ac:dyDescent="0.2">
      <c r="B13" s="651" t="s">
        <v>7885</v>
      </c>
    </row>
    <row r="14" spans="2:2" x14ac:dyDescent="0.2">
      <c r="B14" s="651" t="s">
        <v>7886</v>
      </c>
    </row>
    <row r="15" spans="2:2" x14ac:dyDescent="0.2">
      <c r="B15" s="651" t="s">
        <v>7887</v>
      </c>
    </row>
    <row r="16" spans="2:2" x14ac:dyDescent="0.2">
      <c r="B16" s="651" t="s">
        <v>7888</v>
      </c>
    </row>
    <row r="17" spans="1:2" x14ac:dyDescent="0.2">
      <c r="A17" s="651"/>
      <c r="B17" s="651" t="s">
        <v>7889</v>
      </c>
    </row>
    <row r="18" spans="1:2" x14ac:dyDescent="0.2">
      <c r="B18" s="651" t="s">
        <v>7890</v>
      </c>
    </row>
    <row r="19" spans="1:2" x14ac:dyDescent="0.2">
      <c r="B19" s="651" t="s">
        <v>7891</v>
      </c>
    </row>
    <row r="20" spans="1:2" x14ac:dyDescent="0.2">
      <c r="B20" s="651" t="s">
        <v>7892</v>
      </c>
    </row>
    <row r="21" spans="1:2" ht="15" customHeight="1" x14ac:dyDescent="0.2"/>
    <row r="22" spans="1:2" x14ac:dyDescent="0.2">
      <c r="B22" s="651" t="s">
        <v>7893</v>
      </c>
    </row>
    <row r="23" spans="1:2" x14ac:dyDescent="0.2">
      <c r="B23" s="651" t="s">
        <v>7894</v>
      </c>
    </row>
    <row r="24" spans="1:2" x14ac:dyDescent="0.2">
      <c r="B24" s="651" t="s">
        <v>7895</v>
      </c>
    </row>
    <row r="25" spans="1:2" x14ac:dyDescent="0.2">
      <c r="B25" s="651" t="s">
        <v>7896</v>
      </c>
    </row>
    <row r="26" spans="1:2" x14ac:dyDescent="0.2">
      <c r="B26" s="651" t="s">
        <v>7897</v>
      </c>
    </row>
    <row r="27" spans="1:2" x14ac:dyDescent="0.2">
      <c r="B27" s="651" t="s">
        <v>7898</v>
      </c>
    </row>
    <row r="28" spans="1:2" x14ac:dyDescent="0.2">
      <c r="B28" s="651" t="s">
        <v>7899</v>
      </c>
    </row>
    <row r="29" spans="1:2" ht="15" customHeight="1" x14ac:dyDescent="0.2"/>
    <row r="30" spans="1:2" x14ac:dyDescent="0.2">
      <c r="B30" s="651" t="s">
        <v>7900</v>
      </c>
    </row>
    <row r="31" spans="1:2" ht="15" customHeight="1" x14ac:dyDescent="0.2"/>
    <row r="32" spans="1:2" x14ac:dyDescent="0.2">
      <c r="B32" s="651" t="s">
        <v>7901</v>
      </c>
    </row>
    <row r="33" spans="2:2" x14ac:dyDescent="0.2">
      <c r="B33" s="651" t="s">
        <v>7902</v>
      </c>
    </row>
    <row r="34" spans="2:2" x14ac:dyDescent="0.2">
      <c r="B34" s="651" t="s">
        <v>7903</v>
      </c>
    </row>
    <row r="35" spans="2:2" ht="15" customHeight="1" x14ac:dyDescent="0.2"/>
    <row r="36" spans="2:2" x14ac:dyDescent="0.2">
      <c r="B36" s="651" t="s">
        <v>7904</v>
      </c>
    </row>
    <row r="37" spans="2:2" ht="15" customHeight="1" x14ac:dyDescent="0.2"/>
    <row r="38" spans="2:2" x14ac:dyDescent="0.2">
      <c r="B38" s="651" t="s">
        <v>7905</v>
      </c>
    </row>
    <row r="39" spans="2:2" ht="15" customHeight="1" x14ac:dyDescent="0.2"/>
    <row r="40" spans="2:2" x14ac:dyDescent="0.2">
      <c r="B40" s="651" t="s">
        <v>7906</v>
      </c>
    </row>
    <row r="41" spans="2:2" ht="15" customHeight="1" x14ac:dyDescent="0.2"/>
    <row r="42" spans="2:2" x14ac:dyDescent="0.2">
      <c r="B42" s="651" t="s">
        <v>7907</v>
      </c>
    </row>
    <row r="43" spans="2:2" x14ac:dyDescent="0.2">
      <c r="B43" s="651" t="s">
        <v>7908</v>
      </c>
    </row>
    <row r="44" spans="2:2" x14ac:dyDescent="0.2">
      <c r="B44" s="651" t="s">
        <v>7909</v>
      </c>
    </row>
    <row r="45" spans="2:2" x14ac:dyDescent="0.2">
      <c r="B45" s="651" t="s">
        <v>7910</v>
      </c>
    </row>
    <row r="46" spans="2:2" x14ac:dyDescent="0.2">
      <c r="B46" s="651" t="s">
        <v>7911</v>
      </c>
    </row>
    <row r="47" spans="2:2" x14ac:dyDescent="0.2">
      <c r="B47" s="651" t="s">
        <v>7912</v>
      </c>
    </row>
    <row r="48" spans="2:2" ht="15" customHeight="1" x14ac:dyDescent="0.2"/>
    <row r="49" spans="2:2" x14ac:dyDescent="0.2">
      <c r="B49" s="651" t="s">
        <v>7913</v>
      </c>
    </row>
    <row r="50" spans="2:2" x14ac:dyDescent="0.2">
      <c r="B50" s="651" t="s">
        <v>7914</v>
      </c>
    </row>
    <row r="51" spans="2:2" ht="15" customHeight="1" x14ac:dyDescent="0.2"/>
    <row r="52" spans="2:2" ht="18" x14ac:dyDescent="0.2">
      <c r="B52" s="651" t="s">
        <v>7915</v>
      </c>
    </row>
    <row r="53" spans="2:2" x14ac:dyDescent="0.2">
      <c r="B53" s="651" t="s">
        <v>7916</v>
      </c>
    </row>
    <row r="54" spans="2:2" x14ac:dyDescent="0.2">
      <c r="B54" s="651" t="s">
        <v>7917</v>
      </c>
    </row>
    <row r="55" spans="2:2" x14ac:dyDescent="0.2">
      <c r="B55" s="651" t="s">
        <v>7918</v>
      </c>
    </row>
    <row r="56" spans="2:2" ht="15" customHeight="1" x14ac:dyDescent="0.2"/>
    <row r="57" spans="2:2" x14ac:dyDescent="0.2">
      <c r="B57" s="651" t="s">
        <v>7919</v>
      </c>
    </row>
    <row r="58" spans="2:2" x14ac:dyDescent="0.2">
      <c r="B58" s="651" t="s">
        <v>7920</v>
      </c>
    </row>
    <row r="59" spans="2:2" ht="15" customHeight="1" x14ac:dyDescent="0.2"/>
    <row r="60" spans="2:2" x14ac:dyDescent="0.2">
      <c r="B60" s="651" t="s">
        <v>7921</v>
      </c>
    </row>
    <row r="61" spans="2:2" x14ac:dyDescent="0.2">
      <c r="B61" s="651" t="s">
        <v>7922</v>
      </c>
    </row>
    <row r="62" spans="2:2" x14ac:dyDescent="0.2">
      <c r="B62" s="651" t="s">
        <v>7923</v>
      </c>
    </row>
    <row r="63" spans="2:2" ht="15" customHeight="1" x14ac:dyDescent="0.2"/>
    <row r="64" spans="2:2" x14ac:dyDescent="0.2">
      <c r="B64" s="651" t="s">
        <v>7924</v>
      </c>
    </row>
    <row r="65" spans="2:2" x14ac:dyDescent="0.2">
      <c r="B65" s="651" t="s">
        <v>7925</v>
      </c>
    </row>
    <row r="66" spans="2:2" x14ac:dyDescent="0.2">
      <c r="B66" s="651" t="s">
        <v>7926</v>
      </c>
    </row>
    <row r="67" spans="2:2" ht="15" customHeight="1" x14ac:dyDescent="0.2">
      <c r="B67" s="651" t="s">
        <v>7927</v>
      </c>
    </row>
    <row r="68" spans="2:2" ht="15" customHeight="1" x14ac:dyDescent="0.2"/>
    <row r="69" spans="2:2" x14ac:dyDescent="0.2">
      <c r="B69" s="651" t="s">
        <v>7928</v>
      </c>
    </row>
    <row r="70" spans="2:2" x14ac:dyDescent="0.2">
      <c r="B70" s="651" t="s">
        <v>7929</v>
      </c>
    </row>
    <row r="71" spans="2:2" x14ac:dyDescent="0.2">
      <c r="B71" s="651" t="s">
        <v>7930</v>
      </c>
    </row>
    <row r="72" spans="2:2" x14ac:dyDescent="0.2">
      <c r="B72" s="651" t="s">
        <v>7931</v>
      </c>
    </row>
    <row r="73" spans="2:2" x14ac:dyDescent="0.2">
      <c r="B73" s="651" t="s">
        <v>7932</v>
      </c>
    </row>
    <row r="74" spans="2:2" x14ac:dyDescent="0.2">
      <c r="B74" s="651" t="s">
        <v>7933</v>
      </c>
    </row>
    <row r="75" spans="2:2" hidden="1" x14ac:dyDescent="0.2"/>
    <row r="76" spans="2:2" s="666" customFormat="1" hidden="1" x14ac:dyDescent="0.2">
      <c r="B76" s="651"/>
    </row>
    <row r="77" spans="2:2" s="666" customFormat="1" hidden="1" x14ac:dyDescent="0.2">
      <c r="B77" s="651"/>
    </row>
    <row r="78" spans="2:2" s="666" customFormat="1" hidden="1" x14ac:dyDescent="0.2">
      <c r="B78" s="651"/>
    </row>
    <row r="79" spans="2:2" s="666" customFormat="1" hidden="1" x14ac:dyDescent="0.2">
      <c r="B79" s="651"/>
    </row>
    <row r="80" spans="2:2" s="666" customFormat="1" hidden="1" x14ac:dyDescent="0.2">
      <c r="B80" s="651"/>
    </row>
    <row r="81" spans="2:2" s="666" customFormat="1" hidden="1" x14ac:dyDescent="0.2">
      <c r="B81" s="651"/>
    </row>
    <row r="82" spans="2:2" s="666" customFormat="1" hidden="1" x14ac:dyDescent="0.2">
      <c r="B82" s="651"/>
    </row>
    <row r="83" spans="2:2" s="666" customFormat="1" hidden="1" x14ac:dyDescent="0.2">
      <c r="B83" s="651"/>
    </row>
    <row r="84" spans="2:2" s="666" customFormat="1" hidden="1" x14ac:dyDescent="0.2">
      <c r="B84" s="651"/>
    </row>
    <row r="85" spans="2:2" s="666" customFormat="1" hidden="1" x14ac:dyDescent="0.2">
      <c r="B85" s="651"/>
    </row>
    <row r="86" spans="2:2" s="666" customFormat="1" hidden="1" x14ac:dyDescent="0.2">
      <c r="B86" s="651"/>
    </row>
    <row r="87" spans="2:2" s="666" customFormat="1" hidden="1" x14ac:dyDescent="0.2">
      <c r="B87" s="651"/>
    </row>
    <row r="88" spans="2:2" s="666" customFormat="1" hidden="1" x14ac:dyDescent="0.2">
      <c r="B88" s="651"/>
    </row>
    <row r="89" spans="2:2" s="666" customFormat="1" hidden="1" x14ac:dyDescent="0.2">
      <c r="B89" s="651"/>
    </row>
    <row r="90" spans="2:2" s="666" customFormat="1" hidden="1" x14ac:dyDescent="0.2">
      <c r="B90" s="651"/>
    </row>
    <row r="91" spans="2:2" s="666" customFormat="1" hidden="1" x14ac:dyDescent="0.2">
      <c r="B91" s="651"/>
    </row>
    <row r="92" spans="2:2" s="666" customFormat="1" hidden="1" x14ac:dyDescent="0.2">
      <c r="B92" s="651"/>
    </row>
    <row r="93" spans="2:2" s="666" customFormat="1" hidden="1" x14ac:dyDescent="0.2">
      <c r="B93" s="651"/>
    </row>
    <row r="94" spans="2:2" s="666" customFormat="1" hidden="1" x14ac:dyDescent="0.2">
      <c r="B94" s="651"/>
    </row>
    <row r="95" spans="2:2" s="666" customFormat="1" hidden="1" x14ac:dyDescent="0.2">
      <c r="B95" s="651"/>
    </row>
    <row r="96" spans="2:2" s="666" customFormat="1" hidden="1" x14ac:dyDescent="0.2">
      <c r="B96" s="651"/>
    </row>
    <row r="97" spans="1:1" ht="15" hidden="1" customHeight="1" x14ac:dyDescent="0.2">
      <c r="A97" s="651"/>
    </row>
    <row r="98" spans="1:1" ht="15" hidden="1" customHeight="1" x14ac:dyDescent="0.2"/>
    <row r="99" spans="1:1" ht="15" hidden="1" customHeight="1" x14ac:dyDescent="0.2"/>
    <row r="100" spans="1:1" ht="15" hidden="1" customHeight="1" x14ac:dyDescent="0.2"/>
    <row r="101" spans="1:1" ht="15" hidden="1" customHeight="1" x14ac:dyDescent="0.2"/>
    <row r="102" spans="1:1" ht="15" hidden="1" customHeight="1" x14ac:dyDescent="0.2"/>
    <row r="103" spans="1:1" ht="15" hidden="1" customHeight="1" x14ac:dyDescent="0.2"/>
    <row r="104" spans="1:1" ht="15" hidden="1" customHeight="1" x14ac:dyDescent="0.2"/>
    <row r="105" spans="1:1" ht="15" hidden="1" customHeight="1" x14ac:dyDescent="0.2"/>
    <row r="106" spans="1:1" ht="15" hidden="1" customHeight="1" x14ac:dyDescent="0.2"/>
    <row r="107" spans="1:1" ht="15" hidden="1" customHeight="1" x14ac:dyDescent="0.2"/>
    <row r="108" spans="1:1" ht="15" hidden="1" customHeight="1" x14ac:dyDescent="0.2"/>
    <row r="109" spans="1:1" ht="15" hidden="1" customHeight="1" x14ac:dyDescent="0.2"/>
    <row r="110" spans="1:1" ht="15" hidden="1" customHeight="1" x14ac:dyDescent="0.2"/>
    <row r="111" spans="1:1" ht="15" hidden="1" customHeight="1" x14ac:dyDescent="0.2"/>
    <row r="112" spans="1:1" ht="15" hidden="1" customHeight="1" x14ac:dyDescent="0.2"/>
    <row r="113" ht="15" hidden="1" customHeight="1" x14ac:dyDescent="0.2"/>
    <row r="114" ht="15" hidden="1" customHeight="1" x14ac:dyDescent="0.2"/>
    <row r="115" ht="15" hidden="1" customHeight="1" x14ac:dyDescent="0.2"/>
    <row r="116" ht="15" hidden="1" customHeight="1" x14ac:dyDescent="0.2"/>
    <row r="117" ht="15" hidden="1" customHeight="1" x14ac:dyDescent="0.2"/>
    <row r="118" ht="15" hidden="1" customHeight="1" x14ac:dyDescent="0.2"/>
    <row r="119" ht="15" hidden="1" customHeight="1" x14ac:dyDescent="0.2"/>
    <row r="120" ht="15" hidden="1" customHeight="1" x14ac:dyDescent="0.2"/>
    <row r="121" ht="15" hidden="1" customHeight="1" x14ac:dyDescent="0.2"/>
    <row r="122" ht="15" hidden="1" customHeight="1" x14ac:dyDescent="0.2"/>
    <row r="123" ht="15" hidden="1" customHeight="1" x14ac:dyDescent="0.2"/>
    <row r="124" ht="15" hidden="1" customHeight="1" x14ac:dyDescent="0.2"/>
    <row r="125" ht="15" hidden="1" customHeight="1" x14ac:dyDescent="0.2"/>
    <row r="126" ht="15" hidden="1" customHeight="1" x14ac:dyDescent="0.2"/>
    <row r="127" ht="15" hidden="1" customHeight="1" x14ac:dyDescent="0.2"/>
    <row r="128" ht="15" hidden="1" customHeight="1" x14ac:dyDescent="0.2"/>
    <row r="129" ht="15" hidden="1" customHeight="1" x14ac:dyDescent="0.2"/>
    <row r="130" ht="15" hidden="1" customHeight="1" x14ac:dyDescent="0.2"/>
    <row r="131" ht="15" hidden="1" customHeight="1" x14ac:dyDescent="0.2"/>
    <row r="132" ht="15" hidden="1" customHeight="1" x14ac:dyDescent="0.2"/>
    <row r="133" ht="15" hidden="1" customHeight="1" x14ac:dyDescent="0.2"/>
    <row r="134" ht="15" hidden="1" customHeight="1" x14ac:dyDescent="0.2"/>
    <row r="135" ht="15" hidden="1" customHeight="1" x14ac:dyDescent="0.2"/>
    <row r="136" ht="15" hidden="1" customHeight="1" x14ac:dyDescent="0.2"/>
    <row r="137" ht="15" hidden="1" customHeight="1" x14ac:dyDescent="0.2"/>
    <row r="138" ht="15" hidden="1" customHeight="1" x14ac:dyDescent="0.2"/>
    <row r="139" ht="15" hidden="1" customHeight="1" x14ac:dyDescent="0.2"/>
    <row r="140" ht="15" hidden="1" customHeight="1" x14ac:dyDescent="0.2"/>
    <row r="141" ht="15" hidden="1" customHeight="1" x14ac:dyDescent="0.2"/>
    <row r="142" ht="15" hidden="1" customHeight="1" x14ac:dyDescent="0.2"/>
    <row r="143" ht="15" hidden="1" customHeight="1" x14ac:dyDescent="0.2"/>
    <row r="144" ht="15" hidden="1" customHeight="1" x14ac:dyDescent="0.2"/>
    <row r="145" ht="15" hidden="1" customHeight="1" x14ac:dyDescent="0.2"/>
    <row r="146" ht="15" hidden="1" customHeight="1" x14ac:dyDescent="0.2"/>
    <row r="147" ht="15" hidden="1" customHeight="1" x14ac:dyDescent="0.2"/>
    <row r="148" ht="15" hidden="1" customHeight="1" x14ac:dyDescent="0.2"/>
    <row r="149" ht="15" hidden="1" customHeight="1" x14ac:dyDescent="0.2"/>
    <row r="150" ht="15" hidden="1" customHeight="1" x14ac:dyDescent="0.2"/>
    <row r="151" ht="15" hidden="1" customHeight="1" x14ac:dyDescent="0.2"/>
    <row r="152" ht="15" hidden="1" customHeight="1" x14ac:dyDescent="0.2"/>
    <row r="153" ht="15" hidden="1" customHeight="1" x14ac:dyDescent="0.2"/>
    <row r="154" ht="15" hidden="1" customHeight="1" x14ac:dyDescent="0.2"/>
    <row r="155" ht="15" hidden="1" customHeight="1" x14ac:dyDescent="0.2"/>
    <row r="156" ht="15" hidden="1" customHeight="1" x14ac:dyDescent="0.2"/>
  </sheetData>
  <printOptions horizontalCentered="1"/>
  <pageMargins left="0.78740157480314965" right="0.78740157480314965" top="0.39370078740157483" bottom="0.39370078740157483" header="0.11811023622047245" footer="0.11811023622047245"/>
  <pageSetup paperSize="9" scale="71" orientation="portrait" r:id="rId1"/>
  <headerFooter alignWithMargins="0"/>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wksGNU_FDL"/>
  <dimension ref="A1:C138"/>
  <sheetViews>
    <sheetView showGridLines="0" showRowColHeaders="0" workbookViewId="0"/>
  </sheetViews>
  <sheetFormatPr defaultColWidth="0" defaultRowHeight="12.75" zeroHeight="1" x14ac:dyDescent="0.2"/>
  <cols>
    <col min="1" max="1" width="2.85546875" style="10" customWidth="1"/>
    <col min="2" max="2" width="100.5703125" style="10" customWidth="1"/>
    <col min="3" max="3" width="2.85546875" style="10" customWidth="1"/>
    <col min="4" max="16384" width="9.140625" style="10" hidden="1"/>
  </cols>
  <sheetData>
    <row r="1" spans="2:2" x14ac:dyDescent="0.2"/>
    <row r="2" spans="2:2" ht="15.75" x14ac:dyDescent="0.2">
      <c r="B2" s="667" t="s">
        <v>902</v>
      </c>
    </row>
    <row r="3" spans="2:2" x14ac:dyDescent="0.2">
      <c r="B3" s="668"/>
    </row>
    <row r="4" spans="2:2" x14ac:dyDescent="0.2">
      <c r="B4" s="669" t="s">
        <v>7934</v>
      </c>
    </row>
    <row r="5" spans="2:2" x14ac:dyDescent="0.2">
      <c r="B5" s="668"/>
    </row>
    <row r="6" spans="2:2" x14ac:dyDescent="0.2">
      <c r="B6" s="670" t="s">
        <v>7935</v>
      </c>
    </row>
    <row r="7" spans="2:2" x14ac:dyDescent="0.2">
      <c r="B7" s="668"/>
    </row>
    <row r="8" spans="2:2" x14ac:dyDescent="0.2">
      <c r="B8" s="668" t="s">
        <v>7936</v>
      </c>
    </row>
    <row r="9" spans="2:2" x14ac:dyDescent="0.2">
      <c r="B9" s="668"/>
    </row>
    <row r="10" spans="2:2" x14ac:dyDescent="0.2">
      <c r="B10" s="668" t="s">
        <v>7937</v>
      </c>
    </row>
    <row r="11" spans="2:2" x14ac:dyDescent="0.2">
      <c r="B11" s="668"/>
    </row>
    <row r="12" spans="2:2" ht="51" x14ac:dyDescent="0.2">
      <c r="B12" s="668" t="s">
        <v>7938</v>
      </c>
    </row>
    <row r="13" spans="2:2" x14ac:dyDescent="0.2">
      <c r="B13" s="668"/>
    </row>
    <row r="14" spans="2:2" ht="38.25" x14ac:dyDescent="0.2">
      <c r="B14" s="668" t="s">
        <v>7939</v>
      </c>
    </row>
    <row r="15" spans="2:2" x14ac:dyDescent="0.2">
      <c r="B15" s="668"/>
    </row>
    <row r="16" spans="2:2" ht="63.75" x14ac:dyDescent="0.2">
      <c r="B16" s="668" t="s">
        <v>7940</v>
      </c>
    </row>
    <row r="17" spans="2:2" x14ac:dyDescent="0.2">
      <c r="B17" s="668"/>
    </row>
    <row r="18" spans="2:2" x14ac:dyDescent="0.2">
      <c r="B18" s="668" t="s">
        <v>7941</v>
      </c>
    </row>
    <row r="19" spans="2:2" x14ac:dyDescent="0.2">
      <c r="B19" s="668"/>
    </row>
    <row r="20" spans="2:2" ht="63.75" x14ac:dyDescent="0.2">
      <c r="B20" s="668" t="s">
        <v>7942</v>
      </c>
    </row>
    <row r="21" spans="2:2" x14ac:dyDescent="0.2">
      <c r="B21" s="668"/>
    </row>
    <row r="22" spans="2:2" ht="25.5" x14ac:dyDescent="0.2">
      <c r="B22" s="668" t="s">
        <v>7943</v>
      </c>
    </row>
    <row r="23" spans="2:2" x14ac:dyDescent="0.2">
      <c r="B23" s="668"/>
    </row>
    <row r="24" spans="2:2" ht="76.5" x14ac:dyDescent="0.2">
      <c r="B24" s="668" t="s">
        <v>7944</v>
      </c>
    </row>
    <row r="25" spans="2:2" x14ac:dyDescent="0.2">
      <c r="B25" s="668"/>
    </row>
    <row r="26" spans="2:2" ht="51" x14ac:dyDescent="0.2">
      <c r="B26" s="668" t="s">
        <v>7945</v>
      </c>
    </row>
    <row r="27" spans="2:2" x14ac:dyDescent="0.2">
      <c r="B27" s="668"/>
    </row>
    <row r="28" spans="2:2" ht="38.25" x14ac:dyDescent="0.2">
      <c r="B28" s="668" t="s">
        <v>7946</v>
      </c>
    </row>
    <row r="29" spans="2:2" x14ac:dyDescent="0.2">
      <c r="B29" s="668"/>
    </row>
    <row r="30" spans="2:2" ht="102" x14ac:dyDescent="0.2">
      <c r="B30" s="668" t="s">
        <v>7947</v>
      </c>
    </row>
    <row r="31" spans="2:2" x14ac:dyDescent="0.2">
      <c r="B31" s="668"/>
    </row>
    <row r="32" spans="2:2" ht="76.5" x14ac:dyDescent="0.2">
      <c r="B32" s="668" t="s">
        <v>7948</v>
      </c>
    </row>
    <row r="33" spans="2:2" x14ac:dyDescent="0.2">
      <c r="B33" s="668"/>
    </row>
    <row r="34" spans="2:2" ht="51" x14ac:dyDescent="0.2">
      <c r="B34" s="668" t="s">
        <v>7949</v>
      </c>
    </row>
    <row r="35" spans="2:2" x14ac:dyDescent="0.2">
      <c r="B35" s="668"/>
    </row>
    <row r="36" spans="2:2" x14ac:dyDescent="0.2">
      <c r="B36" s="668" t="s">
        <v>7950</v>
      </c>
    </row>
    <row r="37" spans="2:2" x14ac:dyDescent="0.2">
      <c r="B37" s="668"/>
    </row>
    <row r="38" spans="2:2" ht="63.75" x14ac:dyDescent="0.2">
      <c r="B38" s="668" t="s">
        <v>7951</v>
      </c>
    </row>
    <row r="39" spans="2:2" x14ac:dyDescent="0.2">
      <c r="B39" s="668"/>
    </row>
    <row r="40" spans="2:2" ht="51" x14ac:dyDescent="0.2">
      <c r="B40" s="668" t="s">
        <v>7952</v>
      </c>
    </row>
    <row r="41" spans="2:2" x14ac:dyDescent="0.2">
      <c r="B41" s="668"/>
    </row>
    <row r="42" spans="2:2" x14ac:dyDescent="0.2">
      <c r="B42" s="668" t="s">
        <v>7953</v>
      </c>
    </row>
    <row r="43" spans="2:2" x14ac:dyDescent="0.2">
      <c r="B43" s="668"/>
    </row>
    <row r="44" spans="2:2" ht="76.5" x14ac:dyDescent="0.2">
      <c r="B44" s="668" t="s">
        <v>7954</v>
      </c>
    </row>
    <row r="45" spans="2:2" x14ac:dyDescent="0.2">
      <c r="B45" s="668"/>
    </row>
    <row r="46" spans="2:2" x14ac:dyDescent="0.2">
      <c r="B46" s="668" t="s">
        <v>7955</v>
      </c>
    </row>
    <row r="47" spans="2:2" x14ac:dyDescent="0.2">
      <c r="B47" s="668"/>
    </row>
    <row r="48" spans="2:2" x14ac:dyDescent="0.2">
      <c r="B48" s="668" t="s">
        <v>7956</v>
      </c>
    </row>
    <row r="49" spans="2:2" x14ac:dyDescent="0.2">
      <c r="B49" s="668"/>
    </row>
    <row r="50" spans="2:2" ht="89.25" x14ac:dyDescent="0.2">
      <c r="B50" s="668" t="s">
        <v>7957</v>
      </c>
    </row>
    <row r="51" spans="2:2" x14ac:dyDescent="0.2">
      <c r="B51" s="668"/>
    </row>
    <row r="52" spans="2:2" ht="25.5" x14ac:dyDescent="0.2">
      <c r="B52" s="668" t="s">
        <v>7958</v>
      </c>
    </row>
    <row r="53" spans="2:2" x14ac:dyDescent="0.2">
      <c r="B53" s="668"/>
    </row>
    <row r="54" spans="2:2" ht="89.25" x14ac:dyDescent="0.2">
      <c r="B54" s="668" t="s">
        <v>7959</v>
      </c>
    </row>
    <row r="55" spans="2:2" x14ac:dyDescent="0.2">
      <c r="B55" s="668"/>
    </row>
    <row r="56" spans="2:2" ht="25.5" x14ac:dyDescent="0.2">
      <c r="B56" s="668" t="s">
        <v>7960</v>
      </c>
    </row>
    <row r="57" spans="2:2" x14ac:dyDescent="0.2">
      <c r="B57" s="668"/>
    </row>
    <row r="58" spans="2:2" x14ac:dyDescent="0.2">
      <c r="B58" s="668" t="s">
        <v>7961</v>
      </c>
    </row>
    <row r="59" spans="2:2" x14ac:dyDescent="0.2">
      <c r="B59" s="668"/>
    </row>
    <row r="60" spans="2:2" ht="51" x14ac:dyDescent="0.2">
      <c r="B60" s="668" t="s">
        <v>7962</v>
      </c>
    </row>
    <row r="61" spans="2:2" x14ac:dyDescent="0.2">
      <c r="B61" s="668"/>
    </row>
    <row r="62" spans="2:2" ht="38.25" x14ac:dyDescent="0.2">
      <c r="B62" s="668" t="s">
        <v>7963</v>
      </c>
    </row>
    <row r="63" spans="2:2" ht="38.25" x14ac:dyDescent="0.2">
      <c r="B63" s="668" t="s">
        <v>7964</v>
      </c>
    </row>
    <row r="64" spans="2:2" x14ac:dyDescent="0.2">
      <c r="B64" s="668" t="s">
        <v>7965</v>
      </c>
    </row>
    <row r="65" spans="2:2" x14ac:dyDescent="0.2">
      <c r="B65" s="668" t="s">
        <v>7966</v>
      </c>
    </row>
    <row r="66" spans="2:2" x14ac:dyDescent="0.2">
      <c r="B66" s="668" t="s">
        <v>7967</v>
      </c>
    </row>
    <row r="67" spans="2:2" ht="25.5" x14ac:dyDescent="0.2">
      <c r="B67" s="668" t="s">
        <v>7968</v>
      </c>
    </row>
    <row r="68" spans="2:2" ht="25.5" x14ac:dyDescent="0.2">
      <c r="B68" s="668" t="s">
        <v>7969</v>
      </c>
    </row>
    <row r="69" spans="2:2" x14ac:dyDescent="0.2">
      <c r="B69" s="668" t="s">
        <v>7970</v>
      </c>
    </row>
    <row r="70" spans="2:2" ht="51" x14ac:dyDescent="0.2">
      <c r="B70" s="668" t="s">
        <v>7971</v>
      </c>
    </row>
    <row r="71" spans="2:2" ht="51" x14ac:dyDescent="0.2">
      <c r="B71" s="668" t="s">
        <v>7972</v>
      </c>
    </row>
    <row r="72" spans="2:2" ht="25.5" x14ac:dyDescent="0.2">
      <c r="B72" s="668" t="s">
        <v>7973</v>
      </c>
    </row>
    <row r="73" spans="2:2" ht="25.5" x14ac:dyDescent="0.2">
      <c r="B73" s="668" t="s">
        <v>7974</v>
      </c>
    </row>
    <row r="74" spans="2:2" x14ac:dyDescent="0.2">
      <c r="B74" s="668" t="s">
        <v>7975</v>
      </c>
    </row>
    <row r="75" spans="2:2" x14ac:dyDescent="0.2">
      <c r="B75" s="668" t="s">
        <v>7976</v>
      </c>
    </row>
    <row r="76" spans="2:2" x14ac:dyDescent="0.2">
      <c r="B76" s="668" t="s">
        <v>7977</v>
      </c>
    </row>
    <row r="77" spans="2:2" ht="51" x14ac:dyDescent="0.2">
      <c r="B77" s="668" t="s">
        <v>7978</v>
      </c>
    </row>
    <row r="78" spans="2:2" x14ac:dyDescent="0.2">
      <c r="B78" s="668"/>
    </row>
    <row r="79" spans="2:2" ht="38.25" x14ac:dyDescent="0.2">
      <c r="B79" s="668" t="s">
        <v>7979</v>
      </c>
    </row>
    <row r="80" spans="2:2" x14ac:dyDescent="0.2">
      <c r="B80" s="668"/>
    </row>
    <row r="81" spans="2:2" ht="76.5" x14ac:dyDescent="0.2">
      <c r="B81" s="668" t="s">
        <v>7980</v>
      </c>
    </row>
    <row r="82" spans="2:2" x14ac:dyDescent="0.2">
      <c r="B82" s="668"/>
    </row>
    <row r="83" spans="2:2" ht="25.5" x14ac:dyDescent="0.2">
      <c r="B83" s="668" t="s">
        <v>7981</v>
      </c>
    </row>
    <row r="84" spans="2:2" x14ac:dyDescent="0.2">
      <c r="B84" s="668"/>
    </row>
    <row r="85" spans="2:2" x14ac:dyDescent="0.2">
      <c r="B85" s="668" t="s">
        <v>7982</v>
      </c>
    </row>
    <row r="86" spans="2:2" x14ac:dyDescent="0.2">
      <c r="B86" s="668"/>
    </row>
    <row r="87" spans="2:2" ht="51" x14ac:dyDescent="0.2">
      <c r="B87" s="668" t="s">
        <v>7983</v>
      </c>
    </row>
    <row r="88" spans="2:2" x14ac:dyDescent="0.2">
      <c r="B88" s="668"/>
    </row>
    <row r="89" spans="2:2" ht="63.75" x14ac:dyDescent="0.2">
      <c r="B89" s="668" t="s">
        <v>7984</v>
      </c>
    </row>
    <row r="90" spans="2:2" x14ac:dyDescent="0.2">
      <c r="B90" s="668"/>
    </row>
    <row r="91" spans="2:2" ht="38.25" x14ac:dyDescent="0.2">
      <c r="B91" s="668" t="s">
        <v>7985</v>
      </c>
    </row>
    <row r="92" spans="2:2" x14ac:dyDescent="0.2">
      <c r="B92" s="668"/>
    </row>
    <row r="93" spans="2:2" x14ac:dyDescent="0.2">
      <c r="B93" s="668" t="s">
        <v>7986</v>
      </c>
    </row>
    <row r="94" spans="2:2" x14ac:dyDescent="0.2">
      <c r="B94" s="668"/>
    </row>
    <row r="95" spans="2:2" ht="51" x14ac:dyDescent="0.2">
      <c r="B95" s="668" t="s">
        <v>7987</v>
      </c>
    </row>
    <row r="96" spans="2:2" x14ac:dyDescent="0.2">
      <c r="B96" s="668"/>
    </row>
    <row r="97" spans="2:2" ht="38.25" x14ac:dyDescent="0.2">
      <c r="B97" s="668" t="s">
        <v>7988</v>
      </c>
    </row>
    <row r="98" spans="2:2" x14ac:dyDescent="0.2">
      <c r="B98" s="668"/>
    </row>
    <row r="99" spans="2:2" x14ac:dyDescent="0.2">
      <c r="B99" s="668" t="s">
        <v>7989</v>
      </c>
    </row>
    <row r="100" spans="2:2" x14ac:dyDescent="0.2">
      <c r="B100" s="668"/>
    </row>
    <row r="101" spans="2:2" ht="63.75" x14ac:dyDescent="0.2">
      <c r="B101" s="668" t="s">
        <v>7990</v>
      </c>
    </row>
    <row r="102" spans="2:2" x14ac:dyDescent="0.2">
      <c r="B102" s="668"/>
    </row>
    <row r="103" spans="2:2" ht="51" x14ac:dyDescent="0.2">
      <c r="B103" s="668" t="s">
        <v>7991</v>
      </c>
    </row>
    <row r="104" spans="2:2" x14ac:dyDescent="0.2">
      <c r="B104" s="668"/>
    </row>
    <row r="105" spans="2:2" x14ac:dyDescent="0.2">
      <c r="B105" s="668" t="s">
        <v>7992</v>
      </c>
    </row>
    <row r="106" spans="2:2" x14ac:dyDescent="0.2">
      <c r="B106" s="668"/>
    </row>
    <row r="107" spans="2:2" ht="89.25" x14ac:dyDescent="0.2">
      <c r="B107" s="668" t="s">
        <v>7993</v>
      </c>
    </row>
    <row r="108" spans="2:2" x14ac:dyDescent="0.2">
      <c r="B108" s="668"/>
    </row>
    <row r="109" spans="2:2" ht="25.5" x14ac:dyDescent="0.2">
      <c r="B109" s="668" t="s">
        <v>7994</v>
      </c>
    </row>
    <row r="110" spans="2:2" x14ac:dyDescent="0.2">
      <c r="B110" s="668"/>
    </row>
    <row r="111" spans="2:2" x14ac:dyDescent="0.2">
      <c r="B111" s="668" t="s">
        <v>7995</v>
      </c>
    </row>
    <row r="112" spans="2:2" x14ac:dyDescent="0.2">
      <c r="B112" s="668"/>
    </row>
    <row r="113" spans="2:2" ht="38.25" x14ac:dyDescent="0.2">
      <c r="B113" s="668" t="s">
        <v>7996</v>
      </c>
    </row>
    <row r="114" spans="2:2" x14ac:dyDescent="0.2">
      <c r="B114" s="668"/>
    </row>
    <row r="115" spans="2:2" ht="51" x14ac:dyDescent="0.2">
      <c r="B115" s="668" t="s">
        <v>7997</v>
      </c>
    </row>
    <row r="116" spans="2:2" x14ac:dyDescent="0.2">
      <c r="B116" s="668"/>
    </row>
    <row r="117" spans="2:2" ht="38.25" x14ac:dyDescent="0.2">
      <c r="B117" s="668" t="s">
        <v>7998</v>
      </c>
    </row>
    <row r="118" spans="2:2" x14ac:dyDescent="0.2">
      <c r="B118" s="668"/>
    </row>
    <row r="119" spans="2:2" ht="38.25" x14ac:dyDescent="0.2">
      <c r="B119" s="668" t="s">
        <v>7999</v>
      </c>
    </row>
    <row r="120" spans="2:2" x14ac:dyDescent="0.2">
      <c r="B120" s="668"/>
    </row>
    <row r="121" spans="2:2" x14ac:dyDescent="0.2">
      <c r="B121" s="668" t="s">
        <v>8000</v>
      </c>
    </row>
    <row r="122" spans="2:2" x14ac:dyDescent="0.2">
      <c r="B122" s="668"/>
    </row>
    <row r="123" spans="2:2" ht="38.25" x14ac:dyDescent="0.2">
      <c r="B123" s="668" t="s">
        <v>8001</v>
      </c>
    </row>
    <row r="124" spans="2:2" x14ac:dyDescent="0.2">
      <c r="B124" s="668"/>
    </row>
    <row r="125" spans="2:2" ht="89.25" x14ac:dyDescent="0.2">
      <c r="B125" s="668" t="s">
        <v>8002</v>
      </c>
    </row>
    <row r="126" spans="2:2" x14ac:dyDescent="0.2">
      <c r="B126" s="668"/>
    </row>
    <row r="127" spans="2:2" x14ac:dyDescent="0.2">
      <c r="B127" s="668" t="s">
        <v>8003</v>
      </c>
    </row>
    <row r="128" spans="2:2" x14ac:dyDescent="0.2">
      <c r="B128" s="668"/>
    </row>
    <row r="129" spans="2:2" ht="51" x14ac:dyDescent="0.2">
      <c r="B129" s="668" t="s">
        <v>8004</v>
      </c>
    </row>
    <row r="130" spans="2:2" x14ac:dyDescent="0.2">
      <c r="B130" s="668"/>
    </row>
    <row r="131" spans="2:2" ht="38.25" x14ac:dyDescent="0.2">
      <c r="B131" s="668" t="s">
        <v>8005</v>
      </c>
    </row>
    <row r="132" spans="2:2" x14ac:dyDescent="0.2">
      <c r="B132" s="668"/>
    </row>
    <row r="133" spans="2:2" x14ac:dyDescent="0.2">
      <c r="B133" s="668" t="s">
        <v>8006</v>
      </c>
    </row>
    <row r="134" spans="2:2" x14ac:dyDescent="0.2">
      <c r="B134" s="668"/>
    </row>
    <row r="135" spans="2:2" ht="38.25" x14ac:dyDescent="0.2">
      <c r="B135" s="668" t="s">
        <v>8007</v>
      </c>
    </row>
    <row r="136" spans="2:2" x14ac:dyDescent="0.2">
      <c r="B136" s="668"/>
    </row>
    <row r="137" spans="2:2" ht="25.5" x14ac:dyDescent="0.2">
      <c r="B137" s="668" t="s">
        <v>8008</v>
      </c>
    </row>
    <row r="138" spans="2:2" x14ac:dyDescent="0.2">
      <c r="B138" s="671"/>
    </row>
  </sheetData>
  <sheetProtection sheet="1" objects="1" scenarios="1"/>
  <pageMargins left="0.511811024" right="0.511811024" top="0.78740157499999996" bottom="0.78740157499999996" header="0.31496062000000002" footer="0.3149606200000000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wksPersonalData">
    <pageSetUpPr fitToPage="1"/>
  </sheetPr>
  <dimension ref="B1:IO42"/>
  <sheetViews>
    <sheetView showGridLines="0" showRowColHeaders="0" workbookViewId="0"/>
  </sheetViews>
  <sheetFormatPr defaultColWidth="0" defaultRowHeight="12.75" customHeight="1" zeroHeight="1" x14ac:dyDescent="0.2"/>
  <cols>
    <col min="1" max="1" width="11.42578125" style="72" customWidth="1"/>
    <col min="2" max="13" width="2.85546875" style="72" customWidth="1"/>
    <col min="14" max="15" width="3.28515625" style="72" customWidth="1"/>
    <col min="16" max="16" width="2.28515625" style="72" customWidth="1"/>
    <col min="17" max="32" width="2.85546875" style="72" customWidth="1"/>
    <col min="33" max="33" width="3.7109375" style="72" customWidth="1"/>
    <col min="34" max="34" width="3" style="72" hidden="1" customWidth="1"/>
    <col min="35" max="249" width="9.140625" style="72" hidden="1" customWidth="1"/>
    <col min="250" max="16384" width="0" style="72" hidden="1"/>
  </cols>
  <sheetData>
    <row r="1" spans="2:34" ht="20.25" customHeight="1" x14ac:dyDescent="0.6">
      <c r="C1" s="73"/>
      <c r="D1" s="73"/>
      <c r="E1" s="73"/>
      <c r="F1" s="73"/>
      <c r="G1" s="73"/>
      <c r="H1" s="73"/>
      <c r="I1" s="73"/>
      <c r="J1" s="73"/>
      <c r="K1" s="73"/>
      <c r="L1" s="73"/>
      <c r="M1" s="73"/>
      <c r="N1" s="74"/>
      <c r="O1" s="74"/>
      <c r="P1" s="74"/>
      <c r="Q1" s="75"/>
      <c r="R1" s="75"/>
      <c r="S1" s="75"/>
      <c r="T1" s="75"/>
      <c r="U1" s="75"/>
      <c r="V1" s="75"/>
      <c r="W1" s="899">
        <f>Calendar!U1</f>
        <v>2019</v>
      </c>
      <c r="X1" s="899"/>
      <c r="Y1" s="899"/>
      <c r="Z1" s="899"/>
      <c r="AA1" s="899"/>
      <c r="AB1" s="899"/>
      <c r="AC1" s="899"/>
      <c r="AD1" s="899"/>
      <c r="AE1" s="899"/>
      <c r="AF1" s="899"/>
      <c r="AH1" s="76"/>
    </row>
    <row r="2" spans="2:34" ht="20.25" customHeight="1" x14ac:dyDescent="0.6">
      <c r="B2" s="77" t="str">
        <f ca="1">'GPlan-Translations'!C107</f>
        <v>DADOS PESSOAIS</v>
      </c>
      <c r="C2" s="73"/>
      <c r="D2" s="73"/>
      <c r="E2" s="73"/>
      <c r="F2" s="73"/>
      <c r="G2" s="73"/>
      <c r="H2" s="73"/>
      <c r="I2" s="73"/>
      <c r="J2" s="73"/>
      <c r="K2" s="73"/>
      <c r="L2" s="73"/>
      <c r="M2" s="73"/>
      <c r="N2" s="78"/>
      <c r="O2" s="78"/>
      <c r="P2" s="78"/>
      <c r="Q2" s="79"/>
      <c r="R2" s="79"/>
      <c r="S2" s="79"/>
      <c r="T2" s="79"/>
      <c r="U2" s="79"/>
      <c r="V2" s="79"/>
      <c r="W2" s="900"/>
      <c r="X2" s="900"/>
      <c r="Y2" s="900"/>
      <c r="Z2" s="900"/>
      <c r="AA2" s="900"/>
      <c r="AB2" s="900"/>
      <c r="AC2" s="900"/>
      <c r="AD2" s="900"/>
      <c r="AE2" s="900"/>
      <c r="AF2" s="900"/>
      <c r="AH2" s="76"/>
    </row>
    <row r="3" spans="2:34" ht="20.25" x14ac:dyDescent="0.3">
      <c r="B3" s="80" t="str">
        <f ca="1">'GPlan-Translations'!C110</f>
        <v>Nome</v>
      </c>
      <c r="C3" s="81"/>
      <c r="D3" s="81"/>
      <c r="E3" s="82"/>
      <c r="F3" s="82"/>
      <c r="G3" s="82"/>
      <c r="H3" s="82"/>
      <c r="I3" s="82"/>
      <c r="J3" s="82"/>
      <c r="K3" s="82"/>
      <c r="L3" s="82"/>
      <c r="M3" s="83"/>
      <c r="N3" s="82"/>
      <c r="O3" s="82"/>
      <c r="P3" s="82"/>
      <c r="Q3" s="83"/>
      <c r="R3" s="83"/>
      <c r="S3" s="83"/>
      <c r="T3" s="83"/>
      <c r="U3" s="83"/>
      <c r="V3" s="83"/>
      <c r="W3" s="83"/>
      <c r="X3" s="83"/>
      <c r="Y3" s="83"/>
      <c r="Z3" s="83"/>
      <c r="AA3" s="83"/>
      <c r="AB3" s="83"/>
      <c r="AC3" s="83"/>
      <c r="AD3" s="82"/>
      <c r="AE3" s="82"/>
      <c r="AF3" s="84"/>
      <c r="AH3" s="76"/>
    </row>
    <row r="4" spans="2:34" ht="20.25" x14ac:dyDescent="0.3">
      <c r="B4" s="80" t="str">
        <f ca="1">'GPlan-Translations'!C111</f>
        <v>Endereço</v>
      </c>
      <c r="C4" s="81"/>
      <c r="D4" s="81"/>
      <c r="E4" s="82"/>
      <c r="F4" s="82"/>
      <c r="G4" s="82"/>
      <c r="H4" s="82"/>
      <c r="I4" s="82"/>
      <c r="J4" s="82"/>
      <c r="K4" s="82"/>
      <c r="L4" s="82"/>
      <c r="M4" s="83"/>
      <c r="N4" s="82"/>
      <c r="O4" s="82"/>
      <c r="P4" s="82"/>
      <c r="Q4" s="83"/>
      <c r="R4" s="83"/>
      <c r="S4" s="83"/>
      <c r="T4" s="83"/>
      <c r="U4" s="83"/>
      <c r="V4" s="83"/>
      <c r="W4" s="83"/>
      <c r="X4" s="83"/>
      <c r="Y4" s="83"/>
      <c r="Z4" s="83"/>
      <c r="AA4" s="83"/>
      <c r="AB4" s="83"/>
      <c r="AC4" s="83"/>
      <c r="AD4" s="82"/>
      <c r="AE4" s="82"/>
      <c r="AF4" s="84"/>
      <c r="AH4" s="76"/>
    </row>
    <row r="5" spans="2:34" ht="20.25" x14ac:dyDescent="0.3">
      <c r="B5" s="80" t="str">
        <f ca="1">'GPlan-Translations'!C112</f>
        <v>Cidade</v>
      </c>
      <c r="C5" s="81"/>
      <c r="D5" s="82"/>
      <c r="E5" s="82"/>
      <c r="F5" s="82"/>
      <c r="G5" s="82"/>
      <c r="H5" s="82"/>
      <c r="I5" s="82"/>
      <c r="J5" s="82"/>
      <c r="K5" s="82"/>
      <c r="L5" s="82"/>
      <c r="M5" s="83"/>
      <c r="N5" s="83"/>
      <c r="O5" s="85"/>
      <c r="P5" s="82"/>
      <c r="Q5" s="86" t="str">
        <f ca="1">'GPlan-Translations'!C113</f>
        <v>CEP</v>
      </c>
      <c r="R5" s="87"/>
      <c r="S5" s="88"/>
      <c r="T5" s="88"/>
      <c r="U5" s="88"/>
      <c r="V5" s="88"/>
      <c r="W5" s="89"/>
      <c r="X5" s="86" t="str">
        <f ca="1">'GPlan-Translations'!C114</f>
        <v>Estado</v>
      </c>
      <c r="Y5" s="87"/>
      <c r="Z5" s="87"/>
      <c r="AA5" s="88"/>
      <c r="AB5" s="88"/>
      <c r="AC5" s="88"/>
      <c r="AD5" s="88"/>
      <c r="AE5" s="88"/>
      <c r="AF5" s="84"/>
      <c r="AH5" s="76"/>
    </row>
    <row r="6" spans="2:34" ht="20.25" x14ac:dyDescent="0.3">
      <c r="B6" s="80" t="str">
        <f ca="1">'GPlan-Translations'!C115</f>
        <v>Fone</v>
      </c>
      <c r="C6" s="81"/>
      <c r="D6" s="82"/>
      <c r="E6" s="82"/>
      <c r="F6" s="82"/>
      <c r="G6" s="82"/>
      <c r="H6" s="82"/>
      <c r="I6" s="82"/>
      <c r="J6" s="82"/>
      <c r="K6" s="82"/>
      <c r="L6" s="82"/>
      <c r="M6" s="83"/>
      <c r="N6" s="89"/>
      <c r="O6" s="88"/>
      <c r="P6" s="82"/>
      <c r="Q6" s="86" t="str">
        <f ca="1">'GPlan-Translations'!C116</f>
        <v>Celular</v>
      </c>
      <c r="R6" s="90"/>
      <c r="S6" s="83"/>
      <c r="T6" s="83"/>
      <c r="U6" s="83"/>
      <c r="V6" s="83"/>
      <c r="W6" s="83"/>
      <c r="X6" s="89"/>
      <c r="Y6" s="82"/>
      <c r="Z6" s="82"/>
      <c r="AA6" s="82"/>
      <c r="AB6" s="82"/>
      <c r="AC6" s="82"/>
      <c r="AD6" s="82"/>
      <c r="AE6" s="82"/>
      <c r="AF6" s="84"/>
      <c r="AH6" s="76"/>
    </row>
    <row r="7" spans="2:34" ht="20.25" x14ac:dyDescent="0.3">
      <c r="B7" s="80" t="str">
        <f ca="1">'GPlan-Translations'!C118</f>
        <v>E-mail</v>
      </c>
      <c r="C7" s="81"/>
      <c r="D7" s="82"/>
      <c r="E7" s="82"/>
      <c r="F7" s="82"/>
      <c r="G7" s="82"/>
      <c r="H7" s="82"/>
      <c r="I7" s="82"/>
      <c r="J7" s="82"/>
      <c r="K7" s="82"/>
      <c r="L7" s="82"/>
      <c r="M7" s="83"/>
      <c r="N7" s="82"/>
      <c r="O7" s="82"/>
      <c r="P7" s="82"/>
      <c r="Q7" s="83"/>
      <c r="R7" s="83"/>
      <c r="S7" s="83"/>
      <c r="T7" s="83"/>
      <c r="U7" s="83"/>
      <c r="V7" s="83"/>
      <c r="W7" s="83"/>
      <c r="X7" s="83"/>
      <c r="Y7" s="83"/>
      <c r="Z7" s="83"/>
      <c r="AA7" s="83"/>
      <c r="AB7" s="83"/>
      <c r="AC7" s="83"/>
      <c r="AD7" s="82"/>
      <c r="AE7" s="82"/>
      <c r="AF7" s="84"/>
      <c r="AH7" s="76"/>
    </row>
    <row r="8" spans="2:34" ht="20.25" x14ac:dyDescent="0.3">
      <c r="B8" s="80" t="str">
        <f ca="1">'GPlan-Translations'!C119</f>
        <v>RG</v>
      </c>
      <c r="C8" s="82"/>
      <c r="D8" s="82"/>
      <c r="E8" s="82"/>
      <c r="F8" s="82"/>
      <c r="G8" s="82"/>
      <c r="H8" s="82"/>
      <c r="I8" s="82"/>
      <c r="J8" s="82"/>
      <c r="K8" s="82"/>
      <c r="L8" s="82"/>
      <c r="M8" s="83"/>
      <c r="N8" s="82"/>
      <c r="O8" s="82"/>
      <c r="P8" s="82"/>
      <c r="Q8" s="81" t="str">
        <f>'GPlan-Translations'!D120</f>
        <v>CPF</v>
      </c>
      <c r="R8" s="78"/>
      <c r="S8" s="91"/>
      <c r="T8" s="91"/>
      <c r="U8" s="91"/>
      <c r="V8" s="91"/>
      <c r="W8" s="91"/>
      <c r="X8" s="85"/>
      <c r="Y8" s="85"/>
      <c r="Z8" s="85"/>
      <c r="AA8" s="85"/>
      <c r="AB8" s="85"/>
      <c r="AC8" s="85"/>
      <c r="AD8" s="85"/>
      <c r="AE8" s="85"/>
      <c r="AF8" s="92"/>
      <c r="AH8" s="76"/>
    </row>
    <row r="9" spans="2:34" ht="20.25" x14ac:dyDescent="0.3">
      <c r="B9" s="93" t="str">
        <f ca="1">'GPlan-Translations'!C121</f>
        <v>T. Eleitor</v>
      </c>
      <c r="C9" s="81"/>
      <c r="D9" s="81"/>
      <c r="E9" s="82"/>
      <c r="F9" s="82"/>
      <c r="G9" s="82"/>
      <c r="H9" s="82"/>
      <c r="I9" s="82"/>
      <c r="J9" s="82"/>
      <c r="K9" s="82"/>
      <c r="L9" s="82"/>
      <c r="M9" s="83"/>
      <c r="N9" s="85"/>
      <c r="O9" s="85"/>
      <c r="P9" s="85"/>
      <c r="Q9" s="86" t="str">
        <f ca="1">'GPlan-Translations'!C122</f>
        <v>Zona</v>
      </c>
      <c r="R9" s="87"/>
      <c r="S9" s="88"/>
      <c r="T9" s="88"/>
      <c r="U9" s="88"/>
      <c r="V9" s="88"/>
      <c r="W9" s="88"/>
      <c r="X9" s="86" t="str">
        <f ca="1">'GPlan-Translations'!C123</f>
        <v>Seção</v>
      </c>
      <c r="Y9" s="87"/>
      <c r="Z9" s="88"/>
      <c r="AA9" s="88"/>
      <c r="AB9" s="88"/>
      <c r="AC9" s="88"/>
      <c r="AD9" s="94"/>
      <c r="AE9" s="94"/>
      <c r="AF9" s="95"/>
      <c r="AH9" s="76"/>
    </row>
    <row r="10" spans="2:34" ht="20.25" x14ac:dyDescent="0.3">
      <c r="B10" s="80" t="str">
        <f ca="1">'GPlan-Translations'!C124</f>
        <v>Passaporte</v>
      </c>
      <c r="C10" s="81"/>
      <c r="D10" s="81"/>
      <c r="E10" s="81"/>
      <c r="F10" s="82"/>
      <c r="G10" s="82"/>
      <c r="H10" s="82"/>
      <c r="I10" s="82"/>
      <c r="J10" s="82"/>
      <c r="K10" s="82"/>
      <c r="L10" s="82"/>
      <c r="M10" s="83"/>
      <c r="N10" s="83"/>
      <c r="O10" s="83"/>
      <c r="P10" s="96"/>
      <c r="Q10" s="96"/>
      <c r="R10" s="88"/>
      <c r="S10" s="88"/>
      <c r="T10" s="88"/>
      <c r="U10" s="88"/>
      <c r="V10" s="87"/>
      <c r="W10" s="87" t="str">
        <f ca="1">'GPlan-Translations'!C125</f>
        <v>Validade</v>
      </c>
      <c r="X10" s="895"/>
      <c r="Y10" s="896"/>
      <c r="Z10" s="97" t="s">
        <v>7123</v>
      </c>
      <c r="AA10" s="895"/>
      <c r="AB10" s="896"/>
      <c r="AC10" s="97" t="s">
        <v>7123</v>
      </c>
      <c r="AD10" s="897"/>
      <c r="AE10" s="897"/>
      <c r="AF10" s="898"/>
      <c r="AH10" s="76"/>
    </row>
    <row r="11" spans="2:34" ht="20.25" x14ac:dyDescent="0.3">
      <c r="B11" s="80" t="str">
        <f ca="1">'GPlan-Translations'!C126</f>
        <v>Cart. Militar</v>
      </c>
      <c r="C11" s="81"/>
      <c r="D11" s="81"/>
      <c r="E11" s="82"/>
      <c r="F11" s="82"/>
      <c r="G11" s="82"/>
      <c r="H11" s="82"/>
      <c r="I11" s="82"/>
      <c r="J11" s="82"/>
      <c r="K11" s="82"/>
      <c r="L11" s="82"/>
      <c r="M11" s="83"/>
      <c r="N11" s="82"/>
      <c r="O11" s="82"/>
      <c r="P11" s="82"/>
      <c r="Q11" s="81" t="str">
        <f ca="1">'GPlan-Translations'!C127</f>
        <v>Certif. Reservista</v>
      </c>
      <c r="R11" s="81"/>
      <c r="S11" s="81"/>
      <c r="T11" s="81"/>
      <c r="U11" s="81"/>
      <c r="V11" s="82"/>
      <c r="W11" s="82"/>
      <c r="X11" s="82"/>
      <c r="Y11" s="82"/>
      <c r="Z11" s="82"/>
      <c r="AA11" s="82"/>
      <c r="AB11" s="82"/>
      <c r="AC11" s="82"/>
      <c r="AD11" s="82"/>
      <c r="AE11" s="82"/>
      <c r="AF11" s="95"/>
      <c r="AH11" s="76"/>
    </row>
    <row r="12" spans="2:34" ht="20.25" x14ac:dyDescent="0.3">
      <c r="B12" s="80" t="str">
        <f ca="1">'GPlan-Translations'!C128</f>
        <v>Habilitação</v>
      </c>
      <c r="C12" s="81"/>
      <c r="D12" s="81"/>
      <c r="E12" s="82"/>
      <c r="F12" s="82"/>
      <c r="G12" s="82"/>
      <c r="H12" s="82"/>
      <c r="I12" s="82"/>
      <c r="J12" s="82"/>
      <c r="K12" s="82"/>
      <c r="L12" s="82"/>
      <c r="M12" s="83"/>
      <c r="N12" s="82"/>
      <c r="O12" s="82"/>
      <c r="P12" s="82"/>
      <c r="Q12" s="81" t="str">
        <f ca="1">'GPlan-Translations'!C129</f>
        <v>Vcto.   Ex.  Saúde</v>
      </c>
      <c r="R12" s="81"/>
      <c r="S12" s="81"/>
      <c r="T12" s="81"/>
      <c r="U12" s="81"/>
      <c r="V12" s="81"/>
      <c r="W12" s="81"/>
      <c r="X12" s="895"/>
      <c r="Y12" s="896"/>
      <c r="Z12" s="97" t="s">
        <v>7123</v>
      </c>
      <c r="AA12" s="895"/>
      <c r="AB12" s="896"/>
      <c r="AC12" s="97" t="s">
        <v>7123</v>
      </c>
      <c r="AD12" s="897"/>
      <c r="AE12" s="897"/>
      <c r="AF12" s="898"/>
      <c r="AH12" s="76"/>
    </row>
    <row r="13" spans="2:34" ht="20.25" x14ac:dyDescent="0.3">
      <c r="B13" s="80" t="str">
        <f ca="1">'GPlan-Translations'!C130</f>
        <v>Veículo</v>
      </c>
      <c r="C13" s="81"/>
      <c r="D13" s="81"/>
      <c r="E13" s="82"/>
      <c r="F13" s="82"/>
      <c r="G13" s="82"/>
      <c r="H13" s="82"/>
      <c r="I13" s="82"/>
      <c r="J13" s="82"/>
      <c r="K13" s="82"/>
      <c r="L13" s="82"/>
      <c r="M13" s="83"/>
      <c r="N13" s="83"/>
      <c r="O13" s="83"/>
      <c r="P13" s="83"/>
      <c r="Q13" s="83"/>
      <c r="R13" s="83"/>
      <c r="S13" s="83"/>
      <c r="T13" s="83"/>
      <c r="U13" s="83"/>
      <c r="V13" s="83"/>
      <c r="W13" s="83"/>
      <c r="X13" s="86" t="str">
        <f ca="1">'GPlan-Translations'!C131</f>
        <v>Placa</v>
      </c>
      <c r="Y13" s="86"/>
      <c r="Z13" s="82"/>
      <c r="AA13" s="82"/>
      <c r="AB13" s="82"/>
      <c r="AC13" s="82"/>
      <c r="AD13" s="82"/>
      <c r="AE13" s="82"/>
      <c r="AF13" s="95"/>
      <c r="AH13" s="76"/>
    </row>
    <row r="14" spans="2:34" ht="20.25" x14ac:dyDescent="0.3">
      <c r="B14" s="98" t="str">
        <f ca="1">'GPlan-Translations'!C132</f>
        <v>Nº Chassi</v>
      </c>
      <c r="C14" s="99"/>
      <c r="D14" s="99"/>
      <c r="E14" s="100"/>
      <c r="F14" s="100"/>
      <c r="G14" s="100"/>
      <c r="H14" s="100"/>
      <c r="I14" s="100"/>
      <c r="J14" s="100"/>
      <c r="K14" s="100"/>
      <c r="L14" s="100"/>
      <c r="M14" s="101"/>
      <c r="N14" s="101"/>
      <c r="O14" s="101"/>
      <c r="P14" s="101"/>
      <c r="Q14" s="81" t="str">
        <f ca="1">'GPlan-Translations'!C133</f>
        <v>Cód. Renavam</v>
      </c>
      <c r="R14" s="99"/>
      <c r="S14" s="99"/>
      <c r="T14" s="99"/>
      <c r="U14" s="99"/>
      <c r="V14" s="100"/>
      <c r="W14" s="100"/>
      <c r="X14" s="100"/>
      <c r="Y14" s="100"/>
      <c r="Z14" s="100"/>
      <c r="AA14" s="100"/>
      <c r="AB14" s="100"/>
      <c r="AC14" s="100"/>
      <c r="AD14" s="100"/>
      <c r="AE14" s="100"/>
      <c r="AF14" s="102"/>
      <c r="AH14" s="76"/>
    </row>
    <row r="15" spans="2:34" ht="20.25" x14ac:dyDescent="0.3">
      <c r="B15" s="80" t="str">
        <f ca="1">'GPlan-Translations'!C134</f>
        <v>Cia. Seguro</v>
      </c>
      <c r="C15" s="81"/>
      <c r="D15" s="81"/>
      <c r="E15" s="82"/>
      <c r="F15" s="82"/>
      <c r="G15" s="82"/>
      <c r="H15" s="82"/>
      <c r="I15" s="82"/>
      <c r="J15" s="82"/>
      <c r="K15" s="82"/>
      <c r="L15" s="82"/>
      <c r="M15" s="83"/>
      <c r="N15" s="82"/>
      <c r="O15" s="82"/>
      <c r="P15" s="82"/>
      <c r="Q15" s="86" t="str">
        <f ca="1">'GPlan-Translations'!C135</f>
        <v>Vcto. Seguro Obr.</v>
      </c>
      <c r="R15" s="87"/>
      <c r="S15" s="87"/>
      <c r="T15" s="87"/>
      <c r="U15" s="87"/>
      <c r="V15" s="87"/>
      <c r="W15" s="87"/>
      <c r="X15" s="895"/>
      <c r="Y15" s="896"/>
      <c r="Z15" s="97" t="s">
        <v>7123</v>
      </c>
      <c r="AA15" s="895"/>
      <c r="AB15" s="896"/>
      <c r="AC15" s="97" t="s">
        <v>7123</v>
      </c>
      <c r="AD15" s="897"/>
      <c r="AE15" s="897"/>
      <c r="AF15" s="898"/>
      <c r="AH15" s="76"/>
    </row>
    <row r="16" spans="2:34" ht="19.5" x14ac:dyDescent="0.25">
      <c r="B16" s="103"/>
      <c r="C16" s="103"/>
      <c r="D16" s="103"/>
      <c r="E16" s="103"/>
      <c r="F16" s="103"/>
      <c r="G16" s="103"/>
      <c r="H16" s="103"/>
      <c r="I16" s="103"/>
      <c r="J16" s="103"/>
      <c r="K16" s="103"/>
      <c r="L16" s="103"/>
      <c r="M16" s="103"/>
      <c r="N16" s="74"/>
      <c r="O16" s="74"/>
      <c r="P16" s="74"/>
      <c r="Q16" s="104"/>
      <c r="R16" s="104"/>
      <c r="S16" s="104"/>
      <c r="T16" s="104"/>
      <c r="U16" s="104"/>
      <c r="V16" s="104"/>
      <c r="W16" s="104"/>
      <c r="X16" s="105"/>
      <c r="Y16" s="105"/>
      <c r="Z16" s="105"/>
      <c r="AA16" s="105"/>
      <c r="AB16" s="105"/>
      <c r="AC16" s="105"/>
      <c r="AD16" s="74"/>
      <c r="AE16" s="74"/>
      <c r="AH16" s="106"/>
    </row>
    <row r="17" spans="2:34" ht="20.25" x14ac:dyDescent="0.3">
      <c r="B17" s="107" t="str">
        <f ca="1">'GPlan-Translations'!C108</f>
        <v>DADOS COMERCIAIS</v>
      </c>
      <c r="C17" s="108"/>
      <c r="D17" s="108"/>
      <c r="E17" s="108"/>
      <c r="F17" s="108"/>
      <c r="G17" s="108"/>
      <c r="H17" s="108"/>
      <c r="I17" s="108"/>
      <c r="J17" s="108"/>
      <c r="K17" s="108"/>
      <c r="L17" s="108"/>
      <c r="M17" s="109"/>
      <c r="N17" s="108"/>
      <c r="O17" s="108"/>
      <c r="P17" s="108"/>
      <c r="Q17" s="109"/>
      <c r="R17" s="109"/>
      <c r="S17" s="109"/>
      <c r="T17" s="109"/>
      <c r="U17" s="109"/>
      <c r="V17" s="109"/>
      <c r="W17" s="109"/>
      <c r="X17" s="109"/>
      <c r="Y17" s="109"/>
      <c r="Z17" s="109"/>
      <c r="AA17" s="109"/>
      <c r="AB17" s="109"/>
      <c r="AC17" s="109"/>
      <c r="AD17" s="108"/>
      <c r="AE17" s="78"/>
      <c r="AH17" s="76"/>
    </row>
    <row r="18" spans="2:34" ht="20.25" x14ac:dyDescent="0.3">
      <c r="B18" s="80" t="str">
        <f ca="1">'GPlan-Translations'!C136</f>
        <v>Nome</v>
      </c>
      <c r="C18" s="81"/>
      <c r="D18" s="82"/>
      <c r="E18" s="82"/>
      <c r="F18" s="82"/>
      <c r="G18" s="82"/>
      <c r="H18" s="82"/>
      <c r="I18" s="82"/>
      <c r="J18" s="82"/>
      <c r="K18" s="82"/>
      <c r="L18" s="82"/>
      <c r="M18" s="83"/>
      <c r="N18" s="82"/>
      <c r="O18" s="82"/>
      <c r="P18" s="82"/>
      <c r="Q18" s="83"/>
      <c r="R18" s="83"/>
      <c r="S18" s="83"/>
      <c r="T18" s="83"/>
      <c r="U18" s="83"/>
      <c r="V18" s="83"/>
      <c r="W18" s="83"/>
      <c r="X18" s="83"/>
      <c r="Y18" s="83"/>
      <c r="Z18" s="83"/>
      <c r="AA18" s="83"/>
      <c r="AB18" s="83"/>
      <c r="AC18" s="83"/>
      <c r="AD18" s="82"/>
      <c r="AE18" s="82"/>
      <c r="AF18" s="84"/>
      <c r="AH18" s="76"/>
    </row>
    <row r="19" spans="2:34" ht="20.25" x14ac:dyDescent="0.3">
      <c r="B19" s="80" t="str">
        <f ca="1">'GPlan-Translations'!C137</f>
        <v>Endereço</v>
      </c>
      <c r="C19" s="81"/>
      <c r="D19" s="82"/>
      <c r="E19" s="82"/>
      <c r="F19" s="82"/>
      <c r="G19" s="82"/>
      <c r="H19" s="82"/>
      <c r="I19" s="82"/>
      <c r="J19" s="82"/>
      <c r="K19" s="82"/>
      <c r="L19" s="82"/>
      <c r="M19" s="83"/>
      <c r="N19" s="82"/>
      <c r="O19" s="82"/>
      <c r="P19" s="82"/>
      <c r="Q19" s="83"/>
      <c r="R19" s="83"/>
      <c r="S19" s="83"/>
      <c r="T19" s="83"/>
      <c r="U19" s="83"/>
      <c r="V19" s="83"/>
      <c r="W19" s="83"/>
      <c r="X19" s="83"/>
      <c r="Y19" s="83"/>
      <c r="Z19" s="83"/>
      <c r="AA19" s="83"/>
      <c r="AB19" s="83"/>
      <c r="AC19" s="83"/>
      <c r="AD19" s="82"/>
      <c r="AE19" s="82"/>
      <c r="AF19" s="84"/>
      <c r="AH19" s="76"/>
    </row>
    <row r="20" spans="2:34" ht="20.25" x14ac:dyDescent="0.3">
      <c r="B20" s="80" t="str">
        <f ca="1">'GPlan-Translations'!C112</f>
        <v>Cidade</v>
      </c>
      <c r="C20" s="81"/>
      <c r="D20" s="82"/>
      <c r="E20" s="82"/>
      <c r="F20" s="82"/>
      <c r="G20" s="82"/>
      <c r="H20" s="82"/>
      <c r="I20" s="82"/>
      <c r="J20" s="82"/>
      <c r="K20" s="82"/>
      <c r="L20" s="82"/>
      <c r="M20" s="83"/>
      <c r="N20" s="85"/>
      <c r="O20" s="85"/>
      <c r="P20" s="82"/>
      <c r="Q20" s="86" t="str">
        <f ca="1">'GPlan-Translations'!C139</f>
        <v>CEP</v>
      </c>
      <c r="R20" s="87"/>
      <c r="S20" s="88"/>
      <c r="T20" s="88"/>
      <c r="U20" s="88"/>
      <c r="V20" s="88"/>
      <c r="W20" s="89"/>
      <c r="X20" s="86" t="str">
        <f ca="1">'GPlan-Translations'!C140</f>
        <v>Estado</v>
      </c>
      <c r="Y20" s="87"/>
      <c r="Z20" s="88"/>
      <c r="AA20" s="88"/>
      <c r="AB20" s="88"/>
      <c r="AC20" s="88"/>
      <c r="AD20" s="88"/>
      <c r="AE20" s="88"/>
      <c r="AF20" s="84"/>
      <c r="AH20" s="76"/>
    </row>
    <row r="21" spans="2:34" ht="20.25" x14ac:dyDescent="0.3">
      <c r="B21" s="80" t="str">
        <f ca="1">'GPlan-Translations'!C115</f>
        <v>Fone</v>
      </c>
      <c r="C21" s="82"/>
      <c r="D21" s="82"/>
      <c r="E21" s="82"/>
      <c r="F21" s="82"/>
      <c r="G21" s="82"/>
      <c r="H21" s="82"/>
      <c r="I21" s="82"/>
      <c r="J21" s="82"/>
      <c r="K21" s="82"/>
      <c r="L21" s="82"/>
      <c r="M21" s="83"/>
      <c r="N21" s="82"/>
      <c r="O21" s="82"/>
      <c r="P21" s="82"/>
      <c r="Q21" s="86" t="str">
        <f ca="1">'GPlan-Translations'!C142</f>
        <v>Fax</v>
      </c>
      <c r="R21" s="88"/>
      <c r="S21" s="88"/>
      <c r="T21" s="88"/>
      <c r="U21" s="88"/>
      <c r="V21" s="88"/>
      <c r="W21" s="88"/>
      <c r="X21" s="83"/>
      <c r="Y21" s="83"/>
      <c r="Z21" s="83"/>
      <c r="AA21" s="83"/>
      <c r="AB21" s="83"/>
      <c r="AC21" s="83"/>
      <c r="AD21" s="82"/>
      <c r="AE21" s="82"/>
      <c r="AF21" s="84"/>
      <c r="AH21" s="76"/>
    </row>
    <row r="22" spans="2:34" ht="20.25" x14ac:dyDescent="0.3">
      <c r="B22" s="80" t="str">
        <f ca="1">'GPlan-Translations'!C143</f>
        <v>E-mail 1</v>
      </c>
      <c r="C22" s="81"/>
      <c r="D22" s="82"/>
      <c r="E22" s="82"/>
      <c r="F22" s="82"/>
      <c r="G22" s="82"/>
      <c r="H22" s="82"/>
      <c r="I22" s="82"/>
      <c r="J22" s="82"/>
      <c r="K22" s="82"/>
      <c r="L22" s="82"/>
      <c r="M22" s="83"/>
      <c r="N22" s="83"/>
      <c r="O22" s="83"/>
      <c r="P22" s="82"/>
      <c r="Q22" s="110" t="str">
        <f ca="1">'GPlan-Translations'!C144</f>
        <v>E-mail 2</v>
      </c>
      <c r="R22" s="111"/>
      <c r="S22" s="112"/>
      <c r="T22" s="112"/>
      <c r="U22" s="112"/>
      <c r="V22" s="112"/>
      <c r="W22" s="112"/>
      <c r="X22" s="83"/>
      <c r="Y22" s="83"/>
      <c r="Z22" s="83"/>
      <c r="AA22" s="83"/>
      <c r="AB22" s="83"/>
      <c r="AC22" s="83"/>
      <c r="AD22" s="82"/>
      <c r="AE22" s="82"/>
      <c r="AF22" s="84"/>
      <c r="AH22" s="76"/>
    </row>
    <row r="23" spans="2:34" ht="20.25" x14ac:dyDescent="0.3">
      <c r="B23" s="80" t="str">
        <f ca="1">'GPlan-Translations'!C145</f>
        <v>WebSite</v>
      </c>
      <c r="C23" s="81"/>
      <c r="D23" s="82"/>
      <c r="E23" s="82"/>
      <c r="F23" s="82"/>
      <c r="G23" s="82"/>
      <c r="H23" s="82"/>
      <c r="I23" s="82"/>
      <c r="J23" s="82"/>
      <c r="K23" s="82"/>
      <c r="L23" s="82"/>
      <c r="M23" s="83"/>
      <c r="N23" s="83"/>
      <c r="O23" s="83"/>
      <c r="P23" s="82"/>
      <c r="Q23" s="112"/>
      <c r="R23" s="112"/>
      <c r="S23" s="112"/>
      <c r="T23" s="112"/>
      <c r="U23" s="112"/>
      <c r="V23" s="112"/>
      <c r="W23" s="112"/>
      <c r="X23" s="83"/>
      <c r="Y23" s="83"/>
      <c r="Z23" s="83"/>
      <c r="AA23" s="83"/>
      <c r="AB23" s="83"/>
      <c r="AC23" s="83"/>
      <c r="AD23" s="82"/>
      <c r="AE23" s="82"/>
      <c r="AF23" s="84"/>
      <c r="AH23" s="76"/>
    </row>
    <row r="24" spans="2:34" ht="20.25" x14ac:dyDescent="0.3">
      <c r="B24" s="80" t="str">
        <f ca="1">'GPlan-Translations'!C146</f>
        <v>CNPJ</v>
      </c>
      <c r="C24" s="82"/>
      <c r="D24" s="82"/>
      <c r="E24" s="82"/>
      <c r="F24" s="82"/>
      <c r="G24" s="82"/>
      <c r="H24" s="82"/>
      <c r="I24" s="82"/>
      <c r="J24" s="82"/>
      <c r="K24" s="82"/>
      <c r="L24" s="82"/>
      <c r="M24" s="83"/>
      <c r="N24" s="86" t="str">
        <f ca="1">'GPlan-Translations'!C147</f>
        <v>I.E.</v>
      </c>
      <c r="O24" s="88"/>
      <c r="P24" s="82"/>
      <c r="Q24" s="83"/>
      <c r="R24" s="83"/>
      <c r="S24" s="83"/>
      <c r="T24" s="83"/>
      <c r="U24" s="83"/>
      <c r="V24" s="83"/>
      <c r="W24" s="83"/>
      <c r="X24" s="81" t="str">
        <f ca="1">'GPlan-Translations'!C148</f>
        <v>I.M.</v>
      </c>
      <c r="Y24" s="82"/>
      <c r="Z24" s="82"/>
      <c r="AA24" s="82"/>
      <c r="AB24" s="82"/>
      <c r="AC24" s="82"/>
      <c r="AD24" s="82"/>
      <c r="AE24" s="82"/>
      <c r="AF24" s="84"/>
      <c r="AH24" s="76"/>
    </row>
    <row r="25" spans="2:34" ht="19.5" x14ac:dyDescent="0.25">
      <c r="B25" s="78"/>
      <c r="C25" s="78"/>
      <c r="D25" s="78"/>
      <c r="E25" s="78"/>
      <c r="F25" s="78"/>
      <c r="G25" s="78"/>
      <c r="H25" s="78"/>
      <c r="I25" s="78"/>
      <c r="J25" s="78"/>
      <c r="K25" s="78"/>
      <c r="L25" s="78"/>
      <c r="M25" s="79"/>
      <c r="N25" s="78"/>
      <c r="O25" s="78"/>
      <c r="P25" s="78"/>
      <c r="Q25" s="79"/>
      <c r="R25" s="79"/>
      <c r="S25" s="79"/>
      <c r="T25" s="79"/>
      <c r="U25" s="79"/>
      <c r="V25" s="79"/>
      <c r="W25" s="79"/>
      <c r="X25" s="105"/>
      <c r="Y25" s="105"/>
      <c r="Z25" s="105"/>
      <c r="AA25" s="105"/>
      <c r="AB25" s="105"/>
      <c r="AC25" s="105"/>
      <c r="AD25" s="78"/>
      <c r="AE25" s="78"/>
      <c r="AF25" s="104"/>
      <c r="AH25" s="106"/>
    </row>
    <row r="26" spans="2:34" ht="20.25" x14ac:dyDescent="0.3">
      <c r="B26" s="107" t="str">
        <f ca="1">'GPlan-Translations'!C109</f>
        <v>EMERGÊNCIA</v>
      </c>
      <c r="C26" s="108"/>
      <c r="D26" s="108"/>
      <c r="E26" s="108"/>
      <c r="F26" s="108"/>
      <c r="G26" s="108"/>
      <c r="H26" s="108"/>
      <c r="I26" s="108"/>
      <c r="J26" s="108"/>
      <c r="K26" s="108"/>
      <c r="L26" s="108"/>
      <c r="M26" s="109"/>
      <c r="N26" s="108"/>
      <c r="O26" s="108"/>
      <c r="P26" s="108"/>
      <c r="Q26" s="109"/>
      <c r="R26" s="109"/>
      <c r="S26" s="109"/>
      <c r="T26" s="109"/>
      <c r="U26" s="109"/>
      <c r="V26" s="109"/>
      <c r="W26" s="109"/>
      <c r="X26" s="109"/>
      <c r="Y26" s="109"/>
      <c r="Z26" s="109"/>
      <c r="AA26" s="109"/>
      <c r="AB26" s="109"/>
      <c r="AC26" s="109"/>
      <c r="AD26" s="108"/>
      <c r="AE26" s="78"/>
      <c r="AH26" s="76"/>
    </row>
    <row r="27" spans="2:34" ht="20.25" x14ac:dyDescent="0.3">
      <c r="B27" s="80" t="str">
        <f ca="1">'GPlan-Translations'!C149</f>
        <v>Grupo Sangüíneo</v>
      </c>
      <c r="C27" s="81"/>
      <c r="D27" s="82"/>
      <c r="E27" s="82"/>
      <c r="F27" s="82"/>
      <c r="G27" s="82"/>
      <c r="H27" s="82"/>
      <c r="I27" s="82"/>
      <c r="J27" s="82"/>
      <c r="K27" s="82"/>
      <c r="L27" s="82"/>
      <c r="M27" s="83"/>
      <c r="N27" s="82"/>
      <c r="O27" s="82"/>
      <c r="P27" s="82"/>
      <c r="Q27" s="81" t="str">
        <f ca="1">'GPlan-Translations'!C150</f>
        <v>Tipo RH</v>
      </c>
      <c r="R27" s="81"/>
      <c r="S27" s="82"/>
      <c r="T27" s="82"/>
      <c r="U27" s="82"/>
      <c r="V27" s="82"/>
      <c r="W27" s="82"/>
      <c r="X27" s="83"/>
      <c r="Y27" s="83"/>
      <c r="Z27" s="83"/>
      <c r="AA27" s="83"/>
      <c r="AB27" s="83"/>
      <c r="AC27" s="83"/>
      <c r="AD27" s="82"/>
      <c r="AE27" s="82"/>
      <c r="AF27" s="84"/>
      <c r="AH27" s="76"/>
    </row>
    <row r="28" spans="2:34" ht="20.25" x14ac:dyDescent="0.3">
      <c r="B28" s="80" t="str">
        <f ca="1">'GPlan-Translations'!C151</f>
        <v>Médico</v>
      </c>
      <c r="C28" s="82"/>
      <c r="D28" s="82"/>
      <c r="E28" s="82"/>
      <c r="F28" s="82"/>
      <c r="G28" s="82"/>
      <c r="H28" s="82"/>
      <c r="I28" s="82"/>
      <c r="J28" s="82"/>
      <c r="K28" s="82"/>
      <c r="L28" s="82"/>
      <c r="M28" s="83"/>
      <c r="N28" s="82"/>
      <c r="O28" s="82"/>
      <c r="P28" s="82"/>
      <c r="Q28" s="81" t="str">
        <f ca="1">'GPlan-Translations'!C152</f>
        <v>Celular</v>
      </c>
      <c r="R28" s="81"/>
      <c r="S28" s="82"/>
      <c r="T28" s="82"/>
      <c r="U28" s="82"/>
      <c r="V28" s="82"/>
      <c r="W28" s="82"/>
      <c r="X28" s="83"/>
      <c r="Y28" s="83"/>
      <c r="Z28" s="83"/>
      <c r="AA28" s="83"/>
      <c r="AB28" s="83"/>
      <c r="AC28" s="83"/>
      <c r="AD28" s="82"/>
      <c r="AE28" s="82"/>
      <c r="AF28" s="84"/>
      <c r="AH28" s="76"/>
    </row>
    <row r="29" spans="2:34" ht="20.25" x14ac:dyDescent="0.3">
      <c r="B29" s="80" t="str">
        <f ca="1">'GPlan-Translations'!C153</f>
        <v>Tel. Consultório</v>
      </c>
      <c r="C29" s="82"/>
      <c r="D29" s="82"/>
      <c r="E29" s="82"/>
      <c r="F29" s="82"/>
      <c r="G29" s="82"/>
      <c r="H29" s="82"/>
      <c r="I29" s="82"/>
      <c r="J29" s="82"/>
      <c r="K29" s="82"/>
      <c r="L29" s="82"/>
      <c r="M29" s="83"/>
      <c r="N29" s="85"/>
      <c r="O29" s="85"/>
      <c r="P29" s="82"/>
      <c r="Q29" s="81" t="str">
        <f ca="1">'GPlan-Translations'!C154</f>
        <v>Tel. Residência</v>
      </c>
      <c r="R29" s="82"/>
      <c r="S29" s="82"/>
      <c r="T29" s="82"/>
      <c r="U29" s="82"/>
      <c r="V29" s="82"/>
      <c r="W29" s="82"/>
      <c r="X29" s="83"/>
      <c r="Y29" s="83"/>
      <c r="Z29" s="83"/>
      <c r="AA29" s="83"/>
      <c r="AB29" s="83"/>
      <c r="AC29" s="83"/>
      <c r="AD29" s="82"/>
      <c r="AE29" s="82"/>
      <c r="AF29" s="84"/>
      <c r="AH29" s="76"/>
    </row>
    <row r="30" spans="2:34" ht="20.25" x14ac:dyDescent="0.3">
      <c r="B30" s="80" t="str">
        <f ca="1">'GPlan-Translations'!C155</f>
        <v>Plano Saúde</v>
      </c>
      <c r="C30" s="82"/>
      <c r="D30" s="82"/>
      <c r="E30" s="82"/>
      <c r="F30" s="82"/>
      <c r="G30" s="82"/>
      <c r="H30" s="82"/>
      <c r="I30" s="82"/>
      <c r="J30" s="82"/>
      <c r="K30" s="82"/>
      <c r="L30" s="82"/>
      <c r="M30" s="83"/>
      <c r="N30" s="82"/>
      <c r="O30" s="82"/>
      <c r="P30" s="82"/>
      <c r="Q30" s="81" t="str">
        <f ca="1">'GPlan-Translations'!C156</f>
        <v>Fone</v>
      </c>
      <c r="R30" s="82"/>
      <c r="S30" s="82"/>
      <c r="T30" s="82"/>
      <c r="U30" s="82"/>
      <c r="V30" s="82"/>
      <c r="W30" s="82"/>
      <c r="X30" s="83"/>
      <c r="Y30" s="83"/>
      <c r="Z30" s="83"/>
      <c r="AA30" s="83"/>
      <c r="AB30" s="83"/>
      <c r="AC30" s="83"/>
      <c r="AD30" s="82"/>
      <c r="AE30" s="82"/>
      <c r="AF30" s="84"/>
      <c r="AH30" s="76"/>
    </row>
    <row r="31" spans="2:34" ht="20.25" x14ac:dyDescent="0.3">
      <c r="B31" s="80" t="str">
        <f ca="1">'GPlan-Translations'!C157</f>
        <v>Hospital</v>
      </c>
      <c r="C31" s="82"/>
      <c r="D31" s="82"/>
      <c r="E31" s="82"/>
      <c r="F31" s="82"/>
      <c r="G31" s="82"/>
      <c r="H31" s="82"/>
      <c r="I31" s="82"/>
      <c r="J31" s="82"/>
      <c r="K31" s="82"/>
      <c r="L31" s="82"/>
      <c r="M31" s="83"/>
      <c r="N31" s="82"/>
      <c r="O31" s="82"/>
      <c r="P31" s="82"/>
      <c r="Q31" s="82"/>
      <c r="R31" s="82"/>
      <c r="S31" s="82"/>
      <c r="T31" s="82"/>
      <c r="U31" s="82"/>
      <c r="V31" s="82"/>
      <c r="W31" s="82"/>
      <c r="X31" s="83"/>
      <c r="Y31" s="83"/>
      <c r="Z31" s="83"/>
      <c r="AA31" s="83"/>
      <c r="AB31" s="83"/>
      <c r="AC31" s="83"/>
      <c r="AD31" s="82"/>
      <c r="AE31" s="82"/>
      <c r="AF31" s="84"/>
      <c r="AH31" s="76"/>
    </row>
    <row r="32" spans="2:34" ht="20.25" x14ac:dyDescent="0.3">
      <c r="B32" s="80" t="str">
        <f ca="1">'GPlan-Translations'!C158</f>
        <v>Sou alérgico à</v>
      </c>
      <c r="C32" s="82"/>
      <c r="D32" s="82"/>
      <c r="E32" s="82"/>
      <c r="F32" s="82"/>
      <c r="G32" s="82"/>
      <c r="H32" s="82"/>
      <c r="I32" s="82"/>
      <c r="J32" s="82"/>
      <c r="K32" s="82"/>
      <c r="L32" s="82"/>
      <c r="M32" s="83"/>
      <c r="N32" s="82"/>
      <c r="O32" s="82"/>
      <c r="P32" s="82"/>
      <c r="Q32" s="85"/>
      <c r="R32" s="85"/>
      <c r="S32" s="85"/>
      <c r="T32" s="85"/>
      <c r="U32" s="85"/>
      <c r="V32" s="85"/>
      <c r="W32" s="85"/>
      <c r="X32" s="83"/>
      <c r="Y32" s="83"/>
      <c r="Z32" s="83"/>
      <c r="AA32" s="83"/>
      <c r="AB32" s="83"/>
      <c r="AC32" s="83"/>
      <c r="AD32" s="82"/>
      <c r="AE32" s="82"/>
      <c r="AF32" s="84"/>
      <c r="AH32" s="76"/>
    </row>
    <row r="33" spans="2:34" ht="20.25" x14ac:dyDescent="0.3">
      <c r="B33" s="80" t="str">
        <f ca="1">'GPlan-Translations'!C159</f>
        <v>Vacinação contra tétano:</v>
      </c>
      <c r="C33" s="81"/>
      <c r="D33" s="81"/>
      <c r="E33" s="81"/>
      <c r="F33" s="81"/>
      <c r="G33" s="81"/>
      <c r="H33" s="81"/>
      <c r="I33" s="81"/>
      <c r="J33" s="81"/>
      <c r="K33" s="81"/>
      <c r="L33" s="81"/>
      <c r="M33" s="90"/>
      <c r="N33" s="87" t="s">
        <v>7124</v>
      </c>
      <c r="O33" s="96"/>
      <c r="P33" s="81" t="s">
        <v>7125</v>
      </c>
      <c r="Q33" s="81" t="str">
        <f ca="1">'GPlan-Translations'!C160</f>
        <v>sim</v>
      </c>
      <c r="R33" s="81"/>
      <c r="S33" s="81"/>
      <c r="T33" s="81"/>
      <c r="U33" s="81"/>
      <c r="V33" s="81"/>
      <c r="W33" s="81"/>
      <c r="X33" s="87" t="s">
        <v>7124</v>
      </c>
      <c r="Y33" s="96"/>
      <c r="Z33" s="81" t="s">
        <v>7125</v>
      </c>
      <c r="AA33" s="81" t="str">
        <f ca="1">'GPlan-Translations'!C161</f>
        <v>não</v>
      </c>
      <c r="AB33" s="81"/>
      <c r="AC33" s="81"/>
      <c r="AD33" s="81"/>
      <c r="AE33" s="81"/>
      <c r="AF33" s="113"/>
      <c r="AH33" s="76"/>
    </row>
    <row r="34" spans="2:34" ht="20.25" x14ac:dyDescent="0.3">
      <c r="B34" s="80" t="str">
        <f ca="1">'GPlan-Translations'!C162</f>
        <v>Sofro de:</v>
      </c>
      <c r="C34" s="81"/>
      <c r="D34" s="81"/>
      <c r="E34" s="81"/>
      <c r="F34" s="81"/>
      <c r="G34" s="81"/>
      <c r="H34" s="81"/>
      <c r="I34" s="81"/>
      <c r="J34" s="81"/>
      <c r="K34" s="81"/>
      <c r="L34" s="81"/>
      <c r="M34" s="90"/>
      <c r="N34" s="81"/>
      <c r="O34" s="81"/>
      <c r="P34" s="81"/>
      <c r="Q34" s="90"/>
      <c r="R34" s="90"/>
      <c r="S34" s="90"/>
      <c r="T34" s="90"/>
      <c r="U34" s="90"/>
      <c r="V34" s="90"/>
      <c r="W34" s="90"/>
      <c r="X34" s="90"/>
      <c r="Y34" s="90"/>
      <c r="Z34" s="90"/>
      <c r="AA34" s="90"/>
      <c r="AB34" s="90"/>
      <c r="AC34" s="90"/>
      <c r="AD34" s="81"/>
      <c r="AE34" s="81"/>
      <c r="AF34" s="113"/>
      <c r="AH34" s="76"/>
    </row>
    <row r="35" spans="2:34" ht="20.25" x14ac:dyDescent="0.3">
      <c r="B35" s="114" t="s">
        <v>7124</v>
      </c>
      <c r="C35" s="96"/>
      <c r="D35" s="81" t="s">
        <v>7125</v>
      </c>
      <c r="E35" s="81" t="str">
        <f ca="1">'GPlan-Translations'!C163</f>
        <v>Coração</v>
      </c>
      <c r="F35" s="81"/>
      <c r="G35" s="81"/>
      <c r="H35" s="81"/>
      <c r="I35" s="81"/>
      <c r="J35" s="81"/>
      <c r="K35" s="78"/>
      <c r="L35" s="78"/>
      <c r="N35" s="87" t="s">
        <v>7124</v>
      </c>
      <c r="O35" s="96"/>
      <c r="P35" s="81" t="s">
        <v>7125</v>
      </c>
      <c r="Q35" s="81" t="str">
        <f ca="1">'GPlan-Translations'!C164</f>
        <v>Hemofilia</v>
      </c>
      <c r="R35" s="81"/>
      <c r="S35" s="81"/>
      <c r="T35" s="81"/>
      <c r="U35" s="81"/>
      <c r="V35" s="81"/>
      <c r="W35" s="81"/>
      <c r="X35" s="87" t="s">
        <v>7124</v>
      </c>
      <c r="Y35" s="96"/>
      <c r="Z35" s="81" t="s">
        <v>7125</v>
      </c>
      <c r="AA35" s="81"/>
      <c r="AB35" s="81"/>
      <c r="AC35" s="81"/>
      <c r="AD35" s="81"/>
      <c r="AE35" s="81"/>
      <c r="AF35" s="113"/>
      <c r="AH35" s="76"/>
    </row>
    <row r="36" spans="2:34" ht="20.25" x14ac:dyDescent="0.3">
      <c r="B36" s="114" t="s">
        <v>7124</v>
      </c>
      <c r="C36" s="96"/>
      <c r="D36" s="81" t="s">
        <v>7125</v>
      </c>
      <c r="E36" s="81" t="str">
        <f ca="1">'GPlan-Translations'!C165</f>
        <v>Eplepsia</v>
      </c>
      <c r="F36" s="81"/>
      <c r="G36" s="81"/>
      <c r="H36" s="81"/>
      <c r="I36" s="81"/>
      <c r="J36" s="81"/>
      <c r="K36" s="78"/>
      <c r="L36" s="78"/>
      <c r="N36" s="87" t="s">
        <v>7124</v>
      </c>
      <c r="O36" s="96"/>
      <c r="P36" s="81" t="s">
        <v>7125</v>
      </c>
      <c r="Q36" s="81" t="str">
        <f ca="1">'GPlan-Translations'!C166</f>
        <v>Diabetes</v>
      </c>
      <c r="R36" s="81"/>
      <c r="S36" s="81"/>
      <c r="T36" s="81"/>
      <c r="U36" s="81"/>
      <c r="V36" s="81"/>
      <c r="W36" s="81"/>
      <c r="X36" s="87" t="s">
        <v>7124</v>
      </c>
      <c r="Y36" s="96"/>
      <c r="Z36" s="81" t="s">
        <v>7125</v>
      </c>
      <c r="AA36" s="81"/>
      <c r="AB36" s="81"/>
      <c r="AC36" s="81"/>
      <c r="AD36" s="81"/>
      <c r="AE36" s="81"/>
      <c r="AF36" s="113"/>
      <c r="AH36" s="76"/>
    </row>
    <row r="37" spans="2:34" ht="20.25" x14ac:dyDescent="0.3">
      <c r="B37" s="80" t="str">
        <f ca="1">'GPlan-Translations'!C167</f>
        <v>Em caso de emergência avisar:</v>
      </c>
      <c r="C37" s="81"/>
      <c r="D37" s="81"/>
      <c r="E37" s="81"/>
      <c r="F37" s="81"/>
      <c r="G37" s="81"/>
      <c r="H37" s="81"/>
      <c r="I37" s="81"/>
      <c r="J37" s="81"/>
      <c r="K37" s="81"/>
      <c r="L37" s="81"/>
      <c r="M37" s="90"/>
      <c r="N37" s="81"/>
      <c r="O37" s="81"/>
      <c r="P37" s="81"/>
      <c r="Q37" s="90"/>
      <c r="R37" s="90"/>
      <c r="S37" s="90"/>
      <c r="T37" s="90"/>
      <c r="U37" s="90"/>
      <c r="V37" s="90"/>
      <c r="W37" s="90"/>
      <c r="X37" s="90"/>
      <c r="Y37" s="90"/>
      <c r="Z37" s="90"/>
      <c r="AA37" s="90"/>
      <c r="AB37" s="90"/>
      <c r="AC37" s="90"/>
      <c r="AD37" s="81"/>
      <c r="AE37" s="81"/>
      <c r="AF37" s="113"/>
      <c r="AH37" s="76"/>
    </row>
    <row r="38" spans="2:34" ht="20.25" x14ac:dyDescent="0.3">
      <c r="B38" s="80" t="str">
        <f ca="1">'GPlan-Translations'!C168</f>
        <v>Nome:</v>
      </c>
      <c r="C38" s="81"/>
      <c r="D38" s="82"/>
      <c r="E38" s="82"/>
      <c r="F38" s="82"/>
      <c r="G38" s="82"/>
      <c r="H38" s="82"/>
      <c r="I38" s="82"/>
      <c r="J38" s="82"/>
      <c r="K38" s="82"/>
      <c r="L38" s="82"/>
      <c r="M38" s="82"/>
      <c r="N38" s="82"/>
      <c r="O38" s="82"/>
      <c r="P38" s="82"/>
      <c r="Q38" s="81" t="str">
        <f ca="1">'GPlan-Translations'!C169</f>
        <v>Fone:</v>
      </c>
      <c r="R38" s="81"/>
      <c r="S38" s="82"/>
      <c r="T38" s="82"/>
      <c r="U38" s="82"/>
      <c r="V38" s="82"/>
      <c r="W38" s="82"/>
      <c r="X38" s="82"/>
      <c r="Y38" s="82"/>
      <c r="Z38" s="82"/>
      <c r="AA38" s="82"/>
      <c r="AB38" s="82"/>
      <c r="AC38" s="82"/>
      <c r="AD38" s="115"/>
      <c r="AE38" s="115"/>
      <c r="AF38" s="84"/>
      <c r="AH38" s="76"/>
    </row>
    <row r="39" spans="2:34" ht="20.25" x14ac:dyDescent="0.3">
      <c r="B39" s="80" t="str">
        <f ca="1">'GPlan-Translations'!C170</f>
        <v>Nome:</v>
      </c>
      <c r="C39" s="81"/>
      <c r="D39" s="82"/>
      <c r="E39" s="82"/>
      <c r="F39" s="82"/>
      <c r="G39" s="82"/>
      <c r="H39" s="82"/>
      <c r="I39" s="82"/>
      <c r="J39" s="82"/>
      <c r="K39" s="82"/>
      <c r="L39" s="82"/>
      <c r="M39" s="82"/>
      <c r="N39" s="82"/>
      <c r="O39" s="82"/>
      <c r="P39" s="82"/>
      <c r="Q39" s="81" t="str">
        <f ca="1">'GPlan-Translations'!C171</f>
        <v>Fone:</v>
      </c>
      <c r="R39" s="81"/>
      <c r="S39" s="82"/>
      <c r="T39" s="82"/>
      <c r="U39" s="82"/>
      <c r="V39" s="82"/>
      <c r="W39" s="82"/>
      <c r="X39" s="82"/>
      <c r="Y39" s="82"/>
      <c r="Z39" s="82"/>
      <c r="AA39" s="82"/>
      <c r="AB39" s="82"/>
      <c r="AC39" s="82"/>
      <c r="AD39" s="116"/>
      <c r="AE39" s="116"/>
      <c r="AF39" s="117"/>
      <c r="AH39" s="76"/>
    </row>
    <row r="40" spans="2:34" x14ac:dyDescent="0.2">
      <c r="B40" s="78"/>
      <c r="C40" s="78"/>
      <c r="D40" s="78"/>
      <c r="E40" s="78"/>
      <c r="F40" s="78"/>
      <c r="G40" s="78"/>
      <c r="H40" s="78"/>
      <c r="I40" s="78"/>
      <c r="J40" s="78"/>
      <c r="K40" s="78"/>
      <c r="L40" s="78"/>
      <c r="M40" s="78"/>
      <c r="N40" s="78"/>
      <c r="O40" s="78"/>
      <c r="P40" s="78"/>
      <c r="Q40" s="78"/>
      <c r="R40" s="78"/>
      <c r="S40" s="78"/>
      <c r="T40" s="78"/>
      <c r="U40" s="78"/>
      <c r="V40" s="78"/>
      <c r="W40" s="78"/>
      <c r="X40" s="78"/>
      <c r="Y40" s="78"/>
      <c r="Z40" s="78"/>
      <c r="AA40" s="78"/>
      <c r="AB40" s="78"/>
      <c r="AC40" s="78"/>
      <c r="AD40" s="118"/>
      <c r="AE40" s="118"/>
      <c r="AF40" s="118"/>
    </row>
    <row r="41" spans="2:34" hidden="1" x14ac:dyDescent="0.2"/>
    <row r="42" spans="2:34" x14ac:dyDescent="0.2"/>
  </sheetData>
  <mergeCells count="10">
    <mergeCell ref="X15:Y15"/>
    <mergeCell ref="AA15:AB15"/>
    <mergeCell ref="AD15:AF15"/>
    <mergeCell ref="W1:AF2"/>
    <mergeCell ref="X10:Y10"/>
    <mergeCell ref="AA10:AB10"/>
    <mergeCell ref="AD10:AF10"/>
    <mergeCell ref="X12:Y12"/>
    <mergeCell ref="AA12:AB12"/>
    <mergeCell ref="AD12:AF12"/>
  </mergeCells>
  <pageMargins left="0.19685039370078741" right="0.19685039370078741" top="0.19685039370078741" bottom="0.19685039370078741" header="0.11811023622047245" footer="0.11811023622047245"/>
  <pageSetup paperSize="9" pageOrder="overThenDown" orientation="portrait"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wksHolidays">
    <pageSetUpPr fitToPage="1"/>
  </sheetPr>
  <dimension ref="A1:AF54"/>
  <sheetViews>
    <sheetView showGridLines="0" showRowColHeaders="0" workbookViewId="0"/>
  </sheetViews>
  <sheetFormatPr defaultColWidth="0" defaultRowHeight="0" customHeight="1" zeroHeight="1" x14ac:dyDescent="0.25"/>
  <cols>
    <col min="1" max="1" width="2.85546875" style="123" customWidth="1"/>
    <col min="2" max="2" width="6.42578125" style="123" customWidth="1"/>
    <col min="3" max="3" width="7" style="123" bestFit="1" customWidth="1"/>
    <col min="4" max="4" width="14.85546875" style="123" customWidth="1"/>
    <col min="5" max="5" width="44.140625" style="123" customWidth="1"/>
    <col min="6" max="6" width="14.140625" style="123" customWidth="1"/>
    <col min="7" max="7" width="12.28515625" style="123" bestFit="1" customWidth="1"/>
    <col min="8" max="8" width="2.85546875" style="123" customWidth="1"/>
    <col min="9" max="9" width="4.28515625" style="123" hidden="1" customWidth="1"/>
    <col min="10" max="12" width="10.7109375" hidden="1" customWidth="1"/>
    <col min="13" max="13" width="4.28515625" style="121" hidden="1" customWidth="1"/>
    <col min="14" max="14" width="3.5703125" style="121" hidden="1" customWidth="1"/>
    <col min="15" max="17" width="10.140625" style="121" hidden="1" customWidth="1"/>
    <col min="18" max="24" width="10.28515625" style="121" hidden="1" customWidth="1"/>
    <col min="25" max="26" width="9.140625" style="121" hidden="1" customWidth="1"/>
    <col min="27" max="27" width="10.28515625" style="121" hidden="1" customWidth="1"/>
    <col min="28" max="29" width="9.140625" style="121" hidden="1" customWidth="1"/>
    <col min="30" max="30" width="10.140625" style="121" hidden="1" customWidth="1"/>
    <col min="31" max="32" width="0" style="121" hidden="1" customWidth="1"/>
    <col min="33" max="16384" width="9.140625" style="121" hidden="1"/>
  </cols>
  <sheetData>
    <row r="1" spans="2:32" ht="19.5" x14ac:dyDescent="0.25">
      <c r="B1" s="119" t="str">
        <f ca="1">'GPlan-Translations'!C174</f>
        <v>FERIADOS, COMEMORAÇÕES E ANIVERSÁRIOS</v>
      </c>
      <c r="C1" s="120"/>
      <c r="D1" s="121"/>
      <c r="E1" s="122"/>
      <c r="F1" s="119"/>
      <c r="G1" s="119">
        <f>Calendar!U1</f>
        <v>2019</v>
      </c>
      <c r="H1" s="120"/>
      <c r="J1" s="650">
        <f>$G1-1</f>
        <v>2018</v>
      </c>
      <c r="K1" s="650">
        <f>$G1+1</f>
        <v>2020</v>
      </c>
      <c r="L1" s="650">
        <f>$G1+2</f>
        <v>2021</v>
      </c>
      <c r="O1" s="124" t="s">
        <v>7126</v>
      </c>
      <c r="P1" s="125">
        <f>O10</f>
        <v>2018</v>
      </c>
      <c r="S1" s="124" t="s">
        <v>7127</v>
      </c>
      <c r="T1" s="126">
        <f ca="1">COUNTIF(D:D,"&gt;0")*4</f>
        <v>144</v>
      </c>
      <c r="V1" s="121" t="str">
        <f ca="1">'GPlan-Translations'!C180</f>
        <v>AUXILIAR DIA DA SEMANA</v>
      </c>
    </row>
    <row r="2" spans="2:32" ht="18" x14ac:dyDescent="0.2">
      <c r="B2" s="127" t="str">
        <f ca="1">'GPlan-Translations'!C181</f>
        <v>Dia</v>
      </c>
      <c r="C2" s="127" t="str">
        <f ca="1">'GPlan-Translations'!C182</f>
        <v>Mês</v>
      </c>
      <c r="D2" s="127" t="str">
        <f ca="1">'GPlan-Translations'!C183</f>
        <v>Data</v>
      </c>
      <c r="E2" s="127" t="str">
        <f ca="1">'GPlan-Translations'!C184</f>
        <v>Nome</v>
      </c>
      <c r="F2" s="128" t="str">
        <f ca="1">'GPlan-Translations'!C185</f>
        <v>Dia Sem.</v>
      </c>
      <c r="G2" s="128" t="str">
        <f ca="1">'GPlan-Translations'!C187</f>
        <v>Tipo</v>
      </c>
      <c r="H2" s="304" t="s">
        <v>126</v>
      </c>
      <c r="I2" s="649" t="s">
        <v>7541</v>
      </c>
      <c r="J2" s="649" t="s">
        <v>7850</v>
      </c>
      <c r="K2" s="649" t="s">
        <v>7851</v>
      </c>
      <c r="L2" s="649" t="s">
        <v>7852</v>
      </c>
      <c r="O2" s="124" t="s">
        <v>7128</v>
      </c>
      <c r="P2" s="129">
        <f>P10</f>
        <v>2019</v>
      </c>
      <c r="S2" s="124" t="s">
        <v>7129</v>
      </c>
      <c r="T2" s="125">
        <f>ROW(B3)</f>
        <v>3</v>
      </c>
      <c r="V2" s="130" t="str">
        <f ca="1">'GPlan-Translations'!C190</f>
        <v>Domingo</v>
      </c>
      <c r="W2" s="131" t="s">
        <v>1261</v>
      </c>
      <c r="X2" s="132">
        <v>1</v>
      </c>
      <c r="Z2" s="306" t="str">
        <f ca="1">'GPlan-Translations'!C188</f>
        <v>Feriado</v>
      </c>
      <c r="AA2" s="307">
        <v>-11</v>
      </c>
      <c r="AB2" s="307" t="str">
        <f ca="1">X2 &amp; "-" &amp; Z2</f>
        <v>1-Feriado</v>
      </c>
      <c r="AD2" s="133">
        <v>7</v>
      </c>
      <c r="AE2" s="131" t="s">
        <v>7130</v>
      </c>
      <c r="AF2" s="134" t="str">
        <f ca="1">'GPlan-Translations'!C190</f>
        <v>Domingo</v>
      </c>
    </row>
    <row r="3" spans="2:32" ht="18" x14ac:dyDescent="0.25">
      <c r="B3" s="135" t="str">
        <f ca="1">'GPlan-Translations'!C176</f>
        <v>FIXOS</v>
      </c>
      <c r="C3" s="136"/>
      <c r="D3" s="136"/>
      <c r="E3" s="136"/>
      <c r="F3" s="136"/>
      <c r="G3" s="137"/>
      <c r="H3" s="120"/>
      <c r="M3" s="138"/>
      <c r="N3" s="138"/>
      <c r="O3" s="124" t="s">
        <v>7131</v>
      </c>
      <c r="P3" s="129">
        <f>Q10</f>
        <v>2020</v>
      </c>
      <c r="S3" s="138" t="s">
        <v>7132</v>
      </c>
      <c r="T3" s="129">
        <f>ROW(B28)</f>
        <v>28</v>
      </c>
      <c r="V3" s="139" t="str">
        <f ca="1">'GPlan-Translations'!C191</f>
        <v>Segunda</v>
      </c>
      <c r="W3" s="140" t="s">
        <v>1262</v>
      </c>
      <c r="X3" s="141">
        <v>2</v>
      </c>
      <c r="Z3" s="306" t="str">
        <f ca="1">'GPlan-Translations'!C189</f>
        <v>Evento</v>
      </c>
      <c r="AA3" s="307">
        <v>0.5</v>
      </c>
      <c r="AB3" s="307" t="str">
        <f ca="1">X3 &amp; "-" &amp; Z3</f>
        <v>2-Evento</v>
      </c>
      <c r="AD3" s="143">
        <v>1</v>
      </c>
      <c r="AE3" s="140" t="s">
        <v>7133</v>
      </c>
      <c r="AF3" s="144" t="str">
        <f ca="1">'GPlan-Translations'!C191</f>
        <v>Segunda</v>
      </c>
    </row>
    <row r="4" spans="2:32" ht="18" x14ac:dyDescent="0.25">
      <c r="B4" s="145">
        <v>1</v>
      </c>
      <c r="C4" s="145">
        <v>1</v>
      </c>
      <c r="D4" s="146">
        <f t="shared" ref="D4:D27" si="0">IF(OR(ISBLANK(B4),ISBLANK(C4)),"",DATE($G$1,C4,B4))</f>
        <v>43466</v>
      </c>
      <c r="E4" s="147" t="s">
        <v>7134</v>
      </c>
      <c r="F4" s="148" t="str">
        <f ca="1">IF(D4="","",VLOOKUP(WEEKDAY(D4,2),Holidays!$AD$2:$AF$8,3,FALSE))</f>
        <v>Terça</v>
      </c>
      <c r="G4" s="149" t="s">
        <v>1257</v>
      </c>
      <c r="H4" s="120"/>
      <c r="I4" s="648">
        <f t="shared" ref="I4:I35" ca="1" si="1">IFERROR(INDEX($AA$2:$AA$3,MATCH(G4,$Z$2:$Z$3,0)),"")</f>
        <v>-11</v>
      </c>
      <c r="J4" s="265">
        <f>IF($D4="","",DATE(J$1,$C4,$B4))</f>
        <v>43101</v>
      </c>
      <c r="K4" s="265">
        <f>IF($D4="","",DATE(K$1,$C4,$B4))</f>
        <v>43831</v>
      </c>
      <c r="L4" s="265">
        <f>IF($D4="","",DATE(L$1,$C4,$B4))</f>
        <v>44197</v>
      </c>
      <c r="N4" s="150"/>
      <c r="O4" s="124" t="s">
        <v>7135</v>
      </c>
      <c r="P4" s="151">
        <f>R10</f>
        <v>2021</v>
      </c>
      <c r="S4" s="124" t="s">
        <v>7136</v>
      </c>
      <c r="T4" s="129">
        <f>ROW(B42)</f>
        <v>42</v>
      </c>
      <c r="V4" s="139" t="str">
        <f ca="1">'GPlan-Translations'!C192</f>
        <v>Terça</v>
      </c>
      <c r="W4" s="140" t="s">
        <v>1263</v>
      </c>
      <c r="X4" s="141">
        <v>3</v>
      </c>
      <c r="AD4" s="143">
        <v>2</v>
      </c>
      <c r="AE4" s="140" t="s">
        <v>7137</v>
      </c>
      <c r="AF4" s="144" t="str">
        <f ca="1">'GPlan-Translations'!C192</f>
        <v>Terça</v>
      </c>
    </row>
    <row r="5" spans="2:32" ht="18" x14ac:dyDescent="0.25">
      <c r="B5" s="145">
        <v>8</v>
      </c>
      <c r="C5" s="145">
        <v>3</v>
      </c>
      <c r="D5" s="146">
        <f t="shared" si="0"/>
        <v>43532</v>
      </c>
      <c r="E5" s="147" t="s">
        <v>7138</v>
      </c>
      <c r="F5" s="148" t="str">
        <f ca="1">IF(D5="","",VLOOKUP(WEEKDAY(D5,2),Holidays!$AD$2:$AF$8,3,FALSE))</f>
        <v>Sexta</v>
      </c>
      <c r="G5" s="149" t="s">
        <v>1260</v>
      </c>
      <c r="H5" s="120"/>
      <c r="I5" s="648">
        <f t="shared" ca="1" si="1"/>
        <v>0.5</v>
      </c>
      <c r="J5" s="265">
        <f t="shared" ref="J5:L27" si="2">IF($D5="","",DATE(J$1,$C5,$B5))</f>
        <v>43167</v>
      </c>
      <c r="K5" s="265">
        <f t="shared" si="2"/>
        <v>43898</v>
      </c>
      <c r="L5" s="265">
        <f t="shared" si="2"/>
        <v>44263</v>
      </c>
      <c r="S5" s="124" t="s">
        <v>7139</v>
      </c>
      <c r="T5" s="129">
        <f>ROW(B49)</f>
        <v>49</v>
      </c>
      <c r="V5" s="139" t="str">
        <f ca="1">'GPlan-Translations'!C193</f>
        <v>Quarta</v>
      </c>
      <c r="W5" s="140" t="s">
        <v>1264</v>
      </c>
      <c r="X5" s="141">
        <v>4</v>
      </c>
      <c r="AD5" s="143">
        <v>3</v>
      </c>
      <c r="AE5" s="140" t="s">
        <v>7140</v>
      </c>
      <c r="AF5" s="144" t="str">
        <f ca="1">'GPlan-Translations'!C193</f>
        <v>Quarta</v>
      </c>
    </row>
    <row r="6" spans="2:32" ht="18" x14ac:dyDescent="0.25">
      <c r="B6" s="145">
        <v>18</v>
      </c>
      <c r="C6" s="145">
        <v>4</v>
      </c>
      <c r="D6" s="146">
        <f t="shared" si="0"/>
        <v>43573</v>
      </c>
      <c r="E6" s="147" t="s">
        <v>7141</v>
      </c>
      <c r="F6" s="148" t="str">
        <f ca="1">IF(D6="","",VLOOKUP(WEEKDAY(D6,2),Holidays!$AD$2:$AF$8,3,FALSE))</f>
        <v>Quinta</v>
      </c>
      <c r="G6" s="149" t="s">
        <v>1260</v>
      </c>
      <c r="H6" s="120"/>
      <c r="I6" s="648">
        <f t="shared" ca="1" si="1"/>
        <v>0.5</v>
      </c>
      <c r="J6" s="265">
        <f t="shared" si="2"/>
        <v>43208</v>
      </c>
      <c r="K6" s="265">
        <f t="shared" si="2"/>
        <v>43939</v>
      </c>
      <c r="L6" s="265">
        <f t="shared" si="2"/>
        <v>44304</v>
      </c>
      <c r="M6" s="150"/>
      <c r="N6" s="150"/>
      <c r="S6" s="152" t="s">
        <v>7142</v>
      </c>
      <c r="T6" s="151">
        <f>T5+4</f>
        <v>53</v>
      </c>
      <c r="V6" s="139" t="str">
        <f ca="1">'GPlan-Translations'!C194</f>
        <v>Quinta</v>
      </c>
      <c r="W6" s="140" t="s">
        <v>1265</v>
      </c>
      <c r="X6" s="141">
        <v>5</v>
      </c>
      <c r="AD6" s="143">
        <v>4</v>
      </c>
      <c r="AE6" s="140" t="s">
        <v>7143</v>
      </c>
      <c r="AF6" s="144" t="str">
        <f ca="1">'GPlan-Translations'!C194</f>
        <v>Quinta</v>
      </c>
    </row>
    <row r="7" spans="2:32" ht="18" x14ac:dyDescent="0.25">
      <c r="B7" s="145">
        <v>19</v>
      </c>
      <c r="C7" s="145">
        <v>4</v>
      </c>
      <c r="D7" s="146">
        <f t="shared" si="0"/>
        <v>43574</v>
      </c>
      <c r="E7" s="147" t="s">
        <v>7144</v>
      </c>
      <c r="F7" s="148" t="str">
        <f ca="1">IF(D7="","",VLOOKUP(WEEKDAY(D7,2),Holidays!$AD$2:$AF$8,3,FALSE))</f>
        <v>Sexta</v>
      </c>
      <c r="G7" s="149" t="s">
        <v>1260</v>
      </c>
      <c r="H7" s="120"/>
      <c r="I7" s="648">
        <f t="shared" ca="1" si="1"/>
        <v>0.5</v>
      </c>
      <c r="J7" s="265">
        <f t="shared" si="2"/>
        <v>43209</v>
      </c>
      <c r="K7" s="265">
        <f t="shared" si="2"/>
        <v>43940</v>
      </c>
      <c r="L7" s="265">
        <f t="shared" si="2"/>
        <v>44305</v>
      </c>
      <c r="O7" s="153" t="str">
        <f ca="1">'GPlan-Translations'!C175</f>
        <v>AUXILIAR PÁSCOA</v>
      </c>
      <c r="S7" s="154"/>
      <c r="V7" s="139" t="str">
        <f ca="1">'GPlan-Translations'!C195</f>
        <v>Sexta</v>
      </c>
      <c r="W7" s="140" t="s">
        <v>1266</v>
      </c>
      <c r="X7" s="141">
        <v>6</v>
      </c>
      <c r="AD7" s="143">
        <v>5</v>
      </c>
      <c r="AE7" s="140" t="s">
        <v>7145</v>
      </c>
      <c r="AF7" s="144" t="str">
        <f ca="1">'GPlan-Translations'!C195</f>
        <v>Sexta</v>
      </c>
    </row>
    <row r="8" spans="2:32" ht="18" x14ac:dyDescent="0.25">
      <c r="B8" s="145">
        <v>21</v>
      </c>
      <c r="C8" s="145">
        <v>4</v>
      </c>
      <c r="D8" s="146">
        <f t="shared" si="0"/>
        <v>43576</v>
      </c>
      <c r="E8" s="147" t="s">
        <v>7146</v>
      </c>
      <c r="F8" s="148" t="str">
        <f ca="1">IF(D8="","",VLOOKUP(WEEKDAY(D8,2),Holidays!$AD$2:$AF$8,3,FALSE))</f>
        <v>Domingo</v>
      </c>
      <c r="G8" s="149" t="s">
        <v>1257</v>
      </c>
      <c r="H8" s="120"/>
      <c r="I8" s="648">
        <f t="shared" ca="1" si="1"/>
        <v>-11</v>
      </c>
      <c r="J8" s="265">
        <f t="shared" si="2"/>
        <v>43211</v>
      </c>
      <c r="K8" s="265">
        <f t="shared" si="2"/>
        <v>43942</v>
      </c>
      <c r="L8" s="265">
        <f t="shared" si="2"/>
        <v>44307</v>
      </c>
      <c r="S8" s="155" t="s">
        <v>7147</v>
      </c>
      <c r="T8" s="138" t="s">
        <v>7148</v>
      </c>
      <c r="V8" s="156" t="str">
        <f ca="1">'GPlan-Translations'!C196</f>
        <v>Sábado</v>
      </c>
      <c r="W8" s="157" t="s">
        <v>1267</v>
      </c>
      <c r="X8" s="142">
        <v>7</v>
      </c>
      <c r="AD8" s="158">
        <v>6</v>
      </c>
      <c r="AE8" s="157" t="s">
        <v>7149</v>
      </c>
      <c r="AF8" s="159" t="str">
        <f ca="1">'GPlan-Translations'!C196</f>
        <v>Sábado</v>
      </c>
    </row>
    <row r="9" spans="2:32" ht="18" x14ac:dyDescent="0.25">
      <c r="B9" s="145">
        <v>22</v>
      </c>
      <c r="C9" s="145">
        <v>4</v>
      </c>
      <c r="D9" s="146">
        <f t="shared" si="0"/>
        <v>43577</v>
      </c>
      <c r="E9" s="147" t="s">
        <v>7150</v>
      </c>
      <c r="F9" s="148" t="str">
        <f ca="1">IF(D9="","",VLOOKUP(WEEKDAY(D9,2),Holidays!$AD$2:$AF$8,3,FALSE))</f>
        <v>Segunda</v>
      </c>
      <c r="G9" s="149" t="s">
        <v>1260</v>
      </c>
      <c r="H9" s="121"/>
      <c r="I9" s="648">
        <f t="shared" ca="1" si="1"/>
        <v>0.5</v>
      </c>
      <c r="J9" s="265">
        <f t="shared" si="2"/>
        <v>43212</v>
      </c>
      <c r="K9" s="265">
        <f t="shared" si="2"/>
        <v>43943</v>
      </c>
      <c r="L9" s="265">
        <f t="shared" si="2"/>
        <v>44308</v>
      </c>
      <c r="O9" s="160" t="s">
        <v>7151</v>
      </c>
      <c r="T9" s="124" t="s">
        <v>7152</v>
      </c>
      <c r="V9" s="161" t="s">
        <v>7153</v>
      </c>
      <c r="Z9" s="138" t="s">
        <v>7154</v>
      </c>
      <c r="AF9" s="162" t="s">
        <v>7155</v>
      </c>
    </row>
    <row r="10" spans="2:32" ht="18" x14ac:dyDescent="0.25">
      <c r="B10" s="145">
        <v>1</v>
      </c>
      <c r="C10" s="145">
        <v>5</v>
      </c>
      <c r="D10" s="146">
        <f t="shared" si="0"/>
        <v>43586</v>
      </c>
      <c r="E10" s="147" t="s">
        <v>7156</v>
      </c>
      <c r="F10" s="148" t="str">
        <f ca="1">IF(D10="","",VLOOKUP(WEEKDAY(D10,2),Holidays!$AD$2:$AF$8,3,FALSE))</f>
        <v>Quarta</v>
      </c>
      <c r="G10" s="149" t="s">
        <v>1257</v>
      </c>
      <c r="H10" s="120"/>
      <c r="I10" s="648">
        <f t="shared" ca="1" si="1"/>
        <v>-11</v>
      </c>
      <c r="J10" s="265">
        <f t="shared" si="2"/>
        <v>43221</v>
      </c>
      <c r="K10" s="265">
        <f t="shared" si="2"/>
        <v>43952</v>
      </c>
      <c r="L10" s="265">
        <f t="shared" si="2"/>
        <v>44317</v>
      </c>
      <c r="O10" s="163">
        <f>P10-1</f>
        <v>2018</v>
      </c>
      <c r="P10" s="164">
        <f>Parameters!C14</f>
        <v>2019</v>
      </c>
      <c r="Q10" s="164">
        <f>P10+1</f>
        <v>2020</v>
      </c>
      <c r="R10" s="164">
        <f>P10+2</f>
        <v>2021</v>
      </c>
      <c r="S10" s="138"/>
      <c r="V10" s="165" t="s">
        <v>7157</v>
      </c>
      <c r="W10" s="165" t="s">
        <v>7158</v>
      </c>
      <c r="X10" s="32" t="s">
        <v>7159</v>
      </c>
    </row>
    <row r="11" spans="2:32" ht="18" x14ac:dyDescent="0.25">
      <c r="B11" s="145">
        <v>13</v>
      </c>
      <c r="C11" s="145">
        <v>5</v>
      </c>
      <c r="D11" s="146">
        <f t="shared" si="0"/>
        <v>43598</v>
      </c>
      <c r="E11" s="147" t="s">
        <v>7160</v>
      </c>
      <c r="F11" s="148" t="str">
        <f ca="1">IF(D11="","",VLOOKUP(WEEKDAY(D11,2),Holidays!$AD$2:$AF$8,3,FALSE))</f>
        <v>Segunda</v>
      </c>
      <c r="G11" s="149" t="s">
        <v>1260</v>
      </c>
      <c r="H11" s="120"/>
      <c r="I11" s="648">
        <f t="shared" ca="1" si="1"/>
        <v>0.5</v>
      </c>
      <c r="J11" s="265">
        <f t="shared" si="2"/>
        <v>43233</v>
      </c>
      <c r="K11" s="265">
        <f t="shared" si="2"/>
        <v>43964</v>
      </c>
      <c r="L11" s="265">
        <f t="shared" si="2"/>
        <v>44329</v>
      </c>
      <c r="O11" s="166">
        <f>O17-47</f>
        <v>43144</v>
      </c>
      <c r="P11" s="167">
        <f>P17-47</f>
        <v>43529</v>
      </c>
      <c r="Q11" s="167">
        <f>Q17-47</f>
        <v>43886</v>
      </c>
      <c r="R11" s="168">
        <f>R17-47</f>
        <v>44243</v>
      </c>
      <c r="S11" s="169" t="str">
        <f ca="1">VLOOKUP(T11,'GPlan-Translations'!$B$201:$C$222,2,FALSE)</f>
        <v>Carnaval</v>
      </c>
      <c r="T11" s="170" t="s">
        <v>1301</v>
      </c>
      <c r="U11" s="171">
        <v>1</v>
      </c>
      <c r="V11" s="172" t="s">
        <v>1301</v>
      </c>
      <c r="W11" s="173" t="s">
        <v>7161</v>
      </c>
      <c r="X11" s="170"/>
      <c r="Y11" s="170"/>
      <c r="Z11" s="170"/>
      <c r="AA11" s="170"/>
      <c r="AB11" s="132"/>
    </row>
    <row r="12" spans="2:32" ht="18" x14ac:dyDescent="0.25">
      <c r="B12" s="145">
        <v>12</v>
      </c>
      <c r="C12" s="145">
        <v>6</v>
      </c>
      <c r="D12" s="146">
        <f t="shared" si="0"/>
        <v>43628</v>
      </c>
      <c r="E12" s="147" t="s">
        <v>7162</v>
      </c>
      <c r="F12" s="148" t="str">
        <f ca="1">IF(D12="","",VLOOKUP(WEEKDAY(D12,2),Holidays!$AD$2:$AF$8,3,FALSE))</f>
        <v>Quarta</v>
      </c>
      <c r="G12" s="149" t="s">
        <v>1260</v>
      </c>
      <c r="H12" s="120"/>
      <c r="I12" s="648">
        <f t="shared" ca="1" si="1"/>
        <v>0.5</v>
      </c>
      <c r="J12" s="265">
        <f t="shared" si="2"/>
        <v>43263</v>
      </c>
      <c r="K12" s="265">
        <f t="shared" si="2"/>
        <v>43994</v>
      </c>
      <c r="L12" s="265">
        <f t="shared" si="2"/>
        <v>44359</v>
      </c>
      <c r="O12" s="174">
        <f>O17-46</f>
        <v>43145</v>
      </c>
      <c r="P12" s="175">
        <f>P17-46</f>
        <v>43530</v>
      </c>
      <c r="Q12" s="175">
        <f>Q17-46</f>
        <v>43887</v>
      </c>
      <c r="R12" s="176">
        <f>R17-46</f>
        <v>44244</v>
      </c>
      <c r="S12" s="177" t="str">
        <f ca="1">VLOOKUP(T12,'GPlan-Translations'!$B$201:$C$222,2,FALSE)</f>
        <v>Quarta-feira de Cinzas</v>
      </c>
      <c r="T12" s="178" t="s">
        <v>1303</v>
      </c>
      <c r="U12" s="179">
        <v>2</v>
      </c>
      <c r="V12" s="180" t="s">
        <v>1303</v>
      </c>
      <c r="W12" s="181" t="s">
        <v>7163</v>
      </c>
      <c r="X12" s="162"/>
      <c r="Y12" s="178"/>
      <c r="Z12" s="178"/>
      <c r="AA12" s="178"/>
      <c r="AB12" s="141"/>
    </row>
    <row r="13" spans="2:32" ht="18" x14ac:dyDescent="0.25">
      <c r="B13" s="145">
        <v>26</v>
      </c>
      <c r="C13" s="145">
        <v>7</v>
      </c>
      <c r="D13" s="146">
        <f t="shared" si="0"/>
        <v>43672</v>
      </c>
      <c r="E13" s="147" t="s">
        <v>7164</v>
      </c>
      <c r="F13" s="148" t="str">
        <f ca="1">IF(D13="","",VLOOKUP(WEEKDAY(D13,2),Holidays!$AD$2:$AF$8,3,FALSE))</f>
        <v>Sexta</v>
      </c>
      <c r="G13" s="149" t="s">
        <v>1260</v>
      </c>
      <c r="H13" s="120"/>
      <c r="I13" s="648">
        <f t="shared" ca="1" si="1"/>
        <v>0.5</v>
      </c>
      <c r="J13" s="265">
        <f t="shared" si="2"/>
        <v>43307</v>
      </c>
      <c r="K13" s="265">
        <f t="shared" si="2"/>
        <v>44038</v>
      </c>
      <c r="L13" s="265">
        <f t="shared" si="2"/>
        <v>44403</v>
      </c>
      <c r="O13" s="174">
        <f>O17-7</f>
        <v>43184</v>
      </c>
      <c r="P13" s="175">
        <f>P17-7</f>
        <v>43569</v>
      </c>
      <c r="Q13" s="175">
        <f>Q17-7</f>
        <v>43926</v>
      </c>
      <c r="R13" s="176">
        <f>R17-7</f>
        <v>44283</v>
      </c>
      <c r="S13" s="177" t="str">
        <f ca="1">VLOOKUP(T13,'GPlan-Translations'!$B$201:$C$222,2,FALSE)</f>
        <v>Domingo de Ramos</v>
      </c>
      <c r="T13" s="162" t="s">
        <v>1298</v>
      </c>
      <c r="U13" s="179">
        <v>3</v>
      </c>
      <c r="V13" s="161" t="s">
        <v>1298</v>
      </c>
      <c r="W13" s="181" t="s">
        <v>7165</v>
      </c>
      <c r="X13" s="178"/>
      <c r="Y13" s="178"/>
      <c r="Z13" s="178"/>
      <c r="AA13" s="178"/>
      <c r="AB13" s="141"/>
    </row>
    <row r="14" spans="2:32" ht="18" x14ac:dyDescent="0.25">
      <c r="B14" s="145">
        <v>11</v>
      </c>
      <c r="C14" s="145">
        <v>8</v>
      </c>
      <c r="D14" s="146">
        <f t="shared" si="0"/>
        <v>43688</v>
      </c>
      <c r="E14" s="147" t="s">
        <v>7166</v>
      </c>
      <c r="F14" s="148" t="str">
        <f ca="1">IF(D14="","",VLOOKUP(WEEKDAY(D14,2),Holidays!$AD$2:$AF$8,3,FALSE))</f>
        <v>Domingo</v>
      </c>
      <c r="G14" s="149" t="s">
        <v>1260</v>
      </c>
      <c r="H14" s="121"/>
      <c r="I14" s="648">
        <f t="shared" ca="1" si="1"/>
        <v>0.5</v>
      </c>
      <c r="J14" s="265">
        <f t="shared" si="2"/>
        <v>43323</v>
      </c>
      <c r="K14" s="265">
        <f t="shared" si="2"/>
        <v>44054</v>
      </c>
      <c r="L14" s="265">
        <f t="shared" si="2"/>
        <v>44419</v>
      </c>
      <c r="O14" s="174">
        <f>O17-3</f>
        <v>43188</v>
      </c>
      <c r="P14" s="175">
        <f>P17-3</f>
        <v>43573</v>
      </c>
      <c r="Q14" s="175">
        <f>Q17-3</f>
        <v>43930</v>
      </c>
      <c r="R14" s="176">
        <f>R17-3</f>
        <v>44287</v>
      </c>
      <c r="S14" s="177" t="str">
        <f ca="1">VLOOKUP(T14,'GPlan-Translations'!$B$201:$C$222,2,FALSE)</f>
        <v>Quinta-feira Santa</v>
      </c>
      <c r="T14" s="178" t="s">
        <v>1305</v>
      </c>
      <c r="U14" s="179">
        <v>4</v>
      </c>
      <c r="V14" s="182" t="s">
        <v>1305</v>
      </c>
      <c r="W14" s="162" t="s">
        <v>7167</v>
      </c>
      <c r="X14" s="181" t="s">
        <v>7168</v>
      </c>
      <c r="Y14" s="183" t="s">
        <v>7169</v>
      </c>
      <c r="Z14" s="184" t="s">
        <v>7170</v>
      </c>
      <c r="AA14" s="178"/>
      <c r="AB14" s="141"/>
    </row>
    <row r="15" spans="2:32" ht="18" x14ac:dyDescent="0.25">
      <c r="B15" s="145">
        <v>7</v>
      </c>
      <c r="C15" s="145">
        <v>9</v>
      </c>
      <c r="D15" s="146">
        <f>IF(OR(ISBLANK(B15),ISBLANK(C15)),"",DATE($G$1,C15,B15))</f>
        <v>43715</v>
      </c>
      <c r="E15" s="147" t="s">
        <v>7171</v>
      </c>
      <c r="F15" s="148" t="str">
        <f ca="1">IF(D15="","",VLOOKUP(WEEKDAY(D15,2),Holidays!$AD$2:$AF$8,3,FALSE))</f>
        <v>Sábado</v>
      </c>
      <c r="G15" s="185" t="s">
        <v>1257</v>
      </c>
      <c r="H15" s="120"/>
      <c r="I15" s="648">
        <f t="shared" ca="1" si="1"/>
        <v>-11</v>
      </c>
      <c r="J15" s="265">
        <f t="shared" si="2"/>
        <v>43350</v>
      </c>
      <c r="K15" s="265">
        <f t="shared" si="2"/>
        <v>44081</v>
      </c>
      <c r="L15" s="265">
        <f t="shared" si="2"/>
        <v>44446</v>
      </c>
      <c r="O15" s="174">
        <f>O17-2</f>
        <v>43189</v>
      </c>
      <c r="P15" s="175">
        <f>P17-2</f>
        <v>43574</v>
      </c>
      <c r="Q15" s="175">
        <f>Q17-2</f>
        <v>43931</v>
      </c>
      <c r="R15" s="176">
        <f>R17-2</f>
        <v>44288</v>
      </c>
      <c r="S15" s="177" t="str">
        <f ca="1">VLOOKUP(T15,'GPlan-Translations'!$B$201:$C$222,2,FALSE)</f>
        <v>Paixão de Cristo</v>
      </c>
      <c r="T15" s="178" t="s">
        <v>1307</v>
      </c>
      <c r="U15" s="179">
        <v>5</v>
      </c>
      <c r="V15" s="182" t="s">
        <v>1307</v>
      </c>
      <c r="W15" s="162" t="s">
        <v>7172</v>
      </c>
      <c r="X15" s="181" t="s">
        <v>7173</v>
      </c>
      <c r="Y15" s="183" t="s">
        <v>7174</v>
      </c>
      <c r="Z15" s="181" t="s">
        <v>7175</v>
      </c>
      <c r="AA15" s="5" t="s">
        <v>7176</v>
      </c>
      <c r="AB15" s="186" t="s">
        <v>7177</v>
      </c>
    </row>
    <row r="16" spans="2:32" ht="18" x14ac:dyDescent="0.25">
      <c r="B16" s="145">
        <v>1</v>
      </c>
      <c r="C16" s="145">
        <v>10</v>
      </c>
      <c r="D16" s="146">
        <f t="shared" ref="D16:D24" si="3">IF(OR(ISBLANK(B16),ISBLANK(C16)),"",DATE($G$1,C16,B16))</f>
        <v>43739</v>
      </c>
      <c r="E16" s="147" t="s">
        <v>7178</v>
      </c>
      <c r="F16" s="148" t="str">
        <f ca="1">IF(D16="","",VLOOKUP(WEEKDAY(D16,2),Holidays!$AD$2:$AF$8,3,FALSE))</f>
        <v>Terça</v>
      </c>
      <c r="G16" s="185" t="s">
        <v>1260</v>
      </c>
      <c r="H16" s="120"/>
      <c r="I16" s="648">
        <f t="shared" ca="1" si="1"/>
        <v>0.5</v>
      </c>
      <c r="J16" s="265">
        <f t="shared" si="2"/>
        <v>43374</v>
      </c>
      <c r="K16" s="265">
        <f t="shared" si="2"/>
        <v>44105</v>
      </c>
      <c r="L16" s="265">
        <f t="shared" si="2"/>
        <v>44470</v>
      </c>
      <c r="O16" s="174">
        <f>O17-1</f>
        <v>43190</v>
      </c>
      <c r="P16" s="175">
        <f>P17-1</f>
        <v>43575</v>
      </c>
      <c r="Q16" s="175">
        <f>Q17-1</f>
        <v>43932</v>
      </c>
      <c r="R16" s="176">
        <f>R17-1</f>
        <v>44289</v>
      </c>
      <c r="S16" s="177" t="str">
        <f ca="1">VLOOKUP(T16,'GPlan-Translations'!$B$201:$C$222,2,FALSE)</f>
        <v>Sábado de Aleluia</v>
      </c>
      <c r="T16" s="178" t="s">
        <v>1309</v>
      </c>
      <c r="U16" s="179">
        <v>6</v>
      </c>
      <c r="V16" s="182" t="s">
        <v>1309</v>
      </c>
      <c r="W16" s="181" t="s">
        <v>7179</v>
      </c>
      <c r="X16" s="178"/>
      <c r="Y16" s="178"/>
      <c r="Z16" s="178"/>
      <c r="AA16" s="178"/>
      <c r="AB16" s="141"/>
    </row>
    <row r="17" spans="1:28" ht="18" x14ac:dyDescent="0.25">
      <c r="B17" s="145">
        <v>12</v>
      </c>
      <c r="C17" s="145">
        <v>10</v>
      </c>
      <c r="D17" s="146">
        <f t="shared" si="3"/>
        <v>43750</v>
      </c>
      <c r="E17" s="147" t="s">
        <v>7180</v>
      </c>
      <c r="F17" s="148" t="str">
        <f ca="1">IF(D17="","",VLOOKUP(WEEKDAY(D17,2),Holidays!$AD$2:$AF$8,3,FALSE))</f>
        <v>Sábado</v>
      </c>
      <c r="G17" s="185" t="s">
        <v>1257</v>
      </c>
      <c r="H17" s="120"/>
      <c r="I17" s="648">
        <f t="shared" ca="1" si="1"/>
        <v>-11</v>
      </c>
      <c r="J17" s="265">
        <f t="shared" si="2"/>
        <v>43385</v>
      </c>
      <c r="K17" s="265">
        <f t="shared" si="2"/>
        <v>44116</v>
      </c>
      <c r="L17" s="265">
        <f t="shared" si="2"/>
        <v>44481</v>
      </c>
      <c r="O17" s="174">
        <f>FLOOR(DATE(O10,5,DAY(MINUTE(O10/38)/2+56)),7)-34</f>
        <v>43191</v>
      </c>
      <c r="P17" s="175">
        <f>FLOOR(DATE(P10,5,DAY(MINUTE(P10/38)/2+56)),7)-34</f>
        <v>43576</v>
      </c>
      <c r="Q17" s="175">
        <f>FLOOR(DATE(Q10,5,DAY(MINUTE(Q10/38)/2+56)),7)-34</f>
        <v>43933</v>
      </c>
      <c r="R17" s="176">
        <f>FLOOR(DATE(R10,5,DAY(MINUTE(R10/38)/2+56)),7)-34</f>
        <v>44290</v>
      </c>
      <c r="S17" s="177" t="str">
        <f ca="1">VLOOKUP(T17,'GPlan-Translations'!$B$201:$C$222,2,FALSE)</f>
        <v>Páscoa</v>
      </c>
      <c r="T17" s="178" t="s">
        <v>1311</v>
      </c>
      <c r="U17" s="179">
        <v>7</v>
      </c>
      <c r="V17" s="187" t="s">
        <v>7181</v>
      </c>
      <c r="W17" s="181" t="s">
        <v>7182</v>
      </c>
      <c r="X17" s="162" t="s">
        <v>7183</v>
      </c>
      <c r="Y17" s="178"/>
      <c r="Z17" s="178"/>
      <c r="AA17" s="178"/>
      <c r="AB17" s="141"/>
    </row>
    <row r="18" spans="1:28" ht="18" x14ac:dyDescent="0.25">
      <c r="B18" s="145">
        <v>15</v>
      </c>
      <c r="C18" s="145">
        <v>10</v>
      </c>
      <c r="D18" s="146">
        <f t="shared" si="3"/>
        <v>43753</v>
      </c>
      <c r="E18" s="147" t="s">
        <v>7184</v>
      </c>
      <c r="F18" s="148" t="str">
        <f ca="1">IF(D18="","",VLOOKUP(WEEKDAY(D18,2),Holidays!$AD$2:$AF$8,3,FALSE))</f>
        <v>Terça</v>
      </c>
      <c r="G18" s="185" t="s">
        <v>1260</v>
      </c>
      <c r="H18" s="120"/>
      <c r="I18" s="648">
        <f t="shared" ca="1" si="1"/>
        <v>0.5</v>
      </c>
      <c r="J18" s="265">
        <f t="shared" si="2"/>
        <v>43388</v>
      </c>
      <c r="K18" s="265">
        <f t="shared" si="2"/>
        <v>44119</v>
      </c>
      <c r="L18" s="265">
        <f t="shared" si="2"/>
        <v>44484</v>
      </c>
      <c r="O18" s="174">
        <f>O17+1</f>
        <v>43192</v>
      </c>
      <c r="P18" s="175">
        <f>P17+1</f>
        <v>43577</v>
      </c>
      <c r="Q18" s="175">
        <f>Q17+1</f>
        <v>43934</v>
      </c>
      <c r="R18" s="176">
        <f>R17+1</f>
        <v>44291</v>
      </c>
      <c r="S18" s="177" t="str">
        <f ca="1">VLOOKUP(T18,'GPlan-Translations'!$B$201:$C$222,2,FALSE)</f>
        <v>Segunda-feira de Páscoa</v>
      </c>
      <c r="T18" s="178" t="s">
        <v>1313</v>
      </c>
      <c r="U18" s="179">
        <v>8</v>
      </c>
      <c r="V18" s="183" t="s">
        <v>1313</v>
      </c>
      <c r="W18" s="188" t="s">
        <v>7185</v>
      </c>
      <c r="X18" s="181" t="s">
        <v>7186</v>
      </c>
      <c r="Y18" s="178"/>
      <c r="Z18" s="178"/>
      <c r="AA18" s="178"/>
      <c r="AB18" s="141"/>
    </row>
    <row r="19" spans="1:28" ht="18" x14ac:dyDescent="0.25">
      <c r="B19" s="145">
        <v>28</v>
      </c>
      <c r="C19" s="145">
        <v>10</v>
      </c>
      <c r="D19" s="146">
        <f t="shared" si="3"/>
        <v>43766</v>
      </c>
      <c r="E19" s="147" t="s">
        <v>7187</v>
      </c>
      <c r="F19" s="148" t="str">
        <f ca="1">IF(D19="","",VLOOKUP(WEEKDAY(D19,2),Holidays!$AD$2:$AF$8,3,FALSE))</f>
        <v>Segunda</v>
      </c>
      <c r="G19" s="185" t="s">
        <v>1260</v>
      </c>
      <c r="H19" s="120"/>
      <c r="I19" s="648">
        <f t="shared" ca="1" si="1"/>
        <v>0.5</v>
      </c>
      <c r="J19" s="265">
        <f t="shared" si="2"/>
        <v>43401</v>
      </c>
      <c r="K19" s="265">
        <f t="shared" si="2"/>
        <v>44132</v>
      </c>
      <c r="L19" s="265">
        <f t="shared" si="2"/>
        <v>44497</v>
      </c>
      <c r="O19" s="174">
        <f>O17+39</f>
        <v>43230</v>
      </c>
      <c r="P19" s="175">
        <f>P17+39</f>
        <v>43615</v>
      </c>
      <c r="Q19" s="175">
        <f>Q17+39</f>
        <v>43972</v>
      </c>
      <c r="R19" s="176">
        <f>R17+39</f>
        <v>44329</v>
      </c>
      <c r="S19" s="177" t="str">
        <f ca="1">VLOOKUP(T19,'GPlan-Translations'!$B$201:$C$222,2,FALSE)</f>
        <v>Ascensão de Jesus</v>
      </c>
      <c r="T19" s="178" t="s">
        <v>1315</v>
      </c>
      <c r="U19" s="179">
        <v>9</v>
      </c>
      <c r="V19" s="189" t="s">
        <v>1315</v>
      </c>
      <c r="W19" s="184" t="s">
        <v>7188</v>
      </c>
      <c r="X19" s="188"/>
      <c r="Y19" s="178"/>
      <c r="Z19" s="178"/>
      <c r="AA19" s="178"/>
      <c r="AB19" s="141"/>
    </row>
    <row r="20" spans="1:28" ht="18" x14ac:dyDescent="0.25">
      <c r="B20" s="145">
        <v>30</v>
      </c>
      <c r="C20" s="145">
        <v>10</v>
      </c>
      <c r="D20" s="146">
        <f t="shared" si="3"/>
        <v>43768</v>
      </c>
      <c r="E20" s="147" t="s">
        <v>7189</v>
      </c>
      <c r="F20" s="148" t="str">
        <f ca="1">IF(D20="","",VLOOKUP(WEEKDAY(D20,2),Holidays!$AD$2:$AF$8,3,FALSE))</f>
        <v>Quarta</v>
      </c>
      <c r="G20" s="185" t="s">
        <v>1260</v>
      </c>
      <c r="H20" s="120"/>
      <c r="I20" s="648">
        <f t="shared" ca="1" si="1"/>
        <v>0.5</v>
      </c>
      <c r="J20" s="265">
        <f t="shared" si="2"/>
        <v>43403</v>
      </c>
      <c r="K20" s="265">
        <f t="shared" si="2"/>
        <v>44134</v>
      </c>
      <c r="L20" s="265">
        <f t="shared" si="2"/>
        <v>44499</v>
      </c>
      <c r="O20" s="174">
        <f>O17+50</f>
        <v>43241</v>
      </c>
      <c r="P20" s="175">
        <f>P17+50</f>
        <v>43626</v>
      </c>
      <c r="Q20" s="175">
        <f>Q17+50</f>
        <v>43983</v>
      </c>
      <c r="R20" s="176">
        <f>R17+50</f>
        <v>44340</v>
      </c>
      <c r="S20" s="177" t="str">
        <f ca="1">VLOOKUP(T20,'GPlan-Translations'!$B$201:$C$222,2,FALSE)</f>
        <v>Pentecostes</v>
      </c>
      <c r="T20" s="178" t="s">
        <v>1317</v>
      </c>
      <c r="U20" s="179">
        <v>10</v>
      </c>
      <c r="V20" s="183" t="s">
        <v>1317</v>
      </c>
      <c r="W20" s="184" t="s">
        <v>7190</v>
      </c>
      <c r="X20" s="188"/>
      <c r="Y20" s="178"/>
      <c r="Z20" s="178"/>
      <c r="AA20" s="178"/>
      <c r="AB20" s="141"/>
    </row>
    <row r="21" spans="1:28" ht="18" x14ac:dyDescent="0.25">
      <c r="B21" s="145">
        <v>1</v>
      </c>
      <c r="C21" s="145">
        <v>11</v>
      </c>
      <c r="D21" s="146">
        <f t="shared" si="3"/>
        <v>43770</v>
      </c>
      <c r="E21" s="147" t="s">
        <v>7191</v>
      </c>
      <c r="F21" s="148" t="str">
        <f ca="1">IF(D21="","",VLOOKUP(WEEKDAY(D21,2),Holidays!$AD$2:$AF$8,3,FALSE))</f>
        <v>Sexta</v>
      </c>
      <c r="G21" s="185" t="s">
        <v>1260</v>
      </c>
      <c r="H21" s="120"/>
      <c r="I21" s="648">
        <f t="shared" ca="1" si="1"/>
        <v>0.5</v>
      </c>
      <c r="J21" s="265">
        <f t="shared" si="2"/>
        <v>43405</v>
      </c>
      <c r="K21" s="265">
        <f t="shared" si="2"/>
        <v>44136</v>
      </c>
      <c r="L21" s="265">
        <f t="shared" si="2"/>
        <v>44501</v>
      </c>
      <c r="O21" s="174">
        <f>O17+56</f>
        <v>43247</v>
      </c>
      <c r="P21" s="175">
        <f>P17+56</f>
        <v>43632</v>
      </c>
      <c r="Q21" s="175">
        <f>Q17+56</f>
        <v>43989</v>
      </c>
      <c r="R21" s="176">
        <f>R17+56</f>
        <v>44346</v>
      </c>
      <c r="S21" s="177" t="str">
        <f ca="1">VLOOKUP(T21,'GPlan-Translations'!$B$201:$C$222,2,FALSE)</f>
        <v>Trindade</v>
      </c>
      <c r="T21" s="178" t="s">
        <v>1319</v>
      </c>
      <c r="U21" s="179">
        <v>11</v>
      </c>
      <c r="V21" s="161" t="s">
        <v>7192</v>
      </c>
      <c r="W21" s="181" t="s">
        <v>7193</v>
      </c>
      <c r="X21" s="178"/>
      <c r="Y21" s="178"/>
      <c r="Z21" s="178"/>
      <c r="AA21" s="178"/>
      <c r="AB21" s="141"/>
    </row>
    <row r="22" spans="1:28" ht="18" x14ac:dyDescent="0.25">
      <c r="B22" s="145">
        <v>2</v>
      </c>
      <c r="C22" s="145">
        <v>11</v>
      </c>
      <c r="D22" s="146">
        <f t="shared" si="3"/>
        <v>43771</v>
      </c>
      <c r="E22" s="147" t="s">
        <v>1287</v>
      </c>
      <c r="F22" s="148" t="str">
        <f ca="1">IF(D22="","",VLOOKUP(WEEKDAY(D22,2),Holidays!$AD$2:$AF$8,3,FALSE))</f>
        <v>Sábado</v>
      </c>
      <c r="G22" s="185" t="s">
        <v>1257</v>
      </c>
      <c r="H22" s="120"/>
      <c r="I22" s="648">
        <f t="shared" ca="1" si="1"/>
        <v>-11</v>
      </c>
      <c r="J22" s="265">
        <f t="shared" si="2"/>
        <v>43406</v>
      </c>
      <c r="K22" s="265">
        <f t="shared" si="2"/>
        <v>44137</v>
      </c>
      <c r="L22" s="265">
        <f t="shared" si="2"/>
        <v>44502</v>
      </c>
      <c r="O22" s="190">
        <f>O17+60</f>
        <v>43251</v>
      </c>
      <c r="P22" s="191">
        <f>P17+60</f>
        <v>43636</v>
      </c>
      <c r="Q22" s="191">
        <f>Q17+60</f>
        <v>43993</v>
      </c>
      <c r="R22" s="192">
        <f>R17+60</f>
        <v>44350</v>
      </c>
      <c r="S22" s="193" t="str">
        <f ca="1">VLOOKUP(T22,'GPlan-Translations'!$B$201:$C$222,2,FALSE)</f>
        <v>Corpus Christi</v>
      </c>
      <c r="T22" s="194" t="s">
        <v>1321</v>
      </c>
      <c r="U22" s="195">
        <v>12</v>
      </c>
      <c r="V22" s="196" t="s">
        <v>1321</v>
      </c>
      <c r="W22" s="197" t="s">
        <v>7194</v>
      </c>
      <c r="X22" s="198"/>
      <c r="Y22" s="194"/>
      <c r="Z22" s="194"/>
      <c r="AA22" s="194"/>
      <c r="AB22" s="142"/>
    </row>
    <row r="23" spans="1:28" ht="18" x14ac:dyDescent="0.25">
      <c r="B23" s="145">
        <v>15</v>
      </c>
      <c r="C23" s="145">
        <v>11</v>
      </c>
      <c r="D23" s="146">
        <f t="shared" si="3"/>
        <v>43784</v>
      </c>
      <c r="E23" s="147" t="s">
        <v>7195</v>
      </c>
      <c r="F23" s="148" t="str">
        <f ca="1">IF(D23="","",VLOOKUP(WEEKDAY(D23,2),Holidays!$AD$2:$AF$8,3,FALSE))</f>
        <v>Sexta</v>
      </c>
      <c r="G23" s="185" t="s">
        <v>1257</v>
      </c>
      <c r="H23" s="120"/>
      <c r="I23" s="648">
        <f t="shared" ca="1" si="1"/>
        <v>-11</v>
      </c>
      <c r="J23" s="265">
        <f t="shared" si="2"/>
        <v>43419</v>
      </c>
      <c r="K23" s="265">
        <f t="shared" si="2"/>
        <v>44150</v>
      </c>
      <c r="L23" s="265">
        <f t="shared" si="2"/>
        <v>44515</v>
      </c>
      <c r="O23" s="199">
        <f>DATE(O10,12,25)-(WEEKDAY(DATE(O10,12,25),1)-1)-21</f>
        <v>43436</v>
      </c>
      <c r="P23" s="200">
        <f>DATE(P10,12,25)-(WEEKDAY(DATE(P10,12,25),1)-1)-21</f>
        <v>43800</v>
      </c>
      <c r="Q23" s="200">
        <f>DATE(Q10,12,25)-(WEEKDAY(DATE(Q10,12,25),1)-1)-21</f>
        <v>44164</v>
      </c>
      <c r="R23" s="201">
        <f>DATE(R10,12,25)-(WEEKDAY(DATE(R10,12,25),1)-1)-21</f>
        <v>44528</v>
      </c>
      <c r="S23" s="202" t="str">
        <f ca="1">VLOOKUP(T23,'GPlan-Translations'!$B$201:$C$222,2,FALSE)</f>
        <v>Advento</v>
      </c>
      <c r="T23" s="203" t="s">
        <v>1288</v>
      </c>
      <c r="U23" s="204">
        <v>13</v>
      </c>
      <c r="V23" s="205" t="s">
        <v>1288</v>
      </c>
      <c r="W23" s="206" t="s">
        <v>7196</v>
      </c>
      <c r="X23" s="203"/>
      <c r="Y23" s="203"/>
      <c r="Z23" s="203"/>
      <c r="AA23" s="203"/>
      <c r="AB23" s="207"/>
    </row>
    <row r="24" spans="1:28" ht="18" x14ac:dyDescent="0.25">
      <c r="B24" s="145">
        <v>19</v>
      </c>
      <c r="C24" s="145">
        <v>11</v>
      </c>
      <c r="D24" s="146">
        <f t="shared" si="3"/>
        <v>43788</v>
      </c>
      <c r="E24" s="147" t="s">
        <v>7197</v>
      </c>
      <c r="F24" s="148" t="str">
        <f ca="1">IF(D24="","",VLOOKUP(WEEKDAY(D24,2),Holidays!$AD$2:$AF$8,3,FALSE))</f>
        <v>Terça</v>
      </c>
      <c r="G24" s="185" t="s">
        <v>1260</v>
      </c>
      <c r="H24" s="120"/>
      <c r="I24" s="648">
        <f t="shared" ca="1" si="1"/>
        <v>0.5</v>
      </c>
      <c r="J24" s="265">
        <f t="shared" si="2"/>
        <v>43423</v>
      </c>
      <c r="K24" s="265">
        <f t="shared" si="2"/>
        <v>44154</v>
      </c>
      <c r="L24" s="265">
        <f t="shared" si="2"/>
        <v>44519</v>
      </c>
    </row>
    <row r="25" spans="1:28" ht="18" x14ac:dyDescent="0.25">
      <c r="B25" s="145">
        <v>20</v>
      </c>
      <c r="C25" s="145">
        <v>11</v>
      </c>
      <c r="D25" s="146">
        <f t="shared" si="0"/>
        <v>43789</v>
      </c>
      <c r="E25" s="147" t="s">
        <v>7198</v>
      </c>
      <c r="F25" s="148" t="str">
        <f ca="1">IF(D25="","",VLOOKUP(WEEKDAY(D25,2),Holidays!$AD$2:$AF$8,3,FALSE))</f>
        <v>Quarta</v>
      </c>
      <c r="G25" s="149" t="s">
        <v>1260</v>
      </c>
      <c r="H25" s="120"/>
      <c r="I25" s="648">
        <f t="shared" ca="1" si="1"/>
        <v>0.5</v>
      </c>
      <c r="J25" s="265">
        <f t="shared" si="2"/>
        <v>43424</v>
      </c>
      <c r="K25" s="265">
        <f t="shared" si="2"/>
        <v>44155</v>
      </c>
      <c r="L25" s="265">
        <f t="shared" si="2"/>
        <v>44520</v>
      </c>
    </row>
    <row r="26" spans="1:28" ht="18" x14ac:dyDescent="0.25">
      <c r="B26" s="145">
        <v>25</v>
      </c>
      <c r="C26" s="145">
        <v>12</v>
      </c>
      <c r="D26" s="146">
        <f t="shared" si="0"/>
        <v>43824</v>
      </c>
      <c r="E26" s="147" t="s">
        <v>1291</v>
      </c>
      <c r="F26" s="148" t="str">
        <f ca="1">IF(D26="","",VLOOKUP(WEEKDAY(D26,2),Holidays!$AD$2:$AF$8,3,FALSE))</f>
        <v>Quarta</v>
      </c>
      <c r="G26" s="149" t="s">
        <v>1257</v>
      </c>
      <c r="H26" s="120"/>
      <c r="I26" s="648">
        <f t="shared" ca="1" si="1"/>
        <v>-11</v>
      </c>
      <c r="J26" s="265">
        <f t="shared" si="2"/>
        <v>43459</v>
      </c>
      <c r="K26" s="265">
        <f t="shared" si="2"/>
        <v>44190</v>
      </c>
      <c r="L26" s="265">
        <f t="shared" si="2"/>
        <v>44555</v>
      </c>
      <c r="O26" s="121">
        <f>O10</f>
        <v>2018</v>
      </c>
      <c r="P26" s="121">
        <f>P10</f>
        <v>2019</v>
      </c>
      <c r="Q26" s="121">
        <f>Q10</f>
        <v>2020</v>
      </c>
      <c r="R26" s="121">
        <f>R10</f>
        <v>2021</v>
      </c>
    </row>
    <row r="27" spans="1:28" ht="18" customHeight="1" x14ac:dyDescent="0.25">
      <c r="A27" s="120"/>
      <c r="B27" s="145"/>
      <c r="C27" s="145"/>
      <c r="D27" s="146" t="str">
        <f t="shared" si="0"/>
        <v/>
      </c>
      <c r="E27" s="147"/>
      <c r="F27" s="148" t="str">
        <f>IF(D27="","",VLOOKUP(WEEKDAY(D27,2),Holidays!$AD$2:$AF$8,3,FALSE))</f>
        <v/>
      </c>
      <c r="G27" s="149"/>
      <c r="H27" s="120"/>
      <c r="I27" s="648" t="str">
        <f t="shared" ca="1" si="1"/>
        <v/>
      </c>
      <c r="J27" s="265" t="str">
        <f t="shared" si="2"/>
        <v/>
      </c>
      <c r="K27" s="265" t="str">
        <f t="shared" si="2"/>
        <v/>
      </c>
      <c r="L27" s="265" t="str">
        <f t="shared" si="2"/>
        <v/>
      </c>
      <c r="O27" s="130">
        <f>DATE(O10,1,6)</f>
        <v>43106</v>
      </c>
      <c r="P27" s="169">
        <f>DATE(P10,1,6)</f>
        <v>43471</v>
      </c>
      <c r="Q27" s="169">
        <f>DATE(Q10,1,6)</f>
        <v>43836</v>
      </c>
      <c r="R27" s="169">
        <f>DATE(R10,1,6)</f>
        <v>44202</v>
      </c>
      <c r="S27" s="169" t="str">
        <f ca="1">TEXT(U27,"00") &amp; "-" &amp; VLOOKUP(T27,'GPlan-Translations'!$B$201:$C$222,2,FALSE)</f>
        <v>01-Epifania</v>
      </c>
      <c r="T27" s="170" t="s">
        <v>1294</v>
      </c>
      <c r="U27" s="171">
        <v>1</v>
      </c>
      <c r="V27" s="208" t="s">
        <v>1294</v>
      </c>
      <c r="W27" s="209" t="s">
        <v>7199</v>
      </c>
      <c r="X27" s="170"/>
      <c r="Y27" s="170"/>
      <c r="Z27" s="170"/>
      <c r="AA27" s="170"/>
      <c r="AB27" s="132"/>
    </row>
    <row r="28" spans="1:28" ht="18" customHeight="1" x14ac:dyDescent="0.25">
      <c r="A28" s="120"/>
      <c r="B28" s="135" t="str">
        <f ca="1">'GPlan-Translations'!C177</f>
        <v>MÓVEIS COM A PÁSCOA</v>
      </c>
      <c r="C28" s="136"/>
      <c r="D28" s="136"/>
      <c r="E28" s="136"/>
      <c r="F28" s="136"/>
      <c r="G28" s="210"/>
      <c r="H28" s="120"/>
      <c r="I28" s="648" t="str">
        <f t="shared" ca="1" si="1"/>
        <v/>
      </c>
      <c r="J28" s="265"/>
      <c r="K28" s="265"/>
      <c r="L28" s="265"/>
      <c r="O28" s="139">
        <f>DATE(O10-1,12,25)+39</f>
        <v>43133</v>
      </c>
      <c r="P28" s="177">
        <f>DATE(P10-1,12,25)+39</f>
        <v>43498</v>
      </c>
      <c r="Q28" s="177">
        <f>DATE(Q10-1,12,25)+39</f>
        <v>43863</v>
      </c>
      <c r="R28" s="177">
        <f>DATE(R10-1,12,25)+39</f>
        <v>44229</v>
      </c>
      <c r="S28" s="177" t="str">
        <f ca="1">TEXT(U28,"00") &amp; "-" &amp; VLOOKUP(T28,'GPlan-Translations'!$B$201:$C$222,2,FALSE)</f>
        <v>02-Candelária</v>
      </c>
      <c r="T28" s="162" t="s">
        <v>1296</v>
      </c>
      <c r="U28" s="179">
        <v>2</v>
      </c>
      <c r="V28" s="183" t="s">
        <v>1296</v>
      </c>
      <c r="W28" s="184" t="s">
        <v>7200</v>
      </c>
      <c r="X28" s="178"/>
      <c r="Y28" s="178"/>
      <c r="Z28" s="178"/>
      <c r="AA28" s="178"/>
      <c r="AB28" s="141"/>
    </row>
    <row r="29" spans="1:28" ht="18" customHeight="1" x14ac:dyDescent="0.25">
      <c r="A29" s="120"/>
      <c r="B29" s="211">
        <f t="shared" ref="B29:B41" ca="1" si="4">IF($D29="","",DAY($D29))</f>
        <v>5</v>
      </c>
      <c r="C29" s="211">
        <f t="shared" ref="C29:C41" ca="1" si="5">IF($D29="","",MONTH($D29))</f>
        <v>3</v>
      </c>
      <c r="D29" s="146">
        <f t="shared" ref="D29:D41" ca="1" si="6">IFERROR(INDEX($O$11:$R$23,MATCH(E29,$S$11:$S$23,0),MATCH($G$1,$O$10:$R$10,0)),"")</f>
        <v>43529</v>
      </c>
      <c r="E29" s="212" t="s">
        <v>1302</v>
      </c>
      <c r="F29" s="212" t="str">
        <f ca="1">IF(D29="","",VLOOKUP(WEEKDAY(D29,2),Holidays!$AD$2:$AF$8,3,FALSE))</f>
        <v>Terça</v>
      </c>
      <c r="G29" s="149" t="s">
        <v>1257</v>
      </c>
      <c r="H29" s="121"/>
      <c r="I29" s="648">
        <f t="shared" ca="1" si="1"/>
        <v>-11</v>
      </c>
      <c r="J29" s="265">
        <f t="shared" ref="J29:L41" ca="1" si="7">IFERROR(INDEX($O$11:$R$23,MATCH($E29,$S$11:$S$23,0),MATCH(J$1,$O$10:$R$10,0)),"")</f>
        <v>43144</v>
      </c>
      <c r="K29" s="265">
        <f t="shared" ca="1" si="7"/>
        <v>43886</v>
      </c>
      <c r="L29" s="265">
        <f t="shared" ca="1" si="7"/>
        <v>44243</v>
      </c>
      <c r="M29" s="308">
        <f t="shared" ref="M29:M41" ca="1" si="8">IFERROR(MATCH(E29,$S$11:$S$23,0),"")</f>
        <v>1</v>
      </c>
      <c r="O29" s="139">
        <f>DATE(O10,8,15)</f>
        <v>43327</v>
      </c>
      <c r="P29" s="177">
        <f>DATE(P10,8,15)</f>
        <v>43692</v>
      </c>
      <c r="Q29" s="177">
        <f>DATE(Q10,8,15)</f>
        <v>44058</v>
      </c>
      <c r="R29" s="177">
        <f>DATE(R10,8,15)</f>
        <v>44423</v>
      </c>
      <c r="S29" s="177" t="str">
        <f ca="1">TEXT(U29,"00") &amp; "-" &amp; VLOOKUP(T29,'GPlan-Translations'!$B$201:$C$222,2,FALSE)</f>
        <v>03-Ascensão de Maria</v>
      </c>
      <c r="T29" s="178" t="s">
        <v>1322</v>
      </c>
      <c r="U29" s="179">
        <v>3</v>
      </c>
      <c r="V29" s="183" t="s">
        <v>1322</v>
      </c>
      <c r="W29" s="184" t="s">
        <v>7201</v>
      </c>
      <c r="X29" s="188"/>
      <c r="Y29" s="178"/>
      <c r="Z29" s="178"/>
      <c r="AA29" s="178"/>
      <c r="AB29" s="141"/>
    </row>
    <row r="30" spans="1:28" ht="18" customHeight="1" x14ac:dyDescent="0.25">
      <c r="A30" s="120"/>
      <c r="B30" s="211">
        <f t="shared" ca="1" si="4"/>
        <v>6</v>
      </c>
      <c r="C30" s="211">
        <f t="shared" ca="1" si="5"/>
        <v>3</v>
      </c>
      <c r="D30" s="146">
        <f t="shared" ca="1" si="6"/>
        <v>43530</v>
      </c>
      <c r="E30" s="212" t="s">
        <v>1304</v>
      </c>
      <c r="F30" s="212" t="str">
        <f ca="1">IF(D30="","",VLOOKUP(WEEKDAY(D30,2),Holidays!$AD$2:$AF$8,3,FALSE))</f>
        <v>Quarta</v>
      </c>
      <c r="G30" s="149" t="s">
        <v>1260</v>
      </c>
      <c r="H30" s="120"/>
      <c r="I30" s="648">
        <f t="shared" ca="1" si="1"/>
        <v>0.5</v>
      </c>
      <c r="J30" s="265">
        <f t="shared" ca="1" si="7"/>
        <v>43145</v>
      </c>
      <c r="K30" s="265">
        <f t="shared" ca="1" si="7"/>
        <v>43887</v>
      </c>
      <c r="L30" s="265">
        <f t="shared" ca="1" si="7"/>
        <v>44244</v>
      </c>
      <c r="M30" s="309">
        <f t="shared" ca="1" si="8"/>
        <v>2</v>
      </c>
      <c r="O30" s="139">
        <f>DATE(O10,10,31)</f>
        <v>43404</v>
      </c>
      <c r="P30" s="177">
        <f>DATE(P10,10,31)</f>
        <v>43769</v>
      </c>
      <c r="Q30" s="177">
        <f>DATE(Q10,10,31)</f>
        <v>44135</v>
      </c>
      <c r="R30" s="177">
        <f>DATE(R10,10,31)</f>
        <v>44500</v>
      </c>
      <c r="S30" s="177" t="str">
        <f ca="1">TEXT(U30,"00") &amp; "-" &amp; VLOOKUP(T30,'GPlan-Translations'!$B$201:$C$222,2,FALSE)</f>
        <v>04-Halloween</v>
      </c>
      <c r="T30" s="178" t="s">
        <v>1283</v>
      </c>
      <c r="U30" s="179">
        <v>4</v>
      </c>
      <c r="V30" s="5" t="s">
        <v>1283</v>
      </c>
      <c r="W30" s="181" t="s">
        <v>7202</v>
      </c>
      <c r="X30" s="178"/>
      <c r="Y30" s="178"/>
      <c r="Z30" s="178"/>
      <c r="AA30" s="178"/>
      <c r="AB30" s="141"/>
    </row>
    <row r="31" spans="1:28" ht="15.75" x14ac:dyDescent="0.25">
      <c r="A31" s="120"/>
      <c r="B31" s="211">
        <f t="shared" ca="1" si="4"/>
        <v>14</v>
      </c>
      <c r="C31" s="211">
        <f t="shared" ca="1" si="5"/>
        <v>4</v>
      </c>
      <c r="D31" s="146">
        <f t="shared" ca="1" si="6"/>
        <v>43569</v>
      </c>
      <c r="E31" s="212" t="s">
        <v>1300</v>
      </c>
      <c r="F31" s="212" t="str">
        <f ca="1">IF(D31="","",VLOOKUP(WEEKDAY(D31,2),Holidays!$AD$2:$AF$8,3,FALSE))</f>
        <v>Domingo</v>
      </c>
      <c r="G31" s="149" t="s">
        <v>1260</v>
      </c>
      <c r="H31" s="213"/>
      <c r="I31" s="648">
        <f t="shared" ca="1" si="1"/>
        <v>0.5</v>
      </c>
      <c r="J31" s="265">
        <f t="shared" ca="1" si="7"/>
        <v>43184</v>
      </c>
      <c r="K31" s="265">
        <f t="shared" ca="1" si="7"/>
        <v>43926</v>
      </c>
      <c r="L31" s="265">
        <f t="shared" ca="1" si="7"/>
        <v>44283</v>
      </c>
      <c r="M31" s="309">
        <f t="shared" ca="1" si="8"/>
        <v>3</v>
      </c>
      <c r="O31" s="139">
        <f>DATE(O10,11,1)</f>
        <v>43405</v>
      </c>
      <c r="P31" s="177">
        <f>DATE(P10,11,1)</f>
        <v>43770</v>
      </c>
      <c r="Q31" s="177">
        <f>DATE(Q10,11,1)</f>
        <v>44136</v>
      </c>
      <c r="R31" s="177">
        <f>DATE(R10,11,1)</f>
        <v>44501</v>
      </c>
      <c r="S31" s="177" t="str">
        <f ca="1">TEXT(U31,"00") &amp; "-" &amp; VLOOKUP(T31,'GPlan-Translations'!$B$201:$C$222,2,FALSE)</f>
        <v>05-Todos os Santos</v>
      </c>
      <c r="T31" s="178" t="s">
        <v>1284</v>
      </c>
      <c r="U31" s="179">
        <v>5</v>
      </c>
      <c r="V31" s="183" t="s">
        <v>1284</v>
      </c>
      <c r="W31" s="181" t="s">
        <v>7203</v>
      </c>
      <c r="X31" s="178"/>
      <c r="Y31" s="178"/>
      <c r="Z31" s="178"/>
      <c r="AA31" s="178"/>
      <c r="AB31" s="141"/>
    </row>
    <row r="32" spans="1:28" ht="18" customHeight="1" x14ac:dyDescent="0.25">
      <c r="A32" s="120"/>
      <c r="B32" s="211">
        <f t="shared" ca="1" si="4"/>
        <v>19</v>
      </c>
      <c r="C32" s="211">
        <f t="shared" ca="1" si="5"/>
        <v>4</v>
      </c>
      <c r="D32" s="146">
        <f t="shared" ca="1" si="6"/>
        <v>43574</v>
      </c>
      <c r="E32" s="212" t="s">
        <v>1308</v>
      </c>
      <c r="F32" s="212" t="str">
        <f ca="1">IF(D32="","",VLOOKUP(WEEKDAY(D32,2),Holidays!$AD$2:$AF$8,3,FALSE))</f>
        <v>Sexta</v>
      </c>
      <c r="G32" s="149" t="s">
        <v>1257</v>
      </c>
      <c r="H32" s="213"/>
      <c r="I32" s="648">
        <f t="shared" ca="1" si="1"/>
        <v>-11</v>
      </c>
      <c r="J32" s="265">
        <f t="shared" ca="1" si="7"/>
        <v>43189</v>
      </c>
      <c r="K32" s="265">
        <f t="shared" ca="1" si="7"/>
        <v>43931</v>
      </c>
      <c r="L32" s="265">
        <f t="shared" ca="1" si="7"/>
        <v>44288</v>
      </c>
      <c r="M32" s="309">
        <f t="shared" ca="1" si="8"/>
        <v>5</v>
      </c>
      <c r="O32" s="139">
        <f>DATE(O10,11,2)</f>
        <v>43406</v>
      </c>
      <c r="P32" s="177">
        <f>DATE(P10,11,2)</f>
        <v>43771</v>
      </c>
      <c r="Q32" s="177">
        <f>DATE(Q10,11,2)</f>
        <v>44137</v>
      </c>
      <c r="R32" s="177">
        <f>DATE(R10,11,2)</f>
        <v>44502</v>
      </c>
      <c r="S32" s="177" t="str">
        <f ca="1">TEXT(U32,"00") &amp; "-" &amp; VLOOKUP(T32,'GPlan-Translations'!$B$201:$C$222,2,FALSE)</f>
        <v>06-Finados</v>
      </c>
      <c r="T32" s="178" t="s">
        <v>1286</v>
      </c>
      <c r="U32" s="179">
        <v>6</v>
      </c>
      <c r="V32" s="183" t="s">
        <v>1286</v>
      </c>
      <c r="W32" s="181" t="s">
        <v>7204</v>
      </c>
      <c r="X32" s="178"/>
      <c r="Y32" s="178"/>
      <c r="Z32" s="178"/>
      <c r="AA32" s="178"/>
      <c r="AB32" s="141"/>
    </row>
    <row r="33" spans="1:28" ht="18" customHeight="1" x14ac:dyDescent="0.25">
      <c r="A33" s="120"/>
      <c r="B33" s="211">
        <f t="shared" ca="1" si="4"/>
        <v>20</v>
      </c>
      <c r="C33" s="211">
        <f t="shared" ca="1" si="5"/>
        <v>4</v>
      </c>
      <c r="D33" s="146">
        <f t="shared" ca="1" si="6"/>
        <v>43575</v>
      </c>
      <c r="E33" s="212" t="s">
        <v>1310</v>
      </c>
      <c r="F33" s="212" t="str">
        <f ca="1">IF(D33="","",VLOOKUP(WEEKDAY(D33,2),Holidays!$AD$2:$AF$8,3,FALSE))</f>
        <v>Sábado</v>
      </c>
      <c r="G33" s="149" t="s">
        <v>1260</v>
      </c>
      <c r="H33" s="213"/>
      <c r="I33" s="648">
        <f t="shared" ca="1" si="1"/>
        <v>0.5</v>
      </c>
      <c r="J33" s="265">
        <f t="shared" ca="1" si="7"/>
        <v>43190</v>
      </c>
      <c r="K33" s="265">
        <f t="shared" ca="1" si="7"/>
        <v>43932</v>
      </c>
      <c r="L33" s="265">
        <f t="shared" ca="1" si="7"/>
        <v>44289</v>
      </c>
      <c r="M33" s="309">
        <f t="shared" ca="1" si="8"/>
        <v>6</v>
      </c>
      <c r="O33" s="139">
        <f>DATE(O10,12,25)</f>
        <v>43459</v>
      </c>
      <c r="P33" s="177">
        <f>DATE(P10,12,25)</f>
        <v>43824</v>
      </c>
      <c r="Q33" s="177">
        <f>DATE(Q10,12,25)</f>
        <v>44190</v>
      </c>
      <c r="R33" s="177">
        <f>DATE(R10,12,25)</f>
        <v>44555</v>
      </c>
      <c r="S33" s="177" t="str">
        <f ca="1">TEXT(U33,"00") &amp; "-" &amp; VLOOKUP(T33,'GPlan-Translations'!$B$201:$C$222,2,FALSE)</f>
        <v>07-Natal</v>
      </c>
      <c r="T33" s="178" t="s">
        <v>1290</v>
      </c>
      <c r="U33" s="179">
        <v>7</v>
      </c>
      <c r="V33" s="183" t="s">
        <v>1290</v>
      </c>
      <c r="W33" s="181" t="s">
        <v>7205</v>
      </c>
      <c r="X33" s="184" t="s">
        <v>7206</v>
      </c>
      <c r="Y33" s="178"/>
      <c r="Z33" s="178"/>
      <c r="AA33" s="178"/>
      <c r="AB33" s="141"/>
    </row>
    <row r="34" spans="1:28" ht="18" customHeight="1" x14ac:dyDescent="0.25">
      <c r="A34" s="120"/>
      <c r="B34" s="211">
        <f t="shared" ca="1" si="4"/>
        <v>21</v>
      </c>
      <c r="C34" s="211">
        <f t="shared" ca="1" si="5"/>
        <v>4</v>
      </c>
      <c r="D34" s="146">
        <f t="shared" ca="1" si="6"/>
        <v>43576</v>
      </c>
      <c r="E34" s="212" t="s">
        <v>1312</v>
      </c>
      <c r="F34" s="212" t="str">
        <f ca="1">IF(D34="","",VLOOKUP(WEEKDAY(D34,2),Holidays!$AD$2:$AF$8,3,FALSE))</f>
        <v>Domingo</v>
      </c>
      <c r="G34" s="149" t="s">
        <v>1257</v>
      </c>
      <c r="H34" s="213"/>
      <c r="I34" s="648">
        <f t="shared" ca="1" si="1"/>
        <v>-11</v>
      </c>
      <c r="J34" s="265">
        <f t="shared" ca="1" si="7"/>
        <v>43191</v>
      </c>
      <c r="K34" s="265">
        <f t="shared" ca="1" si="7"/>
        <v>43933</v>
      </c>
      <c r="L34" s="265">
        <f t="shared" ca="1" si="7"/>
        <v>44290</v>
      </c>
      <c r="M34" s="309">
        <f t="shared" ca="1" si="8"/>
        <v>7</v>
      </c>
      <c r="O34" s="139">
        <f>DATE(O10,12,28)</f>
        <v>43462</v>
      </c>
      <c r="P34" s="177">
        <f>DATE(P10,12,28)</f>
        <v>43827</v>
      </c>
      <c r="Q34" s="177">
        <f>DATE(Q10,12,28)</f>
        <v>44193</v>
      </c>
      <c r="R34" s="177">
        <f>DATE(R10,12,28)</f>
        <v>44558</v>
      </c>
      <c r="S34" s="177" t="str">
        <f ca="1">TEXT(U34,"00") &amp; "-" &amp; VLOOKUP(T34,'GPlan-Translations'!$B$201:$C$222,2,FALSE)</f>
        <v>08-Santos Inocentes</v>
      </c>
      <c r="T34" s="178" t="s">
        <v>1292</v>
      </c>
      <c r="U34" s="179">
        <v>8</v>
      </c>
      <c r="V34" s="183" t="s">
        <v>1292</v>
      </c>
      <c r="W34" s="184" t="s">
        <v>7207</v>
      </c>
      <c r="X34" s="178"/>
      <c r="Y34" s="178"/>
      <c r="Z34" s="178"/>
      <c r="AA34" s="178"/>
      <c r="AB34" s="141"/>
    </row>
    <row r="35" spans="1:28" ht="18" customHeight="1" x14ac:dyDescent="0.25">
      <c r="A35" s="120"/>
      <c r="B35" s="211">
        <f t="shared" ca="1" si="4"/>
        <v>20</v>
      </c>
      <c r="C35" s="211">
        <f t="shared" ca="1" si="5"/>
        <v>6</v>
      </c>
      <c r="D35" s="146">
        <f t="shared" ca="1" si="6"/>
        <v>43636</v>
      </c>
      <c r="E35" s="212" t="s">
        <v>1321</v>
      </c>
      <c r="F35" s="212" t="str">
        <f ca="1">IF(D35="","",VLOOKUP(WEEKDAY(D35,2),Holidays!$AD$2:$AF$8,3,FALSE))</f>
        <v>Quinta</v>
      </c>
      <c r="G35" s="149" t="s">
        <v>1257</v>
      </c>
      <c r="H35" s="213"/>
      <c r="I35" s="648">
        <f t="shared" ca="1" si="1"/>
        <v>-11</v>
      </c>
      <c r="J35" s="265">
        <f t="shared" ca="1" si="7"/>
        <v>43251</v>
      </c>
      <c r="K35" s="265">
        <f t="shared" ca="1" si="7"/>
        <v>43993</v>
      </c>
      <c r="L35" s="265">
        <f t="shared" ca="1" si="7"/>
        <v>44350</v>
      </c>
      <c r="M35" s="309">
        <f t="shared" ca="1" si="8"/>
        <v>12</v>
      </c>
      <c r="O35" s="156">
        <f>DATE(O10,12,31)</f>
        <v>43465</v>
      </c>
      <c r="P35" s="193">
        <f>DATE(P10,12,31)</f>
        <v>43830</v>
      </c>
      <c r="Q35" s="193">
        <f>DATE(Q10,12,31)</f>
        <v>44196</v>
      </c>
      <c r="R35" s="193">
        <f>DATE(R10,12,31)</f>
        <v>44561</v>
      </c>
      <c r="S35" s="193" t="str">
        <f ca="1">TEXT(U35,"00") &amp; "-" &amp; VLOOKUP(T35,'GPlan-Translations'!$B$201:$C$222,2,FALSE)</f>
        <v>09-Réveillon</v>
      </c>
      <c r="T35" s="194" t="s">
        <v>1324</v>
      </c>
      <c r="U35" s="195">
        <v>9</v>
      </c>
      <c r="V35" s="214" t="s">
        <v>1324</v>
      </c>
      <c r="W35" s="197" t="s">
        <v>7208</v>
      </c>
      <c r="X35" s="194"/>
      <c r="Y35" s="194"/>
      <c r="Z35" s="194"/>
      <c r="AA35" s="194"/>
      <c r="AB35" s="142"/>
    </row>
    <row r="36" spans="1:28" ht="18" customHeight="1" x14ac:dyDescent="0.25">
      <c r="A36" s="120"/>
      <c r="B36" s="211" t="str">
        <f t="shared" ca="1" si="4"/>
        <v/>
      </c>
      <c r="C36" s="211" t="str">
        <f t="shared" ca="1" si="5"/>
        <v/>
      </c>
      <c r="D36" s="146" t="str">
        <f t="shared" ca="1" si="6"/>
        <v/>
      </c>
      <c r="E36" s="212"/>
      <c r="F36" s="212" t="str">
        <f ca="1">IF(D36="","",VLOOKUP(WEEKDAY(D36,2),Holidays!$AD$2:$AF$8,3,FALSE))</f>
        <v/>
      </c>
      <c r="G36" s="149"/>
      <c r="H36" s="213"/>
      <c r="I36" s="648" t="str">
        <f t="shared" ref="I36:I53" ca="1" si="9">IFERROR(INDEX($AA$2:$AA$3,MATCH(G36,$Z$2:$Z$3,0)),"")</f>
        <v/>
      </c>
      <c r="J36" s="265" t="str">
        <f t="shared" ca="1" si="7"/>
        <v/>
      </c>
      <c r="K36" s="265" t="str">
        <f t="shared" ca="1" si="7"/>
        <v/>
      </c>
      <c r="L36" s="265" t="str">
        <f t="shared" ca="1" si="7"/>
        <v/>
      </c>
      <c r="M36" s="309" t="str">
        <f t="shared" ca="1" si="8"/>
        <v/>
      </c>
    </row>
    <row r="37" spans="1:28" ht="18" customHeight="1" x14ac:dyDescent="0.25">
      <c r="A37" s="120"/>
      <c r="B37" s="211" t="str">
        <f t="shared" ca="1" si="4"/>
        <v/>
      </c>
      <c r="C37" s="211" t="str">
        <f t="shared" ca="1" si="5"/>
        <v/>
      </c>
      <c r="D37" s="146" t="str">
        <f t="shared" ca="1" si="6"/>
        <v/>
      </c>
      <c r="E37" s="212"/>
      <c r="F37" s="212" t="str">
        <f ca="1">IF(D37="","",VLOOKUP(WEEKDAY(D37,2),Holidays!$AD$2:$AF$8,3,FALSE))</f>
        <v/>
      </c>
      <c r="G37" s="149"/>
      <c r="H37" s="213"/>
      <c r="I37" s="648" t="str">
        <f t="shared" ca="1" si="9"/>
        <v/>
      </c>
      <c r="J37" s="265" t="str">
        <f t="shared" ca="1" si="7"/>
        <v/>
      </c>
      <c r="K37" s="265" t="str">
        <f t="shared" ca="1" si="7"/>
        <v/>
      </c>
      <c r="L37" s="265" t="str">
        <f t="shared" ca="1" si="7"/>
        <v/>
      </c>
      <c r="M37" s="309" t="str">
        <f t="shared" ca="1" si="8"/>
        <v/>
      </c>
    </row>
    <row r="38" spans="1:28" ht="18" customHeight="1" x14ac:dyDescent="0.25">
      <c r="A38" s="120"/>
      <c r="B38" s="211" t="str">
        <f t="shared" ca="1" si="4"/>
        <v/>
      </c>
      <c r="C38" s="211" t="str">
        <f t="shared" ca="1" si="5"/>
        <v/>
      </c>
      <c r="D38" s="146" t="str">
        <f t="shared" ca="1" si="6"/>
        <v/>
      </c>
      <c r="E38" s="212"/>
      <c r="F38" s="212" t="str">
        <f ca="1">IF(D38="","",VLOOKUP(WEEKDAY(D38,2),Holidays!$AD$2:$AF$8,3,FALSE))</f>
        <v/>
      </c>
      <c r="G38" s="149"/>
      <c r="H38" s="213"/>
      <c r="I38" s="648" t="str">
        <f t="shared" ca="1" si="9"/>
        <v/>
      </c>
      <c r="J38" s="265" t="str">
        <f t="shared" ca="1" si="7"/>
        <v/>
      </c>
      <c r="K38" s="265" t="str">
        <f t="shared" ca="1" si="7"/>
        <v/>
      </c>
      <c r="L38" s="265" t="str">
        <f t="shared" ca="1" si="7"/>
        <v/>
      </c>
      <c r="M38" s="309" t="str">
        <f t="shared" ca="1" si="8"/>
        <v/>
      </c>
    </row>
    <row r="39" spans="1:28" ht="18" customHeight="1" x14ac:dyDescent="0.25">
      <c r="A39" s="120"/>
      <c r="B39" s="211" t="str">
        <f t="shared" ca="1" si="4"/>
        <v/>
      </c>
      <c r="C39" s="211" t="str">
        <f t="shared" ca="1" si="5"/>
        <v/>
      </c>
      <c r="D39" s="146" t="str">
        <f t="shared" ca="1" si="6"/>
        <v/>
      </c>
      <c r="E39" s="212"/>
      <c r="F39" s="212" t="str">
        <f ca="1">IF(D39="","",VLOOKUP(WEEKDAY(D39,2),Holidays!$AD$2:$AF$8,3,FALSE))</f>
        <v/>
      </c>
      <c r="G39" s="149"/>
      <c r="H39" s="213"/>
      <c r="I39" s="648" t="str">
        <f t="shared" ca="1" si="9"/>
        <v/>
      </c>
      <c r="J39" s="265" t="str">
        <f t="shared" ca="1" si="7"/>
        <v/>
      </c>
      <c r="K39" s="265" t="str">
        <f t="shared" ca="1" si="7"/>
        <v/>
      </c>
      <c r="L39" s="265" t="str">
        <f t="shared" ca="1" si="7"/>
        <v/>
      </c>
      <c r="M39" s="309" t="str">
        <f t="shared" ca="1" si="8"/>
        <v/>
      </c>
    </row>
    <row r="40" spans="1:28" ht="18" customHeight="1" x14ac:dyDescent="0.25">
      <c r="A40" s="120"/>
      <c r="B40" s="211" t="str">
        <f t="shared" ca="1" si="4"/>
        <v/>
      </c>
      <c r="C40" s="211" t="str">
        <f t="shared" ca="1" si="5"/>
        <v/>
      </c>
      <c r="D40" s="146" t="str">
        <f t="shared" ca="1" si="6"/>
        <v/>
      </c>
      <c r="E40" s="212"/>
      <c r="F40" s="212" t="str">
        <f ca="1">IF(D40="","",VLOOKUP(WEEKDAY(D40,2),Holidays!$AD$2:$AF$8,3,FALSE))</f>
        <v/>
      </c>
      <c r="G40" s="149"/>
      <c r="H40" s="213"/>
      <c r="I40" s="648" t="str">
        <f t="shared" ca="1" si="9"/>
        <v/>
      </c>
      <c r="J40" s="265" t="str">
        <f t="shared" ca="1" si="7"/>
        <v/>
      </c>
      <c r="K40" s="265" t="str">
        <f t="shared" ca="1" si="7"/>
        <v/>
      </c>
      <c r="L40" s="265" t="str">
        <f t="shared" ca="1" si="7"/>
        <v/>
      </c>
      <c r="M40" s="309" t="str">
        <f t="shared" ca="1" si="8"/>
        <v/>
      </c>
    </row>
    <row r="41" spans="1:28" ht="18" customHeight="1" x14ac:dyDescent="0.25">
      <c r="A41" s="120"/>
      <c r="B41" s="211" t="str">
        <f t="shared" ca="1" si="4"/>
        <v/>
      </c>
      <c r="C41" s="211" t="str">
        <f t="shared" ca="1" si="5"/>
        <v/>
      </c>
      <c r="D41" s="146" t="str">
        <f t="shared" ca="1" si="6"/>
        <v/>
      </c>
      <c r="E41" s="212"/>
      <c r="F41" s="212" t="str">
        <f ca="1">IF(D41="","",VLOOKUP(WEEKDAY(D41,2),Holidays!$AD$2:$AF$8,3,FALSE))</f>
        <v/>
      </c>
      <c r="G41" s="149"/>
      <c r="H41" s="213"/>
      <c r="I41" s="648" t="str">
        <f t="shared" ca="1" si="9"/>
        <v/>
      </c>
      <c r="J41" s="265" t="str">
        <f t="shared" ca="1" si="7"/>
        <v/>
      </c>
      <c r="K41" s="265" t="str">
        <f t="shared" ca="1" si="7"/>
        <v/>
      </c>
      <c r="L41" s="265" t="str">
        <f t="shared" ca="1" si="7"/>
        <v/>
      </c>
      <c r="M41" s="310" t="str">
        <f t="shared" ca="1" si="8"/>
        <v/>
      </c>
    </row>
    <row r="42" spans="1:28" ht="18" customHeight="1" x14ac:dyDescent="0.25">
      <c r="A42" s="120"/>
      <c r="B42" s="135" t="str">
        <f ca="1">'GPlan-Translations'!C178</f>
        <v>MÓVEIS - CERTO DIA DA SEMANA DE CERTO MÊS</v>
      </c>
      <c r="C42" s="136"/>
      <c r="D42" s="136"/>
      <c r="E42" s="136"/>
      <c r="F42" s="136"/>
      <c r="G42" s="210"/>
      <c r="H42" s="213"/>
      <c r="I42" s="648" t="str">
        <f t="shared" ca="1" si="9"/>
        <v/>
      </c>
      <c r="J42" s="709" t="s">
        <v>8226</v>
      </c>
      <c r="K42" s="265"/>
      <c r="L42" s="265"/>
    </row>
    <row r="43" spans="1:28" ht="18" customHeight="1" x14ac:dyDescent="0.25">
      <c r="A43" s="120"/>
      <c r="B43" s="145">
        <v>2</v>
      </c>
      <c r="C43" s="145">
        <v>5</v>
      </c>
      <c r="D43" s="146">
        <f t="shared" ref="D43:D48" si="10">IF(OR(ISBLANK(B43),ISBLANK(C43)),"",DATE(G$1,$C43,1+7*$B43)-WEEKDAY(DATE(G$1,$C43,9-$B43)))</f>
        <v>43597</v>
      </c>
      <c r="E43" s="147" t="s">
        <v>7209</v>
      </c>
      <c r="F43" s="147" t="s">
        <v>680</v>
      </c>
      <c r="G43" s="185" t="s">
        <v>1260</v>
      </c>
      <c r="H43" s="213"/>
      <c r="I43" s="648">
        <f t="shared" ca="1" si="9"/>
        <v>0.5</v>
      </c>
      <c r="J43" s="265">
        <f>IF($D43="","",DATE(J$1,$C43,1+7*$B43)-WEEKDAY(DATE(J$1,$C43,9-$B43)))</f>
        <v>43233</v>
      </c>
      <c r="K43" s="265">
        <f>IF($D43="","",DATE(K$1,$C43,1+7*$B43)-WEEKDAY(DATE(K$1,$C43,9-$B43)))</f>
        <v>43961</v>
      </c>
      <c r="L43" s="265">
        <f>IF($D43="","",DATE(L$1,$C43,1+7*$B43)-WEEKDAY(DATE(L$1,$C43,9-$B43)))</f>
        <v>44325</v>
      </c>
    </row>
    <row r="44" spans="1:28" ht="18" customHeight="1" x14ac:dyDescent="0.25">
      <c r="A44" s="120"/>
      <c r="B44" s="145">
        <v>2</v>
      </c>
      <c r="C44" s="145">
        <v>8</v>
      </c>
      <c r="D44" s="146">
        <f t="shared" si="10"/>
        <v>43688</v>
      </c>
      <c r="E44" s="147" t="s">
        <v>7210</v>
      </c>
      <c r="F44" s="147" t="s">
        <v>680</v>
      </c>
      <c r="G44" s="185" t="s">
        <v>1260</v>
      </c>
      <c r="H44" s="213"/>
      <c r="I44" s="648">
        <f t="shared" ca="1" si="9"/>
        <v>0.5</v>
      </c>
      <c r="J44" s="265">
        <f t="shared" ref="J44:L48" si="11">IF($D44="","",DATE(J$1,$C44,1+7*$B44)-WEEKDAY(DATE(J$1,$C44,9-$B44)))</f>
        <v>43324</v>
      </c>
      <c r="K44" s="265">
        <f t="shared" si="11"/>
        <v>44052</v>
      </c>
      <c r="L44" s="265">
        <f t="shared" si="11"/>
        <v>44416</v>
      </c>
    </row>
    <row r="45" spans="1:28" ht="18" customHeight="1" x14ac:dyDescent="0.25">
      <c r="A45" s="120"/>
      <c r="B45" s="211"/>
      <c r="C45" s="211"/>
      <c r="D45" s="146" t="str">
        <f t="shared" si="10"/>
        <v/>
      </c>
      <c r="E45" s="147"/>
      <c r="F45" s="147"/>
      <c r="G45" s="185"/>
      <c r="H45" s="120"/>
      <c r="I45" s="648" t="str">
        <f t="shared" ca="1" si="9"/>
        <v/>
      </c>
      <c r="J45" s="265" t="str">
        <f t="shared" si="11"/>
        <v/>
      </c>
      <c r="K45" s="265" t="str">
        <f t="shared" si="11"/>
        <v/>
      </c>
      <c r="L45" s="265" t="str">
        <f t="shared" si="11"/>
        <v/>
      </c>
    </row>
    <row r="46" spans="1:28" ht="18" customHeight="1" x14ac:dyDescent="0.25">
      <c r="A46" s="120"/>
      <c r="B46" s="211"/>
      <c r="C46" s="211"/>
      <c r="D46" s="146" t="str">
        <f t="shared" si="10"/>
        <v/>
      </c>
      <c r="E46" s="147"/>
      <c r="F46" s="147"/>
      <c r="G46" s="185"/>
      <c r="H46" s="120"/>
      <c r="I46" s="648" t="str">
        <f t="shared" ca="1" si="9"/>
        <v/>
      </c>
      <c r="J46" s="265" t="str">
        <f t="shared" si="11"/>
        <v/>
      </c>
      <c r="K46" s="265" t="str">
        <f t="shared" si="11"/>
        <v/>
      </c>
      <c r="L46" s="265" t="str">
        <f t="shared" si="11"/>
        <v/>
      </c>
    </row>
    <row r="47" spans="1:28" ht="18" customHeight="1" x14ac:dyDescent="0.25">
      <c r="A47" s="120"/>
      <c r="B47" s="145"/>
      <c r="C47" s="145"/>
      <c r="D47" s="146" t="str">
        <f t="shared" si="10"/>
        <v/>
      </c>
      <c r="E47" s="147"/>
      <c r="F47" s="147"/>
      <c r="G47" s="185"/>
      <c r="H47" s="120"/>
      <c r="I47" s="648" t="str">
        <f t="shared" ca="1" si="9"/>
        <v/>
      </c>
      <c r="J47" s="265" t="str">
        <f t="shared" si="11"/>
        <v/>
      </c>
      <c r="K47" s="265" t="str">
        <f t="shared" si="11"/>
        <v/>
      </c>
      <c r="L47" s="265" t="str">
        <f t="shared" si="11"/>
        <v/>
      </c>
    </row>
    <row r="48" spans="1:28" ht="18" customHeight="1" x14ac:dyDescent="0.25">
      <c r="A48" s="120"/>
      <c r="B48" s="145"/>
      <c r="C48" s="145"/>
      <c r="D48" s="146" t="str">
        <f t="shared" si="10"/>
        <v/>
      </c>
      <c r="E48" s="147"/>
      <c r="F48" s="147"/>
      <c r="G48" s="185"/>
      <c r="H48" s="120"/>
      <c r="I48" s="648" t="str">
        <f t="shared" ca="1" si="9"/>
        <v/>
      </c>
      <c r="J48" s="265" t="str">
        <f t="shared" si="11"/>
        <v/>
      </c>
      <c r="K48" s="265" t="str">
        <f t="shared" si="11"/>
        <v/>
      </c>
      <c r="L48" s="265" t="str">
        <f t="shared" si="11"/>
        <v/>
      </c>
    </row>
    <row r="49" spans="2:12" ht="18" x14ac:dyDescent="0.25">
      <c r="B49" s="135" t="str">
        <f ca="1">'GPlan-Translations'!C179</f>
        <v>ESTAÇÕES DO ANO</v>
      </c>
      <c r="C49" s="136"/>
      <c r="D49" s="136"/>
      <c r="E49" s="136"/>
      <c r="F49" s="136"/>
      <c r="G49" s="210"/>
      <c r="H49" s="120"/>
      <c r="I49" s="648" t="str">
        <f t="shared" ca="1" si="9"/>
        <v/>
      </c>
      <c r="J49" s="265"/>
      <c r="K49" s="265"/>
      <c r="L49" s="265"/>
    </row>
    <row r="50" spans="2:12" ht="18" x14ac:dyDescent="0.25">
      <c r="B50" s="211">
        <v>20</v>
      </c>
      <c r="C50" s="211">
        <v>3</v>
      </c>
      <c r="D50" s="146">
        <f>IF(OR(ISBLANK(B50),ISBLANK(C50)),"",DATE($G$1,C50,B50))</f>
        <v>43544</v>
      </c>
      <c r="E50" s="212" t="str">
        <f ca="1">IF(Parameters!C24="north",'GPlan-Translations'!C199,'GPlan-Translations'!C197)</f>
        <v>Outono</v>
      </c>
      <c r="F50" s="212" t="str">
        <f ca="1">IF(D50="","",VLOOKUP(WEEKDAY(D50,2),Holidays!$AD$2:$AF$8,3,FALSE))</f>
        <v>Quarta</v>
      </c>
      <c r="G50" s="215" t="s">
        <v>1260</v>
      </c>
      <c r="H50" s="120"/>
      <c r="I50" s="648">
        <f t="shared" ca="1" si="9"/>
        <v>0.5</v>
      </c>
      <c r="J50" s="265">
        <f t="shared" ref="J50:L53" ca="1" si="12">IF(E50="","",DATE(J$1,$C50,$B50))</f>
        <v>43179</v>
      </c>
      <c r="K50" s="265">
        <f t="shared" ca="1" si="12"/>
        <v>43910</v>
      </c>
      <c r="L50" s="265">
        <f t="shared" si="12"/>
        <v>44275</v>
      </c>
    </row>
    <row r="51" spans="2:12" ht="18" x14ac:dyDescent="0.25">
      <c r="B51" s="211">
        <v>20</v>
      </c>
      <c r="C51" s="211">
        <v>6</v>
      </c>
      <c r="D51" s="146">
        <f>IF(OR(ISBLANK(B51),ISBLANK(C51)),"",DATE($G$1,C51,B51))</f>
        <v>43636</v>
      </c>
      <c r="E51" s="212" t="str">
        <f ca="1">IF(Parameters!C24="north",'GPlan-Translations'!C200,'GPlan-Translations'!C198)</f>
        <v>Inverno</v>
      </c>
      <c r="F51" s="212" t="str">
        <f ca="1">IF(D51="","",VLOOKUP(WEEKDAY(D51,2),Holidays!$AD$2:$AF$8,3,FALSE))</f>
        <v>Quinta</v>
      </c>
      <c r="G51" s="215" t="s">
        <v>1260</v>
      </c>
      <c r="H51" s="120"/>
      <c r="I51" s="648">
        <f t="shared" ca="1" si="9"/>
        <v>0.5</v>
      </c>
      <c r="J51" s="265">
        <f t="shared" ca="1" si="12"/>
        <v>43271</v>
      </c>
      <c r="K51" s="265">
        <f t="shared" ca="1" si="12"/>
        <v>44002</v>
      </c>
      <c r="L51" s="265">
        <f t="shared" si="12"/>
        <v>44367</v>
      </c>
    </row>
    <row r="52" spans="2:12" ht="18" x14ac:dyDescent="0.25">
      <c r="B52" s="211">
        <v>22</v>
      </c>
      <c r="C52" s="211">
        <v>9</v>
      </c>
      <c r="D52" s="146">
        <f>IF(OR(ISBLANK(B52),ISBLANK(C52)),"",DATE($G$1,C52,B52))</f>
        <v>43730</v>
      </c>
      <c r="E52" s="212" t="str">
        <f ca="1">IF(Parameters!C24="north",'GPlan-Translations'!C197,'GPlan-Translations'!C199)</f>
        <v>Primavera</v>
      </c>
      <c r="F52" s="212" t="str">
        <f ca="1">IF(D52="","",VLOOKUP(WEEKDAY(D52,2),Holidays!$AD$2:$AF$8,3,FALSE))</f>
        <v>Domingo</v>
      </c>
      <c r="G52" s="215" t="s">
        <v>1260</v>
      </c>
      <c r="H52" s="120"/>
      <c r="I52" s="648">
        <f t="shared" ca="1" si="9"/>
        <v>0.5</v>
      </c>
      <c r="J52" s="265">
        <f t="shared" ca="1" si="12"/>
        <v>43365</v>
      </c>
      <c r="K52" s="265">
        <f t="shared" ca="1" si="12"/>
        <v>44096</v>
      </c>
      <c r="L52" s="265">
        <f t="shared" si="12"/>
        <v>44461</v>
      </c>
    </row>
    <row r="53" spans="2:12" ht="18" x14ac:dyDescent="0.25">
      <c r="B53" s="211">
        <v>21</v>
      </c>
      <c r="C53" s="211">
        <v>12</v>
      </c>
      <c r="D53" s="146">
        <f>IF(OR(ISBLANK(B53),ISBLANK(C53)),"",DATE($G$1,C53,B53))</f>
        <v>43820</v>
      </c>
      <c r="E53" s="212" t="str">
        <f ca="1">IF(Parameters!C24="north",'GPlan-Translations'!C198,'GPlan-Translations'!C200)</f>
        <v>Verão</v>
      </c>
      <c r="F53" s="212" t="str">
        <f ca="1">IF(D53="","",VLOOKUP(WEEKDAY(D53,2),Holidays!$AD$2:$AF$8,3,FALSE))</f>
        <v>Sábado</v>
      </c>
      <c r="G53" s="215" t="s">
        <v>1260</v>
      </c>
      <c r="H53" s="120"/>
      <c r="I53" s="648">
        <f t="shared" ca="1" si="9"/>
        <v>0.5</v>
      </c>
      <c r="J53" s="265">
        <f t="shared" ca="1" si="12"/>
        <v>43455</v>
      </c>
      <c r="K53" s="265">
        <f t="shared" ca="1" si="12"/>
        <v>44186</v>
      </c>
      <c r="L53" s="265">
        <f t="shared" si="12"/>
        <v>44551</v>
      </c>
    </row>
    <row r="54" spans="2:12" ht="18" x14ac:dyDescent="0.25"/>
  </sheetData>
  <dataValidations disablePrompts="1" count="3">
    <dataValidation type="list" allowBlank="1" showInputMessage="1" showErrorMessage="1" sqref="G4:G27 G29:G41 G43:G48 G50:G53" xr:uid="{00000000-0002-0000-0700-000000000000}">
      <formula1>$Z$2:$Z$3</formula1>
    </dataValidation>
    <dataValidation type="list" allowBlank="1" showInputMessage="1" showErrorMessage="1" sqref="E29:E41" xr:uid="{00000000-0002-0000-0700-000001000000}">
      <formula1>$S$10:$S$23</formula1>
    </dataValidation>
    <dataValidation type="list" allowBlank="1" showInputMessage="1" showErrorMessage="1" sqref="F43:F48" xr:uid="{00000000-0002-0000-0700-000002000000}">
      <formula1>$V$2:$V$8</formula1>
    </dataValidation>
  </dataValidations>
  <hyperlinks>
    <hyperlink ref="W10" r:id="rId1" tooltip="Liturgical year" display="http://en.wikipedia.org/wiki/Liturgical_year" xr:uid="{00000000-0004-0000-0700-000000000000}"/>
    <hyperlink ref="V23" r:id="rId2" tooltip="Advent" display="http://en.wikipedia.org/wiki/Advent" xr:uid="{00000000-0004-0000-0700-000001000000}"/>
    <hyperlink ref="V31" r:id="rId3" tooltip="All Saints' Day" display="http://en.wikipedia.org/wiki/All_Saints%27_Day" xr:uid="{00000000-0004-0000-0700-000002000000}"/>
    <hyperlink ref="V32" r:id="rId4" tooltip="All Souls' Day" display="http://en.wikipedia.org/wiki/All_Souls%27_Day" xr:uid="{00000000-0004-0000-0700-000003000000}"/>
    <hyperlink ref="V29" r:id="rId5" tooltip="Assumption of Mary" display="http://en.wikipedia.org/wiki/Assumption_of_Mary" xr:uid="{00000000-0004-0000-0700-000004000000}"/>
    <hyperlink ref="V28" r:id="rId6" tooltip="Candlemas" display="http://en.wikipedia.org/wiki/Candlemas" xr:uid="{00000000-0004-0000-0700-000005000000}"/>
    <hyperlink ref="V34" r:id="rId7" tooltip="Childermas" display="http://en.wikipedia.org/wiki/Childermas" xr:uid="{00000000-0004-0000-0700-000006000000}"/>
    <hyperlink ref="AB15" r:id="rId8" tooltip="Easter Triduum" display="http://en.wikipedia.org/wiki/Easter_Triduum" xr:uid="{00000000-0004-0000-0700-000007000000}"/>
    <hyperlink ref="V16" r:id="rId9" tooltip="Holy Saturday" display="http://en.wikipedia.org/wiki/Holy_Saturday" xr:uid="{00000000-0004-0000-0700-000008000000}"/>
    <hyperlink ref="V27" r:id="rId10" tooltip="Epiphany (feast)" display="http://en.wikipedia.org/wiki/Epiphany_%28feast%29" xr:uid="{00000000-0004-0000-0700-000009000000}"/>
    <hyperlink ref="V35" r:id="rId11" tooltip="Watch Night" display="http://en.wikipedia.org/wiki/Watch_Night" xr:uid="{00000000-0004-0000-0700-00000A000000}"/>
    <hyperlink ref="V10" r:id="rId12" tooltip="Western Christianity" display="http://en.wikipedia.org/wiki/Western_Christianity" xr:uid="{00000000-0004-0000-0700-00000B000000}"/>
    <hyperlink ref="V30" r:id="rId13" tooltip="Halloween" display="http://en.wikipedia.org/wiki/Halloween" xr:uid="{00000000-0004-0000-0700-00000C000000}"/>
    <hyperlink ref="V20" r:id="rId14" display="Pentecost or Whitsun (Descent of the Holy Spirit upon the disciples of Jesus)" xr:uid="{00000000-0004-0000-0700-00000D000000}"/>
    <hyperlink ref="V11" r:id="rId15" xr:uid="{00000000-0004-0000-0700-00000E000000}"/>
    <hyperlink ref="V33" r:id="rId16" display="Christmas (Birth of Jesus)" xr:uid="{00000000-0004-0000-0700-00000F000000}"/>
    <hyperlink ref="V21" r:id="rId17" xr:uid="{00000000-0004-0000-0700-000010000000}"/>
    <hyperlink ref="AA15" r:id="rId18" tooltip="Holy Week" display="http://en.wikipedia.org/wiki/Holy_Week" xr:uid="{00000000-0004-0000-0700-000011000000}"/>
    <hyperlink ref="V14" r:id="rId19" display="Holy Thursday (Celebration of The Last Supper)" xr:uid="{00000000-0004-0000-0700-000012000000}"/>
    <hyperlink ref="V15" r:id="rId20" display="Good Friday (Death of Jesus)" xr:uid="{00000000-0004-0000-0700-000013000000}"/>
    <hyperlink ref="V18" r:id="rId21" display="Easter Monday (Monday following Easter Sunday, not part of the Easter Triduum)" xr:uid="{00000000-0004-0000-0700-000014000000}"/>
    <hyperlink ref="Y15" r:id="rId22" xr:uid="{00000000-0004-0000-0700-000015000000}"/>
    <hyperlink ref="Y14" r:id="rId23" xr:uid="{00000000-0004-0000-0700-000016000000}"/>
    <hyperlink ref="V13" r:id="rId24" xr:uid="{00000000-0004-0000-0700-000017000000}"/>
    <hyperlink ref="V9" r:id="rId25" xr:uid="{00000000-0004-0000-0700-000018000000}"/>
    <hyperlink ref="S8" r:id="rId26" xr:uid="{00000000-0004-0000-0700-000019000000}"/>
    <hyperlink ref="J42" r:id="rId27" xr:uid="{00000000-0004-0000-0700-00001A000000}"/>
  </hyperlinks>
  <printOptions horizontalCentered="1" verticalCentered="1"/>
  <pageMargins left="0.78740157480314965" right="0.78740157480314965" top="0.19685039370078741" bottom="0.19685039370078741" header="0.51181102362204722" footer="0.51181102362204722"/>
  <pageSetup paperSize="9" scale="86" orientation="portrait" r:id="rId28"/>
  <headerFooter alignWithMargins="0"/>
  <drawing r:id="rId29"/>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wksCalendar">
    <pageSetUpPr fitToPage="1"/>
  </sheetPr>
  <dimension ref="A1:BI57"/>
  <sheetViews>
    <sheetView showGridLines="0" showRowColHeaders="0" workbookViewId="0"/>
  </sheetViews>
  <sheetFormatPr defaultColWidth="0" defaultRowHeight="12.75" customHeight="1" zeroHeight="1" x14ac:dyDescent="0.2"/>
  <cols>
    <col min="1" max="28" width="3.85546875" style="72" customWidth="1"/>
    <col min="29" max="29" width="3.7109375" style="72" hidden="1" customWidth="1"/>
    <col min="30" max="30" width="4.42578125" style="72" hidden="1" customWidth="1"/>
    <col min="31" max="38" width="3.7109375" style="72" hidden="1" customWidth="1"/>
    <col min="39" max="39" width="4.42578125" style="72" hidden="1" customWidth="1"/>
    <col min="40" max="47" width="3.7109375" style="72" hidden="1" customWidth="1"/>
    <col min="48" max="48" width="4.42578125" style="72" hidden="1" customWidth="1"/>
    <col min="49" max="59" width="3.7109375" style="72" hidden="1" customWidth="1"/>
    <col min="60" max="60" width="5" style="72" hidden="1" customWidth="1"/>
    <col min="61" max="61" width="0" style="72" hidden="1" customWidth="1"/>
    <col min="62" max="16384" width="9.140625" style="72" hidden="1"/>
  </cols>
  <sheetData>
    <row r="1" spans="1:61" ht="45.75" x14ac:dyDescent="0.2">
      <c r="C1" s="216" t="str">
        <f ca="1">'GPlan-Translations'!C225</f>
        <v>Calendário</v>
      </c>
      <c r="U1" s="914">
        <f>BI1</f>
        <v>2019</v>
      </c>
      <c r="V1" s="915"/>
      <c r="W1" s="915"/>
      <c r="X1" s="915"/>
      <c r="Y1" s="915"/>
      <c r="Z1" s="915"/>
      <c r="AA1" s="915"/>
      <c r="AC1" s="217"/>
      <c r="BI1" s="271">
        <f>Parameters!C19</f>
        <v>2019</v>
      </c>
    </row>
    <row r="2" spans="1:61" ht="18.75" thickBot="1" x14ac:dyDescent="0.25">
      <c r="AC2" s="217"/>
      <c r="AF2" s="218"/>
      <c r="AG2" s="291">
        <v>1</v>
      </c>
      <c r="AH2" s="291">
        <v>2</v>
      </c>
      <c r="AI2" s="291">
        <v>3</v>
      </c>
      <c r="AJ2" s="291">
        <v>4</v>
      </c>
      <c r="AK2" s="291">
        <v>5</v>
      </c>
      <c r="AO2" s="218"/>
      <c r="AP2" s="291">
        <v>1</v>
      </c>
      <c r="AQ2" s="291">
        <v>2</v>
      </c>
      <c r="AR2" s="291">
        <v>3</v>
      </c>
      <c r="AS2" s="291">
        <v>4</v>
      </c>
      <c r="AT2" s="291">
        <v>5</v>
      </c>
      <c r="AX2" s="218"/>
      <c r="AY2" s="291">
        <v>1</v>
      </c>
      <c r="AZ2" s="291">
        <v>2</v>
      </c>
      <c r="BA2" s="291">
        <v>3</v>
      </c>
      <c r="BB2" s="291">
        <v>4</v>
      </c>
      <c r="BC2" s="291">
        <v>5</v>
      </c>
    </row>
    <row r="3" spans="1:61" ht="18" x14ac:dyDescent="0.2">
      <c r="A3" s="219"/>
      <c r="C3" s="909" t="str">
        <f ca="1">UPPER('GPlan-Translations'!C226)</f>
        <v>JANEIRO</v>
      </c>
      <c r="D3" s="910"/>
      <c r="E3" s="910"/>
      <c r="F3" s="910"/>
      <c r="G3" s="910"/>
      <c r="H3" s="910"/>
      <c r="I3" s="911"/>
      <c r="L3" s="909" t="str">
        <f ca="1">UPPER('GPlan-Translations'!C227)</f>
        <v>FEVEREIRO</v>
      </c>
      <c r="M3" s="910"/>
      <c r="N3" s="910"/>
      <c r="O3" s="910"/>
      <c r="P3" s="910"/>
      <c r="Q3" s="910"/>
      <c r="R3" s="911"/>
      <c r="S3" s="219"/>
      <c r="T3" s="219"/>
      <c r="U3" s="909" t="str">
        <f ca="1">UPPER('GPlan-Translations'!C228)</f>
        <v>MARÇO</v>
      </c>
      <c r="V3" s="910"/>
      <c r="W3" s="910"/>
      <c r="X3" s="910"/>
      <c r="Y3" s="910"/>
      <c r="Z3" s="910"/>
      <c r="AA3" s="911"/>
      <c r="AB3" s="219"/>
      <c r="AC3" s="217"/>
      <c r="AD3" s="292" t="str">
        <f>TEXT(AE3,"00")</f>
        <v>01</v>
      </c>
      <c r="AE3" s="220">
        <v>1</v>
      </c>
      <c r="AF3" s="221">
        <f>DATE(AJ3,AE3,1)</f>
        <v>43466</v>
      </c>
      <c r="AG3" s="221">
        <f>DATE(AJ3,AE3+1,1)-1</f>
        <v>43496</v>
      </c>
      <c r="AH3" s="221">
        <f>WEEKDAY(AF3,2)</f>
        <v>2</v>
      </c>
      <c r="AI3" s="222"/>
      <c r="AJ3" s="905">
        <f>$U$1</f>
        <v>2019</v>
      </c>
      <c r="AK3" s="906"/>
      <c r="AM3" s="292" t="str">
        <f>TEXT(AN3,"00")</f>
        <v>02</v>
      </c>
      <c r="AN3" s="220">
        <f>AE3+1</f>
        <v>2</v>
      </c>
      <c r="AO3" s="221">
        <f>DATE(AS3,AN3,1)</f>
        <v>43497</v>
      </c>
      <c r="AP3" s="221">
        <f>DATE(AS3,AN3+1,1)-1</f>
        <v>43524</v>
      </c>
      <c r="AQ3" s="221">
        <f>WEEKDAY(AO3,2)</f>
        <v>5</v>
      </c>
      <c r="AR3" s="222"/>
      <c r="AS3" s="905">
        <f>$U$1</f>
        <v>2019</v>
      </c>
      <c r="AT3" s="906"/>
      <c r="AV3" s="292" t="str">
        <f>TEXT(AW3,"00")</f>
        <v>03</v>
      </c>
      <c r="AW3" s="220">
        <f>AN3+1</f>
        <v>3</v>
      </c>
      <c r="AX3" s="221">
        <f>DATE(BB3,AW3,1)</f>
        <v>43525</v>
      </c>
      <c r="AY3" s="221">
        <f>DATE(BB3,AW3+1,1)-1</f>
        <v>43555</v>
      </c>
      <c r="AZ3" s="221">
        <f>WEEKDAY(AX3,2)</f>
        <v>5</v>
      </c>
      <c r="BA3" s="222"/>
      <c r="BB3" s="905">
        <f>$U$1</f>
        <v>2019</v>
      </c>
      <c r="BC3" s="906"/>
    </row>
    <row r="4" spans="1:61" ht="18" x14ac:dyDescent="0.2">
      <c r="A4" s="219"/>
      <c r="C4" s="223" t="str">
        <f ca="1">'GPlan-Translations'!$C$286</f>
        <v>S</v>
      </c>
      <c r="D4" s="224" t="str">
        <f ca="1">'GPlan-Translations'!$C$287</f>
        <v>T</v>
      </c>
      <c r="E4" s="224" t="str">
        <f ca="1">'GPlan-Translations'!$C$288</f>
        <v>Q</v>
      </c>
      <c r="F4" s="224" t="str">
        <f ca="1">'GPlan-Translations'!$C$289</f>
        <v>Q</v>
      </c>
      <c r="G4" s="224" t="str">
        <f ca="1">'GPlan-Translations'!$C$290</f>
        <v>S</v>
      </c>
      <c r="H4" s="225" t="str">
        <f ca="1">'GPlan-Translations'!$C$291</f>
        <v>S</v>
      </c>
      <c r="I4" s="226" t="str">
        <f ca="1">'GPlan-Translations'!$C$285</f>
        <v>D</v>
      </c>
      <c r="L4" s="223" t="str">
        <f ca="1">'GPlan-Translations'!$C$286</f>
        <v>S</v>
      </c>
      <c r="M4" s="224" t="str">
        <f ca="1">'GPlan-Translations'!$C$287</f>
        <v>T</v>
      </c>
      <c r="N4" s="224" t="str">
        <f ca="1">'GPlan-Translations'!$C$288</f>
        <v>Q</v>
      </c>
      <c r="O4" s="224" t="str">
        <f ca="1">'GPlan-Translations'!$C$289</f>
        <v>Q</v>
      </c>
      <c r="P4" s="224" t="str">
        <f ca="1">'GPlan-Translations'!$C$290</f>
        <v>S</v>
      </c>
      <c r="Q4" s="225" t="str">
        <f ca="1">'GPlan-Translations'!$C$291</f>
        <v>S</v>
      </c>
      <c r="R4" s="226" t="str">
        <f ca="1">'GPlan-Translations'!$C$285</f>
        <v>D</v>
      </c>
      <c r="S4" s="219"/>
      <c r="T4" s="219"/>
      <c r="U4" s="223" t="str">
        <f ca="1">'GPlan-Translations'!$C$286</f>
        <v>S</v>
      </c>
      <c r="V4" s="224" t="str">
        <f ca="1">'GPlan-Translations'!$C$287</f>
        <v>T</v>
      </c>
      <c r="W4" s="224" t="str">
        <f ca="1">'GPlan-Translations'!$C$288</f>
        <v>Q</v>
      </c>
      <c r="X4" s="224" t="str">
        <f ca="1">'GPlan-Translations'!$C$289</f>
        <v>Q</v>
      </c>
      <c r="Y4" s="224" t="str">
        <f ca="1">'GPlan-Translations'!$C$290</f>
        <v>S</v>
      </c>
      <c r="Z4" s="225" t="str">
        <f ca="1">'GPlan-Translations'!$C$291</f>
        <v>S</v>
      </c>
      <c r="AA4" s="226" t="str">
        <f ca="1">'GPlan-Translations'!$C$285</f>
        <v>D</v>
      </c>
      <c r="AB4" s="219"/>
      <c r="AC4" s="217"/>
      <c r="AD4" s="104"/>
      <c r="AE4" s="227" t="str">
        <f t="shared" ref="AE4:AK4" ca="1" si="0">C4</f>
        <v>S</v>
      </c>
      <c r="AF4" s="228" t="str">
        <f t="shared" ca="1" si="0"/>
        <v>T</v>
      </c>
      <c r="AG4" s="228" t="str">
        <f t="shared" ca="1" si="0"/>
        <v>Q</v>
      </c>
      <c r="AH4" s="228" t="str">
        <f t="shared" ca="1" si="0"/>
        <v>Q</v>
      </c>
      <c r="AI4" s="228" t="str">
        <f t="shared" ca="1" si="0"/>
        <v>S</v>
      </c>
      <c r="AJ4" s="229" t="str">
        <f t="shared" ca="1" si="0"/>
        <v>S</v>
      </c>
      <c r="AK4" s="230" t="str">
        <f t="shared" ca="1" si="0"/>
        <v>D</v>
      </c>
      <c r="AM4" s="104"/>
      <c r="AN4" s="227" t="str">
        <f t="shared" ref="AN4:AT4" ca="1" si="1">L4</f>
        <v>S</v>
      </c>
      <c r="AO4" s="228" t="str">
        <f t="shared" ca="1" si="1"/>
        <v>T</v>
      </c>
      <c r="AP4" s="228" t="str">
        <f t="shared" ca="1" si="1"/>
        <v>Q</v>
      </c>
      <c r="AQ4" s="228" t="str">
        <f t="shared" ca="1" si="1"/>
        <v>Q</v>
      </c>
      <c r="AR4" s="228" t="str">
        <f t="shared" ca="1" si="1"/>
        <v>S</v>
      </c>
      <c r="AS4" s="229" t="str">
        <f t="shared" ca="1" si="1"/>
        <v>S</v>
      </c>
      <c r="AT4" s="230" t="str">
        <f t="shared" ca="1" si="1"/>
        <v>D</v>
      </c>
      <c r="AV4" s="104"/>
      <c r="AW4" s="227" t="str">
        <f t="shared" ref="AW4:BC4" ca="1" si="2">U4</f>
        <v>S</v>
      </c>
      <c r="AX4" s="228" t="str">
        <f t="shared" ca="1" si="2"/>
        <v>T</v>
      </c>
      <c r="AY4" s="228" t="str">
        <f t="shared" ca="1" si="2"/>
        <v>Q</v>
      </c>
      <c r="AZ4" s="228" t="str">
        <f t="shared" ca="1" si="2"/>
        <v>Q</v>
      </c>
      <c r="BA4" s="228" t="str">
        <f t="shared" ca="1" si="2"/>
        <v>S</v>
      </c>
      <c r="BB4" s="229" t="str">
        <f t="shared" ca="1" si="2"/>
        <v>S</v>
      </c>
      <c r="BC4" s="230" t="str">
        <f t="shared" ca="1" si="2"/>
        <v>D</v>
      </c>
    </row>
    <row r="5" spans="1:61" ht="18" x14ac:dyDescent="0.2">
      <c r="A5" s="219"/>
      <c r="B5" s="231">
        <f>B6-1</f>
        <v>1</v>
      </c>
      <c r="C5" s="232" t="str">
        <f>IF(AH3=1,AF3," ")</f>
        <v xml:space="preserve"> </v>
      </c>
      <c r="D5" s="233">
        <f>IF(AH3=2,AF3,IF(C5=" "," ",C5+1))</f>
        <v>43466</v>
      </c>
      <c r="E5" s="233">
        <f>IF(AH3=3,AF3,IF(D5=" "," ",D5+1))</f>
        <v>43467</v>
      </c>
      <c r="F5" s="233">
        <f>IF(AH3=4,AF3,IF(E5=" "," ",E5+1))</f>
        <v>43468</v>
      </c>
      <c r="G5" s="233">
        <f>IF(AH3=5,AF3,IF(F5=" "," ",F5+1))</f>
        <v>43469</v>
      </c>
      <c r="H5" s="234">
        <f>IF(AH3=6,AF3,IF(G5=" "," ",G5+1))</f>
        <v>43470</v>
      </c>
      <c r="I5" s="235">
        <f>IF(AH3=7,AF3,H5+1)</f>
        <v>43471</v>
      </c>
      <c r="K5" s="231">
        <f>K6-1</f>
        <v>5</v>
      </c>
      <c r="L5" s="232" t="str">
        <f>IF(AQ3=1,AO3," ")</f>
        <v xml:space="preserve"> </v>
      </c>
      <c r="M5" s="233" t="str">
        <f>IF(AQ3=2,AO3,IF(L5=" "," ",L5+1))</f>
        <v xml:space="preserve"> </v>
      </c>
      <c r="N5" s="233" t="str">
        <f>IF(AQ3=3,AO3,IF(M5=" "," ",M5+1))</f>
        <v xml:space="preserve"> </v>
      </c>
      <c r="O5" s="233" t="str">
        <f>IF(AQ3=4,AO3,IF(N5=" "," ",N5+1))</f>
        <v xml:space="preserve"> </v>
      </c>
      <c r="P5" s="233">
        <f>IF(AQ3=5,AO3,IF(O5=" "," ",O5+1))</f>
        <v>43497</v>
      </c>
      <c r="Q5" s="234">
        <f>IF(AQ3=6,AO3,IF(P5=" "," ",P5+1))</f>
        <v>43498</v>
      </c>
      <c r="R5" s="235">
        <f>IF(AQ3=7,AO3,Q5+1)</f>
        <v>43499</v>
      </c>
      <c r="S5" s="219"/>
      <c r="T5" s="231">
        <f>T6-1</f>
        <v>9</v>
      </c>
      <c r="U5" s="232" t="str">
        <f>IF(AZ3=1,AX3," ")</f>
        <v xml:space="preserve"> </v>
      </c>
      <c r="V5" s="233" t="str">
        <f>IF(AZ3=2,AX3,IF(U5=" "," ",U5+1))</f>
        <v xml:space="preserve"> </v>
      </c>
      <c r="W5" s="233" t="str">
        <f>IF(AZ3=3,AX3,IF(V5=" "," ",V5+1))</f>
        <v xml:space="preserve"> </v>
      </c>
      <c r="X5" s="233" t="str">
        <f>IF(AZ3=4,AX3,IF(W5=" "," ",W5+1))</f>
        <v xml:space="preserve"> </v>
      </c>
      <c r="Y5" s="233">
        <f>IF(AZ3=5,AX3,IF(X5=" "," ",X5+1))</f>
        <v>43525</v>
      </c>
      <c r="Z5" s="234">
        <f>IF(AZ3=6,AX3,IF(Y5=" "," ",Y5+1))</f>
        <v>43526</v>
      </c>
      <c r="AA5" s="235">
        <f>IF(AZ3=7,AX3,Z5+1)</f>
        <v>43527</v>
      </c>
      <c r="AB5" s="219"/>
      <c r="AC5" s="217"/>
      <c r="AD5" s="236" t="str">
        <f>AD3 &amp; "." &amp;AG$2</f>
        <v>01.1</v>
      </c>
      <c r="AE5" s="237" t="str">
        <f>IFERROR(INDEX('GCal-Year'!$F$2:$F$435,MATCH(C5,'GCal-Year'!$A$2:$A$435,0)),"")</f>
        <v/>
      </c>
      <c r="AF5" s="238" t="str">
        <f ca="1">IFERROR(INDEX('GCal-Year'!$F$2:$F$435,MATCH(D5,'GCal-Year'!$A$2:$A$435,0)),"")</f>
        <v>S</v>
      </c>
      <c r="AG5" s="238" t="str">
        <f ca="1">IFERROR(INDEX('GCal-Year'!$F$2:$F$435,MATCH(E5,'GCal-Year'!$A$2:$A$435,0)),"")</f>
        <v/>
      </c>
      <c r="AH5" s="238" t="str">
        <f ca="1">IFERROR(INDEX('GCal-Year'!$F$2:$F$435,MATCH(F5,'GCal-Year'!$A$2:$A$435,0)),"")</f>
        <v>C</v>
      </c>
      <c r="AI5" s="238" t="str">
        <f ca="1">IFERROR(INDEX('GCal-Year'!$F$2:$F$435,MATCH(G5,'GCal-Year'!$A$2:$A$435,0)),"")</f>
        <v/>
      </c>
      <c r="AJ5" s="239" t="str">
        <f ca="1">IFERROR(INDEX('GCal-Year'!$F$2:$F$435,MATCH(H5,'GCal-Year'!$A$2:$A$435,0)),"")</f>
        <v/>
      </c>
      <c r="AK5" s="240" t="str">
        <f ca="1">IFERROR(INDEX('GCal-Year'!$F$2:$F$435,MATCH(I5,'GCal-Year'!$A$2:$A$435,0)),"")</f>
        <v>C</v>
      </c>
      <c r="AL5" s="292">
        <f>IFERROR(MATCH(AD5,'Moon Calendar'!$I$2:$I$65,0),"")</f>
        <v>5</v>
      </c>
      <c r="AM5" s="236" t="str">
        <f>AM3 &amp; "." &amp;AP$2</f>
        <v>02.1</v>
      </c>
      <c r="AN5" s="237" t="str">
        <f>IFERROR(INDEX('GCal-Year'!$F$2:$F$435,MATCH(L5,'GCal-Year'!$A$2:$A$435,0)),"")</f>
        <v/>
      </c>
      <c r="AO5" s="238" t="str">
        <f>IFERROR(INDEX('GCal-Year'!$F$2:$F$435,MATCH(M5,'GCal-Year'!$A$2:$A$435,0)),"")</f>
        <v/>
      </c>
      <c r="AP5" s="238" t="str">
        <f>IFERROR(INDEX('GCal-Year'!$F$2:$F$435,MATCH(N5,'GCal-Year'!$A$2:$A$435,0)),"")</f>
        <v/>
      </c>
      <c r="AQ5" s="238" t="str">
        <f>IFERROR(INDEX('GCal-Year'!$F$2:$F$435,MATCH(O5,'GCal-Year'!$A$2:$A$435,0)),"")</f>
        <v/>
      </c>
      <c r="AR5" s="238" t="str">
        <f ca="1">IFERROR(INDEX('GCal-Year'!$F$2:$F$435,MATCH(P5,'GCal-Year'!$A$2:$A$435,0)),"")</f>
        <v/>
      </c>
      <c r="AS5" s="239" t="str">
        <f ca="1">IFERROR(INDEX('GCal-Year'!$F$2:$F$435,MATCH(Q5,'GCal-Year'!$A$2:$A$435,0)),"")</f>
        <v/>
      </c>
      <c r="AT5" s="240" t="str">
        <f ca="1">IFERROR(INDEX('GCal-Year'!$F$2:$F$435,MATCH(R5,'GCal-Year'!$A$2:$A$435,0)),"")</f>
        <v/>
      </c>
      <c r="AU5" s="292">
        <f>IFERROR(MATCH(AM5,'Moon Calendar'!$I$2:$I$65,0),"")</f>
        <v>9</v>
      </c>
      <c r="AV5" s="236" t="str">
        <f>AV3 &amp; "." &amp;AY$2</f>
        <v>03.1</v>
      </c>
      <c r="AW5" s="237" t="str">
        <f>IFERROR(INDEX('GCal-Year'!$F$2:$F$435,MATCH(U5,'GCal-Year'!$A$2:$A$435,0)),"")</f>
        <v/>
      </c>
      <c r="AX5" s="238" t="str">
        <f>IFERROR(INDEX('GCal-Year'!$F$2:$F$435,MATCH(V5,'GCal-Year'!$A$2:$A$435,0)),"")</f>
        <v/>
      </c>
      <c r="AY5" s="238" t="str">
        <f>IFERROR(INDEX('GCal-Year'!$F$2:$F$435,MATCH(W5,'GCal-Year'!$A$2:$A$435,0)),"")</f>
        <v/>
      </c>
      <c r="AZ5" s="238" t="str">
        <f>IFERROR(INDEX('GCal-Year'!$F$2:$F$435,MATCH(X5,'GCal-Year'!$A$2:$A$435,0)),"")</f>
        <v/>
      </c>
      <c r="BA5" s="238" t="str">
        <f ca="1">IFERROR(INDEX('GCal-Year'!$F$2:$F$435,MATCH(Y5,'GCal-Year'!$A$2:$A$435,0)),"")</f>
        <v>E</v>
      </c>
      <c r="BB5" s="239" t="str">
        <f ca="1">IFERROR(INDEX('GCal-Year'!$F$2:$F$435,MATCH(Z5,'GCal-Year'!$A$2:$A$435,0)),"")</f>
        <v>C</v>
      </c>
      <c r="BC5" s="240" t="str">
        <f ca="1">IFERROR(INDEX('GCal-Year'!$F$2:$F$435,MATCH(AA5,'GCal-Year'!$A$2:$A$435,0)),"")</f>
        <v/>
      </c>
      <c r="BD5" s="292">
        <f>IFERROR(MATCH(AV5,'Moon Calendar'!$I$2:$I$65,0),"")</f>
        <v>13</v>
      </c>
      <c r="BI5" s="10" t="s">
        <v>171</v>
      </c>
    </row>
    <row r="6" spans="1:61" ht="18" x14ac:dyDescent="0.2">
      <c r="A6" s="219"/>
      <c r="B6" s="231">
        <f>INDEX('GCal-Year'!$C$2:$C$435,MATCH(C6,'GCal-Year'!$A$2:$A$435,0))</f>
        <v>2</v>
      </c>
      <c r="C6" s="232">
        <f>I5+1</f>
        <v>43472</v>
      </c>
      <c r="D6" s="233">
        <f t="shared" ref="D6:I8" si="3">C6+1</f>
        <v>43473</v>
      </c>
      <c r="E6" s="233">
        <f t="shared" si="3"/>
        <v>43474</v>
      </c>
      <c r="F6" s="233">
        <f t="shared" si="3"/>
        <v>43475</v>
      </c>
      <c r="G6" s="233">
        <f t="shared" si="3"/>
        <v>43476</v>
      </c>
      <c r="H6" s="234">
        <f t="shared" si="3"/>
        <v>43477</v>
      </c>
      <c r="I6" s="235">
        <f t="shared" si="3"/>
        <v>43478</v>
      </c>
      <c r="K6" s="231">
        <f>INDEX('GCal-Year'!$C$2:$C$435,MATCH(L6,'GCal-Year'!$A$2:$A$435,0))</f>
        <v>6</v>
      </c>
      <c r="L6" s="232">
        <f>R5+1</f>
        <v>43500</v>
      </c>
      <c r="M6" s="233">
        <f t="shared" ref="M6:R8" si="4">L6+1</f>
        <v>43501</v>
      </c>
      <c r="N6" s="233">
        <f t="shared" si="4"/>
        <v>43502</v>
      </c>
      <c r="O6" s="233">
        <f t="shared" si="4"/>
        <v>43503</v>
      </c>
      <c r="P6" s="233">
        <f t="shared" si="4"/>
        <v>43504</v>
      </c>
      <c r="Q6" s="234">
        <f t="shared" si="4"/>
        <v>43505</v>
      </c>
      <c r="R6" s="235">
        <f t="shared" si="4"/>
        <v>43506</v>
      </c>
      <c r="S6" s="219"/>
      <c r="T6" s="231">
        <f>INDEX('GCal-Year'!$C$2:$C$435,MATCH(U6,'GCal-Year'!$A$2:$A$435,0))</f>
        <v>10</v>
      </c>
      <c r="U6" s="232">
        <f>AA5+1</f>
        <v>43528</v>
      </c>
      <c r="V6" s="233">
        <f t="shared" ref="V6:AA8" si="5">U6+1</f>
        <v>43529</v>
      </c>
      <c r="W6" s="233">
        <f t="shared" si="5"/>
        <v>43530</v>
      </c>
      <c r="X6" s="233">
        <f t="shared" si="5"/>
        <v>43531</v>
      </c>
      <c r="Y6" s="233">
        <f t="shared" si="5"/>
        <v>43532</v>
      </c>
      <c r="Z6" s="234">
        <f t="shared" si="5"/>
        <v>43533</v>
      </c>
      <c r="AA6" s="235">
        <f t="shared" si="5"/>
        <v>43534</v>
      </c>
      <c r="AB6" s="219"/>
      <c r="AC6" s="217"/>
      <c r="AD6" s="236" t="str">
        <f>AD3 &amp; "." &amp;AH$2</f>
        <v>01.2</v>
      </c>
      <c r="AE6" s="237" t="str">
        <f ca="1">IFERROR(INDEX('GCal-Year'!$F$2:$F$435,MATCH(C6,'GCal-Year'!$A$2:$A$435,0)),"")</f>
        <v/>
      </c>
      <c r="AF6" s="238" t="str">
        <f ca="1">IFERROR(INDEX('GCal-Year'!$F$2:$F$435,MATCH(D6,'GCal-Year'!$A$2:$A$435,0)),"")</f>
        <v>C</v>
      </c>
      <c r="AG6" s="238" t="str">
        <f ca="1">IFERROR(INDEX('GCal-Year'!$F$2:$F$435,MATCH(E6,'GCal-Year'!$A$2:$A$435,0)),"")</f>
        <v/>
      </c>
      <c r="AH6" s="238" t="str">
        <f ca="1">IFERROR(INDEX('GCal-Year'!$F$2:$F$435,MATCH(F6,'GCal-Year'!$A$2:$A$435,0)),"")</f>
        <v/>
      </c>
      <c r="AI6" s="238" t="str">
        <f ca="1">IFERROR(INDEX('GCal-Year'!$F$2:$F$435,MATCH(G6,'GCal-Year'!$A$2:$A$435,0)),"")</f>
        <v/>
      </c>
      <c r="AJ6" s="239" t="str">
        <f ca="1">IFERROR(INDEX('GCal-Year'!$F$2:$F$435,MATCH(H6,'GCal-Year'!$A$2:$A$435,0)),"")</f>
        <v/>
      </c>
      <c r="AK6" s="240" t="str">
        <f ca="1">IFERROR(INDEX('GCal-Year'!$F$2:$F$435,MATCH(I6,'GCal-Year'!$A$2:$A$435,0)),"")</f>
        <v/>
      </c>
      <c r="AL6" s="292">
        <f>IFERROR(MATCH(AD6,'Moon Calendar'!$I$2:$I$65,0),"")</f>
        <v>6</v>
      </c>
      <c r="AM6" s="236" t="str">
        <f>AM3 &amp; "." &amp;AQ$2</f>
        <v>02.2</v>
      </c>
      <c r="AN6" s="237" t="str">
        <f ca="1">IFERROR(INDEX('GCal-Year'!$F$2:$F$435,MATCH(L6,'GCal-Year'!$A$2:$A$435,0)),"")</f>
        <v/>
      </c>
      <c r="AO6" s="238" t="str">
        <f ca="1">IFERROR(INDEX('GCal-Year'!$F$2:$F$435,MATCH(M6,'GCal-Year'!$A$2:$A$435,0)),"")</f>
        <v/>
      </c>
      <c r="AP6" s="238" t="str">
        <f ca="1">IFERROR(INDEX('GCal-Year'!$F$2:$F$435,MATCH(N6,'GCal-Year'!$A$2:$A$435,0)),"")</f>
        <v/>
      </c>
      <c r="AQ6" s="238" t="str">
        <f ca="1">IFERROR(INDEX('GCal-Year'!$F$2:$F$435,MATCH(O6,'GCal-Year'!$A$2:$A$435,0)),"")</f>
        <v/>
      </c>
      <c r="AR6" s="238" t="str">
        <f ca="1">IFERROR(INDEX('GCal-Year'!$F$2:$F$435,MATCH(P6,'GCal-Year'!$A$2:$A$435,0)),"")</f>
        <v/>
      </c>
      <c r="AS6" s="239" t="str">
        <f ca="1">IFERROR(INDEX('GCal-Year'!$F$2:$F$435,MATCH(Q6,'GCal-Year'!$A$2:$A$435,0)),"")</f>
        <v>C</v>
      </c>
      <c r="AT6" s="240" t="str">
        <f ca="1">IFERROR(INDEX('GCal-Year'!$F$2:$F$435,MATCH(R6,'GCal-Year'!$A$2:$A$435,0)),"")</f>
        <v/>
      </c>
      <c r="AU6" s="292">
        <f>IFERROR(MATCH(AM6,'Moon Calendar'!$I$2:$I$65,0),"")</f>
        <v>10</v>
      </c>
      <c r="AV6" s="236" t="str">
        <f>AV3 &amp; "." &amp;AZ$2</f>
        <v>03.2</v>
      </c>
      <c r="AW6" s="237" t="str">
        <f ca="1">IFERROR(INDEX('GCal-Year'!$F$2:$F$435,MATCH(U6,'GCal-Year'!$A$2:$A$435,0)),"")</f>
        <v/>
      </c>
      <c r="AX6" s="238" t="str">
        <f ca="1">IFERROR(INDEX('GCal-Year'!$F$2:$F$435,MATCH(V6,'GCal-Year'!$A$2:$A$435,0)),"")</f>
        <v>H</v>
      </c>
      <c r="AY6" s="238" t="str">
        <f ca="1">IFERROR(INDEX('GCal-Year'!$F$2:$F$435,MATCH(W6,'GCal-Year'!$A$2:$A$435,0)),"")</f>
        <v>C</v>
      </c>
      <c r="AZ6" s="238" t="str">
        <f ca="1">IFERROR(INDEX('GCal-Year'!$F$2:$F$435,MATCH(X6,'GCal-Year'!$A$2:$A$435,0)),"")</f>
        <v>C</v>
      </c>
      <c r="BA6" s="238" t="str">
        <f ca="1">IFERROR(INDEX('GCal-Year'!$F$2:$F$435,MATCH(Y6,'GCal-Year'!$A$2:$A$435,0)),"")</f>
        <v>C</v>
      </c>
      <c r="BB6" s="239" t="str">
        <f ca="1">IFERROR(INDEX('GCal-Year'!$F$2:$F$435,MATCH(Z6,'GCal-Year'!$A$2:$A$435,0)),"")</f>
        <v/>
      </c>
      <c r="BC6" s="240" t="str">
        <f ca="1">IFERROR(INDEX('GCal-Year'!$F$2:$F$435,MATCH(AA6,'GCal-Year'!$A$2:$A$435,0)),"")</f>
        <v>C</v>
      </c>
      <c r="BD6" s="292">
        <f>IFERROR(MATCH(AV6,'Moon Calendar'!$I$2:$I$65,0),"")</f>
        <v>14</v>
      </c>
      <c r="BI6" s="10" t="s">
        <v>169</v>
      </c>
    </row>
    <row r="7" spans="1:61" ht="18" x14ac:dyDescent="0.2">
      <c r="A7" s="219"/>
      <c r="B7" s="231">
        <f>B6+1</f>
        <v>3</v>
      </c>
      <c r="C7" s="232">
        <f>I6+1</f>
        <v>43479</v>
      </c>
      <c r="D7" s="233">
        <f t="shared" si="3"/>
        <v>43480</v>
      </c>
      <c r="E7" s="233">
        <f t="shared" si="3"/>
        <v>43481</v>
      </c>
      <c r="F7" s="233">
        <f t="shared" si="3"/>
        <v>43482</v>
      </c>
      <c r="G7" s="233">
        <f t="shared" si="3"/>
        <v>43483</v>
      </c>
      <c r="H7" s="234">
        <f t="shared" si="3"/>
        <v>43484</v>
      </c>
      <c r="I7" s="235">
        <f t="shared" si="3"/>
        <v>43485</v>
      </c>
      <c r="K7" s="231">
        <f>K6+1</f>
        <v>7</v>
      </c>
      <c r="L7" s="232">
        <f>R6+1</f>
        <v>43507</v>
      </c>
      <c r="M7" s="233">
        <f t="shared" si="4"/>
        <v>43508</v>
      </c>
      <c r="N7" s="233">
        <f t="shared" si="4"/>
        <v>43509</v>
      </c>
      <c r="O7" s="233">
        <f t="shared" si="4"/>
        <v>43510</v>
      </c>
      <c r="P7" s="233">
        <f t="shared" si="4"/>
        <v>43511</v>
      </c>
      <c r="Q7" s="234">
        <f t="shared" si="4"/>
        <v>43512</v>
      </c>
      <c r="R7" s="235">
        <f t="shared" si="4"/>
        <v>43513</v>
      </c>
      <c r="S7" s="219"/>
      <c r="T7" s="231">
        <f>T6+1</f>
        <v>11</v>
      </c>
      <c r="U7" s="232">
        <f>AA6+1</f>
        <v>43535</v>
      </c>
      <c r="V7" s="233">
        <f t="shared" si="5"/>
        <v>43536</v>
      </c>
      <c r="W7" s="233">
        <f t="shared" si="5"/>
        <v>43537</v>
      </c>
      <c r="X7" s="233">
        <f t="shared" si="5"/>
        <v>43538</v>
      </c>
      <c r="Y7" s="233">
        <f t="shared" si="5"/>
        <v>43539</v>
      </c>
      <c r="Z7" s="234">
        <f t="shared" si="5"/>
        <v>43540</v>
      </c>
      <c r="AA7" s="235">
        <f t="shared" si="5"/>
        <v>43541</v>
      </c>
      <c r="AB7" s="219"/>
      <c r="AC7" s="217"/>
      <c r="AD7" s="236" t="str">
        <f>AD3 &amp; "." &amp;AI$2</f>
        <v>01.3</v>
      </c>
      <c r="AE7" s="237" t="str">
        <f ca="1">IFERROR(INDEX('GCal-Year'!$F$2:$F$435,MATCH(C7,'GCal-Year'!$A$2:$A$435,0)),"")</f>
        <v>C</v>
      </c>
      <c r="AF7" s="238" t="str">
        <f ca="1">IFERROR(INDEX('GCal-Year'!$F$2:$F$435,MATCH(D7,'GCal-Year'!$A$2:$A$435,0)),"")</f>
        <v/>
      </c>
      <c r="AG7" s="238" t="str">
        <f ca="1">IFERROR(INDEX('GCal-Year'!$F$2:$F$435,MATCH(E7,'GCal-Year'!$A$2:$A$435,0)),"")</f>
        <v/>
      </c>
      <c r="AH7" s="238" t="str">
        <f ca="1">IFERROR(INDEX('GCal-Year'!$F$2:$F$435,MATCH(F7,'GCal-Year'!$A$2:$A$435,0)),"")</f>
        <v>E</v>
      </c>
      <c r="AI7" s="238" t="str">
        <f ca="1">IFERROR(INDEX('GCal-Year'!$F$2:$F$435,MATCH(G7,'GCal-Year'!$A$2:$A$435,0)),"")</f>
        <v>C</v>
      </c>
      <c r="AJ7" s="239" t="str">
        <f ca="1">IFERROR(INDEX('GCal-Year'!$F$2:$F$435,MATCH(H7,'GCal-Year'!$A$2:$A$435,0)),"")</f>
        <v/>
      </c>
      <c r="AK7" s="240" t="str">
        <f ca="1">IFERROR(INDEX('GCal-Year'!$F$2:$F$435,MATCH(I7,'GCal-Year'!$A$2:$A$435,0)),"")</f>
        <v/>
      </c>
      <c r="AL7" s="292">
        <f>IFERROR(MATCH(AD7,'Moon Calendar'!$I$2:$I$65,0),"")</f>
        <v>7</v>
      </c>
      <c r="AM7" s="236" t="str">
        <f>AM3 &amp; "." &amp;AR$2</f>
        <v>02.3</v>
      </c>
      <c r="AN7" s="237" t="str">
        <f ca="1">IFERROR(INDEX('GCal-Year'!$F$2:$F$435,MATCH(L7,'GCal-Year'!$A$2:$A$435,0)),"")</f>
        <v/>
      </c>
      <c r="AO7" s="238" t="str">
        <f ca="1">IFERROR(INDEX('GCal-Year'!$F$2:$F$435,MATCH(M7,'GCal-Year'!$A$2:$A$435,0)),"")</f>
        <v>P</v>
      </c>
      <c r="AP7" s="238" t="str">
        <f ca="1">IFERROR(INDEX('GCal-Year'!$F$2:$F$435,MATCH(N7,'GCal-Year'!$A$2:$A$435,0)),"")</f>
        <v>C</v>
      </c>
      <c r="AQ7" s="238" t="str">
        <f ca="1">IFERROR(INDEX('GCal-Year'!$F$2:$F$435,MATCH(O7,'GCal-Year'!$A$2:$A$435,0)),"")</f>
        <v>C</v>
      </c>
      <c r="AR7" s="238" t="str">
        <f ca="1">IFERROR(INDEX('GCal-Year'!$F$2:$F$435,MATCH(P7,'GCal-Year'!$A$2:$A$435,0)),"")</f>
        <v>C</v>
      </c>
      <c r="AS7" s="239" t="str">
        <f ca="1">IFERROR(INDEX('GCal-Year'!$F$2:$F$435,MATCH(Q7,'GCal-Year'!$A$2:$A$435,0)),"")</f>
        <v>K</v>
      </c>
      <c r="AT7" s="240" t="str">
        <f ca="1">IFERROR(INDEX('GCal-Year'!$F$2:$F$435,MATCH(R7,'GCal-Year'!$A$2:$A$435,0)),"")</f>
        <v>F</v>
      </c>
      <c r="AU7" s="292">
        <f>IFERROR(MATCH(AM7,'Moon Calendar'!$I$2:$I$65,0),"")</f>
        <v>11</v>
      </c>
      <c r="AV7" s="236" t="str">
        <f>AV3 &amp; "." &amp;BA$2</f>
        <v>03.3</v>
      </c>
      <c r="AW7" s="237" t="str">
        <f ca="1">IFERROR(INDEX('GCal-Year'!$F$2:$F$435,MATCH(U7,'GCal-Year'!$A$2:$A$435,0)),"")</f>
        <v/>
      </c>
      <c r="AX7" s="238" t="str">
        <f ca="1">IFERROR(INDEX('GCal-Year'!$F$2:$F$435,MATCH(V7,'GCal-Year'!$A$2:$A$435,0)),"")</f>
        <v/>
      </c>
      <c r="AY7" s="238" t="str">
        <f ca="1">IFERROR(INDEX('GCal-Year'!$F$2:$F$435,MATCH(W7,'GCal-Year'!$A$2:$A$435,0)),"")</f>
        <v/>
      </c>
      <c r="AZ7" s="238" t="str">
        <f ca="1">IFERROR(INDEX('GCal-Year'!$F$2:$F$435,MATCH(X7,'GCal-Year'!$A$2:$A$435,0)),"")</f>
        <v/>
      </c>
      <c r="BA7" s="238" t="str">
        <f ca="1">IFERROR(INDEX('GCal-Year'!$F$2:$F$435,MATCH(Y7,'GCal-Year'!$A$2:$A$435,0)),"")</f>
        <v/>
      </c>
      <c r="BB7" s="239" t="str">
        <f ca="1">IFERROR(INDEX('GCal-Year'!$F$2:$F$435,MATCH(Z7,'GCal-Year'!$A$2:$A$435,0)),"")</f>
        <v/>
      </c>
      <c r="BC7" s="240" t="str">
        <f ca="1">IFERROR(INDEX('GCal-Year'!$F$2:$F$435,MATCH(AA7,'GCal-Year'!$A$2:$A$435,0)),"")</f>
        <v>E</v>
      </c>
      <c r="BD7" s="292">
        <f>IFERROR(MATCH(AV7,'Moon Calendar'!$I$2:$I$65,0),"")</f>
        <v>15</v>
      </c>
      <c r="BI7" s="10" t="s">
        <v>167</v>
      </c>
    </row>
    <row r="8" spans="1:61" ht="18" x14ac:dyDescent="0.2">
      <c r="A8" s="219"/>
      <c r="B8" s="231">
        <f>B7+1</f>
        <v>4</v>
      </c>
      <c r="C8" s="232">
        <f>I7+1</f>
        <v>43486</v>
      </c>
      <c r="D8" s="233">
        <f t="shared" si="3"/>
        <v>43487</v>
      </c>
      <c r="E8" s="233">
        <f t="shared" si="3"/>
        <v>43488</v>
      </c>
      <c r="F8" s="233">
        <f t="shared" si="3"/>
        <v>43489</v>
      </c>
      <c r="G8" s="233">
        <f t="shared" si="3"/>
        <v>43490</v>
      </c>
      <c r="H8" s="234">
        <f t="shared" si="3"/>
        <v>43491</v>
      </c>
      <c r="I8" s="235">
        <f t="shared" si="3"/>
        <v>43492</v>
      </c>
      <c r="K8" s="231">
        <f>K7+1</f>
        <v>8</v>
      </c>
      <c r="L8" s="232">
        <f>R7+1</f>
        <v>43514</v>
      </c>
      <c r="M8" s="233">
        <f t="shared" si="4"/>
        <v>43515</v>
      </c>
      <c r="N8" s="233">
        <f t="shared" si="4"/>
        <v>43516</v>
      </c>
      <c r="O8" s="233">
        <f t="shared" si="4"/>
        <v>43517</v>
      </c>
      <c r="P8" s="233">
        <f t="shared" si="4"/>
        <v>43518</v>
      </c>
      <c r="Q8" s="234">
        <f t="shared" si="4"/>
        <v>43519</v>
      </c>
      <c r="R8" s="235">
        <f t="shared" si="4"/>
        <v>43520</v>
      </c>
      <c r="S8" s="219"/>
      <c r="T8" s="231">
        <f>T7+1</f>
        <v>12</v>
      </c>
      <c r="U8" s="232">
        <f>AA7+1</f>
        <v>43542</v>
      </c>
      <c r="V8" s="233">
        <f t="shared" si="5"/>
        <v>43543</v>
      </c>
      <c r="W8" s="233">
        <f t="shared" si="5"/>
        <v>43544</v>
      </c>
      <c r="X8" s="233">
        <f t="shared" si="5"/>
        <v>43545</v>
      </c>
      <c r="Y8" s="233">
        <f t="shared" si="5"/>
        <v>43546</v>
      </c>
      <c r="Z8" s="234">
        <f t="shared" si="5"/>
        <v>43547</v>
      </c>
      <c r="AA8" s="235">
        <f t="shared" si="5"/>
        <v>43548</v>
      </c>
      <c r="AB8" s="219"/>
      <c r="AC8" s="217"/>
      <c r="AD8" s="236" t="str">
        <f>AD3 &amp; "." &amp;AJ$2</f>
        <v>01.4</v>
      </c>
      <c r="AE8" s="237" t="str">
        <f ca="1">IFERROR(INDEX('GCal-Year'!$F$2:$F$435,MATCH(C8,'GCal-Year'!$A$2:$A$435,0)),"")</f>
        <v/>
      </c>
      <c r="AF8" s="238" t="str">
        <f ca="1">IFERROR(INDEX('GCal-Year'!$F$2:$F$435,MATCH(D8,'GCal-Year'!$A$2:$A$435,0)),"")</f>
        <v/>
      </c>
      <c r="AG8" s="238" t="str">
        <f ca="1">IFERROR(INDEX('GCal-Year'!$F$2:$F$435,MATCH(E8,'GCal-Year'!$A$2:$A$435,0)),"")</f>
        <v/>
      </c>
      <c r="AH8" s="238" t="str">
        <f ca="1">IFERROR(INDEX('GCal-Year'!$F$2:$F$435,MATCH(F8,'GCal-Year'!$A$2:$A$435,0)),"")</f>
        <v/>
      </c>
      <c r="AI8" s="238" t="str">
        <f ca="1">IFERROR(INDEX('GCal-Year'!$F$2:$F$435,MATCH(G8,'GCal-Year'!$A$2:$A$435,0)),"")</f>
        <v>C</v>
      </c>
      <c r="AJ8" s="239" t="str">
        <f ca="1">IFERROR(INDEX('GCal-Year'!$F$2:$F$435,MATCH(H8,'GCal-Year'!$A$2:$A$435,0)),"")</f>
        <v>C</v>
      </c>
      <c r="AK8" s="240" t="str">
        <f ca="1">IFERROR(INDEX('GCal-Year'!$F$2:$F$435,MATCH(I8,'GCal-Year'!$A$2:$A$435,0)),"")</f>
        <v>C</v>
      </c>
      <c r="AL8" s="292">
        <f>IFERROR(MATCH(AD8,'Moon Calendar'!$I$2:$I$65,0),"")</f>
        <v>8</v>
      </c>
      <c r="AM8" s="236" t="str">
        <f>AM3 &amp; "." &amp;AS$2</f>
        <v>02.4</v>
      </c>
      <c r="AN8" s="237" t="str">
        <f ca="1">IFERROR(INDEX('GCal-Year'!$F$2:$F$435,MATCH(L8,'GCal-Year'!$A$2:$A$435,0)),"")</f>
        <v/>
      </c>
      <c r="AO8" s="238" t="str">
        <f ca="1">IFERROR(INDEX('GCal-Year'!$F$2:$F$435,MATCH(M8,'GCal-Year'!$A$2:$A$435,0)),"")</f>
        <v>C</v>
      </c>
      <c r="AP8" s="238" t="str">
        <f ca="1">IFERROR(INDEX('GCal-Year'!$F$2:$F$435,MATCH(N8,'GCal-Year'!$A$2:$A$435,0)),"")</f>
        <v/>
      </c>
      <c r="AQ8" s="238" t="str">
        <f ca="1">IFERROR(INDEX('GCal-Year'!$F$2:$F$435,MATCH(O8,'GCal-Year'!$A$2:$A$435,0)),"")</f>
        <v/>
      </c>
      <c r="AR8" s="238" t="str">
        <f ca="1">IFERROR(INDEX('GCal-Year'!$F$2:$F$435,MATCH(P8,'GCal-Year'!$A$2:$A$435,0)),"")</f>
        <v/>
      </c>
      <c r="AS8" s="239" t="str">
        <f ca="1">IFERROR(INDEX('GCal-Year'!$F$2:$F$435,MATCH(Q8,'GCal-Year'!$A$2:$A$435,0)),"")</f>
        <v>P</v>
      </c>
      <c r="AT8" s="240" t="str">
        <f ca="1">IFERROR(INDEX('GCal-Year'!$F$2:$F$435,MATCH(R8,'GCal-Year'!$A$2:$A$435,0)),"")</f>
        <v/>
      </c>
      <c r="AU8" s="292">
        <f>IFERROR(MATCH(AM8,'Moon Calendar'!$I$2:$I$65,0),"")</f>
        <v>12</v>
      </c>
      <c r="AV8" s="236" t="str">
        <f>AV3 &amp; "." &amp;BB$2</f>
        <v>03.4</v>
      </c>
      <c r="AW8" s="237" t="str">
        <f ca="1">IFERROR(INDEX('GCal-Year'!$F$2:$F$435,MATCH(U8,'GCal-Year'!$A$2:$A$435,0)),"")</f>
        <v>C</v>
      </c>
      <c r="AX8" s="238" t="str">
        <f ca="1">IFERROR(INDEX('GCal-Year'!$F$2:$F$435,MATCH(V8,'GCal-Year'!$A$2:$A$435,0)),"")</f>
        <v/>
      </c>
      <c r="AY8" s="238" t="str">
        <f ca="1">IFERROR(INDEX('GCal-Year'!$F$2:$F$435,MATCH(W8,'GCal-Year'!$A$2:$A$435,0)),"")</f>
        <v>P</v>
      </c>
      <c r="AZ8" s="238" t="str">
        <f ca="1">IFERROR(INDEX('GCal-Year'!$F$2:$F$435,MATCH(X8,'GCal-Year'!$A$2:$A$435,0)),"")</f>
        <v>C</v>
      </c>
      <c r="BA8" s="238" t="str">
        <f ca="1">IFERROR(INDEX('GCal-Year'!$F$2:$F$435,MATCH(Y8,'GCal-Year'!$A$2:$A$435,0)),"")</f>
        <v/>
      </c>
      <c r="BB8" s="239" t="str">
        <f ca="1">IFERROR(INDEX('GCal-Year'!$F$2:$F$435,MATCH(Z8,'GCal-Year'!$A$2:$A$435,0)),"")</f>
        <v/>
      </c>
      <c r="BC8" s="240" t="str">
        <f ca="1">IFERROR(INDEX('GCal-Year'!$F$2:$F$435,MATCH(AA8,'GCal-Year'!$A$2:$A$435,0)),"")</f>
        <v/>
      </c>
      <c r="BD8" s="292">
        <f>IFERROR(MATCH(AV8,'Moon Calendar'!$I$2:$I$65,0),"")</f>
        <v>16</v>
      </c>
      <c r="BI8" s="10" t="s">
        <v>174</v>
      </c>
    </row>
    <row r="9" spans="1:61" ht="18" x14ac:dyDescent="0.2">
      <c r="A9" s="219"/>
      <c r="B9" s="231">
        <f>IF(C9="","",B8+1)</f>
        <v>5</v>
      </c>
      <c r="C9" s="232">
        <f>IF(I8+1&lt;=AG3,I8+1," ")</f>
        <v>43493</v>
      </c>
      <c r="D9" s="233">
        <f>IF(C9=" "," ",IF(C9+1&lt;=AG3,C9+1," "))</f>
        <v>43494</v>
      </c>
      <c r="E9" s="233">
        <f>IF(D9=" "," ",IF(D9+1&lt;=AG3,D9+1," "))</f>
        <v>43495</v>
      </c>
      <c r="F9" s="233">
        <f>IF(E9=" "," ",IF(E9+1&lt;=AG3,E9+1," "))</f>
        <v>43496</v>
      </c>
      <c r="G9" s="233" t="str">
        <f>IF(F9=" "," ",IF(F9+1&lt;=AG3,F9+1," "))</f>
        <v xml:space="preserve"> </v>
      </c>
      <c r="H9" s="234" t="str">
        <f>IF(G9=" "," ",IF(G9+1&lt;=AG3,G9+1," "))</f>
        <v xml:space="preserve"> </v>
      </c>
      <c r="I9" s="235" t="str">
        <f>IF(H9=" "," ",IF(H9+1&lt;=AG3,H9+1," "))</f>
        <v xml:space="preserve"> </v>
      </c>
      <c r="K9" s="241">
        <f>IF(L9="","",K8+1)</f>
        <v>9</v>
      </c>
      <c r="L9" s="232">
        <f>IF(R8+1&lt;=AP3,R8+1," ")</f>
        <v>43521</v>
      </c>
      <c r="M9" s="233">
        <f>IF(L9=" "," ",IF(L9+1&lt;=AP3,L9+1," "))</f>
        <v>43522</v>
      </c>
      <c r="N9" s="233">
        <f>IF(M9=" "," ",IF(M9+1&lt;=AP3,M9+1," "))</f>
        <v>43523</v>
      </c>
      <c r="O9" s="233">
        <f>IF(N9=" "," ",IF(N9+1&lt;=AP3,N9+1," "))</f>
        <v>43524</v>
      </c>
      <c r="P9" s="233" t="str">
        <f>IF(O9=" "," ",IF(O9+1&lt;=AP3,O9+1," "))</f>
        <v xml:space="preserve"> </v>
      </c>
      <c r="Q9" s="234" t="str">
        <f>IF(P9=" "," ",IF(P9+1&lt;=AP3,P9+1," "))</f>
        <v xml:space="preserve"> </v>
      </c>
      <c r="R9" s="235" t="str">
        <f>IF(Q9=" "," ",IF(Q9+1&lt;=AP3,Q9+1," "))</f>
        <v xml:space="preserve"> </v>
      </c>
      <c r="S9" s="219"/>
      <c r="T9" s="231">
        <f>IF(U9="","",T8+1)</f>
        <v>13</v>
      </c>
      <c r="U9" s="232">
        <f>IF(AA8+1&lt;=AY3,AA8+1," ")</f>
        <v>43549</v>
      </c>
      <c r="V9" s="233">
        <f>IF(U9=" "," ",IF(U9+1&lt;=AY3,U9+1," "))</f>
        <v>43550</v>
      </c>
      <c r="W9" s="233">
        <f>IF(V9=" "," ",IF(V9+1&lt;=AY3,V9+1," "))</f>
        <v>43551</v>
      </c>
      <c r="X9" s="233">
        <f>IF(W9=" "," ",IF(W9+1&lt;=AY3,W9+1," "))</f>
        <v>43552</v>
      </c>
      <c r="Y9" s="233">
        <f>IF(X9=" "," ",IF(X9+1&lt;=AY3,X9+1," "))</f>
        <v>43553</v>
      </c>
      <c r="Z9" s="234">
        <f>IF(Y9=" "," ",IF(Y9+1&lt;=AY3,Y9+1," "))</f>
        <v>43554</v>
      </c>
      <c r="AA9" s="235">
        <f>IF(Z9=" "," ",IF(Z9+1&lt;=AY3,Z9+1," "))</f>
        <v>43555</v>
      </c>
      <c r="AB9" s="219"/>
      <c r="AC9" s="217"/>
      <c r="AD9" s="236" t="str">
        <f>AD3 &amp; "." &amp;AK$2</f>
        <v>01.5</v>
      </c>
      <c r="AE9" s="237" t="str">
        <f ca="1">IFERROR(INDEX('GCal-Year'!$F$2:$F$435,MATCH(C9,'GCal-Year'!$A$2:$A$435,0)),"")</f>
        <v/>
      </c>
      <c r="AF9" s="238" t="str">
        <f ca="1">IFERROR(INDEX('GCal-Year'!$F$2:$F$435,MATCH(D9,'GCal-Year'!$A$2:$A$435,0)),"")</f>
        <v/>
      </c>
      <c r="AG9" s="238" t="str">
        <f ca="1">IFERROR(INDEX('GCal-Year'!$F$2:$F$435,MATCH(E9,'GCal-Year'!$A$2:$A$435,0)),"")</f>
        <v/>
      </c>
      <c r="AH9" s="238" t="str">
        <f ca="1">IFERROR(INDEX('GCal-Year'!$F$2:$F$435,MATCH(F9,'GCal-Year'!$A$2:$A$435,0)),"")</f>
        <v>E</v>
      </c>
      <c r="AI9" s="238" t="str">
        <f>IFERROR(INDEX('GCal-Year'!$F$2:$F$435,MATCH(G9,'GCal-Year'!$A$2:$A$435,0)),"")</f>
        <v/>
      </c>
      <c r="AJ9" s="239" t="str">
        <f>IFERROR(INDEX('GCal-Year'!$F$2:$F$435,MATCH(H9,'GCal-Year'!$A$2:$A$435,0)),"")</f>
        <v/>
      </c>
      <c r="AK9" s="240" t="str">
        <f>IFERROR(INDEX('GCal-Year'!$F$2:$F$435,MATCH(I9,'GCal-Year'!$A$2:$A$435,0)),"")</f>
        <v/>
      </c>
      <c r="AL9" s="292" t="str">
        <f>IFERROR(MATCH(AD9,'Moon Calendar'!$I$2:$I$65,0),"")</f>
        <v/>
      </c>
      <c r="AM9" s="236" t="str">
        <f>AM3 &amp; "." &amp;AT$2</f>
        <v>02.5</v>
      </c>
      <c r="AN9" s="237" t="str">
        <f ca="1">IFERROR(INDEX('GCal-Year'!$F$2:$F$435,MATCH(L9,'GCal-Year'!$A$2:$A$435,0)),"")</f>
        <v/>
      </c>
      <c r="AO9" s="238" t="str">
        <f ca="1">IFERROR(INDEX('GCal-Year'!$F$2:$F$435,MATCH(M9,'GCal-Year'!$A$2:$A$435,0)),"")</f>
        <v/>
      </c>
      <c r="AP9" s="238" t="str">
        <f ca="1">IFERROR(INDEX('GCal-Year'!$F$2:$F$435,MATCH(N9,'GCal-Year'!$A$2:$A$435,0)),"")</f>
        <v/>
      </c>
      <c r="AQ9" s="238" t="str">
        <f ca="1">IFERROR(INDEX('GCal-Year'!$F$2:$F$435,MATCH(O9,'GCal-Year'!$A$2:$A$435,0)),"")</f>
        <v/>
      </c>
      <c r="AR9" s="238" t="str">
        <f>IFERROR(INDEX('GCal-Year'!$F$2:$F$435,MATCH(P9,'GCal-Year'!$A$2:$A$435,0)),"")</f>
        <v/>
      </c>
      <c r="AS9" s="239" t="str">
        <f>IFERROR(INDEX('GCal-Year'!$F$2:$F$435,MATCH(Q9,'GCal-Year'!$A$2:$A$435,0)),"")</f>
        <v/>
      </c>
      <c r="AT9" s="240" t="str">
        <f>IFERROR(INDEX('GCal-Year'!$F$2:$F$435,MATCH(R9,'GCal-Year'!$A$2:$A$435,0)),"")</f>
        <v/>
      </c>
      <c r="AU9" s="292" t="str">
        <f>IFERROR(MATCH(AM9,'Moon Calendar'!$I$2:$I$65,0),"")</f>
        <v/>
      </c>
      <c r="AV9" s="236" t="str">
        <f>AV3 &amp; "." &amp;BC$2</f>
        <v>03.5</v>
      </c>
      <c r="AW9" s="237" t="str">
        <f ca="1">IFERROR(INDEX('GCal-Year'!$F$2:$F$435,MATCH(U9,'GCal-Year'!$A$2:$A$435,0)),"")</f>
        <v/>
      </c>
      <c r="AX9" s="238" t="str">
        <f ca="1">IFERROR(INDEX('GCal-Year'!$F$2:$F$435,MATCH(V9,'GCal-Year'!$A$2:$A$435,0)),"")</f>
        <v/>
      </c>
      <c r="AY9" s="238" t="str">
        <f ca="1">IFERROR(INDEX('GCal-Year'!$F$2:$F$435,MATCH(W9,'GCal-Year'!$A$2:$A$435,0)),"")</f>
        <v/>
      </c>
      <c r="AZ9" s="238" t="str">
        <f ca="1">IFERROR(INDEX('GCal-Year'!$F$2:$F$435,MATCH(X9,'GCal-Year'!$A$2:$A$435,0)),"")</f>
        <v>C</v>
      </c>
      <c r="BA9" s="238" t="str">
        <f ca="1">IFERROR(INDEX('GCal-Year'!$F$2:$F$435,MATCH(Y9,'GCal-Year'!$A$2:$A$435,0)),"")</f>
        <v/>
      </c>
      <c r="BB9" s="239" t="str">
        <f ca="1">IFERROR(INDEX('GCal-Year'!$F$2:$F$435,MATCH(Z9,'GCal-Year'!$A$2:$A$435,0)),"")</f>
        <v/>
      </c>
      <c r="BC9" s="240" t="str">
        <f ca="1">IFERROR(INDEX('GCal-Year'!$F$2:$F$435,MATCH(AA9,'GCal-Year'!$A$2:$A$435,0)),"")</f>
        <v/>
      </c>
      <c r="BD9" s="292" t="str">
        <f>IFERROR(MATCH(AV9,'Moon Calendar'!$I$2:$I$65,0),"")</f>
        <v/>
      </c>
      <c r="BI9" s="32" t="s">
        <v>168</v>
      </c>
    </row>
    <row r="10" spans="1:61" ht="18.75" thickBot="1" x14ac:dyDescent="0.25">
      <c r="A10" s="219"/>
      <c r="B10" s="231">
        <f>IF(C10="","",B9+1)</f>
        <v>6</v>
      </c>
      <c r="C10" s="242" t="str">
        <f>IF(I9=" "," ",IF(I9+1&lt;=AG3,I9+1," "))</f>
        <v xml:space="preserve"> </v>
      </c>
      <c r="D10" s="243" t="str">
        <f>IF(C10=" "," ",IF(C10+1&lt;=AG3,C10+1," "))</f>
        <v xml:space="preserve"> </v>
      </c>
      <c r="E10" s="243"/>
      <c r="F10" s="243"/>
      <c r="G10" s="243"/>
      <c r="H10" s="244"/>
      <c r="I10" s="245"/>
      <c r="K10" s="241">
        <f>IF(L10="","",K9+1)</f>
        <v>10</v>
      </c>
      <c r="L10" s="242" t="str">
        <f>IF(R9=" "," ",IF(R9+1&lt;=AP3,R9+1," "))</f>
        <v xml:space="preserve"> </v>
      </c>
      <c r="M10" s="243" t="str">
        <f>IF(L10=" "," ",IF(L10+1&lt;=AP3,L10+1," "))</f>
        <v xml:space="preserve"> </v>
      </c>
      <c r="N10" s="243"/>
      <c r="O10" s="243"/>
      <c r="P10" s="243"/>
      <c r="Q10" s="244"/>
      <c r="R10" s="245"/>
      <c r="S10" s="219"/>
      <c r="T10" s="241">
        <f>IF(U10="","",T9+1)</f>
        <v>14</v>
      </c>
      <c r="U10" s="242" t="str">
        <f>IF(AA9=" "," ",IF(AA9+1&lt;=AY3,AA9+1," "))</f>
        <v xml:space="preserve"> </v>
      </c>
      <c r="V10" s="243" t="str">
        <f>IF(U10=" "," ",IF(U10+1&lt;=AY3,U10+1," "))</f>
        <v xml:space="preserve"> </v>
      </c>
      <c r="W10" s="243"/>
      <c r="X10" s="912" t="str">
        <f ca="1">"20 - " &amp; 'GPlan-Translations'!C197</f>
        <v>20 - Outono</v>
      </c>
      <c r="Y10" s="912"/>
      <c r="Z10" s="912"/>
      <c r="AA10" s="913"/>
      <c r="AB10" s="219"/>
      <c r="AC10" s="217"/>
      <c r="AD10" s="104"/>
      <c r="AE10" s="246" t="str">
        <f>IFERROR(INDEX('GCal-Year'!$F$2:$F$435,MATCH(C10,'GCal-Year'!$A$2:$A$435,0)),"")</f>
        <v/>
      </c>
      <c r="AF10" s="247" t="str">
        <f>IFERROR(INDEX('GCal-Year'!$F$2:$F$435,MATCH(D10,'GCal-Year'!$A$2:$A$435,0)),"")</f>
        <v/>
      </c>
      <c r="AG10" s="248">
        <f>IFERROR(INDEX('Moon Calendar'!$F$2:$F$65,AL5),"")</f>
        <v>43470</v>
      </c>
      <c r="AH10" s="248">
        <f>IFERROR(INDEX('Moon Calendar'!$F$2:$F$65,AL6),"")</f>
        <v>43479</v>
      </c>
      <c r="AI10" s="248">
        <f>IFERROR(INDEX('Moon Calendar'!$F$2:$F$65,AL7),"")</f>
        <v>43486</v>
      </c>
      <c r="AJ10" s="248">
        <f>IFERROR(INDEX('Moon Calendar'!$F$2:$F$65,AL8),"")</f>
        <v>43492</v>
      </c>
      <c r="AK10" s="249" t="str">
        <f>IFERROR(INDEX('Moon Calendar'!$F$2:$F$65,AL9),"")</f>
        <v/>
      </c>
      <c r="AL10" s="616" t="str">
        <f ca="1">AD11 &amp; " " &amp; AE11  &amp; AL11 &amp; AF11 &amp; " " &amp; AG11 &amp; AL11 &amp; AH11 &amp; " " &amp; AI11 &amp; IF(AJ11&lt;&gt;"",AL11 &amp; AJ11 &amp; " " &amp; AK11,"")</f>
        <v> 5           14           21           27</v>
      </c>
      <c r="AM10" s="104"/>
      <c r="AN10" s="246" t="str">
        <f>IFERROR(INDEX('GCal-Year'!$F$2:$F$435,MATCH(L10,'GCal-Year'!$A$2:$A$435,0)),"")</f>
        <v/>
      </c>
      <c r="AO10" s="247" t="str">
        <f>IFERROR(INDEX('GCal-Year'!$F$2:$F$435,MATCH(M10,'GCal-Year'!$A$2:$A$435,0)),"")</f>
        <v/>
      </c>
      <c r="AP10" s="248">
        <f>IFERROR(INDEX('Moon Calendar'!$F$2:$F$65,AU5),"")</f>
        <v>43500</v>
      </c>
      <c r="AQ10" s="248">
        <f>IFERROR(INDEX('Moon Calendar'!$F$2:$F$65,AU6),"")</f>
        <v>43508</v>
      </c>
      <c r="AR10" s="248">
        <f>IFERROR(INDEX('Moon Calendar'!$F$2:$F$65,AU7),"")</f>
        <v>43515</v>
      </c>
      <c r="AS10" s="248">
        <f>IFERROR(INDEX('Moon Calendar'!$F$2:$F$65,AU8),"")</f>
        <v>43522</v>
      </c>
      <c r="AT10" s="249" t="str">
        <f>IFERROR(INDEX('Moon Calendar'!$F$2:$F$65,AU9),"")</f>
        <v/>
      </c>
      <c r="AU10" s="617" t="str">
        <f ca="1">AM11 &amp; " " &amp; AN11  &amp; AU11 &amp; AO11 &amp; " " &amp; AP11 &amp; AU11 &amp; AQ11 &amp; " " &amp; AR11 &amp; IF(AS11&lt;&gt;"",AU11 &amp; AS11 &amp; " " &amp; AT11,"")</f>
        <v> 4           12           19           26</v>
      </c>
      <c r="AV10" s="104"/>
      <c r="AW10" s="246" t="str">
        <f>IFERROR(INDEX('GCal-Year'!$F$2:$F$435,MATCH(U10,'GCal-Year'!$A$2:$A$435,0)),"")</f>
        <v/>
      </c>
      <c r="AX10" s="247" t="str">
        <f>IFERROR(INDEX('GCal-Year'!$F$2:$F$435,MATCH(V10,'GCal-Year'!$A$2:$A$435,0)),"")</f>
        <v/>
      </c>
      <c r="AY10" s="248">
        <f>IFERROR(INDEX('Moon Calendar'!$F$2:$F$65,BD5),"")</f>
        <v>43530</v>
      </c>
      <c r="AZ10" s="248">
        <f>IFERROR(INDEX('Moon Calendar'!$F$2:$F$65,BD6),"")</f>
        <v>43538</v>
      </c>
      <c r="BA10" s="248">
        <f>IFERROR(INDEX('Moon Calendar'!$F$2:$F$65,BD7),"")</f>
        <v>43544</v>
      </c>
      <c r="BB10" s="248">
        <f>IFERROR(INDEX('Moon Calendar'!$F$2:$F$65,BD8),"")</f>
        <v>43552</v>
      </c>
      <c r="BC10" s="249" t="str">
        <f>IFERROR(INDEX('Moon Calendar'!$F$2:$F$65,BD9),"")</f>
        <v/>
      </c>
      <c r="BD10" s="617" t="str">
        <f ca="1">AV11 &amp; " " &amp; AW11  &amp; BD11 &amp; AX11 &amp; " " &amp; AY11 &amp; BD11 &amp; AZ11 &amp; " " &amp; BA11 &amp; IF(BB11&lt;&gt;"",BD11 &amp; BB11 &amp; " " &amp; BC11,"")</f>
        <v> 6           14           20           28</v>
      </c>
      <c r="BI10" s="10" t="s">
        <v>173</v>
      </c>
    </row>
    <row r="11" spans="1:61" ht="18.75" thickBot="1" x14ac:dyDescent="0.25">
      <c r="B11" s="618" t="str">
        <f ca="1">AD11</f>
        <v></v>
      </c>
      <c r="C11" s="620" t="str">
        <f t="shared" ref="C11:I11" si="6">AE11</f>
        <v>5</v>
      </c>
      <c r="D11" s="618" t="str">
        <f t="shared" ca="1" si="6"/>
        <v></v>
      </c>
      <c r="E11" s="619">
        <f t="shared" si="6"/>
        <v>14</v>
      </c>
      <c r="F11" s="618" t="str">
        <f t="shared" ca="1" si="6"/>
        <v></v>
      </c>
      <c r="G11" s="619">
        <f t="shared" si="6"/>
        <v>21</v>
      </c>
      <c r="H11" s="618" t="str">
        <f t="shared" ca="1" si="6"/>
        <v></v>
      </c>
      <c r="I11" s="619">
        <f t="shared" si="6"/>
        <v>27</v>
      </c>
      <c r="K11" s="618" t="str">
        <f t="shared" ref="K11:R11" ca="1" si="7">AM11</f>
        <v></v>
      </c>
      <c r="L11" s="620" t="str">
        <f t="shared" si="7"/>
        <v>4</v>
      </c>
      <c r="M11" s="618" t="str">
        <f t="shared" ca="1" si="7"/>
        <v></v>
      </c>
      <c r="N11" s="619">
        <f t="shared" si="7"/>
        <v>12</v>
      </c>
      <c r="O11" s="618" t="str">
        <f t="shared" ca="1" si="7"/>
        <v></v>
      </c>
      <c r="P11" s="619">
        <f t="shared" si="7"/>
        <v>19</v>
      </c>
      <c r="Q11" s="618" t="str">
        <f t="shared" ca="1" si="7"/>
        <v></v>
      </c>
      <c r="R11" s="619">
        <f t="shared" si="7"/>
        <v>26</v>
      </c>
      <c r="T11" s="618" t="str">
        <f t="shared" ref="T11:AA11" ca="1" si="8">AV11</f>
        <v></v>
      </c>
      <c r="U11" s="620" t="str">
        <f t="shared" si="8"/>
        <v>6</v>
      </c>
      <c r="V11" s="618" t="str">
        <f t="shared" ca="1" si="8"/>
        <v></v>
      </c>
      <c r="W11" s="619">
        <f t="shared" si="8"/>
        <v>14</v>
      </c>
      <c r="X11" s="618" t="str">
        <f t="shared" ca="1" si="8"/>
        <v></v>
      </c>
      <c r="Y11" s="619">
        <f t="shared" si="8"/>
        <v>20</v>
      </c>
      <c r="Z11" s="618" t="str">
        <f t="shared" ca="1" si="8"/>
        <v></v>
      </c>
      <c r="AA11" s="619">
        <f t="shared" si="8"/>
        <v>28</v>
      </c>
      <c r="AC11" s="217"/>
      <c r="AD11" s="618" t="str">
        <f ca="1">IFERROR(INDEX('Moon Calendar'!$L$2:$L$65,AL5),"")</f>
        <v></v>
      </c>
      <c r="AE11" s="295" t="str">
        <f>IF(AG10="","",DAY(AG10) &amp; IF(AK10&lt;&gt;"","/" &amp; DAY(AK10),""))</f>
        <v>5</v>
      </c>
      <c r="AF11" s="618" t="str">
        <f ca="1">IFERROR(INDEX('Moon Calendar'!$L$2:$L$65,AL6),"")</f>
        <v></v>
      </c>
      <c r="AG11" s="296">
        <f>IFERROR(DAY(AH10),"")</f>
        <v>14</v>
      </c>
      <c r="AH11" s="618" t="str">
        <f ca="1">IFERROR(INDEX('Moon Calendar'!$L$2:$L$65,AL7),"")</f>
        <v></v>
      </c>
      <c r="AI11" s="296">
        <f>IFERROR(DAY(AI10),"")</f>
        <v>21</v>
      </c>
      <c r="AJ11" s="618" t="str">
        <f ca="1">IFERROR(INDEX('Moon Calendar'!$L$2:$L$65,AL8),"")</f>
        <v></v>
      </c>
      <c r="AK11" s="296">
        <f>IFERROR(DAY(AJ10),"")</f>
        <v>27</v>
      </c>
      <c r="AL11" s="297" t="str">
        <f>REPT(CHAR(160),10)</f>
        <v>          </v>
      </c>
      <c r="AM11" s="618" t="str">
        <f ca="1">IFERROR(INDEX('Moon Calendar'!$L$2:$L$65,AU5),"")</f>
        <v></v>
      </c>
      <c r="AN11" s="295" t="str">
        <f>IF(AP10="","",DAY(AP10) &amp; IF(AT10&lt;&gt;"","/" &amp; DAY(AT10),""))</f>
        <v>4</v>
      </c>
      <c r="AO11" s="618" t="str">
        <f ca="1">IFERROR(INDEX('Moon Calendar'!$L$2:$L$65,AU6),"")</f>
        <v></v>
      </c>
      <c r="AP11" s="296">
        <f>IFERROR(DAY(AQ10),"")</f>
        <v>12</v>
      </c>
      <c r="AQ11" s="618" t="str">
        <f ca="1">IFERROR(INDEX('Moon Calendar'!$L$2:$L$65,AU7),"")</f>
        <v></v>
      </c>
      <c r="AR11" s="296">
        <f>IFERROR(DAY(AR10),"")</f>
        <v>19</v>
      </c>
      <c r="AS11" s="618" t="str">
        <f ca="1">IFERROR(INDEX('Moon Calendar'!$L$2:$L$65,AU8),"")</f>
        <v></v>
      </c>
      <c r="AT11" s="296">
        <f>IFERROR(DAY(AS10),"")</f>
        <v>26</v>
      </c>
      <c r="AU11" s="298" t="str">
        <f>AL11</f>
        <v>          </v>
      </c>
      <c r="AV11" s="618" t="str">
        <f ca="1">IFERROR(INDEX('Moon Calendar'!$L$2:$L$65,BD5),"")</f>
        <v></v>
      </c>
      <c r="AW11" s="295" t="str">
        <f>IF(AY10="","",DAY(AY10) &amp; IF(BC10&lt;&gt;"","/" &amp; DAY(BC10),""))</f>
        <v>6</v>
      </c>
      <c r="AX11" s="618" t="str">
        <f ca="1">IFERROR(INDEX('Moon Calendar'!$L$2:$L$65,BD6),"")</f>
        <v></v>
      </c>
      <c r="AY11" s="296">
        <f>IFERROR(DAY(AZ10),"")</f>
        <v>14</v>
      </c>
      <c r="AZ11" s="618" t="str">
        <f ca="1">IFERROR(INDEX('Moon Calendar'!$L$2:$L$65,BD7),"")</f>
        <v></v>
      </c>
      <c r="BA11" s="296">
        <f>IFERROR(DAY(BA10),"")</f>
        <v>20</v>
      </c>
      <c r="BB11" s="618" t="str">
        <f ca="1">IFERROR(INDEX('Moon Calendar'!$L$2:$L$65,BD8),"")</f>
        <v></v>
      </c>
      <c r="BC11" s="296">
        <f>IFERROR(DAY(BB10),"")</f>
        <v>28</v>
      </c>
      <c r="BD11" s="300" t="str">
        <f>AL11</f>
        <v>          </v>
      </c>
    </row>
    <row r="12" spans="1:61" ht="18" x14ac:dyDescent="0.2">
      <c r="A12" s="219"/>
      <c r="C12" s="909" t="str">
        <f ca="1">UPPER('GPlan-Translations'!C229)</f>
        <v>ABRIL</v>
      </c>
      <c r="D12" s="910"/>
      <c r="E12" s="910"/>
      <c r="F12" s="910"/>
      <c r="G12" s="910"/>
      <c r="H12" s="910"/>
      <c r="I12" s="911"/>
      <c r="L12" s="909" t="str">
        <f ca="1">UPPER('GPlan-Translations'!C230)</f>
        <v>MAIO</v>
      </c>
      <c r="M12" s="910"/>
      <c r="N12" s="910"/>
      <c r="O12" s="910"/>
      <c r="P12" s="910"/>
      <c r="Q12" s="910"/>
      <c r="R12" s="911"/>
      <c r="S12" s="219"/>
      <c r="T12" s="219"/>
      <c r="U12" s="909" t="str">
        <f ca="1">UPPER('GPlan-Translations'!C231)</f>
        <v>JUNHO</v>
      </c>
      <c r="V12" s="910"/>
      <c r="W12" s="910"/>
      <c r="X12" s="910"/>
      <c r="Y12" s="910"/>
      <c r="Z12" s="910"/>
      <c r="AA12" s="911"/>
      <c r="AB12" s="219"/>
      <c r="AC12" s="217"/>
      <c r="AD12" s="292" t="str">
        <f>TEXT(AE12,"00")</f>
        <v>04</v>
      </c>
      <c r="AE12" s="220">
        <v>4</v>
      </c>
      <c r="AF12" s="221">
        <f>DATE(AJ12,AE12,1)</f>
        <v>43556</v>
      </c>
      <c r="AG12" s="221">
        <f>DATE(AJ12,AE12+1,1)-1</f>
        <v>43585</v>
      </c>
      <c r="AH12" s="221">
        <f>WEEKDAY(AF12,2)</f>
        <v>1</v>
      </c>
      <c r="AI12" s="222"/>
      <c r="AJ12" s="905">
        <f>$U$1</f>
        <v>2019</v>
      </c>
      <c r="AK12" s="906"/>
      <c r="AM12" s="292" t="str">
        <f>TEXT(AN12,"00")</f>
        <v>05</v>
      </c>
      <c r="AN12" s="220">
        <f>AE12+1</f>
        <v>5</v>
      </c>
      <c r="AO12" s="221">
        <f>DATE(AS12,AN12,1)</f>
        <v>43586</v>
      </c>
      <c r="AP12" s="221">
        <f>DATE(AS12,AN12+1,1)-1</f>
        <v>43616</v>
      </c>
      <c r="AQ12" s="221">
        <f>WEEKDAY(AO12,2)</f>
        <v>3</v>
      </c>
      <c r="AR12" s="222"/>
      <c r="AS12" s="905">
        <f>$U$1</f>
        <v>2019</v>
      </c>
      <c r="AT12" s="906"/>
      <c r="AV12" s="292" t="str">
        <f>TEXT(AW12,"00")</f>
        <v>06</v>
      </c>
      <c r="AW12" s="220">
        <f>AN12+1</f>
        <v>6</v>
      </c>
      <c r="AX12" s="221">
        <f>DATE(BB12,AW12,1)</f>
        <v>43617</v>
      </c>
      <c r="AY12" s="221">
        <f>DATE(BB12,AW12+1,1)-1</f>
        <v>43646</v>
      </c>
      <c r="AZ12" s="221">
        <f>WEEKDAY(AX12,2)</f>
        <v>6</v>
      </c>
      <c r="BA12" s="222"/>
      <c r="BB12" s="905">
        <f>$U$1</f>
        <v>2019</v>
      </c>
      <c r="BC12" s="906"/>
    </row>
    <row r="13" spans="1:61" ht="18" x14ac:dyDescent="0.2">
      <c r="A13" s="219"/>
      <c r="C13" s="223" t="str">
        <f ca="1">'GPlan-Translations'!$C$286</f>
        <v>S</v>
      </c>
      <c r="D13" s="224" t="str">
        <f ca="1">'GPlan-Translations'!$C$287</f>
        <v>T</v>
      </c>
      <c r="E13" s="224" t="str">
        <f ca="1">'GPlan-Translations'!$C$288</f>
        <v>Q</v>
      </c>
      <c r="F13" s="224" t="str">
        <f ca="1">'GPlan-Translations'!$C$289</f>
        <v>Q</v>
      </c>
      <c r="G13" s="224" t="str">
        <f ca="1">'GPlan-Translations'!$C$290</f>
        <v>S</v>
      </c>
      <c r="H13" s="225" t="str">
        <f ca="1">'GPlan-Translations'!$C$291</f>
        <v>S</v>
      </c>
      <c r="I13" s="226" t="str">
        <f ca="1">'GPlan-Translations'!$C$285</f>
        <v>D</v>
      </c>
      <c r="L13" s="223" t="str">
        <f ca="1">'GPlan-Translations'!$C$286</f>
        <v>S</v>
      </c>
      <c r="M13" s="224" t="str">
        <f ca="1">'GPlan-Translations'!$C$287</f>
        <v>T</v>
      </c>
      <c r="N13" s="224" t="str">
        <f ca="1">'GPlan-Translations'!$C$288</f>
        <v>Q</v>
      </c>
      <c r="O13" s="224" t="str">
        <f ca="1">'GPlan-Translations'!$C$289</f>
        <v>Q</v>
      </c>
      <c r="P13" s="224" t="str">
        <f ca="1">'GPlan-Translations'!$C$290</f>
        <v>S</v>
      </c>
      <c r="Q13" s="225" t="str">
        <f ca="1">'GPlan-Translations'!$C$291</f>
        <v>S</v>
      </c>
      <c r="R13" s="226" t="str">
        <f ca="1">'GPlan-Translations'!$C$285</f>
        <v>D</v>
      </c>
      <c r="S13" s="219"/>
      <c r="T13" s="219"/>
      <c r="U13" s="223" t="str">
        <f ca="1">'GPlan-Translations'!$C$286</f>
        <v>S</v>
      </c>
      <c r="V13" s="224" t="str">
        <f ca="1">'GPlan-Translations'!$C$287</f>
        <v>T</v>
      </c>
      <c r="W13" s="224" t="str">
        <f ca="1">'GPlan-Translations'!$C$288</f>
        <v>Q</v>
      </c>
      <c r="X13" s="224" t="str">
        <f ca="1">'GPlan-Translations'!$C$289</f>
        <v>Q</v>
      </c>
      <c r="Y13" s="224" t="str">
        <f ca="1">'GPlan-Translations'!$C$290</f>
        <v>S</v>
      </c>
      <c r="Z13" s="225" t="str">
        <f ca="1">'GPlan-Translations'!$C$291</f>
        <v>S</v>
      </c>
      <c r="AA13" s="226" t="str">
        <f ca="1">'GPlan-Translations'!$C$285</f>
        <v>D</v>
      </c>
      <c r="AB13" s="219"/>
      <c r="AC13" s="217"/>
      <c r="AD13" s="104"/>
      <c r="AE13" s="227" t="str">
        <f t="shared" ref="AE13:AK13" ca="1" si="9">C13</f>
        <v>S</v>
      </c>
      <c r="AF13" s="228" t="str">
        <f t="shared" ca="1" si="9"/>
        <v>T</v>
      </c>
      <c r="AG13" s="228" t="str">
        <f t="shared" ca="1" si="9"/>
        <v>Q</v>
      </c>
      <c r="AH13" s="228" t="str">
        <f t="shared" ca="1" si="9"/>
        <v>Q</v>
      </c>
      <c r="AI13" s="228" t="str">
        <f t="shared" ca="1" si="9"/>
        <v>S</v>
      </c>
      <c r="AJ13" s="229" t="str">
        <f t="shared" ca="1" si="9"/>
        <v>S</v>
      </c>
      <c r="AK13" s="230" t="str">
        <f t="shared" ca="1" si="9"/>
        <v>D</v>
      </c>
      <c r="AM13" s="104"/>
      <c r="AN13" s="227" t="str">
        <f t="shared" ref="AN13:AT13" ca="1" si="10">L13</f>
        <v>S</v>
      </c>
      <c r="AO13" s="228" t="str">
        <f t="shared" ca="1" si="10"/>
        <v>T</v>
      </c>
      <c r="AP13" s="228" t="str">
        <f t="shared" ca="1" si="10"/>
        <v>Q</v>
      </c>
      <c r="AQ13" s="228" t="str">
        <f t="shared" ca="1" si="10"/>
        <v>Q</v>
      </c>
      <c r="AR13" s="228" t="str">
        <f t="shared" ca="1" si="10"/>
        <v>S</v>
      </c>
      <c r="AS13" s="229" t="str">
        <f t="shared" ca="1" si="10"/>
        <v>S</v>
      </c>
      <c r="AT13" s="230" t="str">
        <f t="shared" ca="1" si="10"/>
        <v>D</v>
      </c>
      <c r="AV13" s="104"/>
      <c r="AW13" s="227" t="str">
        <f t="shared" ref="AW13:BC13" ca="1" si="11">U13</f>
        <v>S</v>
      </c>
      <c r="AX13" s="228" t="str">
        <f t="shared" ca="1" si="11"/>
        <v>T</v>
      </c>
      <c r="AY13" s="228" t="str">
        <f t="shared" ca="1" si="11"/>
        <v>Q</v>
      </c>
      <c r="AZ13" s="228" t="str">
        <f t="shared" ca="1" si="11"/>
        <v>Q</v>
      </c>
      <c r="BA13" s="228" t="str">
        <f t="shared" ca="1" si="11"/>
        <v>S</v>
      </c>
      <c r="BB13" s="229" t="str">
        <f t="shared" ca="1" si="11"/>
        <v>S</v>
      </c>
      <c r="BC13" s="230" t="str">
        <f t="shared" ca="1" si="11"/>
        <v>D</v>
      </c>
    </row>
    <row r="14" spans="1:61" ht="18" x14ac:dyDescent="0.2">
      <c r="A14" s="219"/>
      <c r="B14" s="250">
        <f>B15-1</f>
        <v>14</v>
      </c>
      <c r="C14" s="232">
        <f>IF(AH12=1,AF12," ")</f>
        <v>43556</v>
      </c>
      <c r="D14" s="233">
        <f>IF(AH12=2,AF12,IF(C14=" "," ",C14+1))</f>
        <v>43557</v>
      </c>
      <c r="E14" s="233">
        <f>IF(AH12=3,AF12,IF(D14=" "," ",D14+1))</f>
        <v>43558</v>
      </c>
      <c r="F14" s="233">
        <f>IF(AH12=4,AF12,IF(E14=" "," ",E14+1))</f>
        <v>43559</v>
      </c>
      <c r="G14" s="233">
        <f>IF(AH12=5,AF12,IF(F14=" "," ",F14+1))</f>
        <v>43560</v>
      </c>
      <c r="H14" s="234">
        <f>IF(AH12=6,AF12,IF(G14=" "," ",G14+1))</f>
        <v>43561</v>
      </c>
      <c r="I14" s="235">
        <f>IF(AH12=7,AF12,H14+1)</f>
        <v>43562</v>
      </c>
      <c r="K14" s="231">
        <f>K15-1</f>
        <v>18</v>
      </c>
      <c r="L14" s="232" t="str">
        <f>IF(AQ12=1,AO12," ")</f>
        <v xml:space="preserve"> </v>
      </c>
      <c r="M14" s="233" t="str">
        <f>IF(AQ12=2,AO12,IF(L14=" "," ",L14+1))</f>
        <v xml:space="preserve"> </v>
      </c>
      <c r="N14" s="233">
        <f>IF(AQ12=3,AO12,IF(M14=" "," ",M14+1))</f>
        <v>43586</v>
      </c>
      <c r="O14" s="233">
        <f>IF(AQ12=4,AO12,IF(N14=" "," ",N14+1))</f>
        <v>43587</v>
      </c>
      <c r="P14" s="233">
        <f>IF(AQ12=5,AO12,IF(O14=" "," ",O14+1))</f>
        <v>43588</v>
      </c>
      <c r="Q14" s="234">
        <f>IF(AQ12=6,AO12,IF(P14=" "," ",P14+1))</f>
        <v>43589</v>
      </c>
      <c r="R14" s="235">
        <f>IF(AQ12=7,AO12,Q14+1)</f>
        <v>43590</v>
      </c>
      <c r="S14" s="219"/>
      <c r="T14" s="250">
        <f>T15-1</f>
        <v>22</v>
      </c>
      <c r="U14" s="232" t="str">
        <f>IF(AZ12=1,AX12," ")</f>
        <v xml:space="preserve"> </v>
      </c>
      <c r="V14" s="233" t="str">
        <f>IF(AZ12=2,AX12,IF(U14=" "," ",U14+1))</f>
        <v xml:space="preserve"> </v>
      </c>
      <c r="W14" s="233" t="str">
        <f>IF(AZ12=3,AX12,IF(V14=" "," ",V14+1))</f>
        <v xml:space="preserve"> </v>
      </c>
      <c r="X14" s="233" t="str">
        <f>IF(AZ12=4,AX12,IF(W14=" "," ",W14+1))</f>
        <v xml:space="preserve"> </v>
      </c>
      <c r="Y14" s="233" t="str">
        <f>IF(AZ12=5,AX12,IF(X14=" "," ",X14+1))</f>
        <v xml:space="preserve"> </v>
      </c>
      <c r="Z14" s="234">
        <f>IF(AZ12=6,AX12,IF(Y14=" "," ",Y14+1))</f>
        <v>43617</v>
      </c>
      <c r="AA14" s="235">
        <f>IF(AZ12=7,AX12,Z14+1)</f>
        <v>43618</v>
      </c>
      <c r="AB14" s="219"/>
      <c r="AC14" s="217"/>
      <c r="AD14" s="236" t="str">
        <f>AD12 &amp; "." &amp;AG$2</f>
        <v>04.1</v>
      </c>
      <c r="AE14" s="237" t="str">
        <f ca="1">IFERROR(INDEX('GCal-Year'!$F$2:$F$435,MATCH(C14,'GCal-Year'!$A$2:$A$435,0)),"")</f>
        <v>E</v>
      </c>
      <c r="AF14" s="238" t="str">
        <f ca="1">IFERROR(INDEX('GCal-Year'!$F$2:$F$435,MATCH(D14,'GCal-Year'!$A$2:$A$435,0)),"")</f>
        <v/>
      </c>
      <c r="AG14" s="238" t="str">
        <f ca="1">IFERROR(INDEX('GCal-Year'!$F$2:$F$435,MATCH(E14,'GCal-Year'!$A$2:$A$435,0)),"")</f>
        <v/>
      </c>
      <c r="AH14" s="238" t="str">
        <f ca="1">IFERROR(INDEX('GCal-Year'!$F$2:$F$435,MATCH(F14,'GCal-Year'!$A$2:$A$435,0)),"")</f>
        <v/>
      </c>
      <c r="AI14" s="238" t="str">
        <f ca="1">IFERROR(INDEX('GCal-Year'!$F$2:$F$435,MATCH(G14,'GCal-Year'!$A$2:$A$435,0)),"")</f>
        <v/>
      </c>
      <c r="AJ14" s="239" t="str">
        <f ca="1">IFERROR(INDEX('GCal-Year'!$F$2:$F$435,MATCH(H14,'GCal-Year'!$A$2:$A$435,0)),"")</f>
        <v/>
      </c>
      <c r="AK14" s="240" t="str">
        <f ca="1">IFERROR(INDEX('GCal-Year'!$F$2:$F$435,MATCH(I14,'GCal-Year'!$A$2:$A$435,0)),"")</f>
        <v/>
      </c>
      <c r="AL14" s="292">
        <f>IFERROR(MATCH(AD14,'Moon Calendar'!$I$2:$I$65,0),"")</f>
        <v>17</v>
      </c>
      <c r="AM14" s="236" t="str">
        <f>AM12 &amp; "." &amp;AP$2</f>
        <v>05.1</v>
      </c>
      <c r="AN14" s="237" t="str">
        <f>IFERROR(INDEX('GCal-Year'!$F$2:$F$435,MATCH(L14,'GCal-Year'!$A$2:$A$435,0)),"")</f>
        <v/>
      </c>
      <c r="AO14" s="238" t="str">
        <f>IFERROR(INDEX('GCal-Year'!$F$2:$F$435,MATCH(M14,'GCal-Year'!$A$2:$A$435,0)),"")</f>
        <v/>
      </c>
      <c r="AP14" s="238" t="str">
        <f ca="1">IFERROR(INDEX('GCal-Year'!$F$2:$F$435,MATCH(N14,'GCal-Year'!$A$2:$A$435,0)),"")</f>
        <v>H</v>
      </c>
      <c r="AQ14" s="238" t="str">
        <f ca="1">IFERROR(INDEX('GCal-Year'!$F$2:$F$435,MATCH(O14,'GCal-Year'!$A$2:$A$435,0)),"")</f>
        <v/>
      </c>
      <c r="AR14" s="238" t="str">
        <f ca="1">IFERROR(INDEX('GCal-Year'!$F$2:$F$435,MATCH(P14,'GCal-Year'!$A$2:$A$435,0)),"")</f>
        <v/>
      </c>
      <c r="AS14" s="239" t="str">
        <f ca="1">IFERROR(INDEX('GCal-Year'!$F$2:$F$435,MATCH(Q14,'GCal-Year'!$A$2:$A$435,0)),"")</f>
        <v>C</v>
      </c>
      <c r="AT14" s="240" t="str">
        <f ca="1">IFERROR(INDEX('GCal-Year'!$F$2:$F$435,MATCH(R14,'GCal-Year'!$A$2:$A$435,0)),"")</f>
        <v/>
      </c>
      <c r="AU14" s="292">
        <f>IFERROR(MATCH(AM14,'Moon Calendar'!$I$2:$I$65,0),"")</f>
        <v>21</v>
      </c>
      <c r="AV14" s="236" t="str">
        <f>AV12 &amp; "." &amp;AY$2</f>
        <v>06.1</v>
      </c>
      <c r="AW14" s="237" t="str">
        <f>IFERROR(INDEX('GCal-Year'!$F$2:$F$435,MATCH(U14,'GCal-Year'!$A$2:$A$435,0)),"")</f>
        <v/>
      </c>
      <c r="AX14" s="238" t="str">
        <f>IFERROR(INDEX('GCal-Year'!$F$2:$F$435,MATCH(V14,'GCal-Year'!$A$2:$A$435,0)),"")</f>
        <v/>
      </c>
      <c r="AY14" s="238" t="str">
        <f>IFERROR(INDEX('GCal-Year'!$F$2:$F$435,MATCH(W14,'GCal-Year'!$A$2:$A$435,0)),"")</f>
        <v/>
      </c>
      <c r="AZ14" s="238" t="str">
        <f>IFERROR(INDEX('GCal-Year'!$F$2:$F$435,MATCH(X14,'GCal-Year'!$A$2:$A$435,0)),"")</f>
        <v/>
      </c>
      <c r="BA14" s="238" t="str">
        <f>IFERROR(INDEX('GCal-Year'!$F$2:$F$435,MATCH(Y14,'GCal-Year'!$A$2:$A$435,0)),"")</f>
        <v/>
      </c>
      <c r="BB14" s="239" t="str">
        <f ca="1">IFERROR(INDEX('GCal-Year'!$F$2:$F$435,MATCH(Z14,'GCal-Year'!$A$2:$A$435,0)),"")</f>
        <v/>
      </c>
      <c r="BC14" s="240" t="str">
        <f ca="1">IFERROR(INDEX('GCal-Year'!$F$2:$F$435,MATCH(AA14,'GCal-Year'!$A$2:$A$435,0)),"")</f>
        <v/>
      </c>
      <c r="BD14" s="292">
        <f>IFERROR(MATCH(AV14,'Moon Calendar'!$I$2:$I$65,0),"")</f>
        <v>25</v>
      </c>
    </row>
    <row r="15" spans="1:61" ht="18" x14ac:dyDescent="0.2">
      <c r="A15" s="219"/>
      <c r="B15" s="250">
        <f>INDEX('GCal-Year'!$C$2:$C$435,MATCH(C15,'GCal-Year'!$A$2:$A$435,0))</f>
        <v>15</v>
      </c>
      <c r="C15" s="232">
        <f>I14+1</f>
        <v>43563</v>
      </c>
      <c r="D15" s="233">
        <f t="shared" ref="D15:I17" si="12">C15+1</f>
        <v>43564</v>
      </c>
      <c r="E15" s="233">
        <f t="shared" si="12"/>
        <v>43565</v>
      </c>
      <c r="F15" s="233">
        <f t="shared" si="12"/>
        <v>43566</v>
      </c>
      <c r="G15" s="233">
        <f t="shared" si="12"/>
        <v>43567</v>
      </c>
      <c r="H15" s="234">
        <f t="shared" si="12"/>
        <v>43568</v>
      </c>
      <c r="I15" s="235">
        <f t="shared" si="12"/>
        <v>43569</v>
      </c>
      <c r="K15" s="231">
        <f>INDEX('GCal-Year'!$C$2:$C$435,MATCH(L15,'GCal-Year'!$A$2:$A$435,0))</f>
        <v>19</v>
      </c>
      <c r="L15" s="232">
        <f>R14+1</f>
        <v>43591</v>
      </c>
      <c r="M15" s="233">
        <f t="shared" ref="M15:R17" si="13">L15+1</f>
        <v>43592</v>
      </c>
      <c r="N15" s="233">
        <f t="shared" si="13"/>
        <v>43593</v>
      </c>
      <c r="O15" s="233">
        <f t="shared" si="13"/>
        <v>43594</v>
      </c>
      <c r="P15" s="233">
        <f t="shared" si="13"/>
        <v>43595</v>
      </c>
      <c r="Q15" s="234">
        <f t="shared" si="13"/>
        <v>43596</v>
      </c>
      <c r="R15" s="235">
        <f t="shared" si="13"/>
        <v>43597</v>
      </c>
      <c r="S15" s="219"/>
      <c r="T15" s="250">
        <f>INDEX('GCal-Year'!$C$2:$C$435,MATCH(U15,'GCal-Year'!$A$2:$A$435,0))</f>
        <v>23</v>
      </c>
      <c r="U15" s="232">
        <f>AA14+1</f>
        <v>43619</v>
      </c>
      <c r="V15" s="233">
        <f t="shared" ref="V15:AA17" si="14">U15+1</f>
        <v>43620</v>
      </c>
      <c r="W15" s="233">
        <f t="shared" si="14"/>
        <v>43621</v>
      </c>
      <c r="X15" s="233">
        <f t="shared" si="14"/>
        <v>43622</v>
      </c>
      <c r="Y15" s="233">
        <f t="shared" si="14"/>
        <v>43623</v>
      </c>
      <c r="Z15" s="234">
        <f t="shared" si="14"/>
        <v>43624</v>
      </c>
      <c r="AA15" s="235">
        <f t="shared" si="14"/>
        <v>43625</v>
      </c>
      <c r="AB15" s="219"/>
      <c r="AC15" s="217"/>
      <c r="AD15" s="236" t="str">
        <f>AD12 &amp; "." &amp;AH$2</f>
        <v>04.2</v>
      </c>
      <c r="AE15" s="237" t="str">
        <f ca="1">IFERROR(INDEX('GCal-Year'!$F$2:$F$435,MATCH(C15,'GCal-Year'!$A$2:$A$435,0)),"")</f>
        <v/>
      </c>
      <c r="AF15" s="238" t="str">
        <f ca="1">IFERROR(INDEX('GCal-Year'!$F$2:$F$435,MATCH(D15,'GCal-Year'!$A$2:$A$435,0)),"")</f>
        <v/>
      </c>
      <c r="AG15" s="238" t="str">
        <f ca="1">IFERROR(INDEX('GCal-Year'!$F$2:$F$435,MATCH(E15,'GCal-Year'!$A$2:$A$435,0)),"")</f>
        <v>C</v>
      </c>
      <c r="AH15" s="238" t="str">
        <f ca="1">IFERROR(INDEX('GCal-Year'!$F$2:$F$435,MATCH(F15,'GCal-Year'!$A$2:$A$435,0)),"")</f>
        <v/>
      </c>
      <c r="AI15" s="238" t="str">
        <f ca="1">IFERROR(INDEX('GCal-Year'!$F$2:$F$435,MATCH(G15,'GCal-Year'!$A$2:$A$435,0)),"")</f>
        <v/>
      </c>
      <c r="AJ15" s="239" t="str">
        <f ca="1">IFERROR(INDEX('GCal-Year'!$F$2:$F$435,MATCH(H15,'GCal-Year'!$A$2:$A$435,0)),"")</f>
        <v>P</v>
      </c>
      <c r="AK15" s="240" t="str">
        <f ca="1">IFERROR(INDEX('GCal-Year'!$F$2:$F$435,MATCH(I15,'GCal-Year'!$A$2:$A$435,0)),"")</f>
        <v>C</v>
      </c>
      <c r="AL15" s="292">
        <f>IFERROR(MATCH(AD15,'Moon Calendar'!$I$2:$I$65,0),"")</f>
        <v>18</v>
      </c>
      <c r="AM15" s="236" t="str">
        <f>AM12 &amp; "." &amp;AQ$2</f>
        <v>05.2</v>
      </c>
      <c r="AN15" s="237" t="str">
        <f ca="1">IFERROR(INDEX('GCal-Year'!$F$2:$F$435,MATCH(L15,'GCal-Year'!$A$2:$A$435,0)),"")</f>
        <v/>
      </c>
      <c r="AO15" s="238" t="str">
        <f ca="1">IFERROR(INDEX('GCal-Year'!$F$2:$F$435,MATCH(M15,'GCal-Year'!$A$2:$A$435,0)),"")</f>
        <v>C</v>
      </c>
      <c r="AP15" s="238" t="str">
        <f ca="1">IFERROR(INDEX('GCal-Year'!$F$2:$F$435,MATCH(N15,'GCal-Year'!$A$2:$A$435,0)),"")</f>
        <v/>
      </c>
      <c r="AQ15" s="238" t="str">
        <f ca="1">IFERROR(INDEX('GCal-Year'!$F$2:$F$435,MATCH(O15,'GCal-Year'!$A$2:$A$435,0)),"")</f>
        <v/>
      </c>
      <c r="AR15" s="238" t="str">
        <f ca="1">IFERROR(INDEX('GCal-Year'!$F$2:$F$435,MATCH(P15,'GCal-Year'!$A$2:$A$435,0)),"")</f>
        <v/>
      </c>
      <c r="AS15" s="239" t="str">
        <f ca="1">IFERROR(INDEX('GCal-Year'!$F$2:$F$435,MATCH(Q15,'GCal-Year'!$A$2:$A$435,0)),"")</f>
        <v>C</v>
      </c>
      <c r="AT15" s="240" t="str">
        <f ca="1">IFERROR(INDEX('GCal-Year'!$F$2:$F$435,MATCH(R15,'GCal-Year'!$A$2:$A$435,0)),"")</f>
        <v>C</v>
      </c>
      <c r="AU15" s="292">
        <f>IFERROR(MATCH(AM15,'Moon Calendar'!$I$2:$I$65,0),"")</f>
        <v>22</v>
      </c>
      <c r="AV15" s="236" t="str">
        <f>AV12 &amp; "." &amp;AZ$2</f>
        <v>06.2</v>
      </c>
      <c r="AW15" s="237" t="str">
        <f ca="1">IFERROR(INDEX('GCal-Year'!$F$2:$F$435,MATCH(U15,'GCal-Year'!$A$2:$A$435,0)),"")</f>
        <v/>
      </c>
      <c r="AX15" s="238" t="str">
        <f ca="1">IFERROR(INDEX('GCal-Year'!$F$2:$F$435,MATCH(V15,'GCal-Year'!$A$2:$A$435,0)),"")</f>
        <v/>
      </c>
      <c r="AY15" s="238" t="str">
        <f ca="1">IFERROR(INDEX('GCal-Year'!$F$2:$F$435,MATCH(W15,'GCal-Year'!$A$2:$A$435,0)),"")</f>
        <v/>
      </c>
      <c r="AZ15" s="238" t="str">
        <f ca="1">IFERROR(INDEX('GCal-Year'!$F$2:$F$435,MATCH(X15,'GCal-Year'!$A$2:$A$435,0)),"")</f>
        <v/>
      </c>
      <c r="BA15" s="238" t="str">
        <f ca="1">IFERROR(INDEX('GCal-Year'!$F$2:$F$435,MATCH(Y15,'GCal-Year'!$A$2:$A$435,0)),"")</f>
        <v/>
      </c>
      <c r="BB15" s="239" t="str">
        <f ca="1">IFERROR(INDEX('GCal-Year'!$F$2:$F$435,MATCH(Z15,'GCal-Year'!$A$2:$A$435,0)),"")</f>
        <v/>
      </c>
      <c r="BC15" s="240" t="str">
        <f ca="1">IFERROR(INDEX('GCal-Year'!$F$2:$F$435,MATCH(AA15,'GCal-Year'!$A$2:$A$435,0)),"")</f>
        <v/>
      </c>
      <c r="BD15" s="292">
        <f>IFERROR(MATCH(AV15,'Moon Calendar'!$I$2:$I$65,0),"")</f>
        <v>26</v>
      </c>
    </row>
    <row r="16" spans="1:61" ht="18" x14ac:dyDescent="0.2">
      <c r="A16" s="219"/>
      <c r="B16" s="250">
        <f>B15+1</f>
        <v>16</v>
      </c>
      <c r="C16" s="232">
        <f>I15+1</f>
        <v>43570</v>
      </c>
      <c r="D16" s="233">
        <f t="shared" si="12"/>
        <v>43571</v>
      </c>
      <c r="E16" s="233">
        <f t="shared" si="12"/>
        <v>43572</v>
      </c>
      <c r="F16" s="233">
        <f t="shared" si="12"/>
        <v>43573</v>
      </c>
      <c r="G16" s="233">
        <f t="shared" si="12"/>
        <v>43574</v>
      </c>
      <c r="H16" s="234">
        <f t="shared" si="12"/>
        <v>43575</v>
      </c>
      <c r="I16" s="235">
        <f t="shared" si="12"/>
        <v>43576</v>
      </c>
      <c r="K16" s="231">
        <f>K15+1</f>
        <v>20</v>
      </c>
      <c r="L16" s="232">
        <f>R15+1</f>
        <v>43598</v>
      </c>
      <c r="M16" s="233">
        <f t="shared" si="13"/>
        <v>43599</v>
      </c>
      <c r="N16" s="233">
        <f t="shared" si="13"/>
        <v>43600</v>
      </c>
      <c r="O16" s="233">
        <f t="shared" si="13"/>
        <v>43601</v>
      </c>
      <c r="P16" s="233">
        <f t="shared" si="13"/>
        <v>43602</v>
      </c>
      <c r="Q16" s="234">
        <f t="shared" si="13"/>
        <v>43603</v>
      </c>
      <c r="R16" s="235">
        <f t="shared" si="13"/>
        <v>43604</v>
      </c>
      <c r="S16" s="219"/>
      <c r="T16" s="250">
        <f>T15+1</f>
        <v>24</v>
      </c>
      <c r="U16" s="232">
        <f>AA15+1</f>
        <v>43626</v>
      </c>
      <c r="V16" s="233">
        <f t="shared" si="14"/>
        <v>43627</v>
      </c>
      <c r="W16" s="233">
        <f t="shared" si="14"/>
        <v>43628</v>
      </c>
      <c r="X16" s="233">
        <f t="shared" si="14"/>
        <v>43629</v>
      </c>
      <c r="Y16" s="233">
        <f t="shared" si="14"/>
        <v>43630</v>
      </c>
      <c r="Z16" s="234">
        <f t="shared" si="14"/>
        <v>43631</v>
      </c>
      <c r="AA16" s="235">
        <f t="shared" si="14"/>
        <v>43632</v>
      </c>
      <c r="AB16" s="219"/>
      <c r="AC16" s="217"/>
      <c r="AD16" s="236" t="str">
        <f>AD12 &amp; "." &amp;AI$2</f>
        <v>04.3</v>
      </c>
      <c r="AE16" s="237" t="str">
        <f ca="1">IFERROR(INDEX('GCal-Year'!$F$2:$F$435,MATCH(C16,'GCal-Year'!$A$2:$A$435,0)),"")</f>
        <v>E</v>
      </c>
      <c r="AF16" s="238" t="str">
        <f ca="1">IFERROR(INDEX('GCal-Year'!$F$2:$F$435,MATCH(D16,'GCal-Year'!$A$2:$A$435,0)),"")</f>
        <v>C</v>
      </c>
      <c r="AG16" s="238" t="str">
        <f ca="1">IFERROR(INDEX('GCal-Year'!$F$2:$F$435,MATCH(E16,'GCal-Year'!$A$2:$A$435,0)),"")</f>
        <v/>
      </c>
      <c r="AH16" s="238" t="str">
        <f ca="1">IFERROR(INDEX('GCal-Year'!$F$2:$F$435,MATCH(F16,'GCal-Year'!$A$2:$A$435,0)),"")</f>
        <v>C</v>
      </c>
      <c r="AI16" s="238" t="str">
        <f ca="1">IFERROR(INDEX('GCal-Year'!$F$2:$F$435,MATCH(G16,'GCal-Year'!$A$2:$A$435,0)),"")</f>
        <v>H</v>
      </c>
      <c r="AJ16" s="239" t="str">
        <f ca="1">IFERROR(INDEX('GCal-Year'!$F$2:$F$435,MATCH(H16,'GCal-Year'!$A$2:$A$435,0)),"")</f>
        <v>C</v>
      </c>
      <c r="AK16" s="240" t="str">
        <f ca="1">IFERROR(INDEX('GCal-Year'!$F$2:$F$435,MATCH(I16,'GCal-Year'!$A$2:$A$435,0)),"")</f>
        <v>H</v>
      </c>
      <c r="AL16" s="292">
        <f>IFERROR(MATCH(AD16,'Moon Calendar'!$I$2:$I$65,0),"")</f>
        <v>19</v>
      </c>
      <c r="AM16" s="236" t="str">
        <f>AM12 &amp; "." &amp;AR$2</f>
        <v>05.3</v>
      </c>
      <c r="AN16" s="237" t="str">
        <f ca="1">IFERROR(INDEX('GCal-Year'!$F$2:$F$435,MATCH(L16,'GCal-Year'!$A$2:$A$435,0)),"")</f>
        <v>C</v>
      </c>
      <c r="AO16" s="238" t="str">
        <f ca="1">IFERROR(INDEX('GCal-Year'!$F$2:$F$435,MATCH(M16,'GCal-Year'!$A$2:$A$435,0)),"")</f>
        <v>C</v>
      </c>
      <c r="AP16" s="238" t="str">
        <f ca="1">IFERROR(INDEX('GCal-Year'!$F$2:$F$435,MATCH(N16,'GCal-Year'!$A$2:$A$435,0)),"")</f>
        <v>E</v>
      </c>
      <c r="AQ16" s="238" t="str">
        <f ca="1">IFERROR(INDEX('GCal-Year'!$F$2:$F$435,MATCH(O16,'GCal-Year'!$A$2:$A$435,0)),"")</f>
        <v>C</v>
      </c>
      <c r="AR16" s="238" t="str">
        <f ca="1">IFERROR(INDEX('GCal-Year'!$F$2:$F$435,MATCH(P16,'GCal-Year'!$A$2:$A$435,0)),"")</f>
        <v>P</v>
      </c>
      <c r="AS16" s="239" t="str">
        <f ca="1">IFERROR(INDEX('GCal-Year'!$F$2:$F$435,MATCH(Q16,'GCal-Year'!$A$2:$A$435,0)),"")</f>
        <v>C</v>
      </c>
      <c r="AT16" s="240" t="str">
        <f ca="1">IFERROR(INDEX('GCal-Year'!$F$2:$F$435,MATCH(R16,'GCal-Year'!$A$2:$A$435,0)),"")</f>
        <v/>
      </c>
      <c r="AU16" s="292">
        <f>IFERROR(MATCH(AM16,'Moon Calendar'!$I$2:$I$65,0),"")</f>
        <v>23</v>
      </c>
      <c r="AV16" s="236" t="str">
        <f>AV12 &amp; "." &amp;BA$2</f>
        <v>06.3</v>
      </c>
      <c r="AW16" s="237" t="str">
        <f ca="1">IFERROR(INDEX('GCal-Year'!$F$2:$F$435,MATCH(U16,'GCal-Year'!$A$2:$A$435,0)),"")</f>
        <v/>
      </c>
      <c r="AX16" s="238" t="str">
        <f ca="1">IFERROR(INDEX('GCal-Year'!$F$2:$F$435,MATCH(V16,'GCal-Year'!$A$2:$A$435,0)),"")</f>
        <v/>
      </c>
      <c r="AY16" s="238" t="str">
        <f ca="1">IFERROR(INDEX('GCal-Year'!$F$2:$F$435,MATCH(W16,'GCal-Year'!$A$2:$A$435,0)),"")</f>
        <v>C</v>
      </c>
      <c r="AZ16" s="238" t="str">
        <f ca="1">IFERROR(INDEX('GCal-Year'!$F$2:$F$435,MATCH(X16,'GCal-Year'!$A$2:$A$435,0)),"")</f>
        <v>E</v>
      </c>
      <c r="BA16" s="238" t="str">
        <f ca="1">IFERROR(INDEX('GCal-Year'!$F$2:$F$435,MATCH(Y16,'GCal-Year'!$A$2:$A$435,0)),"")</f>
        <v/>
      </c>
      <c r="BB16" s="239" t="str">
        <f ca="1">IFERROR(INDEX('GCal-Year'!$F$2:$F$435,MATCH(Z16,'GCal-Year'!$A$2:$A$435,0)),"")</f>
        <v>C</v>
      </c>
      <c r="BC16" s="240" t="str">
        <f ca="1">IFERROR(INDEX('GCal-Year'!$F$2:$F$435,MATCH(AA16,'GCal-Year'!$A$2:$A$435,0)),"")</f>
        <v/>
      </c>
      <c r="BD16" s="292">
        <f>IFERROR(MATCH(AV16,'Moon Calendar'!$I$2:$I$65,0),"")</f>
        <v>27</v>
      </c>
    </row>
    <row r="17" spans="1:56" ht="18" x14ac:dyDescent="0.2">
      <c r="A17" s="219"/>
      <c r="B17" s="250">
        <f>B16+1</f>
        <v>17</v>
      </c>
      <c r="C17" s="232">
        <f>I16+1</f>
        <v>43577</v>
      </c>
      <c r="D17" s="233">
        <f t="shared" si="12"/>
        <v>43578</v>
      </c>
      <c r="E17" s="233">
        <f t="shared" si="12"/>
        <v>43579</v>
      </c>
      <c r="F17" s="233">
        <f t="shared" si="12"/>
        <v>43580</v>
      </c>
      <c r="G17" s="233">
        <f t="shared" si="12"/>
        <v>43581</v>
      </c>
      <c r="H17" s="234">
        <f t="shared" si="12"/>
        <v>43582</v>
      </c>
      <c r="I17" s="235">
        <f t="shared" si="12"/>
        <v>43583</v>
      </c>
      <c r="K17" s="231">
        <f>K16+1</f>
        <v>21</v>
      </c>
      <c r="L17" s="232">
        <f>R16+1</f>
        <v>43605</v>
      </c>
      <c r="M17" s="233">
        <f t="shared" si="13"/>
        <v>43606</v>
      </c>
      <c r="N17" s="233">
        <f t="shared" si="13"/>
        <v>43607</v>
      </c>
      <c r="O17" s="233">
        <f t="shared" si="13"/>
        <v>43608</v>
      </c>
      <c r="P17" s="233">
        <f t="shared" si="13"/>
        <v>43609</v>
      </c>
      <c r="Q17" s="234">
        <f t="shared" si="13"/>
        <v>43610</v>
      </c>
      <c r="R17" s="235">
        <f t="shared" si="13"/>
        <v>43611</v>
      </c>
      <c r="S17" s="219"/>
      <c r="T17" s="250">
        <f>T16+1</f>
        <v>25</v>
      </c>
      <c r="U17" s="232">
        <f>AA16+1</f>
        <v>43633</v>
      </c>
      <c r="V17" s="233">
        <f t="shared" si="14"/>
        <v>43634</v>
      </c>
      <c r="W17" s="233">
        <f t="shared" si="14"/>
        <v>43635</v>
      </c>
      <c r="X17" s="233">
        <f t="shared" si="14"/>
        <v>43636</v>
      </c>
      <c r="Y17" s="233">
        <f t="shared" si="14"/>
        <v>43637</v>
      </c>
      <c r="Z17" s="234">
        <f t="shared" si="14"/>
        <v>43638</v>
      </c>
      <c r="AA17" s="235">
        <f t="shared" si="14"/>
        <v>43639</v>
      </c>
      <c r="AB17" s="219"/>
      <c r="AC17" s="217"/>
      <c r="AD17" s="236" t="str">
        <f>AD12 &amp; "." &amp;AJ$2</f>
        <v>04.4</v>
      </c>
      <c r="AE17" s="237" t="str">
        <f ca="1">IFERROR(INDEX('GCal-Year'!$F$2:$F$435,MATCH(C17,'GCal-Year'!$A$2:$A$435,0)),"")</f>
        <v>C</v>
      </c>
      <c r="AF17" s="238" t="str">
        <f ca="1">IFERROR(INDEX('GCal-Year'!$F$2:$F$435,MATCH(D17,'GCal-Year'!$A$2:$A$435,0)),"")</f>
        <v/>
      </c>
      <c r="AG17" s="238" t="str">
        <f ca="1">IFERROR(INDEX('GCal-Year'!$F$2:$F$435,MATCH(E17,'GCal-Year'!$A$2:$A$435,0)),"")</f>
        <v/>
      </c>
      <c r="AH17" s="238" t="str">
        <f ca="1">IFERROR(INDEX('GCal-Year'!$F$2:$F$435,MATCH(F17,'GCal-Year'!$A$2:$A$435,0)),"")</f>
        <v>C</v>
      </c>
      <c r="AI17" s="238" t="str">
        <f ca="1">IFERROR(INDEX('GCal-Year'!$F$2:$F$435,MATCH(G17,'GCal-Year'!$A$2:$A$435,0)),"")</f>
        <v/>
      </c>
      <c r="AJ17" s="239" t="str">
        <f ca="1">IFERROR(INDEX('GCal-Year'!$F$2:$F$435,MATCH(H17,'GCal-Year'!$A$2:$A$435,0)),"")</f>
        <v/>
      </c>
      <c r="AK17" s="240" t="str">
        <f ca="1">IFERROR(INDEX('GCal-Year'!$F$2:$F$435,MATCH(I17,'GCal-Year'!$A$2:$A$435,0)),"")</f>
        <v/>
      </c>
      <c r="AL17" s="292">
        <f>IFERROR(MATCH(AD17,'Moon Calendar'!$I$2:$I$65,0),"")</f>
        <v>20</v>
      </c>
      <c r="AM17" s="236" t="str">
        <f>AM12 &amp; "." &amp;AS$2</f>
        <v>05.4</v>
      </c>
      <c r="AN17" s="237" t="str">
        <f ca="1">IFERROR(INDEX('GCal-Year'!$F$2:$F$435,MATCH(L17,'GCal-Year'!$A$2:$A$435,0)),"")</f>
        <v/>
      </c>
      <c r="AO17" s="238" t="str">
        <f ca="1">IFERROR(INDEX('GCal-Year'!$F$2:$F$435,MATCH(M17,'GCal-Year'!$A$2:$A$435,0)),"")</f>
        <v/>
      </c>
      <c r="AP17" s="238" t="str">
        <f ca="1">IFERROR(INDEX('GCal-Year'!$F$2:$F$435,MATCH(N17,'GCal-Year'!$A$2:$A$435,0)),"")</f>
        <v/>
      </c>
      <c r="AQ17" s="238" t="str">
        <f ca="1">IFERROR(INDEX('GCal-Year'!$F$2:$F$435,MATCH(O17,'GCal-Year'!$A$2:$A$435,0)),"")</f>
        <v>C</v>
      </c>
      <c r="AR17" s="238" t="str">
        <f ca="1">IFERROR(INDEX('GCal-Year'!$F$2:$F$435,MATCH(P17,'GCal-Year'!$A$2:$A$435,0)),"")</f>
        <v/>
      </c>
      <c r="AS17" s="239" t="str">
        <f ca="1">IFERROR(INDEX('GCal-Year'!$F$2:$F$435,MATCH(Q17,'GCal-Year'!$A$2:$A$435,0)),"")</f>
        <v/>
      </c>
      <c r="AT17" s="240" t="str">
        <f ca="1">IFERROR(INDEX('GCal-Year'!$F$2:$F$435,MATCH(R17,'GCal-Year'!$A$2:$A$435,0)),"")</f>
        <v/>
      </c>
      <c r="AU17" s="292">
        <f>IFERROR(MATCH(AM17,'Moon Calendar'!$I$2:$I$65,0),"")</f>
        <v>24</v>
      </c>
      <c r="AV17" s="236" t="str">
        <f>AV12 &amp; "." &amp;BB$2</f>
        <v>06.4</v>
      </c>
      <c r="AW17" s="237" t="str">
        <f ca="1">IFERROR(INDEX('GCal-Year'!$F$2:$F$435,MATCH(U17,'GCal-Year'!$A$2:$A$435,0)),"")</f>
        <v>C</v>
      </c>
      <c r="AX17" s="238" t="str">
        <f ca="1">IFERROR(INDEX('GCal-Year'!$F$2:$F$435,MATCH(V17,'GCal-Year'!$A$2:$A$435,0)),"")</f>
        <v>C</v>
      </c>
      <c r="AY17" s="238" t="str">
        <f ca="1">IFERROR(INDEX('GCal-Year'!$F$2:$F$435,MATCH(W17,'GCal-Year'!$A$2:$A$435,0)),"")</f>
        <v/>
      </c>
      <c r="AZ17" s="238" t="str">
        <f ca="1">IFERROR(INDEX('GCal-Year'!$F$2:$F$435,MATCH(X17,'GCal-Year'!$A$2:$A$435,0)),"")</f>
        <v>H</v>
      </c>
      <c r="BA17" s="238" t="str">
        <f ca="1">IFERROR(INDEX('GCal-Year'!$F$2:$F$435,MATCH(Y17,'GCal-Year'!$A$2:$A$435,0)),"")</f>
        <v/>
      </c>
      <c r="BB17" s="239" t="str">
        <f ca="1">IFERROR(INDEX('GCal-Year'!$F$2:$F$435,MATCH(Z17,'GCal-Year'!$A$2:$A$435,0)),"")</f>
        <v>C</v>
      </c>
      <c r="BC17" s="240" t="str">
        <f ca="1">IFERROR(INDEX('GCal-Year'!$F$2:$F$435,MATCH(AA17,'GCal-Year'!$A$2:$A$435,0)),"")</f>
        <v/>
      </c>
      <c r="BD17" s="292">
        <f>IFERROR(MATCH(AV17,'Moon Calendar'!$I$2:$I$65,0),"")</f>
        <v>28</v>
      </c>
    </row>
    <row r="18" spans="1:56" ht="18" x14ac:dyDescent="0.2">
      <c r="A18" s="219"/>
      <c r="B18" s="250">
        <f>IF(C18="","",B17+1)</f>
        <v>18</v>
      </c>
      <c r="C18" s="232">
        <f>IF(I17+1&lt;=AG12,I17+1," ")</f>
        <v>43584</v>
      </c>
      <c r="D18" s="233">
        <f>IF(C18=" "," ",IF(C18+1&lt;=AG12,C18+1," "))</f>
        <v>43585</v>
      </c>
      <c r="E18" s="233" t="str">
        <f>IF(D18=" "," ",IF(D18+1&lt;=AG12,D18+1," "))</f>
        <v xml:space="preserve"> </v>
      </c>
      <c r="F18" s="233" t="str">
        <f>IF(E18=" "," ",IF(E18+1&lt;=AG12,E18+1," "))</f>
        <v xml:space="preserve"> </v>
      </c>
      <c r="G18" s="233" t="str">
        <f>IF(F18=" "," ",IF(F18+1&lt;=AG12,F18+1," "))</f>
        <v xml:space="preserve"> </v>
      </c>
      <c r="H18" s="234" t="str">
        <f>IF(G18=" "," ",IF(G18+1&lt;=AG12,G18+1," "))</f>
        <v xml:space="preserve"> </v>
      </c>
      <c r="I18" s="235" t="str">
        <f>IF(H18=" "," ",IF(H18+1&lt;=AG12,H18+1," "))</f>
        <v xml:space="preserve"> </v>
      </c>
      <c r="K18" s="241">
        <f>IF(L18="","",K17+1)</f>
        <v>22</v>
      </c>
      <c r="L18" s="232">
        <f>IF(R17+1&lt;=AP12,R17+1," ")</f>
        <v>43612</v>
      </c>
      <c r="M18" s="233">
        <f>IF(L18=" "," ",IF(L18+1&lt;=AP12,L18+1," "))</f>
        <v>43613</v>
      </c>
      <c r="N18" s="233">
        <f>IF(M18=" "," ",IF(M18+1&lt;=AP12,M18+1," "))</f>
        <v>43614</v>
      </c>
      <c r="O18" s="233">
        <f>IF(N18=" "," ",IF(N18+1&lt;=AP12,N18+1," "))</f>
        <v>43615</v>
      </c>
      <c r="P18" s="233">
        <f>IF(O18=" "," ",IF(O18+1&lt;=AP12,O18+1," "))</f>
        <v>43616</v>
      </c>
      <c r="Q18" s="234" t="str">
        <f>IF(P18=" "," ",IF(P18+1&lt;=AP12,P18+1," "))</f>
        <v xml:space="preserve"> </v>
      </c>
      <c r="R18" s="235" t="str">
        <f>IF(Q18=" "," ",IF(Q18+1&lt;=AP12,Q18+1," "))</f>
        <v xml:space="preserve"> </v>
      </c>
      <c r="S18" s="219"/>
      <c r="T18" s="250">
        <f>IF(U18="","",T17+1)</f>
        <v>26</v>
      </c>
      <c r="U18" s="232">
        <f>IF(AA17+1&lt;=AY12,AA17+1," ")</f>
        <v>43640</v>
      </c>
      <c r="V18" s="233">
        <f>IF(U18=" "," ",IF(U18+1&lt;=AY12,U18+1," "))</f>
        <v>43641</v>
      </c>
      <c r="W18" s="233">
        <f>IF(V18=" "," ",IF(V18+1&lt;=AY12,V18+1," "))</f>
        <v>43642</v>
      </c>
      <c r="X18" s="233">
        <f>IF(W18=" "," ",IF(W18+1&lt;=AY12,W18+1," "))</f>
        <v>43643</v>
      </c>
      <c r="Y18" s="233">
        <f>IF(X18=" "," ",IF(X18+1&lt;=AY12,X18+1," "))</f>
        <v>43644</v>
      </c>
      <c r="Z18" s="234">
        <f>IF(Y18=" "," ",IF(Y18+1&lt;=AY12,Y18+1," "))</f>
        <v>43645</v>
      </c>
      <c r="AA18" s="235">
        <f>IF(Z18=" "," ",IF(Z18+1&lt;=AY12,Z18+1," "))</f>
        <v>43646</v>
      </c>
      <c r="AB18" s="219"/>
      <c r="AC18" s="217"/>
      <c r="AD18" s="236" t="str">
        <f>AD12 &amp; "." &amp;AK$2</f>
        <v>04.5</v>
      </c>
      <c r="AE18" s="237" t="str">
        <f ca="1">IFERROR(INDEX('GCal-Year'!$F$2:$F$435,MATCH(C18,'GCal-Year'!$A$2:$A$435,0)),"")</f>
        <v>C</v>
      </c>
      <c r="AF18" s="238" t="str">
        <f ca="1">IFERROR(INDEX('GCal-Year'!$F$2:$F$435,MATCH(D18,'GCal-Year'!$A$2:$A$435,0)),"")</f>
        <v>E</v>
      </c>
      <c r="AG18" s="238" t="str">
        <f>IFERROR(INDEX('GCal-Year'!$F$2:$F$435,MATCH(E18,'GCal-Year'!$A$2:$A$435,0)),"")</f>
        <v/>
      </c>
      <c r="AH18" s="238" t="str">
        <f>IFERROR(INDEX('GCal-Year'!$F$2:$F$435,MATCH(F18,'GCal-Year'!$A$2:$A$435,0)),"")</f>
        <v/>
      </c>
      <c r="AI18" s="238" t="str">
        <f>IFERROR(INDEX('GCal-Year'!$F$2:$F$435,MATCH(G18,'GCal-Year'!$A$2:$A$435,0)),"")</f>
        <v/>
      </c>
      <c r="AJ18" s="239" t="str">
        <f>IFERROR(INDEX('GCal-Year'!$F$2:$F$435,MATCH(H18,'GCal-Year'!$A$2:$A$435,0)),"")</f>
        <v/>
      </c>
      <c r="AK18" s="240" t="str">
        <f>IFERROR(INDEX('GCal-Year'!$F$2:$F$435,MATCH(I18,'GCal-Year'!$A$2:$A$435,0)),"")</f>
        <v/>
      </c>
      <c r="AL18" s="292" t="str">
        <f>IFERROR(MATCH(AD18,'Moon Calendar'!$I$2:$I$65,0),"")</f>
        <v/>
      </c>
      <c r="AM18" s="236" t="str">
        <f>AM12 &amp; "." &amp;AT$2</f>
        <v>05.5</v>
      </c>
      <c r="AN18" s="237" t="str">
        <f ca="1">IFERROR(INDEX('GCal-Year'!$F$2:$F$435,MATCH(L18,'GCal-Year'!$A$2:$A$435,0)),"")</f>
        <v/>
      </c>
      <c r="AO18" s="238" t="str">
        <f ca="1">IFERROR(INDEX('GCal-Year'!$F$2:$F$435,MATCH(M18,'GCal-Year'!$A$2:$A$435,0)),"")</f>
        <v/>
      </c>
      <c r="AP18" s="238" t="str">
        <f ca="1">IFERROR(INDEX('GCal-Year'!$F$2:$F$435,MATCH(N18,'GCal-Year'!$A$2:$A$435,0)),"")</f>
        <v/>
      </c>
      <c r="AQ18" s="238" t="str">
        <f ca="1">IFERROR(INDEX('GCal-Year'!$F$2:$F$435,MATCH(O18,'GCal-Year'!$A$2:$A$435,0)),"")</f>
        <v>E</v>
      </c>
      <c r="AR18" s="238" t="str">
        <f ca="1">IFERROR(INDEX('GCal-Year'!$F$2:$F$435,MATCH(P18,'GCal-Year'!$A$2:$A$435,0)),"")</f>
        <v>C</v>
      </c>
      <c r="AS18" s="239" t="str">
        <f>IFERROR(INDEX('GCal-Year'!$F$2:$F$435,MATCH(Q18,'GCal-Year'!$A$2:$A$435,0)),"")</f>
        <v/>
      </c>
      <c r="AT18" s="240" t="str">
        <f>IFERROR(INDEX('GCal-Year'!$F$2:$F$435,MATCH(R18,'GCal-Year'!$A$2:$A$435,0)),"")</f>
        <v/>
      </c>
      <c r="AU18" s="292" t="str">
        <f>IFERROR(MATCH(AM18,'Moon Calendar'!$I$2:$I$65,0),"")</f>
        <v/>
      </c>
      <c r="AV18" s="236" t="str">
        <f>AV12 &amp; "." &amp;BC$2</f>
        <v>06.5</v>
      </c>
      <c r="AW18" s="237" t="str">
        <f ca="1">IFERROR(INDEX('GCal-Year'!$F$2:$F$435,MATCH(U18,'GCal-Year'!$A$2:$A$435,0)),"")</f>
        <v/>
      </c>
      <c r="AX18" s="238" t="str">
        <f ca="1">IFERROR(INDEX('GCal-Year'!$F$2:$F$435,MATCH(V18,'GCal-Year'!$A$2:$A$435,0)),"")</f>
        <v/>
      </c>
      <c r="AY18" s="238" t="str">
        <f ca="1">IFERROR(INDEX('GCal-Year'!$F$2:$F$435,MATCH(W18,'GCal-Year'!$A$2:$A$435,0)),"")</f>
        <v/>
      </c>
      <c r="AZ18" s="238" t="str">
        <f ca="1">IFERROR(INDEX('GCal-Year'!$F$2:$F$435,MATCH(X18,'GCal-Year'!$A$2:$A$435,0)),"")</f>
        <v>C</v>
      </c>
      <c r="BA18" s="238" t="str">
        <f ca="1">IFERROR(INDEX('GCal-Year'!$F$2:$F$435,MATCH(Y18,'GCal-Year'!$A$2:$A$435,0)),"")</f>
        <v>E</v>
      </c>
      <c r="BB18" s="239" t="str">
        <f ca="1">IFERROR(INDEX('GCal-Year'!$F$2:$F$435,MATCH(Z18,'GCal-Year'!$A$2:$A$435,0)),"")</f>
        <v/>
      </c>
      <c r="BC18" s="240" t="str">
        <f ca="1">IFERROR(INDEX('GCal-Year'!$F$2:$F$435,MATCH(AA18,'GCal-Year'!$A$2:$A$435,0)),"")</f>
        <v/>
      </c>
      <c r="BD18" s="292" t="str">
        <f>IFERROR(MATCH(AV18,'Moon Calendar'!$I$2:$I$65,0),"")</f>
        <v/>
      </c>
    </row>
    <row r="19" spans="1:56" ht="18.75" thickBot="1" x14ac:dyDescent="0.25">
      <c r="A19" s="219"/>
      <c r="B19" s="251">
        <f>IF(C19="","",B18+1)</f>
        <v>19</v>
      </c>
      <c r="C19" s="242" t="str">
        <f>IF(I18=" "," ",IF(I18+1&lt;=AG12,I18+1," "))</f>
        <v xml:space="preserve"> </v>
      </c>
      <c r="D19" s="243" t="str">
        <f>IF(C19=" "," ",IF(C19+1&lt;=AG12,C19+1," "))</f>
        <v xml:space="preserve"> </v>
      </c>
      <c r="E19" s="243"/>
      <c r="F19" s="243"/>
      <c r="G19" s="243"/>
      <c r="H19" s="244"/>
      <c r="I19" s="245"/>
      <c r="K19" s="241">
        <f>IF(L19="","",K18+1)</f>
        <v>23</v>
      </c>
      <c r="L19" s="242" t="str">
        <f>IF(R18=" "," ",IF(R18+1&lt;=AP12,R18+1," "))</f>
        <v xml:space="preserve"> </v>
      </c>
      <c r="M19" s="243" t="str">
        <f>IF(L19=" "," ",IF(L19+1&lt;=AP12,L19+1," "))</f>
        <v xml:space="preserve"> </v>
      </c>
      <c r="N19" s="243"/>
      <c r="O19" s="243"/>
      <c r="P19" s="243"/>
      <c r="Q19" s="244"/>
      <c r="R19" s="245"/>
      <c r="S19" s="219"/>
      <c r="T19" s="251">
        <f>IF(U19="","",T18+1)</f>
        <v>27</v>
      </c>
      <c r="U19" s="242" t="str">
        <f>IF(AA18=" "," ",IF(AA18+1&lt;=AY12,AA18+1," "))</f>
        <v xml:space="preserve"> </v>
      </c>
      <c r="V19" s="243" t="str">
        <f>IF(U19=" "," ",IF(U19+1&lt;=AY12,U19+1," "))</f>
        <v xml:space="preserve"> </v>
      </c>
      <c r="W19" s="252"/>
      <c r="X19" s="907" t="str">
        <f ca="1">"20- " &amp; 'GPlan-Translations'!C198</f>
        <v>20- Inverno</v>
      </c>
      <c r="Y19" s="907"/>
      <c r="Z19" s="907"/>
      <c r="AA19" s="908"/>
      <c r="AB19" s="219"/>
      <c r="AC19" s="217"/>
      <c r="AD19" s="104"/>
      <c r="AE19" s="246" t="str">
        <f>IFERROR(INDEX('GCal-Year'!$F$2:$F$435,MATCH(C19,'GCal-Year'!$A$2:$A$435,0)),"")</f>
        <v/>
      </c>
      <c r="AF19" s="247" t="str">
        <f>IFERROR(INDEX('GCal-Year'!$F$2:$F$435,MATCH(D19,'GCal-Year'!$A$2:$A$435,0)),"")</f>
        <v/>
      </c>
      <c r="AG19" s="248">
        <f>IFERROR(INDEX('Moon Calendar'!$F$2:$F$65,AL14),"")</f>
        <v>43560</v>
      </c>
      <c r="AH19" s="248">
        <f>IFERROR(INDEX('Moon Calendar'!$F$2:$F$65,AL15),"")</f>
        <v>43567</v>
      </c>
      <c r="AI19" s="248">
        <f>IFERROR(INDEX('Moon Calendar'!$F$2:$F$65,AL16),"")</f>
        <v>43574</v>
      </c>
      <c r="AJ19" s="248">
        <f>IFERROR(INDEX('Moon Calendar'!$F$2:$F$65,AL17),"")</f>
        <v>43581</v>
      </c>
      <c r="AK19" s="249" t="str">
        <f>IFERROR(INDEX('Moon Calendar'!$F$2:$F$65,AL18),"")</f>
        <v/>
      </c>
      <c r="AL19" s="617" t="str">
        <f ca="1">AD20 &amp; " " &amp; AE20  &amp; AL20 &amp; AF20 &amp; " " &amp; AG20 &amp; AL20 &amp; AH20 &amp; " " &amp; AI20 &amp; IF(AJ20&lt;&gt;"",AL20 &amp; AJ20 &amp; " " &amp; AK20,"")</f>
        <v> 5           12           19           26</v>
      </c>
      <c r="AM19" s="104"/>
      <c r="AN19" s="246" t="str">
        <f>IFERROR(INDEX('GCal-Year'!$F$2:$F$435,MATCH(L19,'GCal-Year'!$A$2:$A$435,0)),"")</f>
        <v/>
      </c>
      <c r="AO19" s="247" t="str">
        <f>IFERROR(INDEX('GCal-Year'!$F$2:$F$435,MATCH(M19,'GCal-Year'!$A$2:$A$435,0)),"")</f>
        <v/>
      </c>
      <c r="AP19" s="248">
        <f>IFERROR(INDEX('Moon Calendar'!$F$2:$F$65,AU14),"")</f>
        <v>43589</v>
      </c>
      <c r="AQ19" s="248">
        <f>IFERROR(INDEX('Moon Calendar'!$F$2:$F$65,AU15),"")</f>
        <v>43596</v>
      </c>
      <c r="AR19" s="248">
        <f>IFERROR(INDEX('Moon Calendar'!$F$2:$F$65,AU16),"")</f>
        <v>43603</v>
      </c>
      <c r="AS19" s="248">
        <f>IFERROR(INDEX('Moon Calendar'!$F$2:$F$65,AU17),"")</f>
        <v>43611</v>
      </c>
      <c r="AT19" s="249" t="str">
        <f>IFERROR(INDEX('Moon Calendar'!$F$2:$F$65,AU18),"")</f>
        <v/>
      </c>
      <c r="AU19" s="617" t="str">
        <f ca="1">AM20 &amp; " " &amp; AN20  &amp; AU20 &amp; AO20 &amp; " " &amp; AP20 &amp; AU20 &amp; AQ20 &amp; " " &amp; AR20 &amp; IF(AS20&lt;&gt;"",AU20 &amp; AS20 &amp; " " &amp; AT20,"")</f>
        <v> 4           11           18           26</v>
      </c>
      <c r="AV19" s="104"/>
      <c r="AW19" s="246" t="str">
        <f>IFERROR(INDEX('GCal-Year'!$F$2:$F$435,MATCH(U19,'GCal-Year'!$A$2:$A$435,0)),"")</f>
        <v/>
      </c>
      <c r="AX19" s="247" t="str">
        <f>IFERROR(INDEX('GCal-Year'!$F$2:$F$435,MATCH(V19,'GCal-Year'!$A$2:$A$435,0)),"")</f>
        <v/>
      </c>
      <c r="AY19" s="248">
        <f>IFERROR(INDEX('Moon Calendar'!$F$2:$F$65,BD14),"")</f>
        <v>43619</v>
      </c>
      <c r="AZ19" s="248">
        <f>IFERROR(INDEX('Moon Calendar'!$F$2:$F$65,BD15),"")</f>
        <v>43626</v>
      </c>
      <c r="BA19" s="248">
        <f>IFERROR(INDEX('Moon Calendar'!$F$2:$F$65,BD16),"")</f>
        <v>43633</v>
      </c>
      <c r="BB19" s="248">
        <f>IFERROR(INDEX('Moon Calendar'!$F$2:$F$65,BD17),"")</f>
        <v>43641</v>
      </c>
      <c r="BC19" s="249" t="str">
        <f>IFERROR(INDEX('Moon Calendar'!$F$2:$F$65,BD18),"")</f>
        <v/>
      </c>
      <c r="BD19" s="617" t="str">
        <f ca="1">AV20 &amp; " " &amp; AW20  &amp; BD20 &amp; AX20 &amp; " " &amp; AY20 &amp; BD20 &amp; AZ20 &amp; " " &amp; BA20 &amp; IF(BB20&lt;&gt;"",BD20 &amp; BB20 &amp; " " &amp; BC20,"")</f>
        <v> 3           10           17           25</v>
      </c>
    </row>
    <row r="20" spans="1:56" ht="18.75" thickBot="1" x14ac:dyDescent="0.25">
      <c r="B20" s="618" t="str">
        <f t="shared" ref="B20:I20" ca="1" si="15">AD20</f>
        <v></v>
      </c>
      <c r="C20" s="621" t="str">
        <f t="shared" si="15"/>
        <v>5</v>
      </c>
      <c r="D20" s="618" t="str">
        <f t="shared" ca="1" si="15"/>
        <v></v>
      </c>
      <c r="E20" s="621">
        <f t="shared" si="15"/>
        <v>12</v>
      </c>
      <c r="F20" s="618" t="str">
        <f t="shared" ca="1" si="15"/>
        <v></v>
      </c>
      <c r="G20" s="621">
        <f t="shared" si="15"/>
        <v>19</v>
      </c>
      <c r="H20" s="618" t="str">
        <f t="shared" ca="1" si="15"/>
        <v></v>
      </c>
      <c r="I20" s="621">
        <f t="shared" si="15"/>
        <v>26</v>
      </c>
      <c r="K20" s="618" t="str">
        <f t="shared" ref="K20:R20" ca="1" si="16">AM20</f>
        <v></v>
      </c>
      <c r="L20" s="621" t="str">
        <f t="shared" si="16"/>
        <v>4</v>
      </c>
      <c r="M20" s="618" t="str">
        <f t="shared" ca="1" si="16"/>
        <v></v>
      </c>
      <c r="N20" s="621">
        <f t="shared" si="16"/>
        <v>11</v>
      </c>
      <c r="O20" s="618" t="str">
        <f t="shared" ca="1" si="16"/>
        <v></v>
      </c>
      <c r="P20" s="621">
        <f t="shared" si="16"/>
        <v>18</v>
      </c>
      <c r="Q20" s="618" t="str">
        <f t="shared" ca="1" si="16"/>
        <v></v>
      </c>
      <c r="R20" s="621">
        <f t="shared" si="16"/>
        <v>26</v>
      </c>
      <c r="T20" s="618" t="str">
        <f t="shared" ref="T20:AA20" ca="1" si="17">AV20</f>
        <v></v>
      </c>
      <c r="U20" s="621" t="str">
        <f t="shared" si="17"/>
        <v>3</v>
      </c>
      <c r="V20" s="618" t="str">
        <f t="shared" ca="1" si="17"/>
        <v></v>
      </c>
      <c r="W20" s="621">
        <f t="shared" si="17"/>
        <v>10</v>
      </c>
      <c r="X20" s="618" t="str">
        <f t="shared" ca="1" si="17"/>
        <v></v>
      </c>
      <c r="Y20" s="621">
        <f t="shared" si="17"/>
        <v>17</v>
      </c>
      <c r="Z20" s="618" t="str">
        <f t="shared" ca="1" si="17"/>
        <v></v>
      </c>
      <c r="AA20" s="621">
        <f t="shared" si="17"/>
        <v>25</v>
      </c>
      <c r="AC20" s="217"/>
      <c r="AD20" s="618" t="str">
        <f ca="1">IFERROR(INDEX('Moon Calendar'!$L$2:$L$65,AL14),"")</f>
        <v></v>
      </c>
      <c r="AE20" s="295" t="str">
        <f>IF(AG19="","",DAY(AG19) &amp; IF(AK19&lt;&gt;"","/" &amp; DAY(AK19),""))</f>
        <v>5</v>
      </c>
      <c r="AF20" s="618" t="str">
        <f ca="1">IFERROR(INDEX('Moon Calendar'!$L$2:$L$65,AL15),"")</f>
        <v></v>
      </c>
      <c r="AG20" s="296">
        <f>IFERROR(DAY(AH19),"")</f>
        <v>12</v>
      </c>
      <c r="AH20" s="618" t="str">
        <f ca="1">IFERROR(INDEX('Moon Calendar'!$L$2:$L$65,AL16),"")</f>
        <v></v>
      </c>
      <c r="AI20" s="296">
        <f>IFERROR(DAY(AI19),"")</f>
        <v>19</v>
      </c>
      <c r="AJ20" s="618" t="str">
        <f ca="1">IFERROR(INDEX('Moon Calendar'!$L$2:$L$65,AL17),"")</f>
        <v></v>
      </c>
      <c r="AK20" s="296">
        <f>IFERROR(DAY(AJ19),"")</f>
        <v>26</v>
      </c>
      <c r="AL20" s="299" t="str">
        <f>AL11</f>
        <v>          </v>
      </c>
      <c r="AM20" s="618" t="str">
        <f ca="1">IFERROR(INDEX('Moon Calendar'!$L$2:$L$65,AU14),"")</f>
        <v></v>
      </c>
      <c r="AN20" s="295" t="str">
        <f>IF(AP19="","",DAY(AP19) &amp; IF(AT19&lt;&gt;"","/" &amp; DAY(AT19),""))</f>
        <v>4</v>
      </c>
      <c r="AO20" s="618" t="str">
        <f ca="1">IFERROR(INDEX('Moon Calendar'!$L$2:$L$65,AU15),"")</f>
        <v></v>
      </c>
      <c r="AP20" s="296">
        <f>IFERROR(DAY(AQ19),"")</f>
        <v>11</v>
      </c>
      <c r="AQ20" s="618" t="str">
        <f ca="1">IFERROR(INDEX('Moon Calendar'!$L$2:$L$65,AU16),"")</f>
        <v></v>
      </c>
      <c r="AR20" s="296">
        <f>IFERROR(DAY(AR19),"")</f>
        <v>18</v>
      </c>
      <c r="AS20" s="618" t="str">
        <f ca="1">IFERROR(INDEX('Moon Calendar'!$L$2:$L$65,AU17),"")</f>
        <v></v>
      </c>
      <c r="AT20" s="296">
        <f>IFERROR(DAY(AS19),"")</f>
        <v>26</v>
      </c>
      <c r="AU20" s="298" t="str">
        <f>AL20</f>
        <v>          </v>
      </c>
      <c r="AV20" s="618" t="str">
        <f ca="1">IFERROR(INDEX('Moon Calendar'!$L$2:$L$65,BD14),"")</f>
        <v></v>
      </c>
      <c r="AW20" s="295" t="str">
        <f>IF(AY19="","",DAY(AY19) &amp; IF(BC19&lt;&gt;"","/" &amp; DAY(BC19),""))</f>
        <v>3</v>
      </c>
      <c r="AX20" s="618" t="str">
        <f ca="1">IFERROR(INDEX('Moon Calendar'!$L$2:$L$65,BD15),"")</f>
        <v></v>
      </c>
      <c r="AY20" s="296">
        <f>IFERROR(DAY(AZ19),"")</f>
        <v>10</v>
      </c>
      <c r="AZ20" s="618" t="str">
        <f ca="1">IFERROR(INDEX('Moon Calendar'!$L$2:$L$65,BD16),"")</f>
        <v></v>
      </c>
      <c r="BA20" s="296">
        <f>IFERROR(DAY(BA19),"")</f>
        <v>17</v>
      </c>
      <c r="BB20" s="618" t="str">
        <f ca="1">IFERROR(INDEX('Moon Calendar'!$L$2:$L$65,BD17),"")</f>
        <v></v>
      </c>
      <c r="BC20" s="296">
        <f>IFERROR(DAY(BB19),"")</f>
        <v>25</v>
      </c>
      <c r="BD20" s="300" t="str">
        <f>AU20</f>
        <v>          </v>
      </c>
    </row>
    <row r="21" spans="1:56" ht="18" x14ac:dyDescent="0.2">
      <c r="A21" s="219"/>
      <c r="C21" s="909" t="str">
        <f ca="1">UPPER('GPlan-Translations'!C232)</f>
        <v>JULHO</v>
      </c>
      <c r="D21" s="910"/>
      <c r="E21" s="910"/>
      <c r="F21" s="910"/>
      <c r="G21" s="910"/>
      <c r="H21" s="910"/>
      <c r="I21" s="911"/>
      <c r="L21" s="909" t="str">
        <f ca="1">UPPER('GPlan-Translations'!C233)</f>
        <v>AGOSTO</v>
      </c>
      <c r="M21" s="910"/>
      <c r="N21" s="910"/>
      <c r="O21" s="910"/>
      <c r="P21" s="910"/>
      <c r="Q21" s="910"/>
      <c r="R21" s="911"/>
      <c r="S21" s="219"/>
      <c r="T21" s="219"/>
      <c r="U21" s="909" t="str">
        <f ca="1">UPPER('GPlan-Translations'!C234)</f>
        <v>SETEMBRO</v>
      </c>
      <c r="V21" s="910"/>
      <c r="W21" s="910"/>
      <c r="X21" s="910"/>
      <c r="Y21" s="910"/>
      <c r="Z21" s="910"/>
      <c r="AA21" s="911"/>
      <c r="AB21" s="219"/>
      <c r="AC21" s="217"/>
      <c r="AD21" s="292" t="str">
        <f>TEXT(AE21,"00")</f>
        <v>07</v>
      </c>
      <c r="AE21" s="220">
        <v>7</v>
      </c>
      <c r="AF21" s="221">
        <f>DATE(AJ21,AE21,1)</f>
        <v>43647</v>
      </c>
      <c r="AG21" s="221">
        <f>DATE(AJ21,AE21+1,1)-1</f>
        <v>43677</v>
      </c>
      <c r="AH21" s="221">
        <f>WEEKDAY(AF21,2)</f>
        <v>1</v>
      </c>
      <c r="AI21" s="222"/>
      <c r="AJ21" s="905">
        <f>$U$1</f>
        <v>2019</v>
      </c>
      <c r="AK21" s="906"/>
      <c r="AM21" s="292" t="str">
        <f>TEXT(AN21,"00")</f>
        <v>08</v>
      </c>
      <c r="AN21" s="220">
        <f>AE21+1</f>
        <v>8</v>
      </c>
      <c r="AO21" s="221">
        <f>DATE(AS21,AN21,1)</f>
        <v>43678</v>
      </c>
      <c r="AP21" s="221">
        <f>DATE(AS21,AN21+1,1)-1</f>
        <v>43708</v>
      </c>
      <c r="AQ21" s="221">
        <f>WEEKDAY(AO21,2)</f>
        <v>4</v>
      </c>
      <c r="AR21" s="222"/>
      <c r="AS21" s="905">
        <f>$U$1</f>
        <v>2019</v>
      </c>
      <c r="AT21" s="906"/>
      <c r="AV21" s="292" t="str">
        <f>TEXT(AW21,"00")</f>
        <v>09</v>
      </c>
      <c r="AW21" s="220">
        <f>AN21+1</f>
        <v>9</v>
      </c>
      <c r="AX21" s="221">
        <f>DATE(BB21,AW21,1)</f>
        <v>43709</v>
      </c>
      <c r="AY21" s="221">
        <f>DATE(BB21,AW21+1,1)-1</f>
        <v>43738</v>
      </c>
      <c r="AZ21" s="221">
        <f>WEEKDAY(AX21,2)</f>
        <v>7</v>
      </c>
      <c r="BA21" s="222"/>
      <c r="BB21" s="905">
        <f>$U$1</f>
        <v>2019</v>
      </c>
      <c r="BC21" s="906"/>
    </row>
    <row r="22" spans="1:56" ht="18" x14ac:dyDescent="0.2">
      <c r="A22" s="219"/>
      <c r="C22" s="223" t="str">
        <f ca="1">'GPlan-Translations'!$C$286</f>
        <v>S</v>
      </c>
      <c r="D22" s="224" t="str">
        <f ca="1">'GPlan-Translations'!$C$287</f>
        <v>T</v>
      </c>
      <c r="E22" s="224" t="str">
        <f ca="1">'GPlan-Translations'!$C$288</f>
        <v>Q</v>
      </c>
      <c r="F22" s="224" t="str">
        <f ca="1">'GPlan-Translations'!$C$289</f>
        <v>Q</v>
      </c>
      <c r="G22" s="224" t="str">
        <f ca="1">'GPlan-Translations'!$C$290</f>
        <v>S</v>
      </c>
      <c r="H22" s="225" t="str">
        <f ca="1">'GPlan-Translations'!$C$291</f>
        <v>S</v>
      </c>
      <c r="I22" s="226" t="str">
        <f ca="1">'GPlan-Translations'!$C$285</f>
        <v>D</v>
      </c>
      <c r="L22" s="223" t="str">
        <f ca="1">'GPlan-Translations'!$C$286</f>
        <v>S</v>
      </c>
      <c r="M22" s="224" t="str">
        <f ca="1">'GPlan-Translations'!$C$287</f>
        <v>T</v>
      </c>
      <c r="N22" s="224" t="str">
        <f ca="1">'GPlan-Translations'!$C$288</f>
        <v>Q</v>
      </c>
      <c r="O22" s="224" t="str">
        <f ca="1">'GPlan-Translations'!$C$289</f>
        <v>Q</v>
      </c>
      <c r="P22" s="224" t="str">
        <f ca="1">'GPlan-Translations'!$C$290</f>
        <v>S</v>
      </c>
      <c r="Q22" s="225" t="str">
        <f ca="1">'GPlan-Translations'!$C$291</f>
        <v>S</v>
      </c>
      <c r="R22" s="226" t="str">
        <f ca="1">'GPlan-Translations'!$C$285</f>
        <v>D</v>
      </c>
      <c r="S22" s="219"/>
      <c r="T22" s="219"/>
      <c r="U22" s="223" t="str">
        <f ca="1">'GPlan-Translations'!$C$286</f>
        <v>S</v>
      </c>
      <c r="V22" s="224" t="str">
        <f ca="1">'GPlan-Translations'!$C$287</f>
        <v>T</v>
      </c>
      <c r="W22" s="224" t="str">
        <f ca="1">'GPlan-Translations'!$C$288</f>
        <v>Q</v>
      </c>
      <c r="X22" s="224" t="str">
        <f ca="1">'GPlan-Translations'!$C$289</f>
        <v>Q</v>
      </c>
      <c r="Y22" s="224" t="str">
        <f ca="1">'GPlan-Translations'!$C$290</f>
        <v>S</v>
      </c>
      <c r="Z22" s="225" t="str">
        <f ca="1">'GPlan-Translations'!$C$291</f>
        <v>S</v>
      </c>
      <c r="AA22" s="226" t="str">
        <f ca="1">'GPlan-Translations'!$C$285</f>
        <v>D</v>
      </c>
      <c r="AB22" s="219"/>
      <c r="AC22" s="217"/>
      <c r="AD22" s="104"/>
      <c r="AE22" s="227" t="str">
        <f t="shared" ref="AE22:AK22" ca="1" si="18">C22</f>
        <v>S</v>
      </c>
      <c r="AF22" s="228" t="str">
        <f t="shared" ca="1" si="18"/>
        <v>T</v>
      </c>
      <c r="AG22" s="228" t="str">
        <f t="shared" ca="1" si="18"/>
        <v>Q</v>
      </c>
      <c r="AH22" s="228" t="str">
        <f t="shared" ca="1" si="18"/>
        <v>Q</v>
      </c>
      <c r="AI22" s="228" t="str">
        <f t="shared" ca="1" si="18"/>
        <v>S</v>
      </c>
      <c r="AJ22" s="229" t="str">
        <f t="shared" ca="1" si="18"/>
        <v>S</v>
      </c>
      <c r="AK22" s="230" t="str">
        <f t="shared" ca="1" si="18"/>
        <v>D</v>
      </c>
      <c r="AM22" s="104"/>
      <c r="AN22" s="227" t="str">
        <f t="shared" ref="AN22:AT22" ca="1" si="19">L22</f>
        <v>S</v>
      </c>
      <c r="AO22" s="228" t="str">
        <f t="shared" ca="1" si="19"/>
        <v>T</v>
      </c>
      <c r="AP22" s="228" t="str">
        <f t="shared" ca="1" si="19"/>
        <v>Q</v>
      </c>
      <c r="AQ22" s="228" t="str">
        <f t="shared" ca="1" si="19"/>
        <v>Q</v>
      </c>
      <c r="AR22" s="228" t="str">
        <f t="shared" ca="1" si="19"/>
        <v>S</v>
      </c>
      <c r="AS22" s="229" t="str">
        <f t="shared" ca="1" si="19"/>
        <v>S</v>
      </c>
      <c r="AT22" s="230" t="str">
        <f t="shared" ca="1" si="19"/>
        <v>D</v>
      </c>
      <c r="AV22" s="104"/>
      <c r="AW22" s="227" t="str">
        <f t="shared" ref="AW22:BC22" ca="1" si="20">U22</f>
        <v>S</v>
      </c>
      <c r="AX22" s="228" t="str">
        <f t="shared" ca="1" si="20"/>
        <v>T</v>
      </c>
      <c r="AY22" s="228" t="str">
        <f t="shared" ca="1" si="20"/>
        <v>Q</v>
      </c>
      <c r="AZ22" s="228" t="str">
        <f t="shared" ca="1" si="20"/>
        <v>Q</v>
      </c>
      <c r="BA22" s="228" t="str">
        <f t="shared" ca="1" si="20"/>
        <v>S</v>
      </c>
      <c r="BB22" s="229" t="str">
        <f t="shared" ca="1" si="20"/>
        <v>S</v>
      </c>
      <c r="BC22" s="230" t="str">
        <f t="shared" ca="1" si="20"/>
        <v>D</v>
      </c>
    </row>
    <row r="23" spans="1:56" ht="18" x14ac:dyDescent="0.2">
      <c r="A23" s="219"/>
      <c r="B23" s="250">
        <f>B24-1</f>
        <v>27</v>
      </c>
      <c r="C23" s="232">
        <f>IF(AH21=1,AF21," ")</f>
        <v>43647</v>
      </c>
      <c r="D23" s="233">
        <f>IF(AH21=2,AF21,IF(C23=" "," ",C23+1))</f>
        <v>43648</v>
      </c>
      <c r="E23" s="233">
        <f>IF(AH21=3,AF21,IF(D23=" "," ",D23+1))</f>
        <v>43649</v>
      </c>
      <c r="F23" s="233">
        <f>IF(AH21=4,AF21,IF(E23=" "," ",E23+1))</f>
        <v>43650</v>
      </c>
      <c r="G23" s="233">
        <f>IF(AH21=5,AF21,IF(F23=" "," ",F23+1))</f>
        <v>43651</v>
      </c>
      <c r="H23" s="234">
        <f>IF(AH21=6,AF21,IF(G23=" "," ",G23+1))</f>
        <v>43652</v>
      </c>
      <c r="I23" s="235">
        <f>IF(AH21=7,AF21,H23+1)</f>
        <v>43653</v>
      </c>
      <c r="K23" s="231">
        <f>K24-1</f>
        <v>31</v>
      </c>
      <c r="L23" s="232" t="str">
        <f>IF(AQ21=1,AO21," ")</f>
        <v xml:space="preserve"> </v>
      </c>
      <c r="M23" s="233" t="str">
        <f>IF(AQ21=2,AO21,IF(L23=" "," ",L23+1))</f>
        <v xml:space="preserve"> </v>
      </c>
      <c r="N23" s="233" t="str">
        <f>IF(AQ21=3,AO21,IF(M23=" "," ",M23+1))</f>
        <v xml:space="preserve"> </v>
      </c>
      <c r="O23" s="233">
        <f>IF(AQ21=4,AO21,IF(N23=" "," ",N23+1))</f>
        <v>43678</v>
      </c>
      <c r="P23" s="233">
        <f>IF(AQ21=5,AO21,IF(O23=" "," ",O23+1))</f>
        <v>43679</v>
      </c>
      <c r="Q23" s="234">
        <f>IF(AQ21=6,AO21,IF(P23=" "," ",P23+1))</f>
        <v>43680</v>
      </c>
      <c r="R23" s="235">
        <f>IF(AQ21=7,AO21,Q23+1)</f>
        <v>43681</v>
      </c>
      <c r="S23" s="219"/>
      <c r="T23" s="250">
        <f>T24-1</f>
        <v>35</v>
      </c>
      <c r="U23" s="232" t="str">
        <f>IF(AZ21=1,AX21," ")</f>
        <v xml:space="preserve"> </v>
      </c>
      <c r="V23" s="233" t="str">
        <f>IF(AZ21=2,AX21,IF(U23=" "," ",U23+1))</f>
        <v xml:space="preserve"> </v>
      </c>
      <c r="W23" s="233" t="str">
        <f>IF(AZ21=3,AX21,IF(V23=" "," ",V23+1))</f>
        <v xml:space="preserve"> </v>
      </c>
      <c r="X23" s="233" t="str">
        <f>IF(AZ21=4,AX21,IF(W23=" "," ",W23+1))</f>
        <v xml:space="preserve"> </v>
      </c>
      <c r="Y23" s="233" t="str">
        <f>IF(AZ21=5,AX21,IF(X23=" "," ",X23+1))</f>
        <v xml:space="preserve"> </v>
      </c>
      <c r="Z23" s="234" t="str">
        <f>IF(AZ21=6,AX21,IF(Y23=" "," ",Y23+1))</f>
        <v xml:space="preserve"> </v>
      </c>
      <c r="AA23" s="235">
        <f>IF(AZ21=7,AX21,Z23+1)</f>
        <v>43709</v>
      </c>
      <c r="AB23" s="219"/>
      <c r="AC23" s="217"/>
      <c r="AD23" s="236" t="str">
        <f>AD21 &amp; "." &amp;AG$2</f>
        <v>07.1</v>
      </c>
      <c r="AE23" s="237" t="str">
        <f ca="1">IFERROR(INDEX('GCal-Year'!$F$2:$F$435,MATCH(C23,'GCal-Year'!$A$2:$A$435,0)),"")</f>
        <v/>
      </c>
      <c r="AF23" s="238" t="str">
        <f ca="1">IFERROR(INDEX('GCal-Year'!$F$2:$F$435,MATCH(D23,'GCal-Year'!$A$2:$A$435,0)),"")</f>
        <v>P</v>
      </c>
      <c r="AG23" s="238" t="str">
        <f ca="1">IFERROR(INDEX('GCal-Year'!$F$2:$F$435,MATCH(E23,'GCal-Year'!$A$2:$A$435,0)),"")</f>
        <v>C</v>
      </c>
      <c r="AH23" s="238" t="str">
        <f ca="1">IFERROR(INDEX('GCal-Year'!$F$2:$F$435,MATCH(F23,'GCal-Year'!$A$2:$A$435,0)),"")</f>
        <v>C</v>
      </c>
      <c r="AI23" s="238" t="str">
        <f ca="1">IFERROR(INDEX('GCal-Year'!$F$2:$F$435,MATCH(G23,'GCal-Year'!$A$2:$A$435,0)),"")</f>
        <v/>
      </c>
      <c r="AJ23" s="239" t="str">
        <f ca="1">IFERROR(INDEX('GCal-Year'!$F$2:$F$435,MATCH(H23,'GCal-Year'!$A$2:$A$435,0)),"")</f>
        <v/>
      </c>
      <c r="AK23" s="240" t="str">
        <f ca="1">IFERROR(INDEX('GCal-Year'!$F$2:$F$435,MATCH(I23,'GCal-Year'!$A$2:$A$435,0)),"")</f>
        <v>C</v>
      </c>
      <c r="AL23" s="292">
        <f>IFERROR(MATCH(AD23,'Moon Calendar'!$I$2:$I$65,0),"")</f>
        <v>29</v>
      </c>
      <c r="AM23" s="236" t="str">
        <f>AM21 &amp; "." &amp;AP$2</f>
        <v>08.1</v>
      </c>
      <c r="AN23" s="237" t="str">
        <f>IFERROR(INDEX('GCal-Year'!$F$2:$F$435,MATCH(L23,'GCal-Year'!$A$2:$A$435,0)),"")</f>
        <v/>
      </c>
      <c r="AO23" s="238" t="str">
        <f>IFERROR(INDEX('GCal-Year'!$F$2:$F$435,MATCH(M23,'GCal-Year'!$A$2:$A$435,0)),"")</f>
        <v/>
      </c>
      <c r="AP23" s="238" t="str">
        <f>IFERROR(INDEX('GCal-Year'!$F$2:$F$435,MATCH(N23,'GCal-Year'!$A$2:$A$435,0)),"")</f>
        <v/>
      </c>
      <c r="AQ23" s="238" t="str">
        <f ca="1">IFERROR(INDEX('GCal-Year'!$F$2:$F$435,MATCH(O23,'GCal-Year'!$A$2:$A$435,0)),"")</f>
        <v/>
      </c>
      <c r="AR23" s="238" t="str">
        <f ca="1">IFERROR(INDEX('GCal-Year'!$F$2:$F$435,MATCH(P23,'GCal-Year'!$A$2:$A$435,0)),"")</f>
        <v/>
      </c>
      <c r="AS23" s="239" t="str">
        <f ca="1">IFERROR(INDEX('GCal-Year'!$F$2:$F$435,MATCH(Q23,'GCal-Year'!$A$2:$A$435,0)),"")</f>
        <v/>
      </c>
      <c r="AT23" s="240" t="str">
        <f ca="1">IFERROR(INDEX('GCal-Year'!$F$2:$F$435,MATCH(R23,'GCal-Year'!$A$2:$A$435,0)),"")</f>
        <v>C</v>
      </c>
      <c r="AU23" s="292">
        <f>IFERROR(MATCH(AM23,'Moon Calendar'!$I$2:$I$65,0),"")</f>
        <v>33</v>
      </c>
      <c r="AV23" s="236" t="str">
        <f>AV21 &amp; "." &amp;AY$2</f>
        <v>09.1</v>
      </c>
      <c r="AW23" s="237" t="str">
        <f>IFERROR(INDEX('GCal-Year'!$F$2:$F$435,MATCH(U23,'GCal-Year'!$A$2:$A$435,0)),"")</f>
        <v/>
      </c>
      <c r="AX23" s="238" t="str">
        <f>IFERROR(INDEX('GCal-Year'!$F$2:$F$435,MATCH(V23,'GCal-Year'!$A$2:$A$435,0)),"")</f>
        <v/>
      </c>
      <c r="AY23" s="238" t="str">
        <f>IFERROR(INDEX('GCal-Year'!$F$2:$F$435,MATCH(W23,'GCal-Year'!$A$2:$A$435,0)),"")</f>
        <v/>
      </c>
      <c r="AZ23" s="238" t="str">
        <f>IFERROR(INDEX('GCal-Year'!$F$2:$F$435,MATCH(X23,'GCal-Year'!$A$2:$A$435,0)),"")</f>
        <v/>
      </c>
      <c r="BA23" s="238" t="str">
        <f>IFERROR(INDEX('GCal-Year'!$F$2:$F$435,MATCH(Y23,'GCal-Year'!$A$2:$A$435,0)),"")</f>
        <v/>
      </c>
      <c r="BB23" s="239" t="str">
        <f>IFERROR(INDEX('GCal-Year'!$F$2:$F$435,MATCH(Z23,'GCal-Year'!$A$2:$A$435,0)),"")</f>
        <v/>
      </c>
      <c r="BC23" s="240" t="str">
        <f ca="1">IFERROR(INDEX('GCal-Year'!$F$2:$F$435,MATCH(AA23,'GCal-Year'!$A$2:$A$435,0)),"")</f>
        <v/>
      </c>
      <c r="BD23" s="292">
        <f>IFERROR(MATCH(AV23,'Moon Calendar'!$I$2:$I$65,0),"")</f>
        <v>38</v>
      </c>
    </row>
    <row r="24" spans="1:56" ht="18" x14ac:dyDescent="0.2">
      <c r="A24" s="219"/>
      <c r="B24" s="250">
        <f>INDEX('GCal-Year'!$C$2:$C$435,MATCH(C24,'GCal-Year'!$A$2:$A$435,0))</f>
        <v>28</v>
      </c>
      <c r="C24" s="232">
        <f>I23+1</f>
        <v>43654</v>
      </c>
      <c r="D24" s="233">
        <f t="shared" ref="D24:I26" si="21">C24+1</f>
        <v>43655</v>
      </c>
      <c r="E24" s="233">
        <f t="shared" si="21"/>
        <v>43656</v>
      </c>
      <c r="F24" s="233">
        <f t="shared" si="21"/>
        <v>43657</v>
      </c>
      <c r="G24" s="233">
        <f t="shared" si="21"/>
        <v>43658</v>
      </c>
      <c r="H24" s="234">
        <f t="shared" si="21"/>
        <v>43659</v>
      </c>
      <c r="I24" s="235">
        <f t="shared" si="21"/>
        <v>43660</v>
      </c>
      <c r="K24" s="231">
        <f>INDEX('GCal-Year'!$C$2:$C$435,MATCH(L24,'GCal-Year'!$A$2:$A$435,0))</f>
        <v>32</v>
      </c>
      <c r="L24" s="232">
        <f>R23+1</f>
        <v>43682</v>
      </c>
      <c r="M24" s="233">
        <f t="shared" ref="M24:R26" si="22">L24+1</f>
        <v>43683</v>
      </c>
      <c r="N24" s="233">
        <f t="shared" si="22"/>
        <v>43684</v>
      </c>
      <c r="O24" s="233">
        <f t="shared" si="22"/>
        <v>43685</v>
      </c>
      <c r="P24" s="233">
        <f t="shared" si="22"/>
        <v>43686</v>
      </c>
      <c r="Q24" s="234">
        <f t="shared" si="22"/>
        <v>43687</v>
      </c>
      <c r="R24" s="235">
        <f t="shared" si="22"/>
        <v>43688</v>
      </c>
      <c r="S24" s="219"/>
      <c r="T24" s="250">
        <f>INDEX('GCal-Year'!$C$2:$C$435,MATCH(U24,'GCal-Year'!$A$2:$A$435,0))</f>
        <v>36</v>
      </c>
      <c r="U24" s="232">
        <f>AA23+1</f>
        <v>43710</v>
      </c>
      <c r="V24" s="233">
        <f t="shared" ref="V24:AA26" si="23">U24+1</f>
        <v>43711</v>
      </c>
      <c r="W24" s="233">
        <f t="shared" si="23"/>
        <v>43712</v>
      </c>
      <c r="X24" s="233">
        <f t="shared" si="23"/>
        <v>43713</v>
      </c>
      <c r="Y24" s="233">
        <f t="shared" si="23"/>
        <v>43714</v>
      </c>
      <c r="Z24" s="234">
        <f t="shared" si="23"/>
        <v>43715</v>
      </c>
      <c r="AA24" s="235">
        <f t="shared" si="23"/>
        <v>43716</v>
      </c>
      <c r="AB24" s="219"/>
      <c r="AC24" s="217"/>
      <c r="AD24" s="236" t="str">
        <f>AD21 &amp; "." &amp;AH$2</f>
        <v>07.2</v>
      </c>
      <c r="AE24" s="237" t="str">
        <f ca="1">IFERROR(INDEX('GCal-Year'!$F$2:$F$435,MATCH(C24,'GCal-Year'!$A$2:$A$435,0)),"")</f>
        <v>C</v>
      </c>
      <c r="AF24" s="238" t="str">
        <f ca="1">IFERROR(INDEX('GCal-Year'!$F$2:$F$435,MATCH(D24,'GCal-Year'!$A$2:$A$435,0)),"")</f>
        <v/>
      </c>
      <c r="AG24" s="238" t="str">
        <f ca="1">IFERROR(INDEX('GCal-Year'!$F$2:$F$435,MATCH(E24,'GCal-Year'!$A$2:$A$435,0)),"")</f>
        <v/>
      </c>
      <c r="AH24" s="238" t="str">
        <f ca="1">IFERROR(INDEX('GCal-Year'!$F$2:$F$435,MATCH(F24,'GCal-Year'!$A$2:$A$435,0)),"")</f>
        <v/>
      </c>
      <c r="AI24" s="238" t="str">
        <f ca="1">IFERROR(INDEX('GCal-Year'!$F$2:$F$435,MATCH(G24,'GCal-Year'!$A$2:$A$435,0)),"")</f>
        <v>E</v>
      </c>
      <c r="AJ24" s="239" t="str">
        <f ca="1">IFERROR(INDEX('GCal-Year'!$F$2:$F$435,MATCH(H24,'GCal-Year'!$A$2:$A$435,0)),"")</f>
        <v/>
      </c>
      <c r="AK24" s="240" t="str">
        <f ca="1">IFERROR(INDEX('GCal-Year'!$F$2:$F$435,MATCH(I24,'GCal-Year'!$A$2:$A$435,0)),"")</f>
        <v/>
      </c>
      <c r="AL24" s="292">
        <f>IFERROR(MATCH(AD24,'Moon Calendar'!$I$2:$I$65,0),"")</f>
        <v>30</v>
      </c>
      <c r="AM24" s="236" t="str">
        <f>AM21 &amp; "." &amp;AQ$2</f>
        <v>08.2</v>
      </c>
      <c r="AN24" s="237" t="str">
        <f ca="1">IFERROR(INDEX('GCal-Year'!$F$2:$F$435,MATCH(L24,'GCal-Year'!$A$2:$A$435,0)),"")</f>
        <v/>
      </c>
      <c r="AO24" s="238" t="str">
        <f ca="1">IFERROR(INDEX('GCal-Year'!$F$2:$F$435,MATCH(M24,'GCal-Year'!$A$2:$A$435,0)),"")</f>
        <v/>
      </c>
      <c r="AP24" s="238" t="str">
        <f ca="1">IFERROR(INDEX('GCal-Year'!$F$2:$F$435,MATCH(N24,'GCal-Year'!$A$2:$A$435,0)),"")</f>
        <v/>
      </c>
      <c r="AQ24" s="238" t="str">
        <f ca="1">IFERROR(INDEX('GCal-Year'!$F$2:$F$435,MATCH(O24,'GCal-Year'!$A$2:$A$435,0)),"")</f>
        <v/>
      </c>
      <c r="AR24" s="238" t="str">
        <f ca="1">IFERROR(INDEX('GCal-Year'!$F$2:$F$435,MATCH(P24,'GCal-Year'!$A$2:$A$435,0)),"")</f>
        <v/>
      </c>
      <c r="AS24" s="239" t="str">
        <f ca="1">IFERROR(INDEX('GCal-Year'!$F$2:$F$435,MATCH(Q24,'GCal-Year'!$A$2:$A$435,0)),"")</f>
        <v>E</v>
      </c>
      <c r="AT24" s="240" t="str">
        <f ca="1">IFERROR(INDEX('GCal-Year'!$F$2:$F$435,MATCH(R24,'GCal-Year'!$A$2:$A$435,0)),"")</f>
        <v>C</v>
      </c>
      <c r="AU24" s="292">
        <f>IFERROR(MATCH(AM24,'Moon Calendar'!$I$2:$I$65,0),"")</f>
        <v>34</v>
      </c>
      <c r="AV24" s="236" t="str">
        <f>AV21 &amp; "." &amp;AZ$2</f>
        <v>09.2</v>
      </c>
      <c r="AW24" s="237" t="str">
        <f ca="1">IFERROR(INDEX('GCal-Year'!$F$2:$F$435,MATCH(U24,'GCal-Year'!$A$2:$A$435,0)),"")</f>
        <v/>
      </c>
      <c r="AX24" s="238" t="str">
        <f ca="1">IFERROR(INDEX('GCal-Year'!$F$2:$F$435,MATCH(V24,'GCal-Year'!$A$2:$A$435,0)),"")</f>
        <v>C</v>
      </c>
      <c r="AY24" s="238" t="str">
        <f ca="1">IFERROR(INDEX('GCal-Year'!$F$2:$F$435,MATCH(W24,'GCal-Year'!$A$2:$A$435,0)),"")</f>
        <v>C</v>
      </c>
      <c r="AZ24" s="238" t="str">
        <f ca="1">IFERROR(INDEX('GCal-Year'!$F$2:$F$435,MATCH(X24,'GCal-Year'!$A$2:$A$435,0)),"")</f>
        <v/>
      </c>
      <c r="BA24" s="238" t="str">
        <f ca="1">IFERROR(INDEX('GCal-Year'!$F$2:$F$435,MATCH(Y24,'GCal-Year'!$A$2:$A$435,0)),"")</f>
        <v>P</v>
      </c>
      <c r="BB24" s="239" t="str">
        <f ca="1">IFERROR(INDEX('GCal-Year'!$F$2:$F$435,MATCH(Z24,'GCal-Year'!$A$2:$A$435,0)),"")</f>
        <v>H</v>
      </c>
      <c r="BC24" s="240" t="str">
        <f ca="1">IFERROR(INDEX('GCal-Year'!$F$2:$F$435,MATCH(AA24,'GCal-Year'!$A$2:$A$435,0)),"")</f>
        <v/>
      </c>
      <c r="BD24" s="292">
        <f>IFERROR(MATCH(AV24,'Moon Calendar'!$I$2:$I$65,0),"")</f>
        <v>39</v>
      </c>
    </row>
    <row r="25" spans="1:56" ht="18" x14ac:dyDescent="0.2">
      <c r="A25" s="219"/>
      <c r="B25" s="250">
        <f>B24+1</f>
        <v>29</v>
      </c>
      <c r="C25" s="232">
        <f>I24+1</f>
        <v>43661</v>
      </c>
      <c r="D25" s="233">
        <f t="shared" si="21"/>
        <v>43662</v>
      </c>
      <c r="E25" s="233">
        <f t="shared" si="21"/>
        <v>43663</v>
      </c>
      <c r="F25" s="233">
        <f t="shared" si="21"/>
        <v>43664</v>
      </c>
      <c r="G25" s="233">
        <f t="shared" si="21"/>
        <v>43665</v>
      </c>
      <c r="H25" s="234">
        <f t="shared" si="21"/>
        <v>43666</v>
      </c>
      <c r="I25" s="235">
        <f t="shared" si="21"/>
        <v>43667</v>
      </c>
      <c r="K25" s="231">
        <f>K24+1</f>
        <v>33</v>
      </c>
      <c r="L25" s="232">
        <f>R24+1</f>
        <v>43689</v>
      </c>
      <c r="M25" s="233">
        <f t="shared" si="22"/>
        <v>43690</v>
      </c>
      <c r="N25" s="233">
        <f t="shared" si="22"/>
        <v>43691</v>
      </c>
      <c r="O25" s="233">
        <f t="shared" si="22"/>
        <v>43692</v>
      </c>
      <c r="P25" s="233">
        <f t="shared" si="22"/>
        <v>43693</v>
      </c>
      <c r="Q25" s="234">
        <f t="shared" si="22"/>
        <v>43694</v>
      </c>
      <c r="R25" s="235">
        <f t="shared" si="22"/>
        <v>43695</v>
      </c>
      <c r="S25" s="219"/>
      <c r="T25" s="250">
        <f>T24+1</f>
        <v>37</v>
      </c>
      <c r="U25" s="232">
        <f>AA24+1</f>
        <v>43717</v>
      </c>
      <c r="V25" s="233">
        <f t="shared" si="23"/>
        <v>43718</v>
      </c>
      <c r="W25" s="233">
        <f t="shared" si="23"/>
        <v>43719</v>
      </c>
      <c r="X25" s="233">
        <f t="shared" si="23"/>
        <v>43720</v>
      </c>
      <c r="Y25" s="233">
        <f t="shared" si="23"/>
        <v>43721</v>
      </c>
      <c r="Z25" s="234">
        <f t="shared" si="23"/>
        <v>43722</v>
      </c>
      <c r="AA25" s="235">
        <f t="shared" si="23"/>
        <v>43723</v>
      </c>
      <c r="AB25" s="219"/>
      <c r="AC25" s="217"/>
      <c r="AD25" s="236" t="str">
        <f>AD21 &amp; "." &amp;AI$2</f>
        <v>07.3</v>
      </c>
      <c r="AE25" s="237" t="str">
        <f ca="1">IFERROR(INDEX('GCal-Year'!$F$2:$F$435,MATCH(C25,'GCal-Year'!$A$2:$A$435,0)),"")</f>
        <v/>
      </c>
      <c r="AF25" s="238" t="str">
        <f ca="1">IFERROR(INDEX('GCal-Year'!$F$2:$F$435,MATCH(D25,'GCal-Year'!$A$2:$A$435,0)),"")</f>
        <v>C</v>
      </c>
      <c r="AG25" s="238" t="str">
        <f ca="1">IFERROR(INDEX('GCal-Year'!$F$2:$F$435,MATCH(E25,'GCal-Year'!$A$2:$A$435,0)),"")</f>
        <v/>
      </c>
      <c r="AH25" s="238" t="str">
        <f ca="1">IFERROR(INDEX('GCal-Year'!$F$2:$F$435,MATCH(F25,'GCal-Year'!$A$2:$A$435,0)),"")</f>
        <v/>
      </c>
      <c r="AI25" s="238" t="str">
        <f ca="1">IFERROR(INDEX('GCal-Year'!$F$2:$F$435,MATCH(G25,'GCal-Year'!$A$2:$A$435,0)),"")</f>
        <v/>
      </c>
      <c r="AJ25" s="239" t="str">
        <f ca="1">IFERROR(INDEX('GCal-Year'!$F$2:$F$435,MATCH(H25,'GCal-Year'!$A$2:$A$435,0)),"")</f>
        <v/>
      </c>
      <c r="AK25" s="240" t="str">
        <f ca="1">IFERROR(INDEX('GCal-Year'!$F$2:$F$435,MATCH(I25,'GCal-Year'!$A$2:$A$435,0)),"")</f>
        <v>C</v>
      </c>
      <c r="AL25" s="292">
        <f>IFERROR(MATCH(AD25,'Moon Calendar'!$I$2:$I$65,0),"")</f>
        <v>31</v>
      </c>
      <c r="AM25" s="236" t="str">
        <f>AM21 &amp; "." &amp;AR$2</f>
        <v>08.3</v>
      </c>
      <c r="AN25" s="237" t="str">
        <f ca="1">IFERROR(INDEX('GCal-Year'!$F$2:$F$435,MATCH(L25,'GCal-Year'!$A$2:$A$435,0)),"")</f>
        <v/>
      </c>
      <c r="AO25" s="238" t="str">
        <f ca="1">IFERROR(INDEX('GCal-Year'!$F$2:$F$435,MATCH(M25,'GCal-Year'!$A$2:$A$435,0)),"")</f>
        <v/>
      </c>
      <c r="AP25" s="238" t="str">
        <f ca="1">IFERROR(INDEX('GCal-Year'!$F$2:$F$435,MATCH(N25,'GCal-Year'!$A$2:$A$435,0)),"")</f>
        <v/>
      </c>
      <c r="AQ25" s="238" t="str">
        <f ca="1">IFERROR(INDEX('GCal-Year'!$F$2:$F$435,MATCH(O25,'GCal-Year'!$A$2:$A$435,0)),"")</f>
        <v>P</v>
      </c>
      <c r="AR25" s="238" t="str">
        <f ca="1">IFERROR(INDEX('GCal-Year'!$F$2:$F$435,MATCH(P25,'GCal-Year'!$A$2:$A$435,0)),"")</f>
        <v>C</v>
      </c>
      <c r="AS25" s="239" t="str">
        <f ca="1">IFERROR(INDEX('GCal-Year'!$F$2:$F$435,MATCH(Q25,'GCal-Year'!$A$2:$A$435,0)),"")</f>
        <v/>
      </c>
      <c r="AT25" s="240" t="str">
        <f ca="1">IFERROR(INDEX('GCal-Year'!$F$2:$F$435,MATCH(R25,'GCal-Year'!$A$2:$A$435,0)),"")</f>
        <v/>
      </c>
      <c r="AU25" s="292">
        <f>IFERROR(MATCH(AM25,'Moon Calendar'!$I$2:$I$65,0),"")</f>
        <v>35</v>
      </c>
      <c r="AV25" s="236" t="str">
        <f>AV21 &amp; "." &amp;BA$2</f>
        <v>09.3</v>
      </c>
      <c r="AW25" s="237" t="str">
        <f ca="1">IFERROR(INDEX('GCal-Year'!$F$2:$F$435,MATCH(U25,'GCal-Year'!$A$2:$A$435,0)),"")</f>
        <v/>
      </c>
      <c r="AX25" s="238" t="str">
        <f ca="1">IFERROR(INDEX('GCal-Year'!$F$2:$F$435,MATCH(V25,'GCal-Year'!$A$2:$A$435,0)),"")</f>
        <v>K</v>
      </c>
      <c r="AY25" s="238" t="str">
        <f ca="1">IFERROR(INDEX('GCal-Year'!$F$2:$F$435,MATCH(W25,'GCal-Year'!$A$2:$A$435,0)),"")</f>
        <v>F</v>
      </c>
      <c r="AZ25" s="238" t="str">
        <f ca="1">IFERROR(INDEX('GCal-Year'!$F$2:$F$435,MATCH(X25,'GCal-Year'!$A$2:$A$435,0)),"")</f>
        <v>C</v>
      </c>
      <c r="BA25" s="238" t="str">
        <f ca="1">IFERROR(INDEX('GCal-Year'!$F$2:$F$435,MATCH(Y25,'GCal-Year'!$A$2:$A$435,0)),"")</f>
        <v>C</v>
      </c>
      <c r="BB25" s="239" t="str">
        <f ca="1">IFERROR(INDEX('GCal-Year'!$F$2:$F$435,MATCH(Z25,'GCal-Year'!$A$2:$A$435,0)),"")</f>
        <v/>
      </c>
      <c r="BC25" s="240" t="str">
        <f ca="1">IFERROR(INDEX('GCal-Year'!$F$2:$F$435,MATCH(AA25,'GCal-Year'!$A$2:$A$435,0)),"")</f>
        <v/>
      </c>
      <c r="BD25" s="292">
        <f>IFERROR(MATCH(AV25,'Moon Calendar'!$I$2:$I$65,0),"")</f>
        <v>40</v>
      </c>
    </row>
    <row r="26" spans="1:56" ht="18" x14ac:dyDescent="0.2">
      <c r="A26" s="219"/>
      <c r="B26" s="250">
        <f>B25+1</f>
        <v>30</v>
      </c>
      <c r="C26" s="232">
        <f>I25+1</f>
        <v>43668</v>
      </c>
      <c r="D26" s="233">
        <f t="shared" si="21"/>
        <v>43669</v>
      </c>
      <c r="E26" s="233">
        <f t="shared" si="21"/>
        <v>43670</v>
      </c>
      <c r="F26" s="233">
        <f t="shared" si="21"/>
        <v>43671</v>
      </c>
      <c r="G26" s="233">
        <f t="shared" si="21"/>
        <v>43672</v>
      </c>
      <c r="H26" s="234">
        <f t="shared" si="21"/>
        <v>43673</v>
      </c>
      <c r="I26" s="235">
        <f t="shared" si="21"/>
        <v>43674</v>
      </c>
      <c r="K26" s="231">
        <f>K25+1</f>
        <v>34</v>
      </c>
      <c r="L26" s="232">
        <f>R25+1</f>
        <v>43696</v>
      </c>
      <c r="M26" s="233">
        <f t="shared" si="22"/>
        <v>43697</v>
      </c>
      <c r="N26" s="233">
        <f t="shared" si="22"/>
        <v>43698</v>
      </c>
      <c r="O26" s="233">
        <f t="shared" si="22"/>
        <v>43699</v>
      </c>
      <c r="P26" s="233">
        <f t="shared" si="22"/>
        <v>43700</v>
      </c>
      <c r="Q26" s="234">
        <f t="shared" si="22"/>
        <v>43701</v>
      </c>
      <c r="R26" s="235">
        <f t="shared" si="22"/>
        <v>43702</v>
      </c>
      <c r="S26" s="219"/>
      <c r="T26" s="250">
        <f>T25+1</f>
        <v>38</v>
      </c>
      <c r="U26" s="232">
        <f>AA25+1</f>
        <v>43724</v>
      </c>
      <c r="V26" s="233">
        <f t="shared" si="23"/>
        <v>43725</v>
      </c>
      <c r="W26" s="233">
        <f t="shared" si="23"/>
        <v>43726</v>
      </c>
      <c r="X26" s="233">
        <f t="shared" si="23"/>
        <v>43727</v>
      </c>
      <c r="Y26" s="233">
        <f t="shared" si="23"/>
        <v>43728</v>
      </c>
      <c r="Z26" s="234">
        <f t="shared" si="23"/>
        <v>43729</v>
      </c>
      <c r="AA26" s="235">
        <f t="shared" si="23"/>
        <v>43730</v>
      </c>
      <c r="AB26" s="219"/>
      <c r="AC26" s="217"/>
      <c r="AD26" s="236" t="str">
        <f>AD21 &amp; "." &amp;AJ$2</f>
        <v>07.4</v>
      </c>
      <c r="AE26" s="237" t="str">
        <f ca="1">IFERROR(INDEX('GCal-Year'!$F$2:$F$435,MATCH(C26,'GCal-Year'!$A$2:$A$435,0)),"")</f>
        <v/>
      </c>
      <c r="AF26" s="238" t="str">
        <f ca="1">IFERROR(INDEX('GCal-Year'!$F$2:$F$435,MATCH(D26,'GCal-Year'!$A$2:$A$435,0)),"")</f>
        <v/>
      </c>
      <c r="AG26" s="238" t="str">
        <f ca="1">IFERROR(INDEX('GCal-Year'!$F$2:$F$435,MATCH(E26,'GCal-Year'!$A$2:$A$435,0)),"")</f>
        <v/>
      </c>
      <c r="AH26" s="238" t="str">
        <f ca="1">IFERROR(INDEX('GCal-Year'!$F$2:$F$435,MATCH(F26,'GCal-Year'!$A$2:$A$435,0)),"")</f>
        <v>C</v>
      </c>
      <c r="AI26" s="238" t="str">
        <f ca="1">IFERROR(INDEX('GCal-Year'!$F$2:$F$435,MATCH(G26,'GCal-Year'!$A$2:$A$435,0)),"")</f>
        <v>C</v>
      </c>
      <c r="AJ26" s="239" t="str">
        <f ca="1">IFERROR(INDEX('GCal-Year'!$F$2:$F$435,MATCH(H26,'GCal-Year'!$A$2:$A$435,0)),"")</f>
        <v/>
      </c>
      <c r="AK26" s="240" t="str">
        <f ca="1">IFERROR(INDEX('GCal-Year'!$F$2:$F$435,MATCH(I26,'GCal-Year'!$A$2:$A$435,0)),"")</f>
        <v>E</v>
      </c>
      <c r="AL26" s="292">
        <f>IFERROR(MATCH(AD26,'Moon Calendar'!$I$2:$I$65,0),"")</f>
        <v>32</v>
      </c>
      <c r="AM26" s="236" t="str">
        <f>AM21 &amp; "." &amp;AS$2</f>
        <v>08.4</v>
      </c>
      <c r="AN26" s="237" t="str">
        <f ca="1">IFERROR(INDEX('GCal-Year'!$F$2:$F$435,MATCH(L26,'GCal-Year'!$A$2:$A$435,0)),"")</f>
        <v/>
      </c>
      <c r="AO26" s="238" t="str">
        <f ca="1">IFERROR(INDEX('GCal-Year'!$F$2:$F$435,MATCH(M26,'GCal-Year'!$A$2:$A$435,0)),"")</f>
        <v/>
      </c>
      <c r="AP26" s="238" t="str">
        <f ca="1">IFERROR(INDEX('GCal-Year'!$F$2:$F$435,MATCH(N26,'GCal-Year'!$A$2:$A$435,0)),"")</f>
        <v/>
      </c>
      <c r="AQ26" s="238" t="str">
        <f ca="1">IFERROR(INDEX('GCal-Year'!$F$2:$F$435,MATCH(O26,'GCal-Year'!$A$2:$A$435,0)),"")</f>
        <v/>
      </c>
      <c r="AR26" s="238" t="str">
        <f ca="1">IFERROR(INDEX('GCal-Year'!$F$2:$F$435,MATCH(P26,'GCal-Year'!$A$2:$A$435,0)),"")</f>
        <v>P</v>
      </c>
      <c r="AS26" s="239" t="str">
        <f ca="1">IFERROR(INDEX('GCal-Year'!$F$2:$F$435,MATCH(Q26,'GCal-Year'!$A$2:$A$435,0)),"")</f>
        <v>P</v>
      </c>
      <c r="AT26" s="240" t="str">
        <f ca="1">IFERROR(INDEX('GCal-Year'!$F$2:$F$435,MATCH(R26,'GCal-Year'!$A$2:$A$435,0)),"")</f>
        <v/>
      </c>
      <c r="AU26" s="292">
        <f>IFERROR(MATCH(AM26,'Moon Calendar'!$I$2:$I$65,0),"")</f>
        <v>36</v>
      </c>
      <c r="AV26" s="236" t="str">
        <f>AV21 &amp; "." &amp;BB$2</f>
        <v>09.4</v>
      </c>
      <c r="AW26" s="237" t="str">
        <f ca="1">IFERROR(INDEX('GCal-Year'!$F$2:$F$435,MATCH(U26,'GCal-Year'!$A$2:$A$435,0)),"")</f>
        <v/>
      </c>
      <c r="AX26" s="238" t="str">
        <f ca="1">IFERROR(INDEX('GCal-Year'!$F$2:$F$435,MATCH(V26,'GCal-Year'!$A$2:$A$435,0)),"")</f>
        <v/>
      </c>
      <c r="AY26" s="238" t="str">
        <f ca="1">IFERROR(INDEX('GCal-Year'!$F$2:$F$435,MATCH(W26,'GCal-Year'!$A$2:$A$435,0)),"")</f>
        <v/>
      </c>
      <c r="AZ26" s="238" t="str">
        <f ca="1">IFERROR(INDEX('GCal-Year'!$F$2:$F$435,MATCH(X26,'GCal-Year'!$A$2:$A$435,0)),"")</f>
        <v/>
      </c>
      <c r="BA26" s="238" t="str">
        <f ca="1">IFERROR(INDEX('GCal-Year'!$F$2:$F$435,MATCH(Y26,'GCal-Year'!$A$2:$A$435,0)),"")</f>
        <v/>
      </c>
      <c r="BB26" s="239" t="str">
        <f ca="1">IFERROR(INDEX('GCal-Year'!$F$2:$F$435,MATCH(Z26,'GCal-Year'!$A$2:$A$435,0)),"")</f>
        <v>C</v>
      </c>
      <c r="BC26" s="240" t="str">
        <f ca="1">IFERROR(INDEX('GCal-Year'!$F$2:$F$435,MATCH(AA26,'GCal-Year'!$A$2:$A$435,0)),"")</f>
        <v>C</v>
      </c>
      <c r="BD26" s="292">
        <f>IFERROR(MATCH(AV26,'Moon Calendar'!$I$2:$I$65,0),"")</f>
        <v>41</v>
      </c>
    </row>
    <row r="27" spans="1:56" ht="18" x14ac:dyDescent="0.2">
      <c r="A27" s="219"/>
      <c r="B27" s="250">
        <f>IF(C27="","",B26+1)</f>
        <v>31</v>
      </c>
      <c r="C27" s="232">
        <f>IF(I26+1&lt;=AG21,I26+1," ")</f>
        <v>43675</v>
      </c>
      <c r="D27" s="233">
        <f>IF(C27=" "," ",IF(C27+1&lt;=AG21,C27+1," "))</f>
        <v>43676</v>
      </c>
      <c r="E27" s="233">
        <f>IF(D27=" "," ",IF(D27+1&lt;=AG21,D27+1," "))</f>
        <v>43677</v>
      </c>
      <c r="F27" s="233" t="str">
        <f>IF(E27=" "," ",IF(E27+1&lt;=AG21,E27+1," "))</f>
        <v xml:space="preserve"> </v>
      </c>
      <c r="G27" s="233" t="str">
        <f>IF(F27=" "," ",IF(F27+1&lt;=AG21,F27+1," "))</f>
        <v xml:space="preserve"> </v>
      </c>
      <c r="H27" s="234" t="str">
        <f>IF(G27=" "," ",IF(G27+1&lt;=AG21,G27+1," "))</f>
        <v xml:space="preserve"> </v>
      </c>
      <c r="I27" s="235" t="str">
        <f>IF(H27=" "," ",IF(H27+1&lt;=AG21,H27+1," "))</f>
        <v xml:space="preserve"> </v>
      </c>
      <c r="K27" s="241">
        <f>IF(L27="","",K26+1)</f>
        <v>35</v>
      </c>
      <c r="L27" s="232">
        <f>IF(R26+1&lt;=AP21,R26+1," ")</f>
        <v>43703</v>
      </c>
      <c r="M27" s="233">
        <f>IF(L27=" "," ",IF(L27+1&lt;=AP21,L27+1," "))</f>
        <v>43704</v>
      </c>
      <c r="N27" s="233">
        <f>IF(M27=" "," ",IF(M27+1&lt;=AP21,M27+1," "))</f>
        <v>43705</v>
      </c>
      <c r="O27" s="233">
        <f>IF(N27=" "," ",IF(N27+1&lt;=AP21,N27+1," "))</f>
        <v>43706</v>
      </c>
      <c r="P27" s="233">
        <f>IF(O27=" "," ",IF(O27+1&lt;=AP21,O27+1," "))</f>
        <v>43707</v>
      </c>
      <c r="Q27" s="234">
        <f>IF(P27=" "," ",IF(P27+1&lt;=AP21,P27+1," "))</f>
        <v>43708</v>
      </c>
      <c r="R27" s="235" t="str">
        <f>IF(Q27=" "," ",IF(Q27+1&lt;=AP21,Q27+1," "))</f>
        <v xml:space="preserve"> </v>
      </c>
      <c r="S27" s="219"/>
      <c r="T27" s="250">
        <f>IF(U27="","",T26+1)</f>
        <v>39</v>
      </c>
      <c r="U27" s="232">
        <f>IF(AA26+1&lt;=AY21,AA26+1," ")</f>
        <v>43731</v>
      </c>
      <c r="V27" s="233">
        <f>IF(U27=" "," ",IF(U27+1&lt;=AY21,U27+1," "))</f>
        <v>43732</v>
      </c>
      <c r="W27" s="233">
        <f>IF(V27=" "," ",IF(V27+1&lt;=AY21,V27+1," "))</f>
        <v>43733</v>
      </c>
      <c r="X27" s="233">
        <f>IF(W27=" "," ",IF(W27+1&lt;=AY21,W27+1," "))</f>
        <v>43734</v>
      </c>
      <c r="Y27" s="233">
        <f>IF(X27=" "," ",IF(X27+1&lt;=AY21,X27+1," "))</f>
        <v>43735</v>
      </c>
      <c r="Z27" s="234">
        <f>IF(Y27=" "," ",IF(Y27+1&lt;=AY21,Y27+1," "))</f>
        <v>43736</v>
      </c>
      <c r="AA27" s="235">
        <f>IF(Z27=" "," ",IF(Z27+1&lt;=AY21,Z27+1," "))</f>
        <v>43737</v>
      </c>
      <c r="AB27" s="219"/>
      <c r="AC27" s="217"/>
      <c r="AD27" s="236" t="str">
        <f>AD21 &amp; "." &amp;AK$2</f>
        <v>07.5</v>
      </c>
      <c r="AE27" s="237" t="str">
        <f ca="1">IFERROR(INDEX('GCal-Year'!$F$2:$F$435,MATCH(C27,'GCal-Year'!$A$2:$A$435,0)),"")</f>
        <v/>
      </c>
      <c r="AF27" s="238" t="str">
        <f ca="1">IFERROR(INDEX('GCal-Year'!$F$2:$F$435,MATCH(D27,'GCal-Year'!$A$2:$A$435,0)),"")</f>
        <v/>
      </c>
      <c r="AG27" s="238" t="str">
        <f ca="1">IFERROR(INDEX('GCal-Year'!$F$2:$F$435,MATCH(E27,'GCal-Year'!$A$2:$A$435,0)),"")</f>
        <v/>
      </c>
      <c r="AH27" s="238" t="str">
        <f>IFERROR(INDEX('GCal-Year'!$F$2:$F$435,MATCH(F27,'GCal-Year'!$A$2:$A$435,0)),"")</f>
        <v/>
      </c>
      <c r="AI27" s="238" t="str">
        <f>IFERROR(INDEX('GCal-Year'!$F$2:$F$435,MATCH(G27,'GCal-Year'!$A$2:$A$435,0)),"")</f>
        <v/>
      </c>
      <c r="AJ27" s="239" t="str">
        <f>IFERROR(INDEX('GCal-Year'!$F$2:$F$435,MATCH(H27,'GCal-Year'!$A$2:$A$435,0)),"")</f>
        <v/>
      </c>
      <c r="AK27" s="240" t="str">
        <f>IFERROR(INDEX('GCal-Year'!$F$2:$F$435,MATCH(I27,'GCal-Year'!$A$2:$A$435,0)),"")</f>
        <v/>
      </c>
      <c r="AL27" s="292" t="str">
        <f>IFERROR(MATCH(AD27,'Moon Calendar'!$I$2:$I$65,0),"")</f>
        <v/>
      </c>
      <c r="AM27" s="236" t="str">
        <f>AM21 &amp; "." &amp;AT$2</f>
        <v>08.5</v>
      </c>
      <c r="AN27" s="237" t="str">
        <f ca="1">IFERROR(INDEX('GCal-Year'!$F$2:$F$435,MATCH(L27,'GCal-Year'!$A$2:$A$435,0)),"")</f>
        <v>E</v>
      </c>
      <c r="AO27" s="238" t="str">
        <f ca="1">IFERROR(INDEX('GCal-Year'!$F$2:$F$435,MATCH(M27,'GCal-Year'!$A$2:$A$435,0)),"")</f>
        <v/>
      </c>
      <c r="AP27" s="238" t="str">
        <f ca="1">IFERROR(INDEX('GCal-Year'!$F$2:$F$435,MATCH(N27,'GCal-Year'!$A$2:$A$435,0)),"")</f>
        <v/>
      </c>
      <c r="AQ27" s="238" t="str">
        <f ca="1">IFERROR(INDEX('GCal-Year'!$F$2:$F$435,MATCH(O27,'GCal-Year'!$A$2:$A$435,0)),"")</f>
        <v/>
      </c>
      <c r="AR27" s="238" t="str">
        <f ca="1">IFERROR(INDEX('GCal-Year'!$F$2:$F$435,MATCH(P27,'GCal-Year'!$A$2:$A$435,0)),"")</f>
        <v/>
      </c>
      <c r="AS27" s="239" t="str">
        <f ca="1">IFERROR(INDEX('GCal-Year'!$F$2:$F$435,MATCH(Q27,'GCal-Year'!$A$2:$A$435,0)),"")</f>
        <v/>
      </c>
      <c r="AT27" s="240" t="str">
        <f>IFERROR(INDEX('GCal-Year'!$F$2:$F$435,MATCH(R27,'GCal-Year'!$A$2:$A$435,0)),"")</f>
        <v/>
      </c>
      <c r="AU27" s="292">
        <f>IFERROR(MATCH(AM27,'Moon Calendar'!$I$2:$I$65,0),"")</f>
        <v>37</v>
      </c>
      <c r="AV27" s="236" t="str">
        <f>AV21 &amp; "." &amp;BC$2</f>
        <v>09.5</v>
      </c>
      <c r="AW27" s="237" t="str">
        <f ca="1">IFERROR(INDEX('GCal-Year'!$F$2:$F$435,MATCH(U27,'GCal-Year'!$A$2:$A$435,0)),"")</f>
        <v/>
      </c>
      <c r="AX27" s="238" t="str">
        <f ca="1">IFERROR(INDEX('GCal-Year'!$F$2:$F$435,MATCH(V27,'GCal-Year'!$A$2:$A$435,0)),"")</f>
        <v/>
      </c>
      <c r="AY27" s="238" t="str">
        <f ca="1">IFERROR(INDEX('GCal-Year'!$F$2:$F$435,MATCH(W27,'GCal-Year'!$A$2:$A$435,0)),"")</f>
        <v>E</v>
      </c>
      <c r="AZ27" s="238" t="str">
        <f ca="1">IFERROR(INDEX('GCal-Year'!$F$2:$F$435,MATCH(X27,'GCal-Year'!$A$2:$A$435,0)),"")</f>
        <v/>
      </c>
      <c r="BA27" s="238" t="str">
        <f ca="1">IFERROR(INDEX('GCal-Year'!$F$2:$F$435,MATCH(Y27,'GCal-Year'!$A$2:$A$435,0)),"")</f>
        <v/>
      </c>
      <c r="BB27" s="239" t="str">
        <f ca="1">IFERROR(INDEX('GCal-Year'!$F$2:$F$435,MATCH(Z27,'GCal-Year'!$A$2:$A$435,0)),"")</f>
        <v/>
      </c>
      <c r="BC27" s="240" t="str">
        <f ca="1">IFERROR(INDEX('GCal-Year'!$F$2:$F$435,MATCH(AA27,'GCal-Year'!$A$2:$A$435,0)),"")</f>
        <v/>
      </c>
      <c r="BD27" s="292" t="str">
        <f>IFERROR(MATCH(AV27,'Moon Calendar'!$I$2:$I$65,0),"")</f>
        <v/>
      </c>
    </row>
    <row r="28" spans="1:56" ht="18.75" thickBot="1" x14ac:dyDescent="0.25">
      <c r="A28" s="219"/>
      <c r="B28" s="251">
        <f>IF(C28="","",B27+1)</f>
        <v>32</v>
      </c>
      <c r="C28" s="242" t="str">
        <f>IF(I27=" "," ",IF(I27+1&lt;=AG21,I27+1," "))</f>
        <v xml:space="preserve"> </v>
      </c>
      <c r="D28" s="243" t="str">
        <f>IF(C28=" "," ",IF(C28+1&lt;=AG21,C28+1," "))</f>
        <v xml:space="preserve"> </v>
      </c>
      <c r="E28" s="243"/>
      <c r="F28" s="243"/>
      <c r="G28" s="243"/>
      <c r="H28" s="244"/>
      <c r="I28" s="245"/>
      <c r="K28" s="241">
        <f>IF(L28="","",K27+1)</f>
        <v>36</v>
      </c>
      <c r="L28" s="242" t="str">
        <f>IF(R27=" "," ",IF(R27+1&lt;=AP21,R27+1," "))</f>
        <v xml:space="preserve"> </v>
      </c>
      <c r="M28" s="243" t="str">
        <f>IF(L28=" "," ",IF(L28+1&lt;=AP21,L28+1," "))</f>
        <v xml:space="preserve"> </v>
      </c>
      <c r="N28" s="243"/>
      <c r="O28" s="243"/>
      <c r="P28" s="243"/>
      <c r="Q28" s="244"/>
      <c r="R28" s="245"/>
      <c r="S28" s="219"/>
      <c r="T28" s="251">
        <f>IF(U28="","",T27+1)</f>
        <v>40</v>
      </c>
      <c r="U28" s="242">
        <f>IF(AA27=" "," ",IF(AA27+1&lt;=AY21,AA27+1," "))</f>
        <v>43738</v>
      </c>
      <c r="V28" s="243" t="str">
        <f>IF(U28=" "," ",IF(U28+1&lt;=AY21,U28+1," "))</f>
        <v xml:space="preserve"> </v>
      </c>
      <c r="W28" s="252"/>
      <c r="X28" s="907" t="str">
        <f ca="1">"22 - " &amp; 'GPlan-Translations'!C199</f>
        <v>22 - Primavera</v>
      </c>
      <c r="Y28" s="907"/>
      <c r="Z28" s="907"/>
      <c r="AA28" s="908"/>
      <c r="AB28" s="219"/>
      <c r="AC28" s="217"/>
      <c r="AD28" s="104"/>
      <c r="AE28" s="246" t="str">
        <f>IFERROR(INDEX('GCal-Year'!$F$2:$F$435,MATCH(C28,'GCal-Year'!$A$2:$A$435,0)),"")</f>
        <v/>
      </c>
      <c r="AF28" s="247" t="str">
        <f>IFERROR(INDEX('GCal-Year'!$F$2:$F$435,MATCH(D28,'GCal-Year'!$A$2:$A$435,0)),"")</f>
        <v/>
      </c>
      <c r="AG28" s="248">
        <f>IFERROR(INDEX('Moon Calendar'!$F$2:$F$65,AL23),"")</f>
        <v>43648</v>
      </c>
      <c r="AH28" s="248">
        <f>IFERROR(INDEX('Moon Calendar'!$F$2:$F$65,AL24),"")</f>
        <v>43655</v>
      </c>
      <c r="AI28" s="248">
        <f>IFERROR(INDEX('Moon Calendar'!$F$2:$F$65,AL25),"")</f>
        <v>43662</v>
      </c>
      <c r="AJ28" s="248">
        <f>IFERROR(INDEX('Moon Calendar'!$F$2:$F$65,AL26),"")</f>
        <v>43670</v>
      </c>
      <c r="AK28" s="249" t="str">
        <f>IFERROR(INDEX('Moon Calendar'!$F$2:$F$65,AL27),"")</f>
        <v/>
      </c>
      <c r="AL28" s="617" t="str">
        <f ca="1">AD29 &amp; " " &amp; AE29  &amp; AL29 &amp; AF29 &amp; " " &amp; AG29 &amp; AL29 &amp; AH29 &amp; " " &amp; AI29 &amp; IF(AJ29&lt;&gt;"",AL29 &amp; AJ29 &amp; " " &amp; AK29,"")</f>
        <v> 2           9           16           24</v>
      </c>
      <c r="AM28" s="104"/>
      <c r="AN28" s="246" t="str">
        <f>IFERROR(INDEX('GCal-Year'!$F$2:$F$435,MATCH(L28,'GCal-Year'!$A$2:$A$435,0)),"")</f>
        <v/>
      </c>
      <c r="AO28" s="247" t="str">
        <f>IFERROR(INDEX('GCal-Year'!$F$2:$F$435,MATCH(M28,'GCal-Year'!$A$2:$A$435,0)),"")</f>
        <v/>
      </c>
      <c r="AP28" s="248">
        <f>IFERROR(INDEX('Moon Calendar'!$F$2:$F$65,AU23),"")</f>
        <v>43678</v>
      </c>
      <c r="AQ28" s="248">
        <f>IFERROR(INDEX('Moon Calendar'!$F$2:$F$65,AU24),"")</f>
        <v>43684</v>
      </c>
      <c r="AR28" s="248">
        <f>IFERROR(INDEX('Moon Calendar'!$F$2:$F$65,AU25),"")</f>
        <v>43692</v>
      </c>
      <c r="AS28" s="248">
        <f>IFERROR(INDEX('Moon Calendar'!$F$2:$F$65,AU26),"")</f>
        <v>43700</v>
      </c>
      <c r="AT28" s="249">
        <f>IFERROR(INDEX('Moon Calendar'!$F$2:$F$65,AU27),"")</f>
        <v>43707</v>
      </c>
      <c r="AU28" s="617" t="str">
        <f ca="1">AM29 &amp; " " &amp; AN29  &amp; AU29 &amp; AO29 &amp; " " &amp; AP29 &amp; AU29 &amp; AQ29 &amp; " " &amp; AR29 &amp; IF(AS29&lt;&gt;"",AU29 &amp; AS29 &amp; " " &amp; AT29,"")</f>
        <v> 1/30           7           15           23</v>
      </c>
      <c r="AV28" s="104"/>
      <c r="AW28" s="246" t="str">
        <f ca="1">IFERROR(INDEX('GCal-Year'!$F$2:$F$435,MATCH(U28,'GCal-Year'!$A$2:$A$435,0)),"")</f>
        <v/>
      </c>
      <c r="AX28" s="247" t="str">
        <f>IFERROR(INDEX('GCal-Year'!$F$2:$F$435,MATCH(V28,'GCal-Year'!$A$2:$A$435,0)),"")</f>
        <v/>
      </c>
      <c r="AY28" s="248">
        <f>IFERROR(INDEX('Moon Calendar'!$F$2:$F$65,BD23),"")</f>
        <v>43714</v>
      </c>
      <c r="AZ28" s="248">
        <f>IFERROR(INDEX('Moon Calendar'!$F$2:$F$65,BD24),"")</f>
        <v>43722</v>
      </c>
      <c r="BA28" s="248">
        <f>IFERROR(INDEX('Moon Calendar'!$F$2:$F$65,BD25),"")</f>
        <v>43729</v>
      </c>
      <c r="BB28" s="248">
        <f>IFERROR(INDEX('Moon Calendar'!$F$2:$F$65,BD26),"")</f>
        <v>43736</v>
      </c>
      <c r="BC28" s="249" t="str">
        <f>IFERROR(INDEX('Moon Calendar'!$F$2:$F$65,BD27),"")</f>
        <v/>
      </c>
      <c r="BD28" s="617" t="str">
        <f ca="1">AV29 &amp; " " &amp; AW29  &amp; BD29 &amp; AX29 &amp; " " &amp; AY29 &amp; BD29 &amp; AZ29 &amp; " " &amp; BA29 &amp; IF(BB29&lt;&gt;"",BD29 &amp; BB29 &amp; " " &amp; BC29,"")</f>
        <v> 6           14           21           28</v>
      </c>
    </row>
    <row r="29" spans="1:56" ht="18.75" thickBot="1" x14ac:dyDescent="0.25">
      <c r="B29" s="618" t="str">
        <f t="shared" ref="B29:I29" ca="1" si="24">AD29</f>
        <v></v>
      </c>
      <c r="C29" s="621" t="str">
        <f t="shared" si="24"/>
        <v>2</v>
      </c>
      <c r="D29" s="618" t="str">
        <f t="shared" ca="1" si="24"/>
        <v></v>
      </c>
      <c r="E29" s="621">
        <f t="shared" si="24"/>
        <v>9</v>
      </c>
      <c r="F29" s="618" t="str">
        <f t="shared" ca="1" si="24"/>
        <v></v>
      </c>
      <c r="G29" s="621">
        <f t="shared" si="24"/>
        <v>16</v>
      </c>
      <c r="H29" s="618" t="str">
        <f t="shared" ca="1" si="24"/>
        <v></v>
      </c>
      <c r="I29" s="621">
        <f t="shared" si="24"/>
        <v>24</v>
      </c>
      <c r="K29" s="618" t="str">
        <f t="shared" ref="K29:R29" ca="1" si="25">AM29</f>
        <v></v>
      </c>
      <c r="L29" s="621" t="str">
        <f t="shared" si="25"/>
        <v>1/30</v>
      </c>
      <c r="M29" s="618" t="str">
        <f t="shared" ca="1" si="25"/>
        <v></v>
      </c>
      <c r="N29" s="621">
        <f t="shared" si="25"/>
        <v>7</v>
      </c>
      <c r="O29" s="618" t="str">
        <f t="shared" ca="1" si="25"/>
        <v></v>
      </c>
      <c r="P29" s="621">
        <f t="shared" si="25"/>
        <v>15</v>
      </c>
      <c r="Q29" s="618" t="str">
        <f t="shared" ca="1" si="25"/>
        <v></v>
      </c>
      <c r="R29" s="621">
        <f t="shared" si="25"/>
        <v>23</v>
      </c>
      <c r="T29" s="618" t="str">
        <f t="shared" ref="T29:AA29" ca="1" si="26">AV29</f>
        <v></v>
      </c>
      <c r="U29" s="621" t="str">
        <f t="shared" si="26"/>
        <v>6</v>
      </c>
      <c r="V29" s="618" t="str">
        <f t="shared" ca="1" si="26"/>
        <v></v>
      </c>
      <c r="W29" s="621">
        <f t="shared" si="26"/>
        <v>14</v>
      </c>
      <c r="X29" s="618" t="str">
        <f t="shared" ca="1" si="26"/>
        <v></v>
      </c>
      <c r="Y29" s="621">
        <f t="shared" si="26"/>
        <v>21</v>
      </c>
      <c r="Z29" s="618" t="str">
        <f t="shared" ca="1" si="26"/>
        <v></v>
      </c>
      <c r="AA29" s="621">
        <f t="shared" si="26"/>
        <v>28</v>
      </c>
      <c r="AC29" s="217"/>
      <c r="AD29" s="618" t="str">
        <f ca="1">IFERROR(INDEX('Moon Calendar'!$L$2:$L$65,AL23),"")</f>
        <v></v>
      </c>
      <c r="AE29" s="295" t="str">
        <f>IF(AG28="","",DAY(AG28) &amp; IF(AK28&lt;&gt;"","/" &amp; DAY(AK28),""))</f>
        <v>2</v>
      </c>
      <c r="AF29" s="618" t="str">
        <f ca="1">IFERROR(INDEX('Moon Calendar'!$L$2:$L$65,AL24),"")</f>
        <v></v>
      </c>
      <c r="AG29" s="296">
        <f>IFERROR(DAY(AH28),"")</f>
        <v>9</v>
      </c>
      <c r="AH29" s="618" t="str">
        <f ca="1">IFERROR(INDEX('Moon Calendar'!$L$2:$L$65,AL25),"")</f>
        <v></v>
      </c>
      <c r="AI29" s="296">
        <f>IFERROR(DAY(AI28),"")</f>
        <v>16</v>
      </c>
      <c r="AJ29" s="618" t="str">
        <f ca="1">IFERROR(INDEX('Moon Calendar'!$L$2:$L$65,AL26),"")</f>
        <v></v>
      </c>
      <c r="AK29" s="296">
        <f>IFERROR(DAY(AJ28),"")</f>
        <v>24</v>
      </c>
      <c r="AL29" s="299" t="str">
        <f>AL20</f>
        <v>          </v>
      </c>
      <c r="AM29" s="618" t="str">
        <f ca="1">IFERROR(INDEX('Moon Calendar'!$L$2:$L$65,AU23),"")</f>
        <v></v>
      </c>
      <c r="AN29" s="295" t="str">
        <f>IF(AP28="","",DAY(AP28) &amp; IF(AT28&lt;&gt;"","/" &amp; DAY(AT28),""))</f>
        <v>1/30</v>
      </c>
      <c r="AO29" s="618" t="str">
        <f ca="1">IFERROR(INDEX('Moon Calendar'!$L$2:$L$65,AU24),"")</f>
        <v></v>
      </c>
      <c r="AP29" s="296">
        <f>IFERROR(DAY(AQ28),"")</f>
        <v>7</v>
      </c>
      <c r="AQ29" s="618" t="str">
        <f ca="1">IFERROR(INDEX('Moon Calendar'!$L$2:$L$65,AU25),"")</f>
        <v></v>
      </c>
      <c r="AR29" s="296">
        <f>IFERROR(DAY(AR28),"")</f>
        <v>15</v>
      </c>
      <c r="AS29" s="618" t="str">
        <f ca="1">IFERROR(INDEX('Moon Calendar'!$L$2:$L$65,AU26),"")</f>
        <v></v>
      </c>
      <c r="AT29" s="296">
        <f>IFERROR(DAY(AS28),"")</f>
        <v>23</v>
      </c>
      <c r="AU29" s="298" t="str">
        <f>AL29</f>
        <v>          </v>
      </c>
      <c r="AV29" s="618" t="str">
        <f ca="1">IFERROR(INDEX('Moon Calendar'!$L$2:$L$65,BD23),"")</f>
        <v></v>
      </c>
      <c r="AW29" s="295" t="str">
        <f>IF(AY28="","",DAY(AY28) &amp; IF(BC28&lt;&gt;"","/" &amp; DAY(BC28),""))</f>
        <v>6</v>
      </c>
      <c r="AX29" s="618" t="str">
        <f ca="1">IFERROR(INDEX('Moon Calendar'!$L$2:$L$65,BD24),"")</f>
        <v></v>
      </c>
      <c r="AY29" s="296">
        <f>IFERROR(DAY(AZ28),"")</f>
        <v>14</v>
      </c>
      <c r="AZ29" s="618" t="str">
        <f ca="1">IFERROR(INDEX('Moon Calendar'!$L$2:$L$65,BD25),"")</f>
        <v></v>
      </c>
      <c r="BA29" s="296">
        <f>IFERROR(DAY(BA28),"")</f>
        <v>21</v>
      </c>
      <c r="BB29" s="618" t="str">
        <f ca="1">IFERROR(INDEX('Moon Calendar'!$L$2:$L$65,BD26),"")</f>
        <v></v>
      </c>
      <c r="BC29" s="296">
        <f>IFERROR(DAY(BB28),"")</f>
        <v>28</v>
      </c>
      <c r="BD29" s="300" t="str">
        <f>AU29</f>
        <v>          </v>
      </c>
    </row>
    <row r="30" spans="1:56" ht="18" x14ac:dyDescent="0.2">
      <c r="A30" s="219"/>
      <c r="C30" s="909" t="str">
        <f ca="1">UPPER('GPlan-Translations'!C235)</f>
        <v>OUTUBRO</v>
      </c>
      <c r="D30" s="910"/>
      <c r="E30" s="910"/>
      <c r="F30" s="910"/>
      <c r="G30" s="910"/>
      <c r="H30" s="910"/>
      <c r="I30" s="911"/>
      <c r="L30" s="909" t="str">
        <f ca="1">UPPER('GPlan-Translations'!C236)</f>
        <v>NOVEMBRO</v>
      </c>
      <c r="M30" s="910"/>
      <c r="N30" s="910"/>
      <c r="O30" s="910"/>
      <c r="P30" s="910"/>
      <c r="Q30" s="910"/>
      <c r="R30" s="911"/>
      <c r="S30" s="219"/>
      <c r="T30" s="219"/>
      <c r="U30" s="909" t="str">
        <f ca="1">UPPER('GPlan-Translations'!C237)</f>
        <v>DEZEMBRO</v>
      </c>
      <c r="V30" s="910"/>
      <c r="W30" s="910"/>
      <c r="X30" s="910"/>
      <c r="Y30" s="910"/>
      <c r="Z30" s="910"/>
      <c r="AA30" s="911"/>
      <c r="AB30" s="219"/>
      <c r="AC30" s="217"/>
      <c r="AD30" s="292" t="str">
        <f>TEXT(AE30,"00")</f>
        <v>10</v>
      </c>
      <c r="AE30" s="253">
        <v>10</v>
      </c>
      <c r="AF30" s="221">
        <f>DATE(AJ30,AE30,1)</f>
        <v>43739</v>
      </c>
      <c r="AG30" s="221">
        <f>DATE(AJ30,AE30+1,1)-1</f>
        <v>43769</v>
      </c>
      <c r="AH30" s="221">
        <f>WEEKDAY(AF30,2)</f>
        <v>2</v>
      </c>
      <c r="AI30" s="222"/>
      <c r="AJ30" s="905">
        <f>$U$1</f>
        <v>2019</v>
      </c>
      <c r="AK30" s="906"/>
      <c r="AM30" s="292" t="str">
        <f>TEXT(AN30,"00")</f>
        <v>11</v>
      </c>
      <c r="AN30" s="253">
        <f>AE30+1</f>
        <v>11</v>
      </c>
      <c r="AO30" s="221">
        <f>DATE(AS30,AN30,1)</f>
        <v>43770</v>
      </c>
      <c r="AP30" s="221">
        <f>DATE(AS30,AN30+1,1)-1</f>
        <v>43799</v>
      </c>
      <c r="AQ30" s="221">
        <f>WEEKDAY(AO30,2)</f>
        <v>5</v>
      </c>
      <c r="AR30" s="222"/>
      <c r="AS30" s="905">
        <f>$U$1</f>
        <v>2019</v>
      </c>
      <c r="AT30" s="906"/>
      <c r="AV30" s="292" t="str">
        <f>TEXT(AW30,"00")</f>
        <v>12</v>
      </c>
      <c r="AW30" s="253">
        <f>AN30+1</f>
        <v>12</v>
      </c>
      <c r="AX30" s="221">
        <f>DATE(BB30,AW30,1)</f>
        <v>43800</v>
      </c>
      <c r="AY30" s="221">
        <f>DATE(BB30,AW30+1,1)-1</f>
        <v>43830</v>
      </c>
      <c r="AZ30" s="221">
        <f>WEEKDAY(AX30,2)</f>
        <v>7</v>
      </c>
      <c r="BA30" s="222"/>
      <c r="BB30" s="905">
        <f>$U$1</f>
        <v>2019</v>
      </c>
      <c r="BC30" s="906"/>
    </row>
    <row r="31" spans="1:56" ht="18" x14ac:dyDescent="0.2">
      <c r="A31" s="219"/>
      <c r="C31" s="223" t="str">
        <f ca="1">'GPlan-Translations'!$C$286</f>
        <v>S</v>
      </c>
      <c r="D31" s="224" t="str">
        <f ca="1">'GPlan-Translations'!$C$287</f>
        <v>T</v>
      </c>
      <c r="E31" s="224" t="str">
        <f ca="1">'GPlan-Translations'!$C$288</f>
        <v>Q</v>
      </c>
      <c r="F31" s="224" t="str">
        <f ca="1">'GPlan-Translations'!$C$289</f>
        <v>Q</v>
      </c>
      <c r="G31" s="224" t="str">
        <f ca="1">'GPlan-Translations'!$C$290</f>
        <v>S</v>
      </c>
      <c r="H31" s="225" t="str">
        <f ca="1">'GPlan-Translations'!$C$291</f>
        <v>S</v>
      </c>
      <c r="I31" s="226" t="str">
        <f ca="1">'GPlan-Translations'!$C$285</f>
        <v>D</v>
      </c>
      <c r="L31" s="223" t="str">
        <f ca="1">'GPlan-Translations'!$C$286</f>
        <v>S</v>
      </c>
      <c r="M31" s="224" t="str">
        <f ca="1">'GPlan-Translations'!$C$287</f>
        <v>T</v>
      </c>
      <c r="N31" s="224" t="str">
        <f ca="1">'GPlan-Translations'!$C$288</f>
        <v>Q</v>
      </c>
      <c r="O31" s="224" t="str">
        <f ca="1">'GPlan-Translations'!$C$289</f>
        <v>Q</v>
      </c>
      <c r="P31" s="224" t="str">
        <f ca="1">'GPlan-Translations'!$C$290</f>
        <v>S</v>
      </c>
      <c r="Q31" s="225" t="str">
        <f ca="1">'GPlan-Translations'!$C$291</f>
        <v>S</v>
      </c>
      <c r="R31" s="226" t="str">
        <f ca="1">'GPlan-Translations'!$C$285</f>
        <v>D</v>
      </c>
      <c r="S31" s="219"/>
      <c r="T31" s="219"/>
      <c r="U31" s="223" t="str">
        <f ca="1">'GPlan-Translations'!$C$286</f>
        <v>S</v>
      </c>
      <c r="V31" s="224" t="str">
        <f ca="1">'GPlan-Translations'!$C$287</f>
        <v>T</v>
      </c>
      <c r="W31" s="224" t="str">
        <f ca="1">'GPlan-Translations'!$C$288</f>
        <v>Q</v>
      </c>
      <c r="X31" s="224" t="str">
        <f ca="1">'GPlan-Translations'!$C$289</f>
        <v>Q</v>
      </c>
      <c r="Y31" s="224" t="str">
        <f ca="1">'GPlan-Translations'!$C$290</f>
        <v>S</v>
      </c>
      <c r="Z31" s="225" t="str">
        <f ca="1">'GPlan-Translations'!$C$291</f>
        <v>S</v>
      </c>
      <c r="AA31" s="226" t="str">
        <f ca="1">'GPlan-Translations'!$C$285</f>
        <v>D</v>
      </c>
      <c r="AB31" s="219"/>
      <c r="AC31" s="217"/>
      <c r="AD31" s="104"/>
      <c r="AE31" s="227" t="str">
        <f t="shared" ref="AE31:AK31" ca="1" si="27">C31</f>
        <v>S</v>
      </c>
      <c r="AF31" s="228" t="str">
        <f t="shared" ca="1" si="27"/>
        <v>T</v>
      </c>
      <c r="AG31" s="228" t="str">
        <f t="shared" ca="1" si="27"/>
        <v>Q</v>
      </c>
      <c r="AH31" s="228" t="str">
        <f t="shared" ca="1" si="27"/>
        <v>Q</v>
      </c>
      <c r="AI31" s="228" t="str">
        <f t="shared" ca="1" si="27"/>
        <v>S</v>
      </c>
      <c r="AJ31" s="229" t="str">
        <f t="shared" ca="1" si="27"/>
        <v>S</v>
      </c>
      <c r="AK31" s="230" t="str">
        <f t="shared" ca="1" si="27"/>
        <v>D</v>
      </c>
      <c r="AM31" s="104"/>
      <c r="AN31" s="227" t="str">
        <f t="shared" ref="AN31:AT31" ca="1" si="28">L31</f>
        <v>S</v>
      </c>
      <c r="AO31" s="228" t="str">
        <f t="shared" ca="1" si="28"/>
        <v>T</v>
      </c>
      <c r="AP31" s="228" t="str">
        <f t="shared" ca="1" si="28"/>
        <v>Q</v>
      </c>
      <c r="AQ31" s="228" t="str">
        <f t="shared" ca="1" si="28"/>
        <v>Q</v>
      </c>
      <c r="AR31" s="228" t="str">
        <f t="shared" ca="1" si="28"/>
        <v>S</v>
      </c>
      <c r="AS31" s="229" t="str">
        <f t="shared" ca="1" si="28"/>
        <v>S</v>
      </c>
      <c r="AT31" s="230" t="str">
        <f t="shared" ca="1" si="28"/>
        <v>D</v>
      </c>
      <c r="AV31" s="254"/>
      <c r="AW31" s="227" t="str">
        <f t="shared" ref="AW31:BC31" ca="1" si="29">U31</f>
        <v>S</v>
      </c>
      <c r="AX31" s="228" t="str">
        <f t="shared" ca="1" si="29"/>
        <v>T</v>
      </c>
      <c r="AY31" s="228" t="str">
        <f t="shared" ca="1" si="29"/>
        <v>Q</v>
      </c>
      <c r="AZ31" s="228" t="str">
        <f t="shared" ca="1" si="29"/>
        <v>Q</v>
      </c>
      <c r="BA31" s="228" t="str">
        <f t="shared" ca="1" si="29"/>
        <v>S</v>
      </c>
      <c r="BB31" s="229" t="str">
        <f t="shared" ca="1" si="29"/>
        <v>S</v>
      </c>
      <c r="BC31" s="230" t="str">
        <f t="shared" ca="1" si="29"/>
        <v>D</v>
      </c>
    </row>
    <row r="32" spans="1:56" ht="18" x14ac:dyDescent="0.2">
      <c r="A32" s="219"/>
      <c r="B32" s="250">
        <f>B33-1</f>
        <v>40</v>
      </c>
      <c r="C32" s="232" t="str">
        <f>IF(AH30=1,AF30," ")</f>
        <v xml:space="preserve"> </v>
      </c>
      <c r="D32" s="233">
        <f>IF(AH30=2,AF30,IF(C32=" "," ",C32+1))</f>
        <v>43739</v>
      </c>
      <c r="E32" s="233">
        <f>IF(AH30=3,AF30,IF(D32=" "," ",D32+1))</f>
        <v>43740</v>
      </c>
      <c r="F32" s="233">
        <f>IF(AH30=4,AF30,IF(E32=" "," ",E32+1))</f>
        <v>43741</v>
      </c>
      <c r="G32" s="233">
        <f>IF(AH30=5,AF30,IF(F32=" "," ",F32+1))</f>
        <v>43742</v>
      </c>
      <c r="H32" s="234">
        <f>IF(AH30=6,AF30,IF(G32=" "," ",G32+1))</f>
        <v>43743</v>
      </c>
      <c r="I32" s="235">
        <f>IF(AH30=7,AF30,H32+1)</f>
        <v>43744</v>
      </c>
      <c r="K32" s="250">
        <f>K33-1</f>
        <v>44</v>
      </c>
      <c r="L32" s="232" t="str">
        <f>IF(AQ30=1,AO30," ")</f>
        <v xml:space="preserve"> </v>
      </c>
      <c r="M32" s="233" t="str">
        <f>IF(AQ30=2,AO30,IF(L32=" "," ",L32+1))</f>
        <v xml:space="preserve"> </v>
      </c>
      <c r="N32" s="233" t="str">
        <f>IF(AQ30=3,AO30,IF(M32=" "," ",M32+1))</f>
        <v xml:space="preserve"> </v>
      </c>
      <c r="O32" s="233" t="str">
        <f>IF(AQ30=4,AO30,IF(N32=" "," ",N32+1))</f>
        <v xml:space="preserve"> </v>
      </c>
      <c r="P32" s="233">
        <f>IF(AQ30=5,AO30,IF(O32=" "," ",O32+1))</f>
        <v>43770</v>
      </c>
      <c r="Q32" s="234">
        <f>IF(AQ30=6,AO30,IF(P32=" "," ",P32+1))</f>
        <v>43771</v>
      </c>
      <c r="R32" s="235">
        <f>IF(AQ30=7,AO30,Q32+1)</f>
        <v>43772</v>
      </c>
      <c r="S32" s="219"/>
      <c r="T32" s="250">
        <f>T33-1</f>
        <v>48</v>
      </c>
      <c r="U32" s="232" t="str">
        <f>IF(AZ30=1,AX30," ")</f>
        <v xml:space="preserve"> </v>
      </c>
      <c r="V32" s="233" t="str">
        <f>IF(AZ30=2,AX30,IF(U32=" "," ",U32+1))</f>
        <v xml:space="preserve"> </v>
      </c>
      <c r="W32" s="233" t="str">
        <f>IF(AZ30=3,AX30,IF(V32=" "," ",V32+1))</f>
        <v xml:space="preserve"> </v>
      </c>
      <c r="X32" s="233" t="str">
        <f>IF(AZ30=4,AX30,IF(W32=" "," ",W32+1))</f>
        <v xml:space="preserve"> </v>
      </c>
      <c r="Y32" s="233" t="str">
        <f>IF(AZ30=5,AX30,IF(X32=" "," ",X32+1))</f>
        <v xml:space="preserve"> </v>
      </c>
      <c r="Z32" s="234" t="str">
        <f>IF(AZ30=6,AX30,IF(Y32=" "," ",Y32+1))</f>
        <v xml:space="preserve"> </v>
      </c>
      <c r="AA32" s="235">
        <f>IF(AZ30=7,AX30,Z32+1)</f>
        <v>43800</v>
      </c>
      <c r="AB32" s="219"/>
      <c r="AC32" s="217"/>
      <c r="AD32" s="236" t="str">
        <f>AD30 &amp; "." &amp;AG$2</f>
        <v>10.1</v>
      </c>
      <c r="AE32" s="237" t="str">
        <f>IFERROR(INDEX('GCal-Year'!$F$2:$F$435,MATCH(C32,'GCal-Year'!$A$2:$A$435,0)),"")</f>
        <v/>
      </c>
      <c r="AF32" s="238" t="str">
        <f ca="1">IFERROR(INDEX('GCal-Year'!$F$2:$F$435,MATCH(D32,'GCal-Year'!$A$2:$A$435,0)),"")</f>
        <v>C</v>
      </c>
      <c r="AG32" s="238" t="str">
        <f ca="1">IFERROR(INDEX('GCal-Year'!$F$2:$F$435,MATCH(E32,'GCal-Year'!$A$2:$A$435,0)),"")</f>
        <v/>
      </c>
      <c r="AH32" s="238" t="str">
        <f ca="1">IFERROR(INDEX('GCal-Year'!$F$2:$F$435,MATCH(F32,'GCal-Year'!$A$2:$A$435,0)),"")</f>
        <v/>
      </c>
      <c r="AI32" s="238" t="str">
        <f ca="1">IFERROR(INDEX('GCal-Year'!$F$2:$F$435,MATCH(G32,'GCal-Year'!$A$2:$A$435,0)),"")</f>
        <v>C</v>
      </c>
      <c r="AJ32" s="239" t="str">
        <f ca="1">IFERROR(INDEX('GCal-Year'!$F$2:$F$435,MATCH(H32,'GCal-Year'!$A$2:$A$435,0)),"")</f>
        <v/>
      </c>
      <c r="AK32" s="240" t="str">
        <f ca="1">IFERROR(INDEX('GCal-Year'!$F$2:$F$435,MATCH(I32,'GCal-Year'!$A$2:$A$435,0)),"")</f>
        <v/>
      </c>
      <c r="AL32" s="292">
        <f>IFERROR(MATCH(AD32,'Moon Calendar'!$I$2:$I$65,0),"")</f>
        <v>42</v>
      </c>
      <c r="AM32" s="236" t="str">
        <f>AM30 &amp; "." &amp;AP$2</f>
        <v>11.1</v>
      </c>
      <c r="AN32" s="237" t="str">
        <f>IFERROR(INDEX('GCal-Year'!$F$2:$F$435,MATCH(L32,'GCal-Year'!$A$2:$A$435,0)),"")</f>
        <v/>
      </c>
      <c r="AO32" s="238" t="str">
        <f>IFERROR(INDEX('GCal-Year'!$F$2:$F$435,MATCH(M32,'GCal-Year'!$A$2:$A$435,0)),"")</f>
        <v/>
      </c>
      <c r="AP32" s="238" t="str">
        <f>IFERROR(INDEX('GCal-Year'!$F$2:$F$435,MATCH(N32,'GCal-Year'!$A$2:$A$435,0)),"")</f>
        <v/>
      </c>
      <c r="AQ32" s="238" t="str">
        <f>IFERROR(INDEX('GCal-Year'!$F$2:$F$435,MATCH(O32,'GCal-Year'!$A$2:$A$435,0)),"")</f>
        <v/>
      </c>
      <c r="AR32" s="238" t="str">
        <f ca="1">IFERROR(INDEX('GCal-Year'!$F$2:$F$435,MATCH(P32,'GCal-Year'!$A$2:$A$435,0)),"")</f>
        <v>C</v>
      </c>
      <c r="AS32" s="239" t="str">
        <f ca="1">IFERROR(INDEX('GCal-Year'!$F$2:$F$435,MATCH(Q32,'GCal-Year'!$A$2:$A$435,0)),"")</f>
        <v>H</v>
      </c>
      <c r="AT32" s="240" t="str">
        <f ca="1">IFERROR(INDEX('GCal-Year'!$F$2:$F$435,MATCH(R32,'GCal-Year'!$A$2:$A$435,0)),"")</f>
        <v/>
      </c>
      <c r="AU32" s="292">
        <f>IFERROR(MATCH(AM32,'Moon Calendar'!$I$2:$I$65,0),"")</f>
        <v>46</v>
      </c>
      <c r="AV32" s="236" t="str">
        <f>AV30 &amp; "." &amp;AY$2</f>
        <v>12.1</v>
      </c>
      <c r="AW32" s="237" t="str">
        <f>IFERROR(INDEX('GCal-Year'!$F$2:$F$435,MATCH(U32,'GCal-Year'!$A$2:$A$435,0)),"")</f>
        <v/>
      </c>
      <c r="AX32" s="238" t="str">
        <f>IFERROR(INDEX('GCal-Year'!$F$2:$F$435,MATCH(V32,'GCal-Year'!$A$2:$A$435,0)),"")</f>
        <v/>
      </c>
      <c r="AY32" s="238" t="str">
        <f>IFERROR(INDEX('GCal-Year'!$F$2:$F$435,MATCH(W32,'GCal-Year'!$A$2:$A$435,0)),"")</f>
        <v/>
      </c>
      <c r="AZ32" s="238" t="str">
        <f>IFERROR(INDEX('GCal-Year'!$F$2:$F$435,MATCH(X32,'GCal-Year'!$A$2:$A$435,0)),"")</f>
        <v/>
      </c>
      <c r="BA32" s="238" t="str">
        <f>IFERROR(INDEX('GCal-Year'!$F$2:$F$435,MATCH(Y32,'GCal-Year'!$A$2:$A$435,0)),"")</f>
        <v/>
      </c>
      <c r="BB32" s="239" t="str">
        <f>IFERROR(INDEX('GCal-Year'!$F$2:$F$435,MATCH(Z32,'GCal-Year'!$A$2:$A$435,0)),"")</f>
        <v/>
      </c>
      <c r="BC32" s="240" t="str">
        <f ca="1">IFERROR(INDEX('GCal-Year'!$F$2:$F$435,MATCH(AA32,'GCal-Year'!$A$2:$A$435,0)),"")</f>
        <v/>
      </c>
      <c r="BD32" s="292">
        <f>IFERROR(MATCH(AV32,'Moon Calendar'!$I$2:$I$65,0),"")</f>
        <v>50</v>
      </c>
    </row>
    <row r="33" spans="1:56" ht="18" x14ac:dyDescent="0.2">
      <c r="A33" s="219"/>
      <c r="B33" s="250">
        <f>INDEX('GCal-Year'!$C$2:$C$435,MATCH(C33,'GCal-Year'!$A$2:$A$435,0))</f>
        <v>41</v>
      </c>
      <c r="C33" s="232">
        <f>I32+1</f>
        <v>43745</v>
      </c>
      <c r="D33" s="233">
        <f t="shared" ref="D33:I35" si="30">C33+1</f>
        <v>43746</v>
      </c>
      <c r="E33" s="233">
        <f t="shared" si="30"/>
        <v>43747</v>
      </c>
      <c r="F33" s="233">
        <f t="shared" si="30"/>
        <v>43748</v>
      </c>
      <c r="G33" s="233">
        <f t="shared" si="30"/>
        <v>43749</v>
      </c>
      <c r="H33" s="234">
        <f t="shared" si="30"/>
        <v>43750</v>
      </c>
      <c r="I33" s="235">
        <f t="shared" si="30"/>
        <v>43751</v>
      </c>
      <c r="K33" s="250">
        <f>INDEX('GCal-Year'!$C$2:$C$435,MATCH(L33,'GCal-Year'!$A$2:$A$435,0))</f>
        <v>45</v>
      </c>
      <c r="L33" s="232">
        <f>R32+1</f>
        <v>43773</v>
      </c>
      <c r="M33" s="233">
        <f t="shared" ref="M33:R35" si="31">L33+1</f>
        <v>43774</v>
      </c>
      <c r="N33" s="233">
        <f t="shared" si="31"/>
        <v>43775</v>
      </c>
      <c r="O33" s="233">
        <f t="shared" si="31"/>
        <v>43776</v>
      </c>
      <c r="P33" s="233">
        <f t="shared" si="31"/>
        <v>43777</v>
      </c>
      <c r="Q33" s="234">
        <f t="shared" si="31"/>
        <v>43778</v>
      </c>
      <c r="R33" s="235">
        <f t="shared" si="31"/>
        <v>43779</v>
      </c>
      <c r="S33" s="219"/>
      <c r="T33" s="250">
        <f>INDEX('GCal-Year'!$C$2:$C$435,MATCH(U33,'GCal-Year'!$A$2:$A$435,0))</f>
        <v>49</v>
      </c>
      <c r="U33" s="232">
        <f>AA32+1</f>
        <v>43801</v>
      </c>
      <c r="V33" s="233">
        <f t="shared" ref="V33:AA35" si="32">U33+1</f>
        <v>43802</v>
      </c>
      <c r="W33" s="233">
        <f t="shared" si="32"/>
        <v>43803</v>
      </c>
      <c r="X33" s="233">
        <f t="shared" si="32"/>
        <v>43804</v>
      </c>
      <c r="Y33" s="233">
        <f t="shared" si="32"/>
        <v>43805</v>
      </c>
      <c r="Z33" s="234">
        <f t="shared" si="32"/>
        <v>43806</v>
      </c>
      <c r="AA33" s="235">
        <f t="shared" si="32"/>
        <v>43807</v>
      </c>
      <c r="AB33" s="219"/>
      <c r="AC33" s="217"/>
      <c r="AD33" s="236" t="str">
        <f>AD30 &amp; "." &amp;AH$2</f>
        <v>10.2</v>
      </c>
      <c r="AE33" s="237" t="str">
        <f ca="1">IFERROR(INDEX('GCal-Year'!$F$2:$F$435,MATCH(C33,'GCal-Year'!$A$2:$A$435,0)),"")</f>
        <v>C</v>
      </c>
      <c r="AF33" s="238" t="str">
        <f ca="1">IFERROR(INDEX('GCal-Year'!$F$2:$F$435,MATCH(D33,'GCal-Year'!$A$2:$A$435,0)),"")</f>
        <v/>
      </c>
      <c r="AG33" s="238" t="str">
        <f ca="1">IFERROR(INDEX('GCal-Year'!$F$2:$F$435,MATCH(E33,'GCal-Year'!$A$2:$A$435,0)),"")</f>
        <v>E</v>
      </c>
      <c r="AH33" s="238" t="str">
        <f ca="1">IFERROR(INDEX('GCal-Year'!$F$2:$F$435,MATCH(F33,'GCal-Year'!$A$2:$A$435,0)),"")</f>
        <v>C</v>
      </c>
      <c r="AI33" s="238" t="str">
        <f ca="1">IFERROR(INDEX('GCal-Year'!$F$2:$F$435,MATCH(G33,'GCal-Year'!$A$2:$A$435,0)),"")</f>
        <v/>
      </c>
      <c r="AJ33" s="239" t="str">
        <f ca="1">IFERROR(INDEX('GCal-Year'!$F$2:$F$435,MATCH(H33,'GCal-Year'!$A$2:$A$435,0)),"")</f>
        <v>H</v>
      </c>
      <c r="AK33" s="240" t="str">
        <f ca="1">IFERROR(INDEX('GCal-Year'!$F$2:$F$435,MATCH(I33,'GCal-Year'!$A$2:$A$435,0)),"")</f>
        <v>C</v>
      </c>
      <c r="AL33" s="292">
        <f>IFERROR(MATCH(AD33,'Moon Calendar'!$I$2:$I$65,0),"")</f>
        <v>43</v>
      </c>
      <c r="AM33" s="236" t="str">
        <f>AM30 &amp; "." &amp;AQ$2</f>
        <v>11.2</v>
      </c>
      <c r="AN33" s="237" t="str">
        <f ca="1">IFERROR(INDEX('GCal-Year'!$F$2:$F$435,MATCH(L33,'GCal-Year'!$A$2:$A$435,0)),"")</f>
        <v>C</v>
      </c>
      <c r="AO33" s="238" t="str">
        <f ca="1">IFERROR(INDEX('GCal-Year'!$F$2:$F$435,MATCH(M33,'GCal-Year'!$A$2:$A$435,0)),"")</f>
        <v>C</v>
      </c>
      <c r="AP33" s="238" t="str">
        <f ca="1">IFERROR(INDEX('GCal-Year'!$F$2:$F$435,MATCH(N33,'GCal-Year'!$A$2:$A$435,0)),"")</f>
        <v/>
      </c>
      <c r="AQ33" s="238" t="str">
        <f ca="1">IFERROR(INDEX('GCal-Year'!$F$2:$F$435,MATCH(O33,'GCal-Year'!$A$2:$A$435,0)),"")</f>
        <v>P</v>
      </c>
      <c r="AR33" s="238" t="str">
        <f ca="1">IFERROR(INDEX('GCal-Year'!$F$2:$F$435,MATCH(P33,'GCal-Year'!$A$2:$A$435,0)),"")</f>
        <v>K</v>
      </c>
      <c r="AS33" s="239" t="str">
        <f ca="1">IFERROR(INDEX('GCal-Year'!$F$2:$F$435,MATCH(Q33,'GCal-Year'!$A$2:$A$435,0)),"")</f>
        <v/>
      </c>
      <c r="AT33" s="240" t="str">
        <f ca="1">IFERROR(INDEX('GCal-Year'!$F$2:$F$435,MATCH(R33,'GCal-Year'!$A$2:$A$435,0)),"")</f>
        <v/>
      </c>
      <c r="AU33" s="292">
        <f>IFERROR(MATCH(AM33,'Moon Calendar'!$I$2:$I$65,0),"")</f>
        <v>47</v>
      </c>
      <c r="AV33" s="236" t="str">
        <f>AV30 &amp; "." &amp;AZ$2</f>
        <v>12.2</v>
      </c>
      <c r="AW33" s="237" t="str">
        <f ca="1">IFERROR(INDEX('GCal-Year'!$F$2:$F$435,MATCH(U33,'GCal-Year'!$A$2:$A$435,0)),"")</f>
        <v>C</v>
      </c>
      <c r="AX33" s="238" t="str">
        <f ca="1">IFERROR(INDEX('GCal-Year'!$F$2:$F$435,MATCH(V33,'GCal-Year'!$A$2:$A$435,0)),"")</f>
        <v/>
      </c>
      <c r="AY33" s="238" t="str">
        <f ca="1">IFERROR(INDEX('GCal-Year'!$F$2:$F$435,MATCH(W33,'GCal-Year'!$A$2:$A$435,0)),"")</f>
        <v/>
      </c>
      <c r="AZ33" s="238" t="str">
        <f ca="1">IFERROR(INDEX('GCal-Year'!$F$2:$F$435,MATCH(X33,'GCal-Year'!$A$2:$A$435,0)),"")</f>
        <v/>
      </c>
      <c r="BA33" s="238" t="str">
        <f ca="1">IFERROR(INDEX('GCal-Year'!$F$2:$F$435,MATCH(Y33,'GCal-Year'!$A$2:$A$435,0)),"")</f>
        <v/>
      </c>
      <c r="BB33" s="239" t="str">
        <f ca="1">IFERROR(INDEX('GCal-Year'!$F$2:$F$435,MATCH(Z33,'GCal-Year'!$A$2:$A$435,0)),"")</f>
        <v>E</v>
      </c>
      <c r="BC33" s="240" t="str">
        <f ca="1">IFERROR(INDEX('GCal-Year'!$F$2:$F$435,MATCH(AA33,'GCal-Year'!$A$2:$A$435,0)),"")</f>
        <v/>
      </c>
      <c r="BD33" s="292">
        <f>IFERROR(MATCH(AV33,'Moon Calendar'!$I$2:$I$65,0),"")</f>
        <v>51</v>
      </c>
    </row>
    <row r="34" spans="1:56" ht="18" x14ac:dyDescent="0.2">
      <c r="A34" s="219"/>
      <c r="B34" s="250">
        <f>B33+1</f>
        <v>42</v>
      </c>
      <c r="C34" s="232">
        <f>I33+1</f>
        <v>43752</v>
      </c>
      <c r="D34" s="233">
        <f t="shared" si="30"/>
        <v>43753</v>
      </c>
      <c r="E34" s="233">
        <f t="shared" si="30"/>
        <v>43754</v>
      </c>
      <c r="F34" s="233">
        <f t="shared" si="30"/>
        <v>43755</v>
      </c>
      <c r="G34" s="233">
        <f t="shared" si="30"/>
        <v>43756</v>
      </c>
      <c r="H34" s="234">
        <f t="shared" si="30"/>
        <v>43757</v>
      </c>
      <c r="I34" s="235">
        <f t="shared" si="30"/>
        <v>43758</v>
      </c>
      <c r="K34" s="250">
        <f>K33+1</f>
        <v>46</v>
      </c>
      <c r="L34" s="232">
        <f>R33+1</f>
        <v>43780</v>
      </c>
      <c r="M34" s="233">
        <f t="shared" si="31"/>
        <v>43781</v>
      </c>
      <c r="N34" s="233">
        <f t="shared" si="31"/>
        <v>43782</v>
      </c>
      <c r="O34" s="233">
        <f t="shared" si="31"/>
        <v>43783</v>
      </c>
      <c r="P34" s="233">
        <f t="shared" si="31"/>
        <v>43784</v>
      </c>
      <c r="Q34" s="234">
        <f t="shared" si="31"/>
        <v>43785</v>
      </c>
      <c r="R34" s="235">
        <f t="shared" si="31"/>
        <v>43786</v>
      </c>
      <c r="S34" s="219"/>
      <c r="T34" s="250">
        <f>T33+1</f>
        <v>50</v>
      </c>
      <c r="U34" s="232">
        <f>AA33+1</f>
        <v>43808</v>
      </c>
      <c r="V34" s="233">
        <f t="shared" si="32"/>
        <v>43809</v>
      </c>
      <c r="W34" s="233">
        <f t="shared" si="32"/>
        <v>43810</v>
      </c>
      <c r="X34" s="233">
        <f t="shared" si="32"/>
        <v>43811</v>
      </c>
      <c r="Y34" s="233">
        <f t="shared" si="32"/>
        <v>43812</v>
      </c>
      <c r="Z34" s="234">
        <f t="shared" si="32"/>
        <v>43813</v>
      </c>
      <c r="AA34" s="235">
        <f t="shared" si="32"/>
        <v>43814</v>
      </c>
      <c r="AB34" s="219"/>
      <c r="AC34" s="217"/>
      <c r="AD34" s="236" t="str">
        <f>AD30 &amp; "." &amp;AI$2</f>
        <v>10.3</v>
      </c>
      <c r="AE34" s="237" t="str">
        <f ca="1">IFERROR(INDEX('GCal-Year'!$F$2:$F$435,MATCH(C34,'GCal-Year'!$A$2:$A$435,0)),"")</f>
        <v/>
      </c>
      <c r="AF34" s="238" t="str">
        <f ca="1">IFERROR(INDEX('GCal-Year'!$F$2:$F$435,MATCH(D34,'GCal-Year'!$A$2:$A$435,0)),"")</f>
        <v>C</v>
      </c>
      <c r="AG34" s="238" t="str">
        <f ca="1">IFERROR(INDEX('GCal-Year'!$F$2:$F$435,MATCH(E34,'GCal-Year'!$A$2:$A$435,0)),"")</f>
        <v/>
      </c>
      <c r="AH34" s="238" t="str">
        <f ca="1">IFERROR(INDEX('GCal-Year'!$F$2:$F$435,MATCH(F34,'GCal-Year'!$A$2:$A$435,0)),"")</f>
        <v/>
      </c>
      <c r="AI34" s="238" t="str">
        <f ca="1">IFERROR(INDEX('GCal-Year'!$F$2:$F$435,MATCH(G34,'GCal-Year'!$A$2:$A$435,0)),"")</f>
        <v>C</v>
      </c>
      <c r="AJ34" s="239" t="str">
        <f ca="1">IFERROR(INDEX('GCal-Year'!$F$2:$F$435,MATCH(H34,'GCal-Year'!$A$2:$A$435,0)),"")</f>
        <v/>
      </c>
      <c r="AK34" s="240" t="str">
        <f ca="1">IFERROR(INDEX('GCal-Year'!$F$2:$F$435,MATCH(I34,'GCal-Year'!$A$2:$A$435,0)),"")</f>
        <v/>
      </c>
      <c r="AL34" s="292">
        <f>IFERROR(MATCH(AD34,'Moon Calendar'!$I$2:$I$65,0),"")</f>
        <v>44</v>
      </c>
      <c r="AM34" s="236" t="str">
        <f>AM30 &amp; "." &amp;AR$2</f>
        <v>11.3</v>
      </c>
      <c r="AN34" s="237" t="str">
        <f ca="1">IFERROR(INDEX('GCal-Year'!$F$2:$F$435,MATCH(L34,'GCal-Year'!$A$2:$A$435,0)),"")</f>
        <v>C</v>
      </c>
      <c r="AO34" s="238" t="str">
        <f ca="1">IFERROR(INDEX('GCal-Year'!$F$2:$F$435,MATCH(M34,'GCal-Year'!$A$2:$A$435,0)),"")</f>
        <v>C</v>
      </c>
      <c r="AP34" s="238" t="str">
        <f ca="1">IFERROR(INDEX('GCal-Year'!$F$2:$F$435,MATCH(N34,'GCal-Year'!$A$2:$A$435,0)),"")</f>
        <v>C</v>
      </c>
      <c r="AQ34" s="238" t="str">
        <f ca="1">IFERROR(INDEX('GCal-Year'!$F$2:$F$435,MATCH(O34,'GCal-Year'!$A$2:$A$435,0)),"")</f>
        <v/>
      </c>
      <c r="AR34" s="238" t="str">
        <f ca="1">IFERROR(INDEX('GCal-Year'!$F$2:$F$435,MATCH(P34,'GCal-Year'!$A$2:$A$435,0)),"")</f>
        <v>H</v>
      </c>
      <c r="AS34" s="239" t="str">
        <f ca="1">IFERROR(INDEX('GCal-Year'!$F$2:$F$435,MATCH(Q34,'GCal-Year'!$A$2:$A$435,0)),"")</f>
        <v/>
      </c>
      <c r="AT34" s="240" t="str">
        <f ca="1">IFERROR(INDEX('GCal-Year'!$F$2:$F$435,MATCH(R34,'GCal-Year'!$A$2:$A$435,0)),"")</f>
        <v/>
      </c>
      <c r="AU34" s="292">
        <f>IFERROR(MATCH(AM34,'Moon Calendar'!$I$2:$I$65,0),"")</f>
        <v>48</v>
      </c>
      <c r="AV34" s="236" t="str">
        <f>AV30 &amp; "." &amp;BA$2</f>
        <v>12.3</v>
      </c>
      <c r="AW34" s="237" t="str">
        <f ca="1">IFERROR(INDEX('GCal-Year'!$F$2:$F$435,MATCH(U34,'GCal-Year'!$A$2:$A$435,0)),"")</f>
        <v/>
      </c>
      <c r="AX34" s="238" t="str">
        <f ca="1">IFERROR(INDEX('GCal-Year'!$F$2:$F$435,MATCH(V34,'GCal-Year'!$A$2:$A$435,0)),"")</f>
        <v/>
      </c>
      <c r="AY34" s="238" t="str">
        <f ca="1">IFERROR(INDEX('GCal-Year'!$F$2:$F$435,MATCH(W34,'GCal-Year'!$A$2:$A$435,0)),"")</f>
        <v>C</v>
      </c>
      <c r="AZ34" s="238" t="str">
        <f ca="1">IFERROR(INDEX('GCal-Year'!$F$2:$F$435,MATCH(X34,'GCal-Year'!$A$2:$A$435,0)),"")</f>
        <v/>
      </c>
      <c r="BA34" s="238" t="str">
        <f ca="1">IFERROR(INDEX('GCal-Year'!$F$2:$F$435,MATCH(Y34,'GCal-Year'!$A$2:$A$435,0)),"")</f>
        <v/>
      </c>
      <c r="BB34" s="239" t="str">
        <f ca="1">IFERROR(INDEX('GCal-Year'!$F$2:$F$435,MATCH(Z34,'GCal-Year'!$A$2:$A$435,0)),"")</f>
        <v/>
      </c>
      <c r="BC34" s="240" t="str">
        <f ca="1">IFERROR(INDEX('GCal-Year'!$F$2:$F$435,MATCH(AA34,'GCal-Year'!$A$2:$A$435,0)),"")</f>
        <v>P</v>
      </c>
      <c r="BD34" s="292">
        <f>IFERROR(MATCH(AV34,'Moon Calendar'!$I$2:$I$65,0),"")</f>
        <v>52</v>
      </c>
    </row>
    <row r="35" spans="1:56" ht="18" x14ac:dyDescent="0.2">
      <c r="A35" s="219"/>
      <c r="B35" s="250">
        <f>B34+1</f>
        <v>43</v>
      </c>
      <c r="C35" s="232">
        <f>I34+1</f>
        <v>43759</v>
      </c>
      <c r="D35" s="233">
        <f t="shared" si="30"/>
        <v>43760</v>
      </c>
      <c r="E35" s="233">
        <f t="shared" si="30"/>
        <v>43761</v>
      </c>
      <c r="F35" s="233">
        <f t="shared" si="30"/>
        <v>43762</v>
      </c>
      <c r="G35" s="233">
        <f t="shared" si="30"/>
        <v>43763</v>
      </c>
      <c r="H35" s="234">
        <f t="shared" si="30"/>
        <v>43764</v>
      </c>
      <c r="I35" s="235">
        <f t="shared" si="30"/>
        <v>43765</v>
      </c>
      <c r="K35" s="250">
        <f>K34+1</f>
        <v>47</v>
      </c>
      <c r="L35" s="232">
        <f>R34+1</f>
        <v>43787</v>
      </c>
      <c r="M35" s="233">
        <f t="shared" si="31"/>
        <v>43788</v>
      </c>
      <c r="N35" s="233">
        <f t="shared" si="31"/>
        <v>43789</v>
      </c>
      <c r="O35" s="233">
        <f t="shared" si="31"/>
        <v>43790</v>
      </c>
      <c r="P35" s="233">
        <f t="shared" si="31"/>
        <v>43791</v>
      </c>
      <c r="Q35" s="234">
        <f t="shared" si="31"/>
        <v>43792</v>
      </c>
      <c r="R35" s="235">
        <f t="shared" si="31"/>
        <v>43793</v>
      </c>
      <c r="S35" s="219"/>
      <c r="T35" s="250">
        <f>T34+1</f>
        <v>51</v>
      </c>
      <c r="U35" s="232">
        <f>AA34+1</f>
        <v>43815</v>
      </c>
      <c r="V35" s="233">
        <f t="shared" si="32"/>
        <v>43816</v>
      </c>
      <c r="W35" s="233">
        <f t="shared" si="32"/>
        <v>43817</v>
      </c>
      <c r="X35" s="233">
        <f t="shared" si="32"/>
        <v>43818</v>
      </c>
      <c r="Y35" s="233">
        <f t="shared" si="32"/>
        <v>43819</v>
      </c>
      <c r="Z35" s="234">
        <f t="shared" si="32"/>
        <v>43820</v>
      </c>
      <c r="AA35" s="235">
        <f t="shared" si="32"/>
        <v>43821</v>
      </c>
      <c r="AB35" s="219"/>
      <c r="AC35" s="217"/>
      <c r="AD35" s="236" t="str">
        <f>AD30 &amp; "." &amp;AJ$2</f>
        <v>10.4</v>
      </c>
      <c r="AE35" s="237" t="str">
        <f ca="1">IFERROR(INDEX('GCal-Year'!$F$2:$F$435,MATCH(C35,'GCal-Year'!$A$2:$A$435,0)),"")</f>
        <v>C</v>
      </c>
      <c r="AF35" s="238" t="str">
        <f ca="1">IFERROR(INDEX('GCal-Year'!$F$2:$F$435,MATCH(D35,'GCal-Year'!$A$2:$A$435,0)),"")</f>
        <v>C</v>
      </c>
      <c r="AG35" s="238" t="str">
        <f ca="1">IFERROR(INDEX('GCal-Year'!$F$2:$F$435,MATCH(E35,'GCal-Year'!$A$2:$A$435,0)),"")</f>
        <v/>
      </c>
      <c r="AH35" s="238" t="str">
        <f ca="1">IFERROR(INDEX('GCal-Year'!$F$2:$F$435,MATCH(F35,'GCal-Year'!$A$2:$A$435,0)),"")</f>
        <v>E</v>
      </c>
      <c r="AI35" s="238" t="str">
        <f ca="1">IFERROR(INDEX('GCal-Year'!$F$2:$F$435,MATCH(G35,'GCal-Year'!$A$2:$A$435,0)),"")</f>
        <v/>
      </c>
      <c r="AJ35" s="239" t="str">
        <f ca="1">IFERROR(INDEX('GCal-Year'!$F$2:$F$435,MATCH(H35,'GCal-Year'!$A$2:$A$435,0)),"")</f>
        <v/>
      </c>
      <c r="AK35" s="240" t="str">
        <f ca="1">IFERROR(INDEX('GCal-Year'!$F$2:$F$435,MATCH(I35,'GCal-Year'!$A$2:$A$435,0)),"")</f>
        <v>C</v>
      </c>
      <c r="AL35" s="292">
        <f>IFERROR(MATCH(AD35,'Moon Calendar'!$I$2:$I$65,0),"")</f>
        <v>45</v>
      </c>
      <c r="AM35" s="236" t="str">
        <f>AM30 &amp; "." &amp;AS$2</f>
        <v>11.4</v>
      </c>
      <c r="AN35" s="237" t="str">
        <f ca="1">IFERROR(INDEX('GCal-Year'!$F$2:$F$435,MATCH(L35,'GCal-Year'!$A$2:$A$435,0)),"")</f>
        <v/>
      </c>
      <c r="AO35" s="238" t="str">
        <f ca="1">IFERROR(INDEX('GCal-Year'!$F$2:$F$435,MATCH(M35,'GCal-Year'!$A$2:$A$435,0)),"")</f>
        <v>C</v>
      </c>
      <c r="AP35" s="238" t="str">
        <f ca="1">IFERROR(INDEX('GCal-Year'!$F$2:$F$435,MATCH(N35,'GCal-Year'!$A$2:$A$435,0)),"")</f>
        <v>C</v>
      </c>
      <c r="AQ35" s="238" t="str">
        <f ca="1">IFERROR(INDEX('GCal-Year'!$F$2:$F$435,MATCH(O35,'GCal-Year'!$A$2:$A$435,0)),"")</f>
        <v/>
      </c>
      <c r="AR35" s="238" t="str">
        <f ca="1">IFERROR(INDEX('GCal-Year'!$F$2:$F$435,MATCH(P35,'GCal-Year'!$A$2:$A$435,0)),"")</f>
        <v>E</v>
      </c>
      <c r="AS35" s="239" t="str">
        <f ca="1">IFERROR(INDEX('GCal-Year'!$F$2:$F$435,MATCH(Q35,'GCal-Year'!$A$2:$A$435,0)),"")</f>
        <v>C</v>
      </c>
      <c r="AT35" s="240" t="str">
        <f ca="1">IFERROR(INDEX('GCal-Year'!$F$2:$F$435,MATCH(R35,'GCal-Year'!$A$2:$A$435,0)),"")</f>
        <v>C</v>
      </c>
      <c r="AU35" s="292">
        <f>IFERROR(MATCH(AM35,'Moon Calendar'!$I$2:$I$65,0),"")</f>
        <v>49</v>
      </c>
      <c r="AV35" s="236" t="str">
        <f>AV30 &amp; "." &amp;BB$2</f>
        <v>12.4</v>
      </c>
      <c r="AW35" s="237" t="str">
        <f ca="1">IFERROR(INDEX('GCal-Year'!$F$2:$F$435,MATCH(U35,'GCal-Year'!$A$2:$A$435,0)),"")</f>
        <v/>
      </c>
      <c r="AX35" s="238" t="str">
        <f ca="1">IFERROR(INDEX('GCal-Year'!$F$2:$F$435,MATCH(V35,'GCal-Year'!$A$2:$A$435,0)),"")</f>
        <v/>
      </c>
      <c r="AY35" s="238" t="str">
        <f ca="1">IFERROR(INDEX('GCal-Year'!$F$2:$F$435,MATCH(W35,'GCal-Year'!$A$2:$A$435,0)),"")</f>
        <v/>
      </c>
      <c r="AZ35" s="238" t="str">
        <f ca="1">IFERROR(INDEX('GCal-Year'!$F$2:$F$435,MATCH(X35,'GCal-Year'!$A$2:$A$435,0)),"")</f>
        <v/>
      </c>
      <c r="BA35" s="238" t="str">
        <f ca="1">IFERROR(INDEX('GCal-Year'!$F$2:$F$435,MATCH(Y35,'GCal-Year'!$A$2:$A$435,0)),"")</f>
        <v/>
      </c>
      <c r="BB35" s="239" t="str">
        <f ca="1">IFERROR(INDEX('GCal-Year'!$F$2:$F$435,MATCH(Z35,'GCal-Year'!$A$2:$A$435,0)),"")</f>
        <v>C</v>
      </c>
      <c r="BC35" s="240" t="str">
        <f ca="1">IFERROR(INDEX('GCal-Year'!$F$2:$F$435,MATCH(AA35,'GCal-Year'!$A$2:$A$435,0)),"")</f>
        <v>E</v>
      </c>
      <c r="BD35" s="292">
        <f>IFERROR(MATCH(AV35,'Moon Calendar'!$I$2:$I$65,0),"")</f>
        <v>53</v>
      </c>
    </row>
    <row r="36" spans="1:56" ht="18" x14ac:dyDescent="0.2">
      <c r="A36" s="219"/>
      <c r="B36" s="250">
        <f>IF(C36="","",B35+1)</f>
        <v>44</v>
      </c>
      <c r="C36" s="232">
        <f>IF(I35+1&lt;=AG30,I35+1," ")</f>
        <v>43766</v>
      </c>
      <c r="D36" s="233">
        <f>IF(C36=" "," ",IF(C36+1&lt;=AG30,C36+1," "))</f>
        <v>43767</v>
      </c>
      <c r="E36" s="233">
        <f>IF(D36=" "," ",IF(D36+1&lt;=AG30,D36+1," "))</f>
        <v>43768</v>
      </c>
      <c r="F36" s="233">
        <f>IF(E36=" "," ",IF(E36+1&lt;=AG30,E36+1," "))</f>
        <v>43769</v>
      </c>
      <c r="G36" s="233" t="str">
        <f>IF(F36=" "," ",IF(F36+1&lt;=AG30,F36+1," "))</f>
        <v xml:space="preserve"> </v>
      </c>
      <c r="H36" s="234" t="str">
        <f>IF(G36=" "," ",IF(G36+1&lt;=AG30,G36+1," "))</f>
        <v xml:space="preserve"> </v>
      </c>
      <c r="I36" s="235" t="str">
        <f>IF(H36=" "," ",IF(H36+1&lt;=AG30,H36+1," "))</f>
        <v xml:space="preserve"> </v>
      </c>
      <c r="K36" s="251">
        <f>IF(L36="","",K35+1)</f>
        <v>48</v>
      </c>
      <c r="L36" s="232">
        <f>IF(R35+1&lt;=AP30,R35+1," ")</f>
        <v>43794</v>
      </c>
      <c r="M36" s="233">
        <f>IF(L36=" "," ",IF(L36+1&lt;=AP30,L36+1," "))</f>
        <v>43795</v>
      </c>
      <c r="N36" s="233">
        <f>IF(M36=" "," ",IF(M36+1&lt;=AP30,M36+1," "))</f>
        <v>43796</v>
      </c>
      <c r="O36" s="233">
        <f>IF(N36=" "," ",IF(N36+1&lt;=AP30,N36+1," "))</f>
        <v>43797</v>
      </c>
      <c r="P36" s="233">
        <f>IF(O36=" "," ",IF(O36+1&lt;=AP30,O36+1," "))</f>
        <v>43798</v>
      </c>
      <c r="Q36" s="234">
        <f>IF(P36=" "," ",IF(P36+1&lt;=AP30,P36+1," "))</f>
        <v>43799</v>
      </c>
      <c r="R36" s="235" t="str">
        <f>IF(Q36=" "," ",IF(Q36+1&lt;=AP30,Q36+1," "))</f>
        <v xml:space="preserve"> </v>
      </c>
      <c r="S36" s="219"/>
      <c r="T36" s="250">
        <f>IF(U36="","",T35+1)</f>
        <v>52</v>
      </c>
      <c r="U36" s="232">
        <f>IF(AA35+1&lt;=AY30,AA35+1," ")</f>
        <v>43822</v>
      </c>
      <c r="V36" s="233">
        <f>IF(U36=" "," ",IF(U36+1&lt;=AY30,U36+1," "))</f>
        <v>43823</v>
      </c>
      <c r="W36" s="233">
        <f>IF(V36=" "," ",IF(V36+1&lt;=AY30,V36+1," "))</f>
        <v>43824</v>
      </c>
      <c r="X36" s="233">
        <f>IF(W36=" "," ",IF(W36+1&lt;=AY30,W36+1," "))</f>
        <v>43825</v>
      </c>
      <c r="Y36" s="233">
        <f>IF(X36=" "," ",IF(X36+1&lt;=AY30,X36+1," "))</f>
        <v>43826</v>
      </c>
      <c r="Z36" s="234">
        <f>IF(Y36=" "," ",IF(Y36+1&lt;=AY30,Y36+1," "))</f>
        <v>43827</v>
      </c>
      <c r="AA36" s="235">
        <f>IF(Z36=" "," ",IF(Z36+1&lt;=AY30,Z36+1," "))</f>
        <v>43828</v>
      </c>
      <c r="AB36" s="219"/>
      <c r="AC36" s="255"/>
      <c r="AD36" s="236" t="str">
        <f>AD30 &amp; "." &amp;AK$2</f>
        <v>10.5</v>
      </c>
      <c r="AE36" s="237" t="str">
        <f ca="1">IFERROR(INDEX('GCal-Year'!$F$2:$F$435,MATCH(C36,'GCal-Year'!$A$2:$A$435,0)),"")</f>
        <v>C</v>
      </c>
      <c r="AF36" s="238" t="str">
        <f ca="1">IFERROR(INDEX('GCal-Year'!$F$2:$F$435,MATCH(D36,'GCal-Year'!$A$2:$A$435,0)),"")</f>
        <v>C</v>
      </c>
      <c r="AG36" s="238" t="str">
        <f ca="1">IFERROR(INDEX('GCal-Year'!$F$2:$F$435,MATCH(E36,'GCal-Year'!$A$2:$A$435,0)),"")</f>
        <v>C</v>
      </c>
      <c r="AH36" s="238" t="str">
        <f ca="1">IFERROR(INDEX('GCal-Year'!$F$2:$F$435,MATCH(F36,'GCal-Year'!$A$2:$A$435,0)),"")</f>
        <v>P</v>
      </c>
      <c r="AI36" s="238" t="str">
        <f>IFERROR(INDEX('GCal-Year'!$F$2:$F$435,MATCH(G36,'GCal-Year'!$A$2:$A$435,0)),"")</f>
        <v/>
      </c>
      <c r="AJ36" s="239" t="str">
        <f>IFERROR(INDEX('GCal-Year'!$F$2:$F$435,MATCH(H36,'GCal-Year'!$A$2:$A$435,0)),"")</f>
        <v/>
      </c>
      <c r="AK36" s="240" t="str">
        <f>IFERROR(INDEX('GCal-Year'!$F$2:$F$435,MATCH(I36,'GCal-Year'!$A$2:$A$435,0)),"")</f>
        <v/>
      </c>
      <c r="AL36" s="292" t="str">
        <f>IFERROR(MATCH(AD36,'Moon Calendar'!$I$2:$I$65,0),"")</f>
        <v/>
      </c>
      <c r="AM36" s="236" t="str">
        <f>AM30 &amp; "." &amp;AT$2</f>
        <v>11.5</v>
      </c>
      <c r="AN36" s="237" t="str">
        <f ca="1">IFERROR(INDEX('GCal-Year'!$F$2:$F$435,MATCH(L36,'GCal-Year'!$A$2:$A$435,0)),"")</f>
        <v/>
      </c>
      <c r="AO36" s="238" t="str">
        <f ca="1">IFERROR(INDEX('GCal-Year'!$F$2:$F$435,MATCH(M36,'GCal-Year'!$A$2:$A$435,0)),"")</f>
        <v/>
      </c>
      <c r="AP36" s="238" t="str">
        <f ca="1">IFERROR(INDEX('GCal-Year'!$F$2:$F$435,MATCH(N36,'GCal-Year'!$A$2:$A$435,0)),"")</f>
        <v/>
      </c>
      <c r="AQ36" s="238" t="str">
        <f ca="1">IFERROR(INDEX('GCal-Year'!$F$2:$F$435,MATCH(O36,'GCal-Year'!$A$2:$A$435,0)),"")</f>
        <v/>
      </c>
      <c r="AR36" s="238" t="str">
        <f ca="1">IFERROR(INDEX('GCal-Year'!$F$2:$F$435,MATCH(P36,'GCal-Year'!$A$2:$A$435,0)),"")</f>
        <v/>
      </c>
      <c r="AS36" s="239" t="str">
        <f ca="1">IFERROR(INDEX('GCal-Year'!$F$2:$F$435,MATCH(Q36,'GCal-Year'!$A$2:$A$435,0)),"")</f>
        <v/>
      </c>
      <c r="AT36" s="240" t="str">
        <f>IFERROR(INDEX('GCal-Year'!$F$2:$F$435,MATCH(R36,'GCal-Year'!$A$2:$A$435,0)),"")</f>
        <v/>
      </c>
      <c r="AU36" s="292" t="str">
        <f>IFERROR(MATCH(AM36,'Moon Calendar'!$I$2:$I$65,0),"")</f>
        <v/>
      </c>
      <c r="AV36" s="236" t="str">
        <f>AV30 &amp; "." &amp;BC$2</f>
        <v>12.5</v>
      </c>
      <c r="AW36" s="237" t="str">
        <f ca="1">IFERROR(INDEX('GCal-Year'!$F$2:$F$435,MATCH(U36,'GCal-Year'!$A$2:$A$435,0)),"")</f>
        <v/>
      </c>
      <c r="AX36" s="238" t="str">
        <f ca="1">IFERROR(INDEX('GCal-Year'!$F$2:$F$435,MATCH(V36,'GCal-Year'!$A$2:$A$435,0)),"")</f>
        <v/>
      </c>
      <c r="AY36" s="238" t="str">
        <f ca="1">IFERROR(INDEX('GCal-Year'!$F$2:$F$435,MATCH(W36,'GCal-Year'!$A$2:$A$435,0)),"")</f>
        <v>H</v>
      </c>
      <c r="AZ36" s="238" t="str">
        <f ca="1">IFERROR(INDEX('GCal-Year'!$F$2:$F$435,MATCH(X36,'GCal-Year'!$A$2:$A$435,0)),"")</f>
        <v>C</v>
      </c>
      <c r="BA36" s="238" t="str">
        <f ca="1">IFERROR(INDEX('GCal-Year'!$F$2:$F$435,MATCH(Y36,'GCal-Year'!$A$2:$A$435,0)),"")</f>
        <v/>
      </c>
      <c r="BB36" s="239" t="str">
        <f ca="1">IFERROR(INDEX('GCal-Year'!$F$2:$F$435,MATCH(Z36,'GCal-Year'!$A$2:$A$435,0)),"")</f>
        <v>C</v>
      </c>
      <c r="BC36" s="240" t="str">
        <f ca="1">IFERROR(INDEX('GCal-Year'!$F$2:$F$435,MATCH(AA36,'GCal-Year'!$A$2:$A$435,0)),"")</f>
        <v/>
      </c>
      <c r="BD36" s="292" t="str">
        <f>IFERROR(MATCH(AV36,'Moon Calendar'!$I$2:$I$65,0),"")</f>
        <v/>
      </c>
    </row>
    <row r="37" spans="1:56" ht="18.75" thickBot="1" x14ac:dyDescent="0.25">
      <c r="A37" s="219"/>
      <c r="B37" s="251">
        <f>IF(C37="","",B36+1)</f>
        <v>45</v>
      </c>
      <c r="C37" s="242" t="str">
        <f>IF(I36=" "," ",IF(I36+1&lt;=AG30,I36+1," "))</f>
        <v xml:space="preserve"> </v>
      </c>
      <c r="D37" s="243" t="str">
        <f>IF(C37=" "," ",IF(C37+1&lt;=AG30,C37+1," "))</f>
        <v xml:space="preserve"> </v>
      </c>
      <c r="E37" s="243"/>
      <c r="F37" s="243"/>
      <c r="G37" s="243"/>
      <c r="H37" s="244"/>
      <c r="I37" s="245"/>
      <c r="K37" s="251">
        <f>IF(L37="","",K36+1)</f>
        <v>49</v>
      </c>
      <c r="L37" s="242" t="str">
        <f>IF(R36=" "," ",IF(R36+1&lt;=AP30,R36+1," "))</f>
        <v xml:space="preserve"> </v>
      </c>
      <c r="M37" s="243" t="str">
        <f>IF(L37=" "," ",IF(L37+1&lt;=AP30,L37+1," "))</f>
        <v xml:space="preserve"> </v>
      </c>
      <c r="N37" s="243"/>
      <c r="O37" s="243"/>
      <c r="P37" s="243"/>
      <c r="Q37" s="244"/>
      <c r="R37" s="245"/>
      <c r="S37" s="219"/>
      <c r="T37" s="251">
        <f>IF(U37="","",T36+1)</f>
        <v>53</v>
      </c>
      <c r="U37" s="242">
        <f>IF(AA36=" "," ",IF(AA36+1&lt;=AY30,AA36+1," "))</f>
        <v>43829</v>
      </c>
      <c r="V37" s="243">
        <f>IF(U37=" "," ",IF(U37+1&lt;=AY30,U37+1," "))</f>
        <v>43830</v>
      </c>
      <c r="W37" s="252"/>
      <c r="X37" s="907" t="str">
        <f ca="1">"21 - " &amp; 'GPlan-Translations'!C200</f>
        <v>21 - Verão</v>
      </c>
      <c r="Y37" s="907"/>
      <c r="Z37" s="907"/>
      <c r="AA37" s="908"/>
      <c r="AB37" s="219"/>
      <c r="AC37" s="255"/>
      <c r="AD37" s="104"/>
      <c r="AE37" s="246" t="str">
        <f>IFERROR(INDEX('GCal-Year'!$F$2:$F$435,MATCH(C37,'GCal-Year'!$A$2:$A$435,0)),"")</f>
        <v/>
      </c>
      <c r="AF37" s="247" t="str">
        <f>IFERROR(INDEX('GCal-Year'!$F$2:$F$435,MATCH(D37,'GCal-Year'!$A$2:$A$435,0)),"")</f>
        <v/>
      </c>
      <c r="AG37" s="248">
        <f>IFERROR(INDEX('Moon Calendar'!$F$2:$F$65,AL32),"")</f>
        <v>43743</v>
      </c>
      <c r="AH37" s="248">
        <f>IFERROR(INDEX('Moon Calendar'!$F$2:$F$65,AL33),"")</f>
        <v>43751</v>
      </c>
      <c r="AI37" s="248">
        <f>IFERROR(INDEX('Moon Calendar'!$F$2:$F$65,AL34),"")</f>
        <v>43759</v>
      </c>
      <c r="AJ37" s="248">
        <f>IFERROR(INDEX('Moon Calendar'!$F$2:$F$65,AL35),"")</f>
        <v>43766</v>
      </c>
      <c r="AK37" s="249" t="str">
        <f>IFERROR(INDEX('Moon Calendar'!$F$2:$F$65,AL36),"")</f>
        <v/>
      </c>
      <c r="AL37" s="617" t="str">
        <f ca="1">AD38 &amp; " " &amp; AE38  &amp; AL38 &amp; AF38 &amp; " " &amp; AG38 &amp; AL38 &amp; AH38 &amp; " " &amp; AI38 &amp; IF(AJ38&lt;&gt;"",AL38 &amp; AJ38 &amp; " " &amp; AK38,"")</f>
        <v> 5           13           21           28</v>
      </c>
      <c r="AM37" s="104"/>
      <c r="AN37" s="246" t="str">
        <f>IFERROR(INDEX('GCal-Year'!$F$2:$F$435,MATCH(L37,'GCal-Year'!$A$2:$A$435,0)),"")</f>
        <v/>
      </c>
      <c r="AO37" s="247" t="str">
        <f>IFERROR(INDEX('GCal-Year'!$F$2:$F$435,MATCH(M37,'GCal-Year'!$A$2:$A$435,0)),"")</f>
        <v/>
      </c>
      <c r="AP37" s="248">
        <f>IFERROR(INDEX('Moon Calendar'!$F$2:$F$65,AU32),"")</f>
        <v>43773</v>
      </c>
      <c r="AQ37" s="248">
        <f>IFERROR(INDEX('Moon Calendar'!$F$2:$F$65,AU33),"")</f>
        <v>43781</v>
      </c>
      <c r="AR37" s="248">
        <f>IFERROR(INDEX('Moon Calendar'!$F$2:$F$65,AU34),"")</f>
        <v>43788</v>
      </c>
      <c r="AS37" s="248">
        <f>IFERROR(INDEX('Moon Calendar'!$F$2:$F$65,AU35),"")</f>
        <v>43795</v>
      </c>
      <c r="AT37" s="249" t="str">
        <f>IFERROR(INDEX('Moon Calendar'!$F$2:$F$65,AU36),"")</f>
        <v/>
      </c>
      <c r="AU37" s="617" t="str">
        <f ca="1">AM38 &amp; " " &amp; AN38  &amp; AU38 &amp; AO38 &amp; " " &amp; AP38 &amp; AU38 &amp; AQ38 &amp; " " &amp; AR38 &amp; IF(AS38&lt;&gt;"",AU38 &amp; AS38 &amp; " " &amp; AT38,"")</f>
        <v> 4           12           19           26</v>
      </c>
      <c r="AV37" s="254"/>
      <c r="AW37" s="246" t="str">
        <f ca="1">IFERROR(INDEX('GCal-Year'!$F$2:$F$435,MATCH(U37,'GCal-Year'!$A$2:$A$435,0)),"")</f>
        <v/>
      </c>
      <c r="AX37" s="247" t="str">
        <f ca="1">IFERROR(INDEX('GCal-Year'!$F$2:$F$435,MATCH(V37,'GCal-Year'!$A$2:$A$435,0)),"")</f>
        <v/>
      </c>
      <c r="AY37" s="248">
        <f>IFERROR(INDEX('Moon Calendar'!$F$2:$F$65,BD32),"")</f>
        <v>43803</v>
      </c>
      <c r="AZ37" s="248">
        <f>IFERROR(INDEX('Moon Calendar'!$F$2:$F$65,BD33),"")</f>
        <v>43811</v>
      </c>
      <c r="BA37" s="248">
        <f>IFERROR(INDEX('Moon Calendar'!$F$2:$F$65,BD34),"")</f>
        <v>43818</v>
      </c>
      <c r="BB37" s="248">
        <f>IFERROR(INDEX('Moon Calendar'!$F$2:$F$65,BD35),"")</f>
        <v>43825</v>
      </c>
      <c r="BC37" s="249" t="str">
        <f>IFERROR(INDEX('Moon Calendar'!$F$2:$F$65,BD36),"")</f>
        <v/>
      </c>
      <c r="BD37" s="617" t="str">
        <f ca="1">AV38 &amp; " " &amp; AW38  &amp; BD38 &amp; AX38 &amp; " " &amp; AY38 &amp; BD38 &amp; AZ38 &amp; " " &amp; BA38 &amp; IF(BB38&lt;&gt;"",BD38 &amp; BB38 &amp; " " &amp; BC38,"")</f>
        <v> 4           12           19           26</v>
      </c>
    </row>
    <row r="38" spans="1:56" x14ac:dyDescent="0.2">
      <c r="B38" s="618" t="str">
        <f t="shared" ref="B38:I38" ca="1" si="33">AD38</f>
        <v></v>
      </c>
      <c r="C38" s="621" t="str">
        <f t="shared" si="33"/>
        <v>5</v>
      </c>
      <c r="D38" s="618" t="str">
        <f t="shared" ca="1" si="33"/>
        <v></v>
      </c>
      <c r="E38" s="621">
        <f t="shared" si="33"/>
        <v>13</v>
      </c>
      <c r="F38" s="618" t="str">
        <f t="shared" ca="1" si="33"/>
        <v></v>
      </c>
      <c r="G38" s="621">
        <f t="shared" si="33"/>
        <v>21</v>
      </c>
      <c r="H38" s="618" t="str">
        <f t="shared" ca="1" si="33"/>
        <v></v>
      </c>
      <c r="I38" s="621">
        <f t="shared" si="33"/>
        <v>28</v>
      </c>
      <c r="K38" s="618" t="str">
        <f t="shared" ref="K38:R38" ca="1" si="34">AM38</f>
        <v></v>
      </c>
      <c r="L38" s="621" t="str">
        <f t="shared" si="34"/>
        <v>4</v>
      </c>
      <c r="M38" s="618" t="str">
        <f t="shared" ca="1" si="34"/>
        <v></v>
      </c>
      <c r="N38" s="621">
        <f t="shared" si="34"/>
        <v>12</v>
      </c>
      <c r="O38" s="618" t="str">
        <f t="shared" ca="1" si="34"/>
        <v></v>
      </c>
      <c r="P38" s="621">
        <f t="shared" si="34"/>
        <v>19</v>
      </c>
      <c r="Q38" s="618" t="str">
        <f t="shared" ca="1" si="34"/>
        <v></v>
      </c>
      <c r="R38" s="621">
        <f t="shared" si="34"/>
        <v>26</v>
      </c>
      <c r="T38" s="618" t="str">
        <f t="shared" ref="T38:AA38" ca="1" si="35">AV38</f>
        <v></v>
      </c>
      <c r="U38" s="621" t="str">
        <f t="shared" si="35"/>
        <v>4</v>
      </c>
      <c r="V38" s="618" t="str">
        <f t="shared" ca="1" si="35"/>
        <v></v>
      </c>
      <c r="W38" s="621">
        <f t="shared" si="35"/>
        <v>12</v>
      </c>
      <c r="X38" s="618" t="str">
        <f t="shared" ca="1" si="35"/>
        <v></v>
      </c>
      <c r="Y38" s="621">
        <f t="shared" si="35"/>
        <v>19</v>
      </c>
      <c r="Z38" s="618" t="str">
        <f t="shared" ca="1" si="35"/>
        <v></v>
      </c>
      <c r="AA38" s="621">
        <f t="shared" si="35"/>
        <v>26</v>
      </c>
      <c r="AC38" s="255"/>
      <c r="AD38" s="618" t="str">
        <f ca="1">IFERROR(INDEX('Moon Calendar'!$L$2:$L$65,AL32),"")</f>
        <v></v>
      </c>
      <c r="AE38" s="295" t="str">
        <f>IF(AG37="","",DAY(AG37) &amp; IF(AK37&lt;&gt;"","/" &amp; DAY(AK37),""))</f>
        <v>5</v>
      </c>
      <c r="AF38" s="618" t="str">
        <f ca="1">IFERROR(INDEX('Moon Calendar'!$L$2:$L$65,AL33),"")</f>
        <v></v>
      </c>
      <c r="AG38" s="296">
        <f>IFERROR(DAY(AH37),"")</f>
        <v>13</v>
      </c>
      <c r="AH38" s="618" t="str">
        <f ca="1">IFERROR(INDEX('Moon Calendar'!$L$2:$L$65,AL34),"")</f>
        <v></v>
      </c>
      <c r="AI38" s="296">
        <f>IFERROR(DAY(AI37),"")</f>
        <v>21</v>
      </c>
      <c r="AJ38" s="618" t="str">
        <f ca="1">IFERROR(INDEX('Moon Calendar'!$L$2:$L$65,AL35),"")</f>
        <v></v>
      </c>
      <c r="AK38" s="296">
        <f>IFERROR(DAY(AJ37),"")</f>
        <v>28</v>
      </c>
      <c r="AL38" s="299" t="str">
        <f>AL29</f>
        <v>          </v>
      </c>
      <c r="AM38" s="618" t="str">
        <f ca="1">IFERROR(INDEX('Moon Calendar'!$L$2:$L$65,AU32),"")</f>
        <v></v>
      </c>
      <c r="AN38" s="295" t="str">
        <f>IF(AP37="","",DAY(AP37) &amp; IF(AT37&lt;&gt;"","/" &amp; DAY(AT37),""))</f>
        <v>4</v>
      </c>
      <c r="AO38" s="618" t="str">
        <f ca="1">IFERROR(INDEX('Moon Calendar'!$L$2:$L$65,AU33),"")</f>
        <v></v>
      </c>
      <c r="AP38" s="296">
        <f>IFERROR(DAY(AQ37),"")</f>
        <v>12</v>
      </c>
      <c r="AQ38" s="618" t="str">
        <f ca="1">IFERROR(INDEX('Moon Calendar'!$L$2:$L$65,AU34),"")</f>
        <v></v>
      </c>
      <c r="AR38" s="296">
        <f>IFERROR(DAY(AR37),"")</f>
        <v>19</v>
      </c>
      <c r="AS38" s="618" t="str">
        <f ca="1">IFERROR(INDEX('Moon Calendar'!$L$2:$L$65,AU35),"")</f>
        <v></v>
      </c>
      <c r="AT38" s="296">
        <f>IFERROR(DAY(AS37),"")</f>
        <v>26</v>
      </c>
      <c r="AU38" s="298" t="str">
        <f>AL38</f>
        <v>          </v>
      </c>
      <c r="AV38" s="618" t="str">
        <f ca="1">IFERROR(INDEX('Moon Calendar'!$L$2:$L$65,BD32),"")</f>
        <v></v>
      </c>
      <c r="AW38" s="295" t="str">
        <f>IF(AY37="","",DAY(AY37) &amp; IF(BC37&lt;&gt;"","/" &amp; DAY(BC37),""))</f>
        <v>4</v>
      </c>
      <c r="AX38" s="618" t="str">
        <f ca="1">IFERROR(INDEX('Moon Calendar'!$L$2:$L$65,BD33),"")</f>
        <v></v>
      </c>
      <c r="AY38" s="296">
        <f>IFERROR(DAY(AZ37),"")</f>
        <v>12</v>
      </c>
      <c r="AZ38" s="618" t="str">
        <f ca="1">IFERROR(INDEX('Moon Calendar'!$L$2:$L$65,BD34),"")</f>
        <v></v>
      </c>
      <c r="BA38" s="296">
        <f>IFERROR(DAY(BA37),"")</f>
        <v>19</v>
      </c>
      <c r="BB38" s="618" t="str">
        <f ca="1">IFERROR(INDEX('Moon Calendar'!$L$2:$L$65,BD35),"")</f>
        <v></v>
      </c>
      <c r="BC38" s="296">
        <f>IFERROR(DAY(BB37),"")</f>
        <v>26</v>
      </c>
      <c r="BD38" s="300" t="str">
        <f>AU38</f>
        <v>          </v>
      </c>
    </row>
    <row r="39" spans="1:56" ht="3.75" customHeight="1" x14ac:dyDescent="0.2">
      <c r="A39" s="256"/>
      <c r="B39" s="257"/>
      <c r="C39" s="257"/>
      <c r="D39" s="258"/>
      <c r="J39" s="259"/>
      <c r="K39" s="257"/>
      <c r="L39" s="257"/>
      <c r="M39" s="258"/>
      <c r="S39" s="259"/>
      <c r="T39" s="257"/>
      <c r="U39" s="257"/>
      <c r="V39" s="258"/>
      <c r="AC39" s="217"/>
      <c r="AD39" s="260"/>
      <c r="AE39" s="260"/>
      <c r="AF39" s="260"/>
      <c r="AG39" s="260"/>
      <c r="AH39" s="260"/>
      <c r="AI39" s="260"/>
      <c r="AJ39" s="260"/>
      <c r="AK39" s="260"/>
      <c r="AL39" s="260"/>
      <c r="AM39" s="260"/>
      <c r="AO39" s="261"/>
      <c r="AR39" s="258"/>
      <c r="AS39" s="258"/>
      <c r="AU39" s="236"/>
      <c r="AV39" s="261"/>
      <c r="AX39" s="261"/>
      <c r="BA39" s="258"/>
      <c r="BB39" s="258"/>
      <c r="BD39" s="236"/>
    </row>
    <row r="40" spans="1:56" ht="12.75" customHeight="1" x14ac:dyDescent="0.2">
      <c r="A40" s="256"/>
      <c r="B40" s="904">
        <f t="shared" ref="B40:B54" si="36">IFERROR(AF40,"")</f>
        <v>43840</v>
      </c>
      <c r="C40" s="904"/>
      <c r="D40" s="258" t="s">
        <v>7211</v>
      </c>
      <c r="J40" s="259" t="s">
        <v>72</v>
      </c>
      <c r="K40" s="904">
        <f t="shared" ref="K40:K54" si="37">IFERROR(AO40,"")</f>
        <v>43629</v>
      </c>
      <c r="L40" s="904"/>
      <c r="M40" s="258" t="s">
        <v>7212</v>
      </c>
      <c r="S40" s="259"/>
      <c r="T40" s="904">
        <f t="shared" ref="T40:T54" si="38">IFERROR(AX40,"")</f>
        <v>43718</v>
      </c>
      <c r="U40" s="904"/>
      <c r="V40" s="258" t="str">
        <f ca="1">MID('GCal-Translations'!$C$46,7,21) &amp; "."</f>
        <v>Jiva Gosvami - Aparec.</v>
      </c>
      <c r="AC40" s="217"/>
      <c r="AE40" s="258">
        <f>MATCH(AI40,Festivals!$S$2:$S$180,0)</f>
        <v>124</v>
      </c>
      <c r="AF40" s="901">
        <f>INDEX(Festivals!$C$2:$C$180,AE40)</f>
        <v>43840</v>
      </c>
      <c r="AG40" s="901"/>
      <c r="AH40" s="901"/>
      <c r="AI40" s="72" t="str">
        <f>Festivals!S125</f>
        <v>Sri Krsna Pusya Abhiseka</v>
      </c>
      <c r="AM40" s="260" t="s">
        <v>126</v>
      </c>
      <c r="AN40" s="302">
        <f>MATCH("Fasting for Pandava Nirjala Ekadasi",'GCal-Year'!I$2:I$435,0)</f>
        <v>202</v>
      </c>
      <c r="AO40" s="902">
        <f>INDEX('GCal-Year'!A$2:A$435,AN40)</f>
        <v>43629</v>
      </c>
      <c r="AP40" s="903"/>
      <c r="AQ40" s="903"/>
      <c r="AR40" s="72" t="str">
        <f>'GCal-Translations'!$D$150</f>
        <v>Fasting for Pandava Nirjala Ekadasi</v>
      </c>
      <c r="AU40" s="236"/>
      <c r="AV40" s="261" t="s">
        <v>126</v>
      </c>
      <c r="AW40" s="258">
        <f>MATCH(BA40,Festivals!$S$2:$S$180,0)</f>
        <v>66</v>
      </c>
      <c r="AX40" s="901">
        <f>INDEX(Festivals!$C$2:$C$180,AW40)</f>
        <v>43718</v>
      </c>
      <c r="AY40" s="901"/>
      <c r="AZ40" s="901"/>
      <c r="BA40" s="72" t="str">
        <f>Festivals!S67</f>
        <v>Srila Jiva Gosvami - Appearance</v>
      </c>
      <c r="BD40" s="236"/>
    </row>
    <row r="41" spans="1:56" ht="12.75" customHeight="1" x14ac:dyDescent="0.2">
      <c r="A41" s="256"/>
      <c r="B41" s="904">
        <f t="shared" si="36"/>
        <v>43490</v>
      </c>
      <c r="C41" s="904"/>
      <c r="D41" s="258" t="str">
        <f ca="1">SUBSTITUTE(MID('GCal-Translations'!$C$85,7,28) &amp; ".","Gosvami","G.",1)</f>
        <v>Gopala Bhatta G. - Apar.</v>
      </c>
      <c r="J41" s="259"/>
      <c r="K41" s="904">
        <f t="shared" si="37"/>
        <v>43633</v>
      </c>
      <c r="L41" s="904"/>
      <c r="M41" s="258" t="s">
        <v>7213</v>
      </c>
      <c r="S41" s="256"/>
      <c r="T41" s="904">
        <f t="shared" si="38"/>
        <v>43719</v>
      </c>
      <c r="U41" s="904"/>
      <c r="V41" s="258" t="str">
        <f ca="1">MID('GCal-Translations'!$C$47,7,25) &amp; "."</f>
        <v>Bhaktivinoda Thakura - Ap.</v>
      </c>
      <c r="AC41" s="217"/>
      <c r="AE41" s="258">
        <f>MATCH(AI41,Festivals!$S$2:$S$180,0)</f>
        <v>126</v>
      </c>
      <c r="AF41" s="901">
        <f>INDEX(Festivals!$C$2:$C$180,AE41)</f>
        <v>43490</v>
      </c>
      <c r="AG41" s="901"/>
      <c r="AH41" s="901"/>
      <c r="AI41" s="72" t="str">
        <f>Festivals!S127</f>
        <v>Srila Gopala Bhatta Gosvami - Appearance</v>
      </c>
      <c r="AL41" s="236"/>
      <c r="AM41" s="260" t="s">
        <v>126</v>
      </c>
      <c r="AN41" s="258">
        <f>MATCH(AR41,Festivals!$S$2:$S$180,0)</f>
        <v>32</v>
      </c>
      <c r="AO41" s="901">
        <f>INDEX(Festivals!$C$2:$C$180,AN41)</f>
        <v>43633</v>
      </c>
      <c r="AP41" s="901"/>
      <c r="AQ41" s="901"/>
      <c r="AR41" s="72" t="str">
        <f>Festivals!S33</f>
        <v>Snana Yatra</v>
      </c>
      <c r="AU41" s="236"/>
      <c r="AV41" s="261" t="s">
        <v>126</v>
      </c>
      <c r="AW41" s="258">
        <f>MATCH(BA41,Festivals!$S$2:$S$180,0)</f>
        <v>68</v>
      </c>
      <c r="AX41" s="901">
        <f>INDEX(Festivals!$C$2:$C$180,AW41)</f>
        <v>43719</v>
      </c>
      <c r="AY41" s="901"/>
      <c r="AZ41" s="901"/>
      <c r="BA41" s="72" t="str">
        <f>Festivals!S69</f>
        <v>Srila Bhaktivinoda Thakura - Appearance</v>
      </c>
      <c r="BD41" s="236"/>
    </row>
    <row r="42" spans="1:56" ht="12.75" customHeight="1" x14ac:dyDescent="0.2">
      <c r="A42" s="256"/>
      <c r="B42" s="904">
        <f t="shared" si="36"/>
        <v>43505</v>
      </c>
      <c r="C42" s="904"/>
      <c r="D42" s="258" t="str">
        <f ca="1">SUBSTITUTE(MID('GCal-Translations'!$C$92,7,28) &amp; ".","Gosvami","G.",1)</f>
        <v>Raghunatha Dasa G. - Ap.</v>
      </c>
      <c r="J42" s="259"/>
      <c r="K42" s="904">
        <f t="shared" si="37"/>
        <v>43649</v>
      </c>
      <c r="L42" s="904"/>
      <c r="M42" s="258" t="s">
        <v>51</v>
      </c>
      <c r="S42" s="256"/>
      <c r="T42" s="904">
        <f t="shared" si="38"/>
        <v>43721</v>
      </c>
      <c r="U42" s="904"/>
      <c r="V42" s="258" t="str">
        <f ca="1">'GCal-Translations'!C124</f>
        <v>Prabhupada - aceita sannyasa</v>
      </c>
      <c r="AC42" s="217"/>
      <c r="AE42" s="258">
        <f>MATCH(AI42,Festivals!$S$2:$S$180,0)</f>
        <v>135</v>
      </c>
      <c r="AF42" s="901">
        <f>INDEX(Festivals!$C$2:$C$180,AE42)</f>
        <v>43505</v>
      </c>
      <c r="AG42" s="901"/>
      <c r="AH42" s="901"/>
      <c r="AI42" s="72" t="str">
        <f>Festivals!S136</f>
        <v>Srila Raghunatha Dasa Gosvami - Appearance</v>
      </c>
      <c r="AL42" s="236"/>
      <c r="AM42" s="260" t="s">
        <v>126</v>
      </c>
      <c r="AN42" s="258">
        <f>MATCH(AR42,Festivals!$S$2:$S$180,0)</f>
        <v>168</v>
      </c>
      <c r="AO42" s="901">
        <f>INDEX(Festivals!$C$2:$C$180,AN42)</f>
        <v>43649</v>
      </c>
      <c r="AP42" s="901"/>
      <c r="AQ42" s="901"/>
      <c r="AR42" s="72" t="str">
        <f>Festivals!S169</f>
        <v>Gundica Marjana</v>
      </c>
      <c r="AU42" s="236"/>
      <c r="AV42" s="261" t="s">
        <v>126</v>
      </c>
      <c r="AW42" s="258">
        <f>MATCH(BA42,Festivals!$S$2:$S$180,0)</f>
        <v>74</v>
      </c>
      <c r="AX42" s="901">
        <f>INDEX(Festivals!$C$2:$C$180,AW42)</f>
        <v>43721</v>
      </c>
      <c r="AY42" s="901"/>
      <c r="AZ42" s="901"/>
      <c r="BA42" s="72" t="str">
        <f>Festivals!S75</f>
        <v>Acceptance of sannyasa by Srila Prabhupada</v>
      </c>
      <c r="BD42" s="236"/>
    </row>
    <row r="43" spans="1:56" x14ac:dyDescent="0.2">
      <c r="A43" s="256" t="s">
        <v>72</v>
      </c>
      <c r="B43" s="904">
        <f t="shared" si="36"/>
        <v>43508</v>
      </c>
      <c r="C43" s="904"/>
      <c r="D43" s="258" t="str">
        <f ca="1">MID('GCal-Translations'!$C$93,5,23) &amp; "."</f>
        <v>Advaita Acarya - Aparec.</v>
      </c>
      <c r="J43" s="259"/>
      <c r="K43" s="904">
        <f t="shared" si="37"/>
        <v>43650</v>
      </c>
      <c r="L43" s="904"/>
      <c r="M43" s="258" t="s">
        <v>52</v>
      </c>
      <c r="S43" s="256"/>
      <c r="T43" s="904">
        <f t="shared" si="38"/>
        <v>43729</v>
      </c>
      <c r="U43" s="904"/>
      <c r="V43" s="258" t="str">
        <f ca="1">'GCal-Translations'!C125</f>
        <v>Prabhupada - chega aos EUA</v>
      </c>
      <c r="AC43" s="255"/>
      <c r="AE43" s="258">
        <f>MATCH(AI43,Festivals!$S$2:$S$180,0)</f>
        <v>136</v>
      </c>
      <c r="AF43" s="901">
        <f>INDEX(Festivals!$C$2:$C$180,AE43)</f>
        <v>43508</v>
      </c>
      <c r="AG43" s="901"/>
      <c r="AH43" s="901"/>
      <c r="AI43" s="72" t="str">
        <f>Festivals!S137</f>
        <v>Sri Advaita Acarya - Appearance</v>
      </c>
      <c r="AL43" s="236"/>
      <c r="AM43" s="260" t="s">
        <v>126</v>
      </c>
      <c r="AN43" s="258">
        <f>MATCH(AR43,Festivals!$S$2:$S$180,0)</f>
        <v>169</v>
      </c>
      <c r="AO43" s="901">
        <f>INDEX(Festivals!$C$2:$C$180,AN43)</f>
        <v>43650</v>
      </c>
      <c r="AP43" s="901"/>
      <c r="AQ43" s="901"/>
      <c r="AR43" s="72" t="str">
        <f>Festivals!S170</f>
        <v>Ratha Yatra</v>
      </c>
      <c r="AU43" s="236"/>
      <c r="AV43" s="261" t="s">
        <v>126</v>
      </c>
      <c r="AW43" s="258">
        <f>MATCH(BA43,Festivals!$S$2:$S$180,0)</f>
        <v>75</v>
      </c>
      <c r="AX43" s="901">
        <f>INDEX(Festivals!$C$2:$C$180,AW43)</f>
        <v>43729</v>
      </c>
      <c r="AY43" s="901"/>
      <c r="AZ43" s="901"/>
      <c r="BA43" s="72" t="str">
        <f>Festivals!S76</f>
        <v>Srila Prabhupada's arrival in the USA</v>
      </c>
      <c r="BD43" s="236"/>
    </row>
    <row r="44" spans="1:56" x14ac:dyDescent="0.2">
      <c r="A44" s="256"/>
      <c r="B44" s="904">
        <f t="shared" si="36"/>
        <v>43512</v>
      </c>
      <c r="C44" s="904"/>
      <c r="D44" s="258" t="s">
        <v>7214</v>
      </c>
      <c r="J44" s="259"/>
      <c r="K44" s="904">
        <f t="shared" si="37"/>
        <v>43662</v>
      </c>
      <c r="L44" s="904"/>
      <c r="M44" s="258" t="str">
        <f ca="1">MID('GCal-Translations'!$C$31,7,22) &amp; "."</f>
        <v>Sanatana Gosvami - Des.</v>
      </c>
      <c r="S44" s="256"/>
      <c r="T44" s="904">
        <f t="shared" si="38"/>
        <v>43745</v>
      </c>
      <c r="U44" s="904"/>
      <c r="V44" s="258" t="s">
        <v>7215</v>
      </c>
      <c r="AC44" s="255"/>
      <c r="AE44" s="258">
        <f>MATCH(AI44,Festivals!$S$2:$S$180,0)</f>
        <v>143</v>
      </c>
      <c r="AF44" s="901">
        <f>INDEX(Festivals!$C$2:$C$180,AE44)</f>
        <v>43512</v>
      </c>
      <c r="AG44" s="901"/>
      <c r="AH44" s="901"/>
      <c r="AI44" s="72" t="str">
        <f>Festivals!S144</f>
        <v>Varaha Dvadasi: Appearance of Lord Varahadeva</v>
      </c>
      <c r="AL44" s="236"/>
      <c r="AM44" s="260" t="s">
        <v>126</v>
      </c>
      <c r="AN44" s="258">
        <f>MATCH(AR44,Festivals!$S$2:$S$180,0)</f>
        <v>45</v>
      </c>
      <c r="AO44" s="901">
        <f>INDEX(Festivals!$C$2:$C$180,AN44)</f>
        <v>43662</v>
      </c>
      <c r="AP44" s="901"/>
      <c r="AQ44" s="901"/>
      <c r="AR44" s="72" t="str">
        <f>Festivals!S46</f>
        <v>Srila Sanatana Gosvami - Disappearance</v>
      </c>
      <c r="AU44" s="236"/>
      <c r="AV44" s="261" t="s">
        <v>126</v>
      </c>
      <c r="AW44" s="258">
        <f>MATCH(BA44,Festivals!$S$2:$S$180,0)</f>
        <v>77</v>
      </c>
      <c r="AX44" s="901">
        <f>INDEX(Festivals!$C$2:$C$180,AW44)</f>
        <v>43745</v>
      </c>
      <c r="AY44" s="901"/>
      <c r="AZ44" s="901"/>
      <c r="BA44" s="72" t="str">
        <f>Festivals!S78</f>
        <v>Ramacandra Vijayotsava</v>
      </c>
      <c r="BD44" s="236"/>
    </row>
    <row r="45" spans="1:56" x14ac:dyDescent="0.2">
      <c r="A45" s="256" t="s">
        <v>72</v>
      </c>
      <c r="B45" s="904">
        <f t="shared" si="36"/>
        <v>43513</v>
      </c>
      <c r="C45" s="904"/>
      <c r="D45" s="258" t="s">
        <v>7216</v>
      </c>
      <c r="J45" s="259"/>
      <c r="K45" s="904">
        <f t="shared" si="37"/>
        <v>43672</v>
      </c>
      <c r="L45" s="904"/>
      <c r="M45" s="258" t="str">
        <f ca="1">'GCal-Translations'!C122</f>
        <v>ISKCON - fundação em NY</v>
      </c>
      <c r="S45" s="256"/>
      <c r="T45" s="904">
        <f t="shared" si="38"/>
        <v>43748</v>
      </c>
      <c r="U45" s="904"/>
      <c r="V45" s="258" t="str">
        <f ca="1">SUBSTITUTE(MID('GCal-Translations'!$C$53,7,31) &amp; ".","Gosvami","G.",1)</f>
        <v>Raghunatha Bhatta G. - Des.</v>
      </c>
      <c r="AC45" s="255"/>
      <c r="AE45" s="258">
        <f>MATCH(AI45,Festivals!$S$2:$S$180,0)</f>
        <v>146</v>
      </c>
      <c r="AF45" s="901">
        <f>INDEX(Festivals!$C$2:$C$180,AE45)</f>
        <v>43513</v>
      </c>
      <c r="AG45" s="901"/>
      <c r="AH45" s="901"/>
      <c r="AI45" s="72" t="str">
        <f>Festivals!S147</f>
        <v>Nityananda Trayodasi: Appearance of Sri Nityananda Prabhu</v>
      </c>
      <c r="AL45" s="236"/>
      <c r="AM45" s="260" t="s">
        <v>126</v>
      </c>
      <c r="AN45" s="258">
        <f>MATCH(AR45,Festivals!$S$2:$S$180,0)</f>
        <v>48</v>
      </c>
      <c r="AO45" s="901">
        <f>INDEX(Festivals!$C$2:$C$180,AN45)</f>
        <v>43672</v>
      </c>
      <c r="AP45" s="901"/>
      <c r="AQ45" s="901"/>
      <c r="AR45" s="72" t="str">
        <f>Festivals!S49</f>
        <v>The incorporation of ISKCON in New York</v>
      </c>
      <c r="AU45" s="236"/>
      <c r="AV45" s="261" t="s">
        <v>126</v>
      </c>
      <c r="AW45" s="258">
        <f>MATCH(BA45,Festivals!$S$2:$S$180,0)</f>
        <v>80</v>
      </c>
      <c r="AX45" s="901">
        <f>INDEX(Festivals!$C$2:$C$180,AW45)</f>
        <v>43748</v>
      </c>
      <c r="AY45" s="901"/>
      <c r="AZ45" s="901"/>
      <c r="BA45" s="72" t="str">
        <f>Festivals!S81</f>
        <v>Srila Raghunatha Bhatta Gosvami - Disappearance</v>
      </c>
      <c r="BD45" s="236"/>
    </row>
    <row r="46" spans="1:56" x14ac:dyDescent="0.2">
      <c r="B46" s="904">
        <f t="shared" si="36"/>
        <v>43515</v>
      </c>
      <c r="C46" s="904"/>
      <c r="D46" s="258" t="s">
        <v>7217</v>
      </c>
      <c r="J46" s="259"/>
      <c r="K46" s="904">
        <f t="shared" si="37"/>
        <v>43687</v>
      </c>
      <c r="L46" s="904"/>
      <c r="M46" s="258" t="s">
        <v>7218</v>
      </c>
      <c r="S46" s="256"/>
      <c r="T46" s="904">
        <f t="shared" si="38"/>
        <v>43751</v>
      </c>
      <c r="U46" s="904"/>
      <c r="V46" s="258" t="s">
        <v>7219</v>
      </c>
      <c r="AC46" s="255"/>
      <c r="AE46" s="258">
        <f>MATCH(AI46,Festivals!$S$2:$S$180,0)</f>
        <v>149</v>
      </c>
      <c r="AF46" s="901">
        <f>INDEX(Festivals!$C$2:$C$180,AE46)</f>
        <v>43515</v>
      </c>
      <c r="AG46" s="901"/>
      <c r="AH46" s="901"/>
      <c r="AI46" s="72" t="str">
        <f>Festivals!S150</f>
        <v>Sri Krsna Madhura Utsava</v>
      </c>
      <c r="AL46" s="236"/>
      <c r="AM46" s="260" t="s">
        <v>126</v>
      </c>
      <c r="AN46" s="258">
        <f>MATCH(AR46,Festivals!$S$2:$S$180,0)</f>
        <v>51</v>
      </c>
      <c r="AO46" s="901">
        <f>INDEX(Festivals!$C$2:$C$180,AN46)</f>
        <v>43687</v>
      </c>
      <c r="AP46" s="901"/>
      <c r="AQ46" s="901"/>
      <c r="AR46" s="72" t="str">
        <f>Festivals!S52</f>
        <v>Radha Govinda Jhulana Yatra begins</v>
      </c>
      <c r="AU46" s="236"/>
      <c r="AV46" s="261" t="s">
        <v>126</v>
      </c>
      <c r="AW46" s="258">
        <f>MATCH(BA46,Festivals!$S$2:$S$180,0)</f>
        <v>82</v>
      </c>
      <c r="AX46" s="901">
        <f>INDEX(Festivals!$C$2:$C$180,AW46)</f>
        <v>43751</v>
      </c>
      <c r="AY46" s="901"/>
      <c r="AZ46" s="901"/>
      <c r="BA46" s="72" t="str">
        <f>Festivals!S83</f>
        <v>Sri Krsna Saradiya Rasayatra</v>
      </c>
      <c r="BD46" s="236"/>
    </row>
    <row r="47" spans="1:56" x14ac:dyDescent="0.2">
      <c r="A47" s="256"/>
      <c r="B47" s="904">
        <f t="shared" si="36"/>
        <v>43519</v>
      </c>
      <c r="C47" s="904"/>
      <c r="D47" s="258" t="str">
        <f ca="1">MID('GCal-Translations'!$C$100,1,21) &amp; MID('GCal-Translations'!$C$100,40,5) &amp; "."</f>
        <v>Srila Bhaktisiddhanta - Ap.</v>
      </c>
      <c r="J47" s="259"/>
      <c r="K47" s="904">
        <f t="shared" si="37"/>
        <v>43688</v>
      </c>
      <c r="L47" s="904"/>
      <c r="M47" s="258" t="str">
        <f ca="1">MID('GCal-Translations'!$C$38,7,20) &amp; "."</f>
        <v>Rupa Gosvami - Desap.</v>
      </c>
      <c r="S47" s="256"/>
      <c r="T47" s="904">
        <f t="shared" si="38"/>
        <v>43759</v>
      </c>
      <c r="U47" s="904"/>
      <c r="V47" s="258" t="str">
        <f ca="1">'GCal-Translations'!C126</f>
        <v>Radha Kunda - Aparecimento</v>
      </c>
      <c r="AA47" s="259"/>
      <c r="AC47" s="255"/>
      <c r="AE47" s="258">
        <f>MATCH(AI47,Festivals!$S$2:$S$180,0)</f>
        <v>152</v>
      </c>
      <c r="AF47" s="901">
        <f>INDEX(Festivals!$C$2:$C$180,AE47)</f>
        <v>43519</v>
      </c>
      <c r="AG47" s="901"/>
      <c r="AH47" s="901"/>
      <c r="AI47" s="72" t="str">
        <f>Festivals!S153</f>
        <v>Srila Bhaktisiddhanta Sarasvati Thakura - Appearance</v>
      </c>
      <c r="AL47" s="236"/>
      <c r="AM47" s="260" t="s">
        <v>126</v>
      </c>
      <c r="AN47" s="258">
        <f>MATCH(AR47,Festivals!$S$2:$S$180,0)</f>
        <v>52</v>
      </c>
      <c r="AO47" s="901">
        <f>INDEX(Festivals!$C$2:$C$180,AN47)</f>
        <v>43688</v>
      </c>
      <c r="AP47" s="901"/>
      <c r="AQ47" s="901"/>
      <c r="AR47" s="72" t="str">
        <f>Festivals!S53</f>
        <v>Srila Rupa Gosvami - Disappearance</v>
      </c>
      <c r="AU47" s="236"/>
      <c r="AV47" s="261" t="s">
        <v>126</v>
      </c>
      <c r="AW47" s="258">
        <f>MATCH(BA47,Festivals!$S$2:$S$180,0)</f>
        <v>86</v>
      </c>
      <c r="AX47" s="901">
        <f>INDEX(Festivals!$C$2:$C$180,AW47)</f>
        <v>43759</v>
      </c>
      <c r="AY47" s="901"/>
      <c r="AZ47" s="901"/>
      <c r="BA47" s="72" t="str">
        <f>Festivals!S87</f>
        <v>Appearance of Radha Kunda, snana dana</v>
      </c>
      <c r="BD47" s="236"/>
    </row>
    <row r="48" spans="1:56" x14ac:dyDescent="0.2">
      <c r="A48" s="256" t="s">
        <v>72</v>
      </c>
      <c r="B48" s="904">
        <f t="shared" si="36"/>
        <v>43544</v>
      </c>
      <c r="C48" s="904"/>
      <c r="D48" s="258" t="s">
        <v>7220</v>
      </c>
      <c r="J48" s="259" t="s">
        <v>72</v>
      </c>
      <c r="K48" s="904">
        <f t="shared" si="37"/>
        <v>43692</v>
      </c>
      <c r="L48" s="904"/>
      <c r="M48" s="258" t="str">
        <f ca="1">MID('GCal-Translations'!$C$41,1,24) &amp; "."</f>
        <v>Senhor Balarama - Aparec.</v>
      </c>
      <c r="T48" s="904">
        <f>IFERROR(AX48,"")</f>
        <v>43766</v>
      </c>
      <c r="U48" s="904"/>
      <c r="V48" s="258" t="s">
        <v>7223</v>
      </c>
      <c r="AC48" s="255"/>
      <c r="AE48" s="258">
        <f>MATCH(AI48,Festivals!$S$2:$S$180,0)</f>
        <v>178</v>
      </c>
      <c r="AF48" s="901">
        <f>INDEX(Festivals!$C$2:$C$180,AE48)</f>
        <v>43544</v>
      </c>
      <c r="AG48" s="901"/>
      <c r="AH48" s="901"/>
      <c r="AI48" s="72" t="str">
        <f>Festivals!S179</f>
        <v>Gaura Purnima: Appearance of Sri Caitanya Mahaprabhu</v>
      </c>
      <c r="AL48" s="236"/>
      <c r="AM48" s="260" t="s">
        <v>126</v>
      </c>
      <c r="AN48" s="258">
        <f>MATCH(AR48,Festivals!$S$2:$S$180,0)</f>
        <v>55</v>
      </c>
      <c r="AO48" s="901">
        <f>INDEX(Festivals!$C$2:$C$180,AN48)</f>
        <v>43692</v>
      </c>
      <c r="AP48" s="901"/>
      <c r="AQ48" s="901"/>
      <c r="AR48" s="72" t="str">
        <f>Festivals!S56</f>
        <v>Lord Balarama - Appearance</v>
      </c>
      <c r="AU48" s="236"/>
      <c r="AV48" s="261" t="s">
        <v>126</v>
      </c>
      <c r="AW48" s="258">
        <f>MATCH(BA48,Festivals!$S$2:$S$180,0)</f>
        <v>177</v>
      </c>
      <c r="AX48" s="901">
        <f>INDEX(Festivals!$C$2:$C$180,AW48)</f>
        <v>43766</v>
      </c>
      <c r="AY48" s="901"/>
      <c r="AZ48" s="901"/>
      <c r="BA48" s="72" t="str">
        <f>Festivals!S178</f>
        <v>Go Puja. Go Krda. Govardhana Puja.</v>
      </c>
      <c r="BD48" s="236"/>
    </row>
    <row r="49" spans="1:56" x14ac:dyDescent="0.2">
      <c r="A49" s="256"/>
      <c r="B49" s="904">
        <f t="shared" si="36"/>
        <v>43552</v>
      </c>
      <c r="C49" s="904"/>
      <c r="D49" s="258" t="str">
        <f ca="1">MID('GCal-Translations'!$C$106,5,24) &amp; "."</f>
        <v>Srivasa Pandita - Aparec.</v>
      </c>
      <c r="J49" s="259"/>
      <c r="K49" s="904">
        <f t="shared" si="37"/>
        <v>43693</v>
      </c>
      <c r="L49" s="904"/>
      <c r="M49" s="258" t="str">
        <f ca="1">'GCal-Translations'!C123</f>
        <v>Prabhupada - vai para EUA</v>
      </c>
      <c r="T49" s="904">
        <f>IFERROR(AX49,"")</f>
        <v>43765</v>
      </c>
      <c r="U49" s="904"/>
      <c r="V49" s="258" t="s">
        <v>7221</v>
      </c>
      <c r="AC49" s="255"/>
      <c r="AE49" s="258">
        <f>MATCH(AI49,Festivals!$S$2:$S$180,0)</f>
        <v>1</v>
      </c>
      <c r="AF49" s="901">
        <f>INDEX(Festivals!$C$2:$C$180,AE49)</f>
        <v>43552</v>
      </c>
      <c r="AG49" s="901"/>
      <c r="AH49" s="901"/>
      <c r="AI49" s="72" t="str">
        <f>Festivals!S2</f>
        <v>Sri Srivasa Pandita - Appearance</v>
      </c>
      <c r="AL49" s="236"/>
      <c r="AM49" s="260" t="s">
        <v>126</v>
      </c>
      <c r="AN49" s="258">
        <f>MATCH(AR49,Festivals!$S$2:$S$180,0)</f>
        <v>57</v>
      </c>
      <c r="AO49" s="901">
        <f>INDEX(Festivals!$C$2:$C$180,AN49)</f>
        <v>43693</v>
      </c>
      <c r="AP49" s="901"/>
      <c r="AQ49" s="901"/>
      <c r="AR49" s="72" t="str">
        <f>Festivals!S58</f>
        <v>Srila Prabhupada's departure for the USA</v>
      </c>
      <c r="AU49" s="236"/>
      <c r="AV49" s="261" t="s">
        <v>126</v>
      </c>
      <c r="AW49" s="258">
        <f>MATCH(BA49,Festivals!$S$2:$S$180,0)</f>
        <v>89</v>
      </c>
      <c r="AX49" s="901">
        <f>INDEX(Festivals!$C$2:$C$180,AW49)</f>
        <v>43765</v>
      </c>
      <c r="AY49" s="901"/>
      <c r="AZ49" s="901"/>
      <c r="BA49" s="72" t="str">
        <f>Festivals!S90</f>
        <v>Dipa dana, Dipavali, (Kali Puja)</v>
      </c>
      <c r="BD49" s="236"/>
    </row>
    <row r="50" spans="1:56" x14ac:dyDescent="0.2">
      <c r="A50" s="256" t="s">
        <v>72</v>
      </c>
      <c r="B50" s="904">
        <f t="shared" si="36"/>
        <v>43568</v>
      </c>
      <c r="C50" s="904"/>
      <c r="D50" s="258" t="s">
        <v>7224</v>
      </c>
      <c r="J50" s="259" t="s">
        <v>72</v>
      </c>
      <c r="K50" s="904">
        <f t="shared" si="37"/>
        <v>43700</v>
      </c>
      <c r="L50" s="904"/>
      <c r="M50" s="258" t="s">
        <v>7225</v>
      </c>
      <c r="T50" s="904">
        <f t="shared" si="38"/>
        <v>43769</v>
      </c>
      <c r="U50" s="904"/>
      <c r="V50" s="258" t="str">
        <f ca="1">MID('GCal-Translations'!$C$61,1,24) &amp; "."</f>
        <v>Srila Prabhupada - Desap.</v>
      </c>
      <c r="AB50" s="258"/>
      <c r="AC50" s="255"/>
      <c r="AE50" s="258">
        <f>MATCH(AI50,Festivals!$S$2:$S$180,0)</f>
        <v>166</v>
      </c>
      <c r="AF50" s="901">
        <f>INDEX(Festivals!$C$2:$C$180,AE50)</f>
        <v>43568</v>
      </c>
      <c r="AG50" s="901"/>
      <c r="AH50" s="901"/>
      <c r="AI50" s="72" t="str">
        <f>Festivals!S167</f>
        <v>Rama Navami: Appearance of Lord Sri Ramacandra</v>
      </c>
      <c r="AM50" s="260" t="s">
        <v>126</v>
      </c>
      <c r="AN50" s="258">
        <f>MATCH(AR50,Festivals!$S$2:$S$180,0)</f>
        <v>172</v>
      </c>
      <c r="AO50" s="901">
        <f>INDEX(Festivals!$C$2:$C$180,AN50)</f>
        <v>43700</v>
      </c>
      <c r="AP50" s="901"/>
      <c r="AQ50" s="901"/>
      <c r="AR50" s="72" t="str">
        <f>Festivals!S173</f>
        <v>Sri Krsna Janmastami: Appearance of Lord Sri Krsna</v>
      </c>
      <c r="AV50" s="261" t="s">
        <v>126</v>
      </c>
      <c r="AW50" s="258">
        <f>MATCH(BA50,Festivals!$S$2:$S$180,0)</f>
        <v>93</v>
      </c>
      <c r="AX50" s="901">
        <f>INDEX(Festivals!$C$2:$C$180,AW50)</f>
        <v>43769</v>
      </c>
      <c r="AY50" s="901"/>
      <c r="AZ50" s="901"/>
      <c r="BA50" s="72" t="str">
        <f>Festivals!S94</f>
        <v>Srila Prabhupada - Disappearance</v>
      </c>
    </row>
    <row r="51" spans="1:56" x14ac:dyDescent="0.2">
      <c r="A51" s="256"/>
      <c r="B51" s="904">
        <f t="shared" si="36"/>
        <v>43574</v>
      </c>
      <c r="C51" s="904"/>
      <c r="D51" s="258" t="s">
        <v>7226</v>
      </c>
      <c r="J51" s="259" t="s">
        <v>72</v>
      </c>
      <c r="K51" s="904">
        <f t="shared" si="37"/>
        <v>43701</v>
      </c>
      <c r="L51" s="904"/>
      <c r="M51" s="258" t="str">
        <f ca="1">MID('GCal-Translations'!$C$116,1,25) &amp; "."</f>
        <v>Srila Prabhupada - Aparec.</v>
      </c>
      <c r="T51" s="904">
        <f t="shared" si="38"/>
        <v>43776</v>
      </c>
      <c r="U51" s="904"/>
      <c r="V51" s="258" t="str">
        <f ca="1">SUBSTITUTE(MID('GCal-Translations'!$C$65,1,38) &amp; "."," Dasa Babaji","",1)</f>
        <v>Srila Gaura Kisora - Desap.</v>
      </c>
      <c r="AA51" s="259"/>
      <c r="AB51" s="258"/>
      <c r="AC51" s="255"/>
      <c r="AE51" s="258">
        <f>MATCH(AI51,Festivals!$S$2:$S$180,0)</f>
        <v>5</v>
      </c>
      <c r="AF51" s="901">
        <f>INDEX(Festivals!$C$2:$C$180,AE51)</f>
        <v>43574</v>
      </c>
      <c r="AG51" s="901"/>
      <c r="AH51" s="901"/>
      <c r="AI51" s="72" t="str">
        <f>Festivals!S6</f>
        <v>Sri Balarama Rasayatra</v>
      </c>
      <c r="AL51" s="104"/>
      <c r="AM51" s="260" t="s">
        <v>126</v>
      </c>
      <c r="AN51" s="258">
        <f>MATCH(AR51,Festivals!$S$2:$S$180,0)</f>
        <v>175</v>
      </c>
      <c r="AO51" s="901">
        <f>INDEX(Festivals!$C$2:$C$180,AN51)</f>
        <v>43701</v>
      </c>
      <c r="AP51" s="901"/>
      <c r="AQ51" s="901"/>
      <c r="AR51" s="72" t="str">
        <f>Festivals!S176</f>
        <v>Srila Prabhupada - Appearance</v>
      </c>
      <c r="AV51" s="261" t="s">
        <v>126</v>
      </c>
      <c r="AW51" s="258">
        <f>MATCH(BA51,Festivals!$S$2:$S$180,0)</f>
        <v>101</v>
      </c>
      <c r="AX51" s="901">
        <f>INDEX(Festivals!$C$2:$C$180,AW51)</f>
        <v>43776</v>
      </c>
      <c r="AY51" s="901"/>
      <c r="AZ51" s="901"/>
      <c r="BA51" s="72" t="str">
        <f>Festivals!S102</f>
        <v>Srila Gaura Kisora Dasa Babaji - Disappearance</v>
      </c>
    </row>
    <row r="52" spans="1:56" x14ac:dyDescent="0.2">
      <c r="A52" s="256"/>
      <c r="B52" s="904">
        <f t="shared" si="36"/>
        <v>43589</v>
      </c>
      <c r="C52" s="904"/>
      <c r="D52" s="258" t="str">
        <f ca="1">MID('GCal-Translations'!$C$6,5,22) &amp; "."</f>
        <v>Gadadhara Pandita - Ap.</v>
      </c>
      <c r="J52" s="259"/>
      <c r="K52" s="904">
        <f t="shared" si="37"/>
        <v>43711</v>
      </c>
      <c r="L52" s="904"/>
      <c r="M52" s="258" t="str">
        <f ca="1">MID('GCal-Translations'!$C$43,9,14) &amp; " (Sri Advaita)"</f>
        <v>Sita Thakurani (Sri Advaita)</v>
      </c>
      <c r="T52" s="904">
        <f t="shared" si="38"/>
        <v>43781</v>
      </c>
      <c r="U52" s="904"/>
      <c r="V52" s="258" t="s">
        <v>7227</v>
      </c>
      <c r="AC52" s="255"/>
      <c r="AE52" s="258">
        <f>MATCH(AI52,Festivals!$S$2:$S$180,0)</f>
        <v>11</v>
      </c>
      <c r="AF52" s="901">
        <f>INDEX(Festivals!$C$2:$C$180,AE52)</f>
        <v>43589</v>
      </c>
      <c r="AG52" s="901"/>
      <c r="AH52" s="901"/>
      <c r="AI52" s="72" t="str">
        <f>Festivals!S12</f>
        <v>Sri Gadadhara Pandita - Appearance</v>
      </c>
      <c r="AL52" s="104"/>
      <c r="AM52" s="260" t="s">
        <v>126</v>
      </c>
      <c r="AN52" s="258">
        <f>MATCH(AR52,Festivals!$S$2:$S$180,0)</f>
        <v>58</v>
      </c>
      <c r="AO52" s="901">
        <f>INDEX(Festivals!$C$2:$C$180,AN52)</f>
        <v>43711</v>
      </c>
      <c r="AP52" s="901"/>
      <c r="AQ52" s="901"/>
      <c r="AR52" s="72" t="str">
        <f>Festivals!S59</f>
        <v>Srimati Sita Thakurani (Sri Advaita's consort) - Appearance</v>
      </c>
      <c r="AV52" s="261" t="s">
        <v>126</v>
      </c>
      <c r="AW52" s="258">
        <f>MATCH(BA52,Festivals!$S$2:$S$180,0)</f>
        <v>105</v>
      </c>
      <c r="AX52" s="901">
        <f>INDEX(Festivals!$C$2:$C$180,AW52)</f>
        <v>43781</v>
      </c>
      <c r="AY52" s="901"/>
      <c r="AZ52" s="901"/>
      <c r="BA52" s="72" t="str">
        <f>Festivals!S106</f>
        <v>Sri Krsna Rasayatra</v>
      </c>
    </row>
    <row r="53" spans="1:56" x14ac:dyDescent="0.2">
      <c r="A53" s="256" t="s">
        <v>72</v>
      </c>
      <c r="B53" s="904">
        <f t="shared" si="36"/>
        <v>43598</v>
      </c>
      <c r="C53" s="904"/>
      <c r="D53" s="258" t="str">
        <f ca="1">MID('GCal-Translations'!$C$8,9,9) &amp; " (Sri Rama)"</f>
        <v>Sita Devi (Sri Rama)</v>
      </c>
      <c r="J53" s="259"/>
      <c r="K53" s="904">
        <f t="shared" si="37"/>
        <v>43714</v>
      </c>
      <c r="L53" s="904"/>
      <c r="M53" s="258" t="s">
        <v>7228</v>
      </c>
      <c r="T53" s="904">
        <f t="shared" si="38"/>
        <v>43781</v>
      </c>
      <c r="U53" s="904"/>
      <c r="V53" s="258" t="s">
        <v>7229</v>
      </c>
      <c r="AC53" s="255"/>
      <c r="AE53" s="258">
        <f>MATCH(AI53,Festivals!$S$2:$S$180,0)</f>
        <v>14</v>
      </c>
      <c r="AF53" s="901">
        <f>INDEX(Festivals!$C$2:$C$180,AE53)</f>
        <v>43598</v>
      </c>
      <c r="AG53" s="901"/>
      <c r="AH53" s="901"/>
      <c r="AI53" s="72" t="str">
        <f>Festivals!S15</f>
        <v>Srimati Sita Devi (consort of Lord Sri Rama) - Appearance</v>
      </c>
      <c r="AM53" s="260" t="s">
        <v>126</v>
      </c>
      <c r="AN53" s="258">
        <f>MATCH(AR53,Festivals!$S$2:$S$180,0)</f>
        <v>60</v>
      </c>
      <c r="AO53" s="901">
        <f>INDEX(Festivals!$C$2:$C$180,AN53)</f>
        <v>43714</v>
      </c>
      <c r="AP53" s="901"/>
      <c r="AQ53" s="901"/>
      <c r="AR53" s="72" t="str">
        <f>Festivals!S61</f>
        <v>Radhastami: Appearance of Srimati Radharani</v>
      </c>
      <c r="AV53" s="261" t="s">
        <v>126</v>
      </c>
      <c r="AW53" s="258">
        <f>MATCH(BA53,Festivals!$S$2:$S$180,0)</f>
        <v>106</v>
      </c>
      <c r="AX53" s="901">
        <f>INDEX(Festivals!$C$2:$C$180,AW53)</f>
        <v>43781</v>
      </c>
      <c r="AY53" s="901"/>
      <c r="AZ53" s="901"/>
      <c r="BA53" s="72" t="str">
        <f>Festivals!S107</f>
        <v>Tulasi-Saligrama Vivaha (marriage)</v>
      </c>
    </row>
    <row r="54" spans="1:56" x14ac:dyDescent="0.2">
      <c r="A54" s="256" t="s">
        <v>72</v>
      </c>
      <c r="B54" s="904">
        <f t="shared" si="36"/>
        <v>43602</v>
      </c>
      <c r="C54" s="904"/>
      <c r="D54" s="258" t="s">
        <v>7230</v>
      </c>
      <c r="J54" s="259"/>
      <c r="K54" s="904">
        <f t="shared" si="37"/>
        <v>43718</v>
      </c>
      <c r="L54" s="904"/>
      <c r="M54" s="258" t="s">
        <v>7231</v>
      </c>
      <c r="T54" s="904">
        <f t="shared" si="38"/>
        <v>43806</v>
      </c>
      <c r="U54" s="904"/>
      <c r="V54" s="258" t="str">
        <f ca="1">'GCal-Translations'!C127</f>
        <v>Bhagavad-gita - Advento</v>
      </c>
      <c r="AC54" s="255"/>
      <c r="AE54" s="258">
        <f>MATCH(AI54,Festivals!$S$2:$S$180,0)</f>
        <v>19</v>
      </c>
      <c r="AF54" s="901">
        <f>INDEX(Festivals!$C$2:$C$180,AE54)</f>
        <v>43602</v>
      </c>
      <c r="AG54" s="901"/>
      <c r="AH54" s="901"/>
      <c r="AI54" s="72" t="str">
        <f>Festivals!S20</f>
        <v>Nrsimha Caturdasi: Appearance of Lord Nrsimhadeva</v>
      </c>
      <c r="AM54" s="260" t="s">
        <v>126</v>
      </c>
      <c r="AN54" s="258">
        <f>MATCH(AR54,Festivals!$S$2:$S$180,0)</f>
        <v>64</v>
      </c>
      <c r="AO54" s="901">
        <f>INDEX(Festivals!$C$2:$C$180,AN54)</f>
        <v>43718</v>
      </c>
      <c r="AP54" s="901"/>
      <c r="AQ54" s="901"/>
      <c r="AR54" s="72" t="str">
        <f>Festivals!S65</f>
        <v>Sri Vamana Dvadasi: Appearance of Lord Vamanadeva</v>
      </c>
      <c r="AV54" s="261" t="s">
        <v>126</v>
      </c>
      <c r="AW54" s="258">
        <f>MATCH(BA54,Festivals!$S$2:$S$180,0)</f>
        <v>113</v>
      </c>
      <c r="AX54" s="901">
        <f>INDEX(Festivals!$C$2:$C$180,AW54)</f>
        <v>43806</v>
      </c>
      <c r="AY54" s="901"/>
      <c r="AZ54" s="901"/>
      <c r="BA54" s="72" t="str">
        <f>Festivals!S114</f>
        <v>Advent of Srimad Bhagavad-gita</v>
      </c>
    </row>
    <row r="55" spans="1:56" x14ac:dyDescent="0.2"/>
    <row r="56" spans="1:56" hidden="1" x14ac:dyDescent="0.2"/>
    <row r="57" spans="1:56" hidden="1" x14ac:dyDescent="0.2"/>
  </sheetData>
  <mergeCells count="119">
    <mergeCell ref="U1:AA1"/>
    <mergeCell ref="C3:I3"/>
    <mergeCell ref="L3:R3"/>
    <mergeCell ref="U3:AA3"/>
    <mergeCell ref="AJ3:AK3"/>
    <mergeCell ref="X37:AA37"/>
    <mergeCell ref="X19:AA19"/>
    <mergeCell ref="U21:AA21"/>
    <mergeCell ref="AJ21:AK21"/>
    <mergeCell ref="BB3:BC3"/>
    <mergeCell ref="X10:AA10"/>
    <mergeCell ref="C12:I12"/>
    <mergeCell ref="L12:R12"/>
    <mergeCell ref="U12:AA12"/>
    <mergeCell ref="AJ12:AK12"/>
    <mergeCell ref="AS12:AT12"/>
    <mergeCell ref="BB12:BC12"/>
    <mergeCell ref="AS3:AT3"/>
    <mergeCell ref="BB21:BC21"/>
    <mergeCell ref="X28:AA28"/>
    <mergeCell ref="C30:I30"/>
    <mergeCell ref="L30:R30"/>
    <mergeCell ref="U30:AA30"/>
    <mergeCell ref="AJ30:AK30"/>
    <mergeCell ref="AS30:AT30"/>
    <mergeCell ref="BB30:BC30"/>
    <mergeCell ref="AS21:AT21"/>
    <mergeCell ref="C21:I21"/>
    <mergeCell ref="L21:R21"/>
    <mergeCell ref="B40:C40"/>
    <mergeCell ref="K40:L40"/>
    <mergeCell ref="T40:U40"/>
    <mergeCell ref="B43:C43"/>
    <mergeCell ref="K43:L43"/>
    <mergeCell ref="T43:U43"/>
    <mergeCell ref="B41:C41"/>
    <mergeCell ref="K41:L41"/>
    <mergeCell ref="T41:U41"/>
    <mergeCell ref="B42:C42"/>
    <mergeCell ref="K42:L42"/>
    <mergeCell ref="T42:U42"/>
    <mergeCell ref="K49:L49"/>
    <mergeCell ref="T48:U48"/>
    <mergeCell ref="B46:C46"/>
    <mergeCell ref="K46:L46"/>
    <mergeCell ref="T46:U46"/>
    <mergeCell ref="B47:C47"/>
    <mergeCell ref="K47:L47"/>
    <mergeCell ref="T47:U47"/>
    <mergeCell ref="B44:C44"/>
    <mergeCell ref="K44:L44"/>
    <mergeCell ref="T44:U44"/>
    <mergeCell ref="B45:C45"/>
    <mergeCell ref="K45:L45"/>
    <mergeCell ref="T45:U45"/>
    <mergeCell ref="AF40:AH40"/>
    <mergeCell ref="AF41:AH41"/>
    <mergeCell ref="AF42:AH42"/>
    <mergeCell ref="AF43:AH43"/>
    <mergeCell ref="AF44:AH44"/>
    <mergeCell ref="B54:C54"/>
    <mergeCell ref="K54:L54"/>
    <mergeCell ref="T54:U54"/>
    <mergeCell ref="B52:C52"/>
    <mergeCell ref="K52:L52"/>
    <mergeCell ref="T52:U52"/>
    <mergeCell ref="B53:C53"/>
    <mergeCell ref="K53:L53"/>
    <mergeCell ref="T53:U53"/>
    <mergeCell ref="B50:C50"/>
    <mergeCell ref="K50:L50"/>
    <mergeCell ref="T50:U50"/>
    <mergeCell ref="B51:C51"/>
    <mergeCell ref="K51:L51"/>
    <mergeCell ref="T51:U51"/>
    <mergeCell ref="B48:C48"/>
    <mergeCell ref="K48:L48"/>
    <mergeCell ref="T49:U49"/>
    <mergeCell ref="B49:C49"/>
    <mergeCell ref="AF50:AH50"/>
    <mergeCell ref="AF51:AH51"/>
    <mergeCell ref="AF52:AH52"/>
    <mergeCell ref="AF53:AH53"/>
    <mergeCell ref="AF54:AH54"/>
    <mergeCell ref="AF45:AH45"/>
    <mergeCell ref="AF46:AH46"/>
    <mergeCell ref="AF47:AH47"/>
    <mergeCell ref="AF48:AH48"/>
    <mergeCell ref="AF49:AH49"/>
    <mergeCell ref="AO45:AQ45"/>
    <mergeCell ref="AO46:AQ46"/>
    <mergeCell ref="AO47:AQ47"/>
    <mergeCell ref="AO48:AQ48"/>
    <mergeCell ref="AO49:AQ49"/>
    <mergeCell ref="AO40:AQ40"/>
    <mergeCell ref="AO41:AQ41"/>
    <mergeCell ref="AO42:AQ42"/>
    <mergeCell ref="AO43:AQ43"/>
    <mergeCell ref="AO44:AQ44"/>
    <mergeCell ref="AO50:AQ50"/>
    <mergeCell ref="AO51:AQ51"/>
    <mergeCell ref="AO52:AQ52"/>
    <mergeCell ref="AO53:AQ53"/>
    <mergeCell ref="AX50:AZ50"/>
    <mergeCell ref="AX51:AZ51"/>
    <mergeCell ref="AX52:AZ52"/>
    <mergeCell ref="AX53:AZ53"/>
    <mergeCell ref="AO54:AQ54"/>
    <mergeCell ref="AX54:AZ54"/>
    <mergeCell ref="AX45:AZ45"/>
    <mergeCell ref="AX46:AZ46"/>
    <mergeCell ref="AX47:AZ47"/>
    <mergeCell ref="AX49:AZ49"/>
    <mergeCell ref="AX48:AZ48"/>
    <mergeCell ref="AX40:AZ40"/>
    <mergeCell ref="AX41:AZ41"/>
    <mergeCell ref="AX42:AZ42"/>
    <mergeCell ref="AX43:AZ43"/>
    <mergeCell ref="AX44:AZ44"/>
  </mergeCells>
  <conditionalFormatting sqref="C5:G10 I5:I10 H5:H9 L5:P10 R5:R10 Q5:Q9 U5:AA9 U10:X10 C14:I19 L14:R19 U14:AA18 C23:I28 L23:R28 U23:AA27 C32:I37 L32:R37 U32:AA36 U19:X19 U28:X28 U37:X37">
    <cfRule type="expression" dxfId="47" priority="2" stopIfTrue="1">
      <formula>AE5="H"</formula>
    </cfRule>
    <cfRule type="expression" dxfId="46" priority="21" stopIfTrue="1">
      <formula>AE5="E"</formula>
    </cfRule>
    <cfRule type="expression" dxfId="45" priority="22" stopIfTrue="1">
      <formula>AE5="C"</formula>
    </cfRule>
  </conditionalFormatting>
  <conditionalFormatting sqref="C5:I9 C10:D10 L5:R9 L10:M10 U5:AA9 U10:V10 C14:I18 C19:D19 L14:R18 L19:M19 U14:AA18 U19:V19 C23:I27 C28:D28 L23:R27 L28:M28 U23:AA27 U28:V28 C32:I36 C37:D37 L32:R36 L37:M37 U32:AA36 U37:V37">
    <cfRule type="expression" dxfId="44" priority="1" stopIfTrue="1">
      <formula>AE5="S"</formula>
    </cfRule>
  </conditionalFormatting>
  <conditionalFormatting sqref="C5:I9 C10:D10 L5:R9 L10:M10 U5:AA9 U10:V10 C14:I18 C19:D19 L14:R18 L19:M19 U14:AA18 U19:V19 C23:I27 C28:D28 L23:R27 L28:M28 U23:AA27 U28:V28 C32:I36 C37:D37 L32:R36 L37:M37 U32:AA36 U37:V37">
    <cfRule type="expression" dxfId="43" priority="4" stopIfTrue="1">
      <formula>AE5="K"</formula>
    </cfRule>
  </conditionalFormatting>
  <conditionalFormatting sqref="C5:I9 C10:D10 L5:R9 L10:M10 U5:AA9 U10:V10 C14:I18 C19:D19 L14:R18 L19:M19 U14:AA18 U19:V19 C23:I27 C28:D28 L23:R27 L28:M28 U23:AA27 U28:V28 C32:I36 C37:D37 L32:R36 L37:M37 U32:AA36 U37:V37">
    <cfRule type="expression" dxfId="42" priority="20" stopIfTrue="1">
      <formula>AE5="F"</formula>
    </cfRule>
  </conditionalFormatting>
  <conditionalFormatting sqref="C5:I9 C10:D10 L5:R9 L10:M10 U5:AA9 U10:V10 C14:I18 C19:D19 L14:R18 L19:M19 U14:AA18 U19:V19 C23:I27 C28:D28 L23:R27 L28:M28 U23:AA27 U28:V28 C32:I36 C37:D37 L32:R36 L37:M37 U32:AA36 U37:V37">
    <cfRule type="expression" dxfId="41" priority="3" stopIfTrue="1">
      <formula>AE5="P"</formula>
    </cfRule>
  </conditionalFormatting>
  <printOptions horizontalCentered="1"/>
  <pageMargins left="0.19685039370078741" right="0.19685039370078741" top="0.19685039370078741" bottom="0.19685039370078741" header="0.11811023622047245" footer="0.11811023622047245"/>
  <pageSetup paperSize="9" scale="93"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073" r:id="rId4" name="YearSelect2">
              <controlPr locked="0" defaultSize="0" print="0" autoPict="0">
                <anchor moveWithCells="1">
                  <from>
                    <xdr:col>18</xdr:col>
                    <xdr:colOff>85725</xdr:colOff>
                    <xdr:row>0</xdr:row>
                    <xdr:rowOff>85725</xdr:rowOff>
                  </from>
                  <to>
                    <xdr:col>19</xdr:col>
                    <xdr:colOff>152400</xdr:colOff>
                    <xdr:row>0</xdr:row>
                    <xdr:rowOff>504825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wksWeekLeft">
    <pageSetUpPr fitToPage="1"/>
  </sheetPr>
  <dimension ref="A1:AW61"/>
  <sheetViews>
    <sheetView showGridLines="0" showRowColHeaders="0" zoomScaleSheetLayoutView="100" workbookViewId="0">
      <selection sqref="A1:F2"/>
    </sheetView>
  </sheetViews>
  <sheetFormatPr defaultColWidth="0" defaultRowHeight="18" zeroHeight="1" x14ac:dyDescent="0.2"/>
  <cols>
    <col min="1" max="3" width="3.42578125" style="10" customWidth="1"/>
    <col min="4" max="4" width="4.5703125" style="10" customWidth="1"/>
    <col min="5" max="5" width="6.42578125" style="10" customWidth="1"/>
    <col min="6" max="6" width="4.5703125" style="10" customWidth="1"/>
    <col min="7" max="7" width="6.42578125" style="10" customWidth="1"/>
    <col min="8" max="8" width="4.5703125" style="10" customWidth="1"/>
    <col min="9" max="9" width="6.28515625" style="10" customWidth="1"/>
    <col min="10" max="10" width="3.42578125" style="10" customWidth="1"/>
    <col min="11" max="11" width="1" style="10" customWidth="1"/>
    <col min="12" max="12" width="10.7109375" style="10" customWidth="1"/>
    <col min="13" max="15" width="4.28515625" style="10" customWidth="1"/>
    <col min="16" max="16" width="1" style="10" customWidth="1"/>
    <col min="17" max="17" width="10.7109375" style="10" customWidth="1"/>
    <col min="18" max="20" width="4.28515625" style="10" customWidth="1"/>
    <col min="21" max="21" width="1" style="10" customWidth="1"/>
    <col min="22" max="22" width="4.140625" style="10" customWidth="1"/>
    <col min="23" max="23" width="0.42578125" style="10" customWidth="1"/>
    <col min="24" max="24" width="1.5703125" style="10" hidden="1" customWidth="1"/>
    <col min="25" max="26" width="6.42578125" style="10" hidden="1" customWidth="1"/>
    <col min="27" max="27" width="3.5703125" style="10" hidden="1" customWidth="1"/>
    <col min="28" max="28" width="2.85546875" style="10" hidden="1" customWidth="1"/>
    <col min="29" max="29" width="3.5703125" style="337" hidden="1" customWidth="1"/>
    <col min="30" max="31" width="3.5703125" style="219" hidden="1" customWidth="1"/>
    <col min="32" max="32" width="3.5703125" style="337" hidden="1" customWidth="1"/>
    <col min="33" max="33" width="2.85546875" style="10" hidden="1" customWidth="1"/>
    <col min="34" max="35" width="4.28515625" style="10" hidden="1" customWidth="1"/>
    <col min="36" max="36" width="9.140625" style="10" hidden="1" customWidth="1"/>
    <col min="37" max="37" width="2.85546875" style="10" hidden="1" customWidth="1"/>
    <col min="38" max="38" width="4.28515625" style="10" hidden="1" customWidth="1"/>
    <col min="39" max="42" width="2.85546875" style="10" hidden="1" customWidth="1"/>
    <col min="43" max="43" width="4.28515625" style="10" hidden="1" customWidth="1"/>
    <col min="44" max="44" width="2.85546875" style="10" hidden="1" customWidth="1"/>
    <col min="45" max="45" width="13.5703125" style="10" hidden="1" customWidth="1"/>
    <col min="46" max="47" width="11.85546875" style="10" hidden="1" customWidth="1"/>
    <col min="48" max="48" width="9.140625" style="10" hidden="1" customWidth="1"/>
    <col min="49" max="49" width="2.85546875" style="10" hidden="1" customWidth="1"/>
    <col min="50" max="16384" width="9.140625" style="10" hidden="1"/>
  </cols>
  <sheetData>
    <row r="1" spans="1:48" ht="18" customHeight="1" x14ac:dyDescent="0.2">
      <c r="A1" s="950" t="str">
        <f>IFERROR(AS6,"")</f>
        <v>2018/19</v>
      </c>
      <c r="B1" s="950"/>
      <c r="C1" s="950"/>
      <c r="D1" s="950"/>
      <c r="E1" s="950"/>
      <c r="F1" s="950"/>
      <c r="G1" s="951" t="str">
        <f ca="1">AS11</f>
        <v>Semana 53 /1</v>
      </c>
      <c r="H1" s="951"/>
      <c r="I1" s="951"/>
      <c r="J1" s="951"/>
      <c r="K1" s="506"/>
      <c r="L1" s="507" t="str">
        <f ca="1">'GCal-Week'!B29</f>
        <v>Segunda</v>
      </c>
      <c r="M1" s="935">
        <f>'GCal-Week'!A29</f>
        <v>43465</v>
      </c>
      <c r="N1" s="935"/>
      <c r="O1" s="506" t="str">
        <f ca="1">'GCal-Week'!AD29</f>
        <v>Ming</v>
      </c>
      <c r="P1" s="506"/>
      <c r="Q1" s="507" t="str">
        <f ca="1">'GCal-Week'!B30</f>
        <v>Terça</v>
      </c>
      <c r="R1" s="935">
        <f>'GCal-Week'!A30</f>
        <v>43466</v>
      </c>
      <c r="S1" s="935"/>
      <c r="T1" s="506" t="str">
        <f ca="1">'GCal-Week'!AD30</f>
        <v>Ming</v>
      </c>
      <c r="U1" s="506"/>
      <c r="V1" s="337"/>
      <c r="W1" s="337"/>
      <c r="X1" s="217"/>
      <c r="AC1" s="507" t="s">
        <v>657</v>
      </c>
      <c r="AD1" s="935">
        <v>-1</v>
      </c>
      <c r="AE1" s="935"/>
      <c r="AF1" s="506" t="s">
        <v>701</v>
      </c>
      <c r="AL1" s="608" t="str">
        <f ca="1">'GCal-Week'!AB29</f>
        <v/>
      </c>
      <c r="AQ1" s="608" t="str">
        <f ca="1">'GCal-Week'!AB30</f>
        <v>S</v>
      </c>
      <c r="AR1" s="610" t="s">
        <v>7630</v>
      </c>
    </row>
    <row r="2" spans="1:48" ht="18" customHeight="1" x14ac:dyDescent="0.2">
      <c r="A2" s="950"/>
      <c r="B2" s="950"/>
      <c r="C2" s="950"/>
      <c r="D2" s="950"/>
      <c r="E2" s="950"/>
      <c r="F2" s="950"/>
      <c r="G2" s="952" t="str">
        <f>AS9</f>
        <v>532 Gaurabda</v>
      </c>
      <c r="H2" s="952"/>
      <c r="I2" s="952"/>
      <c r="J2" s="952"/>
      <c r="K2" s="337"/>
      <c r="L2" s="502" t="str">
        <f>'GCal-Week'!Q29</f>
        <v>Krsna Paksa</v>
      </c>
      <c r="M2" s="935"/>
      <c r="N2" s="935"/>
      <c r="O2" s="708" t="str">
        <f ca="1">'GCal-Week'!AF29</f>
        <v></v>
      </c>
      <c r="P2" s="337"/>
      <c r="Q2" s="502" t="str">
        <f>'GCal-Week'!Q30</f>
        <v>Krsna Paksa</v>
      </c>
      <c r="R2" s="935"/>
      <c r="S2" s="935"/>
      <c r="T2" s="708" t="str">
        <f ca="1">'GCal-Week'!AF30</f>
        <v></v>
      </c>
      <c r="U2" s="337"/>
      <c r="V2" s="337"/>
      <c r="W2" s="337"/>
      <c r="X2" s="217"/>
      <c r="AC2" s="606" t="s">
        <v>7489</v>
      </c>
      <c r="AD2" s="935"/>
      <c r="AE2" s="935"/>
      <c r="AF2" s="396" t="s">
        <v>7125</v>
      </c>
      <c r="AL2" s="609" t="str">
        <f ca="1">L1</f>
        <v>Segunda</v>
      </c>
      <c r="AQ2" s="609" t="str">
        <f ca="1">Q1</f>
        <v>Terça</v>
      </c>
    </row>
    <row r="3" spans="1:48" ht="18" customHeight="1" x14ac:dyDescent="0.25">
      <c r="A3" s="954" t="str">
        <f ca="1">IFERROR(AS8,"")</f>
        <v>Dezembro / Janeiro</v>
      </c>
      <c r="B3" s="954"/>
      <c r="C3" s="954"/>
      <c r="D3" s="954"/>
      <c r="E3" s="954"/>
      <c r="F3" s="954"/>
      <c r="G3" s="953" t="str">
        <f>AS10</f>
        <v>Narayana Masa</v>
      </c>
      <c r="H3" s="953"/>
      <c r="I3" s="953"/>
      <c r="J3" s="944" t="str">
        <f ca="1">'GPlan-Translations'!C259</f>
        <v>Importante</v>
      </c>
      <c r="K3" s="337"/>
      <c r="L3" s="936" t="str">
        <f>'GCal-Week'!R29</f>
        <v>Dasami Tithi</v>
      </c>
      <c r="M3" s="936"/>
      <c r="N3" s="936"/>
      <c r="O3" s="501" t="str">
        <f ca="1">'GCal-Week'!AC29</f>
        <v/>
      </c>
      <c r="P3" s="337"/>
      <c r="Q3" s="936" t="str">
        <f>'GCal-Week'!R30</f>
        <v>Ekadasi Tithi</v>
      </c>
      <c r="R3" s="936"/>
      <c r="S3" s="936"/>
      <c r="T3" s="501" t="str">
        <f ca="1">'GCal-Week'!AC30</f>
        <v>*</v>
      </c>
      <c r="U3" s="337"/>
      <c r="V3" s="337"/>
      <c r="W3" s="337"/>
      <c r="X3" s="217"/>
      <c r="AC3" s="936" t="s">
        <v>7493</v>
      </c>
      <c r="AD3" s="936"/>
      <c r="AE3" s="936"/>
      <c r="AF3" s="501" t="s">
        <v>7560</v>
      </c>
    </row>
    <row r="4" spans="1:48" ht="19.5" customHeight="1" x14ac:dyDescent="0.2">
      <c r="A4" s="954"/>
      <c r="B4" s="954"/>
      <c r="C4" s="954"/>
      <c r="D4" s="954"/>
      <c r="E4" s="954"/>
      <c r="F4" s="954"/>
      <c r="G4" s="953"/>
      <c r="H4" s="953"/>
      <c r="I4" s="953"/>
      <c r="J4" s="944"/>
      <c r="K4" s="494"/>
      <c r="L4" s="938" t="e">
        <f ca="1">SUBSTITUTE('GCal-Week'!AK29,"|",CHAR(10))</f>
        <v>#VALUE!</v>
      </c>
      <c r="M4" s="938"/>
      <c r="N4" s="938"/>
      <c r="O4" s="938"/>
      <c r="P4" s="494"/>
      <c r="Q4" s="938" t="e">
        <f ca="1">SUBSTITUTE('GCal-Week'!AK30,"|",CHAR(10))</f>
        <v>#VALUE!</v>
      </c>
      <c r="R4" s="938"/>
      <c r="S4" s="938"/>
      <c r="T4" s="938"/>
      <c r="U4" s="494"/>
      <c r="V4" s="337"/>
      <c r="W4" s="337"/>
      <c r="X4" s="217"/>
      <c r="AC4" s="938" t="s">
        <v>7560</v>
      </c>
      <c r="AD4" s="938"/>
      <c r="AE4" s="938"/>
      <c r="AF4" s="938"/>
      <c r="AT4" s="448" t="s">
        <v>655</v>
      </c>
      <c r="AU4" s="448" t="s">
        <v>679</v>
      </c>
    </row>
    <row r="5" spans="1:48" ht="19.5" customHeight="1" thickBot="1" x14ac:dyDescent="0.25">
      <c r="A5" s="832"/>
      <c r="B5" s="833" t="str">
        <f xml:space="preserve"> TEXT(L55,"hh:mm")</f>
        <v>03:28</v>
      </c>
      <c r="C5" s="831"/>
      <c r="D5" s="833"/>
      <c r="E5" s="833" t="str">
        <f>TEXT(L56,"hh:mm")</f>
        <v>05:04</v>
      </c>
      <c r="F5" s="833"/>
      <c r="G5" s="833" t="str">
        <f>TEXT(L57,"hh:mm")</f>
        <v>11:22</v>
      </c>
      <c r="H5" s="833"/>
      <c r="I5" s="832" t="str">
        <f>TEXT(L58,"hh:mm")</f>
        <v>17:40</v>
      </c>
      <c r="J5" s="944"/>
      <c r="K5" s="494"/>
      <c r="L5" s="939"/>
      <c r="M5" s="939"/>
      <c r="N5" s="939"/>
      <c r="O5" s="939"/>
      <c r="P5" s="494"/>
      <c r="Q5" s="939"/>
      <c r="R5" s="939"/>
      <c r="S5" s="939"/>
      <c r="T5" s="939"/>
      <c r="U5" s="494"/>
      <c r="V5" s="337"/>
      <c r="W5" s="337"/>
      <c r="X5" s="217"/>
      <c r="Y5" s="499">
        <f>Parameters!B20</f>
        <v>1</v>
      </c>
      <c r="Z5" s="254" t="s">
        <v>7620</v>
      </c>
      <c r="AA5" s="219"/>
      <c r="AC5" s="939"/>
      <c r="AD5" s="939"/>
      <c r="AE5" s="939"/>
      <c r="AF5" s="939"/>
      <c r="AS5" s="72"/>
      <c r="AT5" s="500">
        <f>M1</f>
        <v>43465</v>
      </c>
      <c r="AU5" s="500">
        <f>M1+6</f>
        <v>43471</v>
      </c>
      <c r="AV5" s="448" t="s">
        <v>1240</v>
      </c>
    </row>
    <row r="6" spans="1:48" ht="19.5" customHeight="1" thickBot="1" x14ac:dyDescent="0.25">
      <c r="A6" s="924" t="str">
        <f ca="1">'GPlan-Translations'!C254</f>
        <v>Aperfeiçoamento Pessoal</v>
      </c>
      <c r="B6" s="925"/>
      <c r="C6" s="925"/>
      <c r="D6" s="925"/>
      <c r="E6" s="925"/>
      <c r="F6" s="925"/>
      <c r="G6" s="925"/>
      <c r="H6" s="925"/>
      <c r="I6" s="926"/>
      <c r="J6" s="944"/>
      <c r="K6" s="494"/>
      <c r="L6" s="939"/>
      <c r="M6" s="939"/>
      <c r="N6" s="939"/>
      <c r="O6" s="939"/>
      <c r="P6" s="494"/>
      <c r="Q6" s="939"/>
      <c r="R6" s="939"/>
      <c r="S6" s="939"/>
      <c r="T6" s="939"/>
      <c r="U6" s="494"/>
      <c r="V6" s="337"/>
      <c r="W6" s="337"/>
      <c r="X6" s="217"/>
      <c r="AC6" s="939"/>
      <c r="AD6" s="939"/>
      <c r="AE6" s="939"/>
      <c r="AF6" s="939"/>
      <c r="AS6" s="483" t="str">
        <f>IF(AT6=AU6,AT6,AT6 &amp; "/" &amp; RIGHT(AU6,2))</f>
        <v>2018/19</v>
      </c>
      <c r="AT6" s="499">
        <f>YEAR(AT5)</f>
        <v>2018</v>
      </c>
      <c r="AU6" s="499">
        <f>YEAR(AU5)</f>
        <v>2019</v>
      </c>
      <c r="AV6" s="448" t="s">
        <v>172</v>
      </c>
    </row>
    <row r="7" spans="1:48" ht="19.5" customHeight="1" x14ac:dyDescent="0.2">
      <c r="A7" s="947" t="str">
        <f ca="1">'GPlan-Translations'!C255</f>
        <v>Espiritual</v>
      </c>
      <c r="B7" s="948"/>
      <c r="C7" s="948"/>
      <c r="D7" s="498"/>
      <c r="E7" s="498"/>
      <c r="F7" s="498"/>
      <c r="G7" s="498"/>
      <c r="H7" s="498"/>
      <c r="I7" s="470"/>
      <c r="J7" s="944"/>
      <c r="K7" s="452" t="str">
        <f t="shared" ref="K7:K53" si="0">IF(OR(AND(L$55&gt;$Y7,L$55&lt;$Z7),AND(L$56&gt;$Y7,L$56&lt;$Z7),AND(L$57&gt; $Y7,L$57&lt;$Z7),AND(L$58&gt; $Y7,L$58&lt;$Z7)),"*","")</f>
        <v/>
      </c>
      <c r="L7" s="939"/>
      <c r="M7" s="939"/>
      <c r="N7" s="939"/>
      <c r="O7" s="939"/>
      <c r="P7" s="452" t="str">
        <f t="shared" ref="P7:P53" si="1">IF(OR(AND(Q$55&gt;$Y7,Q$55&lt;$Z7),AND(Q$56&gt;$Y7,Q$56&lt;$Z7),AND(Q$57&gt; $Y7,Q$57&lt;$Z7),AND(Q$58&gt; $Y7,Q$58&lt;$Z7)),"*","")</f>
        <v/>
      </c>
      <c r="Q7" s="939"/>
      <c r="R7" s="939"/>
      <c r="S7" s="939"/>
      <c r="T7" s="939"/>
      <c r="U7" s="494"/>
      <c r="V7" s="337"/>
      <c r="W7" s="337"/>
      <c r="X7" s="217"/>
      <c r="Y7" s="510">
        <f xml:space="preserve"> TIME($AA7-1,45,0)</f>
        <v>7.2916666666666671E-2</v>
      </c>
      <c r="Z7" s="510">
        <f>TIME($AA7,15,0)</f>
        <v>9.375E-2</v>
      </c>
      <c r="AA7" s="10">
        <f>AA9-1</f>
        <v>2</v>
      </c>
      <c r="AC7" s="939"/>
      <c r="AD7" s="939"/>
      <c r="AE7" s="939"/>
      <c r="AF7" s="939"/>
      <c r="AH7" s="65" t="s">
        <v>7629</v>
      </c>
      <c r="AI7" s="57" t="s">
        <v>1236</v>
      </c>
      <c r="AS7" s="448"/>
      <c r="AT7" s="499">
        <f>MONTH(AT5)</f>
        <v>12</v>
      </c>
      <c r="AU7" s="499">
        <f>MONTH(AU5)</f>
        <v>1</v>
      </c>
      <c r="AV7" s="448" t="s">
        <v>1236</v>
      </c>
    </row>
    <row r="8" spans="1:48" ht="19.5" customHeight="1" x14ac:dyDescent="0.2">
      <c r="A8" s="942" t="str">
        <f ca="1">'GPlan-Translations'!C256</f>
        <v>Emocional</v>
      </c>
      <c r="B8" s="943"/>
      <c r="C8" s="943"/>
      <c r="D8" s="497"/>
      <c r="E8" s="834"/>
      <c r="F8" s="834"/>
      <c r="G8" s="834"/>
      <c r="H8" s="834"/>
      <c r="I8" s="453"/>
      <c r="J8" s="944"/>
      <c r="K8" s="452" t="str">
        <f t="shared" si="0"/>
        <v/>
      </c>
      <c r="L8" s="939"/>
      <c r="M8" s="939"/>
      <c r="N8" s="939"/>
      <c r="O8" s="939"/>
      <c r="P8" s="452" t="str">
        <f t="shared" si="1"/>
        <v/>
      </c>
      <c r="Q8" s="939"/>
      <c r="R8" s="939"/>
      <c r="S8" s="939"/>
      <c r="T8" s="939"/>
      <c r="U8" s="494"/>
      <c r="V8" s="337"/>
      <c r="W8" s="337"/>
      <c r="X8" s="217"/>
      <c r="Y8" s="510">
        <f xml:space="preserve"> TIME($AA7,15,0)</f>
        <v>9.375E-2</v>
      </c>
      <c r="Z8" s="510">
        <f>TIME($AA7,45,0)</f>
        <v>0.11458333333333333</v>
      </c>
      <c r="AC8" s="939"/>
      <c r="AD8" s="939"/>
      <c r="AE8" s="939"/>
      <c r="AF8" s="939"/>
      <c r="AH8" s="504">
        <v>1</v>
      </c>
      <c r="AI8" s="503" t="str">
        <f ca="1">'GPlan-Translations'!C226</f>
        <v>Janeiro</v>
      </c>
      <c r="AS8" s="499" t="str">
        <f ca="1">IF(AT8=AU8,AT8,AT8 &amp; " / " &amp; AU8)</f>
        <v>Dezembro / Janeiro</v>
      </c>
      <c r="AT8" s="499" t="str">
        <f ca="1">VLOOKUP(AT7,$AH$8:$AI$19,2,FALSE)</f>
        <v>Dezembro</v>
      </c>
      <c r="AU8" s="499" t="str">
        <f ca="1">VLOOKUP(AU7,$AH$8:$AI$19,2,FALSE)</f>
        <v>Janeiro</v>
      </c>
      <c r="AV8" s="448" t="s">
        <v>7616</v>
      </c>
    </row>
    <row r="9" spans="1:48" ht="19.5" customHeight="1" x14ac:dyDescent="0.2">
      <c r="A9" s="942" t="str">
        <f ca="1">'GPlan-Translations'!C257</f>
        <v>Intelectual</v>
      </c>
      <c r="B9" s="943"/>
      <c r="C9" s="943"/>
      <c r="D9" s="497"/>
      <c r="E9" s="834"/>
      <c r="F9" s="834"/>
      <c r="G9" s="834"/>
      <c r="H9" s="834"/>
      <c r="I9" s="453"/>
      <c r="J9" s="944"/>
      <c r="K9" s="452" t="str">
        <f t="shared" si="0"/>
        <v/>
      </c>
      <c r="L9" s="939"/>
      <c r="M9" s="939"/>
      <c r="N9" s="939"/>
      <c r="O9" s="939"/>
      <c r="P9" s="452" t="str">
        <f t="shared" si="1"/>
        <v/>
      </c>
      <c r="Q9" s="939"/>
      <c r="R9" s="939"/>
      <c r="S9" s="939"/>
      <c r="T9" s="939"/>
      <c r="U9" s="494"/>
      <c r="V9" s="337"/>
      <c r="W9" s="337"/>
      <c r="X9" s="217"/>
      <c r="Y9" s="510">
        <f xml:space="preserve"> TIME($AA9-1,45,0)</f>
        <v>0.11458333333333333</v>
      </c>
      <c r="Z9" s="510">
        <f>TIME($AA9,15,0)</f>
        <v>0.13541666666666666</v>
      </c>
      <c r="AA9" s="10">
        <f>J11-1</f>
        <v>3</v>
      </c>
      <c r="AC9" s="939"/>
      <c r="AD9" s="939"/>
      <c r="AE9" s="939"/>
      <c r="AF9" s="939"/>
      <c r="AH9" s="493">
        <v>2</v>
      </c>
      <c r="AI9" s="492" t="str">
        <f ca="1">'GPlan-Translations'!C227</f>
        <v>Fevereiro</v>
      </c>
      <c r="AS9" s="607" t="str">
        <f>IF(AT9&lt;&gt;AU9,AT9 &amp; " / " &amp; AU9,AT9) &amp; " Gaurabda"</f>
        <v>532 Gaurabda</v>
      </c>
      <c r="AT9" s="499">
        <f>'GCal-Week'!O29</f>
        <v>532</v>
      </c>
      <c r="AU9" s="499">
        <f>'GCal-Week'!O35</f>
        <v>532</v>
      </c>
      <c r="AV9" s="448" t="s">
        <v>7615</v>
      </c>
    </row>
    <row r="10" spans="1:48" ht="19.5" customHeight="1" thickBot="1" x14ac:dyDescent="0.25">
      <c r="A10" s="945" t="str">
        <f ca="1">'GPlan-Translations'!C258</f>
        <v>Físico</v>
      </c>
      <c r="B10" s="946"/>
      <c r="C10" s="946"/>
      <c r="D10" s="495"/>
      <c r="E10" s="835"/>
      <c r="F10" s="835"/>
      <c r="G10" s="835"/>
      <c r="H10" s="835"/>
      <c r="I10" s="459"/>
      <c r="J10" s="944"/>
      <c r="K10" s="452" t="str">
        <f t="shared" si="0"/>
        <v>*</v>
      </c>
      <c r="L10" s="940"/>
      <c r="M10" s="940"/>
      <c r="N10" s="940"/>
      <c r="O10" s="940"/>
      <c r="P10" s="452" t="str">
        <f t="shared" si="1"/>
        <v>*</v>
      </c>
      <c r="Q10" s="940"/>
      <c r="R10" s="940"/>
      <c r="S10" s="940"/>
      <c r="T10" s="940"/>
      <c r="U10" s="494"/>
      <c r="V10" s="337"/>
      <c r="W10" s="337"/>
      <c r="X10" s="217"/>
      <c r="Y10" s="510">
        <f xml:space="preserve"> TIME($AA9,15,0)</f>
        <v>0.13541666666666666</v>
      </c>
      <c r="Z10" s="510">
        <f>TIME($AA9,45,0)</f>
        <v>0.15625</v>
      </c>
      <c r="AC10" s="940"/>
      <c r="AD10" s="940"/>
      <c r="AE10" s="940"/>
      <c r="AF10" s="940"/>
      <c r="AH10" s="493">
        <v>3</v>
      </c>
      <c r="AI10" s="492" t="str">
        <f ca="1">'GPlan-Translations'!C228</f>
        <v>Março</v>
      </c>
      <c r="AS10" s="607" t="str">
        <f>IF(AT10&lt;&gt;AU10,AT10 &amp; " / " &amp; AU10,AT10) &amp; " Masa"</f>
        <v>Narayana Masa</v>
      </c>
      <c r="AT10" s="499" t="str">
        <f>'GCal-Week'!P29</f>
        <v>Narayana</v>
      </c>
      <c r="AU10" s="499" t="str">
        <f>'GCal-Week'!P35</f>
        <v>Narayana</v>
      </c>
      <c r="AV10" s="448" t="s">
        <v>7490</v>
      </c>
    </row>
    <row r="11" spans="1:48" ht="18" customHeight="1" thickBot="1" x14ac:dyDescent="0.25">
      <c r="A11" s="924" t="str">
        <f ca="1">'GPlan-Translations'!C260</f>
        <v>Áreas</v>
      </c>
      <c r="B11" s="925"/>
      <c r="C11" s="925"/>
      <c r="D11" s="924" t="str">
        <f ca="1">'GPlan-Translations'!C261</f>
        <v>Objetivos</v>
      </c>
      <c r="E11" s="925"/>
      <c r="F11" s="925"/>
      <c r="G11" s="925"/>
      <c r="H11" s="925"/>
      <c r="I11" s="926"/>
      <c r="J11" s="393" t="str">
        <f>Opções!R18</f>
        <v>4</v>
      </c>
      <c r="K11" s="452" t="str">
        <f t="shared" si="0"/>
        <v/>
      </c>
      <c r="L11" s="929" t="str">
        <f ca="1">'GCal-Week'!J29</f>
        <v/>
      </c>
      <c r="M11" s="929"/>
      <c r="N11" s="929"/>
      <c r="O11" s="929"/>
      <c r="P11" s="452" t="str">
        <f t="shared" si="1"/>
        <v/>
      </c>
      <c r="Q11" s="929" t="str">
        <f ca="1">'GCal-Week'!J30</f>
        <v/>
      </c>
      <c r="R11" s="929"/>
      <c r="S11" s="929"/>
      <c r="T11" s="929"/>
      <c r="V11" s="337"/>
      <c r="W11" s="337"/>
      <c r="X11" s="217"/>
      <c r="Y11" s="510">
        <f xml:space="preserve"> TIME($J11-1,45,0)</f>
        <v>0.15625</v>
      </c>
      <c r="Z11" s="510">
        <f>TIME($J11,15,0)</f>
        <v>0.17708333333333334</v>
      </c>
      <c r="AC11" s="941" t="s">
        <v>7560</v>
      </c>
      <c r="AD11" s="941"/>
      <c r="AE11" s="941"/>
      <c r="AF11" s="458"/>
      <c r="AH11" s="493">
        <v>4</v>
      </c>
      <c r="AI11" s="492" t="str">
        <f ca="1">'GPlan-Translations'!C229</f>
        <v>Abril</v>
      </c>
      <c r="AQ11" s="219"/>
      <c r="AS11" s="482" t="str">
        <f ca="1">'GPlan-Translations'!C253 &amp; " " &amp; AT11</f>
        <v>Semana 53 /1</v>
      </c>
      <c r="AT11" s="482" t="str">
        <f>IF(AT6&lt;AU6,"53 /1",IF(AU11=54,2,IF(AU11=55,3,AU11)))</f>
        <v>53 /1</v>
      </c>
      <c r="AU11" s="271">
        <f>Parameters!B20</f>
        <v>1</v>
      </c>
      <c r="AV11" s="254" t="s">
        <v>1400</v>
      </c>
    </row>
    <row r="12" spans="1:48" x14ac:dyDescent="0.2">
      <c r="A12" s="469"/>
      <c r="B12" s="337"/>
      <c r="C12" s="468"/>
      <c r="D12" s="471"/>
      <c r="E12" s="473"/>
      <c r="F12" s="473"/>
      <c r="G12" s="473"/>
      <c r="H12" s="473"/>
      <c r="I12" s="470"/>
      <c r="J12" s="254"/>
      <c r="K12" s="452" t="str">
        <f t="shared" si="0"/>
        <v/>
      </c>
      <c r="L12" s="928" t="str">
        <f ca="1">'GCal-Week'!K29</f>
        <v/>
      </c>
      <c r="M12" s="928"/>
      <c r="N12" s="928"/>
      <c r="O12" s="928"/>
      <c r="P12" s="452" t="str">
        <f t="shared" si="1"/>
        <v/>
      </c>
      <c r="Q12" s="928" t="str">
        <f ca="1">'GCal-Week'!K30</f>
        <v/>
      </c>
      <c r="R12" s="928"/>
      <c r="S12" s="928"/>
      <c r="T12" s="928"/>
      <c r="V12" s="337"/>
      <c r="W12" s="337"/>
      <c r="X12" s="217"/>
      <c r="Y12" s="510">
        <f xml:space="preserve"> TIME($J11,15,0)</f>
        <v>0.17708333333333334</v>
      </c>
      <c r="Z12" s="510">
        <f>TIME($J11,45,0)</f>
        <v>0.19791666666666666</v>
      </c>
      <c r="AC12" s="930" t="s">
        <v>7560</v>
      </c>
      <c r="AD12" s="930"/>
      <c r="AE12" s="930"/>
      <c r="AF12" s="458"/>
      <c r="AH12" s="493">
        <v>5</v>
      </c>
      <c r="AI12" s="492" t="str">
        <f ca="1">'GPlan-Translations'!C230</f>
        <v>Maio</v>
      </c>
    </row>
    <row r="13" spans="1:48" x14ac:dyDescent="0.2">
      <c r="A13" s="469"/>
      <c r="B13" s="337"/>
      <c r="C13" s="468"/>
      <c r="D13" s="454"/>
      <c r="E13" s="836"/>
      <c r="F13" s="836"/>
      <c r="G13" s="836"/>
      <c r="H13" s="836"/>
      <c r="I13" s="453"/>
      <c r="J13" s="254">
        <f>J11+1</f>
        <v>5</v>
      </c>
      <c r="K13" s="452" t="str">
        <f t="shared" si="0"/>
        <v>*</v>
      </c>
      <c r="L13" s="928" t="str">
        <f ca="1">'GCal-Week'!L29</f>
        <v/>
      </c>
      <c r="M13" s="928"/>
      <c r="N13" s="928"/>
      <c r="O13" s="928"/>
      <c r="P13" s="452" t="str">
        <f t="shared" si="1"/>
        <v>*</v>
      </c>
      <c r="Q13" s="928" t="str">
        <f ca="1">'GCal-Week'!L30</f>
        <v/>
      </c>
      <c r="R13" s="928"/>
      <c r="S13" s="928"/>
      <c r="T13" s="928"/>
      <c r="V13" s="337"/>
      <c r="W13" s="337"/>
      <c r="X13" s="217"/>
      <c r="Y13" s="510">
        <f xml:space="preserve"> TIME($J13-1,45,0)</f>
        <v>0.19791666666666666</v>
      </c>
      <c r="Z13" s="510">
        <f>TIME($J13,15,0)</f>
        <v>0.21875</v>
      </c>
      <c r="AC13" s="930" t="s">
        <v>7560</v>
      </c>
      <c r="AD13" s="930"/>
      <c r="AE13" s="930"/>
      <c r="AF13" s="458"/>
      <c r="AH13" s="493">
        <v>6</v>
      </c>
      <c r="AI13" s="492" t="str">
        <f ca="1">'GPlan-Translations'!C231</f>
        <v>Junho</v>
      </c>
    </row>
    <row r="14" spans="1:48" x14ac:dyDescent="0.2">
      <c r="A14" s="469"/>
      <c r="B14" s="337"/>
      <c r="C14" s="468"/>
      <c r="D14" s="454"/>
      <c r="E14" s="836"/>
      <c r="F14" s="836"/>
      <c r="G14" s="836"/>
      <c r="H14" s="836"/>
      <c r="I14" s="453"/>
      <c r="J14" s="254"/>
      <c r="K14" s="452" t="str">
        <f t="shared" si="0"/>
        <v/>
      </c>
      <c r="L14" s="928" t="str">
        <f ca="1">'GCal-Week'!M29</f>
        <v/>
      </c>
      <c r="M14" s="928"/>
      <c r="N14" s="928"/>
      <c r="O14" s="928"/>
      <c r="P14" s="452" t="str">
        <f t="shared" si="1"/>
        <v/>
      </c>
      <c r="Q14" s="928" t="str">
        <f ca="1">'GCal-Week'!M30</f>
        <v/>
      </c>
      <c r="R14" s="928"/>
      <c r="S14" s="928"/>
      <c r="T14" s="928"/>
      <c r="V14" s="337"/>
      <c r="W14" s="337"/>
      <c r="X14" s="217"/>
      <c r="Y14" s="510">
        <f xml:space="preserve"> TIME($J13,15,0)</f>
        <v>0.21875</v>
      </c>
      <c r="Z14" s="510">
        <f>TIME($J13,45,0)</f>
        <v>0.23958333333333334</v>
      </c>
      <c r="AC14" s="930" t="s">
        <v>7560</v>
      </c>
      <c r="AD14" s="930"/>
      <c r="AE14" s="930"/>
      <c r="AF14" s="458"/>
      <c r="AH14" s="493">
        <v>7</v>
      </c>
      <c r="AI14" s="492" t="str">
        <f ca="1">'GPlan-Translations'!C232</f>
        <v>Julho</v>
      </c>
    </row>
    <row r="15" spans="1:48" x14ac:dyDescent="0.2">
      <c r="A15" s="469"/>
      <c r="B15" s="337"/>
      <c r="C15" s="468"/>
      <c r="D15" s="454"/>
      <c r="E15" s="836"/>
      <c r="F15" s="836"/>
      <c r="G15" s="836"/>
      <c r="H15" s="836"/>
      <c r="I15" s="453"/>
      <c r="J15" s="254">
        <f>J13+1</f>
        <v>6</v>
      </c>
      <c r="K15" s="452" t="str">
        <f t="shared" si="0"/>
        <v/>
      </c>
      <c r="L15" s="457"/>
      <c r="M15" s="456"/>
      <c r="N15" s="456"/>
      <c r="O15" s="458"/>
      <c r="P15" s="452" t="str">
        <f t="shared" si="1"/>
        <v/>
      </c>
      <c r="Q15" s="457"/>
      <c r="R15" s="456"/>
      <c r="S15" s="456"/>
      <c r="T15" s="458"/>
      <c r="V15" s="337"/>
      <c r="W15" s="337"/>
      <c r="X15" s="217"/>
      <c r="Y15" s="510">
        <f xml:space="preserve"> TIME($J15-1,45,0)</f>
        <v>0.23958333333333334</v>
      </c>
      <c r="Z15" s="510">
        <f>TIME($J15,15,0)</f>
        <v>0.26041666666666669</v>
      </c>
      <c r="AC15" s="930"/>
      <c r="AD15" s="930"/>
      <c r="AE15" s="930"/>
      <c r="AF15" s="458"/>
      <c r="AH15" s="493">
        <v>8</v>
      </c>
      <c r="AI15" s="492" t="str">
        <f ca="1">'GPlan-Translations'!C233</f>
        <v>Agosto</v>
      </c>
    </row>
    <row r="16" spans="1:48" ht="18" customHeight="1" thickBot="1" x14ac:dyDescent="0.25">
      <c r="A16" s="469"/>
      <c r="B16" s="337"/>
      <c r="C16" s="468"/>
      <c r="D16" s="460"/>
      <c r="E16" s="837"/>
      <c r="F16" s="837"/>
      <c r="G16" s="837"/>
      <c r="H16" s="837"/>
      <c r="I16" s="459"/>
      <c r="J16" s="254"/>
      <c r="K16" s="452" t="str">
        <f t="shared" si="0"/>
        <v/>
      </c>
      <c r="L16" s="457"/>
      <c r="M16" s="456"/>
      <c r="N16" s="456"/>
      <c r="O16" s="458"/>
      <c r="P16" s="452" t="str">
        <f t="shared" si="1"/>
        <v/>
      </c>
      <c r="Q16" s="457"/>
      <c r="R16" s="456"/>
      <c r="S16" s="456"/>
      <c r="T16" s="458"/>
      <c r="V16" s="337"/>
      <c r="W16" s="337"/>
      <c r="X16" s="217"/>
      <c r="Y16" s="510">
        <f xml:space="preserve"> TIME($J15,15,0)</f>
        <v>0.26041666666666669</v>
      </c>
      <c r="Z16" s="510">
        <f>TIME($J15,45,0)</f>
        <v>0.28125</v>
      </c>
      <c r="AC16" s="930" t="s">
        <v>7560</v>
      </c>
      <c r="AD16" s="930" t="s">
        <v>7560</v>
      </c>
      <c r="AE16" s="930" t="s">
        <v>7560</v>
      </c>
      <c r="AF16" s="458"/>
      <c r="AH16" s="493">
        <v>9</v>
      </c>
      <c r="AI16" s="492" t="str">
        <f ca="1">'GPlan-Translations'!C234</f>
        <v>Setembro</v>
      </c>
    </row>
    <row r="17" spans="1:43" x14ac:dyDescent="0.2">
      <c r="A17" s="488"/>
      <c r="B17" s="487"/>
      <c r="C17" s="486"/>
      <c r="D17" s="485"/>
      <c r="E17" s="642"/>
      <c r="F17" s="642"/>
      <c r="G17" s="642"/>
      <c r="H17" s="642"/>
      <c r="I17" s="484"/>
      <c r="J17" s="254">
        <f>J15+1</f>
        <v>7</v>
      </c>
      <c r="K17" s="452" t="str">
        <f t="shared" si="0"/>
        <v/>
      </c>
      <c r="L17" s="457"/>
      <c r="M17" s="456"/>
      <c r="N17" s="456"/>
      <c r="O17" s="458"/>
      <c r="P17" s="452" t="str">
        <f t="shared" si="1"/>
        <v/>
      </c>
      <c r="Q17" s="457"/>
      <c r="R17" s="456"/>
      <c r="S17" s="456"/>
      <c r="T17" s="458"/>
      <c r="V17" s="337"/>
      <c r="W17" s="337"/>
      <c r="X17" s="217"/>
      <c r="Y17" s="510">
        <f xml:space="preserve"> TIME($J17-1,45,0)</f>
        <v>0.28125</v>
      </c>
      <c r="Z17" s="510">
        <f>TIME($J17,15,0)</f>
        <v>0.30208333333333331</v>
      </c>
      <c r="AC17" s="930" t="s">
        <v>7560</v>
      </c>
      <c r="AD17" s="930"/>
      <c r="AE17" s="930"/>
      <c r="AF17" s="458"/>
      <c r="AH17" s="493">
        <v>10</v>
      </c>
      <c r="AI17" s="492" t="str">
        <f ca="1">'GPlan-Translations'!C235</f>
        <v>Outubro</v>
      </c>
    </row>
    <row r="18" spans="1:43" x14ac:dyDescent="0.2">
      <c r="A18" s="598"/>
      <c r="B18" s="337"/>
      <c r="C18" s="604"/>
      <c r="D18" s="454"/>
      <c r="E18" s="836"/>
      <c r="F18" s="836"/>
      <c r="G18" s="836"/>
      <c r="H18" s="836"/>
      <c r="I18" s="453"/>
      <c r="J18" s="254"/>
      <c r="K18" s="452" t="str">
        <f t="shared" si="0"/>
        <v/>
      </c>
      <c r="L18" s="457"/>
      <c r="M18" s="456"/>
      <c r="N18" s="456"/>
      <c r="O18" s="458"/>
      <c r="P18" s="452" t="str">
        <f t="shared" si="1"/>
        <v/>
      </c>
      <c r="Q18" s="457"/>
      <c r="R18" s="456"/>
      <c r="S18" s="456"/>
      <c r="T18" s="458"/>
      <c r="V18" s="337"/>
      <c r="W18" s="337"/>
      <c r="X18" s="217"/>
      <c r="Y18" s="510">
        <f xml:space="preserve"> TIME($J17,15,0)</f>
        <v>0.30208333333333331</v>
      </c>
      <c r="Z18" s="510">
        <f>TIME($J17,45,0)</f>
        <v>0.32291666666666669</v>
      </c>
      <c r="AA18" s="219"/>
      <c r="AC18" s="930" t="s">
        <v>7560</v>
      </c>
      <c r="AD18" s="930"/>
      <c r="AE18" s="930"/>
      <c r="AF18" s="458"/>
      <c r="AH18" s="493">
        <v>11</v>
      </c>
      <c r="AI18" s="492" t="str">
        <f ca="1">'GPlan-Translations'!C236</f>
        <v>Novembro</v>
      </c>
    </row>
    <row r="19" spans="1:43" ht="19.5" customHeight="1" x14ac:dyDescent="0.2">
      <c r="A19" s="598"/>
      <c r="B19" s="337"/>
      <c r="C19" s="604"/>
      <c r="D19" s="454"/>
      <c r="E19" s="836"/>
      <c r="F19" s="836"/>
      <c r="G19" s="836"/>
      <c r="H19" s="836"/>
      <c r="I19" s="646"/>
      <c r="J19" s="254">
        <f>J17+1</f>
        <v>8</v>
      </c>
      <c r="K19" s="452" t="str">
        <f t="shared" si="0"/>
        <v/>
      </c>
      <c r="L19" s="457"/>
      <c r="M19" s="456"/>
      <c r="N19" s="456"/>
      <c r="O19" s="458"/>
      <c r="P19" s="452" t="str">
        <f t="shared" si="1"/>
        <v/>
      </c>
      <c r="Q19" s="457"/>
      <c r="R19" s="456"/>
      <c r="S19" s="456"/>
      <c r="T19" s="458"/>
      <c r="V19" s="337"/>
      <c r="W19" s="337"/>
      <c r="X19" s="217"/>
      <c r="Y19" s="510">
        <f xml:space="preserve"> TIME($J19-1,45,0)</f>
        <v>0.32291666666666669</v>
      </c>
      <c r="Z19" s="510">
        <f>TIME($J19,15,0)</f>
        <v>0.34375</v>
      </c>
      <c r="AA19" s="219"/>
      <c r="AC19" s="927" t="s">
        <v>7560</v>
      </c>
      <c r="AD19" s="927"/>
      <c r="AE19" s="927"/>
      <c r="AF19" s="458"/>
      <c r="AH19" s="491">
        <v>12</v>
      </c>
      <c r="AI19" s="490" t="str">
        <f ca="1">'GPlan-Translations'!C237</f>
        <v>Dezembro</v>
      </c>
    </row>
    <row r="20" spans="1:43" x14ac:dyDescent="0.2">
      <c r="A20" s="598"/>
      <c r="B20" s="337"/>
      <c r="C20" s="604"/>
      <c r="D20" s="454"/>
      <c r="E20" s="836"/>
      <c r="F20" s="836"/>
      <c r="G20" s="836"/>
      <c r="H20" s="836"/>
      <c r="I20" s="453"/>
      <c r="J20" s="254"/>
      <c r="K20" s="452" t="str">
        <f t="shared" si="0"/>
        <v/>
      </c>
      <c r="L20" s="457"/>
      <c r="M20" s="456"/>
      <c r="N20" s="456"/>
      <c r="O20" s="458"/>
      <c r="P20" s="452" t="str">
        <f t="shared" si="1"/>
        <v/>
      </c>
      <c r="Q20" s="457"/>
      <c r="R20" s="456"/>
      <c r="S20" s="456"/>
      <c r="T20" s="458"/>
      <c r="V20" s="337"/>
      <c r="W20" s="337"/>
      <c r="X20" s="217"/>
      <c r="Y20" s="510">
        <f xml:space="preserve"> TIME($J19,15,0)</f>
        <v>0.34375</v>
      </c>
      <c r="Z20" s="510">
        <f>TIME($J19,45,0)</f>
        <v>0.36458333333333331</v>
      </c>
      <c r="AA20" s="219"/>
      <c r="AC20" s="930" t="s">
        <v>7560</v>
      </c>
      <c r="AD20" s="930"/>
      <c r="AE20" s="930"/>
      <c r="AF20" s="458"/>
      <c r="AQ20" s="219"/>
    </row>
    <row r="21" spans="1:43" ht="18" customHeight="1" thickBot="1" x14ac:dyDescent="0.25">
      <c r="A21" s="598"/>
      <c r="B21" s="337"/>
      <c r="C21" s="604"/>
      <c r="D21" s="460"/>
      <c r="E21" s="837"/>
      <c r="F21" s="837"/>
      <c r="G21" s="837"/>
      <c r="H21" s="837"/>
      <c r="I21" s="459"/>
      <c r="J21" s="254">
        <f>J19+1</f>
        <v>9</v>
      </c>
      <c r="K21" s="452" t="str">
        <f t="shared" si="0"/>
        <v/>
      </c>
      <c r="L21" s="457"/>
      <c r="M21" s="456"/>
      <c r="N21" s="456"/>
      <c r="O21" s="458"/>
      <c r="P21" s="452" t="str">
        <f t="shared" si="1"/>
        <v/>
      </c>
      <c r="Q21" s="457"/>
      <c r="R21" s="456"/>
      <c r="S21" s="456"/>
      <c r="T21" s="458"/>
      <c r="V21" s="337"/>
      <c r="W21" s="337"/>
      <c r="X21" s="217"/>
      <c r="Y21" s="510">
        <f xml:space="preserve"> TIME($J21-1,45,0)</f>
        <v>0.36458333333333331</v>
      </c>
      <c r="Z21" s="510">
        <f>TIME($J21,15,0)</f>
        <v>0.38541666666666669</v>
      </c>
      <c r="AA21" s="219"/>
      <c r="AC21" s="456"/>
      <c r="AD21" s="456"/>
      <c r="AE21" s="456"/>
      <c r="AF21" s="458"/>
      <c r="AQ21" s="219"/>
    </row>
    <row r="22" spans="1:43" x14ac:dyDescent="0.2">
      <c r="A22" s="597"/>
      <c r="B22" s="487"/>
      <c r="C22" s="603"/>
      <c r="D22" s="485"/>
      <c r="E22" s="642"/>
      <c r="F22" s="642"/>
      <c r="G22" s="642"/>
      <c r="H22" s="642"/>
      <c r="I22" s="484"/>
      <c r="J22" s="254"/>
      <c r="K22" s="452" t="str">
        <f t="shared" si="0"/>
        <v/>
      </c>
      <c r="L22" s="457"/>
      <c r="M22" s="456"/>
      <c r="N22" s="456"/>
      <c r="O22" s="458"/>
      <c r="P22" s="452" t="str">
        <f t="shared" si="1"/>
        <v/>
      </c>
      <c r="Q22" s="457"/>
      <c r="R22" s="456"/>
      <c r="S22" s="456"/>
      <c r="T22" s="458"/>
      <c r="V22" s="337"/>
      <c r="W22" s="337"/>
      <c r="X22" s="217"/>
      <c r="Y22" s="510">
        <f xml:space="preserve"> TIME($J21,15,0)</f>
        <v>0.38541666666666669</v>
      </c>
      <c r="Z22" s="510">
        <f>TIME($J21,45,0)</f>
        <v>0.40625</v>
      </c>
      <c r="AA22" s="219"/>
      <c r="AC22" s="457"/>
      <c r="AD22" s="456"/>
      <c r="AE22" s="456"/>
      <c r="AF22" s="458"/>
      <c r="AQ22" s="219"/>
    </row>
    <row r="23" spans="1:43" x14ac:dyDescent="0.2">
      <c r="A23" s="598"/>
      <c r="B23" s="337"/>
      <c r="C23" s="604"/>
      <c r="D23" s="454"/>
      <c r="E23" s="836"/>
      <c r="F23" s="836"/>
      <c r="G23" s="836"/>
      <c r="H23" s="836"/>
      <c r="I23" s="453"/>
      <c r="J23" s="254">
        <f>J21+1</f>
        <v>10</v>
      </c>
      <c r="K23" s="452" t="str">
        <f t="shared" si="0"/>
        <v/>
      </c>
      <c r="L23" s="457"/>
      <c r="M23" s="456"/>
      <c r="N23" s="456"/>
      <c r="O23" s="458"/>
      <c r="P23" s="452" t="str">
        <f t="shared" si="1"/>
        <v/>
      </c>
      <c r="Q23" s="457"/>
      <c r="R23" s="456"/>
      <c r="S23" s="456"/>
      <c r="T23" s="458"/>
      <c r="V23" s="337"/>
      <c r="W23" s="337"/>
      <c r="X23" s="217"/>
      <c r="Y23" s="510">
        <f xml:space="preserve"> TIME($J23-1,45,0)</f>
        <v>0.40625</v>
      </c>
      <c r="Z23" s="510">
        <f>TIME($J23,15,0)</f>
        <v>0.42708333333333331</v>
      </c>
      <c r="AA23" s="219"/>
      <c r="AC23" s="457"/>
      <c r="AD23" s="456"/>
      <c r="AE23" s="456"/>
      <c r="AF23" s="458"/>
      <c r="AQ23" s="219"/>
    </row>
    <row r="24" spans="1:43" x14ac:dyDescent="0.2">
      <c r="A24" s="598"/>
      <c r="B24" s="337"/>
      <c r="C24" s="604"/>
      <c r="D24" s="454"/>
      <c r="E24" s="836"/>
      <c r="F24" s="836"/>
      <c r="G24" s="836"/>
      <c r="H24" s="836"/>
      <c r="I24" s="453"/>
      <c r="J24" s="254"/>
      <c r="K24" s="452" t="str">
        <f t="shared" si="0"/>
        <v/>
      </c>
      <c r="L24" s="457"/>
      <c r="M24" s="456"/>
      <c r="N24" s="456"/>
      <c r="O24" s="458"/>
      <c r="P24" s="452" t="str">
        <f t="shared" si="1"/>
        <v/>
      </c>
      <c r="Q24" s="457"/>
      <c r="R24" s="456"/>
      <c r="S24" s="456"/>
      <c r="T24" s="458"/>
      <c r="V24" s="337"/>
      <c r="W24" s="337"/>
      <c r="X24" s="217"/>
      <c r="Y24" s="510">
        <f xml:space="preserve"> TIME($J23,15,0)</f>
        <v>0.42708333333333331</v>
      </c>
      <c r="Z24" s="510">
        <f>TIME($J23,45,0)</f>
        <v>0.44791666666666669</v>
      </c>
      <c r="AA24" s="219"/>
      <c r="AC24" s="457"/>
      <c r="AD24" s="456"/>
      <c r="AE24" s="456"/>
      <c r="AF24" s="455" t="s">
        <v>7560</v>
      </c>
      <c r="AQ24" s="219"/>
    </row>
    <row r="25" spans="1:43" ht="20.100000000000001" customHeight="1" x14ac:dyDescent="0.2">
      <c r="A25" s="598"/>
      <c r="B25" s="337"/>
      <c r="C25" s="604"/>
      <c r="D25" s="454"/>
      <c r="E25" s="836"/>
      <c r="F25" s="836"/>
      <c r="G25" s="836"/>
      <c r="H25" s="836"/>
      <c r="I25" s="453"/>
      <c r="J25" s="254">
        <f>J23+1</f>
        <v>11</v>
      </c>
      <c r="K25" s="452" t="str">
        <f t="shared" si="0"/>
        <v/>
      </c>
      <c r="L25" s="457"/>
      <c r="M25" s="456"/>
      <c r="N25" s="456"/>
      <c r="O25" s="458"/>
      <c r="P25" s="452" t="str">
        <f t="shared" si="1"/>
        <v/>
      </c>
      <c r="Q25" s="457"/>
      <c r="R25" s="456"/>
      <c r="S25" s="456"/>
      <c r="T25" s="458"/>
      <c r="V25" s="337"/>
      <c r="W25" s="337"/>
      <c r="X25" s="217"/>
      <c r="Y25" s="510">
        <f xml:space="preserve"> TIME($J25-1,45,0)</f>
        <v>0.44791666666666669</v>
      </c>
      <c r="Z25" s="510">
        <f>TIME($J25,15,0)</f>
        <v>0.46875</v>
      </c>
      <c r="AA25" s="219"/>
      <c r="AC25" s="457"/>
      <c r="AD25" s="456"/>
      <c r="AE25" s="456"/>
      <c r="AF25" s="455" t="s">
        <v>7560</v>
      </c>
      <c r="AQ25" s="219"/>
    </row>
    <row r="26" spans="1:43" ht="18" customHeight="1" thickBot="1" x14ac:dyDescent="0.25">
      <c r="A26" s="598"/>
      <c r="B26" s="337"/>
      <c r="C26" s="604"/>
      <c r="D26" s="460"/>
      <c r="E26" s="837"/>
      <c r="F26" s="837"/>
      <c r="G26" s="837"/>
      <c r="H26" s="837"/>
      <c r="I26" s="459"/>
      <c r="J26" s="254"/>
      <c r="K26" s="452" t="str">
        <f t="shared" si="0"/>
        <v>*</v>
      </c>
      <c r="L26" s="457"/>
      <c r="M26" s="456"/>
      <c r="N26" s="456"/>
      <c r="O26" s="458"/>
      <c r="P26" s="452" t="str">
        <f t="shared" si="1"/>
        <v>*</v>
      </c>
      <c r="Q26" s="457"/>
      <c r="R26" s="456"/>
      <c r="S26" s="456"/>
      <c r="T26" s="458"/>
      <c r="V26" s="337"/>
      <c r="W26" s="337"/>
      <c r="X26" s="217"/>
      <c r="Y26" s="510">
        <f xml:space="preserve"> TIME($J25,15,0)</f>
        <v>0.46875</v>
      </c>
      <c r="Z26" s="510">
        <f>TIME($J25,45,0)</f>
        <v>0.48958333333333331</v>
      </c>
      <c r="AA26" s="219"/>
      <c r="AC26" s="457"/>
      <c r="AD26" s="456"/>
      <c r="AE26" s="456"/>
      <c r="AF26" s="455" t="s">
        <v>7560</v>
      </c>
      <c r="AO26" s="582"/>
      <c r="AQ26" s="219"/>
    </row>
    <row r="27" spans="1:43" x14ac:dyDescent="0.2">
      <c r="A27" s="597"/>
      <c r="B27" s="487"/>
      <c r="C27" s="603"/>
      <c r="D27" s="485"/>
      <c r="E27" s="642"/>
      <c r="F27" s="642"/>
      <c r="G27" s="642"/>
      <c r="H27" s="642"/>
      <c r="I27" s="484"/>
      <c r="J27" s="254">
        <f>J25+1</f>
        <v>12</v>
      </c>
      <c r="K27" s="452" t="str">
        <f t="shared" si="0"/>
        <v/>
      </c>
      <c r="L27" s="457"/>
      <c r="M27" s="456"/>
      <c r="N27" s="456"/>
      <c r="O27" s="458"/>
      <c r="P27" s="452" t="str">
        <f t="shared" si="1"/>
        <v/>
      </c>
      <c r="Q27" s="457"/>
      <c r="R27" s="456"/>
      <c r="S27" s="456"/>
      <c r="T27" s="458"/>
      <c r="V27" s="337"/>
      <c r="W27" s="337"/>
      <c r="X27" s="217"/>
      <c r="Y27" s="510">
        <f xml:space="preserve"> TIME($J27-1,45,0)</f>
        <v>0.48958333333333331</v>
      </c>
      <c r="Z27" s="510">
        <f>TIME($J27,15,0)</f>
        <v>0.51041666666666663</v>
      </c>
      <c r="AA27" s="219"/>
      <c r="AC27" s="457"/>
      <c r="AD27" s="456"/>
      <c r="AE27" s="456"/>
      <c r="AF27" s="455" t="s">
        <v>7560</v>
      </c>
      <c r="AO27" s="583"/>
      <c r="AQ27" s="219"/>
    </row>
    <row r="28" spans="1:43" x14ac:dyDescent="0.2">
      <c r="A28" s="598"/>
      <c r="B28" s="337"/>
      <c r="C28" s="604"/>
      <c r="D28" s="454"/>
      <c r="E28" s="836"/>
      <c r="F28" s="836"/>
      <c r="G28" s="836"/>
      <c r="H28" s="836"/>
      <c r="I28" s="453"/>
      <c r="J28" s="254"/>
      <c r="K28" s="452" t="str">
        <f t="shared" si="0"/>
        <v/>
      </c>
      <c r="L28" s="457"/>
      <c r="M28" s="456"/>
      <c r="N28" s="456"/>
      <c r="O28" s="458"/>
      <c r="P28" s="452" t="str">
        <f t="shared" si="1"/>
        <v/>
      </c>
      <c r="Q28" s="457"/>
      <c r="R28" s="456"/>
      <c r="S28" s="456"/>
      <c r="T28" s="458"/>
      <c r="V28" s="337"/>
      <c r="W28" s="337"/>
      <c r="X28" s="217"/>
      <c r="Y28" s="510">
        <f xml:space="preserve"> TIME($J27,15,0)</f>
        <v>0.51041666666666663</v>
      </c>
      <c r="Z28" s="510">
        <f>TIME($J27,45,0)</f>
        <v>0.53125</v>
      </c>
      <c r="AA28" s="219"/>
      <c r="AC28" s="457"/>
      <c r="AD28" s="456"/>
      <c r="AE28" s="456"/>
      <c r="AF28" s="455" t="s">
        <v>7560</v>
      </c>
      <c r="AO28" s="584"/>
      <c r="AQ28" s="219"/>
    </row>
    <row r="29" spans="1:43" x14ac:dyDescent="0.2">
      <c r="A29" s="598"/>
      <c r="B29" s="337"/>
      <c r="C29" s="604"/>
      <c r="D29" s="454"/>
      <c r="E29" s="836"/>
      <c r="F29" s="836"/>
      <c r="G29" s="836"/>
      <c r="H29" s="836"/>
      <c r="I29" s="646"/>
      <c r="J29" s="254">
        <f>J27+1</f>
        <v>13</v>
      </c>
      <c r="K29" s="452" t="str">
        <f t="shared" si="0"/>
        <v/>
      </c>
      <c r="L29" s="457"/>
      <c r="M29" s="456"/>
      <c r="N29" s="456"/>
      <c r="O29" s="458"/>
      <c r="P29" s="452" t="str">
        <f t="shared" si="1"/>
        <v/>
      </c>
      <c r="Q29" s="457"/>
      <c r="R29" s="456"/>
      <c r="S29" s="456"/>
      <c r="T29" s="458"/>
      <c r="V29" s="337"/>
      <c r="W29" s="337"/>
      <c r="X29" s="217"/>
      <c r="Y29" s="510">
        <f xml:space="preserve"> TIME($J29-1,45,0)</f>
        <v>0.53125</v>
      </c>
      <c r="Z29" s="510">
        <f>TIME($J29,15,0)</f>
        <v>0.55208333333333337</v>
      </c>
      <c r="AA29" s="219"/>
      <c r="AC29" s="457"/>
      <c r="AD29" s="456"/>
      <c r="AE29" s="456"/>
      <c r="AF29" s="455" t="s">
        <v>7560</v>
      </c>
      <c r="AO29" s="583"/>
      <c r="AQ29" s="219"/>
    </row>
    <row r="30" spans="1:43" x14ac:dyDescent="0.2">
      <c r="A30" s="598"/>
      <c r="B30" s="337"/>
      <c r="C30" s="604"/>
      <c r="D30" s="454"/>
      <c r="E30" s="836"/>
      <c r="F30" s="836"/>
      <c r="G30" s="836"/>
      <c r="H30" s="836"/>
      <c r="I30" s="453"/>
      <c r="J30" s="254"/>
      <c r="K30" s="452" t="str">
        <f t="shared" si="0"/>
        <v/>
      </c>
      <c r="L30" s="457"/>
      <c r="M30" s="456"/>
      <c r="N30" s="456"/>
      <c r="O30" s="458"/>
      <c r="P30" s="452" t="str">
        <f t="shared" si="1"/>
        <v/>
      </c>
      <c r="Q30" s="457"/>
      <c r="R30" s="456"/>
      <c r="S30" s="456"/>
      <c r="T30" s="458"/>
      <c r="V30" s="337"/>
      <c r="W30" s="337"/>
      <c r="X30" s="217"/>
      <c r="Y30" s="510">
        <f xml:space="preserve"> TIME($J29,15,0)</f>
        <v>0.55208333333333337</v>
      </c>
      <c r="Z30" s="510">
        <f>TIME($J29,45,0)</f>
        <v>0.57291666666666663</v>
      </c>
      <c r="AA30" s="219"/>
      <c r="AC30" s="933"/>
      <c r="AD30" s="934"/>
      <c r="AE30" s="934"/>
      <c r="AF30" s="450"/>
    </row>
    <row r="31" spans="1:43" ht="18" customHeight="1" thickBot="1" x14ac:dyDescent="0.25">
      <c r="A31" s="598"/>
      <c r="B31" s="337"/>
      <c r="C31" s="604"/>
      <c r="D31" s="460"/>
      <c r="E31" s="837"/>
      <c r="F31" s="837"/>
      <c r="G31" s="837"/>
      <c r="H31" s="837"/>
      <c r="I31" s="459"/>
      <c r="J31" s="254">
        <f>J29+1</f>
        <v>14</v>
      </c>
      <c r="K31" s="452" t="str">
        <f t="shared" si="0"/>
        <v/>
      </c>
      <c r="L31" s="457"/>
      <c r="M31" s="456"/>
      <c r="N31" s="456"/>
      <c r="O31" s="458"/>
      <c r="P31" s="452" t="str">
        <f t="shared" si="1"/>
        <v/>
      </c>
      <c r="Q31" s="457"/>
      <c r="R31" s="456"/>
      <c r="S31" s="456"/>
      <c r="T31" s="458"/>
      <c r="V31" s="337"/>
      <c r="W31" s="337"/>
      <c r="X31" s="217"/>
      <c r="Y31" s="510">
        <f xml:space="preserve"> TIME($J31-1,45,0)</f>
        <v>0.57291666666666663</v>
      </c>
      <c r="Z31" s="510">
        <f>TIME($J31,15,0)</f>
        <v>0.59375</v>
      </c>
      <c r="AA31" s="219"/>
      <c r="AC31" s="931" t="s">
        <v>7560</v>
      </c>
      <c r="AD31" s="931"/>
      <c r="AE31" s="931"/>
      <c r="AF31" s="458"/>
      <c r="AQ31" s="219"/>
    </row>
    <row r="32" spans="1:43" ht="1.5" customHeight="1" x14ac:dyDescent="0.2">
      <c r="A32" s="597"/>
      <c r="B32" s="487"/>
      <c r="C32" s="603"/>
      <c r="D32" s="640"/>
      <c r="E32" s="487"/>
      <c r="F32" s="487"/>
      <c r="G32" s="487"/>
      <c r="H32" s="487"/>
      <c r="I32" s="641"/>
      <c r="J32" s="254"/>
      <c r="K32" s="452" t="str">
        <f t="shared" si="0"/>
        <v/>
      </c>
      <c r="L32" s="479"/>
      <c r="M32" s="478"/>
      <c r="N32" s="478"/>
      <c r="O32" s="475"/>
      <c r="P32" s="452" t="str">
        <f t="shared" si="1"/>
        <v/>
      </c>
      <c r="Q32" s="479"/>
      <c r="R32" s="478"/>
      <c r="S32" s="478"/>
      <c r="T32" s="475"/>
      <c r="V32" s="337"/>
      <c r="W32" s="337"/>
      <c r="X32" s="217"/>
      <c r="Y32" s="510"/>
      <c r="Z32" s="510"/>
      <c r="AA32" s="219"/>
      <c r="AC32" s="477"/>
      <c r="AD32" s="476"/>
      <c r="AE32" s="476"/>
      <c r="AF32" s="475"/>
      <c r="AQ32" s="219"/>
    </row>
    <row r="33" spans="1:43" x14ac:dyDescent="0.2">
      <c r="A33" s="598"/>
      <c r="B33" s="337"/>
      <c r="C33" s="604"/>
      <c r="D33" s="471"/>
      <c r="E33" s="473"/>
      <c r="F33" s="473"/>
      <c r="G33" s="473"/>
      <c r="H33" s="473"/>
      <c r="I33" s="470"/>
      <c r="J33" s="254"/>
      <c r="K33" s="452" t="str">
        <f t="shared" si="0"/>
        <v/>
      </c>
      <c r="L33" s="473"/>
      <c r="M33" s="472"/>
      <c r="N33" s="472"/>
      <c r="O33" s="458"/>
      <c r="P33" s="452" t="str">
        <f t="shared" si="1"/>
        <v/>
      </c>
      <c r="Q33" s="473"/>
      <c r="R33" s="472"/>
      <c r="S33" s="472"/>
      <c r="T33" s="458"/>
      <c r="V33" s="337"/>
      <c r="W33" s="337"/>
      <c r="X33" s="217"/>
      <c r="Y33" s="510">
        <f xml:space="preserve"> TIME($J31,15,0)</f>
        <v>0.59375</v>
      </c>
      <c r="Z33" s="510">
        <f>TIME($J31,45,0)</f>
        <v>0.61458333333333337</v>
      </c>
      <c r="AA33" s="219"/>
      <c r="AC33" s="932" t="s">
        <v>7560</v>
      </c>
      <c r="AD33" s="932" t="s">
        <v>7560</v>
      </c>
      <c r="AE33" s="932" t="s">
        <v>7560</v>
      </c>
      <c r="AF33" s="458"/>
      <c r="AQ33" s="219"/>
    </row>
    <row r="34" spans="1:43" ht="1.5" customHeight="1" x14ac:dyDescent="0.2">
      <c r="A34" s="469"/>
      <c r="B34" s="337"/>
      <c r="C34" s="468"/>
      <c r="D34" s="460"/>
      <c r="E34" s="837"/>
      <c r="F34" s="837"/>
      <c r="G34" s="837"/>
      <c r="H34" s="837"/>
      <c r="I34" s="459"/>
      <c r="J34" s="254"/>
      <c r="K34" s="452" t="str">
        <f t="shared" si="0"/>
        <v/>
      </c>
      <c r="L34" s="479"/>
      <c r="M34" s="478"/>
      <c r="N34" s="478"/>
      <c r="O34" s="475"/>
      <c r="P34" s="452" t="str">
        <f t="shared" si="1"/>
        <v/>
      </c>
      <c r="Q34" s="479"/>
      <c r="R34" s="478"/>
      <c r="S34" s="478"/>
      <c r="T34" s="475"/>
      <c r="V34" s="337"/>
      <c r="W34" s="337"/>
      <c r="X34" s="217"/>
      <c r="Y34" s="510"/>
      <c r="Z34" s="510"/>
      <c r="AA34" s="219"/>
      <c r="AC34" s="477"/>
      <c r="AD34" s="476"/>
      <c r="AE34" s="476"/>
      <c r="AF34" s="475"/>
      <c r="AQ34" s="219"/>
    </row>
    <row r="35" spans="1:43" x14ac:dyDescent="0.2">
      <c r="A35" s="469"/>
      <c r="B35" s="337"/>
      <c r="C35" s="468"/>
      <c r="D35" s="471"/>
      <c r="E35" s="473"/>
      <c r="F35" s="473"/>
      <c r="G35" s="473"/>
      <c r="H35" s="473"/>
      <c r="I35" s="470"/>
      <c r="J35" s="254">
        <f>J31+1</f>
        <v>15</v>
      </c>
      <c r="K35" s="452" t="str">
        <f t="shared" si="0"/>
        <v/>
      </c>
      <c r="L35" s="473"/>
      <c r="M35" s="472"/>
      <c r="N35" s="472"/>
      <c r="O35" s="458"/>
      <c r="P35" s="452" t="str">
        <f t="shared" si="1"/>
        <v/>
      </c>
      <c r="Q35" s="473"/>
      <c r="R35" s="472"/>
      <c r="S35" s="472"/>
      <c r="T35" s="458"/>
      <c r="V35" s="337"/>
      <c r="W35" s="337"/>
      <c r="X35" s="217"/>
      <c r="Y35" s="510">
        <f xml:space="preserve"> TIME($J35-1,45,0)</f>
        <v>0.61458333333333337</v>
      </c>
      <c r="Z35" s="510">
        <f>TIME($J35,15,0)</f>
        <v>0.63541666666666663</v>
      </c>
      <c r="AA35" s="219"/>
      <c r="AC35" s="932" t="s">
        <v>7560</v>
      </c>
      <c r="AD35" s="932"/>
      <c r="AE35" s="932"/>
      <c r="AF35" s="458"/>
      <c r="AQ35" s="219"/>
    </row>
    <row r="36" spans="1:43" ht="1.5" customHeight="1" x14ac:dyDescent="0.2">
      <c r="A36" s="469"/>
      <c r="B36" s="337"/>
      <c r="C36" s="468"/>
      <c r="D36" s="460"/>
      <c r="E36" s="837"/>
      <c r="F36" s="837"/>
      <c r="G36" s="837"/>
      <c r="H36" s="837"/>
      <c r="I36" s="459"/>
      <c r="J36" s="254"/>
      <c r="K36" s="452" t="str">
        <f t="shared" si="0"/>
        <v/>
      </c>
      <c r="L36" s="479"/>
      <c r="M36" s="478"/>
      <c r="N36" s="478"/>
      <c r="O36" s="475"/>
      <c r="P36" s="452" t="str">
        <f t="shared" si="1"/>
        <v/>
      </c>
      <c r="Q36" s="479"/>
      <c r="R36" s="478"/>
      <c r="S36" s="478"/>
      <c r="T36" s="475"/>
      <c r="V36" s="337"/>
      <c r="W36" s="337"/>
      <c r="X36" s="217"/>
      <c r="Y36" s="510"/>
      <c r="Z36" s="510"/>
      <c r="AA36" s="219"/>
      <c r="AC36" s="477"/>
      <c r="AD36" s="476"/>
      <c r="AE36" s="476"/>
      <c r="AF36" s="475"/>
      <c r="AQ36" s="219"/>
    </row>
    <row r="37" spans="1:43" x14ac:dyDescent="0.2">
      <c r="A37" s="469"/>
      <c r="B37" s="337"/>
      <c r="C37" s="468"/>
      <c r="D37" s="462"/>
      <c r="E37" s="337"/>
      <c r="F37" s="337"/>
      <c r="G37" s="337"/>
      <c r="H37" s="337"/>
      <c r="I37" s="461"/>
      <c r="J37" s="254"/>
      <c r="K37" s="452" t="str">
        <f t="shared" si="0"/>
        <v/>
      </c>
      <c r="L37" s="473"/>
      <c r="M37" s="472"/>
      <c r="N37" s="472"/>
      <c r="O37" s="458"/>
      <c r="P37" s="452" t="str">
        <f t="shared" si="1"/>
        <v/>
      </c>
      <c r="Q37" s="473"/>
      <c r="R37" s="472"/>
      <c r="S37" s="472"/>
      <c r="T37" s="458"/>
      <c r="V37" s="337"/>
      <c r="W37" s="337"/>
      <c r="X37" s="217"/>
      <c r="Y37" s="510">
        <f xml:space="preserve"> TIME($J35,15,0)</f>
        <v>0.63541666666666663</v>
      </c>
      <c r="Z37" s="510">
        <f>TIME($J35,45,0)</f>
        <v>0.65625</v>
      </c>
      <c r="AA37" s="219"/>
      <c r="AC37" s="932" t="s">
        <v>7560</v>
      </c>
      <c r="AD37" s="932"/>
      <c r="AE37" s="932"/>
      <c r="AF37" s="458"/>
      <c r="AQ37" s="219"/>
    </row>
    <row r="38" spans="1:43" ht="1.5" customHeight="1" x14ac:dyDescent="0.2">
      <c r="A38" s="460"/>
      <c r="B38" s="479"/>
      <c r="C38" s="478"/>
      <c r="D38" s="479"/>
      <c r="E38" s="837"/>
      <c r="F38" s="837"/>
      <c r="G38" s="837"/>
      <c r="H38" s="837"/>
      <c r="I38" s="459"/>
      <c r="J38" s="254"/>
      <c r="K38" s="452" t="str">
        <f t="shared" si="0"/>
        <v/>
      </c>
      <c r="L38" s="479"/>
      <c r="M38" s="478"/>
      <c r="N38" s="478"/>
      <c r="O38" s="475"/>
      <c r="P38" s="452" t="str">
        <f t="shared" si="1"/>
        <v/>
      </c>
      <c r="Q38" s="479"/>
      <c r="R38" s="478"/>
      <c r="S38" s="478"/>
      <c r="T38" s="475"/>
      <c r="V38" s="337"/>
      <c r="W38" s="337"/>
      <c r="X38" s="217"/>
      <c r="Y38" s="510"/>
      <c r="Z38" s="510"/>
      <c r="AA38" s="219"/>
      <c r="AC38" s="477"/>
      <c r="AD38" s="476"/>
      <c r="AE38" s="476"/>
      <c r="AF38" s="475"/>
      <c r="AQ38" s="219"/>
    </row>
    <row r="39" spans="1:43" x14ac:dyDescent="0.2">
      <c r="A39" s="918" t="str">
        <f ca="1" xml:space="preserve"> CHAR(160) &amp; CHAR(10) &amp; IFERROR(INDEX(Quotes!$B$2:$B$54,MATCH(Y5,Quotes!$A$2:$A$54,0)),"") &amp; CHAR(10) &amp; CHAR(10) &amp; IFERROR(INDEX(Quotes!$C$2:$C$54,MATCH(Y5,Quotes!$A$2:$A$54,0)),"") &amp; CHAR(10)  &amp; CHAR(10) &amp; IFERROR(INDEX(Quotes!$D$2:$D$54,MATCH(Y5,Quotes!$A$2:$A$54,0)),"") &amp; CHAR(10) &amp; REPT("_",42)</f>
        <v> 
 धृतराष्ट्र उवाच ।
धर्मक्षेत्रे कुरुक्षेत्रे समवेता युयुत्सवः
मामकाः पाण्ड्वाश्चैव किमकुर्वत सञ्जय
dhṛtarāṣṭra uvāca
dharma-kṣetre kuru-kṣetre
samavetā yuyutsavaḥ
māmakāḥ pāṇḍavāś caiva
kim akurvata sañjaya
Dhrtarastra disse: Ó Sanjaya, que fizeram os meus filhos e os filhos de Pandu, depois de se reunirem no lugar de peregrinação de Kuruksetra, estando desejosos de lutar? (Bg. 1.1)
__________________________________________</v>
      </c>
      <c r="B39" s="919"/>
      <c r="C39" s="919"/>
      <c r="D39" s="919"/>
      <c r="E39" s="919"/>
      <c r="F39" s="919"/>
      <c r="G39" s="919"/>
      <c r="H39" s="919"/>
      <c r="I39" s="920"/>
      <c r="J39" s="254">
        <f>J35+1</f>
        <v>16</v>
      </c>
      <c r="K39" s="452" t="str">
        <f t="shared" si="0"/>
        <v/>
      </c>
      <c r="L39" s="473"/>
      <c r="M39" s="472"/>
      <c r="N39" s="472"/>
      <c r="O39" s="458"/>
      <c r="P39" s="452" t="str">
        <f t="shared" si="1"/>
        <v/>
      </c>
      <c r="Q39" s="473"/>
      <c r="R39" s="472"/>
      <c r="S39" s="472"/>
      <c r="T39" s="458"/>
      <c r="V39" s="337"/>
      <c r="W39" s="337"/>
      <c r="X39" s="217"/>
      <c r="Y39" s="510">
        <f xml:space="preserve"> TIME($J39-1,45,0)</f>
        <v>0.65625</v>
      </c>
      <c r="Z39" s="510">
        <f>TIME($J39,15,0)</f>
        <v>0.67708333333333337</v>
      </c>
      <c r="AA39" s="219"/>
      <c r="AC39" s="932" t="s">
        <v>7560</v>
      </c>
      <c r="AD39" s="932"/>
      <c r="AE39" s="932"/>
      <c r="AF39" s="458"/>
      <c r="AK39" s="598"/>
      <c r="AL39" s="337"/>
      <c r="AM39" s="604"/>
      <c r="AN39" s="471"/>
      <c r="AO39" s="470"/>
      <c r="AQ39" s="219"/>
    </row>
    <row r="40" spans="1:43" ht="1.5" customHeight="1" x14ac:dyDescent="0.2">
      <c r="A40" s="918"/>
      <c r="B40" s="919"/>
      <c r="C40" s="919"/>
      <c r="D40" s="919"/>
      <c r="E40" s="919"/>
      <c r="F40" s="919"/>
      <c r="G40" s="919"/>
      <c r="H40" s="919"/>
      <c r="I40" s="920"/>
      <c r="J40" s="254"/>
      <c r="K40" s="452" t="str">
        <f t="shared" si="0"/>
        <v/>
      </c>
      <c r="L40" s="479"/>
      <c r="M40" s="478"/>
      <c r="N40" s="478"/>
      <c r="O40" s="475"/>
      <c r="P40" s="452" t="str">
        <f t="shared" si="1"/>
        <v/>
      </c>
      <c r="Q40" s="479"/>
      <c r="R40" s="478"/>
      <c r="S40" s="478"/>
      <c r="T40" s="475"/>
      <c r="V40" s="337"/>
      <c r="W40" s="337"/>
      <c r="X40" s="217"/>
      <c r="Y40" s="510"/>
      <c r="Z40" s="510"/>
      <c r="AA40" s="219"/>
      <c r="AC40" s="477"/>
      <c r="AD40" s="476"/>
      <c r="AE40" s="476"/>
      <c r="AF40" s="475"/>
      <c r="AK40" s="598"/>
      <c r="AL40" s="337"/>
      <c r="AM40" s="604"/>
      <c r="AN40" s="460"/>
      <c r="AO40" s="459"/>
      <c r="AQ40" s="219"/>
    </row>
    <row r="41" spans="1:43" ht="18" customHeight="1" thickBot="1" x14ac:dyDescent="0.25">
      <c r="A41" s="918"/>
      <c r="B41" s="919"/>
      <c r="C41" s="919"/>
      <c r="D41" s="919"/>
      <c r="E41" s="919"/>
      <c r="F41" s="919"/>
      <c r="G41" s="919"/>
      <c r="H41" s="919"/>
      <c r="I41" s="920"/>
      <c r="J41" s="254"/>
      <c r="K41" s="452" t="str">
        <f t="shared" si="0"/>
        <v/>
      </c>
      <c r="L41" s="473"/>
      <c r="M41" s="472"/>
      <c r="N41" s="472"/>
      <c r="O41" s="458"/>
      <c r="P41" s="452" t="str">
        <f t="shared" si="1"/>
        <v/>
      </c>
      <c r="Q41" s="473"/>
      <c r="R41" s="472"/>
      <c r="S41" s="472"/>
      <c r="T41" s="458"/>
      <c r="V41" s="337"/>
      <c r="W41" s="337"/>
      <c r="X41" s="217"/>
      <c r="Y41" s="510">
        <f xml:space="preserve"> TIME($J39,15,0)</f>
        <v>0.67708333333333337</v>
      </c>
      <c r="Z41" s="510">
        <f>TIME($J39,45,0)</f>
        <v>0.69791666666666663</v>
      </c>
      <c r="AA41" s="219"/>
      <c r="AC41" s="932" t="s">
        <v>7560</v>
      </c>
      <c r="AD41" s="932"/>
      <c r="AE41" s="932"/>
      <c r="AF41" s="458"/>
      <c r="AK41" s="467"/>
      <c r="AL41" s="466"/>
      <c r="AM41" s="465"/>
      <c r="AN41" s="481"/>
      <c r="AO41" s="480"/>
      <c r="AQ41" s="219"/>
    </row>
    <row r="42" spans="1:43" ht="1.5" customHeight="1" x14ac:dyDescent="0.2">
      <c r="A42" s="918"/>
      <c r="B42" s="919"/>
      <c r="C42" s="919"/>
      <c r="D42" s="919"/>
      <c r="E42" s="919"/>
      <c r="F42" s="919"/>
      <c r="G42" s="919"/>
      <c r="H42" s="919"/>
      <c r="I42" s="920"/>
      <c r="J42" s="254"/>
      <c r="K42" s="452" t="str">
        <f t="shared" si="0"/>
        <v/>
      </c>
      <c r="L42" s="479"/>
      <c r="M42" s="478"/>
      <c r="N42" s="478"/>
      <c r="O42" s="475"/>
      <c r="P42" s="452" t="str">
        <f t="shared" si="1"/>
        <v/>
      </c>
      <c r="Q42" s="479"/>
      <c r="R42" s="478"/>
      <c r="S42" s="478"/>
      <c r="T42" s="475"/>
      <c r="V42" s="337"/>
      <c r="W42" s="337"/>
      <c r="X42" s="217"/>
      <c r="Y42" s="510"/>
      <c r="Z42" s="510"/>
      <c r="AA42" s="219"/>
      <c r="AC42" s="477"/>
      <c r="AD42" s="476"/>
      <c r="AE42" s="476"/>
      <c r="AF42" s="475"/>
      <c r="AK42" s="598"/>
      <c r="AL42" s="337"/>
      <c r="AM42" s="604"/>
      <c r="AN42" s="462"/>
      <c r="AO42" s="461"/>
      <c r="AQ42" s="219"/>
    </row>
    <row r="43" spans="1:43" x14ac:dyDescent="0.2">
      <c r="A43" s="918"/>
      <c r="B43" s="919"/>
      <c r="C43" s="919"/>
      <c r="D43" s="919"/>
      <c r="E43" s="919"/>
      <c r="F43" s="919"/>
      <c r="G43" s="919"/>
      <c r="H43" s="919"/>
      <c r="I43" s="920"/>
      <c r="J43" s="254">
        <f>J39+1</f>
        <v>17</v>
      </c>
      <c r="K43" s="452" t="str">
        <f t="shared" si="0"/>
        <v/>
      </c>
      <c r="L43" s="337"/>
      <c r="M43" s="254"/>
      <c r="N43" s="254"/>
      <c r="O43" s="474"/>
      <c r="P43" s="452" t="str">
        <f t="shared" si="1"/>
        <v/>
      </c>
      <c r="Q43" s="337"/>
      <c r="R43" s="254"/>
      <c r="S43" s="254"/>
      <c r="T43" s="474"/>
      <c r="V43" s="337"/>
      <c r="W43" s="337"/>
      <c r="X43" s="217"/>
      <c r="Y43" s="510">
        <f xml:space="preserve"> TIME($J43-1,45,0)</f>
        <v>0.69791666666666663</v>
      </c>
      <c r="Z43" s="510">
        <f>TIME($J43,15,0)</f>
        <v>0.71875</v>
      </c>
      <c r="AA43" s="219"/>
      <c r="AC43" s="949" t="s">
        <v>7560</v>
      </c>
      <c r="AD43" s="949"/>
      <c r="AE43" s="949"/>
      <c r="AF43" s="474"/>
      <c r="AK43" s="598"/>
      <c r="AL43" s="337"/>
      <c r="AM43" s="604"/>
      <c r="AN43" s="462"/>
      <c r="AO43" s="461"/>
      <c r="AQ43" s="219"/>
    </row>
    <row r="44" spans="1:43" ht="1.5" customHeight="1" x14ac:dyDescent="0.2">
      <c r="A44" s="918"/>
      <c r="B44" s="919"/>
      <c r="C44" s="919"/>
      <c r="D44" s="919"/>
      <c r="E44" s="919"/>
      <c r="F44" s="919"/>
      <c r="G44" s="919"/>
      <c r="H44" s="919"/>
      <c r="I44" s="920"/>
      <c r="J44" s="254"/>
      <c r="K44" s="452" t="str">
        <f t="shared" si="0"/>
        <v/>
      </c>
      <c r="L44" s="473"/>
      <c r="M44" s="472"/>
      <c r="N44" s="472"/>
      <c r="O44" s="458"/>
      <c r="P44" s="452" t="str">
        <f t="shared" si="1"/>
        <v/>
      </c>
      <c r="Q44" s="473"/>
      <c r="R44" s="472"/>
      <c r="S44" s="472"/>
      <c r="T44" s="458"/>
      <c r="V44" s="337"/>
      <c r="W44" s="337"/>
      <c r="X44" s="217"/>
      <c r="Y44" s="510"/>
      <c r="Z44" s="510"/>
      <c r="AA44" s="219"/>
      <c r="AC44" s="473"/>
      <c r="AD44" s="472"/>
      <c r="AE44" s="472"/>
      <c r="AF44" s="458"/>
      <c r="AK44" s="598"/>
      <c r="AL44" s="337"/>
      <c r="AM44" s="604"/>
      <c r="AN44" s="471"/>
      <c r="AO44" s="470"/>
      <c r="AQ44" s="219"/>
    </row>
    <row r="45" spans="1:43" x14ac:dyDescent="0.2">
      <c r="A45" s="918"/>
      <c r="B45" s="919"/>
      <c r="C45" s="919"/>
      <c r="D45" s="919"/>
      <c r="E45" s="919"/>
      <c r="F45" s="919"/>
      <c r="G45" s="919"/>
      <c r="H45" s="919"/>
      <c r="I45" s="920"/>
      <c r="J45" s="254"/>
      <c r="K45" s="452" t="str">
        <f t="shared" si="0"/>
        <v>*</v>
      </c>
      <c r="L45" s="337"/>
      <c r="M45" s="254"/>
      <c r="N45" s="254"/>
      <c r="O45" s="474"/>
      <c r="P45" s="452" t="str">
        <f t="shared" si="1"/>
        <v>*</v>
      </c>
      <c r="Q45" s="337"/>
      <c r="R45" s="254"/>
      <c r="S45" s="254"/>
      <c r="T45" s="474"/>
      <c r="V45" s="337"/>
      <c r="W45" s="337"/>
      <c r="X45" s="217"/>
      <c r="Y45" s="510">
        <f xml:space="preserve"> TIME($J43,15,0)</f>
        <v>0.71875</v>
      </c>
      <c r="Z45" s="510">
        <f>TIME($J43,45,0)</f>
        <v>0.73958333333333337</v>
      </c>
      <c r="AA45" s="219"/>
      <c r="AC45" s="457"/>
      <c r="AD45" s="456"/>
      <c r="AE45" s="456"/>
      <c r="AF45" s="458"/>
      <c r="AK45" s="598"/>
      <c r="AL45" s="337"/>
      <c r="AM45" s="604"/>
      <c r="AN45" s="460"/>
      <c r="AO45" s="459"/>
      <c r="AQ45" s="219"/>
    </row>
    <row r="46" spans="1:43" ht="1.5" customHeight="1" x14ac:dyDescent="0.2">
      <c r="A46" s="918"/>
      <c r="B46" s="919"/>
      <c r="C46" s="919"/>
      <c r="D46" s="919"/>
      <c r="E46" s="919"/>
      <c r="F46" s="919"/>
      <c r="G46" s="919"/>
      <c r="H46" s="919"/>
      <c r="I46" s="920"/>
      <c r="J46" s="254"/>
      <c r="K46" s="452" t="str">
        <f t="shared" si="0"/>
        <v/>
      </c>
      <c r="L46" s="473"/>
      <c r="M46" s="472"/>
      <c r="N46" s="472"/>
      <c r="O46" s="458"/>
      <c r="P46" s="452" t="str">
        <f t="shared" si="1"/>
        <v/>
      </c>
      <c r="Q46" s="473"/>
      <c r="R46" s="472"/>
      <c r="S46" s="472"/>
      <c r="T46" s="458"/>
      <c r="V46" s="337"/>
      <c r="W46" s="337"/>
      <c r="X46" s="217"/>
      <c r="Y46" s="510"/>
      <c r="Z46" s="510"/>
      <c r="AA46" s="219"/>
      <c r="AC46" s="477"/>
      <c r="AD46" s="476"/>
      <c r="AE46" s="476"/>
      <c r="AF46" s="475"/>
      <c r="AK46" s="598"/>
      <c r="AL46" s="337"/>
      <c r="AM46" s="604"/>
      <c r="AN46" s="471"/>
      <c r="AO46" s="470"/>
      <c r="AQ46" s="219"/>
    </row>
    <row r="47" spans="1:43" x14ac:dyDescent="0.2">
      <c r="A47" s="918"/>
      <c r="B47" s="919"/>
      <c r="C47" s="919"/>
      <c r="D47" s="919"/>
      <c r="E47" s="919"/>
      <c r="F47" s="919"/>
      <c r="G47" s="919"/>
      <c r="H47" s="919"/>
      <c r="I47" s="920"/>
      <c r="J47" s="254">
        <f>J43+1</f>
        <v>18</v>
      </c>
      <c r="K47" s="452" t="str">
        <f t="shared" si="0"/>
        <v/>
      </c>
      <c r="L47" s="337"/>
      <c r="M47" s="254"/>
      <c r="N47" s="254"/>
      <c r="O47" s="474"/>
      <c r="P47" s="452" t="str">
        <f t="shared" si="1"/>
        <v/>
      </c>
      <c r="Q47" s="337"/>
      <c r="R47" s="254"/>
      <c r="S47" s="254"/>
      <c r="T47" s="474"/>
      <c r="V47" s="337"/>
      <c r="W47" s="337"/>
      <c r="X47" s="217"/>
      <c r="Y47" s="510">
        <f xml:space="preserve"> TIME($J47-1,45,0)</f>
        <v>0.73958333333333337</v>
      </c>
      <c r="Z47" s="510">
        <f>TIME($J47,15,0)</f>
        <v>0.76041666666666663</v>
      </c>
      <c r="AA47" s="219"/>
      <c r="AC47" s="473"/>
      <c r="AD47" s="472"/>
      <c r="AE47" s="472"/>
      <c r="AF47" s="458"/>
      <c r="AK47" s="598"/>
      <c r="AL47" s="337"/>
      <c r="AM47" s="604"/>
      <c r="AN47" s="460"/>
      <c r="AO47" s="459"/>
      <c r="AQ47" s="219"/>
    </row>
    <row r="48" spans="1:43" ht="1.5" customHeight="1" x14ac:dyDescent="0.2">
      <c r="A48" s="918"/>
      <c r="B48" s="919"/>
      <c r="C48" s="919"/>
      <c r="D48" s="919"/>
      <c r="E48" s="919"/>
      <c r="F48" s="919"/>
      <c r="G48" s="919"/>
      <c r="H48" s="919"/>
      <c r="I48" s="920"/>
      <c r="J48" s="254"/>
      <c r="K48" s="452" t="str">
        <f t="shared" si="0"/>
        <v/>
      </c>
      <c r="L48" s="473"/>
      <c r="M48" s="472"/>
      <c r="N48" s="472"/>
      <c r="O48" s="458"/>
      <c r="P48" s="452" t="str">
        <f t="shared" si="1"/>
        <v/>
      </c>
      <c r="Q48" s="473"/>
      <c r="R48" s="472"/>
      <c r="S48" s="472"/>
      <c r="T48" s="458"/>
      <c r="V48" s="337"/>
      <c r="W48" s="337"/>
      <c r="X48" s="217"/>
      <c r="Y48" s="510"/>
      <c r="Z48" s="510"/>
      <c r="AA48" s="219"/>
      <c r="AD48" s="254"/>
      <c r="AE48" s="254"/>
      <c r="AF48" s="474"/>
      <c r="AK48" s="598"/>
      <c r="AL48" s="337"/>
      <c r="AM48" s="604"/>
      <c r="AN48" s="471"/>
      <c r="AO48" s="470"/>
      <c r="AQ48" s="219"/>
    </row>
    <row r="49" spans="1:43" x14ac:dyDescent="0.2">
      <c r="A49" s="918"/>
      <c r="B49" s="919"/>
      <c r="C49" s="919"/>
      <c r="D49" s="919"/>
      <c r="E49" s="919"/>
      <c r="F49" s="919"/>
      <c r="G49" s="919"/>
      <c r="H49" s="919"/>
      <c r="I49" s="920"/>
      <c r="J49" s="254"/>
      <c r="K49" s="452" t="str">
        <f t="shared" si="0"/>
        <v/>
      </c>
      <c r="L49" s="457"/>
      <c r="M49" s="456"/>
      <c r="N49" s="456"/>
      <c r="O49" s="458"/>
      <c r="P49" s="452" t="str">
        <f t="shared" si="1"/>
        <v/>
      </c>
      <c r="Q49" s="457"/>
      <c r="R49" s="456"/>
      <c r="S49" s="456"/>
      <c r="T49" s="458"/>
      <c r="V49" s="337"/>
      <c r="W49" s="337"/>
      <c r="X49" s="217"/>
      <c r="Y49" s="510">
        <f xml:space="preserve"> TIME($J47,15,0)</f>
        <v>0.76041666666666663</v>
      </c>
      <c r="Z49" s="510">
        <f>TIME($J47,45,0)</f>
        <v>0.78125</v>
      </c>
      <c r="AA49" s="219"/>
      <c r="AC49" s="473"/>
      <c r="AD49" s="472"/>
      <c r="AE49" s="472"/>
      <c r="AF49" s="458"/>
      <c r="AK49" s="598"/>
      <c r="AL49" s="337"/>
      <c r="AM49" s="604"/>
      <c r="AN49" s="454"/>
      <c r="AO49" s="453"/>
      <c r="AQ49" s="219"/>
    </row>
    <row r="50" spans="1:43" ht="18" customHeight="1" thickBot="1" x14ac:dyDescent="0.25">
      <c r="A50" s="918"/>
      <c r="B50" s="919"/>
      <c r="C50" s="919"/>
      <c r="D50" s="919"/>
      <c r="E50" s="919"/>
      <c r="F50" s="919"/>
      <c r="G50" s="919"/>
      <c r="H50" s="919"/>
      <c r="I50" s="920"/>
      <c r="J50" s="254">
        <f>J47+1</f>
        <v>19</v>
      </c>
      <c r="K50" s="452" t="str">
        <f t="shared" si="0"/>
        <v/>
      </c>
      <c r="L50" s="457"/>
      <c r="M50" s="456"/>
      <c r="N50" s="456"/>
      <c r="O50" s="458"/>
      <c r="P50" s="452" t="str">
        <f t="shared" si="1"/>
        <v/>
      </c>
      <c r="Q50" s="457"/>
      <c r="R50" s="456"/>
      <c r="S50" s="456"/>
      <c r="T50" s="458"/>
      <c r="V50" s="337"/>
      <c r="W50" s="337"/>
      <c r="X50" s="217"/>
      <c r="Y50" s="510">
        <f xml:space="preserve"> TIME($J50-1,45,0)</f>
        <v>0.78125</v>
      </c>
      <c r="Z50" s="510">
        <f>TIME($J50,15,0)</f>
        <v>0.80208333333333337</v>
      </c>
      <c r="AA50" s="219"/>
      <c r="AC50" s="457"/>
      <c r="AD50" s="456"/>
      <c r="AE50" s="456"/>
      <c r="AF50" s="458"/>
      <c r="AK50" s="467"/>
      <c r="AL50" s="466"/>
      <c r="AM50" s="465"/>
      <c r="AN50" s="464"/>
      <c r="AO50" s="463"/>
      <c r="AQ50" s="219"/>
    </row>
    <row r="51" spans="1:43" x14ac:dyDescent="0.2">
      <c r="A51" s="918"/>
      <c r="B51" s="919"/>
      <c r="C51" s="919"/>
      <c r="D51" s="919"/>
      <c r="E51" s="919"/>
      <c r="F51" s="919"/>
      <c r="G51" s="919"/>
      <c r="H51" s="919"/>
      <c r="I51" s="920"/>
      <c r="J51" s="254"/>
      <c r="K51" s="452" t="str">
        <f t="shared" si="0"/>
        <v/>
      </c>
      <c r="L51" s="457"/>
      <c r="M51" s="456"/>
      <c r="N51" s="456"/>
      <c r="O51" s="458"/>
      <c r="P51" s="452" t="str">
        <f t="shared" si="1"/>
        <v/>
      </c>
      <c r="Q51" s="457"/>
      <c r="R51" s="456"/>
      <c r="S51" s="456"/>
      <c r="T51" s="458"/>
      <c r="V51" s="337"/>
      <c r="W51" s="337"/>
      <c r="X51" s="217"/>
      <c r="Y51" s="510">
        <f xml:space="preserve"> TIME($J50,15,0)</f>
        <v>0.80208333333333337</v>
      </c>
      <c r="Z51" s="510">
        <f>TIME($J50,45,0)</f>
        <v>0.82291666666666663</v>
      </c>
      <c r="AA51" s="219"/>
      <c r="AC51" s="457"/>
      <c r="AD51" s="456"/>
      <c r="AE51" s="456"/>
      <c r="AF51" s="458"/>
      <c r="AK51" s="485"/>
      <c r="AL51" s="642"/>
      <c r="AM51" s="643"/>
      <c r="AN51" s="473"/>
      <c r="AO51" s="470"/>
      <c r="AQ51" s="219"/>
    </row>
    <row r="52" spans="1:43" x14ac:dyDescent="0.2">
      <c r="A52" s="918"/>
      <c r="B52" s="919"/>
      <c r="C52" s="919"/>
      <c r="D52" s="919"/>
      <c r="E52" s="919"/>
      <c r="F52" s="919"/>
      <c r="G52" s="919"/>
      <c r="H52" s="919"/>
      <c r="I52" s="920"/>
      <c r="J52" s="254">
        <f>J50+1</f>
        <v>20</v>
      </c>
      <c r="K52" s="452" t="str">
        <f t="shared" si="0"/>
        <v/>
      </c>
      <c r="L52" s="457"/>
      <c r="M52" s="456"/>
      <c r="N52" s="456"/>
      <c r="O52" s="458"/>
      <c r="P52" s="452" t="str">
        <f t="shared" si="1"/>
        <v/>
      </c>
      <c r="Q52" s="457"/>
      <c r="R52" s="456"/>
      <c r="S52" s="456"/>
      <c r="T52" s="458"/>
      <c r="V52" s="337"/>
      <c r="W52" s="337"/>
      <c r="X52" s="217"/>
      <c r="Y52" s="510">
        <f xml:space="preserve"> TIME($J52-1,45,0)</f>
        <v>0.82291666666666663</v>
      </c>
      <c r="Z52" s="510">
        <f>TIME($J52,15,0)</f>
        <v>0.84375</v>
      </c>
      <c r="AA52" s="219"/>
      <c r="AC52" s="457"/>
      <c r="AD52" s="456"/>
      <c r="AE52" s="456"/>
      <c r="AF52" s="458"/>
      <c r="AK52" s="454"/>
      <c r="AL52" s="457"/>
      <c r="AM52" s="456"/>
      <c r="AN52" s="457"/>
      <c r="AO52" s="453"/>
      <c r="AQ52" s="219"/>
    </row>
    <row r="53" spans="1:43" x14ac:dyDescent="0.2">
      <c r="A53" s="921"/>
      <c r="B53" s="922"/>
      <c r="C53" s="922"/>
      <c r="D53" s="922"/>
      <c r="E53" s="922"/>
      <c r="F53" s="922"/>
      <c r="G53" s="922"/>
      <c r="H53" s="922"/>
      <c r="I53" s="923"/>
      <c r="J53" s="254"/>
      <c r="K53" s="452" t="str">
        <f t="shared" si="0"/>
        <v/>
      </c>
      <c r="L53" s="937" t="str">
        <f>IFERROR(T("Naksatra: " &amp; 'GCal-Week'!S29 &amp; CHAR(10) &amp; "Yoga: " &amp; 'GCal-Week'!T29),"")</f>
        <v>Naksatra: Swati
Yoga: Sukarma</v>
      </c>
      <c r="M53" s="937"/>
      <c r="N53" s="937"/>
      <c r="O53" s="645" t="str">
        <f>'GCal-Week'!AG29 &amp; CHAR(10) &amp; 'GCal-Week'!AH29</f>
        <v>365
0</v>
      </c>
      <c r="P53" s="452" t="str">
        <f t="shared" si="1"/>
        <v/>
      </c>
      <c r="Q53" s="937" t="str">
        <f>IFERROR(T("Naksatra: " &amp; 'GCal-Week'!S30 &amp; CHAR(10) &amp; "Yoga: " &amp; 'GCal-Week'!T30),"")</f>
        <v>Naksatra: Visakha
Yoga: Dhriti</v>
      </c>
      <c r="R53" s="937"/>
      <c r="S53" s="937"/>
      <c r="T53" s="645" t="str">
        <f>'GCal-Week'!AG30 &amp; CHAR(10) &amp; 'GCal-Week'!AH30</f>
        <v>1
364</v>
      </c>
      <c r="V53" s="337"/>
      <c r="W53" s="337"/>
      <c r="X53" s="217"/>
      <c r="Y53" s="510">
        <f xml:space="preserve"> TIME(J52,15,0)</f>
        <v>0.84375</v>
      </c>
      <c r="Z53" s="510">
        <f>TIME(J52,45,0)</f>
        <v>0.86458333333333337</v>
      </c>
      <c r="AA53" s="219"/>
      <c r="AC53" s="916" t="s">
        <v>7614</v>
      </c>
      <c r="AD53" s="917"/>
      <c r="AE53" s="917"/>
      <c r="AF53" s="645" t="e">
        <v>#NUM!</v>
      </c>
      <c r="AK53" s="454"/>
      <c r="AL53" s="457"/>
      <c r="AM53" s="456"/>
      <c r="AN53" s="457"/>
      <c r="AO53" s="453"/>
    </row>
    <row r="54" spans="1:43" ht="2.25" customHeight="1" x14ac:dyDescent="0.2">
      <c r="A54" s="219"/>
      <c r="B54" s="219"/>
      <c r="C54" s="219"/>
      <c r="D54" s="219"/>
      <c r="E54" s="219"/>
      <c r="F54" s="219"/>
      <c r="G54" s="219"/>
      <c r="H54" s="219"/>
      <c r="I54" s="219"/>
      <c r="AC54" s="10"/>
      <c r="AD54" s="10"/>
      <c r="AE54" s="10"/>
      <c r="AF54" s="10"/>
    </row>
    <row r="55" spans="1:43" hidden="1" x14ac:dyDescent="0.2">
      <c r="I55" s="449" t="s">
        <v>7238</v>
      </c>
      <c r="L55" s="449">
        <f>'GCal-Week'!X29</f>
        <v>0.14506944444444445</v>
      </c>
      <c r="Q55" s="449">
        <f>'GCal-Week'!X30</f>
        <v>0.1454398148148148</v>
      </c>
    </row>
    <row r="56" spans="1:43" ht="12.75" hidden="1" x14ac:dyDescent="0.2">
      <c r="I56" s="449" t="s">
        <v>7484</v>
      </c>
      <c r="L56" s="449">
        <f>'GCal-Week'!Y29</f>
        <v>0.21173611111111112</v>
      </c>
      <c r="Q56" s="449">
        <f>'GCal-Week'!Y30</f>
        <v>0.21210648148148148</v>
      </c>
      <c r="AC56" s="449">
        <v>0.22092592592592594</v>
      </c>
      <c r="AD56" s="448"/>
      <c r="AE56" s="448"/>
      <c r="AF56" s="448"/>
      <c r="AK56" s="10" t="str">
        <f ca="1">IFERROR(INDEX(Quotes!$B$2:$B$54,MATCH(Y5,Quotes!$A$2:$A$54,0)),"") &amp; CHAR(10) &amp; CHAR(10) &amp; IFERROR(INDEX(Quotes!$C$2:$C$54,MATCH(Y5,Quotes!$A$2:$A$54,0)),"") &amp; CHAR(10)  &amp; CHAR(10) &amp; IFERROR(INDEX(Quotes!$D$2:$D$54,MATCH(Y5,Quotes!$A$2:$A$54,0)),"")</f>
        <v xml:space="preserve"> धृतराष्ट्र उवाच ।
धर्मक्षेत्रे कुरुक्षेत्रे समवेता युयुत्सवः
मामकाः पाण्ड्वाश्चैव किमकुर्वत सञ्जय
dhṛtarāṣṭra uvāca
dharma-kṣetre kuru-kṣetre
samavetā yuyutsavaḥ
māmakāḥ pāṇḍavāś caiva
kim akurvata sañjaya
Dhrtarastra disse: Ó Sanjaya, que fizeram os meus filhos e os filhos de Pandu, depois de se reunirem no lugar de peregrinação de Kuruksetra, estando desejosos de lutar? (Bg. 1.1)</v>
      </c>
    </row>
    <row r="57" spans="1:43" ht="13.5" hidden="1" thickBot="1" x14ac:dyDescent="0.25">
      <c r="I57" s="449" t="s">
        <v>7485</v>
      </c>
      <c r="L57" s="449">
        <f>'GCal-Week'!Z29</f>
        <v>0.47396990740740735</v>
      </c>
      <c r="Q57" s="449">
        <f>'GCal-Week'!Z30</f>
        <v>0.47430555555555554</v>
      </c>
      <c r="AC57" s="449">
        <v>0.48082175925925924</v>
      </c>
      <c r="AD57" s="448"/>
      <c r="AE57" s="448"/>
      <c r="AF57" s="448"/>
    </row>
    <row r="58" spans="1:43" ht="12.75" hidden="1" x14ac:dyDescent="0.2">
      <c r="I58" s="449" t="s">
        <v>7486</v>
      </c>
      <c r="L58" s="449">
        <f>'GCal-Week'!AA29</f>
        <v>0.7362037037037038</v>
      </c>
      <c r="Q58" s="449">
        <f>'GCal-Week'!AA30</f>
        <v>0.73649305555555555</v>
      </c>
      <c r="AC58" s="449">
        <v>0.74070601851851858</v>
      </c>
      <c r="AD58" s="448"/>
      <c r="AE58" s="448"/>
      <c r="AF58" s="448"/>
      <c r="AK58" s="594"/>
      <c r="AL58" s="592">
        <f>'GCal-Week'!X29</f>
        <v>0.14506944444444445</v>
      </c>
      <c r="AM58" s="592"/>
      <c r="AN58" s="579" t="str">
        <f ca="1">'GCal-Translations'!C213</f>
        <v>Arunodaya</v>
      </c>
    </row>
    <row r="59" spans="1:43" hidden="1" x14ac:dyDescent="0.2">
      <c r="AK59" s="595"/>
      <c r="AL59" s="593">
        <f>'GCal-Week'!Y29</f>
        <v>0.21173611111111112</v>
      </c>
      <c r="AM59" s="593"/>
      <c r="AN59" s="580" t="str">
        <f ca="1">'GCal-Translations'!C214</f>
        <v>Nascer do sol</v>
      </c>
    </row>
    <row r="60" spans="1:43" hidden="1" x14ac:dyDescent="0.2">
      <c r="AK60" s="595"/>
      <c r="AL60" s="593">
        <f>'GCal-Week'!Z29</f>
        <v>0.47396990740740735</v>
      </c>
      <c r="AM60" s="593"/>
      <c r="AN60" s="581" t="str">
        <f ca="1">'GCal-Translations'!C215</f>
        <v>Meio-dia</v>
      </c>
    </row>
    <row r="61" spans="1:43" hidden="1" x14ac:dyDescent="0.2">
      <c r="AK61" s="596"/>
      <c r="AL61" s="593">
        <f>'GCal-Week'!AA29</f>
        <v>0.7362037037037038</v>
      </c>
      <c r="AM61" s="593"/>
      <c r="AN61" s="580" t="str">
        <f ca="1">'GCal-Translations'!C216</f>
        <v>Pôr do sol</v>
      </c>
    </row>
  </sheetData>
  <mergeCells count="52">
    <mergeCell ref="A1:F2"/>
    <mergeCell ref="G1:J1"/>
    <mergeCell ref="G2:J2"/>
    <mergeCell ref="G3:I4"/>
    <mergeCell ref="A3:F4"/>
    <mergeCell ref="AC35:AE35"/>
    <mergeCell ref="AC37:AE37"/>
    <mergeCell ref="AC39:AE39"/>
    <mergeCell ref="AC41:AE41"/>
    <mergeCell ref="AC43:AE43"/>
    <mergeCell ref="AC16:AE16"/>
    <mergeCell ref="AC17:AE17"/>
    <mergeCell ref="AC18:AE18"/>
    <mergeCell ref="A8:C8"/>
    <mergeCell ref="Q4:T10"/>
    <mergeCell ref="AC13:AE13"/>
    <mergeCell ref="L11:O11"/>
    <mergeCell ref="L12:O12"/>
    <mergeCell ref="L13:O13"/>
    <mergeCell ref="A6:I6"/>
    <mergeCell ref="J3:J10"/>
    <mergeCell ref="A9:C9"/>
    <mergeCell ref="A10:C10"/>
    <mergeCell ref="A7:C7"/>
    <mergeCell ref="AD1:AE2"/>
    <mergeCell ref="AC3:AE3"/>
    <mergeCell ref="AC4:AF10"/>
    <mergeCell ref="AC11:AE11"/>
    <mergeCell ref="AC12:AE12"/>
    <mergeCell ref="M1:N2"/>
    <mergeCell ref="R1:S2"/>
    <mergeCell ref="Q3:S3"/>
    <mergeCell ref="L53:N53"/>
    <mergeCell ref="Q53:S53"/>
    <mergeCell ref="L4:O10"/>
    <mergeCell ref="L3:N3"/>
    <mergeCell ref="AC53:AE53"/>
    <mergeCell ref="A39:I53"/>
    <mergeCell ref="A11:C11"/>
    <mergeCell ref="D11:I11"/>
    <mergeCell ref="AC19:AE19"/>
    <mergeCell ref="L14:O14"/>
    <mergeCell ref="Q11:T11"/>
    <mergeCell ref="Q12:T12"/>
    <mergeCell ref="Q13:T13"/>
    <mergeCell ref="Q14:T14"/>
    <mergeCell ref="AC20:AE20"/>
    <mergeCell ref="AC31:AE31"/>
    <mergeCell ref="AC33:AE33"/>
    <mergeCell ref="AC30:AE30"/>
    <mergeCell ref="AC14:AE14"/>
    <mergeCell ref="AC15:AE15"/>
  </mergeCells>
  <conditionalFormatting sqref="M1:N2 R1:S2">
    <cfRule type="expression" dxfId="40" priority="338" stopIfTrue="1">
      <formula>AL1="S"</formula>
    </cfRule>
    <cfRule type="expression" dxfId="39" priority="339" stopIfTrue="1">
      <formula>AL1="H"</formula>
    </cfRule>
    <cfRule type="expression" dxfId="38" priority="340" stopIfTrue="1">
      <formula>AL1="P"</formula>
    </cfRule>
    <cfRule type="expression" dxfId="37" priority="341" stopIfTrue="1">
      <formula>AL1="K"</formula>
    </cfRule>
    <cfRule type="expression" dxfId="36" priority="342" stopIfTrue="1">
      <formula>AL1="F"</formula>
    </cfRule>
    <cfRule type="expression" dxfId="35" priority="343" stopIfTrue="1">
      <formula>AL1="E"</formula>
    </cfRule>
    <cfRule type="expression" dxfId="34" priority="344" stopIfTrue="1">
      <formula>AL1="C"</formula>
    </cfRule>
  </conditionalFormatting>
  <hyperlinks>
    <hyperlink ref="J11" location="Index!E25" display="Index!E25" xr:uid="{00000000-0004-0000-0900-000000000000}"/>
  </hyperlinks>
  <printOptions horizontalCentered="1"/>
  <pageMargins left="0.19685039370078741" right="0.19685039370078741" top="0.19685039370078741" bottom="0.19685039370078741" header="0.11811023622047245" footer="0.11811023622047245"/>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3009" r:id="rId4" name="WeekSelect2">
              <controlPr defaultSize="0" print="0" autoPict="0">
                <anchor moveWithCells="1">
                  <from>
                    <xdr:col>9</xdr:col>
                    <xdr:colOff>57150</xdr:colOff>
                    <xdr:row>1</xdr:row>
                    <xdr:rowOff>19050</xdr:rowOff>
                  </from>
                  <to>
                    <xdr:col>10</xdr:col>
                    <xdr:colOff>0</xdr:colOff>
                    <xdr:row>2</xdr:row>
                    <xdr:rowOff>142875</xdr:rowOff>
                  </to>
                </anchor>
              </controlPr>
            </control>
          </mc:Choice>
        </mc:AlternateContent>
        <mc:AlternateContent xmlns:mc="http://schemas.openxmlformats.org/markup-compatibility/2006">
          <mc:Choice Requires="x14">
            <control shapeId="43010" r:id="rId5" name="YearSelect3">
              <controlPr defaultSize="0" print="0" autoPict="0">
                <anchor moveWithCells="1">
                  <from>
                    <xdr:col>0</xdr:col>
                    <xdr:colOff>57150</xdr:colOff>
                    <xdr:row>0</xdr:row>
                    <xdr:rowOff>47625</xdr:rowOff>
                  </from>
                  <to>
                    <xdr:col>1</xdr:col>
                    <xdr:colOff>19050</xdr:colOff>
                    <xdr:row>1</xdr:row>
                    <xdr:rowOff>180975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wksWeekRight">
    <pageSetUpPr fitToPage="1"/>
  </sheetPr>
  <dimension ref="A1:BH58"/>
  <sheetViews>
    <sheetView showGridLines="0" showRowColHeaders="0" showWhiteSpace="0" zoomScaleSheetLayoutView="100" workbookViewId="0"/>
  </sheetViews>
  <sheetFormatPr defaultColWidth="0" defaultRowHeight="18" zeroHeight="1" x14ac:dyDescent="0.25"/>
  <cols>
    <col min="1" max="1" width="3.140625" style="219" customWidth="1"/>
    <col min="2" max="2" width="1" style="219" customWidth="1"/>
    <col min="3" max="3" width="10.7109375" style="219" customWidth="1"/>
    <col min="4" max="6" width="4.28515625" style="219" customWidth="1"/>
    <col min="7" max="7" width="1" style="337" customWidth="1"/>
    <col min="8" max="8" width="10.7109375" style="219" customWidth="1"/>
    <col min="9" max="10" width="4.28515625" style="219" customWidth="1"/>
    <col min="11" max="11" width="4.28515625" style="337" customWidth="1"/>
    <col min="12" max="12" width="1" style="337" customWidth="1"/>
    <col min="13" max="13" width="10.7109375" style="337" customWidth="1"/>
    <col min="14" max="15" width="4.28515625" style="219" customWidth="1"/>
    <col min="16" max="16" width="4.28515625" style="337" customWidth="1"/>
    <col min="17" max="17" width="1" style="337" customWidth="1"/>
    <col min="18" max="18" width="3.28515625" style="337" customWidth="1"/>
    <col min="19" max="24" width="3.28515625" style="219" customWidth="1"/>
    <col min="25" max="25" width="0.42578125" style="508" customWidth="1"/>
    <col min="26" max="26" width="1.5703125" style="217" hidden="1" customWidth="1"/>
    <col min="27" max="28" width="6.42578125" style="219" hidden="1" customWidth="1"/>
    <col min="29" max="29" width="3.5703125" style="219" hidden="1" customWidth="1"/>
    <col min="30" max="30" width="2.85546875" style="219" hidden="1" customWidth="1"/>
    <col min="31" max="36" width="3.5703125" style="219" hidden="1" customWidth="1"/>
    <col min="37" max="37" width="2.85546875" style="219" hidden="1" customWidth="1"/>
    <col min="38" max="39" width="2.85546875" hidden="1" customWidth="1"/>
    <col min="40" max="41" width="3.5703125" style="219" hidden="1" customWidth="1"/>
    <col min="42" max="50" width="4.28515625" style="219" hidden="1" customWidth="1"/>
    <col min="51" max="51" width="11.85546875" style="219" hidden="1" customWidth="1"/>
    <col min="52" max="52" width="5.7109375" style="219" hidden="1" customWidth="1"/>
    <col min="53" max="53" width="7.140625" style="219" hidden="1" customWidth="1"/>
    <col min="54" max="54" width="5.7109375" style="219" hidden="1" customWidth="1"/>
    <col min="55" max="55" width="7.140625" style="219" hidden="1" customWidth="1"/>
    <col min="56" max="57" width="11.85546875" style="219" hidden="1" customWidth="1"/>
    <col min="58" max="58" width="4.28515625" style="219" hidden="1" customWidth="1"/>
    <col min="59" max="59" width="9.140625" style="219" hidden="1" customWidth="1"/>
    <col min="60" max="60" width="2.85546875" style="219" hidden="1" customWidth="1"/>
    <col min="61" max="16384" width="9.140625" style="219" hidden="1"/>
  </cols>
  <sheetData>
    <row r="1" spans="1:59" s="337" customFormat="1" ht="18" customHeight="1" x14ac:dyDescent="0.25">
      <c r="C1" s="575" t="str">
        <f ca="1">'GCal-Week'!B31</f>
        <v>Quarta</v>
      </c>
      <c r="D1" s="935">
        <f>'GCal-Week'!A31</f>
        <v>43467</v>
      </c>
      <c r="E1" s="935"/>
      <c r="F1" s="506" t="str">
        <f ca="1">'GCal-Week'!AD31</f>
        <v>Ming</v>
      </c>
      <c r="G1" s="506"/>
      <c r="H1" s="507" t="str">
        <f ca="1">'GCal-Week'!B32</f>
        <v>Quinta</v>
      </c>
      <c r="I1" s="935">
        <f>'GCal-Week'!A32</f>
        <v>43468</v>
      </c>
      <c r="J1" s="935"/>
      <c r="K1" s="506" t="str">
        <f ca="1">'GCal-Week'!AD32</f>
        <v>Ming</v>
      </c>
      <c r="L1" s="506"/>
      <c r="M1" s="507" t="str">
        <f ca="1">'GCal-Week'!B33</f>
        <v>Sexta</v>
      </c>
      <c r="N1" s="935">
        <f>'GCal-Week'!A33</f>
        <v>43469</v>
      </c>
      <c r="O1" s="935"/>
      <c r="P1" s="506" t="str">
        <f ca="1">'GCal-Week'!AD33</f>
        <v>Ming</v>
      </c>
      <c r="Q1" s="506"/>
      <c r="R1" s="961" t="str">
        <f ca="1">'GCal-Week'!B34</f>
        <v>Sábado</v>
      </c>
      <c r="S1" s="961" t="s">
        <v>7560</v>
      </c>
      <c r="T1" s="961" t="s">
        <v>677</v>
      </c>
      <c r="U1" s="935">
        <f>'GCal-Week'!A34</f>
        <v>43470</v>
      </c>
      <c r="V1" s="935"/>
      <c r="W1" s="935"/>
      <c r="X1" s="506" t="str">
        <f ca="1">'GCal-Week'!AD34</f>
        <v>Nova</v>
      </c>
      <c r="Y1" s="508"/>
      <c r="Z1" s="217"/>
      <c r="AC1" s="499" t="str">
        <f ca="1">'GCal-Week'!AB31</f>
        <v/>
      </c>
      <c r="AE1" s="950">
        <v>0</v>
      </c>
      <c r="AF1" s="950"/>
      <c r="AG1" s="505"/>
      <c r="AH1" s="499" t="str">
        <f ca="1">'GCal-Week'!AB32</f>
        <v>C</v>
      </c>
      <c r="AI1" s="951">
        <v>0</v>
      </c>
      <c r="AJ1" s="951"/>
      <c r="AM1" s="499" t="str">
        <f ca="1">'GCal-Week'!AB33</f>
        <v/>
      </c>
      <c r="AT1" s="499" t="str">
        <f ca="1">'GCal-Week'!AB34</f>
        <v/>
      </c>
      <c r="AU1" s="238"/>
      <c r="AV1" s="585" t="s">
        <v>7627</v>
      </c>
    </row>
    <row r="2" spans="1:59" s="337" customFormat="1" ht="18" customHeight="1" x14ac:dyDescent="0.25">
      <c r="C2" s="502" t="str">
        <f>'GCal-Week'!Q31</f>
        <v>Krsna Paksa</v>
      </c>
      <c r="D2" s="935"/>
      <c r="E2" s="935"/>
      <c r="F2" s="708" t="str">
        <f ca="1">'GCal-Week'!AF31</f>
        <v></v>
      </c>
      <c r="H2" s="502" t="str">
        <f>'GCal-Week'!Q32</f>
        <v>Krsna Paksa</v>
      </c>
      <c r="I2" s="935"/>
      <c r="J2" s="935"/>
      <c r="K2" s="708" t="str">
        <f ca="1">'GCal-Week'!AF32</f>
        <v></v>
      </c>
      <c r="M2" s="502" t="str">
        <f>'GCal-Week'!Q33</f>
        <v>Krsna Paksa</v>
      </c>
      <c r="N2" s="935"/>
      <c r="O2" s="935"/>
      <c r="P2" s="708" t="str">
        <f ca="1">'GCal-Week'!AF33</f>
        <v></v>
      </c>
      <c r="R2" s="971" t="str">
        <f>'GCal-Week'!Q34</f>
        <v>Krsna Paksa</v>
      </c>
      <c r="S2" s="971"/>
      <c r="T2" s="971"/>
      <c r="U2" s="935"/>
      <c r="V2" s="935"/>
      <c r="W2" s="935"/>
      <c r="X2" s="708" t="str">
        <f ca="1">'GCal-Week'!AF34</f>
        <v></v>
      </c>
      <c r="Y2" s="508"/>
      <c r="Z2" s="217"/>
      <c r="AC2" s="587" t="str">
        <f ca="1">C1</f>
        <v>Quarta</v>
      </c>
      <c r="AE2" s="950"/>
      <c r="AF2" s="950"/>
      <c r="AG2" s="505"/>
      <c r="AH2" s="587" t="str">
        <f ca="1">H1</f>
        <v>Quinta</v>
      </c>
      <c r="AI2" s="952">
        <v>0</v>
      </c>
      <c r="AJ2" s="972"/>
      <c r="AL2"/>
      <c r="AM2" s="586" t="str">
        <f ca="1">M1</f>
        <v>Sexta</v>
      </c>
      <c r="AT2" s="254" t="str">
        <f ca="1">R1</f>
        <v>Sábado</v>
      </c>
      <c r="AV2" s="254" t="s">
        <v>7628</v>
      </c>
    </row>
    <row r="3" spans="1:59" s="337" customFormat="1" ht="18" customHeight="1" x14ac:dyDescent="0.25">
      <c r="C3" s="936" t="str">
        <f>'GCal-Week'!R31</f>
        <v>Dvadasi Tithi</v>
      </c>
      <c r="D3" s="936"/>
      <c r="E3" s="936"/>
      <c r="F3" s="501" t="str">
        <f ca="1">'GCal-Week'!AC31</f>
        <v/>
      </c>
      <c r="H3" s="936" t="str">
        <f>'GCal-Week'!R32</f>
        <v>Trayodasi Tithi</v>
      </c>
      <c r="I3" s="936"/>
      <c r="J3" s="936"/>
      <c r="K3" s="501" t="str">
        <f ca="1">'GCal-Week'!AC32</f>
        <v/>
      </c>
      <c r="M3" s="936" t="str">
        <f>'GCal-Week'!R33</f>
        <v>Caturdasi Tithi</v>
      </c>
      <c r="N3" s="936"/>
      <c r="O3" s="936"/>
      <c r="P3" s="501" t="str">
        <f ca="1">'GCal-Week'!AC33</f>
        <v/>
      </c>
      <c r="R3" s="936" t="str">
        <f>'GCal-Week'!R34</f>
        <v>Amavasya Tithi</v>
      </c>
      <c r="S3" s="936"/>
      <c r="T3" s="936"/>
      <c r="U3" s="936"/>
      <c r="V3" s="936"/>
      <c r="W3" s="936"/>
      <c r="X3" s="501" t="str">
        <f ca="1">'GCal-Week'!AC34</f>
        <v/>
      </c>
      <c r="Y3" s="508"/>
      <c r="Z3" s="217"/>
      <c r="AA3" s="613"/>
      <c r="AB3" s="612" t="s">
        <v>7483</v>
      </c>
      <c r="AE3" s="954">
        <v>0</v>
      </c>
      <c r="AF3" s="954"/>
      <c r="AG3" s="954"/>
      <c r="AH3" s="954"/>
      <c r="AI3" s="953">
        <v>0</v>
      </c>
      <c r="AJ3" s="944">
        <v>0</v>
      </c>
      <c r="AL3"/>
      <c r="AM3"/>
    </row>
    <row r="4" spans="1:59" s="337" customFormat="1" ht="19.5" customHeight="1" x14ac:dyDescent="0.25">
      <c r="C4" s="938" t="e">
        <f ca="1">SUBSTITUTE('GCal-Week'!AK31,"|",CHAR(10))</f>
        <v>#VALUE!</v>
      </c>
      <c r="D4" s="938"/>
      <c r="E4" s="938"/>
      <c r="F4" s="938"/>
      <c r="G4" s="494"/>
      <c r="H4" s="938" t="e">
        <f ca="1">SUBSTITUTE('GCal-Week'!AK32,"|",CHAR(10))</f>
        <v>#VALUE!</v>
      </c>
      <c r="I4" s="938"/>
      <c r="J4" s="938"/>
      <c r="K4" s="938"/>
      <c r="L4" s="494"/>
      <c r="M4" s="938" t="e">
        <f ca="1">SUBSTITUTE('GCal-Week'!AK33,"|",CHAR(10))</f>
        <v>#VALUE!</v>
      </c>
      <c r="N4" s="938"/>
      <c r="O4" s="938"/>
      <c r="P4" s="938"/>
      <c r="Q4" s="494"/>
      <c r="R4" s="938" t="e">
        <f ca="1">SUBSTITUTE('GCal-Week'!AK34,"|",CHAR(10))</f>
        <v>#VALUE!</v>
      </c>
      <c r="S4" s="938"/>
      <c r="T4" s="938"/>
      <c r="U4" s="938"/>
      <c r="V4" s="938"/>
      <c r="W4" s="938"/>
      <c r="X4" s="938"/>
      <c r="Y4" s="508"/>
      <c r="Z4" s="217"/>
      <c r="AE4" s="954"/>
      <c r="AF4" s="954"/>
      <c r="AG4" s="954"/>
      <c r="AH4" s="954"/>
      <c r="AI4" s="953"/>
      <c r="AJ4" s="944"/>
      <c r="AL4"/>
      <c r="AM4"/>
      <c r="AO4" s="591"/>
      <c r="AY4" s="496" t="s">
        <v>1240</v>
      </c>
      <c r="AZ4" s="496" t="s">
        <v>172</v>
      </c>
      <c r="BA4" s="496" t="s">
        <v>1236</v>
      </c>
      <c r="BB4" s="496" t="s">
        <v>172</v>
      </c>
      <c r="BC4" s="496" t="s">
        <v>1236</v>
      </c>
      <c r="BD4" s="219"/>
      <c r="BE4" s="219"/>
      <c r="BF4" s="496" t="s">
        <v>7569</v>
      </c>
    </row>
    <row r="5" spans="1:59" s="337" customFormat="1" ht="19.5" customHeight="1" thickBot="1" x14ac:dyDescent="0.3">
      <c r="C5" s="939"/>
      <c r="D5" s="939"/>
      <c r="E5" s="939"/>
      <c r="F5" s="939"/>
      <c r="G5" s="494"/>
      <c r="H5" s="939"/>
      <c r="I5" s="939"/>
      <c r="J5" s="939"/>
      <c r="K5" s="939"/>
      <c r="L5" s="494"/>
      <c r="M5" s="939"/>
      <c r="N5" s="939"/>
      <c r="O5" s="939"/>
      <c r="P5" s="939"/>
      <c r="Q5" s="494"/>
      <c r="R5" s="939"/>
      <c r="S5" s="939"/>
      <c r="T5" s="939"/>
      <c r="U5" s="939"/>
      <c r="V5" s="939"/>
      <c r="W5" s="939"/>
      <c r="X5" s="939"/>
      <c r="Y5" s="508"/>
      <c r="Z5" s="217"/>
      <c r="AE5" s="973"/>
      <c r="AF5" s="973"/>
      <c r="AG5" s="973"/>
      <c r="AH5" s="973"/>
      <c r="AI5" s="974"/>
      <c r="AJ5" s="944"/>
      <c r="AL5"/>
      <c r="AM5"/>
      <c r="AP5" s="393" t="s">
        <v>7629</v>
      </c>
      <c r="AQ5" s="254" t="s">
        <v>1236</v>
      </c>
      <c r="AX5" s="393" t="s">
        <v>655</v>
      </c>
      <c r="AY5" s="500">
        <f>D1-2</f>
        <v>43465</v>
      </c>
      <c r="AZ5" s="499">
        <f>YEAR(AY5)</f>
        <v>2018</v>
      </c>
      <c r="BA5" s="499">
        <f>MONTH(AY5)</f>
        <v>12</v>
      </c>
      <c r="BB5" s="499">
        <f>AZ5</f>
        <v>2018</v>
      </c>
      <c r="BC5" s="499">
        <f>BA5</f>
        <v>12</v>
      </c>
      <c r="BD5" s="489">
        <f>DATE(BB5,BC5,1)</f>
        <v>43435</v>
      </c>
      <c r="BE5" s="489">
        <f>BD6-1</f>
        <v>43465</v>
      </c>
      <c r="BF5" s="499">
        <f>WEEKDAY(BD5,2)</f>
        <v>6</v>
      </c>
      <c r="BG5" s="254" t="s">
        <v>7619</v>
      </c>
    </row>
    <row r="6" spans="1:59" s="337" customFormat="1" ht="19.5" customHeight="1" thickBot="1" x14ac:dyDescent="0.3">
      <c r="C6" s="939"/>
      <c r="D6" s="939"/>
      <c r="E6" s="939"/>
      <c r="F6" s="939"/>
      <c r="G6" s="494"/>
      <c r="H6" s="939"/>
      <c r="I6" s="939"/>
      <c r="J6" s="939"/>
      <c r="K6" s="939"/>
      <c r="L6" s="494"/>
      <c r="M6" s="939"/>
      <c r="N6" s="939"/>
      <c r="O6" s="939"/>
      <c r="P6" s="939"/>
      <c r="Q6" s="494"/>
      <c r="R6" s="939"/>
      <c r="S6" s="939"/>
      <c r="T6" s="939"/>
      <c r="U6" s="939"/>
      <c r="V6" s="939"/>
      <c r="W6" s="939"/>
      <c r="X6" s="939"/>
      <c r="Y6" s="508"/>
      <c r="Z6" s="217"/>
      <c r="AE6" s="924">
        <v>0</v>
      </c>
      <c r="AF6" s="925"/>
      <c r="AG6" s="925"/>
      <c r="AH6" s="925"/>
      <c r="AI6" s="926"/>
      <c r="AJ6" s="944"/>
      <c r="AL6"/>
      <c r="AP6" s="504">
        <v>1</v>
      </c>
      <c r="AQ6" s="503" t="str">
        <f ca="1">'GPlan-Translations'!C226</f>
        <v>Janeiro</v>
      </c>
      <c r="AX6" s="393" t="s">
        <v>679</v>
      </c>
      <c r="AY6" s="500">
        <f>U16</f>
        <v>43471</v>
      </c>
      <c r="AZ6" s="499">
        <f>YEAR(AY6)</f>
        <v>2019</v>
      </c>
      <c r="BA6" s="499">
        <f>MONTH(AY6)</f>
        <v>1</v>
      </c>
      <c r="BB6" s="499">
        <f>IF(AZ6&lt;&gt;AZ5,AZ6,IF(BA5=12,AZ5+1,AZ5))</f>
        <v>2019</v>
      </c>
      <c r="BC6" s="499">
        <f>IF(BA6&lt;&gt;BA5,BA6,IF(BA5=12,1,BA5+1))</f>
        <v>1</v>
      </c>
      <c r="BD6" s="489">
        <f>DATE(BB6,BC6,1)</f>
        <v>43466</v>
      </c>
      <c r="BE6" s="489">
        <f>IF(MONTH(BD6)=12,DATE(YEAR(BD6)+1,1,1)-1,DATE(YEAR(BD6),MONTH(BD6)+1,1)-1)</f>
        <v>43496</v>
      </c>
      <c r="BF6" s="499">
        <f>WEEKDAY(BD6,2)</f>
        <v>2</v>
      </c>
      <c r="BG6" s="254" t="s">
        <v>7618</v>
      </c>
    </row>
    <row r="7" spans="1:59" s="337" customFormat="1" ht="19.5" customHeight="1" x14ac:dyDescent="0.25">
      <c r="B7" s="452" t="str">
        <f t="shared" ref="B7:B53" si="0">IF(OR(AND(C$55&gt;$AA7,C$55&lt;$AB7),AND(C$56&gt;$AA7,C$56&lt;$AB7),AND(C$57&gt; $AA7,C$57&lt;$AB7),AND(C$58&gt; $AA7,C$58&lt;$AB7)),"*","")</f>
        <v/>
      </c>
      <c r="C7" s="939"/>
      <c r="D7" s="939"/>
      <c r="E7" s="939"/>
      <c r="F7" s="939"/>
      <c r="G7" s="452" t="str">
        <f t="shared" ref="G7:G53" si="1">IF(OR(AND(H$55&gt;$AA7,H$55&lt;$AB7),AND(H$56&gt;$AA7,H$56&lt;$AB7),AND(H$57&gt; $AA7,H$57&lt;$AB7),AND(H$58&gt; $AA7,H$58&lt;$AB7)),"*","")</f>
        <v/>
      </c>
      <c r="H7" s="939"/>
      <c r="I7" s="939"/>
      <c r="J7" s="939"/>
      <c r="K7" s="939"/>
      <c r="L7" s="452" t="str">
        <f t="shared" ref="L7:L53" si="2">IF(OR(AND(M$55&gt;$AA7,M$55&lt;$AB7),AND(M$56&gt;$AA7,M$56&lt;$AB7),AND(M$57&gt; $AA7,M$57&lt;$AB7),AND(M$58&gt; $AA7,M$58&lt;$AB7)),"*","")</f>
        <v/>
      </c>
      <c r="M7" s="939"/>
      <c r="N7" s="939"/>
      <c r="O7" s="939"/>
      <c r="P7" s="939"/>
      <c r="Q7" s="494"/>
      <c r="R7" s="939"/>
      <c r="S7" s="939"/>
      <c r="T7" s="939"/>
      <c r="U7" s="939"/>
      <c r="V7" s="939"/>
      <c r="W7" s="939"/>
      <c r="X7" s="939"/>
      <c r="Y7" s="508"/>
      <c r="Z7" s="217"/>
      <c r="AA7" s="510">
        <f xml:space="preserve"> TIME($AC7-1,45,0)</f>
        <v>7.2916666666666671E-2</v>
      </c>
      <c r="AB7" s="510">
        <f>TIME($AC7,15,0)</f>
        <v>9.375E-2</v>
      </c>
      <c r="AC7" s="238">
        <f>AC9-1</f>
        <v>2</v>
      </c>
      <c r="AE7" s="947">
        <v>0</v>
      </c>
      <c r="AF7" s="948"/>
      <c r="AG7" s="948"/>
      <c r="AH7" s="498"/>
      <c r="AI7" s="470"/>
      <c r="AJ7" s="944"/>
      <c r="AL7"/>
      <c r="AP7" s="493">
        <v>2</v>
      </c>
      <c r="AQ7" s="492" t="str">
        <f ca="1">'GPlan-Translations'!C227</f>
        <v>Fevereiro</v>
      </c>
    </row>
    <row r="8" spans="1:59" s="337" customFormat="1" ht="19.5" customHeight="1" x14ac:dyDescent="0.25">
      <c r="B8" s="452" t="str">
        <f t="shared" si="0"/>
        <v/>
      </c>
      <c r="C8" s="939"/>
      <c r="D8" s="939"/>
      <c r="E8" s="939"/>
      <c r="F8" s="939"/>
      <c r="G8" s="452" t="str">
        <f t="shared" si="1"/>
        <v/>
      </c>
      <c r="H8" s="939"/>
      <c r="I8" s="939"/>
      <c r="J8" s="939"/>
      <c r="K8" s="939"/>
      <c r="L8" s="452" t="str">
        <f t="shared" si="2"/>
        <v/>
      </c>
      <c r="M8" s="939"/>
      <c r="N8" s="939"/>
      <c r="O8" s="939"/>
      <c r="P8" s="939"/>
      <c r="Q8" s="494"/>
      <c r="R8" s="939"/>
      <c r="S8" s="939"/>
      <c r="T8" s="939"/>
      <c r="U8" s="939"/>
      <c r="V8" s="939"/>
      <c r="W8" s="939"/>
      <c r="X8" s="939"/>
      <c r="Y8" s="508"/>
      <c r="Z8" s="217"/>
      <c r="AA8" s="510">
        <f xml:space="preserve"> TIME($AC7,15,0)</f>
        <v>9.375E-2</v>
      </c>
      <c r="AB8" s="510">
        <f>TIME($AC7,45,0)</f>
        <v>0.11458333333333333</v>
      </c>
      <c r="AC8" s="238"/>
      <c r="AE8" s="942">
        <v>0</v>
      </c>
      <c r="AF8" s="943"/>
      <c r="AG8" s="943"/>
      <c r="AH8" s="497"/>
      <c r="AI8" s="453"/>
      <c r="AJ8" s="944"/>
      <c r="AL8"/>
      <c r="AP8" s="493">
        <v>3</v>
      </c>
      <c r="AQ8" s="492" t="str">
        <f ca="1">'GPlan-Translations'!C228</f>
        <v>Março</v>
      </c>
      <c r="AY8" s="337">
        <v>1</v>
      </c>
      <c r="BD8" s="254"/>
    </row>
    <row r="9" spans="1:59" s="337" customFormat="1" ht="19.5" customHeight="1" x14ac:dyDescent="0.25">
      <c r="B9" s="452" t="str">
        <f t="shared" si="0"/>
        <v/>
      </c>
      <c r="C9" s="939"/>
      <c r="D9" s="939"/>
      <c r="E9" s="939"/>
      <c r="F9" s="939"/>
      <c r="G9" s="452" t="str">
        <f t="shared" si="1"/>
        <v/>
      </c>
      <c r="H9" s="939"/>
      <c r="I9" s="939"/>
      <c r="J9" s="939"/>
      <c r="K9" s="939"/>
      <c r="L9" s="452" t="str">
        <f t="shared" si="2"/>
        <v/>
      </c>
      <c r="M9" s="939"/>
      <c r="N9" s="939"/>
      <c r="O9" s="939"/>
      <c r="P9" s="939"/>
      <c r="Q9" s="494"/>
      <c r="R9" s="939"/>
      <c r="S9" s="939"/>
      <c r="T9" s="939"/>
      <c r="U9" s="939"/>
      <c r="V9" s="939"/>
      <c r="W9" s="939"/>
      <c r="X9" s="939"/>
      <c r="Y9" s="508"/>
      <c r="Z9" s="217"/>
      <c r="AA9" s="510">
        <f xml:space="preserve"> TIME($AC9-1,45,0)</f>
        <v>0.11458333333333333</v>
      </c>
      <c r="AB9" s="510">
        <f>TIME($AC9,15,0)</f>
        <v>0.13541666666666666</v>
      </c>
      <c r="AC9" s="238">
        <f>A11-1</f>
        <v>3</v>
      </c>
      <c r="AE9" s="942">
        <v>0</v>
      </c>
      <c r="AF9" s="943"/>
      <c r="AG9" s="943"/>
      <c r="AH9" s="497"/>
      <c r="AI9" s="453"/>
      <c r="AJ9" s="944"/>
      <c r="AL9"/>
      <c r="AP9" s="493">
        <v>4</v>
      </c>
      <c r="AQ9" s="492" t="str">
        <f ca="1">'GPlan-Translations'!C229</f>
        <v>Abril</v>
      </c>
      <c r="BC9" s="254"/>
      <c r="BD9" s="254"/>
    </row>
    <row r="10" spans="1:59" s="337" customFormat="1" ht="19.5" customHeight="1" thickBot="1" x14ac:dyDescent="0.3">
      <c r="B10" s="452" t="str">
        <f t="shared" si="0"/>
        <v>*</v>
      </c>
      <c r="C10" s="940"/>
      <c r="D10" s="940"/>
      <c r="E10" s="940"/>
      <c r="F10" s="940"/>
      <c r="G10" s="452" t="str">
        <f t="shared" si="1"/>
        <v>*</v>
      </c>
      <c r="H10" s="940"/>
      <c r="I10" s="940"/>
      <c r="J10" s="940"/>
      <c r="K10" s="940"/>
      <c r="L10" s="452" t="str">
        <f t="shared" si="2"/>
        <v>*</v>
      </c>
      <c r="M10" s="940"/>
      <c r="N10" s="940"/>
      <c r="O10" s="940"/>
      <c r="P10" s="940"/>
      <c r="Q10" s="494"/>
      <c r="R10" s="939"/>
      <c r="S10" s="939"/>
      <c r="T10" s="939"/>
      <c r="U10" s="939"/>
      <c r="V10" s="939"/>
      <c r="W10" s="939"/>
      <c r="X10" s="939"/>
      <c r="Y10" s="508"/>
      <c r="Z10" s="217"/>
      <c r="AA10" s="510">
        <f xml:space="preserve"> TIME($AC9,15,0)</f>
        <v>0.13541666666666666</v>
      </c>
      <c r="AB10" s="510">
        <f>TIME($AC9,45,0)</f>
        <v>0.15625</v>
      </c>
      <c r="AC10" s="451"/>
      <c r="AE10" s="945">
        <v>0</v>
      </c>
      <c r="AF10" s="946"/>
      <c r="AG10" s="946"/>
      <c r="AH10" s="495"/>
      <c r="AI10" s="459"/>
      <c r="AJ10" s="944"/>
      <c r="AL10"/>
      <c r="AP10" s="493">
        <v>5</v>
      </c>
      <c r="AQ10" s="492" t="str">
        <f ca="1">'GPlan-Translations'!C230</f>
        <v>Maio</v>
      </c>
      <c r="BD10" s="572"/>
    </row>
    <row r="11" spans="1:59" s="337" customFormat="1" ht="18" customHeight="1" thickBot="1" x14ac:dyDescent="0.3">
      <c r="A11" s="254" t="str">
        <f>Opções!R18</f>
        <v>4</v>
      </c>
      <c r="B11" s="452" t="str">
        <f t="shared" si="0"/>
        <v/>
      </c>
      <c r="C11" s="929" t="str">
        <f ca="1">'GCal-Week'!J31</f>
        <v/>
      </c>
      <c r="D11" s="929"/>
      <c r="E11" s="929"/>
      <c r="F11" s="929"/>
      <c r="G11" s="452" t="str">
        <f t="shared" si="1"/>
        <v/>
      </c>
      <c r="H11" s="929" t="str">
        <f ca="1">'GCal-Week'!J32</f>
        <v/>
      </c>
      <c r="I11" s="929"/>
      <c r="J11" s="929"/>
      <c r="K11" s="929"/>
      <c r="L11" s="452" t="str">
        <f t="shared" si="2"/>
        <v/>
      </c>
      <c r="M11" s="929" t="str">
        <f ca="1">'GCal-Week'!J33</f>
        <v/>
      </c>
      <c r="N11" s="929"/>
      <c r="O11" s="929"/>
      <c r="P11" s="929"/>
      <c r="R11" s="939"/>
      <c r="S11" s="939"/>
      <c r="T11" s="939"/>
      <c r="U11" s="939"/>
      <c r="V11" s="939"/>
      <c r="W11" s="939"/>
      <c r="X11" s="939"/>
      <c r="Y11" s="508"/>
      <c r="Z11" s="217"/>
      <c r="AA11" s="510">
        <f xml:space="preserve"> TIME($A11-1,45,0)</f>
        <v>0.15625</v>
      </c>
      <c r="AB11" s="510">
        <f>TIME($A11,15,0)</f>
        <v>0.17708333333333334</v>
      </c>
      <c r="AC11" s="451"/>
      <c r="AE11" s="924">
        <v>0</v>
      </c>
      <c r="AF11" s="925"/>
      <c r="AG11" s="925"/>
      <c r="AH11" s="924">
        <v>0</v>
      </c>
      <c r="AI11" s="926"/>
      <c r="AJ11" s="254">
        <v>0</v>
      </c>
      <c r="AL11"/>
      <c r="AP11" s="493">
        <v>6</v>
      </c>
      <c r="AQ11" s="492" t="str">
        <f ca="1">'GPlan-Translations'!C231</f>
        <v>Junho</v>
      </c>
    </row>
    <row r="12" spans="1:59" s="337" customFormat="1" ht="18" customHeight="1" x14ac:dyDescent="0.25">
      <c r="A12" s="254"/>
      <c r="B12" s="452" t="str">
        <f t="shared" si="0"/>
        <v/>
      </c>
      <c r="C12" s="928" t="str">
        <f ca="1">'GCal-Week'!K31</f>
        <v/>
      </c>
      <c r="D12" s="928"/>
      <c r="E12" s="928"/>
      <c r="F12" s="928"/>
      <c r="G12" s="452" t="str">
        <f t="shared" si="1"/>
        <v/>
      </c>
      <c r="H12" s="928" t="str">
        <f ca="1">'GCal-Week'!K32</f>
        <v/>
      </c>
      <c r="I12" s="928"/>
      <c r="J12" s="928"/>
      <c r="K12" s="928"/>
      <c r="L12" s="452" t="str">
        <f t="shared" si="2"/>
        <v/>
      </c>
      <c r="M12" s="928" t="str">
        <f ca="1">'GCal-Week'!K33</f>
        <v/>
      </c>
      <c r="N12" s="928"/>
      <c r="O12" s="928"/>
      <c r="P12" s="928"/>
      <c r="R12" s="939"/>
      <c r="S12" s="939"/>
      <c r="T12" s="939"/>
      <c r="U12" s="939"/>
      <c r="V12" s="939"/>
      <c r="W12" s="939"/>
      <c r="X12" s="939"/>
      <c r="Y12" s="508"/>
      <c r="Z12" s="217"/>
      <c r="AA12" s="510">
        <f xml:space="preserve"> TIME($A11,15,0)</f>
        <v>0.17708333333333334</v>
      </c>
      <c r="AB12" s="510">
        <f>TIME($A11,45,0)</f>
        <v>0.19791666666666666</v>
      </c>
      <c r="AC12" s="451"/>
      <c r="AE12" s="469"/>
      <c r="AG12" s="468"/>
      <c r="AH12" s="471"/>
      <c r="AI12" s="470"/>
      <c r="AJ12" s="254"/>
      <c r="AL12"/>
      <c r="AP12" s="493">
        <v>7</v>
      </c>
      <c r="AQ12" s="492" t="str">
        <f ca="1">'GPlan-Translations'!C232</f>
        <v>Julho</v>
      </c>
    </row>
    <row r="13" spans="1:59" s="337" customFormat="1" ht="18" customHeight="1" x14ac:dyDescent="0.25">
      <c r="A13" s="254">
        <f>A11+1</f>
        <v>5</v>
      </c>
      <c r="B13" s="452" t="str">
        <f t="shared" si="0"/>
        <v>*</v>
      </c>
      <c r="C13" s="928" t="str">
        <f ca="1">'GCal-Week'!L31</f>
        <v/>
      </c>
      <c r="D13" s="928"/>
      <c r="E13" s="928"/>
      <c r="F13" s="928"/>
      <c r="G13" s="452" t="str">
        <f t="shared" si="1"/>
        <v>*</v>
      </c>
      <c r="H13" s="928" t="str">
        <f ca="1">'GCal-Week'!L32</f>
        <v/>
      </c>
      <c r="I13" s="928"/>
      <c r="J13" s="928"/>
      <c r="K13" s="928"/>
      <c r="L13" s="452" t="str">
        <f t="shared" si="2"/>
        <v>*</v>
      </c>
      <c r="M13" s="928" t="str">
        <f ca="1">'GCal-Week'!L33</f>
        <v/>
      </c>
      <c r="N13" s="928"/>
      <c r="O13" s="928"/>
      <c r="P13" s="928"/>
      <c r="R13" s="939"/>
      <c r="S13" s="939"/>
      <c r="T13" s="939"/>
      <c r="U13" s="939"/>
      <c r="V13" s="939"/>
      <c r="W13" s="939"/>
      <c r="X13" s="939"/>
      <c r="Y13" s="508"/>
      <c r="Z13" s="217"/>
      <c r="AA13" s="510">
        <f xml:space="preserve"> TIME($A13-1,45,0)</f>
        <v>0.19791666666666666</v>
      </c>
      <c r="AB13" s="510">
        <f>TIME($A13,15,0)</f>
        <v>0.21875</v>
      </c>
      <c r="AC13" s="451"/>
      <c r="AE13" s="469"/>
      <c r="AG13" s="468"/>
      <c r="AH13" s="454"/>
      <c r="AI13" s="453"/>
      <c r="AJ13" s="254">
        <v>1</v>
      </c>
      <c r="AL13"/>
      <c r="AP13" s="493">
        <v>8</v>
      </c>
      <c r="AQ13" s="492" t="str">
        <f ca="1">'GPlan-Translations'!C233</f>
        <v>Agosto</v>
      </c>
    </row>
    <row r="14" spans="1:59" s="337" customFormat="1" x14ac:dyDescent="0.25">
      <c r="A14" s="254"/>
      <c r="B14" s="452" t="str">
        <f t="shared" si="0"/>
        <v/>
      </c>
      <c r="C14" s="928" t="str">
        <f ca="1">'GCal-Week'!M31</f>
        <v/>
      </c>
      <c r="D14" s="928"/>
      <c r="E14" s="928"/>
      <c r="F14" s="928"/>
      <c r="G14" s="452" t="str">
        <f t="shared" si="1"/>
        <v/>
      </c>
      <c r="H14" s="928" t="str">
        <f ca="1">'GCal-Week'!M32</f>
        <v/>
      </c>
      <c r="I14" s="928"/>
      <c r="J14" s="928"/>
      <c r="K14" s="928"/>
      <c r="L14" s="452" t="str">
        <f t="shared" si="2"/>
        <v/>
      </c>
      <c r="M14" s="928" t="str">
        <f ca="1">'GCal-Week'!M33</f>
        <v/>
      </c>
      <c r="N14" s="928"/>
      <c r="O14" s="928"/>
      <c r="P14" s="928"/>
      <c r="R14" s="939"/>
      <c r="S14" s="939"/>
      <c r="T14" s="939"/>
      <c r="U14" s="939"/>
      <c r="V14" s="939"/>
      <c r="W14" s="939"/>
      <c r="X14" s="939"/>
      <c r="Y14" s="508"/>
      <c r="Z14" s="217"/>
      <c r="AA14" s="510">
        <f xml:space="preserve"> TIME($A13,15,0)</f>
        <v>0.21875</v>
      </c>
      <c r="AB14" s="510">
        <f>TIME($A13,45,0)</f>
        <v>0.23958333333333334</v>
      </c>
      <c r="AC14" s="451"/>
      <c r="AE14" s="469"/>
      <c r="AG14" s="468"/>
      <c r="AH14" s="454"/>
      <c r="AI14" s="453"/>
      <c r="AJ14" s="254"/>
      <c r="AL14"/>
      <c r="AP14" s="493">
        <v>9</v>
      </c>
      <c r="AQ14" s="492" t="str">
        <f ca="1">'GPlan-Translations'!C234</f>
        <v>Setembro</v>
      </c>
      <c r="BB14" s="496"/>
      <c r="BC14" s="496"/>
      <c r="BD14" s="572"/>
    </row>
    <row r="15" spans="1:59" s="337" customFormat="1" ht="18.75" thickBot="1" x14ac:dyDescent="0.3">
      <c r="A15" s="254">
        <f>A13+1</f>
        <v>6</v>
      </c>
      <c r="B15" s="452" t="str">
        <f t="shared" si="0"/>
        <v/>
      </c>
      <c r="C15" s="513"/>
      <c r="D15" s="456"/>
      <c r="E15" s="456"/>
      <c r="F15" s="458"/>
      <c r="G15" s="452" t="str">
        <f t="shared" si="1"/>
        <v/>
      </c>
      <c r="H15" s="457"/>
      <c r="I15" s="456"/>
      <c r="J15" s="456"/>
      <c r="K15" s="458"/>
      <c r="L15" s="452" t="str">
        <f t="shared" si="2"/>
        <v/>
      </c>
      <c r="M15" s="930"/>
      <c r="N15" s="930"/>
      <c r="O15" s="930"/>
      <c r="P15" s="458"/>
      <c r="R15" s="959" t="str">
        <f>IFERROR(T("Naksatra: " &amp; 'GCal-Week'!S34 &amp; CHAR(10) &amp; "Yoga: " &amp; 'GCal-Week'!T34),"")</f>
        <v>Naksatra: Mula
Yoga: Dhruva</v>
      </c>
      <c r="S15" s="959"/>
      <c r="T15" s="959"/>
      <c r="U15" s="959" t="s">
        <v>7560</v>
      </c>
      <c r="V15" s="959"/>
      <c r="W15" s="959"/>
      <c r="X15" s="574" t="str">
        <f>'GCal-Week'!AG34 &amp; CHAR(10) &amp; 'GCal-Week'!AH34</f>
        <v>5
360</v>
      </c>
      <c r="Y15" s="508"/>
      <c r="Z15" s="217"/>
      <c r="AA15" s="510">
        <f xml:space="preserve"> TIME($A15-1,45,0)</f>
        <v>0.23958333333333334</v>
      </c>
      <c r="AB15" s="510">
        <f>TIME($A15,15,0)</f>
        <v>0.26041666666666669</v>
      </c>
      <c r="AC15" s="451"/>
      <c r="AE15" s="469"/>
      <c r="AG15" s="468"/>
      <c r="AH15" s="454"/>
      <c r="AI15" s="453"/>
      <c r="AJ15" s="254">
        <v>2</v>
      </c>
      <c r="AL15"/>
      <c r="AP15" s="493">
        <v>10</v>
      </c>
      <c r="AQ15" s="492" t="str">
        <f ca="1">'GPlan-Translations'!C235</f>
        <v>Outubro</v>
      </c>
    </row>
    <row r="16" spans="1:59" s="337" customFormat="1" ht="18" customHeight="1" thickBot="1" x14ac:dyDescent="0.3">
      <c r="A16" s="254"/>
      <c r="B16" s="452" t="str">
        <f t="shared" si="0"/>
        <v/>
      </c>
      <c r="C16" s="513"/>
      <c r="D16" s="456"/>
      <c r="E16" s="456"/>
      <c r="F16" s="458"/>
      <c r="G16" s="452" t="str">
        <f t="shared" si="1"/>
        <v/>
      </c>
      <c r="H16" s="457"/>
      <c r="I16" s="456"/>
      <c r="J16" s="456"/>
      <c r="K16" s="458"/>
      <c r="L16" s="452" t="str">
        <f t="shared" si="2"/>
        <v/>
      </c>
      <c r="M16" s="960"/>
      <c r="N16" s="960"/>
      <c r="O16" s="960"/>
      <c r="P16" s="458"/>
      <c r="R16" s="644" t="str">
        <f ca="1">'GCal-Week'!B35</f>
        <v>Domingo</v>
      </c>
      <c r="S16" s="644"/>
      <c r="T16" s="644"/>
      <c r="U16" s="955">
        <f>'GCal-Week'!A35</f>
        <v>43471</v>
      </c>
      <c r="V16" s="955"/>
      <c r="W16" s="955"/>
      <c r="X16" s="573" t="str">
        <f ca="1">'GCal-Week'!AD35</f>
        <v>Nova</v>
      </c>
      <c r="Y16" s="508"/>
      <c r="Z16" s="217"/>
      <c r="AA16" s="510">
        <f xml:space="preserve"> TIME($A15,15,0)</f>
        <v>0.26041666666666669</v>
      </c>
      <c r="AB16" s="510">
        <f>TIME($A15,45,0)</f>
        <v>0.28125</v>
      </c>
      <c r="AC16" s="451"/>
      <c r="AE16" s="469"/>
      <c r="AG16" s="468"/>
      <c r="AH16" s="460"/>
      <c r="AI16" s="459"/>
      <c r="AJ16" s="254"/>
      <c r="AL16"/>
      <c r="AP16" s="493">
        <v>11</v>
      </c>
      <c r="AQ16" s="492" t="str">
        <f ca="1">'GPlan-Translations'!C236</f>
        <v>Novembro</v>
      </c>
      <c r="AT16" s="499" t="str">
        <f ca="1">'GCal-Week'!AB35</f>
        <v>C</v>
      </c>
    </row>
    <row r="17" spans="1:57" s="337" customFormat="1" x14ac:dyDescent="0.25">
      <c r="A17" s="254">
        <f>A15+1</f>
        <v>7</v>
      </c>
      <c r="B17" s="452" t="str">
        <f t="shared" si="0"/>
        <v/>
      </c>
      <c r="C17" s="513"/>
      <c r="D17" s="456"/>
      <c r="E17" s="456"/>
      <c r="F17" s="458"/>
      <c r="G17" s="452" t="str">
        <f t="shared" si="1"/>
        <v/>
      </c>
      <c r="H17" s="457"/>
      <c r="I17" s="456"/>
      <c r="J17" s="456"/>
      <c r="K17" s="458"/>
      <c r="L17" s="452" t="str">
        <f t="shared" si="2"/>
        <v/>
      </c>
      <c r="M17" s="960"/>
      <c r="N17" s="960"/>
      <c r="O17" s="960"/>
      <c r="P17" s="458"/>
      <c r="R17" s="957" t="str">
        <f>'GCal-Week'!Q35</f>
        <v>Gaura Paksa</v>
      </c>
      <c r="S17" s="957"/>
      <c r="T17" s="957"/>
      <c r="U17" s="956"/>
      <c r="V17" s="956"/>
      <c r="W17" s="956"/>
      <c r="X17" s="708" t="str">
        <f ca="1">'GCal-Week'!AF35</f>
        <v></v>
      </c>
      <c r="Y17" s="508"/>
      <c r="Z17" s="217"/>
      <c r="AA17" s="510">
        <f xml:space="preserve"> TIME($A17-1,45,0)</f>
        <v>0.28125</v>
      </c>
      <c r="AB17" s="510">
        <f>TIME($A17,15,0)</f>
        <v>0.30208333333333331</v>
      </c>
      <c r="AC17" s="451"/>
      <c r="AE17" s="488"/>
      <c r="AF17" s="487"/>
      <c r="AG17" s="486"/>
      <c r="AH17" s="485"/>
      <c r="AI17" s="484"/>
      <c r="AJ17" s="254">
        <v>3</v>
      </c>
      <c r="AL17"/>
      <c r="AP17" s="491">
        <v>12</v>
      </c>
      <c r="AQ17" s="490" t="str">
        <f ca="1">'GPlan-Translations'!C237</f>
        <v>Dezembro</v>
      </c>
      <c r="AT17" s="588" t="str">
        <f ca="1">R16</f>
        <v>Domingo</v>
      </c>
    </row>
    <row r="18" spans="1:57" s="337" customFormat="1" ht="18" customHeight="1" x14ac:dyDescent="0.25">
      <c r="A18" s="254"/>
      <c r="B18" s="452" t="str">
        <f t="shared" si="0"/>
        <v/>
      </c>
      <c r="C18" s="513"/>
      <c r="D18" s="456"/>
      <c r="E18" s="456"/>
      <c r="F18" s="458"/>
      <c r="G18" s="452" t="str">
        <f t="shared" si="1"/>
        <v/>
      </c>
      <c r="H18" s="457"/>
      <c r="I18" s="456"/>
      <c r="J18" s="456"/>
      <c r="K18" s="458"/>
      <c r="L18" s="452" t="str">
        <f t="shared" si="2"/>
        <v/>
      </c>
      <c r="M18" s="960"/>
      <c r="N18" s="960"/>
      <c r="O18" s="960"/>
      <c r="P18" s="458"/>
      <c r="R18" s="958" t="str">
        <f>'GCal-Week'!R35</f>
        <v>Pratipat Tithi</v>
      </c>
      <c r="S18" s="958"/>
      <c r="T18" s="958"/>
      <c r="U18" s="958"/>
      <c r="V18" s="958"/>
      <c r="W18" s="958"/>
      <c r="X18" s="501" t="str">
        <f ca="1">'GCal-Week'!AC35</f>
        <v/>
      </c>
      <c r="Y18" s="508"/>
      <c r="Z18" s="217"/>
      <c r="AA18" s="510">
        <f xml:space="preserve"> TIME($A17,15,0)</f>
        <v>0.30208333333333331</v>
      </c>
      <c r="AB18" s="510">
        <f>TIME($A17,45,0)</f>
        <v>0.32291666666666669</v>
      </c>
      <c r="AC18" s="451"/>
      <c r="AE18" s="469"/>
      <c r="AG18" s="468"/>
      <c r="AH18" s="454"/>
      <c r="AI18" s="453"/>
      <c r="AJ18" s="254"/>
      <c r="AL18"/>
      <c r="AM18"/>
      <c r="AN18" s="254"/>
      <c r="AO18" s="254"/>
      <c r="AR18" s="496"/>
      <c r="AS18" s="496"/>
      <c r="AT18" s="496"/>
      <c r="AU18" s="572"/>
    </row>
    <row r="19" spans="1:57" s="337" customFormat="1" ht="18" customHeight="1" x14ac:dyDescent="0.25">
      <c r="A19" s="254">
        <f>A17+1</f>
        <v>8</v>
      </c>
      <c r="B19" s="452" t="str">
        <f>IF(OR(AND(C$55&gt;$AA19,C$55&lt;$AB19),AND(C$56&gt;$AA19,C$56&lt;$AB19),AND(C$57&gt; $AA19,C$57&lt;$AB19),AND(C$58&gt; $AA19,C$58&lt;$AB19)),"*","")</f>
        <v/>
      </c>
      <c r="C19" s="513"/>
      <c r="D19" s="456"/>
      <c r="E19" s="456"/>
      <c r="F19" s="458"/>
      <c r="G19" s="452" t="str">
        <f t="shared" si="1"/>
        <v/>
      </c>
      <c r="H19" s="457"/>
      <c r="I19" s="456"/>
      <c r="J19" s="456"/>
      <c r="K19" s="458"/>
      <c r="L19" s="452" t="str">
        <f t="shared" si="2"/>
        <v/>
      </c>
      <c r="M19" s="960"/>
      <c r="N19" s="960"/>
      <c r="O19" s="960"/>
      <c r="P19" s="458"/>
      <c r="R19" s="938" t="e">
        <f ca="1">SUBSTITUTE('GCal-Week'!AK35,"|",CHAR(10))</f>
        <v>#VALUE!</v>
      </c>
      <c r="S19" s="938"/>
      <c r="T19" s="938"/>
      <c r="U19" s="938"/>
      <c r="V19" s="938"/>
      <c r="W19" s="938"/>
      <c r="X19" s="938"/>
      <c r="Y19" s="508"/>
      <c r="Z19" s="217"/>
      <c r="AA19" s="510">
        <f xml:space="preserve"> TIME($A19-1,45,0)</f>
        <v>0.32291666666666669</v>
      </c>
      <c r="AB19" s="510">
        <f>TIME($A19,15,0)</f>
        <v>0.34375</v>
      </c>
      <c r="AC19" s="451"/>
      <c r="AE19" s="647"/>
      <c r="AG19" s="468"/>
      <c r="AH19" s="454"/>
      <c r="AI19" s="453"/>
      <c r="AJ19" s="254">
        <v>4</v>
      </c>
      <c r="AL19"/>
      <c r="AM19"/>
      <c r="AN19" s="254"/>
      <c r="AO19" s="254"/>
      <c r="BA19" s="254"/>
    </row>
    <row r="20" spans="1:57" s="337" customFormat="1" ht="18" customHeight="1" x14ac:dyDescent="0.25">
      <c r="A20" s="254"/>
      <c r="B20" s="452" t="str">
        <f>IF(OR(AND(C$55&gt;$AA20,C$55&lt;$AB20),AND(C$56&gt;$AA20,C$56&lt;$AB20),AND(C$57&gt; $AA20,C$57&lt;$AB20),AND(C$58&gt; $AA20,C$58&lt;$AB20)),"*","")</f>
        <v/>
      </c>
      <c r="C20" s="513"/>
      <c r="D20" s="456"/>
      <c r="E20" s="456"/>
      <c r="F20" s="458"/>
      <c r="G20" s="452" t="str">
        <f t="shared" si="1"/>
        <v/>
      </c>
      <c r="H20" s="457"/>
      <c r="I20" s="456"/>
      <c r="J20" s="456"/>
      <c r="K20" s="458"/>
      <c r="L20" s="452" t="str">
        <f t="shared" si="2"/>
        <v/>
      </c>
      <c r="M20" s="457"/>
      <c r="N20" s="456"/>
      <c r="O20" s="456"/>
      <c r="P20" s="458"/>
      <c r="R20" s="939"/>
      <c r="S20" s="939"/>
      <c r="T20" s="939"/>
      <c r="U20" s="939"/>
      <c r="V20" s="939"/>
      <c r="W20" s="939"/>
      <c r="X20" s="939"/>
      <c r="Y20" s="508"/>
      <c r="Z20" s="217"/>
      <c r="AA20" s="510">
        <f xml:space="preserve"> TIME($A19,15,0)</f>
        <v>0.34375</v>
      </c>
      <c r="AB20" s="510">
        <f>TIME($A19,45,0)</f>
        <v>0.36458333333333331</v>
      </c>
      <c r="AC20" s="451"/>
      <c r="AE20" s="598"/>
      <c r="AG20" s="604"/>
      <c r="AH20" s="454"/>
      <c r="AI20" s="453"/>
      <c r="AJ20" s="254"/>
      <c r="AL20"/>
      <c r="AM20"/>
      <c r="AN20" s="254"/>
      <c r="AO20" s="254"/>
      <c r="AP20" s="520"/>
      <c r="AQ20" s="254"/>
      <c r="AR20" s="254"/>
      <c r="AS20" s="254"/>
      <c r="AT20" s="254"/>
      <c r="AU20" s="254"/>
      <c r="AV20" s="254"/>
      <c r="AW20" s="254"/>
    </row>
    <row r="21" spans="1:57" s="254" customFormat="1" ht="18" customHeight="1" x14ac:dyDescent="0.25">
      <c r="A21" s="254">
        <f>A19+1</f>
        <v>9</v>
      </c>
      <c r="B21" s="452" t="str">
        <f t="shared" si="0"/>
        <v/>
      </c>
      <c r="C21" s="519"/>
      <c r="D21" s="456"/>
      <c r="E21" s="456"/>
      <c r="F21" s="458"/>
      <c r="G21" s="452" t="str">
        <f t="shared" si="1"/>
        <v/>
      </c>
      <c r="H21" s="456"/>
      <c r="I21" s="456"/>
      <c r="J21" s="456"/>
      <c r="K21" s="458"/>
      <c r="L21" s="452" t="str">
        <f t="shared" si="2"/>
        <v/>
      </c>
      <c r="M21" s="456"/>
      <c r="N21" s="456"/>
      <c r="O21" s="456"/>
      <c r="P21" s="458"/>
      <c r="Q21" s="337"/>
      <c r="R21" s="939"/>
      <c r="S21" s="939"/>
      <c r="T21" s="939"/>
      <c r="U21" s="939"/>
      <c r="V21" s="939"/>
      <c r="W21" s="939"/>
      <c r="X21" s="939"/>
      <c r="Y21" s="492"/>
      <c r="Z21" s="518"/>
      <c r="AA21" s="510">
        <f xml:space="preserve"> TIME($A21-1,45,0)</f>
        <v>0.36458333333333331</v>
      </c>
      <c r="AB21" s="510">
        <f>TIME($A21,15,0)</f>
        <v>0.38541666666666669</v>
      </c>
      <c r="AC21" s="451"/>
      <c r="AE21" s="598"/>
      <c r="AF21" s="337"/>
      <c r="AG21" s="604"/>
      <c r="AH21" s="454"/>
      <c r="AI21" s="453"/>
      <c r="AJ21" s="254">
        <v>12</v>
      </c>
      <c r="AL21"/>
      <c r="AM21"/>
      <c r="AO21" s="517"/>
      <c r="AP21" s="516"/>
    </row>
    <row r="22" spans="1:57" s="337" customFormat="1" ht="18" customHeight="1" thickBot="1" x14ac:dyDescent="0.3">
      <c r="A22" s="254"/>
      <c r="B22" s="452" t="str">
        <f t="shared" si="0"/>
        <v/>
      </c>
      <c r="C22" s="513"/>
      <c r="D22" s="456"/>
      <c r="E22" s="456"/>
      <c r="F22" s="458"/>
      <c r="G22" s="452" t="str">
        <f t="shared" si="1"/>
        <v/>
      </c>
      <c r="H22" s="457"/>
      <c r="I22" s="456"/>
      <c r="J22" s="456"/>
      <c r="K22" s="458"/>
      <c r="L22" s="452" t="str">
        <f t="shared" si="2"/>
        <v/>
      </c>
      <c r="M22" s="457"/>
      <c r="N22" s="456"/>
      <c r="O22" s="456"/>
      <c r="P22" s="458"/>
      <c r="R22" s="939"/>
      <c r="S22" s="939"/>
      <c r="T22" s="939"/>
      <c r="U22" s="939"/>
      <c r="V22" s="939"/>
      <c r="W22" s="939"/>
      <c r="X22" s="939"/>
      <c r="Y22" s="508"/>
      <c r="Z22" s="217"/>
      <c r="AA22" s="510">
        <f xml:space="preserve"> TIME($A21,15,0)</f>
        <v>0.38541666666666669</v>
      </c>
      <c r="AB22" s="510">
        <f>TIME($A21,45,0)</f>
        <v>0.40625</v>
      </c>
      <c r="AC22" s="451"/>
      <c r="AE22" s="467"/>
      <c r="AF22" s="466"/>
      <c r="AG22" s="465"/>
      <c r="AH22" s="464"/>
      <c r="AI22" s="463"/>
      <c r="AJ22" s="254"/>
      <c r="AL22"/>
      <c r="AM22"/>
      <c r="AN22" s="254"/>
    </row>
    <row r="23" spans="1:57" s="337" customFormat="1" ht="18" customHeight="1" x14ac:dyDescent="0.25">
      <c r="A23" s="254">
        <f>A21+1</f>
        <v>10</v>
      </c>
      <c r="B23" s="452" t="str">
        <f t="shared" si="0"/>
        <v/>
      </c>
      <c r="C23" s="513"/>
      <c r="D23" s="456"/>
      <c r="E23" s="456"/>
      <c r="F23" s="458"/>
      <c r="G23" s="452" t="str">
        <f t="shared" si="1"/>
        <v/>
      </c>
      <c r="H23" s="457"/>
      <c r="I23" s="456"/>
      <c r="J23" s="456"/>
      <c r="K23" s="458"/>
      <c r="L23" s="452" t="str">
        <f t="shared" si="2"/>
        <v/>
      </c>
      <c r="M23" s="457"/>
      <c r="N23" s="456"/>
      <c r="O23" s="456"/>
      <c r="P23" s="458"/>
      <c r="R23" s="939"/>
      <c r="S23" s="939"/>
      <c r="T23" s="939"/>
      <c r="U23" s="939"/>
      <c r="V23" s="939"/>
      <c r="W23" s="939"/>
      <c r="X23" s="939"/>
      <c r="Y23" s="508"/>
      <c r="Z23" s="217"/>
      <c r="AA23" s="510">
        <f xml:space="preserve"> TIME($A23-1,45,0)</f>
        <v>0.40625</v>
      </c>
      <c r="AB23" s="510">
        <f>TIME($A23,15,0)</f>
        <v>0.42708333333333331</v>
      </c>
      <c r="AC23" s="451"/>
      <c r="AE23" s="598"/>
      <c r="AG23" s="604"/>
      <c r="AH23" s="462"/>
      <c r="AI23" s="461"/>
      <c r="AJ23" s="254">
        <v>13</v>
      </c>
      <c r="AL23"/>
      <c r="AM23"/>
      <c r="AN23" s="254"/>
    </row>
    <row r="24" spans="1:57" s="337" customFormat="1" ht="18" customHeight="1" x14ac:dyDescent="0.25">
      <c r="A24" s="254"/>
      <c r="B24" s="452" t="str">
        <f t="shared" si="0"/>
        <v/>
      </c>
      <c r="C24" s="513"/>
      <c r="D24" s="456"/>
      <c r="E24" s="456"/>
      <c r="F24" s="458"/>
      <c r="G24" s="452" t="str">
        <f t="shared" si="1"/>
        <v/>
      </c>
      <c r="H24" s="457"/>
      <c r="I24" s="456"/>
      <c r="J24" s="456"/>
      <c r="K24" s="458"/>
      <c r="L24" s="452" t="str">
        <f t="shared" si="2"/>
        <v/>
      </c>
      <c r="M24" s="457"/>
      <c r="N24" s="456"/>
      <c r="O24" s="456"/>
      <c r="P24" s="455"/>
      <c r="R24" s="939"/>
      <c r="S24" s="939"/>
      <c r="T24" s="939"/>
      <c r="U24" s="939"/>
      <c r="V24" s="939"/>
      <c r="W24" s="939"/>
      <c r="X24" s="939"/>
      <c r="Y24" s="515"/>
      <c r="Z24" s="217"/>
      <c r="AA24" s="510">
        <f xml:space="preserve"> TIME($A23,15,0)</f>
        <v>0.42708333333333331</v>
      </c>
      <c r="AB24" s="510">
        <f>TIME($A23,45,0)</f>
        <v>0.44791666666666669</v>
      </c>
      <c r="AC24" s="451"/>
      <c r="AE24" s="598"/>
      <c r="AG24" s="604"/>
      <c r="AH24" s="454"/>
      <c r="AI24" s="453"/>
      <c r="AJ24" s="254"/>
      <c r="AL24"/>
      <c r="AM24"/>
      <c r="AN24" s="254"/>
    </row>
    <row r="25" spans="1:57" s="337" customFormat="1" ht="18" customHeight="1" x14ac:dyDescent="0.25">
      <c r="A25" s="254">
        <f>A23+1</f>
        <v>11</v>
      </c>
      <c r="B25" s="452" t="str">
        <f t="shared" si="0"/>
        <v/>
      </c>
      <c r="C25" s="513"/>
      <c r="D25" s="456"/>
      <c r="E25" s="456"/>
      <c r="F25" s="458"/>
      <c r="G25" s="452" t="str">
        <f t="shared" si="1"/>
        <v/>
      </c>
      <c r="H25" s="457"/>
      <c r="I25" s="456"/>
      <c r="J25" s="456"/>
      <c r="K25" s="458"/>
      <c r="L25" s="452" t="str">
        <f t="shared" si="2"/>
        <v/>
      </c>
      <c r="M25" s="457"/>
      <c r="N25" s="456"/>
      <c r="O25" s="456"/>
      <c r="P25" s="455"/>
      <c r="R25" s="939"/>
      <c r="S25" s="939"/>
      <c r="T25" s="939"/>
      <c r="U25" s="939"/>
      <c r="V25" s="939"/>
      <c r="W25" s="939"/>
      <c r="X25" s="939"/>
      <c r="Y25" s="514"/>
      <c r="Z25" s="217"/>
      <c r="AA25" s="510">
        <f xml:space="preserve"> TIME($A25-1,45,0)</f>
        <v>0.44791666666666669</v>
      </c>
      <c r="AB25" s="510">
        <f>TIME($A25,15,0)</f>
        <v>0.46875</v>
      </c>
      <c r="AC25" s="451"/>
      <c r="AE25" s="598"/>
      <c r="AG25" s="604"/>
      <c r="AH25" s="454"/>
      <c r="AI25" s="453"/>
      <c r="AJ25" s="254">
        <v>14</v>
      </c>
      <c r="AL25"/>
      <c r="AM25"/>
      <c r="AN25" s="254"/>
    </row>
    <row r="26" spans="1:57" s="337" customFormat="1" ht="18" customHeight="1" x14ac:dyDescent="0.25">
      <c r="A26" s="254"/>
      <c r="B26" s="452" t="str">
        <f t="shared" si="0"/>
        <v>*</v>
      </c>
      <c r="C26" s="513"/>
      <c r="D26" s="456"/>
      <c r="E26" s="456"/>
      <c r="F26" s="458"/>
      <c r="G26" s="452" t="str">
        <f t="shared" si="1"/>
        <v>*</v>
      </c>
      <c r="H26" s="457"/>
      <c r="I26" s="456"/>
      <c r="J26" s="456"/>
      <c r="K26" s="458"/>
      <c r="L26" s="452" t="str">
        <f t="shared" si="2"/>
        <v>*</v>
      </c>
      <c r="M26" s="457"/>
      <c r="N26" s="456"/>
      <c r="O26" s="456"/>
      <c r="P26" s="455"/>
      <c r="R26" s="939"/>
      <c r="S26" s="939"/>
      <c r="T26" s="939"/>
      <c r="U26" s="939"/>
      <c r="V26" s="939"/>
      <c r="W26" s="939"/>
      <c r="X26" s="939"/>
      <c r="Y26" s="508"/>
      <c r="Z26" s="217"/>
      <c r="AA26" s="510">
        <f xml:space="preserve"> TIME($A25,15,0)</f>
        <v>0.46875</v>
      </c>
      <c r="AB26" s="510">
        <f>TIME($A25,45,0)</f>
        <v>0.48958333333333331</v>
      </c>
      <c r="AC26" s="451"/>
      <c r="AE26" s="598"/>
      <c r="AG26" s="604"/>
      <c r="AH26" s="454"/>
      <c r="AI26" s="453"/>
      <c r="AJ26" s="254"/>
      <c r="AL26"/>
      <c r="AM26"/>
      <c r="AN26" s="254"/>
    </row>
    <row r="27" spans="1:57" s="337" customFormat="1" ht="18.75" thickBot="1" x14ac:dyDescent="0.3">
      <c r="A27" s="254">
        <f>A25+1</f>
        <v>12</v>
      </c>
      <c r="B27" s="452" t="str">
        <f t="shared" si="0"/>
        <v/>
      </c>
      <c r="C27" s="513"/>
      <c r="D27" s="456"/>
      <c r="E27" s="456"/>
      <c r="F27" s="458"/>
      <c r="G27" s="452" t="str">
        <f t="shared" si="1"/>
        <v/>
      </c>
      <c r="H27" s="457"/>
      <c r="I27" s="456"/>
      <c r="J27" s="456"/>
      <c r="K27" s="458"/>
      <c r="L27" s="452" t="str">
        <f t="shared" si="2"/>
        <v/>
      </c>
      <c r="M27" s="457"/>
      <c r="N27" s="456"/>
      <c r="O27" s="456"/>
      <c r="P27" s="455"/>
      <c r="R27" s="939"/>
      <c r="S27" s="939"/>
      <c r="T27" s="939"/>
      <c r="U27" s="939"/>
      <c r="V27" s="939"/>
      <c r="W27" s="939"/>
      <c r="X27" s="939"/>
      <c r="Y27" s="508"/>
      <c r="Z27" s="217"/>
      <c r="AA27" s="510">
        <f xml:space="preserve"> TIME($A27-1,45,0)</f>
        <v>0.48958333333333331</v>
      </c>
      <c r="AB27" s="510">
        <f>TIME($A27,15,0)</f>
        <v>0.51041666666666663</v>
      </c>
      <c r="AC27" s="451"/>
      <c r="AE27" s="467"/>
      <c r="AF27" s="466"/>
      <c r="AG27" s="465"/>
      <c r="AH27" s="464"/>
      <c r="AI27" s="463"/>
      <c r="AJ27" s="254">
        <v>15</v>
      </c>
      <c r="AL27"/>
      <c r="AM27"/>
      <c r="AN27" s="254"/>
    </row>
    <row r="28" spans="1:57" s="337" customFormat="1" x14ac:dyDescent="0.25">
      <c r="A28" s="254"/>
      <c r="B28" s="452" t="str">
        <f t="shared" si="0"/>
        <v/>
      </c>
      <c r="C28" s="513"/>
      <c r="D28" s="456"/>
      <c r="E28" s="456"/>
      <c r="F28" s="458"/>
      <c r="G28" s="452" t="str">
        <f t="shared" si="1"/>
        <v/>
      </c>
      <c r="H28" s="457"/>
      <c r="I28" s="456"/>
      <c r="J28" s="456"/>
      <c r="K28" s="458"/>
      <c r="L28" s="452" t="str">
        <f t="shared" si="2"/>
        <v/>
      </c>
      <c r="M28" s="457"/>
      <c r="N28" s="456"/>
      <c r="O28" s="456"/>
      <c r="P28" s="455"/>
      <c r="R28" s="939"/>
      <c r="S28" s="939"/>
      <c r="T28" s="939"/>
      <c r="U28" s="939"/>
      <c r="V28" s="939"/>
      <c r="W28" s="939"/>
      <c r="X28" s="939"/>
      <c r="Y28" s="508"/>
      <c r="Z28" s="217"/>
      <c r="AA28" s="510">
        <f xml:space="preserve"> TIME($A27,15,0)</f>
        <v>0.51041666666666663</v>
      </c>
      <c r="AB28" s="510">
        <f>TIME($A27,45,0)</f>
        <v>0.53125</v>
      </c>
      <c r="AC28" s="451"/>
      <c r="AE28" s="597"/>
      <c r="AF28" s="600"/>
      <c r="AG28" s="603"/>
      <c r="AH28" s="462"/>
      <c r="AI28" s="461"/>
      <c r="AJ28" s="254"/>
      <c r="AL28"/>
      <c r="AM28"/>
      <c r="AN28" s="254"/>
    </row>
    <row r="29" spans="1:57" s="337" customFormat="1" ht="18.75" thickBot="1" x14ac:dyDescent="0.3">
      <c r="A29" s="254">
        <f>A27+1</f>
        <v>13</v>
      </c>
      <c r="B29" s="452" t="str">
        <f t="shared" si="0"/>
        <v/>
      </c>
      <c r="C29" s="513"/>
      <c r="D29" s="456"/>
      <c r="E29" s="456"/>
      <c r="F29" s="458"/>
      <c r="G29" s="452" t="str">
        <f t="shared" si="1"/>
        <v/>
      </c>
      <c r="H29" s="457"/>
      <c r="I29" s="456"/>
      <c r="J29" s="456"/>
      <c r="K29" s="458"/>
      <c r="L29" s="452" t="str">
        <f t="shared" si="2"/>
        <v/>
      </c>
      <c r="M29" s="457"/>
      <c r="N29" s="456"/>
      <c r="O29" s="456"/>
      <c r="P29" s="455"/>
      <c r="R29" s="966" t="str">
        <f>IFERROR(T("Naksatra: " &amp; 'GCal-Week'!S35 &amp; CHAR(10) &amp; "Yoga: " &amp; 'GCal-Week'!T35),"")</f>
        <v>Naksatra: Purva-asadha
Yoga: Vyagata</v>
      </c>
      <c r="S29" s="966"/>
      <c r="T29" s="966"/>
      <c r="U29" s="966" t="s">
        <v>7560</v>
      </c>
      <c r="V29" s="966"/>
      <c r="W29" s="966"/>
      <c r="X29" s="571" t="str">
        <f>'GCal-Week'!AG35 &amp; CHAR(10) &amp; 'GCal-Week'!AH35</f>
        <v>6
359</v>
      </c>
      <c r="Y29" s="508"/>
      <c r="Z29" s="217"/>
      <c r="AA29" s="510">
        <f xml:space="preserve"> TIME($A29-1,45,0)</f>
        <v>0.53125</v>
      </c>
      <c r="AB29" s="510">
        <f>TIME($A29,15,0)</f>
        <v>0.55208333333333337</v>
      </c>
      <c r="AC29" s="451"/>
      <c r="AE29" s="598"/>
      <c r="AF29" s="601"/>
      <c r="AG29" s="604"/>
      <c r="AH29" s="460"/>
      <c r="AI29" s="459"/>
      <c r="AJ29" s="254">
        <v>16</v>
      </c>
      <c r="AL29"/>
      <c r="AM29"/>
      <c r="AN29" s="254"/>
      <c r="AP29" s="590"/>
      <c r="AQ29" s="570">
        <v>1</v>
      </c>
      <c r="AR29" s="570">
        <v>2</v>
      </c>
      <c r="AS29" s="570">
        <v>3</v>
      </c>
      <c r="AT29" s="570">
        <v>4</v>
      </c>
      <c r="AU29" s="570">
        <v>5</v>
      </c>
      <c r="AV29" s="570">
        <v>6</v>
      </c>
      <c r="AW29" s="570">
        <v>7</v>
      </c>
    </row>
    <row r="30" spans="1:57" s="337" customFormat="1" x14ac:dyDescent="0.25">
      <c r="A30" s="254"/>
      <c r="B30" s="452" t="str">
        <f t="shared" si="0"/>
        <v/>
      </c>
      <c r="C30" s="513"/>
      <c r="D30" s="456"/>
      <c r="E30" s="456"/>
      <c r="F30" s="458"/>
      <c r="G30" s="452" t="str">
        <f t="shared" si="1"/>
        <v/>
      </c>
      <c r="H30" s="457"/>
      <c r="I30" s="456"/>
      <c r="J30" s="456"/>
      <c r="K30" s="458"/>
      <c r="L30" s="452" t="str">
        <f t="shared" si="2"/>
        <v/>
      </c>
      <c r="M30" s="960"/>
      <c r="N30" s="960"/>
      <c r="O30" s="960"/>
      <c r="P30" s="458"/>
      <c r="R30" s="963" t="str">
        <f ca="1">VLOOKUP(BC5,$AP$6:$AQ$17,2,FALSE)</f>
        <v>Dezembro</v>
      </c>
      <c r="S30" s="964"/>
      <c r="T30" s="964"/>
      <c r="U30" s="964"/>
      <c r="V30" s="964"/>
      <c r="W30" s="964"/>
      <c r="X30" s="965"/>
      <c r="Y30" s="508"/>
      <c r="Z30" s="217"/>
      <c r="AA30" s="510">
        <f xml:space="preserve"> TIME($A29,15,0)</f>
        <v>0.55208333333333337</v>
      </c>
      <c r="AB30" s="510">
        <f>TIME($A29,45,0)</f>
        <v>0.57291666666666663</v>
      </c>
      <c r="AC30" s="451"/>
      <c r="AE30" s="647"/>
      <c r="AG30" s="468"/>
      <c r="AH30" s="454"/>
      <c r="AI30" s="453"/>
      <c r="AJ30" s="254"/>
      <c r="AL30"/>
      <c r="AM30"/>
      <c r="AN30" s="254"/>
      <c r="AO30" s="254"/>
      <c r="AP30" s="569"/>
      <c r="AQ30" s="568">
        <f>BC5</f>
        <v>12</v>
      </c>
      <c r="AR30" s="558"/>
      <c r="AS30" s="558"/>
      <c r="AT30" s="558"/>
      <c r="AU30" s="558"/>
      <c r="AV30" s="558"/>
      <c r="AW30" s="558"/>
      <c r="BA30" s="254"/>
    </row>
    <row r="31" spans="1:57" s="337" customFormat="1" ht="18.75" thickBot="1" x14ac:dyDescent="0.3">
      <c r="A31" s="254">
        <f>A29+1</f>
        <v>14</v>
      </c>
      <c r="B31" s="452" t="str">
        <f t="shared" si="0"/>
        <v/>
      </c>
      <c r="C31" s="513"/>
      <c r="D31" s="456"/>
      <c r="E31" s="456"/>
      <c r="F31" s="458"/>
      <c r="G31" s="452" t="str">
        <f t="shared" si="1"/>
        <v/>
      </c>
      <c r="H31" s="457"/>
      <c r="I31" s="456"/>
      <c r="J31" s="456"/>
      <c r="K31" s="458"/>
      <c r="L31" s="452" t="str">
        <f t="shared" si="2"/>
        <v/>
      </c>
      <c r="M31" s="969"/>
      <c r="N31" s="969"/>
      <c r="O31" s="969"/>
      <c r="P31" s="458"/>
      <c r="R31" s="538" t="str">
        <f ca="1">'GPlan-Translations'!$C$286</f>
        <v>S</v>
      </c>
      <c r="S31" s="224" t="str">
        <f ca="1">'GPlan-Translations'!$C$287</f>
        <v>T</v>
      </c>
      <c r="T31" s="224" t="str">
        <f ca="1">'GPlan-Translations'!$C$288</f>
        <v>Q</v>
      </c>
      <c r="U31" s="224" t="str">
        <f ca="1">'GPlan-Translations'!$C$289</f>
        <v>Q</v>
      </c>
      <c r="V31" s="224" t="str">
        <f ca="1">'GPlan-Translations'!$C$290</f>
        <v>S</v>
      </c>
      <c r="W31" s="549" t="str">
        <f ca="1">'GPlan-Translations'!$C$291</f>
        <v>S</v>
      </c>
      <c r="X31" s="548" t="str">
        <f ca="1">'GPlan-Translations'!$C$285</f>
        <v>D</v>
      </c>
      <c r="Y31" s="508"/>
      <c r="Z31" s="217"/>
      <c r="AA31" s="510">
        <f xml:space="preserve"> TIME($A31-1,45,0)</f>
        <v>0.57291666666666663</v>
      </c>
      <c r="AB31" s="510">
        <f>TIME($A31,15,0)</f>
        <v>0.59375</v>
      </c>
      <c r="AC31" s="451"/>
      <c r="AE31" s="467"/>
      <c r="AF31" s="466"/>
      <c r="AG31" s="465"/>
      <c r="AH31" s="464"/>
      <c r="AI31" s="463"/>
      <c r="AJ31" s="254">
        <v>5</v>
      </c>
      <c r="AL31"/>
      <c r="AM31"/>
      <c r="AN31" s="254"/>
      <c r="AO31" s="254"/>
      <c r="AP31" s="589" t="s">
        <v>7617</v>
      </c>
      <c r="AQ31" s="547" t="str">
        <f t="shared" ref="AQ31:AW31" ca="1" si="3">R31</f>
        <v>S</v>
      </c>
      <c r="AR31" s="228" t="str">
        <f t="shared" ca="1" si="3"/>
        <v>T</v>
      </c>
      <c r="AS31" s="228" t="str">
        <f t="shared" ca="1" si="3"/>
        <v>Q</v>
      </c>
      <c r="AT31" s="228" t="str">
        <f t="shared" ca="1" si="3"/>
        <v>Q</v>
      </c>
      <c r="AU31" s="228" t="str">
        <f t="shared" ca="1" si="3"/>
        <v>S</v>
      </c>
      <c r="AV31" s="546" t="str">
        <f t="shared" ca="1" si="3"/>
        <v>S</v>
      </c>
      <c r="AW31" s="230" t="str">
        <f t="shared" ca="1" si="3"/>
        <v>D</v>
      </c>
      <c r="BA31" s="219"/>
      <c r="BB31" s="219"/>
      <c r="BC31" s="219"/>
      <c r="BD31" s="219"/>
      <c r="BE31" s="219"/>
    </row>
    <row r="32" spans="1:57" s="337" customFormat="1" ht="1.5" customHeight="1" x14ac:dyDescent="0.25">
      <c r="A32" s="254"/>
      <c r="B32" s="452" t="str">
        <f t="shared" si="0"/>
        <v/>
      </c>
      <c r="C32" s="545"/>
      <c r="D32" s="478"/>
      <c r="E32" s="478"/>
      <c r="F32" s="475"/>
      <c r="G32" s="452" t="str">
        <f t="shared" si="1"/>
        <v/>
      </c>
      <c r="H32" s="479"/>
      <c r="I32" s="478"/>
      <c r="J32" s="478"/>
      <c r="K32" s="475"/>
      <c r="L32" s="452" t="str">
        <f t="shared" si="2"/>
        <v/>
      </c>
      <c r="M32" s="477"/>
      <c r="N32" s="477"/>
      <c r="O32" s="477"/>
      <c r="P32" s="475"/>
      <c r="R32" s="543"/>
      <c r="S32" s="544"/>
      <c r="T32" s="224"/>
      <c r="U32" s="224"/>
      <c r="V32" s="224"/>
      <c r="W32" s="567"/>
      <c r="X32" s="566"/>
      <c r="Y32" s="508"/>
      <c r="Z32" s="217"/>
      <c r="AA32" s="510"/>
      <c r="AB32" s="510"/>
      <c r="AC32" s="254"/>
      <c r="AE32" s="469"/>
      <c r="AG32" s="468"/>
      <c r="AH32" s="462"/>
      <c r="AI32" s="461"/>
      <c r="AJ32" s="254"/>
      <c r="AL32"/>
      <c r="AM32"/>
      <c r="AN32" s="254"/>
      <c r="AO32" s="254"/>
      <c r="AP32" s="560"/>
      <c r="AQ32" s="541"/>
      <c r="AR32" s="224"/>
      <c r="AS32" s="224"/>
      <c r="AT32" s="224"/>
      <c r="AU32" s="224"/>
      <c r="AV32" s="535"/>
      <c r="AW32" s="534"/>
    </row>
    <row r="33" spans="1:49" s="337" customFormat="1" x14ac:dyDescent="0.25">
      <c r="A33" s="254"/>
      <c r="B33" s="452" t="str">
        <f t="shared" si="0"/>
        <v/>
      </c>
      <c r="C33" s="533"/>
      <c r="D33" s="472"/>
      <c r="E33" s="472"/>
      <c r="F33" s="458"/>
      <c r="G33" s="452" t="str">
        <f t="shared" si="1"/>
        <v/>
      </c>
      <c r="H33" s="473"/>
      <c r="I33" s="472"/>
      <c r="J33" s="472"/>
      <c r="K33" s="458"/>
      <c r="L33" s="452" t="str">
        <f t="shared" si="2"/>
        <v/>
      </c>
      <c r="M33" s="968"/>
      <c r="N33" s="968"/>
      <c r="O33" s="968"/>
      <c r="P33" s="458"/>
      <c r="R33" s="531">
        <f>IF(AN33="-",IF(AN41="-","",AN41),AN33)</f>
        <v>43465</v>
      </c>
      <c r="S33" s="532" t="str">
        <f>IF(AO33="-",IF(AO41="-","",AO41),AO33)</f>
        <v/>
      </c>
      <c r="T33" s="532" t="str">
        <f>IF($BF$5=AS29,$BD$5,IF(AO33="-","",AO33+1))</f>
        <v/>
      </c>
      <c r="U33" s="532" t="str">
        <f>IF($BF$5=AT29,$BD$5,IF(T33="","",T33+1))</f>
        <v/>
      </c>
      <c r="V33" s="532" t="str">
        <f>IF($BF$5=AU29,$BD$5,IF(U33="","",U33+1))</f>
        <v/>
      </c>
      <c r="W33" s="531">
        <f>IF($BF$5=AV29,$BD$5,IF(V33="","",V33+1))</f>
        <v>43435</v>
      </c>
      <c r="X33" s="530">
        <f>IF($BF$5=AW29,$BD$5,IF(W33="","",W33+1))</f>
        <v>43436</v>
      </c>
      <c r="Y33" s="508"/>
      <c r="Z33" s="217"/>
      <c r="AA33" s="510">
        <f xml:space="preserve"> TIME($A31,15,0)</f>
        <v>0.59375</v>
      </c>
      <c r="AB33" s="510">
        <f>TIME($A31,45,0)</f>
        <v>0.61458333333333337</v>
      </c>
      <c r="AC33" s="451"/>
      <c r="AE33" s="469"/>
      <c r="AG33" s="468"/>
      <c r="AH33" s="471"/>
      <c r="AI33" s="470"/>
      <c r="AJ33" s="254"/>
      <c r="AL33"/>
      <c r="AM33"/>
      <c r="AN33" s="524" t="str">
        <f>IF($BF$5=AQ29,$BD$5,"-")</f>
        <v>-</v>
      </c>
      <c r="AO33" s="524" t="str">
        <f>IF($BF$5=AR29,$BD$5,IF(AN33="-","-",AN33+1))</f>
        <v>-</v>
      </c>
      <c r="AP33" s="540" t="str">
        <f>IF(X33=$U$16,1,"")</f>
        <v/>
      </c>
      <c r="AQ33" s="529" t="str">
        <f ca="1">IFERROR(INDEX('GCal-Year'!$F$2:$F$435,MATCH(R33,'GCal-Year'!$A$2:$A$435,0)),"")</f>
        <v/>
      </c>
      <c r="AR33" s="238" t="str">
        <f>IFERROR(INDEX('GCal-Year'!$F$2:$F$435,MATCH(S33,'GCal-Year'!$A$2:$A$435,0)),"")</f>
        <v/>
      </c>
      <c r="AS33" s="238" t="str">
        <f>IFERROR(INDEX('GCal-Year'!$F$2:$F$435,MATCH(T33,'GCal-Year'!$A$2:$A$435,0)),"")</f>
        <v/>
      </c>
      <c r="AT33" s="238" t="str">
        <f>IFERROR(INDEX('GCal-Year'!$F$2:$F$435,MATCH(U33,'GCal-Year'!$A$2:$A$435,0)),"")</f>
        <v/>
      </c>
      <c r="AU33" s="238" t="str">
        <f>IFERROR(INDEX('GCal-Year'!$F$2:$F$435,MATCH(V33,'GCal-Year'!$A$2:$A$435,0)),"")</f>
        <v/>
      </c>
      <c r="AV33" s="528" t="str">
        <f ca="1">IFERROR(INDEX('GCal-Year'!$F$2:$F$435,MATCH(W33,'GCal-Year'!$A$2:$A$435,0)),"")</f>
        <v/>
      </c>
      <c r="AW33" s="240" t="str">
        <f ca="1">IFERROR(INDEX('GCal-Year'!$F$2:$F$435,MATCH(X33,'GCal-Year'!$A$2:$A$435,0)),"")</f>
        <v/>
      </c>
    </row>
    <row r="34" spans="1:49" s="337" customFormat="1" ht="1.5" customHeight="1" x14ac:dyDescent="0.25">
      <c r="A34" s="254"/>
      <c r="B34" s="452" t="str">
        <f t="shared" si="0"/>
        <v/>
      </c>
      <c r="C34" s="545"/>
      <c r="D34" s="478"/>
      <c r="E34" s="478"/>
      <c r="F34" s="475"/>
      <c r="G34" s="452" t="str">
        <f t="shared" si="1"/>
        <v/>
      </c>
      <c r="H34" s="479"/>
      <c r="I34" s="478"/>
      <c r="J34" s="478"/>
      <c r="K34" s="475"/>
      <c r="L34" s="452" t="str">
        <f t="shared" si="2"/>
        <v/>
      </c>
      <c r="M34" s="477"/>
      <c r="N34" s="477"/>
      <c r="O34" s="477"/>
      <c r="P34" s="475"/>
      <c r="R34" s="538"/>
      <c r="S34" s="224"/>
      <c r="T34" s="224"/>
      <c r="U34" s="224"/>
      <c r="V34" s="224"/>
      <c r="W34" s="538"/>
      <c r="X34" s="537"/>
      <c r="Y34" s="508"/>
      <c r="Z34" s="217"/>
      <c r="AA34" s="510"/>
      <c r="AB34" s="510"/>
      <c r="AC34" s="254"/>
      <c r="AE34" s="469"/>
      <c r="AG34" s="468"/>
      <c r="AH34" s="460"/>
      <c r="AI34" s="459"/>
      <c r="AJ34" s="254"/>
      <c r="AL34"/>
      <c r="AM34"/>
      <c r="AN34" s="254"/>
      <c r="AO34" s="254"/>
      <c r="AP34" s="560"/>
      <c r="AQ34" s="541" t="str">
        <f>IFERROR(INDEX('GCal-Year'!$F$2:$F$435,MATCH(R34,'GCal-Year'!$A$2:$A$435,0)),"")</f>
        <v/>
      </c>
      <c r="AR34" s="224" t="str">
        <f>IFERROR(INDEX('GCal-Year'!$F$2:$F$435,MATCH(S34,'GCal-Year'!$A$2:$A$435,0)),"")</f>
        <v/>
      </c>
      <c r="AS34" s="224" t="str">
        <f>IFERROR(INDEX('GCal-Year'!$F$2:$F$435,MATCH(T34,'GCal-Year'!$A$2:$A$435,0)),"")</f>
        <v/>
      </c>
      <c r="AT34" s="224" t="str">
        <f>IFERROR(INDEX('GCal-Year'!$F$2:$F$435,MATCH(U34,'GCal-Year'!$A$2:$A$435,0)),"")</f>
        <v/>
      </c>
      <c r="AU34" s="224" t="str">
        <f>IFERROR(INDEX('GCal-Year'!$F$2:$F$435,MATCH(V34,'GCal-Year'!$A$2:$A$435,0)),"")</f>
        <v/>
      </c>
      <c r="AV34" s="535" t="str">
        <f>IFERROR(INDEX('GCal-Year'!$F$2:$F$435,MATCH(W34,'GCal-Year'!$A$2:$A$435,0)),"")</f>
        <v/>
      </c>
      <c r="AW34" s="534" t="str">
        <f>IFERROR(INDEX('GCal-Year'!$F$2:$F$435,MATCH(X34,'GCal-Year'!$A$2:$A$435,0)),"")</f>
        <v/>
      </c>
    </row>
    <row r="35" spans="1:49" s="337" customFormat="1" ht="18" customHeight="1" x14ac:dyDescent="0.25">
      <c r="A35" s="254">
        <f>A31+1</f>
        <v>15</v>
      </c>
      <c r="B35" s="452" t="str">
        <f t="shared" si="0"/>
        <v/>
      </c>
      <c r="C35" s="533"/>
      <c r="D35" s="472"/>
      <c r="E35" s="472"/>
      <c r="F35" s="458"/>
      <c r="G35" s="452" t="str">
        <f t="shared" si="1"/>
        <v/>
      </c>
      <c r="H35" s="473"/>
      <c r="I35" s="472"/>
      <c r="J35" s="472"/>
      <c r="K35" s="458"/>
      <c r="L35" s="452" t="str">
        <f t="shared" si="2"/>
        <v/>
      </c>
      <c r="M35" s="968"/>
      <c r="N35" s="968"/>
      <c r="O35" s="968"/>
      <c r="P35" s="458"/>
      <c r="R35" s="531">
        <f>X33+1</f>
        <v>43437</v>
      </c>
      <c r="S35" s="532">
        <f t="shared" ref="S35:X35" si="4">R35+1</f>
        <v>43438</v>
      </c>
      <c r="T35" s="532">
        <f t="shared" si="4"/>
        <v>43439</v>
      </c>
      <c r="U35" s="532">
        <f t="shared" si="4"/>
        <v>43440</v>
      </c>
      <c r="V35" s="532">
        <f t="shared" si="4"/>
        <v>43441</v>
      </c>
      <c r="W35" s="531">
        <f t="shared" si="4"/>
        <v>43442</v>
      </c>
      <c r="X35" s="530">
        <f t="shared" si="4"/>
        <v>43443</v>
      </c>
      <c r="Y35" s="508"/>
      <c r="Z35" s="217"/>
      <c r="AA35" s="510">
        <f xml:space="preserve"> TIME($A35-1,45,0)</f>
        <v>0.61458333333333337</v>
      </c>
      <c r="AB35" s="510">
        <f>TIME($A35,15,0)</f>
        <v>0.63541666666666663</v>
      </c>
      <c r="AC35" s="451"/>
      <c r="AE35" s="469"/>
      <c r="AG35" s="468"/>
      <c r="AH35" s="471"/>
      <c r="AI35" s="470"/>
      <c r="AJ35" s="254">
        <v>6</v>
      </c>
      <c r="AL35"/>
      <c r="AM35"/>
      <c r="AN35" s="254"/>
      <c r="AO35" s="254"/>
      <c r="AP35" s="540" t="str">
        <f>IF(X35=$U$16,1,"")</f>
        <v/>
      </c>
      <c r="AQ35" s="529" t="str">
        <f ca="1">IFERROR(INDEX('GCal-Year'!$F$2:$F$435,MATCH(R35,'GCal-Year'!$A$2:$A$435,0)),"")</f>
        <v>E</v>
      </c>
      <c r="AR35" s="238" t="str">
        <f ca="1">IFERROR(INDEX('GCal-Year'!$F$2:$F$435,MATCH(S35,'GCal-Year'!$A$2:$A$435,0)),"")</f>
        <v>C</v>
      </c>
      <c r="AS35" s="238" t="str">
        <f ca="1">IFERROR(INDEX('GCal-Year'!$F$2:$F$435,MATCH(T35,'GCal-Year'!$A$2:$A$435,0)),"")</f>
        <v/>
      </c>
      <c r="AT35" s="238" t="str">
        <f ca="1">IFERROR(INDEX('GCal-Year'!$F$2:$F$435,MATCH(U35,'GCal-Year'!$A$2:$A$435,0)),"")</f>
        <v/>
      </c>
      <c r="AU35" s="238" t="str">
        <f ca="1">IFERROR(INDEX('GCal-Year'!$F$2:$F$435,MATCH(V35,'GCal-Year'!$A$2:$A$435,0)),"")</f>
        <v/>
      </c>
      <c r="AV35" s="528" t="str">
        <f ca="1">IFERROR(INDEX('GCal-Year'!$F$2:$F$435,MATCH(W35,'GCal-Year'!$A$2:$A$435,0)),"")</f>
        <v/>
      </c>
      <c r="AW35" s="240" t="str">
        <f ca="1">IFERROR(INDEX('GCal-Year'!$F$2:$F$435,MATCH(X35,'GCal-Year'!$A$2:$A$435,0)),"")</f>
        <v/>
      </c>
    </row>
    <row r="36" spans="1:49" s="337" customFormat="1" ht="1.5" customHeight="1" x14ac:dyDescent="0.25">
      <c r="A36" s="254"/>
      <c r="B36" s="452" t="str">
        <f t="shared" si="0"/>
        <v/>
      </c>
      <c r="C36" s="545"/>
      <c r="D36" s="478"/>
      <c r="E36" s="478"/>
      <c r="F36" s="475"/>
      <c r="G36" s="452" t="str">
        <f t="shared" si="1"/>
        <v/>
      </c>
      <c r="H36" s="479"/>
      <c r="I36" s="478"/>
      <c r="J36" s="478"/>
      <c r="K36" s="475"/>
      <c r="L36" s="452" t="str">
        <f t="shared" si="2"/>
        <v/>
      </c>
      <c r="M36" s="477"/>
      <c r="N36" s="477"/>
      <c r="O36" s="477"/>
      <c r="P36" s="475"/>
      <c r="R36" s="538"/>
      <c r="S36" s="544"/>
      <c r="T36" s="544"/>
      <c r="U36" s="544"/>
      <c r="V36" s="544"/>
      <c r="W36" s="565"/>
      <c r="X36" s="564"/>
      <c r="Y36" s="508"/>
      <c r="Z36" s="217"/>
      <c r="AA36" s="510"/>
      <c r="AB36" s="510"/>
      <c r="AC36" s="254"/>
      <c r="AE36" s="469"/>
      <c r="AG36" s="468"/>
      <c r="AH36" s="460"/>
      <c r="AI36" s="459"/>
      <c r="AJ36" s="254"/>
      <c r="AL36"/>
      <c r="AM36"/>
      <c r="AN36" s="254"/>
      <c r="AO36" s="254"/>
      <c r="AP36" s="560"/>
      <c r="AQ36" s="541"/>
      <c r="AR36" s="224"/>
      <c r="AS36" s="224"/>
      <c r="AT36" s="224"/>
      <c r="AU36" s="224"/>
      <c r="AV36" s="535"/>
      <c r="AW36" s="534"/>
    </row>
    <row r="37" spans="1:49" s="337" customFormat="1" x14ac:dyDescent="0.25">
      <c r="A37" s="254"/>
      <c r="B37" s="452" t="str">
        <f t="shared" si="0"/>
        <v/>
      </c>
      <c r="C37" s="533"/>
      <c r="D37" s="472"/>
      <c r="E37" s="472"/>
      <c r="F37" s="458"/>
      <c r="G37" s="452" t="str">
        <f t="shared" si="1"/>
        <v/>
      </c>
      <c r="H37" s="473"/>
      <c r="I37" s="472"/>
      <c r="J37" s="472"/>
      <c r="K37" s="458"/>
      <c r="L37" s="452" t="str">
        <f t="shared" si="2"/>
        <v/>
      </c>
      <c r="M37" s="968"/>
      <c r="N37" s="968"/>
      <c r="O37" s="968"/>
      <c r="P37" s="458"/>
      <c r="R37" s="531">
        <f>X35+1</f>
        <v>43444</v>
      </c>
      <c r="S37" s="532">
        <f t="shared" ref="S37:X37" si="5">R37+1</f>
        <v>43445</v>
      </c>
      <c r="T37" s="532">
        <f t="shared" si="5"/>
        <v>43446</v>
      </c>
      <c r="U37" s="532">
        <f t="shared" si="5"/>
        <v>43447</v>
      </c>
      <c r="V37" s="532">
        <f t="shared" si="5"/>
        <v>43448</v>
      </c>
      <c r="W37" s="531">
        <f t="shared" si="5"/>
        <v>43449</v>
      </c>
      <c r="X37" s="530">
        <f t="shared" si="5"/>
        <v>43450</v>
      </c>
      <c r="Y37" s="508"/>
      <c r="Z37" s="217"/>
      <c r="AA37" s="510">
        <f xml:space="preserve"> TIME($A35,15,0)</f>
        <v>0.63541666666666663</v>
      </c>
      <c r="AB37" s="510">
        <f>TIME($A35,45,0)</f>
        <v>0.65625</v>
      </c>
      <c r="AC37" s="451"/>
      <c r="AE37" s="469"/>
      <c r="AG37" s="468"/>
      <c r="AH37" s="471"/>
      <c r="AI37" s="470"/>
      <c r="AJ37" s="254"/>
      <c r="AL37"/>
      <c r="AM37"/>
      <c r="AN37" s="254"/>
      <c r="AO37" s="254"/>
      <c r="AP37" s="540" t="str">
        <f>IF(X37=$U$16,1,"")</f>
        <v/>
      </c>
      <c r="AQ37" s="529" t="str">
        <f ca="1">IFERROR(INDEX('GCal-Year'!$F$2:$F$435,MATCH(R37,'GCal-Year'!$A$2:$A$435,0)),"")</f>
        <v/>
      </c>
      <c r="AR37" s="238" t="str">
        <f ca="1">IFERROR(INDEX('GCal-Year'!$F$2:$F$435,MATCH(S37,'GCal-Year'!$A$2:$A$435,0)),"")</f>
        <v/>
      </c>
      <c r="AS37" s="238" t="str">
        <f ca="1">IFERROR(INDEX('GCal-Year'!$F$2:$F$435,MATCH(T37,'GCal-Year'!$A$2:$A$435,0)),"")</f>
        <v/>
      </c>
      <c r="AT37" s="238" t="str">
        <f ca="1">IFERROR(INDEX('GCal-Year'!$F$2:$F$435,MATCH(U37,'GCal-Year'!$A$2:$A$435,0)),"")</f>
        <v>C</v>
      </c>
      <c r="AU37" s="238" t="str">
        <f ca="1">IFERROR(INDEX('GCal-Year'!$F$2:$F$435,MATCH(V37,'GCal-Year'!$A$2:$A$435,0)),"")</f>
        <v/>
      </c>
      <c r="AV37" s="528" t="str">
        <f ca="1">IFERROR(INDEX('GCal-Year'!$F$2:$F$435,MATCH(W37,'GCal-Year'!$A$2:$A$435,0)),"")</f>
        <v/>
      </c>
      <c r="AW37" s="240" t="str">
        <f ca="1">IFERROR(INDEX('GCal-Year'!$F$2:$F$435,MATCH(X37,'GCal-Year'!$A$2:$A$435,0)),"")</f>
        <v/>
      </c>
    </row>
    <row r="38" spans="1:49" s="337" customFormat="1" ht="1.5" customHeight="1" x14ac:dyDescent="0.25">
      <c r="A38" s="254"/>
      <c r="B38" s="452" t="str">
        <f t="shared" si="0"/>
        <v/>
      </c>
      <c r="C38" s="545"/>
      <c r="D38" s="478"/>
      <c r="E38" s="478"/>
      <c r="F38" s="475"/>
      <c r="G38" s="452" t="str">
        <f t="shared" si="1"/>
        <v/>
      </c>
      <c r="H38" s="479"/>
      <c r="I38" s="478"/>
      <c r="J38" s="478"/>
      <c r="K38" s="475"/>
      <c r="L38" s="452" t="str">
        <f t="shared" si="2"/>
        <v/>
      </c>
      <c r="M38" s="477"/>
      <c r="N38" s="477"/>
      <c r="O38" s="477"/>
      <c r="P38" s="475"/>
      <c r="R38" s="538"/>
      <c r="S38" s="544"/>
      <c r="T38" s="544"/>
      <c r="U38" s="544"/>
      <c r="V38" s="544"/>
      <c r="W38" s="565"/>
      <c r="X38" s="564"/>
      <c r="Y38" s="508"/>
      <c r="Z38" s="217"/>
      <c r="AA38" s="510"/>
      <c r="AB38" s="510"/>
      <c r="AC38" s="254"/>
      <c r="AE38" s="469"/>
      <c r="AG38" s="468"/>
      <c r="AH38" s="460"/>
      <c r="AI38" s="459"/>
      <c r="AJ38" s="254"/>
      <c r="AL38"/>
      <c r="AM38"/>
      <c r="AN38" s="254"/>
      <c r="AO38" s="254"/>
      <c r="AP38" s="560"/>
      <c r="AQ38" s="541"/>
      <c r="AR38" s="224"/>
      <c r="AS38" s="224"/>
      <c r="AT38" s="224"/>
      <c r="AU38" s="224"/>
      <c r="AV38" s="535"/>
      <c r="AW38" s="534"/>
    </row>
    <row r="39" spans="1:49" s="337" customFormat="1" x14ac:dyDescent="0.25">
      <c r="A39" s="254">
        <f>A35+1</f>
        <v>16</v>
      </c>
      <c r="B39" s="452" t="str">
        <f t="shared" si="0"/>
        <v/>
      </c>
      <c r="C39" s="533"/>
      <c r="D39" s="472"/>
      <c r="E39" s="472"/>
      <c r="F39" s="458"/>
      <c r="G39" s="452" t="str">
        <f t="shared" si="1"/>
        <v/>
      </c>
      <c r="H39" s="473"/>
      <c r="I39" s="472"/>
      <c r="J39" s="472"/>
      <c r="K39" s="458"/>
      <c r="L39" s="452" t="str">
        <f t="shared" si="2"/>
        <v/>
      </c>
      <c r="M39" s="968"/>
      <c r="N39" s="968"/>
      <c r="O39" s="968"/>
      <c r="P39" s="458"/>
      <c r="R39" s="531">
        <f>X37+1</f>
        <v>43451</v>
      </c>
      <c r="S39" s="532">
        <f t="shared" ref="S39:X39" si="6">R39+1</f>
        <v>43452</v>
      </c>
      <c r="T39" s="532">
        <f t="shared" si="6"/>
        <v>43453</v>
      </c>
      <c r="U39" s="532">
        <f t="shared" si="6"/>
        <v>43454</v>
      </c>
      <c r="V39" s="532">
        <f t="shared" si="6"/>
        <v>43455</v>
      </c>
      <c r="W39" s="531">
        <f t="shared" si="6"/>
        <v>43456</v>
      </c>
      <c r="X39" s="530">
        <f t="shared" si="6"/>
        <v>43457</v>
      </c>
      <c r="Y39" s="508"/>
      <c r="Z39" s="217"/>
      <c r="AA39" s="510">
        <f xml:space="preserve"> TIME($A39-1,45,0)</f>
        <v>0.65625</v>
      </c>
      <c r="AB39" s="510">
        <f>TIME($A39,15,0)</f>
        <v>0.67708333333333337</v>
      </c>
      <c r="AC39" s="451"/>
      <c r="AE39" s="469"/>
      <c r="AG39" s="468"/>
      <c r="AH39" s="471"/>
      <c r="AI39" s="470"/>
      <c r="AJ39" s="254">
        <v>7</v>
      </c>
      <c r="AL39"/>
      <c r="AM39"/>
      <c r="AN39" s="254"/>
      <c r="AO39" s="254"/>
      <c r="AP39" s="540" t="str">
        <f>IF(X39=$U$16,1,"")</f>
        <v/>
      </c>
      <c r="AQ39" s="529" t="str">
        <f ca="1">IFERROR(INDEX('GCal-Year'!$F$2:$F$435,MATCH(R39,'GCal-Year'!$A$2:$A$435,0)),"")</f>
        <v/>
      </c>
      <c r="AR39" s="238" t="str">
        <f ca="1">IFERROR(INDEX('GCal-Year'!$F$2:$F$435,MATCH(S39,'GCal-Year'!$A$2:$A$435,0)),"")</f>
        <v>E</v>
      </c>
      <c r="AS39" s="238" t="str">
        <f ca="1">IFERROR(INDEX('GCal-Year'!$F$2:$F$435,MATCH(T39,'GCal-Year'!$A$2:$A$435,0)),"")</f>
        <v/>
      </c>
      <c r="AT39" s="238" t="str">
        <f ca="1">IFERROR(INDEX('GCal-Year'!$F$2:$F$435,MATCH(U39,'GCal-Year'!$A$2:$A$435,0)),"")</f>
        <v/>
      </c>
      <c r="AU39" s="238" t="str">
        <f ca="1">IFERROR(INDEX('GCal-Year'!$F$2:$F$435,MATCH(V39,'GCal-Year'!$A$2:$A$435,0)),"")</f>
        <v>C</v>
      </c>
      <c r="AV39" s="528" t="str">
        <f ca="1">IFERROR(INDEX('GCal-Year'!$F$2:$F$435,MATCH(W39,'GCal-Year'!$A$2:$A$435,0)),"")</f>
        <v>C</v>
      </c>
      <c r="AW39" s="240" t="str">
        <f ca="1">IFERROR(INDEX('GCal-Year'!$F$2:$F$435,MATCH(X39,'GCal-Year'!$A$2:$A$435,0)),"")</f>
        <v/>
      </c>
    </row>
    <row r="40" spans="1:49" s="337" customFormat="1" ht="1.5" customHeight="1" x14ac:dyDescent="0.25">
      <c r="A40" s="254"/>
      <c r="B40" s="452" t="str">
        <f t="shared" si="0"/>
        <v/>
      </c>
      <c r="C40" s="545"/>
      <c r="D40" s="478"/>
      <c r="E40" s="478"/>
      <c r="F40" s="475"/>
      <c r="G40" s="452" t="str">
        <f t="shared" si="1"/>
        <v/>
      </c>
      <c r="H40" s="479"/>
      <c r="I40" s="478"/>
      <c r="J40" s="478"/>
      <c r="K40" s="475"/>
      <c r="L40" s="452" t="str">
        <f t="shared" si="2"/>
        <v/>
      </c>
      <c r="M40" s="477"/>
      <c r="N40" s="477"/>
      <c r="O40" s="477"/>
      <c r="P40" s="475"/>
      <c r="R40" s="543"/>
      <c r="S40" s="544"/>
      <c r="T40" s="544"/>
      <c r="U40" s="544"/>
      <c r="V40" s="544"/>
      <c r="W40" s="543"/>
      <c r="X40" s="542"/>
      <c r="Y40" s="508"/>
      <c r="Z40" s="217"/>
      <c r="AA40" s="510"/>
      <c r="AB40" s="510"/>
      <c r="AC40" s="254"/>
      <c r="AE40" s="469"/>
      <c r="AG40" s="468"/>
      <c r="AH40" s="460"/>
      <c r="AI40" s="459"/>
      <c r="AJ40" s="254"/>
      <c r="AL40"/>
      <c r="AM40"/>
      <c r="AN40" s="254"/>
      <c r="AO40" s="254"/>
      <c r="AP40" s="560"/>
      <c r="AQ40" s="541"/>
      <c r="AR40" s="224"/>
      <c r="AS40" s="224"/>
      <c r="AT40" s="224"/>
      <c r="AU40" s="224"/>
      <c r="AV40" s="535"/>
      <c r="AW40" s="534"/>
    </row>
    <row r="41" spans="1:49" s="337" customFormat="1" ht="18.75" thickBot="1" x14ac:dyDescent="0.3">
      <c r="A41" s="254"/>
      <c r="B41" s="452" t="str">
        <f t="shared" si="0"/>
        <v/>
      </c>
      <c r="C41" s="533"/>
      <c r="D41" s="472"/>
      <c r="E41" s="472"/>
      <c r="F41" s="458"/>
      <c r="G41" s="452" t="str">
        <f t="shared" si="1"/>
        <v/>
      </c>
      <c r="H41" s="473"/>
      <c r="I41" s="472"/>
      <c r="J41" s="472"/>
      <c r="K41" s="458"/>
      <c r="L41" s="452" t="str">
        <f t="shared" si="2"/>
        <v/>
      </c>
      <c r="M41" s="968"/>
      <c r="N41" s="968"/>
      <c r="O41" s="968"/>
      <c r="P41" s="458"/>
      <c r="R41" s="531">
        <f>IF(X39="","",IF(X39+1&gt;$BE$5,"",X39+1))</f>
        <v>43458</v>
      </c>
      <c r="S41" s="532">
        <f t="shared" ref="S41:X41" si="7">IF(R41="","",IF(R41+1&gt;$BE$5,"",R41+1))</f>
        <v>43459</v>
      </c>
      <c r="T41" s="532">
        <f t="shared" si="7"/>
        <v>43460</v>
      </c>
      <c r="U41" s="532">
        <f t="shared" si="7"/>
        <v>43461</v>
      </c>
      <c r="V41" s="532">
        <f t="shared" si="7"/>
        <v>43462</v>
      </c>
      <c r="W41" s="531">
        <f t="shared" si="7"/>
        <v>43463</v>
      </c>
      <c r="X41" s="530">
        <f t="shared" si="7"/>
        <v>43464</v>
      </c>
      <c r="Y41" s="508"/>
      <c r="Z41" s="217"/>
      <c r="AA41" s="510">
        <f xml:space="preserve"> TIME($A39,15,0)</f>
        <v>0.67708333333333337</v>
      </c>
      <c r="AB41" s="510">
        <f>TIME($A39,45,0)</f>
        <v>0.69791666666666663</v>
      </c>
      <c r="AC41" s="451"/>
      <c r="AE41" s="467"/>
      <c r="AF41" s="466"/>
      <c r="AG41" s="465"/>
      <c r="AH41" s="481"/>
      <c r="AI41" s="480"/>
      <c r="AJ41" s="254"/>
      <c r="AL41"/>
      <c r="AM41"/>
      <c r="AN41" s="524">
        <f>IF(X41="","",IF(X41+1&gt;$BE$5,"",X41+1))</f>
        <v>43465</v>
      </c>
      <c r="AO41" s="524" t="str">
        <f>IF(AN41="","",IF(AN41+1&gt;$BE$5,"",AN41+1))</f>
        <v/>
      </c>
      <c r="AP41" s="540" t="str">
        <f>IF(X41=$U$16,1,IF(X41="",IF(X47=$U$16,1,""),""))</f>
        <v/>
      </c>
      <c r="AQ41" s="529" t="str">
        <f ca="1">IFERROR(INDEX('GCal-Year'!$F$2:$F$435,MATCH(R41,'GCal-Year'!$A$2:$A$435,0)),"")</f>
        <v/>
      </c>
      <c r="AR41" s="238" t="str">
        <f ca="1">IFERROR(INDEX('GCal-Year'!$F$2:$F$435,MATCH(S41,'GCal-Year'!$A$2:$A$435,0)),"")</f>
        <v>H</v>
      </c>
      <c r="AS41" s="238" t="str">
        <f ca="1">IFERROR(INDEX('GCal-Year'!$F$2:$F$435,MATCH(T41,'GCal-Year'!$A$2:$A$435,0)),"")</f>
        <v/>
      </c>
      <c r="AT41" s="238" t="str">
        <f ca="1">IFERROR(INDEX('GCal-Year'!$F$2:$F$435,MATCH(U41,'GCal-Year'!$A$2:$A$435,0)),"")</f>
        <v/>
      </c>
      <c r="AU41" s="238" t="str">
        <f ca="1">IFERROR(INDEX('GCal-Year'!$F$2:$F$435,MATCH(V41,'GCal-Year'!$A$2:$A$435,0)),"")</f>
        <v/>
      </c>
      <c r="AV41" s="528" t="str">
        <f ca="1">IFERROR(INDEX('GCal-Year'!$F$2:$F$435,MATCH(W41,'GCal-Year'!$A$2:$A$435,0)),"")</f>
        <v/>
      </c>
      <c r="AW41" s="240" t="str">
        <f ca="1">IFERROR(INDEX('GCal-Year'!$F$2:$F$435,MATCH(X41,'GCal-Year'!$A$2:$A$435,0)),"")</f>
        <v/>
      </c>
    </row>
    <row r="42" spans="1:49" s="337" customFormat="1" ht="1.5" customHeight="1" thickBot="1" x14ac:dyDescent="0.3">
      <c r="A42" s="254"/>
      <c r="B42" s="452" t="str">
        <f t="shared" si="0"/>
        <v/>
      </c>
      <c r="C42" s="545"/>
      <c r="D42" s="478"/>
      <c r="E42" s="478"/>
      <c r="F42" s="475"/>
      <c r="G42" s="452" t="str">
        <f t="shared" si="1"/>
        <v/>
      </c>
      <c r="H42" s="479"/>
      <c r="I42" s="478"/>
      <c r="J42" s="478"/>
      <c r="K42" s="475"/>
      <c r="L42" s="452" t="str">
        <f t="shared" si="2"/>
        <v/>
      </c>
      <c r="M42" s="477"/>
      <c r="N42" s="477"/>
      <c r="O42" s="477"/>
      <c r="P42" s="475"/>
      <c r="R42" s="562"/>
      <c r="S42" s="563"/>
      <c r="T42" s="563"/>
      <c r="U42" s="563"/>
      <c r="V42" s="563"/>
      <c r="W42" s="562"/>
      <c r="X42" s="561"/>
      <c r="Y42" s="508"/>
      <c r="Z42" s="217"/>
      <c r="AA42" s="510"/>
      <c r="AB42" s="510"/>
      <c r="AC42" s="254"/>
      <c r="AE42" s="469"/>
      <c r="AG42" s="468"/>
      <c r="AH42" s="462"/>
      <c r="AI42" s="461"/>
      <c r="AJ42" s="254"/>
      <c r="AL42"/>
      <c r="AM42"/>
      <c r="AN42" s="254"/>
      <c r="AO42" s="254"/>
      <c r="AP42" s="560"/>
      <c r="AQ42" s="541"/>
      <c r="AR42" s="224"/>
      <c r="AS42" s="224"/>
      <c r="AT42" s="224"/>
      <c r="AU42" s="224"/>
      <c r="AV42" s="535"/>
      <c r="AW42" s="534"/>
    </row>
    <row r="43" spans="1:49" s="337" customFormat="1" ht="18" customHeight="1" x14ac:dyDescent="0.25">
      <c r="A43" s="254">
        <f>A39+1</f>
        <v>17</v>
      </c>
      <c r="B43" s="452" t="str">
        <f t="shared" si="0"/>
        <v/>
      </c>
      <c r="C43" s="552"/>
      <c r="D43" s="254"/>
      <c r="E43" s="254"/>
      <c r="F43" s="474"/>
      <c r="G43" s="452" t="str">
        <f t="shared" si="1"/>
        <v/>
      </c>
      <c r="I43" s="254"/>
      <c r="J43" s="254"/>
      <c r="K43" s="474"/>
      <c r="L43" s="452" t="str">
        <f t="shared" si="2"/>
        <v/>
      </c>
      <c r="M43" s="970"/>
      <c r="N43" s="970"/>
      <c r="O43" s="970"/>
      <c r="P43" s="474"/>
      <c r="R43" s="963" t="str">
        <f ca="1">VLOOKUP(BC6,$AP$6:$AQ$17,2,FALSE)</f>
        <v>Janeiro</v>
      </c>
      <c r="S43" s="964"/>
      <c r="T43" s="964"/>
      <c r="U43" s="964"/>
      <c r="V43" s="964"/>
      <c r="W43" s="964"/>
      <c r="X43" s="965"/>
      <c r="Y43" s="508"/>
      <c r="Z43" s="217"/>
      <c r="AA43" s="510">
        <f xml:space="preserve"> TIME($A43-1,45,0)</f>
        <v>0.69791666666666663</v>
      </c>
      <c r="AB43" s="510">
        <f>TIME($A43,15,0)</f>
        <v>0.71875</v>
      </c>
      <c r="AC43" s="451"/>
      <c r="AE43" s="469"/>
      <c r="AG43" s="468"/>
      <c r="AH43" s="462"/>
      <c r="AI43" s="461"/>
      <c r="AJ43" s="254">
        <v>8</v>
      </c>
      <c r="AL43"/>
      <c r="AM43"/>
      <c r="AP43" s="559" t="str">
        <f>IF(1=1,"",IF(X43="",IF(AP41=1,"",IF(X47=$U$16,1,""))))</f>
        <v/>
      </c>
      <c r="AQ43" s="220">
        <f>BC6</f>
        <v>1</v>
      </c>
      <c r="AR43" s="558"/>
      <c r="AS43" s="558"/>
      <c r="AT43" s="558"/>
      <c r="AU43" s="558"/>
      <c r="AV43" s="558"/>
      <c r="AW43" s="557"/>
    </row>
    <row r="44" spans="1:49" s="337" customFormat="1" ht="1.5" customHeight="1" x14ac:dyDescent="0.25">
      <c r="A44" s="254"/>
      <c r="B44" s="452" t="str">
        <f t="shared" si="0"/>
        <v/>
      </c>
      <c r="C44" s="556"/>
      <c r="D44" s="472"/>
      <c r="E44" s="472"/>
      <c r="F44" s="458"/>
      <c r="G44" s="452" t="str">
        <f t="shared" si="1"/>
        <v/>
      </c>
      <c r="H44" s="473"/>
      <c r="I44" s="472"/>
      <c r="J44" s="472"/>
      <c r="K44" s="458"/>
      <c r="L44" s="452" t="str">
        <f t="shared" si="2"/>
        <v/>
      </c>
      <c r="M44" s="473"/>
      <c r="N44" s="472"/>
      <c r="O44" s="472"/>
      <c r="P44" s="458"/>
      <c r="R44" s="555"/>
      <c r="S44" s="554"/>
      <c r="T44" s="554"/>
      <c r="U44" s="554"/>
      <c r="V44" s="554"/>
      <c r="W44" s="554"/>
      <c r="X44" s="553"/>
      <c r="Y44" s="508"/>
      <c r="Z44" s="217"/>
      <c r="AA44" s="510"/>
      <c r="AB44" s="510"/>
      <c r="AC44" s="254"/>
      <c r="AE44" s="469"/>
      <c r="AG44" s="468"/>
      <c r="AH44" s="471"/>
      <c r="AI44" s="470"/>
      <c r="AJ44" s="254"/>
      <c r="AL44"/>
      <c r="AM44"/>
      <c r="AN44" s="254"/>
      <c r="AO44" s="254"/>
      <c r="AQ44" s="536"/>
      <c r="AR44" s="224"/>
      <c r="AS44" s="224"/>
      <c r="AT44" s="224"/>
      <c r="AU44" s="224"/>
      <c r="AV44" s="535"/>
      <c r="AW44" s="534"/>
    </row>
    <row r="45" spans="1:49" s="337" customFormat="1" ht="18" customHeight="1" x14ac:dyDescent="0.25">
      <c r="A45" s="254"/>
      <c r="B45" s="452" t="str">
        <f t="shared" si="0"/>
        <v>*</v>
      </c>
      <c r="C45" s="552"/>
      <c r="D45" s="456"/>
      <c r="E45" s="456"/>
      <c r="F45" s="458"/>
      <c r="G45" s="452" t="str">
        <f t="shared" si="1"/>
        <v>*</v>
      </c>
      <c r="H45" s="457"/>
      <c r="I45" s="456"/>
      <c r="J45" s="456"/>
      <c r="K45" s="458"/>
      <c r="L45" s="452" t="str">
        <f t="shared" si="2"/>
        <v>*</v>
      </c>
      <c r="M45" s="457"/>
      <c r="N45" s="456"/>
      <c r="O45" s="456"/>
      <c r="P45" s="458"/>
      <c r="R45" s="551" t="str">
        <f ca="1">'GPlan-Translations'!$C$286</f>
        <v>S</v>
      </c>
      <c r="S45" s="550" t="str">
        <f ca="1">'GPlan-Translations'!$C$287</f>
        <v>T</v>
      </c>
      <c r="T45" s="550" t="str">
        <f ca="1">'GPlan-Translations'!$C$288</f>
        <v>Q</v>
      </c>
      <c r="U45" s="550" t="str">
        <f ca="1">'GPlan-Translations'!$C$289</f>
        <v>Q</v>
      </c>
      <c r="V45" s="550" t="str">
        <f ca="1">'GPlan-Translations'!$C$290</f>
        <v>S</v>
      </c>
      <c r="W45" s="549" t="str">
        <f ca="1">'GPlan-Translations'!$C$291</f>
        <v>S</v>
      </c>
      <c r="X45" s="548" t="str">
        <f ca="1">'GPlan-Translations'!$C$285</f>
        <v>D</v>
      </c>
      <c r="Y45" s="508"/>
      <c r="Z45" s="217"/>
      <c r="AA45" s="510">
        <f xml:space="preserve"> TIME($A43,15,0)</f>
        <v>0.71875</v>
      </c>
      <c r="AB45" s="510">
        <f>TIME($A43,45,0)</f>
        <v>0.73958333333333337</v>
      </c>
      <c r="AC45" s="451"/>
      <c r="AE45" s="469"/>
      <c r="AG45" s="468"/>
      <c r="AH45" s="460"/>
      <c r="AI45" s="459"/>
      <c r="AJ45" s="254"/>
      <c r="AL45"/>
      <c r="AM45"/>
      <c r="AN45" s="254"/>
      <c r="AO45" s="254"/>
      <c r="AQ45" s="547" t="str">
        <f t="shared" ref="AQ45:AW45" ca="1" si="8">R45</f>
        <v>S</v>
      </c>
      <c r="AR45" s="228" t="str">
        <f t="shared" ca="1" si="8"/>
        <v>T</v>
      </c>
      <c r="AS45" s="228" t="str">
        <f t="shared" ca="1" si="8"/>
        <v>Q</v>
      </c>
      <c r="AT45" s="228" t="str">
        <f t="shared" ca="1" si="8"/>
        <v>Q</v>
      </c>
      <c r="AU45" s="228" t="str">
        <f t="shared" ca="1" si="8"/>
        <v>S</v>
      </c>
      <c r="AV45" s="546" t="str">
        <f t="shared" ca="1" si="8"/>
        <v>S</v>
      </c>
      <c r="AW45" s="230" t="str">
        <f t="shared" ca="1" si="8"/>
        <v>D</v>
      </c>
    </row>
    <row r="46" spans="1:49" s="337" customFormat="1" ht="1.5" customHeight="1" x14ac:dyDescent="0.25">
      <c r="A46" s="254"/>
      <c r="B46" s="452" t="str">
        <f t="shared" si="0"/>
        <v/>
      </c>
      <c r="C46" s="545"/>
      <c r="D46" s="478"/>
      <c r="E46" s="478"/>
      <c r="F46" s="475"/>
      <c r="G46" s="452" t="str">
        <f t="shared" si="1"/>
        <v/>
      </c>
      <c r="H46" s="479"/>
      <c r="I46" s="478"/>
      <c r="J46" s="478"/>
      <c r="K46" s="475"/>
      <c r="L46" s="452" t="str">
        <f t="shared" si="2"/>
        <v/>
      </c>
      <c r="M46" s="477"/>
      <c r="N46" s="476"/>
      <c r="O46" s="476"/>
      <c r="P46" s="475"/>
      <c r="R46" s="543"/>
      <c r="S46" s="544"/>
      <c r="T46" s="544"/>
      <c r="U46" s="544"/>
      <c r="V46" s="544"/>
      <c r="W46" s="543"/>
      <c r="X46" s="542"/>
      <c r="Y46" s="508"/>
      <c r="Z46" s="217"/>
      <c r="AA46" s="510"/>
      <c r="AB46" s="510"/>
      <c r="AC46" s="254"/>
      <c r="AE46" s="469"/>
      <c r="AG46" s="468"/>
      <c r="AH46" s="471"/>
      <c r="AI46" s="470"/>
      <c r="AJ46" s="254"/>
      <c r="AL46"/>
      <c r="AM46"/>
      <c r="AN46" s="254"/>
      <c r="AO46" s="254"/>
      <c r="AP46" s="520"/>
      <c r="AQ46" s="541"/>
      <c r="AR46" s="224"/>
      <c r="AS46" s="224"/>
      <c r="AT46" s="224"/>
      <c r="AU46" s="224"/>
      <c r="AV46" s="535"/>
      <c r="AW46" s="534"/>
    </row>
    <row r="47" spans="1:49" s="337" customFormat="1" ht="18" customHeight="1" x14ac:dyDescent="0.25">
      <c r="A47" s="254">
        <f>A43+1</f>
        <v>18</v>
      </c>
      <c r="B47" s="452" t="str">
        <f t="shared" si="0"/>
        <v/>
      </c>
      <c r="C47" s="533"/>
      <c r="D47" s="472"/>
      <c r="E47" s="472"/>
      <c r="F47" s="458"/>
      <c r="G47" s="452" t="str">
        <f t="shared" si="1"/>
        <v/>
      </c>
      <c r="H47" s="473"/>
      <c r="I47" s="472"/>
      <c r="J47" s="472"/>
      <c r="K47" s="458"/>
      <c r="L47" s="452" t="str">
        <f t="shared" si="2"/>
        <v/>
      </c>
      <c r="M47" s="473"/>
      <c r="N47" s="472"/>
      <c r="O47" s="472"/>
      <c r="P47" s="458"/>
      <c r="R47" s="531" t="str">
        <f>IF(AN47="-",IF(AN52="-","",AN52),AN47)</f>
        <v/>
      </c>
      <c r="S47" s="532">
        <f>IF(AO47="-",IF(AO52="-","",AO52),AO47)</f>
        <v>43466</v>
      </c>
      <c r="T47" s="532">
        <f>IF($BF$6=AS29,$BD$6,IF(AO47="-","",AO47+1))</f>
        <v>43467</v>
      </c>
      <c r="U47" s="532">
        <f>IF($BF$6=AT$29,$BD$6,IF(T47="","",T47+1))</f>
        <v>43468</v>
      </c>
      <c r="V47" s="532">
        <f>IF($BF$6=AU$29,$BD$6,IF(U47="","",U47+1))</f>
        <v>43469</v>
      </c>
      <c r="W47" s="531">
        <f>IF($BF$6=AV$29,$BD$6,IF(V47="","",V47+1))</f>
        <v>43470</v>
      </c>
      <c r="X47" s="530">
        <f>IF($BF$6=AW$29,$BD$6,IF(W47="","",W47+1))</f>
        <v>43471</v>
      </c>
      <c r="Y47" s="508"/>
      <c r="Z47" s="217"/>
      <c r="AA47" s="510">
        <f xml:space="preserve"> TIME($A47-1,45,0)</f>
        <v>0.73958333333333337</v>
      </c>
      <c r="AB47" s="510">
        <f>TIME($A47,15,0)</f>
        <v>0.76041666666666663</v>
      </c>
      <c r="AC47" s="451"/>
      <c r="AE47" s="469"/>
      <c r="AG47" s="468"/>
      <c r="AH47" s="460"/>
      <c r="AI47" s="459"/>
      <c r="AJ47" s="254">
        <v>9</v>
      </c>
      <c r="AL47"/>
      <c r="AM47"/>
      <c r="AN47" s="524" t="str">
        <f>IF($BF$6=AQ29,$BD$6,"-")</f>
        <v>-</v>
      </c>
      <c r="AO47" s="524">
        <f>IF($BF$6=AR29,$BD$6,IF(AN47="-","-",AN47+1))</f>
        <v>43466</v>
      </c>
      <c r="AP47" s="540">
        <f>IF(X47=$U$16,1,"")</f>
        <v>1</v>
      </c>
      <c r="AQ47" s="529" t="str">
        <f>IFERROR(INDEX('GCal-Year'!$F$2:$F$435,MATCH(R47,'GCal-Year'!$A$2:$A$435,0)),"")</f>
        <v/>
      </c>
      <c r="AR47" s="238" t="str">
        <f ca="1">IFERROR(INDEX('GCal-Year'!$F$2:$F$435,MATCH(S47,'GCal-Year'!$A$2:$A$435,0)),"")</f>
        <v>S</v>
      </c>
      <c r="AS47" s="238" t="str">
        <f ca="1">IFERROR(INDEX('GCal-Year'!$F$2:$F$435,MATCH(T47,'GCal-Year'!$A$2:$A$435,0)),"")</f>
        <v/>
      </c>
      <c r="AT47" s="238" t="str">
        <f ca="1">IFERROR(INDEX('GCal-Year'!$F$2:$F$435,MATCH(U47,'GCal-Year'!$A$2:$A$435,0)),"")</f>
        <v>C</v>
      </c>
      <c r="AU47" s="238" t="str">
        <f ca="1">IFERROR(INDEX('GCal-Year'!$F$2:$F$435,MATCH(V47,'GCal-Year'!$A$2:$A$435,0)),"")</f>
        <v/>
      </c>
      <c r="AV47" s="528" t="str">
        <f ca="1">IFERROR(INDEX('GCal-Year'!$F$2:$F$435,MATCH(W47,'GCal-Year'!$A$2:$A$435,0)),"")</f>
        <v/>
      </c>
      <c r="AW47" s="240" t="str">
        <f ca="1">IFERROR(INDEX('GCal-Year'!$F$2:$F$435,MATCH(X47,'GCal-Year'!$A$2:$A$435,0)),"")</f>
        <v>C</v>
      </c>
    </row>
    <row r="48" spans="1:49" s="337" customFormat="1" ht="1.5" customHeight="1" x14ac:dyDescent="0.25">
      <c r="A48" s="254"/>
      <c r="B48" s="452" t="str">
        <f t="shared" si="0"/>
        <v/>
      </c>
      <c r="C48" s="539"/>
      <c r="D48" s="254"/>
      <c r="E48" s="254"/>
      <c r="F48" s="474"/>
      <c r="G48" s="452" t="str">
        <f t="shared" si="1"/>
        <v/>
      </c>
      <c r="I48" s="254"/>
      <c r="J48" s="254"/>
      <c r="K48" s="474"/>
      <c r="L48" s="452" t="str">
        <f t="shared" si="2"/>
        <v/>
      </c>
      <c r="N48" s="254"/>
      <c r="O48" s="254"/>
      <c r="P48" s="474"/>
      <c r="R48" s="538"/>
      <c r="S48" s="224"/>
      <c r="T48" s="224"/>
      <c r="U48" s="224"/>
      <c r="V48" s="224"/>
      <c r="W48" s="538"/>
      <c r="X48" s="537"/>
      <c r="Y48" s="508"/>
      <c r="Z48" s="217"/>
      <c r="AA48" s="510"/>
      <c r="AB48" s="510"/>
      <c r="AC48" s="254"/>
      <c r="AE48" s="469"/>
      <c r="AG48" s="468"/>
      <c r="AH48" s="471"/>
      <c r="AI48" s="470"/>
      <c r="AJ48" s="254"/>
      <c r="AL48"/>
      <c r="AM48"/>
      <c r="AN48" s="254"/>
      <c r="AO48" s="254"/>
      <c r="AP48" s="520"/>
      <c r="AQ48" s="536"/>
      <c r="AR48" s="224"/>
      <c r="AS48" s="224"/>
      <c r="AT48" s="224"/>
      <c r="AU48" s="224"/>
      <c r="AV48" s="535"/>
      <c r="AW48" s="534"/>
    </row>
    <row r="49" spans="1:49" s="337" customFormat="1" x14ac:dyDescent="0.25">
      <c r="A49" s="254"/>
      <c r="B49" s="452" t="str">
        <f t="shared" si="0"/>
        <v/>
      </c>
      <c r="C49" s="533"/>
      <c r="D49" s="472"/>
      <c r="E49" s="472"/>
      <c r="F49" s="458"/>
      <c r="G49" s="452" t="str">
        <f t="shared" si="1"/>
        <v/>
      </c>
      <c r="H49" s="473"/>
      <c r="I49" s="472"/>
      <c r="J49" s="472"/>
      <c r="K49" s="458"/>
      <c r="L49" s="452" t="str">
        <f t="shared" si="2"/>
        <v/>
      </c>
      <c r="M49" s="473"/>
      <c r="N49" s="472"/>
      <c r="O49" s="472"/>
      <c r="P49" s="458"/>
      <c r="R49" s="531">
        <f>X47+1</f>
        <v>43472</v>
      </c>
      <c r="S49" s="532">
        <f t="shared" ref="S49:X51" si="9">R49+1</f>
        <v>43473</v>
      </c>
      <c r="T49" s="532">
        <f t="shared" si="9"/>
        <v>43474</v>
      </c>
      <c r="U49" s="532">
        <f t="shared" si="9"/>
        <v>43475</v>
      </c>
      <c r="V49" s="532">
        <f t="shared" si="9"/>
        <v>43476</v>
      </c>
      <c r="W49" s="531">
        <f t="shared" si="9"/>
        <v>43477</v>
      </c>
      <c r="X49" s="530">
        <f t="shared" si="9"/>
        <v>43478</v>
      </c>
      <c r="Y49" s="508"/>
      <c r="Z49" s="217"/>
      <c r="AA49" s="510">
        <f xml:space="preserve"> TIME($A47,15,0)</f>
        <v>0.76041666666666663</v>
      </c>
      <c r="AB49" s="510">
        <f>TIME($A47,45,0)</f>
        <v>0.78125</v>
      </c>
      <c r="AC49" s="451"/>
      <c r="AE49" s="469"/>
      <c r="AG49" s="468"/>
      <c r="AH49" s="454"/>
      <c r="AI49" s="453"/>
      <c r="AJ49" s="254"/>
      <c r="AL49"/>
      <c r="AM49"/>
      <c r="AN49" s="254"/>
      <c r="AO49" s="254"/>
      <c r="AP49" s="520"/>
      <c r="AQ49" s="529" t="str">
        <f ca="1">IFERROR(INDEX('GCal-Year'!$F$2:$F$435,MATCH(R49,'GCal-Year'!$A$2:$A$435,0)),"")</f>
        <v/>
      </c>
      <c r="AR49" s="238" t="str">
        <f ca="1">IFERROR(INDEX('GCal-Year'!$F$2:$F$435,MATCH(S49,'GCal-Year'!$A$2:$A$435,0)),"")</f>
        <v>C</v>
      </c>
      <c r="AS49" s="238" t="str">
        <f ca="1">IFERROR(INDEX('GCal-Year'!$F$2:$F$435,MATCH(T49,'GCal-Year'!$A$2:$A$435,0)),"")</f>
        <v/>
      </c>
      <c r="AT49" s="238" t="str">
        <f ca="1">IFERROR(INDEX('GCal-Year'!$F$2:$F$435,MATCH(U49,'GCal-Year'!$A$2:$A$435,0)),"")</f>
        <v/>
      </c>
      <c r="AU49" s="238" t="str">
        <f ca="1">IFERROR(INDEX('GCal-Year'!$F$2:$F$435,MATCH(V49,'GCal-Year'!$A$2:$A$435,0)),"")</f>
        <v/>
      </c>
      <c r="AV49" s="528" t="str">
        <f ca="1">IFERROR(INDEX('GCal-Year'!$F$2:$F$435,MATCH(W49,'GCal-Year'!$A$2:$A$435,0)),"")</f>
        <v/>
      </c>
      <c r="AW49" s="240" t="str">
        <f ca="1">IFERROR(INDEX('GCal-Year'!$F$2:$F$435,MATCH(X49,'GCal-Year'!$A$2:$A$435,0)),"")</f>
        <v/>
      </c>
    </row>
    <row r="50" spans="1:49" s="337" customFormat="1" ht="18.75" thickBot="1" x14ac:dyDescent="0.3">
      <c r="A50" s="254">
        <f>A47+1</f>
        <v>19</v>
      </c>
      <c r="B50" s="452" t="str">
        <f t="shared" si="0"/>
        <v/>
      </c>
      <c r="C50" s="513"/>
      <c r="D50" s="456"/>
      <c r="E50" s="456"/>
      <c r="F50" s="458"/>
      <c r="G50" s="452" t="str">
        <f t="shared" si="1"/>
        <v/>
      </c>
      <c r="H50" s="457"/>
      <c r="I50" s="456"/>
      <c r="J50" s="456"/>
      <c r="K50" s="458"/>
      <c r="L50" s="452" t="str">
        <f t="shared" si="2"/>
        <v/>
      </c>
      <c r="M50" s="457"/>
      <c r="N50" s="456"/>
      <c r="O50" s="456"/>
      <c r="P50" s="458"/>
      <c r="R50" s="531">
        <f>X49+1</f>
        <v>43479</v>
      </c>
      <c r="S50" s="532">
        <f t="shared" si="9"/>
        <v>43480</v>
      </c>
      <c r="T50" s="532">
        <f t="shared" si="9"/>
        <v>43481</v>
      </c>
      <c r="U50" s="532">
        <f t="shared" si="9"/>
        <v>43482</v>
      </c>
      <c r="V50" s="532">
        <f t="shared" si="9"/>
        <v>43483</v>
      </c>
      <c r="W50" s="531">
        <f t="shared" si="9"/>
        <v>43484</v>
      </c>
      <c r="X50" s="530">
        <f t="shared" si="9"/>
        <v>43485</v>
      </c>
      <c r="Y50" s="508"/>
      <c r="Z50" s="217"/>
      <c r="AA50" s="510">
        <f xml:space="preserve"> TIME($A50-1,45,0)</f>
        <v>0.78125</v>
      </c>
      <c r="AB50" s="510">
        <f>TIME($A50,15,0)</f>
        <v>0.80208333333333337</v>
      </c>
      <c r="AC50" s="451"/>
      <c r="AE50" s="467"/>
      <c r="AF50" s="466"/>
      <c r="AG50" s="465"/>
      <c r="AH50" s="464"/>
      <c r="AI50" s="463"/>
      <c r="AJ50" s="254">
        <v>10</v>
      </c>
      <c r="AL50"/>
      <c r="AM50"/>
      <c r="AN50" s="254"/>
      <c r="AO50" s="254"/>
      <c r="AP50" s="520"/>
      <c r="AQ50" s="529" t="str">
        <f ca="1">IFERROR(INDEX('GCal-Year'!$F$2:$F$435,MATCH(R50,'GCal-Year'!$A$2:$A$435,0)),"")</f>
        <v>C</v>
      </c>
      <c r="AR50" s="238" t="str">
        <f ca="1">IFERROR(INDEX('GCal-Year'!$F$2:$F$435,MATCH(S50,'GCal-Year'!$A$2:$A$435,0)),"")</f>
        <v/>
      </c>
      <c r="AS50" s="238" t="str">
        <f ca="1">IFERROR(INDEX('GCal-Year'!$F$2:$F$435,MATCH(T50,'GCal-Year'!$A$2:$A$435,0)),"")</f>
        <v/>
      </c>
      <c r="AT50" s="238" t="str">
        <f ca="1">IFERROR(INDEX('GCal-Year'!$F$2:$F$435,MATCH(U50,'GCal-Year'!$A$2:$A$435,0)),"")</f>
        <v>E</v>
      </c>
      <c r="AU50" s="238" t="str">
        <f ca="1">IFERROR(INDEX('GCal-Year'!$F$2:$F$435,MATCH(V50,'GCal-Year'!$A$2:$A$435,0)),"")</f>
        <v>C</v>
      </c>
      <c r="AV50" s="528" t="str">
        <f ca="1">IFERROR(INDEX('GCal-Year'!$F$2:$F$435,MATCH(W50,'GCal-Year'!$A$2:$A$435,0)),"")</f>
        <v/>
      </c>
      <c r="AW50" s="240" t="str">
        <f ca="1">IFERROR(INDEX('GCal-Year'!$F$2:$F$435,MATCH(X50,'GCal-Year'!$A$2:$A$435,0)),"")</f>
        <v/>
      </c>
    </row>
    <row r="51" spans="1:49" s="337" customFormat="1" x14ac:dyDescent="0.25">
      <c r="A51" s="254"/>
      <c r="B51" s="452" t="str">
        <f t="shared" si="0"/>
        <v/>
      </c>
      <c r="C51" s="513"/>
      <c r="D51" s="456"/>
      <c r="E51" s="456"/>
      <c r="F51" s="458"/>
      <c r="G51" s="452" t="str">
        <f t="shared" si="1"/>
        <v/>
      </c>
      <c r="H51" s="457"/>
      <c r="I51" s="456"/>
      <c r="J51" s="456"/>
      <c r="K51" s="458"/>
      <c r="L51" s="452" t="str">
        <f t="shared" si="2"/>
        <v/>
      </c>
      <c r="M51" s="457"/>
      <c r="N51" s="456"/>
      <c r="O51" s="456"/>
      <c r="P51" s="458"/>
      <c r="R51" s="531">
        <f>X50+1</f>
        <v>43486</v>
      </c>
      <c r="S51" s="532">
        <f t="shared" si="9"/>
        <v>43487</v>
      </c>
      <c r="T51" s="532">
        <f t="shared" si="9"/>
        <v>43488</v>
      </c>
      <c r="U51" s="532">
        <f t="shared" si="9"/>
        <v>43489</v>
      </c>
      <c r="V51" s="532">
        <f t="shared" si="9"/>
        <v>43490</v>
      </c>
      <c r="W51" s="531">
        <f t="shared" si="9"/>
        <v>43491</v>
      </c>
      <c r="X51" s="530">
        <f t="shared" si="9"/>
        <v>43492</v>
      </c>
      <c r="Y51" s="508"/>
      <c r="Z51" s="217"/>
      <c r="AA51" s="510">
        <f xml:space="preserve"> TIME($A50,15,0)</f>
        <v>0.80208333333333337</v>
      </c>
      <c r="AB51" s="510">
        <f>TIME($A50,45,0)</f>
        <v>0.82291666666666663</v>
      </c>
      <c r="AC51" s="451"/>
      <c r="AE51" s="469"/>
      <c r="AG51" s="468"/>
      <c r="AH51" s="471"/>
      <c r="AI51" s="470"/>
      <c r="AJ51" s="254"/>
      <c r="AL51"/>
      <c r="AM51"/>
      <c r="AN51" s="254"/>
      <c r="AO51" s="254"/>
      <c r="AP51" s="520"/>
      <c r="AQ51" s="529" t="str">
        <f ca="1">IFERROR(INDEX('GCal-Year'!$F$2:$F$435,MATCH(R51,'GCal-Year'!$A$2:$A$435,0)),"")</f>
        <v/>
      </c>
      <c r="AR51" s="238" t="str">
        <f ca="1">IFERROR(INDEX('GCal-Year'!$F$2:$F$435,MATCH(S51,'GCal-Year'!$A$2:$A$435,0)),"")</f>
        <v/>
      </c>
      <c r="AS51" s="238" t="str">
        <f ca="1">IFERROR(INDEX('GCal-Year'!$F$2:$F$435,MATCH(T51,'GCal-Year'!$A$2:$A$435,0)),"")</f>
        <v/>
      </c>
      <c r="AT51" s="238" t="str">
        <f ca="1">IFERROR(INDEX('GCal-Year'!$F$2:$F$435,MATCH(U51,'GCal-Year'!$A$2:$A$435,0)),"")</f>
        <v/>
      </c>
      <c r="AU51" s="238" t="str">
        <f ca="1">IFERROR(INDEX('GCal-Year'!$F$2:$F$435,MATCH(V51,'GCal-Year'!$A$2:$A$435,0)),"")</f>
        <v>C</v>
      </c>
      <c r="AV51" s="528" t="str">
        <f ca="1">IFERROR(INDEX('GCal-Year'!$F$2:$F$435,MATCH(W51,'GCal-Year'!$A$2:$A$435,0)),"")</f>
        <v>C</v>
      </c>
      <c r="AW51" s="240" t="str">
        <f ca="1">IFERROR(INDEX('GCal-Year'!$F$2:$F$435,MATCH(X51,'GCal-Year'!$A$2:$A$435,0)),"")</f>
        <v>C</v>
      </c>
    </row>
    <row r="52" spans="1:49" s="337" customFormat="1" ht="18.75" thickBot="1" x14ac:dyDescent="0.3">
      <c r="A52" s="254">
        <f>A50+1</f>
        <v>20</v>
      </c>
      <c r="B52" s="452" t="str">
        <f t="shared" si="0"/>
        <v/>
      </c>
      <c r="C52" s="513"/>
      <c r="D52" s="456"/>
      <c r="E52" s="456"/>
      <c r="F52" s="458"/>
      <c r="G52" s="452" t="str">
        <f t="shared" si="1"/>
        <v/>
      </c>
      <c r="H52" s="457"/>
      <c r="I52" s="456"/>
      <c r="J52" s="456"/>
      <c r="K52" s="458"/>
      <c r="L52" s="452" t="str">
        <f t="shared" si="2"/>
        <v/>
      </c>
      <c r="M52" s="457"/>
      <c r="N52" s="456"/>
      <c r="O52" s="456"/>
      <c r="P52" s="458"/>
      <c r="R52" s="526">
        <f>IF(X51="","",IF(X51+1&gt;$BE$6,"",X51+1))</f>
        <v>43493</v>
      </c>
      <c r="S52" s="527">
        <f t="shared" ref="S52:X52" si="10">IF(R52="","",IF(R52+1&gt;$BE$6,"",R52+1))</f>
        <v>43494</v>
      </c>
      <c r="T52" s="527">
        <f t="shared" si="10"/>
        <v>43495</v>
      </c>
      <c r="U52" s="527">
        <f t="shared" si="10"/>
        <v>43496</v>
      </c>
      <c r="V52" s="527" t="str">
        <f t="shared" si="10"/>
        <v/>
      </c>
      <c r="W52" s="526" t="str">
        <f t="shared" si="10"/>
        <v/>
      </c>
      <c r="X52" s="525" t="str">
        <f t="shared" si="10"/>
        <v/>
      </c>
      <c r="Y52" s="508"/>
      <c r="Z52" s="217"/>
      <c r="AA52" s="510">
        <f xml:space="preserve"> TIME($A52-1,45,0)</f>
        <v>0.82291666666666663</v>
      </c>
      <c r="AB52" s="510">
        <f>TIME($A52,15,0)</f>
        <v>0.84375</v>
      </c>
      <c r="AC52" s="451"/>
      <c r="AE52" s="469"/>
      <c r="AG52" s="468"/>
      <c r="AH52" s="454"/>
      <c r="AI52" s="453"/>
      <c r="AJ52" s="254">
        <v>11</v>
      </c>
      <c r="AL52"/>
      <c r="AM52"/>
      <c r="AN52" s="524" t="str">
        <f>IF(X52="","",IF(X52+1&gt;$BE$6,"",X52+1))</f>
        <v/>
      </c>
      <c r="AO52" s="524" t="str">
        <f>IF(AN52="","",IF(AN52+1&gt;$BE$6,"",AN52+1))</f>
        <v/>
      </c>
      <c r="AP52" s="520"/>
      <c r="AQ52" s="523" t="str">
        <f ca="1">IFERROR(INDEX('GCal-Year'!$F$2:$F$435,MATCH(R52,'GCal-Year'!$A$2:$A$435,0)),"")</f>
        <v/>
      </c>
      <c r="AR52" s="247" t="str">
        <f ca="1">IFERROR(INDEX('GCal-Year'!$F$2:$F$435,MATCH(S52,'GCal-Year'!$A$2:$A$435,0)),"")</f>
        <v/>
      </c>
      <c r="AS52" s="247" t="str">
        <f ca="1">IFERROR(INDEX('GCal-Year'!$F$2:$F$435,MATCH(T52,'GCal-Year'!$A$2:$A$435,0)),"")</f>
        <v/>
      </c>
      <c r="AT52" s="247" t="str">
        <f ca="1">IFERROR(INDEX('GCal-Year'!$F$2:$F$435,MATCH(U52,'GCal-Year'!$A$2:$A$435,0)),"")</f>
        <v>E</v>
      </c>
      <c r="AU52" s="247" t="str">
        <f>IFERROR(INDEX('GCal-Year'!$F$2:$F$435,MATCH(V52,'GCal-Year'!$A$2:$A$435,0)),"")</f>
        <v/>
      </c>
      <c r="AV52" s="522" t="str">
        <f>IFERROR(INDEX('GCal-Year'!$F$2:$F$435,MATCH(W52,'GCal-Year'!$A$2:$A$435,0)),"")</f>
        <v/>
      </c>
      <c r="AW52" s="521" t="str">
        <f>IFERROR(INDEX('GCal-Year'!$F$2:$F$435,MATCH(X52,'GCal-Year'!$A$2:$A$435,0)),"")</f>
        <v/>
      </c>
    </row>
    <row r="53" spans="1:49" s="337" customFormat="1" ht="18" customHeight="1" x14ac:dyDescent="0.25">
      <c r="B53" s="452" t="str">
        <f t="shared" si="0"/>
        <v/>
      </c>
      <c r="C53" s="962" t="str">
        <f>IFERROR(T("Naksatra: " &amp; 'GCal-Week'!S31 &amp; CHAR(10) &amp; "Yoga: " &amp; 'GCal-Week'!T31),"")</f>
        <v>Naksatra: Anuradha
Yoga: Sula</v>
      </c>
      <c r="D53" s="962"/>
      <c r="E53" s="962"/>
      <c r="F53" s="512" t="str">
        <f>'GCal-Week'!AG31 &amp; CHAR(10) &amp; 'GCal-Week'!AH31</f>
        <v>2
363</v>
      </c>
      <c r="G53" s="452" t="str">
        <f t="shared" si="1"/>
        <v/>
      </c>
      <c r="H53" s="962" t="str">
        <f>IFERROR(T("Naksatra: " &amp; 'GCal-Week'!S32 &amp; CHAR(10) &amp; "Yoga: " &amp; 'GCal-Week'!T32),"")</f>
        <v>Naksatra: Jyestha
Yoga: Ganda</v>
      </c>
      <c r="I53" s="962"/>
      <c r="J53" s="962"/>
      <c r="K53" s="450" t="str">
        <f>'GCal-Week'!AG32 &amp; CHAR(10) &amp; 'GCal-Week'!AH32</f>
        <v>3
362</v>
      </c>
      <c r="L53" s="452" t="str">
        <f t="shared" si="2"/>
        <v/>
      </c>
      <c r="M53" s="962" t="str">
        <f>IFERROR(T("Naksatra: " &amp; 'GCal-Week'!S33 &amp; CHAR(10) &amp; "Yoga: " &amp; 'GCal-Week'!T33),"")</f>
        <v>Naksatra: Mula
Yoga: Vriddhi</v>
      </c>
      <c r="N53" s="967"/>
      <c r="O53" s="967"/>
      <c r="P53" s="450" t="str">
        <f>'GCal-Week'!AG33 &amp; CHAR(10) &amp; 'GCal-Week'!AH33</f>
        <v>4
361</v>
      </c>
      <c r="R53" s="838"/>
      <c r="S53" s="838"/>
      <c r="T53" s="838"/>
      <c r="U53" s="838"/>
      <c r="V53" s="838"/>
      <c r="W53" s="838"/>
      <c r="X53" s="838"/>
      <c r="Y53" s="508"/>
      <c r="Z53" s="217"/>
      <c r="AA53" s="510">
        <f xml:space="preserve"> TIME($A29,15,0)</f>
        <v>0.55208333333333337</v>
      </c>
      <c r="AB53" s="510">
        <f>TIME($A29,45,0)</f>
        <v>0.57291666666666663</v>
      </c>
      <c r="AC53" s="451"/>
      <c r="AD53" s="509"/>
      <c r="AE53" s="599"/>
      <c r="AF53" s="602"/>
      <c r="AG53" s="605"/>
      <c r="AH53" s="454"/>
      <c r="AI53" s="453"/>
      <c r="AJ53" s="254"/>
      <c r="AL53"/>
      <c r="AM53"/>
    </row>
    <row r="54" spans="1:49" ht="2.25" customHeight="1" x14ac:dyDescent="0.25">
      <c r="R54" s="511"/>
      <c r="S54" s="511"/>
      <c r="T54" s="511"/>
      <c r="U54" s="511"/>
      <c r="V54" s="511"/>
      <c r="W54" s="511"/>
      <c r="X54" s="511"/>
      <c r="AD54" s="509"/>
      <c r="AE54" s="509"/>
    </row>
    <row r="55" spans="1:49" hidden="1" x14ac:dyDescent="0.25">
      <c r="C55" s="449">
        <f>'GCal-Week'!X31</f>
        <v>0.14581018518518518</v>
      </c>
      <c r="H55" s="449">
        <f>'GCal-Week'!X32</f>
        <v>0.14618055555555556</v>
      </c>
      <c r="M55" s="449">
        <f>'GCal-Week'!X33</f>
        <v>0.14653935185185185</v>
      </c>
      <c r="AA55" s="449" t="s">
        <v>7238</v>
      </c>
    </row>
    <row r="56" spans="1:49" hidden="1" x14ac:dyDescent="0.25">
      <c r="C56" s="449">
        <f>'GCal-Week'!Y31</f>
        <v>0.21247685185185183</v>
      </c>
      <c r="D56" s="448"/>
      <c r="E56" s="448"/>
      <c r="F56" s="448"/>
      <c r="H56" s="449">
        <f>'GCal-Week'!Y32</f>
        <v>0.21284722222222222</v>
      </c>
      <c r="I56" s="448"/>
      <c r="J56" s="448"/>
      <c r="K56" s="448"/>
      <c r="M56" s="449">
        <f>'GCal-Week'!Y33</f>
        <v>0.2132060185185185</v>
      </c>
      <c r="N56" s="448"/>
      <c r="O56" s="448"/>
      <c r="P56" s="448"/>
      <c r="AA56" s="449" t="s">
        <v>7484</v>
      </c>
    </row>
    <row r="57" spans="1:49" hidden="1" x14ac:dyDescent="0.25">
      <c r="C57" s="449">
        <f>'GCal-Week'!Z31</f>
        <v>0.47462962962962968</v>
      </c>
      <c r="D57" s="448"/>
      <c r="E57" s="448"/>
      <c r="F57" s="448"/>
      <c r="H57" s="449">
        <f>'GCal-Week'!Z32</f>
        <v>0.47494212962962962</v>
      </c>
      <c r="I57" s="448"/>
      <c r="J57" s="448"/>
      <c r="K57" s="448"/>
      <c r="M57" s="449">
        <f>'GCal-Week'!Z33</f>
        <v>0.4752662037037037</v>
      </c>
      <c r="N57" s="448"/>
      <c r="O57" s="448"/>
      <c r="P57" s="448"/>
      <c r="AA57" s="449" t="s">
        <v>7485</v>
      </c>
    </row>
    <row r="58" spans="1:49" hidden="1" x14ac:dyDescent="0.25">
      <c r="C58" s="449">
        <f>'GCal-Week'!AA31</f>
        <v>0.73677083333333337</v>
      </c>
      <c r="D58" s="448"/>
      <c r="E58" s="448"/>
      <c r="F58" s="448"/>
      <c r="H58" s="449">
        <f>'GCal-Week'!AA32</f>
        <v>0.73704861111111108</v>
      </c>
      <c r="I58" s="448"/>
      <c r="J58" s="448"/>
      <c r="K58" s="448"/>
      <c r="M58" s="449">
        <f>'GCal-Week'!AA33</f>
        <v>0.73731481481481476</v>
      </c>
      <c r="N58" s="448"/>
      <c r="O58" s="448"/>
      <c r="P58" s="448"/>
      <c r="AA58" s="449" t="s">
        <v>7486</v>
      </c>
    </row>
  </sheetData>
  <mergeCells count="63">
    <mergeCell ref="AE11:AG11"/>
    <mergeCell ref="AH11:AI11"/>
    <mergeCell ref="AI1:AJ1"/>
    <mergeCell ref="AI2:AJ2"/>
    <mergeCell ref="AE3:AH5"/>
    <mergeCell ref="AI3:AI5"/>
    <mergeCell ref="AJ3:AJ10"/>
    <mergeCell ref="AE6:AI6"/>
    <mergeCell ref="AE7:AG7"/>
    <mergeCell ref="AE8:AG8"/>
    <mergeCell ref="AE9:AG9"/>
    <mergeCell ref="AE1:AF2"/>
    <mergeCell ref="AE10:AG10"/>
    <mergeCell ref="U1:W2"/>
    <mergeCell ref="M31:O31"/>
    <mergeCell ref="M19:O19"/>
    <mergeCell ref="R30:X30"/>
    <mergeCell ref="M43:O43"/>
    <mergeCell ref="M33:O33"/>
    <mergeCell ref="M35:O35"/>
    <mergeCell ref="M37:O37"/>
    <mergeCell ref="M30:O30"/>
    <mergeCell ref="R2:T2"/>
    <mergeCell ref="R3:W3"/>
    <mergeCell ref="M18:O18"/>
    <mergeCell ref="M16:O16"/>
    <mergeCell ref="R19:X28"/>
    <mergeCell ref="C53:E53"/>
    <mergeCell ref="R43:X43"/>
    <mergeCell ref="R29:W29"/>
    <mergeCell ref="H53:J53"/>
    <mergeCell ref="M53:O53"/>
    <mergeCell ref="M39:O39"/>
    <mergeCell ref="M41:O41"/>
    <mergeCell ref="D1:E2"/>
    <mergeCell ref="R1:T1"/>
    <mergeCell ref="N1:O2"/>
    <mergeCell ref="I1:J2"/>
    <mergeCell ref="M3:O3"/>
    <mergeCell ref="H3:J3"/>
    <mergeCell ref="C3:E3"/>
    <mergeCell ref="C4:F10"/>
    <mergeCell ref="M4:P10"/>
    <mergeCell ref="C11:F11"/>
    <mergeCell ref="C12:F12"/>
    <mergeCell ref="C13:F13"/>
    <mergeCell ref="H4:K10"/>
    <mergeCell ref="C14:F14"/>
    <mergeCell ref="M15:O15"/>
    <mergeCell ref="U16:W17"/>
    <mergeCell ref="R17:T17"/>
    <mergeCell ref="R18:W18"/>
    <mergeCell ref="R4:X14"/>
    <mergeCell ref="M11:P11"/>
    <mergeCell ref="M12:P12"/>
    <mergeCell ref="M13:P13"/>
    <mergeCell ref="M14:P14"/>
    <mergeCell ref="H11:K11"/>
    <mergeCell ref="H12:K12"/>
    <mergeCell ref="H13:K13"/>
    <mergeCell ref="H14:K14"/>
    <mergeCell ref="R15:W15"/>
    <mergeCell ref="M17:O17"/>
  </mergeCells>
  <conditionalFormatting sqref="T32:X32">
    <cfRule type="expression" dxfId="33" priority="13" stopIfTrue="1">
      <formula>$AP33&lt;&gt;""</formula>
    </cfRule>
  </conditionalFormatting>
  <conditionalFormatting sqref="R36:X36">
    <cfRule type="expression" dxfId="32" priority="12" stopIfTrue="1">
      <formula>OR($AP$35=1,$AP$37=1)</formula>
    </cfRule>
  </conditionalFormatting>
  <conditionalFormatting sqref="T34:X34">
    <cfRule type="expression" dxfId="31" priority="11" stopIfTrue="1">
      <formula>OR($AP33=1,$AP35=1)</formula>
    </cfRule>
  </conditionalFormatting>
  <conditionalFormatting sqref="R38:X38">
    <cfRule type="expression" dxfId="30" priority="10" stopIfTrue="1">
      <formula>OR($AP37=1,$AP$39=1)</formula>
    </cfRule>
  </conditionalFormatting>
  <conditionalFormatting sqref="R40:X40">
    <cfRule type="expression" dxfId="29" priority="40" stopIfTrue="1">
      <formula>OR($AP39&lt;&gt;"",AND(R41&lt;&gt;"",$AP41&lt;&gt;""))</formula>
    </cfRule>
  </conditionalFormatting>
  <conditionalFormatting sqref="R32:S32">
    <cfRule type="expression" dxfId="28" priority="41" stopIfTrue="1">
      <formula>AND(R33&lt;&gt;"",$AP41&lt;&gt;1,OR($AP33&lt;&gt;"",$AP47&lt;&gt;""))</formula>
    </cfRule>
  </conditionalFormatting>
  <conditionalFormatting sqref="R34:S34">
    <cfRule type="expression" dxfId="27" priority="42" stopIfTrue="1">
      <formula>OR($AP$35=1,AND(R33&lt;&gt;"",$AP41&lt;&gt;1,OR($AP33&lt;&gt;"",$AP47&lt;&gt;"")))</formula>
    </cfRule>
  </conditionalFormatting>
  <conditionalFormatting sqref="T48:X48 R42:X42">
    <cfRule type="expression" dxfId="26" priority="43" stopIfTrue="1">
      <formula>AND(R41&lt;&gt;"",$AP41&lt;&gt;"")</formula>
    </cfRule>
  </conditionalFormatting>
  <conditionalFormatting sqref="R46">
    <cfRule type="expression" dxfId="25" priority="44" stopIfTrue="1">
      <formula>AND(R47&lt;&gt;"",$AP47&lt;&gt;"",$AN$52="")</formula>
    </cfRule>
  </conditionalFormatting>
  <conditionalFormatting sqref="R48">
    <cfRule type="expression" dxfId="24" priority="45" stopIfTrue="1">
      <formula>AND(R47&lt;&gt;"",$AP47&lt;&gt;"",$AN$52="")</formula>
    </cfRule>
  </conditionalFormatting>
  <conditionalFormatting sqref="S46">
    <cfRule type="expression" dxfId="23" priority="46" stopIfTrue="1">
      <formula>AND(S47&lt;&gt;"",$AP47&lt;&gt;"",$AO$52="")</formula>
    </cfRule>
  </conditionalFormatting>
  <conditionalFormatting sqref="T46:X46">
    <cfRule type="expression" dxfId="22" priority="47" stopIfTrue="1">
      <formula>AND(T47&lt;&gt;"",$AP47&lt;&gt;"")</formula>
    </cfRule>
  </conditionalFormatting>
  <conditionalFormatting sqref="S48">
    <cfRule type="expression" dxfId="21" priority="48" stopIfTrue="1">
      <formula>AND(S47&lt;&gt;"",$AP47&lt;&gt;"",$AO$52="")</formula>
    </cfRule>
  </conditionalFormatting>
  <conditionalFormatting sqref="R33:X33 R35:X35 R37:X37 R39:X39 R41:X41 R47:X47 R49:X52 D1:E2 I1:J2 N1:O2 U1:W2 U16:W17">
    <cfRule type="expression" dxfId="20" priority="1" stopIfTrue="1">
      <formula>AC1="S"</formula>
    </cfRule>
    <cfRule type="expression" dxfId="19" priority="2" stopIfTrue="1">
      <formula>AC1="H"</formula>
    </cfRule>
    <cfRule type="expression" dxfId="18" priority="3" stopIfTrue="1">
      <formula>AC1="P"</formula>
    </cfRule>
    <cfRule type="expression" dxfId="17" priority="4" stopIfTrue="1">
      <formula>AC1="K"</formula>
    </cfRule>
    <cfRule type="expression" dxfId="16" priority="5" stopIfTrue="1">
      <formula>AC1="F"</formula>
    </cfRule>
    <cfRule type="expression" dxfId="15" priority="8" stopIfTrue="1">
      <formula>AC1="E"</formula>
    </cfRule>
    <cfRule type="expression" dxfId="14" priority="9" stopIfTrue="1">
      <formula>AC1="C"</formula>
    </cfRule>
  </conditionalFormatting>
  <hyperlinks>
    <hyperlink ref="AJ11" location="Index!E25" display="Index!E25" xr:uid="{00000000-0004-0000-0A00-000000000000}"/>
  </hyperlinks>
  <printOptions horizontalCentered="1"/>
  <pageMargins left="0.19685039370078741" right="0" top="0.19685039370078741" bottom="0.19685039370078741" header="0.11811023622047245" footer="0.1181102362204724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033" r:id="rId4" name="WeekSelect1">
              <controlPr defaultSize="0" print="0" autoPict="0">
                <anchor moveWithCells="1">
                  <from>
                    <xdr:col>0</xdr:col>
                    <xdr:colOff>47625</xdr:colOff>
                    <xdr:row>1</xdr:row>
                    <xdr:rowOff>66675</xdr:rowOff>
                  </from>
                  <to>
                    <xdr:col>1</xdr:col>
                    <xdr:colOff>9525</xdr:colOff>
                    <xdr:row>2</xdr:row>
                    <xdr:rowOff>180975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wksMonthlyLeft">
    <pageSetUpPr fitToPage="1"/>
  </sheetPr>
  <dimension ref="A1:AE50"/>
  <sheetViews>
    <sheetView showGridLines="0" showRowColHeaders="0" zoomScale="80" zoomScaleNormal="80" zoomScaleSheetLayoutView="73" workbookViewId="0"/>
  </sheetViews>
  <sheetFormatPr defaultColWidth="0" defaultRowHeight="0" customHeight="1" zeroHeight="1" x14ac:dyDescent="0.2"/>
  <cols>
    <col min="1" max="3" width="2.85546875" style="72" customWidth="1"/>
    <col min="4" max="4" width="9.85546875" style="72" customWidth="1"/>
    <col min="5" max="5" width="38.28515625" style="72" customWidth="1"/>
    <col min="6" max="6" width="24" style="72" customWidth="1"/>
    <col min="7" max="7" width="4.5703125" style="72" customWidth="1"/>
    <col min="8" max="8" width="24" style="72" customWidth="1"/>
    <col min="9" max="9" width="4.5703125" style="72" customWidth="1"/>
    <col min="10" max="10" width="24" style="72" customWidth="1"/>
    <col min="11" max="11" width="4.5703125" style="72" customWidth="1"/>
    <col min="12" max="12" width="10.7109375" style="72" customWidth="1"/>
    <col min="13" max="13" width="1.85546875" style="72" hidden="1" customWidth="1"/>
    <col min="14" max="14" width="4.28515625" style="72" hidden="1" customWidth="1"/>
    <col min="15" max="15" width="3.7109375" style="72" hidden="1" customWidth="1"/>
    <col min="16" max="16" width="3.5703125" style="72" hidden="1" customWidth="1"/>
    <col min="17" max="22" width="3.7109375" style="72" hidden="1" customWidth="1"/>
    <col min="23" max="23" width="13" style="72" hidden="1" customWidth="1"/>
    <col min="24" max="24" width="11.85546875" style="72" hidden="1" customWidth="1"/>
    <col min="25" max="25" width="2.85546875" style="72" hidden="1" customWidth="1"/>
    <col min="26" max="26" width="4.28515625" style="72" hidden="1" customWidth="1"/>
    <col min="27" max="27" width="9.140625" style="72" hidden="1" customWidth="1"/>
    <col min="28" max="28" width="4.28515625" style="72" hidden="1" customWidth="1"/>
    <col min="29" max="29" width="9.140625" style="72" hidden="1" customWidth="1"/>
    <col min="30" max="30" width="4.28515625" style="72" hidden="1" customWidth="1"/>
    <col min="31" max="31" width="2.85546875" style="72" hidden="1" customWidth="1"/>
    <col min="32" max="16384" width="9.140625" style="72" hidden="1"/>
  </cols>
  <sheetData>
    <row r="1" spans="4:30" ht="18" customHeight="1" x14ac:dyDescent="0.2">
      <c r="D1" s="976" t="str">
        <f ca="1">monthName</f>
        <v>JANEIRO</v>
      </c>
      <c r="E1" s="403" t="str">
        <f ca="1">'GPlan-Translations'!C241</f>
        <v>PRIORIDADES</v>
      </c>
      <c r="F1" s="402" t="str">
        <f ca="1">UPPER('GPlan-Translations'!C191)</f>
        <v>SEGUNDA</v>
      </c>
      <c r="G1" s="401"/>
      <c r="H1" s="400" t="str">
        <f ca="1">UPPER('GPlan-Translations'!C192)</f>
        <v>TERÇA</v>
      </c>
      <c r="I1" s="399"/>
      <c r="J1" s="400" t="str">
        <f ca="1">UPPER('GPlan-Translations'!C193)</f>
        <v>QUARTA</v>
      </c>
      <c r="K1" s="399"/>
      <c r="L1" s="398"/>
      <c r="M1" s="397"/>
      <c r="N1" s="291"/>
      <c r="O1" s="291"/>
      <c r="P1" s="291"/>
      <c r="Q1" s="291"/>
      <c r="R1" s="291"/>
      <c r="S1" s="291"/>
      <c r="T1" s="291"/>
      <c r="U1" s="291"/>
      <c r="V1" s="291"/>
      <c r="W1" s="291"/>
      <c r="X1" s="291"/>
    </row>
    <row r="2" spans="4:30" ht="24" customHeight="1" x14ac:dyDescent="0.2">
      <c r="D2" s="976"/>
      <c r="E2" s="345"/>
      <c r="F2" s="978" t="str">
        <f>IFERROR(SUBSTITUTE(INDEX('GCal-Month'!$P$98:$P$141,MATCH(G9,'GCal-Month'!$A$98:$A$141,0)),"|",CHAR(10)),"")</f>
        <v/>
      </c>
      <c r="G2" s="979"/>
      <c r="H2" s="978" t="str">
        <f ca="1">IFERROR(SUBSTITUTE(INDEX('GCal-Month'!$P$98:$P$141,MATCH(I9,'GCal-Month'!$A$98:$A$141,0)),"|",CHAR(10)),"")</f>
        <v/>
      </c>
      <c r="I2" s="979"/>
      <c r="J2" s="978" t="str">
        <f ca="1">IFERROR(SUBSTITUTE(INDEX('GCal-Month'!$P$98:$P$141,MATCH(K9,'GCal-Month'!$A$98:$A$141,0)),"|",CHAR(10)),"")</f>
        <v/>
      </c>
      <c r="K2" s="979"/>
      <c r="L2" s="344"/>
      <c r="M2" s="338"/>
      <c r="N2" s="337"/>
      <c r="W2" s="386">
        <f>IF(X9=13,X8+1,X8)</f>
        <v>2019</v>
      </c>
      <c r="X2" s="394" t="s">
        <v>790</v>
      </c>
    </row>
    <row r="3" spans="4:30" ht="24" customHeight="1" x14ac:dyDescent="0.2">
      <c r="D3" s="976"/>
      <c r="E3" s="339"/>
      <c r="F3" s="980"/>
      <c r="G3" s="981"/>
      <c r="H3" s="980"/>
      <c r="I3" s="981"/>
      <c r="J3" s="980"/>
      <c r="K3" s="981"/>
      <c r="L3" s="343"/>
      <c r="M3" s="338"/>
      <c r="T3" s="394"/>
      <c r="U3" s="393"/>
      <c r="W3" s="386">
        <f>IF(X9=13,1,X9)</f>
        <v>1</v>
      </c>
      <c r="X3" s="394" t="s">
        <v>7568</v>
      </c>
    </row>
    <row r="4" spans="4:30" ht="24" customHeight="1" x14ac:dyDescent="0.2">
      <c r="D4" s="976"/>
      <c r="E4" s="342"/>
      <c r="F4" s="980"/>
      <c r="G4" s="981"/>
      <c r="H4" s="980"/>
      <c r="I4" s="981"/>
      <c r="J4" s="980"/>
      <c r="K4" s="981"/>
      <c r="L4" s="339"/>
      <c r="M4" s="338"/>
      <c r="N4" s="337"/>
      <c r="W4" s="386">
        <f>IF(W3=2,IF(ISERR(DATEVALUE(CONCATENATE("29","/",W3,"/",W2))),28,29),IF(ISERR(DATEVALUE(CONCATENATE("31","/",W3,"/",W2))),30,31))</f>
        <v>31</v>
      </c>
      <c r="X4" s="394" t="s">
        <v>7567</v>
      </c>
    </row>
    <row r="5" spans="4:30" ht="24" customHeight="1" x14ac:dyDescent="0.2">
      <c r="D5" s="976"/>
      <c r="E5" s="342"/>
      <c r="F5" s="980"/>
      <c r="G5" s="981"/>
      <c r="H5" s="980"/>
      <c r="I5" s="981"/>
      <c r="J5" s="980"/>
      <c r="K5" s="981"/>
      <c r="L5" s="339"/>
      <c r="M5" s="338"/>
      <c r="N5" s="337"/>
      <c r="W5" s="389">
        <f>DATE(W2,W3,1)</f>
        <v>43466</v>
      </c>
      <c r="X5" s="394" t="s">
        <v>7566</v>
      </c>
    </row>
    <row r="6" spans="4:30" ht="24" customHeight="1" x14ac:dyDescent="0.2">
      <c r="D6" s="976"/>
      <c r="E6" s="342"/>
      <c r="F6" s="980"/>
      <c r="G6" s="981"/>
      <c r="H6" s="980"/>
      <c r="I6" s="981"/>
      <c r="J6" s="980"/>
      <c r="K6" s="981"/>
      <c r="L6" s="339"/>
      <c r="M6" s="338" t="s">
        <v>126</v>
      </c>
      <c r="N6" s="337"/>
      <c r="W6" s="386">
        <f>WEEKDAY(W5,2)</f>
        <v>2</v>
      </c>
      <c r="X6" s="394" t="s">
        <v>7565</v>
      </c>
    </row>
    <row r="7" spans="4:30" ht="24" customHeight="1" x14ac:dyDescent="0.2">
      <c r="D7" s="976"/>
      <c r="E7" s="342"/>
      <c r="F7" s="980"/>
      <c r="G7" s="981"/>
      <c r="H7" s="980"/>
      <c r="I7" s="981"/>
      <c r="J7" s="980"/>
      <c r="K7" s="981"/>
      <c r="L7" s="339"/>
      <c r="M7" s="338"/>
      <c r="N7" s="337"/>
    </row>
    <row r="8" spans="4:30" ht="24" customHeight="1" x14ac:dyDescent="0.2">
      <c r="D8" s="976"/>
      <c r="E8" s="342"/>
      <c r="F8" s="980"/>
      <c r="G8" s="981"/>
      <c r="H8" s="980"/>
      <c r="I8" s="981"/>
      <c r="J8" s="980"/>
      <c r="K8" s="981"/>
      <c r="L8" s="339"/>
      <c r="M8" s="338"/>
      <c r="N8" s="337"/>
      <c r="O8" s="382">
        <f>P8-1</f>
        <v>43465</v>
      </c>
      <c r="P8" s="382">
        <f>Q8-1</f>
        <v>43466</v>
      </c>
      <c r="Q8" s="382">
        <f>R8-1</f>
        <v>43467</v>
      </c>
      <c r="R8" s="382">
        <f>S8-1</f>
        <v>43468</v>
      </c>
      <c r="S8" s="382">
        <f>T8-1</f>
        <v>43469</v>
      </c>
      <c r="T8" s="382">
        <f>U10-1</f>
        <v>43470</v>
      </c>
      <c r="W8" s="395" t="s">
        <v>172</v>
      </c>
      <c r="X8" s="413">
        <f>Parameters!C19</f>
        <v>2019</v>
      </c>
    </row>
    <row r="9" spans="4:30" ht="24" customHeight="1" x14ac:dyDescent="0.2">
      <c r="D9" s="976"/>
      <c r="E9" s="342"/>
      <c r="F9" s="340" t="str">
        <f>IFERROR(INDEX('GCal-Month'!$J$98:$J$141,MATCH(G9,'GCal-Month'!$A$98:$A$141,0)),"")</f>
        <v/>
      </c>
      <c r="G9" s="696" t="str">
        <f>O10</f>
        <v xml:space="preserve"> </v>
      </c>
      <c r="H9" s="340" t="str">
        <f ca="1">IFERROR(INDEX('GCal-Month'!$J$98:$J$141,MATCH(I9,'GCal-Month'!$A$98:$A$141,0)),"")</f>
        <v/>
      </c>
      <c r="I9" s="696">
        <f>P10</f>
        <v>43466</v>
      </c>
      <c r="J9" s="340" t="str">
        <f ca="1">IFERROR(INDEX('GCal-Month'!$J$98:$J$141,MATCH(K9,'GCal-Month'!$A$98:$A$141,0)),"")</f>
        <v/>
      </c>
      <c r="K9" s="696">
        <f>Q10</f>
        <v>43467</v>
      </c>
      <c r="L9" s="339"/>
      <c r="M9" s="338"/>
      <c r="N9" s="337"/>
      <c r="O9" s="360" t="s">
        <v>1473</v>
      </c>
      <c r="P9" s="359" t="s">
        <v>1476</v>
      </c>
      <c r="Q9" s="359" t="s">
        <v>1479</v>
      </c>
      <c r="R9" s="359" t="s">
        <v>1479</v>
      </c>
      <c r="S9" s="359" t="s">
        <v>1473</v>
      </c>
      <c r="T9" s="381" t="s">
        <v>1473</v>
      </c>
      <c r="U9" s="380" t="s">
        <v>1470</v>
      </c>
      <c r="W9" s="392" t="s">
        <v>1236</v>
      </c>
      <c r="X9" s="625">
        <f>Parameters!E19</f>
        <v>1</v>
      </c>
      <c r="Z9" s="608" t="str">
        <f>O18</f>
        <v/>
      </c>
      <c r="AB9" s="608" t="str">
        <f ca="1">P18</f>
        <v>S</v>
      </c>
      <c r="AD9" s="608" t="str">
        <f ca="1">Q18</f>
        <v/>
      </c>
    </row>
    <row r="10" spans="4:30" ht="24" customHeight="1" x14ac:dyDescent="0.2">
      <c r="D10" s="976"/>
      <c r="E10" s="345"/>
      <c r="F10" s="978" t="str">
        <f ca="1">IFERROR(SUBSTITUTE(INDEX('GCal-Month'!$P$98:$P$141,MATCH(G17,'GCal-Month'!$A$98:$A$141,0)),"|",CHAR(10)),"")</f>
        <v/>
      </c>
      <c r="G10" s="979"/>
      <c r="H10" s="978" t="str">
        <f ca="1">IFERROR(SUBSTITUTE(INDEX('GCal-Month'!$P$98:$P$141,MATCH(I17,'GCal-Month'!$A$98:$A$141,0)),"|",CHAR(10)),"")</f>
        <v/>
      </c>
      <c r="I10" s="979"/>
      <c r="J10" s="978" t="str">
        <f ca="1">IFERROR(SUBSTITUTE(INDEX('GCal-Month'!$P$98:$P$141,MATCH(K17,'GCal-Month'!$A$98:$A$141,0)),"|",CHAR(10)),"")</f>
        <v/>
      </c>
      <c r="K10" s="979"/>
      <c r="L10" s="344"/>
      <c r="M10" s="338"/>
      <c r="N10" s="337"/>
      <c r="O10" s="379" t="str">
        <f>IF(W6=1,W5," ")</f>
        <v xml:space="preserve"> </v>
      </c>
      <c r="P10" s="378">
        <f>IF(W6=2,W5,IF(O10=" "," ",O10+1))</f>
        <v>43466</v>
      </c>
      <c r="Q10" s="378">
        <f>IF(W6=3,W5,IF(P10=" "," ",P10+1))</f>
        <v>43467</v>
      </c>
      <c r="R10" s="378">
        <f>IF(W6=4,W5,IF(Q10=" "," ",Q10+1))</f>
        <v>43468</v>
      </c>
      <c r="S10" s="378">
        <f>IF(W6=5,W5,IF(R10=" "," ",R10+1))</f>
        <v>43469</v>
      </c>
      <c r="T10" s="377">
        <f>IF(W6=6,W5,IF(S10=" "," ",S10+1))</f>
        <v>43470</v>
      </c>
      <c r="U10" s="376">
        <f>IF(W6=7,W5,IF(T10=" "," ",T10+1))</f>
        <v>43471</v>
      </c>
      <c r="W10" s="391"/>
      <c r="X10" s="390"/>
    </row>
    <row r="11" spans="4:30" ht="24" customHeight="1" x14ac:dyDescent="0.2">
      <c r="D11" s="976"/>
      <c r="E11" s="339"/>
      <c r="F11" s="980"/>
      <c r="G11" s="981"/>
      <c r="H11" s="980"/>
      <c r="I11" s="981"/>
      <c r="J11" s="980"/>
      <c r="K11" s="981"/>
      <c r="L11" s="343"/>
      <c r="M11" s="338"/>
      <c r="N11" s="337"/>
      <c r="O11" s="374">
        <f>U10+1</f>
        <v>43472</v>
      </c>
      <c r="P11" s="373">
        <f t="shared" ref="P11:U13" si="0">O11+1</f>
        <v>43473</v>
      </c>
      <c r="Q11" s="373">
        <f t="shared" si="0"/>
        <v>43474</v>
      </c>
      <c r="R11" s="373">
        <f t="shared" si="0"/>
        <v>43475</v>
      </c>
      <c r="S11" s="373">
        <f t="shared" si="0"/>
        <v>43476</v>
      </c>
      <c r="T11" s="372">
        <f t="shared" si="0"/>
        <v>43477</v>
      </c>
      <c r="U11" s="371">
        <f t="shared" si="0"/>
        <v>43478</v>
      </c>
      <c r="W11" s="388" t="s">
        <v>1242</v>
      </c>
      <c r="X11" s="387">
        <f>DATE(W2,W3,1)</f>
        <v>43466</v>
      </c>
    </row>
    <row r="12" spans="4:30" ht="24" customHeight="1" x14ac:dyDescent="0.2">
      <c r="D12" s="977">
        <f>W2</f>
        <v>2019</v>
      </c>
      <c r="E12" s="342"/>
      <c r="F12" s="980"/>
      <c r="G12" s="981"/>
      <c r="H12" s="980"/>
      <c r="I12" s="981"/>
      <c r="J12" s="980"/>
      <c r="K12" s="981"/>
      <c r="L12" s="339"/>
      <c r="M12" s="338"/>
      <c r="N12" s="337"/>
      <c r="O12" s="374">
        <f>U11+1</f>
        <v>43479</v>
      </c>
      <c r="P12" s="373">
        <f t="shared" si="0"/>
        <v>43480</v>
      </c>
      <c r="Q12" s="373">
        <f t="shared" si="0"/>
        <v>43481</v>
      </c>
      <c r="R12" s="373">
        <f t="shared" si="0"/>
        <v>43482</v>
      </c>
      <c r="S12" s="373">
        <f t="shared" si="0"/>
        <v>43483</v>
      </c>
      <c r="T12" s="372">
        <f t="shared" si="0"/>
        <v>43484</v>
      </c>
      <c r="U12" s="371">
        <f t="shared" si="0"/>
        <v>43485</v>
      </c>
      <c r="W12" s="385" t="s">
        <v>7564</v>
      </c>
      <c r="X12" s="623" t="str">
        <f ca="1">VLOOKUP(W3,W15:X26,2,FALSE)</f>
        <v>JANEIRO</v>
      </c>
    </row>
    <row r="13" spans="4:30" ht="24" customHeight="1" x14ac:dyDescent="0.2">
      <c r="D13" s="977"/>
      <c r="E13" s="342"/>
      <c r="F13" s="980"/>
      <c r="G13" s="981"/>
      <c r="H13" s="980"/>
      <c r="I13" s="981"/>
      <c r="J13" s="980"/>
      <c r="K13" s="981"/>
      <c r="L13" s="339"/>
      <c r="M13" s="338"/>
      <c r="N13" s="337"/>
      <c r="O13" s="374">
        <f>U12+1</f>
        <v>43486</v>
      </c>
      <c r="P13" s="373">
        <f t="shared" si="0"/>
        <v>43487</v>
      </c>
      <c r="Q13" s="373">
        <f t="shared" si="0"/>
        <v>43488</v>
      </c>
      <c r="R13" s="373">
        <f t="shared" si="0"/>
        <v>43489</v>
      </c>
      <c r="S13" s="373">
        <f t="shared" si="0"/>
        <v>43490</v>
      </c>
      <c r="T13" s="372">
        <f t="shared" si="0"/>
        <v>43491</v>
      </c>
      <c r="U13" s="371">
        <f t="shared" si="0"/>
        <v>43492</v>
      </c>
      <c r="W13" s="365" t="s">
        <v>7563</v>
      </c>
      <c r="X13" s="384">
        <f>WEEKDAY(X11,2)</f>
        <v>2</v>
      </c>
    </row>
    <row r="14" spans="4:30" ht="24" customHeight="1" x14ac:dyDescent="0.2">
      <c r="D14" s="977"/>
      <c r="E14" s="342"/>
      <c r="F14" s="980"/>
      <c r="G14" s="981"/>
      <c r="H14" s="980"/>
      <c r="I14" s="981"/>
      <c r="J14" s="980"/>
      <c r="K14" s="981"/>
      <c r="L14" s="339"/>
      <c r="M14" s="338"/>
      <c r="N14" s="337"/>
      <c r="O14" s="374">
        <f>IF(MONTH(U13+1)&lt;&gt;$W$3," ",U13+1)</f>
        <v>43493</v>
      </c>
      <c r="P14" s="373">
        <f t="shared" ref="P14:U15" si="1">IF(O14=" "," ",O14+1)</f>
        <v>43494</v>
      </c>
      <c r="Q14" s="373">
        <f t="shared" si="1"/>
        <v>43495</v>
      </c>
      <c r="R14" s="373">
        <f t="shared" si="1"/>
        <v>43496</v>
      </c>
      <c r="S14" s="373">
        <f t="shared" si="1"/>
        <v>43497</v>
      </c>
      <c r="T14" s="372">
        <f t="shared" si="1"/>
        <v>43498</v>
      </c>
      <c r="U14" s="371">
        <f t="shared" si="1"/>
        <v>43499</v>
      </c>
      <c r="W14" s="383" t="s">
        <v>7562</v>
      </c>
      <c r="X14" s="624">
        <v>2</v>
      </c>
    </row>
    <row r="15" spans="4:30" ht="24" customHeight="1" x14ac:dyDescent="0.2">
      <c r="D15" s="977"/>
      <c r="E15" s="342"/>
      <c r="F15" s="980"/>
      <c r="G15" s="981"/>
      <c r="H15" s="980"/>
      <c r="I15" s="981"/>
      <c r="J15" s="980"/>
      <c r="K15" s="981"/>
      <c r="L15" s="339"/>
      <c r="M15" s="338"/>
      <c r="N15" s="337"/>
      <c r="O15" s="369" t="str">
        <f>IF(U14=" "," ",IF(MONTH(U14+1)&lt;&gt;$W$3," ",U14+1))</f>
        <v xml:space="preserve"> </v>
      </c>
      <c r="P15" s="368" t="str">
        <f t="shared" si="1"/>
        <v xml:space="preserve"> </v>
      </c>
      <c r="Q15" s="368" t="str">
        <f t="shared" si="1"/>
        <v xml:space="preserve"> </v>
      </c>
      <c r="R15" s="368" t="str">
        <f t="shared" si="1"/>
        <v xml:space="preserve"> </v>
      </c>
      <c r="S15" s="368" t="str">
        <f t="shared" si="1"/>
        <v xml:space="preserve"> </v>
      </c>
      <c r="T15" s="367" t="str">
        <f t="shared" si="1"/>
        <v xml:space="preserve"> </v>
      </c>
      <c r="U15" s="366" t="str">
        <f t="shared" si="1"/>
        <v xml:space="preserve"> </v>
      </c>
      <c r="W15" s="370">
        <v>1</v>
      </c>
      <c r="X15" s="363" t="str">
        <f ca="1">UPPER('GPlan-Translations'!C226)</f>
        <v>JANEIRO</v>
      </c>
    </row>
    <row r="16" spans="4:30" ht="24" customHeight="1" x14ac:dyDescent="0.2">
      <c r="D16" s="977"/>
      <c r="E16" s="342"/>
      <c r="F16" s="980"/>
      <c r="G16" s="981"/>
      <c r="H16" s="980"/>
      <c r="I16" s="981"/>
      <c r="J16" s="980"/>
      <c r="K16" s="981"/>
      <c r="L16" s="339"/>
      <c r="M16" s="338"/>
      <c r="N16" s="337"/>
      <c r="W16" s="370">
        <v>2</v>
      </c>
      <c r="X16" s="363" t="str">
        <f ca="1">UPPER('GPlan-Translations'!C227)</f>
        <v>FEVEREIRO</v>
      </c>
    </row>
    <row r="17" spans="4:30" ht="24" customHeight="1" x14ac:dyDescent="0.2">
      <c r="D17" s="977"/>
      <c r="E17" s="342"/>
      <c r="F17" s="340" t="str">
        <f ca="1">IFERROR(INDEX('GCal-Month'!$J$98:$J$141,MATCH(G17,'GCal-Month'!$A$98:$A$141,0)),"")</f>
        <v/>
      </c>
      <c r="G17" s="696">
        <f>O11</f>
        <v>43472</v>
      </c>
      <c r="H17" s="375" t="str">
        <f ca="1">IFERROR(INDEX('GCal-Month'!$J$98:$J$141,MATCH(I17,'GCal-Month'!$A$98:$A$141,0)),"")</f>
        <v/>
      </c>
      <c r="I17" s="696">
        <f>P11</f>
        <v>43473</v>
      </c>
      <c r="J17" s="340" t="str">
        <f ca="1">IFERROR(INDEX('GCal-Month'!$J$98:$J$141,MATCH(K17,'GCal-Month'!$A$98:$A$141,0)),"")</f>
        <v/>
      </c>
      <c r="K17" s="696">
        <f>Q11</f>
        <v>43474</v>
      </c>
      <c r="L17" s="339"/>
      <c r="M17" s="338"/>
      <c r="N17" s="337"/>
      <c r="O17" s="360" t="s">
        <v>1473</v>
      </c>
      <c r="P17" s="359" t="s">
        <v>1476</v>
      </c>
      <c r="Q17" s="359" t="s">
        <v>1479</v>
      </c>
      <c r="R17" s="358"/>
      <c r="S17" s="358"/>
      <c r="T17" s="357"/>
      <c r="U17" s="356"/>
      <c r="W17" s="370">
        <v>3</v>
      </c>
      <c r="X17" s="363" t="str">
        <f ca="1">UPPER('GPlan-Translations'!C228)</f>
        <v>MARÇO</v>
      </c>
      <c r="Z17" s="608" t="str">
        <f ca="1">O19</f>
        <v/>
      </c>
      <c r="AB17" s="608" t="str">
        <f ca="1">P19</f>
        <v>C</v>
      </c>
      <c r="AD17" s="608" t="str">
        <f ca="1">Q19</f>
        <v/>
      </c>
    </row>
    <row r="18" spans="4:30" ht="24" customHeight="1" x14ac:dyDescent="0.2">
      <c r="D18" s="355"/>
      <c r="E18" s="345"/>
      <c r="F18" s="978" t="str">
        <f ca="1">IFERROR(SUBSTITUTE(INDEX('GCal-Month'!$P$98:$P$141,MATCH(G25,'GCal-Month'!$A$98:$A$141,0)),"|",CHAR(10)),"")</f>
        <v/>
      </c>
      <c r="G18" s="979"/>
      <c r="H18" s="978" t="str">
        <f ca="1">IFERROR(SUBSTITUTE(INDEX('GCal-Month'!$P$98:$P$141,MATCH(I25,'GCal-Month'!$A$98:$A$141,0)),"|",CHAR(10)),"")</f>
        <v/>
      </c>
      <c r="I18" s="979"/>
      <c r="J18" s="978" t="str">
        <f ca="1">IFERROR(SUBSTITUTE(INDEX('GCal-Month'!$P$98:$P$141,MATCH(K25,'GCal-Month'!$A$98:$A$141,0)),"|",CHAR(10)),"")</f>
        <v/>
      </c>
      <c r="K18" s="979"/>
      <c r="L18" s="344"/>
      <c r="M18" s="338"/>
      <c r="N18" s="337"/>
      <c r="O18" s="354" t="str">
        <f>IFERROR(INDEX('GCal-Year'!$F$2:$F$435,MATCH(O10,'GCal-Year'!$A$2:$A$435,0)),"")</f>
        <v/>
      </c>
      <c r="P18" s="238" t="str">
        <f ca="1">IFERROR(INDEX('GCal-Year'!$F$2:$F$435,MATCH(P10,'GCal-Year'!$A$2:$A$435,0)),"")</f>
        <v>S</v>
      </c>
      <c r="Q18" s="238" t="str">
        <f ca="1">IFERROR(INDEX('GCal-Year'!$F$2:$F$435,MATCH(Q10,'GCal-Year'!$A$2:$A$435,0)),"")</f>
        <v/>
      </c>
      <c r="R18" s="353"/>
      <c r="S18" s="353"/>
      <c r="T18" s="352"/>
      <c r="U18" s="351"/>
      <c r="W18" s="370">
        <v>4</v>
      </c>
      <c r="X18" s="363" t="str">
        <f ca="1">UPPER('GPlan-Translations'!C229)</f>
        <v>ABRIL</v>
      </c>
    </row>
    <row r="19" spans="4:30" ht="24" customHeight="1" x14ac:dyDescent="0.2">
      <c r="D19" s="355"/>
      <c r="E19" s="339"/>
      <c r="F19" s="980"/>
      <c r="G19" s="981"/>
      <c r="H19" s="980"/>
      <c r="I19" s="981"/>
      <c r="J19" s="980"/>
      <c r="K19" s="981"/>
      <c r="L19" s="343"/>
      <c r="M19" s="338"/>
      <c r="N19" s="337"/>
      <c r="O19" s="354" t="str">
        <f ca="1">IFERROR(INDEX('GCal-Year'!$F$2:$F$435,MATCH(O11,'GCal-Year'!$A$2:$A$435,0)),"")</f>
        <v/>
      </c>
      <c r="P19" s="238" t="str">
        <f ca="1">IFERROR(INDEX('GCal-Year'!$F$2:$F$435,MATCH(P11,'GCal-Year'!$A$2:$A$435,0)),"")</f>
        <v>C</v>
      </c>
      <c r="Q19" s="238" t="str">
        <f ca="1">IFERROR(INDEX('GCal-Year'!$F$2:$F$435,MATCH(Q11,'GCal-Year'!$A$2:$A$435,0)),"")</f>
        <v/>
      </c>
      <c r="R19" s="353"/>
      <c r="S19" s="353"/>
      <c r="T19" s="352"/>
      <c r="U19" s="351"/>
      <c r="W19" s="370">
        <v>5</v>
      </c>
      <c r="X19" s="363" t="str">
        <f ca="1">UPPER('GPlan-Translations'!C230)</f>
        <v>MAIO</v>
      </c>
    </row>
    <row r="20" spans="4:30" ht="24" customHeight="1" x14ac:dyDescent="0.2">
      <c r="D20" s="355"/>
      <c r="E20" s="342"/>
      <c r="F20" s="980"/>
      <c r="G20" s="981"/>
      <c r="H20" s="980"/>
      <c r="I20" s="981"/>
      <c r="J20" s="980"/>
      <c r="K20" s="981"/>
      <c r="L20" s="339"/>
      <c r="M20" s="338"/>
      <c r="N20" s="337"/>
      <c r="O20" s="354" t="str">
        <f ca="1">IFERROR(INDEX('GCal-Year'!$F$2:$F$435,MATCH(O12,'GCal-Year'!$A$2:$A$435,0)),"")</f>
        <v>C</v>
      </c>
      <c r="P20" s="238" t="str">
        <f ca="1">IFERROR(INDEX('GCal-Year'!$F$2:$F$435,MATCH(P12,'GCal-Year'!$A$2:$A$435,0)),"")</f>
        <v/>
      </c>
      <c r="Q20" s="238" t="str">
        <f ca="1">IFERROR(INDEX('GCal-Year'!$F$2:$F$435,MATCH(Q12,'GCal-Year'!$A$2:$A$435,0)),"")</f>
        <v/>
      </c>
      <c r="R20" s="353"/>
      <c r="S20" s="353"/>
      <c r="T20" s="352"/>
      <c r="U20" s="351"/>
      <c r="W20" s="370">
        <v>6</v>
      </c>
      <c r="X20" s="363" t="str">
        <f ca="1">UPPER('GPlan-Translations'!C231)</f>
        <v>JUNHO</v>
      </c>
    </row>
    <row r="21" spans="4:30" ht="24" customHeight="1" x14ac:dyDescent="0.2">
      <c r="D21" s="355"/>
      <c r="E21" s="342"/>
      <c r="F21" s="980"/>
      <c r="G21" s="981"/>
      <c r="H21" s="980"/>
      <c r="I21" s="981"/>
      <c r="J21" s="980"/>
      <c r="K21" s="981"/>
      <c r="L21" s="339"/>
      <c r="M21" s="338"/>
      <c r="N21" s="337"/>
      <c r="O21" s="354" t="str">
        <f ca="1">IFERROR(INDEX('GCal-Year'!$F$2:$F$435,MATCH(O13,'GCal-Year'!$A$2:$A$435,0)),"")</f>
        <v/>
      </c>
      <c r="P21" s="238" t="str">
        <f ca="1">IFERROR(INDEX('GCal-Year'!$F$2:$F$435,MATCH(P13,'GCal-Year'!$A$2:$A$435,0)),"")</f>
        <v/>
      </c>
      <c r="Q21" s="238" t="str">
        <f ca="1">IFERROR(INDEX('GCal-Year'!$F$2:$F$435,MATCH(Q13,'GCal-Year'!$A$2:$A$435,0)),"")</f>
        <v/>
      </c>
      <c r="R21" s="353"/>
      <c r="S21" s="353"/>
      <c r="T21" s="352"/>
      <c r="U21" s="351"/>
      <c r="W21" s="370">
        <v>7</v>
      </c>
      <c r="X21" s="363" t="str">
        <f ca="1">UPPER('GPlan-Translations'!C232)</f>
        <v>JULHO</v>
      </c>
    </row>
    <row r="22" spans="4:30" ht="24" customHeight="1" x14ac:dyDescent="0.2">
      <c r="D22" s="355"/>
      <c r="E22" s="342"/>
      <c r="F22" s="980"/>
      <c r="G22" s="981"/>
      <c r="H22" s="980"/>
      <c r="I22" s="981"/>
      <c r="J22" s="980"/>
      <c r="K22" s="981"/>
      <c r="L22" s="339"/>
      <c r="M22" s="338"/>
      <c r="N22" s="337"/>
      <c r="O22" s="354" t="str">
        <f ca="1">IFERROR(INDEX('GCal-Year'!$F$2:$F$435,MATCH(O14,'GCal-Year'!$A$2:$A$435,0)),"")</f>
        <v/>
      </c>
      <c r="P22" s="238" t="str">
        <f ca="1">IFERROR(INDEX('GCal-Year'!$F$2:$F$435,MATCH(P14,'GCal-Year'!$A$2:$A$435,0)),"")</f>
        <v/>
      </c>
      <c r="Q22" s="238" t="str">
        <f ca="1">IFERROR(INDEX('GCal-Year'!$F$2:$F$435,MATCH(Q14,'GCal-Year'!$A$2:$A$435,0)),"")</f>
        <v/>
      </c>
      <c r="R22" s="353"/>
      <c r="S22" s="353"/>
      <c r="T22" s="352"/>
      <c r="U22" s="351"/>
      <c r="W22" s="370">
        <v>8</v>
      </c>
      <c r="X22" s="363" t="str">
        <f ca="1">UPPER('GPlan-Translations'!C233)</f>
        <v>AGOSTO</v>
      </c>
    </row>
    <row r="23" spans="4:30" ht="24" customHeight="1" x14ac:dyDescent="0.2">
      <c r="D23" s="355"/>
      <c r="E23" s="342"/>
      <c r="F23" s="980"/>
      <c r="G23" s="981"/>
      <c r="H23" s="980"/>
      <c r="I23" s="981"/>
      <c r="J23" s="980"/>
      <c r="K23" s="981"/>
      <c r="L23" s="339"/>
      <c r="M23" s="338"/>
      <c r="N23" s="337"/>
      <c r="O23" s="350" t="str">
        <f>IFERROR(INDEX('GCal-Year'!$F$2:$F$435,MATCH(O15,'GCal-Year'!$A$2:$A$435,0)),"")</f>
        <v/>
      </c>
      <c r="P23" s="349" t="str">
        <f>IFERROR(INDEX('GCal-Year'!$F$2:$F$435,MATCH(P15,'GCal-Year'!$A$2:$A$435,0)),"")</f>
        <v/>
      </c>
      <c r="Q23" s="349" t="str">
        <f>IFERROR(INDEX('GCal-Year'!$F$2:$F$435,MATCH(Q15,'GCal-Year'!$A$2:$A$435,0)),"")</f>
        <v/>
      </c>
      <c r="R23" s="348"/>
      <c r="S23" s="348"/>
      <c r="T23" s="347"/>
      <c r="U23" s="346"/>
      <c r="W23" s="370">
        <v>9</v>
      </c>
      <c r="X23" s="363" t="str">
        <f ca="1">UPPER('GPlan-Translations'!C234)</f>
        <v>SETEMBRO</v>
      </c>
    </row>
    <row r="24" spans="4:30" ht="24" customHeight="1" x14ac:dyDescent="0.2">
      <c r="D24" s="355"/>
      <c r="E24" s="342"/>
      <c r="F24" s="980"/>
      <c r="G24" s="981"/>
      <c r="H24" s="980"/>
      <c r="I24" s="981"/>
      <c r="J24" s="980"/>
      <c r="K24" s="981"/>
      <c r="L24" s="339"/>
      <c r="M24" s="338"/>
      <c r="N24" s="337"/>
      <c r="W24" s="365">
        <v>10</v>
      </c>
      <c r="X24" s="363" t="str">
        <f ca="1">UPPER('GPlan-Translations'!C235)</f>
        <v>OUTUBRO</v>
      </c>
    </row>
    <row r="25" spans="4:30" ht="24" customHeight="1" x14ac:dyDescent="0.2">
      <c r="D25" s="355"/>
      <c r="E25" s="342"/>
      <c r="F25" s="340" t="str">
        <f ca="1">IFERROR(INDEX('GCal-Month'!$J$98:$J$141,MATCH(G25,'GCal-Month'!$A$98:$A$141,0)),"")</f>
        <v/>
      </c>
      <c r="G25" s="696">
        <f>O12</f>
        <v>43479</v>
      </c>
      <c r="H25" s="340" t="str">
        <f ca="1">IFERROR(INDEX('GCal-Month'!$J$98:$J$141,MATCH(I25,'GCal-Month'!$A$98:$A$141,0)),"")</f>
        <v/>
      </c>
      <c r="I25" s="696">
        <f>P12</f>
        <v>43480</v>
      </c>
      <c r="J25" s="340" t="str">
        <f ca="1">IFERROR(INDEX('GCal-Month'!$J$98:$J$141,MATCH(K25,'GCal-Month'!$A$98:$A$141,0)),"")</f>
        <v/>
      </c>
      <c r="K25" s="696">
        <f>Q12</f>
        <v>43481</v>
      </c>
      <c r="L25" s="339"/>
      <c r="M25" s="338"/>
      <c r="W25" s="364">
        <v>11</v>
      </c>
      <c r="X25" s="363" t="str">
        <f ca="1">UPPER('GPlan-Translations'!C236)</f>
        <v>NOVEMBRO</v>
      </c>
      <c r="Z25" s="608" t="str">
        <f ca="1">O20</f>
        <v>C</v>
      </c>
      <c r="AB25" s="608" t="str">
        <f ca="1">P20</f>
        <v/>
      </c>
      <c r="AD25" s="608" t="str">
        <f ca="1">Q20</f>
        <v/>
      </c>
    </row>
    <row r="26" spans="4:30" ht="24" customHeight="1" x14ac:dyDescent="0.2">
      <c r="D26" s="975" t="str">
        <f ca="1">'GPlan-Translations'!C240</f>
        <v>PLANEJAMENTO MENSAL</v>
      </c>
      <c r="E26" s="345"/>
      <c r="F26" s="978" t="str">
        <f ca="1">IFERROR(SUBSTITUTE(INDEX('GCal-Month'!$P$98:$P$141,MATCH(G33,'GCal-Month'!$A$98:$A$141,0)),"|",CHAR(10)),"")</f>
        <v/>
      </c>
      <c r="G26" s="979"/>
      <c r="H26" s="978" t="str">
        <f ca="1">IFERROR(SUBSTITUTE(INDEX('GCal-Month'!$P$98:$P$141,MATCH(I33,'GCal-Month'!$A$98:$A$141,0)),"|",CHAR(10)),"")</f>
        <v/>
      </c>
      <c r="I26" s="979"/>
      <c r="J26" s="978" t="str">
        <f ca="1">IFERROR(SUBSTITUTE(INDEX('GCal-Month'!$P$98:$P$141,MATCH(K33,'GCal-Month'!$A$98:$A$141,0)),"|",CHAR(10)),"")</f>
        <v/>
      </c>
      <c r="K26" s="979"/>
      <c r="L26" s="344"/>
      <c r="M26" s="338"/>
      <c r="W26" s="362">
        <v>12</v>
      </c>
      <c r="X26" s="361" t="str">
        <f ca="1">UPPER('GPlan-Translations'!C237)</f>
        <v>DEZEMBRO</v>
      </c>
    </row>
    <row r="27" spans="4:30" ht="24" customHeight="1" x14ac:dyDescent="0.2">
      <c r="D27" s="975"/>
      <c r="E27" s="339"/>
      <c r="F27" s="980"/>
      <c r="G27" s="981"/>
      <c r="H27" s="980"/>
      <c r="I27" s="981"/>
      <c r="J27" s="980"/>
      <c r="K27" s="981"/>
      <c r="L27" s="343"/>
      <c r="M27" s="338"/>
    </row>
    <row r="28" spans="4:30" ht="24" customHeight="1" x14ac:dyDescent="0.2">
      <c r="D28" s="975"/>
      <c r="E28" s="342"/>
      <c r="F28" s="980"/>
      <c r="G28" s="981"/>
      <c r="H28" s="980"/>
      <c r="I28" s="981"/>
      <c r="J28" s="980"/>
      <c r="K28" s="981"/>
      <c r="L28" s="339"/>
      <c r="M28" s="338"/>
    </row>
    <row r="29" spans="4:30" ht="24" customHeight="1" x14ac:dyDescent="0.2">
      <c r="D29" s="975"/>
      <c r="E29" s="342"/>
      <c r="F29" s="980"/>
      <c r="G29" s="981"/>
      <c r="H29" s="980"/>
      <c r="I29" s="981"/>
      <c r="J29" s="980"/>
      <c r="K29" s="981"/>
      <c r="L29" s="339"/>
      <c r="M29" s="338"/>
      <c r="N29" s="337"/>
    </row>
    <row r="30" spans="4:30" ht="24" customHeight="1" x14ac:dyDescent="0.2">
      <c r="D30" s="975"/>
      <c r="E30" s="342"/>
      <c r="F30" s="980"/>
      <c r="G30" s="981"/>
      <c r="H30" s="980"/>
      <c r="I30" s="981"/>
      <c r="J30" s="980"/>
      <c r="K30" s="981"/>
      <c r="L30" s="339"/>
      <c r="M30" s="338"/>
      <c r="N30" s="337"/>
    </row>
    <row r="31" spans="4:30" ht="24" customHeight="1" x14ac:dyDescent="0.2">
      <c r="D31" s="975"/>
      <c r="E31" s="342"/>
      <c r="F31" s="980"/>
      <c r="G31" s="981"/>
      <c r="H31" s="980"/>
      <c r="I31" s="981"/>
      <c r="J31" s="980"/>
      <c r="K31" s="981"/>
      <c r="L31" s="339"/>
      <c r="M31" s="338"/>
      <c r="N31" s="337"/>
    </row>
    <row r="32" spans="4:30" ht="24" customHeight="1" x14ac:dyDescent="0.2">
      <c r="D32" s="975"/>
      <c r="E32" s="342"/>
      <c r="F32" s="980"/>
      <c r="G32" s="981"/>
      <c r="H32" s="980"/>
      <c r="I32" s="981"/>
      <c r="J32" s="980"/>
      <c r="K32" s="981"/>
      <c r="L32" s="339"/>
      <c r="M32" s="338"/>
      <c r="N32" s="337"/>
    </row>
    <row r="33" spans="4:30" ht="24" customHeight="1" x14ac:dyDescent="0.2">
      <c r="D33" s="975"/>
      <c r="E33" s="342"/>
      <c r="F33" s="340" t="str">
        <f ca="1">IFERROR(INDEX('GCal-Month'!$J$98:$J$141,MATCH(G33,'GCal-Month'!$A$98:$A$141,0)),"")</f>
        <v/>
      </c>
      <c r="G33" s="696">
        <f>O13</f>
        <v>43486</v>
      </c>
      <c r="H33" s="340" t="str">
        <f ca="1">IFERROR(INDEX('GCal-Month'!$J$98:$J$141,MATCH(I33,'GCal-Month'!$A$98:$A$141,0)),"")</f>
        <v/>
      </c>
      <c r="I33" s="696">
        <f>P13</f>
        <v>43487</v>
      </c>
      <c r="J33" s="340" t="str">
        <f ca="1">IFERROR(INDEX('GCal-Month'!$J$98:$J$141,MATCH(K33,'GCal-Month'!$A$98:$A$141,0)),"")</f>
        <v/>
      </c>
      <c r="K33" s="696">
        <f>Q13</f>
        <v>43488</v>
      </c>
      <c r="L33" s="339"/>
      <c r="M33" s="338"/>
      <c r="N33" s="337"/>
      <c r="Z33" s="608" t="str">
        <f ca="1">O21</f>
        <v/>
      </c>
      <c r="AB33" s="608" t="str">
        <f ca="1">P21</f>
        <v/>
      </c>
      <c r="AD33" s="608" t="str">
        <f ca="1">Q21</f>
        <v/>
      </c>
    </row>
    <row r="34" spans="4:30" ht="24" customHeight="1" x14ac:dyDescent="0.2">
      <c r="D34" s="975"/>
      <c r="E34" s="345"/>
      <c r="F34" s="978" t="str">
        <f ca="1">IFERROR(SUBSTITUTE(INDEX('GCal-Month'!$P$98:$P$141,MATCH(G41,'GCal-Month'!$A$98:$A$141,0)),"|",CHAR(10)),"")</f>
        <v/>
      </c>
      <c r="G34" s="979"/>
      <c r="H34" s="978" t="str">
        <f ca="1">IFERROR(SUBSTITUTE(INDEX('GCal-Month'!$P$98:$P$141,MATCH(I41,'GCal-Month'!$A$98:$A$141,0)),"|",CHAR(10)),"")</f>
        <v/>
      </c>
      <c r="I34" s="979"/>
      <c r="J34" s="978" t="str">
        <f ca="1">IFERROR(SUBSTITUTE(INDEX('GCal-Month'!$P$98:$P$141,MATCH(K41,'GCal-Month'!$A$98:$A$141,0)),"|",CHAR(10)),"")</f>
        <v/>
      </c>
      <c r="K34" s="979"/>
      <c r="L34" s="344"/>
      <c r="M34" s="338"/>
      <c r="N34" s="337"/>
    </row>
    <row r="35" spans="4:30" ht="24" customHeight="1" x14ac:dyDescent="0.2">
      <c r="D35" s="975"/>
      <c r="E35" s="339"/>
      <c r="F35" s="980"/>
      <c r="G35" s="981"/>
      <c r="H35" s="980"/>
      <c r="I35" s="981"/>
      <c r="J35" s="980"/>
      <c r="K35" s="981"/>
      <c r="L35" s="343"/>
      <c r="M35" s="338"/>
      <c r="N35" s="337"/>
    </row>
    <row r="36" spans="4:30" ht="24" customHeight="1" x14ac:dyDescent="0.2">
      <c r="D36" s="975"/>
      <c r="E36" s="342"/>
      <c r="F36" s="980"/>
      <c r="G36" s="981"/>
      <c r="H36" s="980"/>
      <c r="I36" s="981"/>
      <c r="J36" s="980"/>
      <c r="K36" s="981"/>
      <c r="L36" s="339"/>
      <c r="M36" s="338"/>
      <c r="N36" s="337"/>
    </row>
    <row r="37" spans="4:30" ht="24" customHeight="1" x14ac:dyDescent="0.2">
      <c r="D37" s="975"/>
      <c r="E37" s="342"/>
      <c r="F37" s="980"/>
      <c r="G37" s="981"/>
      <c r="H37" s="980"/>
      <c r="I37" s="981"/>
      <c r="J37" s="980"/>
      <c r="K37" s="981"/>
      <c r="L37" s="339"/>
      <c r="M37" s="338"/>
      <c r="N37" s="337"/>
    </row>
    <row r="38" spans="4:30" ht="24" customHeight="1" x14ac:dyDescent="0.2">
      <c r="D38" s="975"/>
      <c r="E38" s="342"/>
      <c r="F38" s="980"/>
      <c r="G38" s="981"/>
      <c r="H38" s="980"/>
      <c r="I38" s="981"/>
      <c r="J38" s="980"/>
      <c r="K38" s="981"/>
      <c r="L38" s="339"/>
      <c r="M38" s="338"/>
      <c r="N38" s="337"/>
      <c r="U38" s="256"/>
    </row>
    <row r="39" spans="4:30" ht="24" customHeight="1" x14ac:dyDescent="0.2">
      <c r="D39" s="975"/>
      <c r="E39" s="342"/>
      <c r="F39" s="980"/>
      <c r="G39" s="981"/>
      <c r="H39" s="980"/>
      <c r="I39" s="981"/>
      <c r="J39" s="980"/>
      <c r="K39" s="981"/>
      <c r="L39" s="339"/>
      <c r="M39" s="338"/>
      <c r="N39" s="337"/>
      <c r="U39" s="256"/>
    </row>
    <row r="40" spans="4:30" ht="24" customHeight="1" x14ac:dyDescent="0.2">
      <c r="D40" s="975"/>
      <c r="E40" s="342"/>
      <c r="F40" s="980"/>
      <c r="G40" s="981"/>
      <c r="H40" s="980"/>
      <c r="I40" s="981"/>
      <c r="J40" s="980"/>
      <c r="K40" s="981"/>
      <c r="L40" s="339"/>
      <c r="M40" s="338"/>
      <c r="N40" s="337"/>
      <c r="U40" s="256"/>
    </row>
    <row r="41" spans="4:30" ht="24" customHeight="1" x14ac:dyDescent="0.2">
      <c r="D41" s="975"/>
      <c r="E41" s="342"/>
      <c r="F41" s="340" t="str">
        <f ca="1">IFERROR(INDEX('GCal-Month'!$J$98:$J$141,MATCH(G41,'GCal-Month'!$A$98:$A$141,0)),"")</f>
        <v/>
      </c>
      <c r="G41" s="696">
        <f>O14</f>
        <v>43493</v>
      </c>
      <c r="H41" s="340" t="str">
        <f ca="1">IFERROR(INDEX('GCal-Month'!$J$98:$J$141,MATCH(I41,'GCal-Month'!$A$98:$A$141,0)),"")</f>
        <v/>
      </c>
      <c r="I41" s="696">
        <f>P14</f>
        <v>43494</v>
      </c>
      <c r="J41" s="340" t="str">
        <f ca="1">IFERROR(INDEX('GCal-Month'!$J$98:$J$141,MATCH(K41,'GCal-Month'!$A$98:$A$141,0)),"")</f>
        <v/>
      </c>
      <c r="K41" s="696">
        <f>Q14</f>
        <v>43495</v>
      </c>
      <c r="L41" s="339"/>
      <c r="M41" s="338"/>
      <c r="N41" s="337"/>
      <c r="U41" s="256"/>
      <c r="Z41" s="608" t="str">
        <f ca="1">O22</f>
        <v/>
      </c>
      <c r="AB41" s="608" t="str">
        <f ca="1">P22</f>
        <v/>
      </c>
      <c r="AD41" s="608" t="str">
        <f ca="1">Q22</f>
        <v/>
      </c>
    </row>
    <row r="42" spans="4:30" ht="24" customHeight="1" x14ac:dyDescent="0.2">
      <c r="D42" s="975"/>
      <c r="E42" s="345"/>
      <c r="F42" s="978" t="str">
        <f>IFERROR(SUBSTITUTE(INDEX('GCal-Month'!$P$98:$P$141,MATCH(G49,'GCal-Month'!$A$98:$A$141,0)),"|",CHAR(10)),"")</f>
        <v/>
      </c>
      <c r="G42" s="979"/>
      <c r="H42" s="978" t="str">
        <f>IFERROR(SUBSTITUTE(INDEX('GCal-Month'!$P$98:$P$141,MATCH(I49,'GCal-Month'!$A$98:$A$141,0)),"|",CHAR(10)),"")</f>
        <v/>
      </c>
      <c r="I42" s="979"/>
      <c r="J42" s="978" t="str">
        <f>IFERROR(SUBSTITUTE(INDEX('GCal-Month'!$P$98:$P$141,MATCH(K49,'GCal-Month'!$A$98:$A$141,0)),"|",CHAR(10)),"")</f>
        <v/>
      </c>
      <c r="K42" s="979"/>
      <c r="L42" s="344"/>
      <c r="M42" s="338"/>
      <c r="N42" s="337"/>
      <c r="U42" s="256"/>
    </row>
    <row r="43" spans="4:30" ht="24" customHeight="1" x14ac:dyDescent="0.2">
      <c r="D43" s="975"/>
      <c r="E43" s="339"/>
      <c r="F43" s="980"/>
      <c r="G43" s="981"/>
      <c r="H43" s="980"/>
      <c r="I43" s="981"/>
      <c r="J43" s="980"/>
      <c r="K43" s="981"/>
      <c r="L43" s="343"/>
      <c r="M43" s="338"/>
      <c r="N43" s="337"/>
      <c r="U43" s="256"/>
    </row>
    <row r="44" spans="4:30" ht="24" customHeight="1" x14ac:dyDescent="0.2">
      <c r="D44" s="975"/>
      <c r="E44" s="342"/>
      <c r="F44" s="980"/>
      <c r="G44" s="981"/>
      <c r="H44" s="980"/>
      <c r="I44" s="981"/>
      <c r="J44" s="980"/>
      <c r="K44" s="981"/>
      <c r="L44" s="339"/>
      <c r="M44" s="338"/>
      <c r="U44" s="256"/>
    </row>
    <row r="45" spans="4:30" ht="24" customHeight="1" x14ac:dyDescent="0.2">
      <c r="D45" s="975"/>
      <c r="E45" s="342"/>
      <c r="F45" s="980"/>
      <c r="G45" s="981"/>
      <c r="H45" s="980"/>
      <c r="I45" s="981"/>
      <c r="J45" s="980"/>
      <c r="K45" s="981"/>
      <c r="L45" s="339"/>
      <c r="M45" s="338"/>
      <c r="U45" s="256"/>
    </row>
    <row r="46" spans="4:30" ht="24" customHeight="1" x14ac:dyDescent="0.2">
      <c r="D46" s="975"/>
      <c r="E46" s="342"/>
      <c r="F46" s="980"/>
      <c r="G46" s="981"/>
      <c r="H46" s="980"/>
      <c r="I46" s="981"/>
      <c r="J46" s="980"/>
      <c r="K46" s="981"/>
      <c r="L46" s="339"/>
      <c r="M46" s="338"/>
      <c r="U46" s="256"/>
    </row>
    <row r="47" spans="4:30" ht="24" customHeight="1" x14ac:dyDescent="0.2">
      <c r="D47" s="975"/>
      <c r="E47" s="342"/>
      <c r="F47" s="980"/>
      <c r="G47" s="981"/>
      <c r="H47" s="980"/>
      <c r="I47" s="981"/>
      <c r="J47" s="980"/>
      <c r="K47" s="981"/>
      <c r="L47" s="339"/>
      <c r="M47" s="338"/>
      <c r="U47" s="256"/>
    </row>
    <row r="48" spans="4:30" ht="24" customHeight="1" x14ac:dyDescent="0.2">
      <c r="D48" s="975"/>
      <c r="E48" s="342"/>
      <c r="F48" s="980"/>
      <c r="G48" s="981"/>
      <c r="H48" s="980"/>
      <c r="I48" s="981"/>
      <c r="J48" s="980"/>
      <c r="K48" s="981"/>
      <c r="L48" s="339"/>
      <c r="M48" s="338"/>
      <c r="U48" s="256"/>
    </row>
    <row r="49" spans="4:30" ht="24" customHeight="1" x14ac:dyDescent="0.2">
      <c r="D49" s="975"/>
      <c r="E49" s="341"/>
      <c r="F49" s="340" t="str">
        <f>IFERROR(INDEX('GCal-Month'!$J$98:$J$141,MATCH(G49,'GCal-Month'!$A$98:$A$141,0)),"")</f>
        <v/>
      </c>
      <c r="G49" s="696" t="str">
        <f>O15</f>
        <v xml:space="preserve"> </v>
      </c>
      <c r="H49" s="340" t="str">
        <f>IFERROR(INDEX('GCal-Month'!$J$98:$J$141,MATCH(I49,'GCal-Month'!$A$98:$A$141,0)),"")</f>
        <v/>
      </c>
      <c r="I49" s="696" t="str">
        <f>P15</f>
        <v xml:space="preserve"> </v>
      </c>
      <c r="J49" s="340" t="str">
        <f>IFERROR(INDEX('GCal-Month'!$J$98:$J$141,MATCH(K49,'GCal-Month'!$A$98:$A$141,0)),"")</f>
        <v/>
      </c>
      <c r="K49" s="696" t="str">
        <f>Q15</f>
        <v xml:space="preserve"> </v>
      </c>
      <c r="L49" s="339"/>
      <c r="M49" s="338"/>
      <c r="U49" s="256"/>
      <c r="Z49" s="608" t="str">
        <f>O23</f>
        <v/>
      </c>
      <c r="AB49" s="608" t="str">
        <f>P23</f>
        <v/>
      </c>
      <c r="AD49" s="608" t="str">
        <f>Q23</f>
        <v/>
      </c>
    </row>
    <row r="50" spans="4:30" ht="12.75" x14ac:dyDescent="0.2"/>
  </sheetData>
  <mergeCells count="21">
    <mergeCell ref="J18:K24"/>
    <mergeCell ref="F10:G16"/>
    <mergeCell ref="F2:G8"/>
    <mergeCell ref="H2:I8"/>
    <mergeCell ref="J2:K8"/>
    <mergeCell ref="J10:K16"/>
    <mergeCell ref="H10:I16"/>
    <mergeCell ref="J42:K48"/>
    <mergeCell ref="F34:G40"/>
    <mergeCell ref="H34:I40"/>
    <mergeCell ref="J34:K40"/>
    <mergeCell ref="F26:G32"/>
    <mergeCell ref="H26:I32"/>
    <mergeCell ref="J26:K32"/>
    <mergeCell ref="D26:D49"/>
    <mergeCell ref="D1:D11"/>
    <mergeCell ref="D12:D17"/>
    <mergeCell ref="F42:G48"/>
    <mergeCell ref="H42:I48"/>
    <mergeCell ref="F18:G24"/>
    <mergeCell ref="H18:I24"/>
  </mergeCells>
  <conditionalFormatting sqref="G9 I9 K9 G17 I17 K17 G25 I25 K25 G33 I33 K33 G41 I41 K41 G49 I49 K49">
    <cfRule type="expression" dxfId="13" priority="1" stopIfTrue="1">
      <formula>Z9="S"</formula>
    </cfRule>
    <cfRule type="expression" dxfId="12" priority="2" stopIfTrue="1">
      <formula>Z9="H"</formula>
    </cfRule>
    <cfRule type="expression" dxfId="11" priority="3" stopIfTrue="1">
      <formula>Z9="P"</formula>
    </cfRule>
    <cfRule type="expression" dxfId="10" priority="4" stopIfTrue="1">
      <formula>Z9="K"</formula>
    </cfRule>
    <cfRule type="expression" dxfId="9" priority="5" stopIfTrue="1">
      <formula>Z9="F"</formula>
    </cfRule>
    <cfRule type="expression" dxfId="8" priority="6" stopIfTrue="1">
      <formula>Z9="E"</formula>
    </cfRule>
    <cfRule type="expression" dxfId="7" priority="7" stopIfTrue="1">
      <formula>Z9="C"</formula>
    </cfRule>
  </conditionalFormatting>
  <printOptions horizontalCentered="1" verticalCentered="1"/>
  <pageMargins left="0.19685039370078741" right="0.19685039370078741" top="0.19685039370078741" bottom="0.19685039370078741" header="0.11811023622047245" footer="0.11811023622047245"/>
  <pageSetup paperSize="9" scale="72" fitToWidth="2"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MonthSelect2">
              <controlPr defaultSize="0" print="0" autoPict="0">
                <anchor moveWithCells="1">
                  <from>
                    <xdr:col>11</xdr:col>
                    <xdr:colOff>95250</xdr:colOff>
                    <xdr:row>0</xdr:row>
                    <xdr:rowOff>76200</xdr:rowOff>
                  </from>
                  <to>
                    <xdr:col>11</xdr:col>
                    <xdr:colOff>619125</xdr:colOff>
                    <xdr:row>2</xdr:row>
                    <xdr:rowOff>123825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wksMonthlyRight">
    <pageSetUpPr fitToPage="1"/>
  </sheetPr>
  <dimension ref="A1:AG50"/>
  <sheetViews>
    <sheetView showGridLines="0" showRowColHeaders="0" zoomScale="80" zoomScaleNormal="80" zoomScaleSheetLayoutView="73" workbookViewId="0"/>
  </sheetViews>
  <sheetFormatPr defaultColWidth="0" defaultRowHeight="0" customHeight="1" zeroHeight="1" x14ac:dyDescent="0.2"/>
  <cols>
    <col min="1" max="2" width="2.85546875" style="72" customWidth="1"/>
    <col min="3" max="3" width="5" style="72" customWidth="1"/>
    <col min="4" max="4" width="24" style="72" customWidth="1"/>
    <col min="5" max="5" width="4.5703125" style="72" customWidth="1"/>
    <col min="6" max="6" width="24" style="72" customWidth="1"/>
    <col min="7" max="7" width="4.5703125" style="72" customWidth="1"/>
    <col min="8" max="8" width="24" style="72" customWidth="1"/>
    <col min="9" max="9" width="4.5703125" style="72" customWidth="1"/>
    <col min="10" max="10" width="24" style="72" customWidth="1"/>
    <col min="11" max="11" width="4.5703125" style="72" customWidth="1"/>
    <col min="12" max="12" width="9.85546875" style="72" customWidth="1"/>
    <col min="13" max="13" width="1.85546875" style="72" hidden="1" customWidth="1"/>
    <col min="14" max="14" width="4.28515625" style="72" hidden="1" customWidth="1"/>
    <col min="15" max="15" width="3.7109375" style="72" hidden="1" customWidth="1"/>
    <col min="16" max="16" width="3.5703125" style="72" hidden="1" customWidth="1"/>
    <col min="17" max="22" width="3.7109375" style="72" hidden="1" customWidth="1"/>
    <col min="23" max="23" width="13" style="72" hidden="1" customWidth="1"/>
    <col min="24" max="24" width="11.85546875" style="72" hidden="1" customWidth="1"/>
    <col min="25" max="25" width="2.85546875" style="72" hidden="1" customWidth="1"/>
    <col min="26" max="26" width="4.28515625" style="72" hidden="1" customWidth="1"/>
    <col min="27" max="27" width="9.140625" style="72" hidden="1" customWidth="1"/>
    <col min="28" max="28" width="4.28515625" style="72" hidden="1" customWidth="1"/>
    <col min="29" max="29" width="9.140625" style="72" hidden="1" customWidth="1"/>
    <col min="30" max="30" width="4.28515625" style="72" hidden="1" customWidth="1"/>
    <col min="31" max="31" width="9.140625" style="72" hidden="1" customWidth="1"/>
    <col min="32" max="32" width="4.28515625" style="72" hidden="1" customWidth="1"/>
    <col min="33" max="33" width="2.85546875" style="72" hidden="1" customWidth="1"/>
    <col min="34" max="16384" width="9.140625" style="72" hidden="1"/>
  </cols>
  <sheetData>
    <row r="1" spans="3:32" ht="18" customHeight="1" x14ac:dyDescent="0.2">
      <c r="C1" s="412"/>
      <c r="D1" s="400" t="str">
        <f ca="1">UPPER('GPlan-Translations'!C194)</f>
        <v>QUINTA</v>
      </c>
      <c r="E1" s="411"/>
      <c r="F1" s="400" t="str">
        <f ca="1">UPPER('GPlan-Translations'!C195)</f>
        <v>SEXTA</v>
      </c>
      <c r="G1" s="399"/>
      <c r="H1" s="400" t="str">
        <f ca="1">UPPER('GPlan-Translations'!C196)</f>
        <v>SÁBADO</v>
      </c>
      <c r="I1" s="399"/>
      <c r="J1" s="402" t="str">
        <f ca="1">UPPER('GPlan-Translations'!C190)</f>
        <v>DOMINGO</v>
      </c>
      <c r="K1" s="401"/>
      <c r="L1" s="987" t="str">
        <f ca="1">monthName</f>
        <v>JANEIRO</v>
      </c>
      <c r="M1" s="397"/>
      <c r="N1" s="291"/>
      <c r="O1" s="291"/>
      <c r="P1" s="291"/>
      <c r="Q1" s="291"/>
      <c r="R1" s="291"/>
      <c r="S1" s="291"/>
      <c r="T1" s="291"/>
      <c r="U1" s="291"/>
      <c r="V1" s="291"/>
      <c r="W1" s="291"/>
      <c r="X1" s="291"/>
    </row>
    <row r="2" spans="3:32" ht="24" customHeight="1" x14ac:dyDescent="0.2">
      <c r="C2" s="406"/>
      <c r="D2" s="978" t="str">
        <f ca="1">IFERROR(SUBSTITUTE(INDEX('GCal-Month'!$P$98:$P$141,MATCH(E9,'GCal-Month'!$A$98:$A$141,0)),"|",CHAR(10)),"")</f>
        <v/>
      </c>
      <c r="E2" s="979"/>
      <c r="F2" s="978" t="str">
        <f ca="1">IFERROR(SUBSTITUTE(INDEX('GCal-Month'!$P$98:$P$141,MATCH(G9,'GCal-Month'!$A$98:$A$141,0)),"|",CHAR(10)),"")</f>
        <v/>
      </c>
      <c r="G2" s="979"/>
      <c r="H2" s="978" t="str">
        <f ca="1">IFERROR(SUBSTITUTE(INDEX('GCal-Month'!$P$98:$P$141,MATCH(I9,'GCal-Month'!$A$98:$A$141,0)),"|",CHAR(10)),"")</f>
        <v/>
      </c>
      <c r="I2" s="988"/>
      <c r="J2" s="978" t="str">
        <f ca="1">IFERROR(SUBSTITUTE(INDEX('GCal-Month'!$P$98:$P$141,MATCH(K9,'GCal-Month'!$A$98:$A$141,0)),"|",CHAR(10)),"")</f>
        <v/>
      </c>
      <c r="K2" s="988"/>
      <c r="L2" s="987"/>
      <c r="M2" s="338"/>
      <c r="N2" s="337"/>
      <c r="W2" s="386">
        <f>IF(X9=0,X8-1,X8)</f>
        <v>2019</v>
      </c>
      <c r="X2" s="626" t="s">
        <v>790</v>
      </c>
    </row>
    <row r="3" spans="3:32" ht="24" customHeight="1" x14ac:dyDescent="0.2">
      <c r="C3" s="405"/>
      <c r="D3" s="980"/>
      <c r="E3" s="981"/>
      <c r="F3" s="980"/>
      <c r="G3" s="981"/>
      <c r="H3" s="989"/>
      <c r="I3" s="990"/>
      <c r="J3" s="989"/>
      <c r="K3" s="990"/>
      <c r="L3" s="987"/>
      <c r="M3" s="338"/>
      <c r="T3" s="394"/>
      <c r="U3" s="393"/>
      <c r="W3" s="386">
        <f>IF(X9=0,12,X9)</f>
        <v>1</v>
      </c>
      <c r="X3" s="626" t="s">
        <v>7568</v>
      </c>
    </row>
    <row r="4" spans="3:32" ht="24" customHeight="1" x14ac:dyDescent="0.2">
      <c r="C4" s="404"/>
      <c r="D4" s="980"/>
      <c r="E4" s="981"/>
      <c r="F4" s="980"/>
      <c r="G4" s="981"/>
      <c r="H4" s="989"/>
      <c r="I4" s="990"/>
      <c r="J4" s="989"/>
      <c r="K4" s="990"/>
      <c r="L4" s="987"/>
      <c r="M4" s="338"/>
      <c r="N4" s="337"/>
      <c r="W4" s="386">
        <f>IF(W3=2,IF(ISERR(DATEVALUE(CONCATENATE("29","/",W3,"/",W2))),28,29),IF(ISERR(DATEVALUE(CONCATENATE("31","/",W3,"/",W2))),30,31))</f>
        <v>31</v>
      </c>
      <c r="X4" s="626" t="s">
        <v>7567</v>
      </c>
    </row>
    <row r="5" spans="3:32" ht="24" customHeight="1" x14ac:dyDescent="0.2">
      <c r="C5" s="404"/>
      <c r="D5" s="980"/>
      <c r="E5" s="981"/>
      <c r="F5" s="980"/>
      <c r="G5" s="981"/>
      <c r="H5" s="989"/>
      <c r="I5" s="990"/>
      <c r="J5" s="989"/>
      <c r="K5" s="990"/>
      <c r="L5" s="987"/>
      <c r="M5" s="338"/>
      <c r="N5" s="337"/>
      <c r="W5" s="389">
        <f>DATE(W2,W3,1)</f>
        <v>43466</v>
      </c>
      <c r="X5" s="626" t="s">
        <v>7566</v>
      </c>
    </row>
    <row r="6" spans="3:32" ht="24" customHeight="1" x14ac:dyDescent="0.2">
      <c r="C6" s="404"/>
      <c r="D6" s="980"/>
      <c r="E6" s="981"/>
      <c r="F6" s="980"/>
      <c r="G6" s="981"/>
      <c r="H6" s="989"/>
      <c r="I6" s="990"/>
      <c r="J6" s="989"/>
      <c r="K6" s="990"/>
      <c r="L6" s="987"/>
      <c r="M6" s="338"/>
      <c r="N6" s="337"/>
      <c r="W6" s="386">
        <f>WEEKDAY(W5,2)</f>
        <v>2</v>
      </c>
      <c r="X6" s="626" t="s">
        <v>7565</v>
      </c>
    </row>
    <row r="7" spans="3:32" ht="24" customHeight="1" x14ac:dyDescent="0.2">
      <c r="C7" s="404"/>
      <c r="D7" s="980"/>
      <c r="E7" s="981"/>
      <c r="F7" s="980"/>
      <c r="G7" s="981"/>
      <c r="H7" s="989"/>
      <c r="I7" s="990"/>
      <c r="J7" s="989"/>
      <c r="K7" s="990"/>
      <c r="L7" s="987"/>
      <c r="M7" s="338"/>
      <c r="N7" s="337"/>
    </row>
    <row r="8" spans="3:32" ht="24" customHeight="1" x14ac:dyDescent="0.2">
      <c r="C8" s="404"/>
      <c r="D8" s="980"/>
      <c r="E8" s="981"/>
      <c r="F8" s="980"/>
      <c r="G8" s="981"/>
      <c r="H8" s="989"/>
      <c r="I8" s="990"/>
      <c r="J8" s="989"/>
      <c r="K8" s="990"/>
      <c r="L8" s="987"/>
      <c r="M8" s="338"/>
      <c r="N8" s="337"/>
      <c r="O8" s="382">
        <f>P8-1</f>
        <v>43465</v>
      </c>
      <c r="P8" s="382">
        <f>Q8-1</f>
        <v>43466</v>
      </c>
      <c r="Q8" s="382">
        <f>R8-1</f>
        <v>43467</v>
      </c>
      <c r="R8" s="382">
        <f>S8-1</f>
        <v>43468</v>
      </c>
      <c r="S8" s="382">
        <f>T8-1</f>
        <v>43469</v>
      </c>
      <c r="T8" s="382">
        <f>U10-1</f>
        <v>43470</v>
      </c>
      <c r="W8" s="395" t="s">
        <v>172</v>
      </c>
      <c r="X8" s="413">
        <f>Parameters!C19</f>
        <v>2019</v>
      </c>
    </row>
    <row r="9" spans="3:32" ht="24" customHeight="1" x14ac:dyDescent="0.2">
      <c r="C9" s="404"/>
      <c r="D9" s="340" t="str">
        <f ca="1">IFERROR(INDEX('GCal-Month'!$J$98:$J$141,MATCH(E9,'GCal-Month'!$A$98:$A$141,0)),"")</f>
        <v/>
      </c>
      <c r="E9" s="696">
        <f>R10</f>
        <v>43468</v>
      </c>
      <c r="F9" s="340" t="str">
        <f ca="1">IFERROR(INDEX('GCal-Month'!$J$98:$J$141,MATCH(G9,'GCal-Month'!$A$98:$A$141,0)),"")</f>
        <v/>
      </c>
      <c r="G9" s="696">
        <f>S10</f>
        <v>43469</v>
      </c>
      <c r="H9" s="340" t="str">
        <f ca="1">IFERROR(INDEX('GCal-Month'!$J$98:$J$141,MATCH(I9,'GCal-Month'!$A$98:$A$141,0)),"")</f>
        <v/>
      </c>
      <c r="I9" s="696">
        <f>T10</f>
        <v>43470</v>
      </c>
      <c r="J9" s="340" t="str">
        <f ca="1">IFERROR(INDEX('GCal-Month'!$J$98:$J$141,MATCH(K9,'GCal-Month'!$A$98:$A$141,0)),"")</f>
        <v/>
      </c>
      <c r="K9" s="696">
        <f>U10</f>
        <v>43471</v>
      </c>
      <c r="L9" s="987"/>
      <c r="M9" s="338"/>
      <c r="N9" s="337"/>
      <c r="O9" s="360" t="s">
        <v>1473</v>
      </c>
      <c r="P9" s="359" t="s">
        <v>1476</v>
      </c>
      <c r="Q9" s="359" t="s">
        <v>1479</v>
      </c>
      <c r="R9" s="359" t="s">
        <v>1479</v>
      </c>
      <c r="S9" s="359" t="s">
        <v>1473</v>
      </c>
      <c r="T9" s="381" t="s">
        <v>1473</v>
      </c>
      <c r="U9" s="380" t="s">
        <v>1470</v>
      </c>
      <c r="W9" s="392" t="s">
        <v>1236</v>
      </c>
      <c r="X9" s="622">
        <f>Parameters!E19</f>
        <v>1</v>
      </c>
      <c r="Z9" s="608" t="str">
        <f ca="1">R18</f>
        <v>C</v>
      </c>
      <c r="AB9" s="608" t="str">
        <f ca="1">S18</f>
        <v/>
      </c>
      <c r="AD9" s="608" t="str">
        <f ca="1">T18</f>
        <v/>
      </c>
      <c r="AF9" s="608" t="str">
        <f ca="1">U18</f>
        <v>C</v>
      </c>
    </row>
    <row r="10" spans="3:32" ht="24" customHeight="1" x14ac:dyDescent="0.2">
      <c r="C10" s="406"/>
      <c r="D10" s="983" t="str">
        <f ca="1">IFERROR(SUBSTITUTE(INDEX('GCal-Month'!$P$98:$P$141,MATCH(E17,'GCal-Month'!$A$98:$A$141,0)),"|",CHAR(10)),"")</f>
        <v/>
      </c>
      <c r="E10" s="984"/>
      <c r="F10" s="983" t="str">
        <f ca="1">IFERROR(SUBSTITUTE(INDEX('GCal-Month'!$P$98:$P$141,MATCH(G17,'GCal-Month'!$A$98:$A$141,0)),"|",CHAR(10)),"")</f>
        <v/>
      </c>
      <c r="G10" s="984"/>
      <c r="H10" s="978" t="str">
        <f ca="1">IFERROR(SUBSTITUTE(INDEX('GCal-Month'!$P$98:$P$141,MATCH(I17,'GCal-Month'!$A$98:$A$141,0)),"|",CHAR(10)),"")</f>
        <v/>
      </c>
      <c r="I10" s="979"/>
      <c r="J10" s="978" t="str">
        <f ca="1">IFERROR(SUBSTITUTE(INDEX('GCal-Month'!$P$98:$P$141,MATCH(K17,'GCal-Month'!$A$98:$A$141,0)),"|",CHAR(10)),"")</f>
        <v/>
      </c>
      <c r="K10" s="979"/>
      <c r="L10" s="987"/>
      <c r="M10" s="338"/>
      <c r="N10" s="337"/>
      <c r="O10" s="379" t="str">
        <f>IF(W6=1,W5," ")</f>
        <v xml:space="preserve"> </v>
      </c>
      <c r="P10" s="378">
        <f>IF(W6=2,W5,IF(O10=" "," ",O10+1))</f>
        <v>43466</v>
      </c>
      <c r="Q10" s="378">
        <f>IF(W6=3,W5,IF(P10=" "," ",P10+1))</f>
        <v>43467</v>
      </c>
      <c r="R10" s="378">
        <f>IF(W6=4,W5,IF(Q10=" "," ",Q10+1))</f>
        <v>43468</v>
      </c>
      <c r="S10" s="378">
        <f>IF(W6=5,W5,IF(R10=" "," ",R10+1))</f>
        <v>43469</v>
      </c>
      <c r="T10" s="377">
        <f>IF(W6=6,W5,IF(S10=" "," ",S10+1))</f>
        <v>43470</v>
      </c>
      <c r="U10" s="376">
        <f>IF(W6=7,W5,IF(T10=" "," ",T10+1))</f>
        <v>43471</v>
      </c>
    </row>
    <row r="11" spans="3:32" ht="24" customHeight="1" x14ac:dyDescent="0.2">
      <c r="C11" s="405"/>
      <c r="D11" s="985"/>
      <c r="E11" s="986"/>
      <c r="F11" s="985"/>
      <c r="G11" s="986"/>
      <c r="H11" s="980"/>
      <c r="I11" s="981"/>
      <c r="J11" s="980"/>
      <c r="K11" s="981"/>
      <c r="L11" s="987"/>
      <c r="M11" s="338"/>
      <c r="N11" s="337"/>
      <c r="O11" s="374">
        <f>U10+1</f>
        <v>43472</v>
      </c>
      <c r="P11" s="373">
        <f t="shared" ref="P11:U13" si="0">O11+1</f>
        <v>43473</v>
      </c>
      <c r="Q11" s="373">
        <f t="shared" si="0"/>
        <v>43474</v>
      </c>
      <c r="R11" s="373">
        <f t="shared" si="0"/>
        <v>43475</v>
      </c>
      <c r="S11" s="373">
        <f t="shared" si="0"/>
        <v>43476</v>
      </c>
      <c r="T11" s="372">
        <f t="shared" si="0"/>
        <v>43477</v>
      </c>
      <c r="U11" s="371">
        <f t="shared" si="0"/>
        <v>43478</v>
      </c>
      <c r="W11" s="388" t="s">
        <v>1242</v>
      </c>
      <c r="X11" s="387">
        <f>DATE(W2,W3,1)</f>
        <v>43466</v>
      </c>
    </row>
    <row r="12" spans="3:32" ht="24" customHeight="1" x14ac:dyDescent="0.2">
      <c r="C12" s="404"/>
      <c r="D12" s="985"/>
      <c r="E12" s="986"/>
      <c r="F12" s="985"/>
      <c r="G12" s="986"/>
      <c r="H12" s="980"/>
      <c r="I12" s="981"/>
      <c r="J12" s="980"/>
      <c r="K12" s="981"/>
      <c r="L12" s="982">
        <f>W2</f>
        <v>2019</v>
      </c>
      <c r="M12" s="338"/>
      <c r="N12" s="337"/>
      <c r="O12" s="374">
        <f>U11+1</f>
        <v>43479</v>
      </c>
      <c r="P12" s="373">
        <f t="shared" si="0"/>
        <v>43480</v>
      </c>
      <c r="Q12" s="373">
        <f t="shared" si="0"/>
        <v>43481</v>
      </c>
      <c r="R12" s="373">
        <f t="shared" si="0"/>
        <v>43482</v>
      </c>
      <c r="S12" s="373">
        <f t="shared" si="0"/>
        <v>43483</v>
      </c>
      <c r="T12" s="372">
        <f t="shared" si="0"/>
        <v>43484</v>
      </c>
      <c r="U12" s="371">
        <f t="shared" si="0"/>
        <v>43485</v>
      </c>
      <c r="W12" s="385" t="s">
        <v>7564</v>
      </c>
      <c r="X12" s="623" t="str">
        <f ca="1">VLOOKUP(W3,W15:X26,2,FALSE)</f>
        <v>JANEIRO</v>
      </c>
    </row>
    <row r="13" spans="3:32" ht="24" customHeight="1" x14ac:dyDescent="0.2">
      <c r="C13" s="404"/>
      <c r="D13" s="985"/>
      <c r="E13" s="986"/>
      <c r="F13" s="985"/>
      <c r="G13" s="986"/>
      <c r="H13" s="980"/>
      <c r="I13" s="981"/>
      <c r="J13" s="980"/>
      <c r="K13" s="981"/>
      <c r="L13" s="982"/>
      <c r="M13" s="338"/>
      <c r="N13" s="337"/>
      <c r="O13" s="374">
        <f>U12+1</f>
        <v>43486</v>
      </c>
      <c r="P13" s="373">
        <f t="shared" si="0"/>
        <v>43487</v>
      </c>
      <c r="Q13" s="373">
        <f t="shared" si="0"/>
        <v>43488</v>
      </c>
      <c r="R13" s="373">
        <f t="shared" si="0"/>
        <v>43489</v>
      </c>
      <c r="S13" s="373">
        <f t="shared" si="0"/>
        <v>43490</v>
      </c>
      <c r="T13" s="372">
        <f t="shared" si="0"/>
        <v>43491</v>
      </c>
      <c r="U13" s="371">
        <f t="shared" si="0"/>
        <v>43492</v>
      </c>
      <c r="W13" s="365" t="s">
        <v>7563</v>
      </c>
      <c r="X13" s="384">
        <f>WEEKDAY(X11,2)</f>
        <v>2</v>
      </c>
    </row>
    <row r="14" spans="3:32" ht="24" customHeight="1" x14ac:dyDescent="0.2">
      <c r="C14" s="404"/>
      <c r="D14" s="985"/>
      <c r="E14" s="986"/>
      <c r="F14" s="985"/>
      <c r="G14" s="986"/>
      <c r="H14" s="980"/>
      <c r="I14" s="981"/>
      <c r="J14" s="980"/>
      <c r="K14" s="981"/>
      <c r="L14" s="982"/>
      <c r="M14" s="338"/>
      <c r="N14" s="337"/>
      <c r="O14" s="374">
        <f>IF(MONTH(U13+1)&lt;&gt;$W$3," ",U13+1)</f>
        <v>43493</v>
      </c>
      <c r="P14" s="373">
        <f t="shared" ref="P14:U15" si="1">IF(O14=" "," ",O14+1)</f>
        <v>43494</v>
      </c>
      <c r="Q14" s="373">
        <f t="shared" si="1"/>
        <v>43495</v>
      </c>
      <c r="R14" s="373">
        <f t="shared" si="1"/>
        <v>43496</v>
      </c>
      <c r="S14" s="373">
        <f t="shared" si="1"/>
        <v>43497</v>
      </c>
      <c r="T14" s="372">
        <f t="shared" si="1"/>
        <v>43498</v>
      </c>
      <c r="U14" s="371">
        <f t="shared" si="1"/>
        <v>43499</v>
      </c>
      <c r="W14" s="383" t="s">
        <v>7562</v>
      </c>
      <c r="X14" s="624">
        <v>2</v>
      </c>
    </row>
    <row r="15" spans="3:32" ht="24" customHeight="1" x14ac:dyDescent="0.2">
      <c r="C15" s="404"/>
      <c r="D15" s="985"/>
      <c r="E15" s="986"/>
      <c r="F15" s="985"/>
      <c r="G15" s="986"/>
      <c r="H15" s="980"/>
      <c r="I15" s="981"/>
      <c r="J15" s="980"/>
      <c r="K15" s="981"/>
      <c r="L15" s="982"/>
      <c r="M15" s="338"/>
      <c r="N15" s="337"/>
      <c r="O15" s="369" t="str">
        <f>IF(U14=" "," ",IF(MONTH(U14+1)&lt;&gt;$W$3," ",U14+1))</f>
        <v xml:space="preserve"> </v>
      </c>
      <c r="P15" s="368" t="str">
        <f t="shared" si="1"/>
        <v xml:space="preserve"> </v>
      </c>
      <c r="Q15" s="368" t="str">
        <f t="shared" si="1"/>
        <v xml:space="preserve"> </v>
      </c>
      <c r="R15" s="368" t="str">
        <f t="shared" si="1"/>
        <v xml:space="preserve"> </v>
      </c>
      <c r="S15" s="368" t="str">
        <f t="shared" si="1"/>
        <v xml:space="preserve"> </v>
      </c>
      <c r="T15" s="367" t="str">
        <f t="shared" si="1"/>
        <v xml:space="preserve"> </v>
      </c>
      <c r="U15" s="366" t="str">
        <f t="shared" si="1"/>
        <v xml:space="preserve"> </v>
      </c>
      <c r="W15" s="370">
        <v>1</v>
      </c>
      <c r="X15" s="363" t="str">
        <f ca="1">UPPER('GPlan-Translations'!C226)</f>
        <v>JANEIRO</v>
      </c>
    </row>
    <row r="16" spans="3:32" ht="24" customHeight="1" x14ac:dyDescent="0.2">
      <c r="C16" s="404"/>
      <c r="D16" s="985"/>
      <c r="E16" s="986"/>
      <c r="F16" s="985"/>
      <c r="G16" s="986"/>
      <c r="H16" s="980"/>
      <c r="I16" s="981"/>
      <c r="J16" s="980"/>
      <c r="K16" s="981"/>
      <c r="L16" s="982"/>
      <c r="M16" s="338"/>
      <c r="N16" s="337"/>
      <c r="W16" s="370">
        <v>2</v>
      </c>
      <c r="X16" s="363" t="str">
        <f ca="1">UPPER('GPlan-Translations'!C227)</f>
        <v>FEVEREIRO</v>
      </c>
    </row>
    <row r="17" spans="3:32" ht="24" customHeight="1" x14ac:dyDescent="0.2">
      <c r="C17" s="404"/>
      <c r="D17" s="340" t="str">
        <f ca="1">IFERROR(INDEX('GCal-Month'!$J$98:$J$141,MATCH(E17,'GCal-Month'!$A$98:$A$141,0)),"")</f>
        <v/>
      </c>
      <c r="E17" s="696">
        <f>R11</f>
        <v>43475</v>
      </c>
      <c r="F17" s="340" t="str">
        <f ca="1">IFERROR(INDEX('GCal-Month'!$J$98:$J$141,MATCH(G17,'GCal-Month'!$A$98:$A$141,0)),"")</f>
        <v/>
      </c>
      <c r="G17" s="696">
        <f>S11</f>
        <v>43476</v>
      </c>
      <c r="H17" s="340" t="str">
        <f ca="1">IFERROR(INDEX('GCal-Month'!$J$98:$J$141,MATCH(I17,'GCal-Month'!$A$98:$A$141,0)),"")</f>
        <v/>
      </c>
      <c r="I17" s="696">
        <f>T11</f>
        <v>43477</v>
      </c>
      <c r="J17" s="340" t="str">
        <f ca="1">IFERROR(INDEX('GCal-Month'!$J$98:$J$141,MATCH(K17,'GCal-Month'!$A$98:$A$141,0)),"")</f>
        <v/>
      </c>
      <c r="K17" s="696">
        <f>U11</f>
        <v>43478</v>
      </c>
      <c r="L17" s="982"/>
      <c r="M17" s="338"/>
      <c r="N17" s="337"/>
      <c r="O17" s="357"/>
      <c r="P17" s="358"/>
      <c r="Q17" s="358"/>
      <c r="R17" s="359" t="s">
        <v>1479</v>
      </c>
      <c r="S17" s="359" t="s">
        <v>1473</v>
      </c>
      <c r="T17" s="381" t="s">
        <v>1473</v>
      </c>
      <c r="U17" s="380" t="s">
        <v>1470</v>
      </c>
      <c r="W17" s="370">
        <v>3</v>
      </c>
      <c r="X17" s="363" t="str">
        <f ca="1">UPPER('GPlan-Translations'!C228)</f>
        <v>MARÇO</v>
      </c>
      <c r="Z17" s="608" t="str">
        <f ca="1">R19</f>
        <v/>
      </c>
      <c r="AB17" s="608" t="str">
        <f ca="1">S19</f>
        <v/>
      </c>
      <c r="AD17" s="608" t="str">
        <f ca="1">T19</f>
        <v/>
      </c>
      <c r="AF17" s="608" t="str">
        <f ca="1">U19</f>
        <v/>
      </c>
    </row>
    <row r="18" spans="3:32" ht="24" customHeight="1" x14ac:dyDescent="0.2">
      <c r="C18" s="406"/>
      <c r="D18" s="978" t="str">
        <f ca="1">IFERROR(SUBSTITUTE(INDEX('GCal-Month'!$P$98:$P$141,MATCH(E25,'GCal-Month'!$A$98:$A$141,0)),"|",CHAR(10)),"")</f>
        <v/>
      </c>
      <c r="E18" s="979"/>
      <c r="F18" s="978" t="str">
        <f ca="1">IFERROR(SUBSTITUTE(INDEX('GCal-Month'!$P$98:$P$141,MATCH(G25,'GCal-Month'!$A$98:$A$141,0)),"|",CHAR(10)),"")</f>
        <v/>
      </c>
      <c r="G18" s="979"/>
      <c r="H18" s="978" t="str">
        <f ca="1">IFERROR(SUBSTITUTE(INDEX('GCal-Month'!$P$98:$P$141,MATCH(I25,'GCal-Month'!$A$98:$A$141,0)),"|",CHAR(10)),"")</f>
        <v/>
      </c>
      <c r="I18" s="979"/>
      <c r="J18" s="978" t="str">
        <f ca="1">IFERROR(SUBSTITUTE(INDEX('GCal-Month'!$P$98:$P$141,MATCH(K25,'GCal-Month'!$A$98:$A$141,0)),"|",CHAR(10)),"")</f>
        <v/>
      </c>
      <c r="K18" s="979"/>
      <c r="M18" s="338"/>
      <c r="N18" s="337"/>
      <c r="O18" s="352"/>
      <c r="P18" s="353"/>
      <c r="Q18" s="353"/>
      <c r="R18" s="238" t="str">
        <f ca="1">IFERROR(INDEX('GCal-Year'!$F$2:$F$435,MATCH(R10,'GCal-Year'!$A$2:$A$435,0)),"")</f>
        <v>C</v>
      </c>
      <c r="S18" s="238" t="str">
        <f ca="1">IFERROR(INDEX('GCal-Year'!$F$2:$F$435,MATCH(S10,'GCal-Year'!$A$2:$A$435,0)),"")</f>
        <v/>
      </c>
      <c r="T18" s="410" t="str">
        <f ca="1">IFERROR(INDEX('GCal-Year'!$F$2:$F$435,MATCH(T10,'GCal-Year'!$A$2:$A$435,0)),"")</f>
        <v/>
      </c>
      <c r="U18" s="409" t="str">
        <f ca="1">IFERROR(INDEX('GCal-Year'!$F$2:$F$435,MATCH(U10,'GCal-Year'!$A$2:$A$435,0)),"")</f>
        <v>C</v>
      </c>
      <c r="W18" s="370">
        <v>4</v>
      </c>
      <c r="X18" s="363" t="str">
        <f ca="1">UPPER('GPlan-Translations'!C229)</f>
        <v>ABRIL</v>
      </c>
    </row>
    <row r="19" spans="3:32" ht="24" customHeight="1" x14ac:dyDescent="0.2">
      <c r="C19" s="405"/>
      <c r="D19" s="980"/>
      <c r="E19" s="981"/>
      <c r="F19" s="980"/>
      <c r="G19" s="981"/>
      <c r="H19" s="980"/>
      <c r="I19" s="981"/>
      <c r="J19" s="980"/>
      <c r="K19" s="981"/>
      <c r="M19" s="338"/>
      <c r="N19" s="337"/>
      <c r="O19" s="352"/>
      <c r="P19" s="353"/>
      <c r="Q19" s="353"/>
      <c r="R19" s="238" t="str">
        <f ca="1">IFERROR(INDEX('GCal-Year'!$F$2:$F$435,MATCH(R11,'GCal-Year'!$A$2:$A$435,0)),"")</f>
        <v/>
      </c>
      <c r="S19" s="238" t="str">
        <f ca="1">IFERROR(INDEX('GCal-Year'!$F$2:$F$435,MATCH(S11,'GCal-Year'!$A$2:$A$435,0)),"")</f>
        <v/>
      </c>
      <c r="T19" s="410" t="str">
        <f ca="1">IFERROR(INDEX('GCal-Year'!$F$2:$F$435,MATCH(T11,'GCal-Year'!$A$2:$A$435,0)),"")</f>
        <v/>
      </c>
      <c r="U19" s="409" t="str">
        <f ca="1">IFERROR(INDEX('GCal-Year'!$F$2:$F$435,MATCH(U11,'GCal-Year'!$A$2:$A$435,0)),"")</f>
        <v/>
      </c>
      <c r="W19" s="370">
        <v>5</v>
      </c>
      <c r="X19" s="363" t="str">
        <f ca="1">UPPER('GPlan-Translations'!C230)</f>
        <v>MAIO</v>
      </c>
    </row>
    <row r="20" spans="3:32" ht="24" customHeight="1" x14ac:dyDescent="0.2">
      <c r="C20" s="404"/>
      <c r="D20" s="980"/>
      <c r="E20" s="981"/>
      <c r="F20" s="980"/>
      <c r="G20" s="981"/>
      <c r="H20" s="980"/>
      <c r="I20" s="981"/>
      <c r="J20" s="980"/>
      <c r="K20" s="981"/>
      <c r="M20" s="338"/>
      <c r="N20" s="337"/>
      <c r="O20" s="352"/>
      <c r="P20" s="353"/>
      <c r="Q20" s="353"/>
      <c r="R20" s="238" t="str">
        <f ca="1">IFERROR(INDEX('GCal-Year'!$F$2:$F$435,MATCH(R12,'GCal-Year'!$A$2:$A$435,0)),"")</f>
        <v>E</v>
      </c>
      <c r="S20" s="238" t="str">
        <f ca="1">IFERROR(INDEX('GCal-Year'!$F$2:$F$435,MATCH(S12,'GCal-Year'!$A$2:$A$435,0)),"")</f>
        <v>C</v>
      </c>
      <c r="T20" s="410" t="str">
        <f ca="1">IFERROR(INDEX('GCal-Year'!$F$2:$F$435,MATCH(T12,'GCal-Year'!$A$2:$A$435,0)),"")</f>
        <v/>
      </c>
      <c r="U20" s="409" t="str">
        <f ca="1">IFERROR(INDEX('GCal-Year'!$F$2:$F$435,MATCH(U12,'GCal-Year'!$A$2:$A$435,0)),"")</f>
        <v/>
      </c>
      <c r="W20" s="370">
        <v>6</v>
      </c>
      <c r="X20" s="363" t="str">
        <f ca="1">UPPER('GPlan-Translations'!C231)</f>
        <v>JUNHO</v>
      </c>
    </row>
    <row r="21" spans="3:32" ht="24" customHeight="1" x14ac:dyDescent="0.2">
      <c r="C21" s="404"/>
      <c r="D21" s="980"/>
      <c r="E21" s="981"/>
      <c r="F21" s="980"/>
      <c r="G21" s="981"/>
      <c r="H21" s="980"/>
      <c r="I21" s="981"/>
      <c r="J21" s="980"/>
      <c r="K21" s="981"/>
      <c r="M21" s="338"/>
      <c r="N21" s="337"/>
      <c r="O21" s="352"/>
      <c r="P21" s="353"/>
      <c r="Q21" s="353"/>
      <c r="R21" s="238" t="str">
        <f ca="1">IFERROR(INDEX('GCal-Year'!$F$2:$F$435,MATCH(R13,'GCal-Year'!$A$2:$A$435,0)),"")</f>
        <v/>
      </c>
      <c r="S21" s="238" t="str">
        <f ca="1">IFERROR(INDEX('GCal-Year'!$F$2:$F$435,MATCH(S13,'GCal-Year'!$A$2:$A$435,0)),"")</f>
        <v>C</v>
      </c>
      <c r="T21" s="410" t="str">
        <f ca="1">IFERROR(INDEX('GCal-Year'!$F$2:$F$435,MATCH(T13,'GCal-Year'!$A$2:$A$435,0)),"")</f>
        <v>C</v>
      </c>
      <c r="U21" s="409" t="str">
        <f ca="1">IFERROR(INDEX('GCal-Year'!$F$2:$F$435,MATCH(U13,'GCal-Year'!$A$2:$A$435,0)),"")</f>
        <v>C</v>
      </c>
      <c r="W21" s="370">
        <v>7</v>
      </c>
      <c r="X21" s="363" t="str">
        <f ca="1">UPPER('GPlan-Translations'!C232)</f>
        <v>JULHO</v>
      </c>
    </row>
    <row r="22" spans="3:32" ht="24" customHeight="1" x14ac:dyDescent="0.2">
      <c r="C22" s="404"/>
      <c r="D22" s="980"/>
      <c r="E22" s="981"/>
      <c r="F22" s="980"/>
      <c r="G22" s="981"/>
      <c r="H22" s="980"/>
      <c r="I22" s="981"/>
      <c r="J22" s="980"/>
      <c r="K22" s="981"/>
      <c r="M22" s="338"/>
      <c r="N22" s="337"/>
      <c r="O22" s="352"/>
      <c r="P22" s="353"/>
      <c r="Q22" s="353"/>
      <c r="R22" s="238" t="str">
        <f ca="1">IFERROR(INDEX('GCal-Year'!$F$2:$F$435,MATCH(R14,'GCal-Year'!$A$2:$A$435,0)),"")</f>
        <v>E</v>
      </c>
      <c r="S22" s="238" t="str">
        <f ca="1">IFERROR(INDEX('GCal-Year'!$F$2:$F$435,MATCH(S14,'GCal-Year'!$A$2:$A$435,0)),"")</f>
        <v/>
      </c>
      <c r="T22" s="410" t="str">
        <f ca="1">IFERROR(INDEX('GCal-Year'!$F$2:$F$435,MATCH(T14,'GCal-Year'!$A$2:$A$435,0)),"")</f>
        <v/>
      </c>
      <c r="U22" s="409" t="str">
        <f ca="1">IFERROR(INDEX('GCal-Year'!$F$2:$F$435,MATCH(U14,'GCal-Year'!$A$2:$A$435,0)),"")</f>
        <v/>
      </c>
      <c r="W22" s="370">
        <v>8</v>
      </c>
      <c r="X22" s="363" t="str">
        <f ca="1">UPPER('GPlan-Translations'!C233)</f>
        <v>AGOSTO</v>
      </c>
    </row>
    <row r="23" spans="3:32" ht="24" customHeight="1" x14ac:dyDescent="0.2">
      <c r="C23" s="404"/>
      <c r="D23" s="980"/>
      <c r="E23" s="981"/>
      <c r="F23" s="980"/>
      <c r="G23" s="981"/>
      <c r="H23" s="980"/>
      <c r="I23" s="981"/>
      <c r="J23" s="980"/>
      <c r="K23" s="981"/>
      <c r="M23" s="338"/>
      <c r="N23" s="337"/>
      <c r="O23" s="347"/>
      <c r="P23" s="348"/>
      <c r="Q23" s="348"/>
      <c r="R23" s="349" t="str">
        <f>IFERROR(INDEX('GCal-Year'!$F$2:$F$435,MATCH(R15,'GCal-Year'!$A$2:$A$435,0)),"")</f>
        <v/>
      </c>
      <c r="S23" s="349" t="str">
        <f>IFERROR(INDEX('GCal-Year'!$F$2:$F$435,MATCH(S15,'GCal-Year'!$A$2:$A$435,0)),"")</f>
        <v/>
      </c>
      <c r="T23" s="408" t="str">
        <f>IFERROR(INDEX('GCal-Year'!$F$2:$F$435,MATCH(T15,'GCal-Year'!$A$2:$A$435,0)),"")</f>
        <v/>
      </c>
      <c r="U23" s="407" t="str">
        <f>IFERROR(INDEX('GCal-Year'!$F$2:$F$435,MATCH(U15,'GCal-Year'!$A$2:$A$435,0)),"")</f>
        <v/>
      </c>
      <c r="W23" s="370">
        <v>9</v>
      </c>
      <c r="X23" s="363" t="str">
        <f ca="1">UPPER('GPlan-Translations'!C234)</f>
        <v>SETEMBRO</v>
      </c>
    </row>
    <row r="24" spans="3:32" ht="24" customHeight="1" x14ac:dyDescent="0.2">
      <c r="C24" s="404"/>
      <c r="D24" s="980"/>
      <c r="E24" s="981"/>
      <c r="F24" s="980"/>
      <c r="G24" s="981"/>
      <c r="H24" s="980"/>
      <c r="I24" s="981"/>
      <c r="J24" s="980"/>
      <c r="K24" s="981"/>
      <c r="M24" s="338"/>
      <c r="N24" s="337"/>
      <c r="W24" s="365">
        <v>10</v>
      </c>
      <c r="X24" s="363" t="str">
        <f ca="1">UPPER('GPlan-Translations'!C235)</f>
        <v>OUTUBRO</v>
      </c>
    </row>
    <row r="25" spans="3:32" ht="24" customHeight="1" x14ac:dyDescent="0.2">
      <c r="C25" s="404"/>
      <c r="D25" s="340" t="str">
        <f ca="1">IFERROR(INDEX('GCal-Month'!$J$98:$J$141,MATCH(E25,'GCal-Month'!$A$98:$A$141,0)),"")</f>
        <v/>
      </c>
      <c r="E25" s="696">
        <f>R12</f>
        <v>43482</v>
      </c>
      <c r="F25" s="340" t="str">
        <f ca="1">IFERROR(INDEX('GCal-Month'!$J$98:$J$141,MATCH(G25,'GCal-Month'!$A$98:$A$141,0)),"")</f>
        <v/>
      </c>
      <c r="G25" s="696">
        <f>S12</f>
        <v>43483</v>
      </c>
      <c r="H25" s="340" t="str">
        <f ca="1">IFERROR(INDEX('GCal-Month'!$J$98:$J$141,MATCH(I25,'GCal-Month'!$A$98:$A$141,0)),"")</f>
        <v/>
      </c>
      <c r="I25" s="696">
        <f>T12</f>
        <v>43484</v>
      </c>
      <c r="J25" s="340" t="str">
        <f ca="1">IFERROR(INDEX('GCal-Month'!$J$98:$J$141,MATCH(K25,'GCal-Month'!$A$98:$A$141,0)),"")</f>
        <v/>
      </c>
      <c r="K25" s="696">
        <f>U12</f>
        <v>43485</v>
      </c>
      <c r="M25" s="338"/>
      <c r="W25" s="364">
        <v>11</v>
      </c>
      <c r="X25" s="363" t="str">
        <f ca="1">UPPER('GPlan-Translations'!C236)</f>
        <v>NOVEMBRO</v>
      </c>
      <c r="Z25" s="608" t="str">
        <f ca="1">R20</f>
        <v>E</v>
      </c>
      <c r="AB25" s="608" t="str">
        <f ca="1">S20</f>
        <v>C</v>
      </c>
      <c r="AD25" s="608" t="str">
        <f ca="1">T20</f>
        <v/>
      </c>
      <c r="AF25" s="608" t="str">
        <f ca="1">U20</f>
        <v/>
      </c>
    </row>
    <row r="26" spans="3:32" ht="24" customHeight="1" x14ac:dyDescent="0.2">
      <c r="C26" s="406"/>
      <c r="D26" s="978" t="str">
        <f ca="1">IFERROR(SUBSTITUTE(INDEX('GCal-Month'!$P$98:$P$141,MATCH(E33,'GCal-Month'!$A$98:$A$141,0)),"|",CHAR(10)),"")</f>
        <v/>
      </c>
      <c r="E26" s="979"/>
      <c r="F26" s="978" t="str">
        <f ca="1">IFERROR(SUBSTITUTE(INDEX('GCal-Month'!$P$98:$P$141,MATCH(G33,'GCal-Month'!$A$98:$A$141,0)),"|",CHAR(10)),"")</f>
        <v/>
      </c>
      <c r="G26" s="979"/>
      <c r="H26" s="978" t="str">
        <f ca="1">IFERROR(SUBSTITUTE(INDEX('GCal-Month'!$P$98:$P$141,MATCH(I33,'GCal-Month'!$A$98:$A$141,0)),"|",CHAR(10)),"")</f>
        <v/>
      </c>
      <c r="I26" s="979"/>
      <c r="J26" s="978" t="str">
        <f ca="1">IFERROR(SUBSTITUTE(INDEX('GCal-Month'!$P$98:$P$141,MATCH(K33,'GCal-Month'!$A$98:$A$141,0)),"|",CHAR(10)),"")</f>
        <v/>
      </c>
      <c r="K26" s="979"/>
      <c r="L26" s="991" t="str">
        <f ca="1">'GPlan-Translations'!C240</f>
        <v>PLANEJAMENTO MENSAL</v>
      </c>
      <c r="M26" s="338"/>
      <c r="W26" s="362">
        <v>12</v>
      </c>
      <c r="X26" s="361" t="str">
        <f ca="1">UPPER('GPlan-Translations'!C237)</f>
        <v>DEZEMBRO</v>
      </c>
    </row>
    <row r="27" spans="3:32" ht="24" customHeight="1" x14ac:dyDescent="0.2">
      <c r="C27" s="405"/>
      <c r="D27" s="980"/>
      <c r="E27" s="981"/>
      <c r="F27" s="980"/>
      <c r="G27" s="981"/>
      <c r="H27" s="980"/>
      <c r="I27" s="981"/>
      <c r="J27" s="980"/>
      <c r="K27" s="981"/>
      <c r="L27" s="991"/>
      <c r="M27" s="338"/>
    </row>
    <row r="28" spans="3:32" ht="24" customHeight="1" x14ac:dyDescent="0.2">
      <c r="C28" s="404"/>
      <c r="D28" s="980"/>
      <c r="E28" s="981"/>
      <c r="F28" s="980"/>
      <c r="G28" s="981"/>
      <c r="H28" s="980"/>
      <c r="I28" s="981"/>
      <c r="J28" s="980"/>
      <c r="K28" s="981"/>
      <c r="L28" s="991"/>
      <c r="M28" s="338"/>
    </row>
    <row r="29" spans="3:32" ht="24" customHeight="1" x14ac:dyDescent="0.2">
      <c r="C29" s="404"/>
      <c r="D29" s="980"/>
      <c r="E29" s="981"/>
      <c r="F29" s="980"/>
      <c r="G29" s="981"/>
      <c r="H29" s="980"/>
      <c r="I29" s="981"/>
      <c r="J29" s="980"/>
      <c r="K29" s="981"/>
      <c r="L29" s="991"/>
      <c r="M29" s="338"/>
      <c r="N29" s="337"/>
    </row>
    <row r="30" spans="3:32" ht="24" customHeight="1" x14ac:dyDescent="0.2">
      <c r="C30" s="404"/>
      <c r="D30" s="980"/>
      <c r="E30" s="981"/>
      <c r="F30" s="980"/>
      <c r="G30" s="981"/>
      <c r="H30" s="980"/>
      <c r="I30" s="981"/>
      <c r="J30" s="980"/>
      <c r="K30" s="981"/>
      <c r="L30" s="991"/>
      <c r="M30" s="338"/>
      <c r="N30" s="337"/>
    </row>
    <row r="31" spans="3:32" ht="24" customHeight="1" x14ac:dyDescent="0.2">
      <c r="C31" s="404"/>
      <c r="D31" s="980"/>
      <c r="E31" s="981"/>
      <c r="F31" s="980"/>
      <c r="G31" s="981"/>
      <c r="H31" s="980"/>
      <c r="I31" s="981"/>
      <c r="J31" s="980"/>
      <c r="K31" s="981"/>
      <c r="L31" s="991"/>
      <c r="M31" s="338"/>
      <c r="N31" s="337"/>
    </row>
    <row r="32" spans="3:32" ht="24" customHeight="1" x14ac:dyDescent="0.2">
      <c r="C32" s="404"/>
      <c r="D32" s="980"/>
      <c r="E32" s="981"/>
      <c r="F32" s="980"/>
      <c r="G32" s="981"/>
      <c r="H32" s="980"/>
      <c r="I32" s="981"/>
      <c r="J32" s="980"/>
      <c r="K32" s="981"/>
      <c r="L32" s="991"/>
      <c r="M32" s="338"/>
      <c r="N32" s="337"/>
    </row>
    <row r="33" spans="3:32" ht="24" customHeight="1" x14ac:dyDescent="0.2">
      <c r="C33" s="404"/>
      <c r="D33" s="340" t="str">
        <f ca="1">IFERROR(INDEX('GCal-Month'!$J$98:$J$141,MATCH(E33,'GCal-Month'!$A$98:$A$141,0)),"")</f>
        <v/>
      </c>
      <c r="E33" s="696">
        <f>R13</f>
        <v>43489</v>
      </c>
      <c r="F33" s="340" t="str">
        <f ca="1">IFERROR(INDEX('GCal-Month'!$J$98:$J$141,MATCH(G33,'GCal-Month'!$A$98:$A$141,0)),"")</f>
        <v/>
      </c>
      <c r="G33" s="696">
        <f>S13</f>
        <v>43490</v>
      </c>
      <c r="H33" s="340" t="str">
        <f ca="1">IFERROR(INDEX('GCal-Month'!$J$98:$J$141,MATCH(I33,'GCal-Month'!$A$98:$A$141,0)),"")</f>
        <v/>
      </c>
      <c r="I33" s="696">
        <f>T13</f>
        <v>43491</v>
      </c>
      <c r="J33" s="340" t="str">
        <f ca="1">IFERROR(INDEX('GCal-Month'!$J$98:$J$141,MATCH(K33,'GCal-Month'!$A$98:$A$141,0)),"")</f>
        <v/>
      </c>
      <c r="K33" s="696">
        <f>U13</f>
        <v>43492</v>
      </c>
      <c r="L33" s="991"/>
      <c r="M33" s="338"/>
      <c r="N33" s="337"/>
      <c r="Z33" s="608" t="str">
        <f ca="1">R21</f>
        <v/>
      </c>
      <c r="AB33" s="608" t="str">
        <f ca="1">S21</f>
        <v>C</v>
      </c>
      <c r="AD33" s="608" t="str">
        <f ca="1">T21</f>
        <v>C</v>
      </c>
      <c r="AF33" s="608" t="str">
        <f ca="1">U21</f>
        <v>C</v>
      </c>
    </row>
    <row r="34" spans="3:32" ht="24" customHeight="1" x14ac:dyDescent="0.2">
      <c r="C34" s="406"/>
      <c r="D34" s="978" t="str">
        <f ca="1">IFERROR(SUBSTITUTE(INDEX('GCal-Month'!$P$98:$P$141,MATCH(E41,'GCal-Month'!$A$98:$A$141,0)),"|",CHAR(10)),"")</f>
        <v/>
      </c>
      <c r="E34" s="988"/>
      <c r="F34" s="978" t="str">
        <f ca="1">IFERROR(SUBSTITUTE(INDEX('GCal-Month'!$P$98:$P$141,MATCH(G41,'GCal-Month'!$A$98:$A$141,0)),"|",CHAR(10)),"")</f>
        <v/>
      </c>
      <c r="G34" s="979"/>
      <c r="H34" s="978" t="str">
        <f ca="1">IFERROR(SUBSTITUTE(INDEX('GCal-Month'!$P$98:$P$141,MATCH(I41,'GCal-Month'!$A$98:$A$141,0)),"|",CHAR(10)),"")</f>
        <v/>
      </c>
      <c r="I34" s="979"/>
      <c r="J34" s="978" t="str">
        <f ca="1">IFERROR(SUBSTITUTE(INDEX('GCal-Month'!$P$98:$P$141,MATCH(K41,'GCal-Month'!$A$98:$A$141,0)),"|",CHAR(10)),"")</f>
        <v/>
      </c>
      <c r="K34" s="979"/>
      <c r="L34" s="991"/>
      <c r="M34" s="338"/>
      <c r="N34" s="337"/>
    </row>
    <row r="35" spans="3:32" ht="24" customHeight="1" x14ac:dyDescent="0.2">
      <c r="C35" s="405"/>
      <c r="D35" s="989"/>
      <c r="E35" s="990"/>
      <c r="F35" s="980"/>
      <c r="G35" s="981"/>
      <c r="H35" s="980"/>
      <c r="I35" s="981"/>
      <c r="J35" s="980"/>
      <c r="K35" s="981"/>
      <c r="L35" s="991"/>
      <c r="M35" s="338"/>
      <c r="N35" s="337"/>
    </row>
    <row r="36" spans="3:32" ht="24" customHeight="1" x14ac:dyDescent="0.2">
      <c r="C36" s="404"/>
      <c r="D36" s="989"/>
      <c r="E36" s="990"/>
      <c r="F36" s="980"/>
      <c r="G36" s="981"/>
      <c r="H36" s="980"/>
      <c r="I36" s="981"/>
      <c r="J36" s="980"/>
      <c r="K36" s="981"/>
      <c r="L36" s="991"/>
      <c r="M36" s="338"/>
      <c r="N36" s="337"/>
    </row>
    <row r="37" spans="3:32" ht="24" customHeight="1" x14ac:dyDescent="0.2">
      <c r="C37" s="404"/>
      <c r="D37" s="989"/>
      <c r="E37" s="990"/>
      <c r="F37" s="980"/>
      <c r="G37" s="981"/>
      <c r="H37" s="980"/>
      <c r="I37" s="981"/>
      <c r="J37" s="980"/>
      <c r="K37" s="981"/>
      <c r="L37" s="991"/>
      <c r="M37" s="338"/>
      <c r="N37" s="337"/>
    </row>
    <row r="38" spans="3:32" ht="24" customHeight="1" x14ac:dyDescent="0.2">
      <c r="C38" s="404"/>
      <c r="D38" s="989"/>
      <c r="E38" s="990"/>
      <c r="F38" s="980"/>
      <c r="G38" s="981"/>
      <c r="H38" s="980"/>
      <c r="I38" s="981"/>
      <c r="J38" s="980"/>
      <c r="K38" s="981"/>
      <c r="L38" s="991"/>
      <c r="M38" s="338"/>
      <c r="N38" s="337"/>
      <c r="U38" s="256"/>
    </row>
    <row r="39" spans="3:32" ht="24" customHeight="1" x14ac:dyDescent="0.2">
      <c r="C39" s="404"/>
      <c r="D39" s="989"/>
      <c r="E39" s="990"/>
      <c r="F39" s="980"/>
      <c r="G39" s="981"/>
      <c r="H39" s="980"/>
      <c r="I39" s="981"/>
      <c r="J39" s="980"/>
      <c r="K39" s="981"/>
      <c r="L39" s="991"/>
      <c r="M39" s="338"/>
      <c r="N39" s="337"/>
      <c r="U39" s="256"/>
    </row>
    <row r="40" spans="3:32" ht="24" customHeight="1" x14ac:dyDescent="0.2">
      <c r="C40" s="404"/>
      <c r="D40" s="989"/>
      <c r="E40" s="990"/>
      <c r="F40" s="980"/>
      <c r="G40" s="981"/>
      <c r="H40" s="980"/>
      <c r="I40" s="981"/>
      <c r="J40" s="980"/>
      <c r="K40" s="981"/>
      <c r="L40" s="991"/>
      <c r="M40" s="338"/>
      <c r="N40" s="337"/>
      <c r="U40" s="256"/>
    </row>
    <row r="41" spans="3:32" ht="24" customHeight="1" x14ac:dyDescent="0.2">
      <c r="C41" s="404"/>
      <c r="D41" s="340" t="str">
        <f ca="1">IFERROR(INDEX('GCal-Month'!$J$98:$J$141,MATCH(E41,'GCal-Month'!$A$98:$A$141,0)),"")</f>
        <v/>
      </c>
      <c r="E41" s="696">
        <f>R14</f>
        <v>43496</v>
      </c>
      <c r="F41" s="340" t="str">
        <f ca="1">IFERROR(INDEX('GCal-Month'!$J$98:$J$141,MATCH(G41,'GCal-Month'!$A$98:$A$141,0)),"")</f>
        <v/>
      </c>
      <c r="G41" s="696">
        <f>S14</f>
        <v>43497</v>
      </c>
      <c r="H41" s="340" t="str">
        <f ca="1">IFERROR(INDEX('GCal-Month'!$J$98:$J$141,MATCH(I41,'GCal-Month'!$A$98:$A$141,0)),"")</f>
        <v/>
      </c>
      <c r="I41" s="696">
        <f>T14</f>
        <v>43498</v>
      </c>
      <c r="J41" s="340" t="str">
        <f ca="1">IFERROR(INDEX('GCal-Month'!$J$98:$J$141,MATCH(K41,'GCal-Month'!$A$98:$A$141,0)),"")</f>
        <v/>
      </c>
      <c r="K41" s="696">
        <f>U14</f>
        <v>43499</v>
      </c>
      <c r="L41" s="991"/>
      <c r="M41" s="338"/>
      <c r="N41" s="337"/>
      <c r="U41" s="256"/>
      <c r="Z41" s="608" t="str">
        <f ca="1">R22</f>
        <v>E</v>
      </c>
      <c r="AB41" s="608" t="str">
        <f ca="1">S22</f>
        <v/>
      </c>
      <c r="AD41" s="608" t="str">
        <f ca="1">T22</f>
        <v/>
      </c>
      <c r="AF41" s="608" t="str">
        <f ca="1">U22</f>
        <v/>
      </c>
    </row>
    <row r="42" spans="3:32" ht="24" customHeight="1" x14ac:dyDescent="0.2">
      <c r="C42" s="406"/>
      <c r="D42" s="978" t="str">
        <f>IFERROR(SUBSTITUTE(INDEX('GCal-Month'!$P$98:$P$141,MATCH(E49,'GCal-Month'!$A$98:$A$141,0)),"|",CHAR(10)),"")</f>
        <v/>
      </c>
      <c r="E42" s="979"/>
      <c r="F42" s="978" t="str">
        <f>IFERROR(SUBSTITUTE(INDEX('GCal-Month'!$P$98:$P$141,MATCH(G49,'GCal-Month'!$A$98:$A$141,0)),"|",CHAR(10)),"")</f>
        <v/>
      </c>
      <c r="G42" s="979"/>
      <c r="H42" s="978" t="str">
        <f>IFERROR(SUBSTITUTE(INDEX('GCal-Month'!$P$98:$P$141,MATCH(I49,'GCal-Month'!$A$98:$A$141,0)),"|",CHAR(10)),"")</f>
        <v/>
      </c>
      <c r="I42" s="979"/>
      <c r="J42" s="978" t="str">
        <f>IFERROR(SUBSTITUTE(INDEX('GCal-Month'!$P$98:$P$141,MATCH(K49,'GCal-Month'!$A$98:$A$141,0)),"|",CHAR(10)),"")</f>
        <v/>
      </c>
      <c r="K42" s="979"/>
      <c r="L42" s="991"/>
      <c r="M42" s="338"/>
      <c r="N42" s="337"/>
      <c r="U42" s="256"/>
    </row>
    <row r="43" spans="3:32" ht="24" customHeight="1" x14ac:dyDescent="0.2">
      <c r="C43" s="405"/>
      <c r="D43" s="980"/>
      <c r="E43" s="981"/>
      <c r="F43" s="980"/>
      <c r="G43" s="981"/>
      <c r="H43" s="980"/>
      <c r="I43" s="981"/>
      <c r="J43" s="980"/>
      <c r="K43" s="981"/>
      <c r="L43" s="991"/>
      <c r="M43" s="338"/>
      <c r="N43" s="337"/>
      <c r="U43" s="256"/>
    </row>
    <row r="44" spans="3:32" ht="24" customHeight="1" x14ac:dyDescent="0.2">
      <c r="C44" s="404"/>
      <c r="D44" s="980"/>
      <c r="E44" s="981"/>
      <c r="F44" s="980"/>
      <c r="G44" s="981"/>
      <c r="H44" s="980"/>
      <c r="I44" s="981"/>
      <c r="J44" s="980"/>
      <c r="K44" s="981"/>
      <c r="L44" s="991"/>
      <c r="M44" s="338"/>
      <c r="U44" s="256"/>
    </row>
    <row r="45" spans="3:32" ht="24" customHeight="1" x14ac:dyDescent="0.2">
      <c r="C45" s="404"/>
      <c r="D45" s="980"/>
      <c r="E45" s="981"/>
      <c r="F45" s="980"/>
      <c r="G45" s="981"/>
      <c r="H45" s="980"/>
      <c r="I45" s="981"/>
      <c r="J45" s="980"/>
      <c r="K45" s="981"/>
      <c r="L45" s="991"/>
      <c r="M45" s="338"/>
      <c r="U45" s="256"/>
    </row>
    <row r="46" spans="3:32" ht="24" customHeight="1" x14ac:dyDescent="0.2">
      <c r="C46" s="404"/>
      <c r="D46" s="980"/>
      <c r="E46" s="981"/>
      <c r="F46" s="980"/>
      <c r="G46" s="981"/>
      <c r="H46" s="980"/>
      <c r="I46" s="981"/>
      <c r="J46" s="980"/>
      <c r="K46" s="981"/>
      <c r="L46" s="991"/>
      <c r="M46" s="338"/>
      <c r="U46" s="256"/>
    </row>
    <row r="47" spans="3:32" ht="24" customHeight="1" x14ac:dyDescent="0.2">
      <c r="C47" s="404"/>
      <c r="D47" s="980"/>
      <c r="E47" s="981"/>
      <c r="F47" s="980"/>
      <c r="G47" s="981"/>
      <c r="H47" s="980"/>
      <c r="I47" s="981"/>
      <c r="J47" s="980"/>
      <c r="K47" s="981"/>
      <c r="L47" s="991"/>
      <c r="M47" s="338"/>
      <c r="U47" s="256"/>
    </row>
    <row r="48" spans="3:32" ht="24" customHeight="1" x14ac:dyDescent="0.2">
      <c r="C48" s="404"/>
      <c r="D48" s="980"/>
      <c r="E48" s="981"/>
      <c r="F48" s="980"/>
      <c r="G48" s="981"/>
      <c r="H48" s="980"/>
      <c r="I48" s="981"/>
      <c r="J48" s="980"/>
      <c r="K48" s="981"/>
      <c r="L48" s="991"/>
      <c r="M48" s="338"/>
      <c r="U48" s="256"/>
    </row>
    <row r="49" spans="3:32" ht="24" customHeight="1" x14ac:dyDescent="0.2">
      <c r="C49" s="404"/>
      <c r="D49" s="340" t="str">
        <f>IFERROR(INDEX('GCal-Month'!$J$98:$J$141,MATCH(E49,'GCal-Month'!$A$98:$A$141,0)),"")</f>
        <v/>
      </c>
      <c r="E49" s="696" t="str">
        <f>R15</f>
        <v xml:space="preserve"> </v>
      </c>
      <c r="F49" s="340" t="str">
        <f>IFERROR(INDEX('GCal-Month'!$J$98:$J$141,MATCH(G49,'GCal-Month'!$A$98:$A$141,0)),"")</f>
        <v/>
      </c>
      <c r="G49" s="696" t="str">
        <f>S15</f>
        <v xml:space="preserve"> </v>
      </c>
      <c r="H49" s="340" t="str">
        <f>IFERROR(INDEX('GCal-Month'!$J$98:$J$141,MATCH(I49,'GCal-Month'!$A$98:$A$141,0)),"")</f>
        <v/>
      </c>
      <c r="I49" s="696" t="str">
        <f>T15</f>
        <v xml:space="preserve"> </v>
      </c>
      <c r="J49" s="340" t="str">
        <f>IFERROR(INDEX('GCal-Month'!$J$98:$J$141,MATCH(K49,'GCal-Month'!$A$98:$A$141,0)),"")</f>
        <v/>
      </c>
      <c r="K49" s="696" t="str">
        <f>U15</f>
        <v xml:space="preserve"> </v>
      </c>
      <c r="L49" s="991"/>
      <c r="M49" s="338"/>
      <c r="U49" s="256"/>
      <c r="Z49" s="608" t="str">
        <f>R23</f>
        <v/>
      </c>
      <c r="AB49" s="608" t="str">
        <f>S23</f>
        <v/>
      </c>
      <c r="AD49" s="608" t="str">
        <f>T23</f>
        <v/>
      </c>
      <c r="AF49" s="608" t="str">
        <f>U23</f>
        <v/>
      </c>
    </row>
    <row r="50" spans="3:32" ht="12.75" x14ac:dyDescent="0.2"/>
  </sheetData>
  <mergeCells count="27">
    <mergeCell ref="L26:L49"/>
    <mergeCell ref="D34:E40"/>
    <mergeCell ref="F34:G40"/>
    <mergeCell ref="H34:I40"/>
    <mergeCell ref="J34:K40"/>
    <mergeCell ref="D26:E32"/>
    <mergeCell ref="F26:G32"/>
    <mergeCell ref="D42:E48"/>
    <mergeCell ref="F42:G48"/>
    <mergeCell ref="H42:I48"/>
    <mergeCell ref="J42:K48"/>
    <mergeCell ref="H26:I32"/>
    <mergeCell ref="J26:K32"/>
    <mergeCell ref="L12:L17"/>
    <mergeCell ref="D18:E24"/>
    <mergeCell ref="F18:G24"/>
    <mergeCell ref="H18:I24"/>
    <mergeCell ref="J18:K24"/>
    <mergeCell ref="D10:E16"/>
    <mergeCell ref="F10:G16"/>
    <mergeCell ref="H10:I16"/>
    <mergeCell ref="J10:K16"/>
    <mergeCell ref="L1:L11"/>
    <mergeCell ref="D2:E8"/>
    <mergeCell ref="F2:G8"/>
    <mergeCell ref="H2:I8"/>
    <mergeCell ref="J2:K8"/>
  </mergeCells>
  <conditionalFormatting sqref="E9 G9 I9 K9 E17 G17 I17 K17 E25 G25 I25 K25 E33 G33 I33 K33 E41 G41 I41 K41 E49 G49 I49 K49">
    <cfRule type="expression" dxfId="6" priority="1" stopIfTrue="1">
      <formula>Z9="S"</formula>
    </cfRule>
    <cfRule type="expression" dxfId="5" priority="2" stopIfTrue="1">
      <formula>Z9="H"</formula>
    </cfRule>
    <cfRule type="expression" dxfId="4" priority="3" stopIfTrue="1">
      <formula>Z9="P"</formula>
    </cfRule>
    <cfRule type="expression" dxfId="3" priority="4" stopIfTrue="1">
      <formula>Z9="K"</formula>
    </cfRule>
    <cfRule type="expression" dxfId="2" priority="5" stopIfTrue="1">
      <formula>Z9="F"</formula>
    </cfRule>
    <cfRule type="expression" dxfId="1" priority="6" stopIfTrue="1">
      <formula>Z9="E"</formula>
    </cfRule>
    <cfRule type="expression" dxfId="0" priority="7" stopIfTrue="1">
      <formula>Z9="C"</formula>
    </cfRule>
  </conditionalFormatting>
  <printOptions horizontalCentered="1" verticalCentered="1"/>
  <pageMargins left="0.19685039370078741" right="0.19685039370078741" top="0.19685039370078741" bottom="0.19685039370078741" header="0.11811023622047245" footer="0.11811023622047245"/>
  <pageSetup paperSize="9" scale="71" fitToWidth="2" orientation="portrait" r:id="rId1"/>
  <headerFooter alignWithMargins="0"/>
  <colBreaks count="1" manualBreakCount="1">
    <brk id="2"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20481" r:id="rId4" name="MonthSelect1">
              <controlPr defaultSize="0" print="0" autoPict="0">
                <anchor moveWithCells="1">
                  <from>
                    <xdr:col>0</xdr:col>
                    <xdr:colOff>114300</xdr:colOff>
                    <xdr:row>1</xdr:row>
                    <xdr:rowOff>190500</xdr:rowOff>
                  </from>
                  <to>
                    <xdr:col>2</xdr:col>
                    <xdr:colOff>257175</xdr:colOff>
                    <xdr:row>3</xdr:row>
                    <xdr:rowOff>161925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wksPersonalities">
    <pageSetUpPr fitToPage="1"/>
  </sheetPr>
  <dimension ref="A1:F164"/>
  <sheetViews>
    <sheetView showGridLines="0" workbookViewId="0"/>
  </sheetViews>
  <sheetFormatPr defaultColWidth="9.140625" defaultRowHeight="15" customHeight="1" x14ac:dyDescent="0.2"/>
  <cols>
    <col min="1" max="1" width="1.42578125" style="666" customWidth="1"/>
    <col min="2" max="2" width="108.5703125" style="651" customWidth="1"/>
    <col min="3" max="3" width="1.42578125" style="651" customWidth="1"/>
    <col min="4" max="4" width="108.5703125" style="651" customWidth="1"/>
    <col min="5" max="5" width="1.42578125" style="651" customWidth="1"/>
    <col min="6" max="6" width="108.5703125" style="651" customWidth="1"/>
    <col min="7" max="7" width="1.42578125" style="651" customWidth="1"/>
    <col min="8" max="16384" width="9.140625" style="651"/>
  </cols>
  <sheetData>
    <row r="1" spans="2:6" ht="20.25" x14ac:dyDescent="0.2">
      <c r="B1" s="699" t="s">
        <v>8241</v>
      </c>
      <c r="D1" s="699" t="s">
        <v>8247</v>
      </c>
      <c r="F1" s="699" t="s">
        <v>8017</v>
      </c>
    </row>
    <row r="2" spans="2:6" x14ac:dyDescent="0.2">
      <c r="B2" s="659"/>
      <c r="D2" s="659"/>
      <c r="F2" s="659"/>
    </row>
    <row r="3" spans="2:6" x14ac:dyDescent="0.2">
      <c r="B3" s="698" t="s">
        <v>8256</v>
      </c>
      <c r="D3" s="698" t="s">
        <v>8248</v>
      </c>
      <c r="F3" s="698" t="s">
        <v>8018</v>
      </c>
    </row>
    <row r="4" spans="2:6" x14ac:dyDescent="0.2">
      <c r="B4" s="698" t="s">
        <v>8102</v>
      </c>
      <c r="D4" s="698" t="s">
        <v>8102</v>
      </c>
      <c r="F4" s="698" t="s">
        <v>8102</v>
      </c>
    </row>
    <row r="6" spans="2:6" ht="40.5" customHeight="1" x14ac:dyDescent="0.2">
      <c r="B6" s="712" t="s">
        <v>8242</v>
      </c>
      <c r="D6" s="711" t="s">
        <v>8249</v>
      </c>
      <c r="F6" s="711" t="s">
        <v>8019</v>
      </c>
    </row>
    <row r="7" spans="2:6" ht="15" customHeight="1" x14ac:dyDescent="0.2">
      <c r="B7" s="697"/>
      <c r="D7" s="697"/>
      <c r="F7" s="697"/>
    </row>
    <row r="8" spans="2:6" ht="51" x14ac:dyDescent="0.2">
      <c r="B8" s="711" t="s">
        <v>8243</v>
      </c>
      <c r="D8" s="712" t="s">
        <v>8250</v>
      </c>
      <c r="F8" s="711" t="s">
        <v>8020</v>
      </c>
    </row>
    <row r="9" spans="2:6" ht="15" customHeight="1" x14ac:dyDescent="0.2">
      <c r="B9" s="697"/>
      <c r="D9" s="697"/>
      <c r="F9" s="697"/>
    </row>
    <row r="10" spans="2:6" ht="105" customHeight="1" x14ac:dyDescent="0.2">
      <c r="B10" s="714" t="s">
        <v>8260</v>
      </c>
      <c r="D10" s="714" t="s">
        <v>8337</v>
      </c>
      <c r="F10" s="711" t="s">
        <v>8021</v>
      </c>
    </row>
    <row r="11" spans="2:6" x14ac:dyDescent="0.2">
      <c r="B11" s="711"/>
      <c r="D11" s="711"/>
      <c r="F11" s="711"/>
    </row>
    <row r="12" spans="2:6" ht="105" customHeight="1" x14ac:dyDescent="0.2">
      <c r="B12" s="714" t="s">
        <v>8261</v>
      </c>
      <c r="D12" s="714" t="s">
        <v>8338</v>
      </c>
      <c r="F12" s="711" t="s">
        <v>8022</v>
      </c>
    </row>
    <row r="13" spans="2:6" x14ac:dyDescent="0.2">
      <c r="B13" s="711"/>
      <c r="D13" s="711"/>
      <c r="F13" s="711"/>
    </row>
    <row r="14" spans="2:6" ht="120" customHeight="1" x14ac:dyDescent="0.2">
      <c r="B14" s="714" t="s">
        <v>8262</v>
      </c>
      <c r="D14" s="714" t="s">
        <v>8339</v>
      </c>
      <c r="F14" s="711" t="s">
        <v>8023</v>
      </c>
    </row>
    <row r="15" spans="2:6" x14ac:dyDescent="0.2">
      <c r="B15" s="711"/>
      <c r="D15" s="711"/>
      <c r="F15" s="711"/>
    </row>
    <row r="16" spans="2:6" ht="78.75" customHeight="1" x14ac:dyDescent="0.2">
      <c r="B16" s="714" t="s">
        <v>8263</v>
      </c>
      <c r="D16" s="714" t="s">
        <v>8340</v>
      </c>
      <c r="F16" s="711" t="s">
        <v>8025</v>
      </c>
    </row>
    <row r="17" spans="2:6" x14ac:dyDescent="0.2">
      <c r="B17" s="711"/>
      <c r="D17" s="711"/>
      <c r="F17" s="711"/>
    </row>
    <row r="18" spans="2:6" ht="105" customHeight="1" x14ac:dyDescent="0.2">
      <c r="B18" s="714" t="s">
        <v>8264</v>
      </c>
      <c r="D18" s="714" t="s">
        <v>8341</v>
      </c>
      <c r="F18" s="711" t="s">
        <v>8026</v>
      </c>
    </row>
    <row r="19" spans="2:6" x14ac:dyDescent="0.2">
      <c r="B19" s="711"/>
      <c r="D19" s="711"/>
      <c r="F19" s="711"/>
    </row>
    <row r="20" spans="2:6" ht="66" customHeight="1" x14ac:dyDescent="0.2">
      <c r="B20" s="714" t="s">
        <v>8265</v>
      </c>
      <c r="D20" s="714" t="s">
        <v>8342</v>
      </c>
      <c r="F20" s="711" t="s">
        <v>8027</v>
      </c>
    </row>
    <row r="21" spans="2:6" x14ac:dyDescent="0.2">
      <c r="B21" s="711"/>
      <c r="D21" s="711"/>
      <c r="F21" s="711"/>
    </row>
    <row r="22" spans="2:6" ht="89.25" x14ac:dyDescent="0.2">
      <c r="B22" s="714" t="s">
        <v>8266</v>
      </c>
      <c r="D22" s="714" t="s">
        <v>8343</v>
      </c>
      <c r="F22" s="711" t="s">
        <v>8028</v>
      </c>
    </row>
    <row r="23" spans="2:6" x14ac:dyDescent="0.2">
      <c r="B23" s="711"/>
      <c r="D23" s="711"/>
      <c r="F23" s="711"/>
    </row>
    <row r="24" spans="2:6" ht="63.75" x14ac:dyDescent="0.2">
      <c r="B24" s="714" t="s">
        <v>8267</v>
      </c>
      <c r="D24" s="713" t="s">
        <v>8344</v>
      </c>
      <c r="F24" s="711" t="s">
        <v>8029</v>
      </c>
    </row>
    <row r="25" spans="2:6" x14ac:dyDescent="0.2">
      <c r="B25" s="711"/>
      <c r="D25" s="711"/>
      <c r="F25" s="711"/>
    </row>
    <row r="26" spans="2:6" ht="78.75" customHeight="1" x14ac:dyDescent="0.2">
      <c r="B26" s="714" t="s">
        <v>8268</v>
      </c>
      <c r="D26" s="714" t="s">
        <v>8345</v>
      </c>
      <c r="F26" s="711" t="s">
        <v>8030</v>
      </c>
    </row>
    <row r="27" spans="2:6" x14ac:dyDescent="0.2">
      <c r="B27" s="711"/>
      <c r="D27" s="711"/>
      <c r="F27" s="711"/>
    </row>
    <row r="28" spans="2:6" ht="91.5" customHeight="1" x14ac:dyDescent="0.2">
      <c r="B28" s="714" t="s">
        <v>8269</v>
      </c>
      <c r="D28" s="714" t="s">
        <v>8346</v>
      </c>
      <c r="F28" s="711" t="s">
        <v>8031</v>
      </c>
    </row>
    <row r="29" spans="2:6" ht="15" customHeight="1" x14ac:dyDescent="0.2">
      <c r="B29" s="711"/>
      <c r="D29" s="711"/>
      <c r="F29" s="711"/>
    </row>
    <row r="30" spans="2:6" ht="66" customHeight="1" x14ac:dyDescent="0.2">
      <c r="B30" s="714" t="s">
        <v>8270</v>
      </c>
      <c r="D30" s="714" t="s">
        <v>8347</v>
      </c>
      <c r="F30" s="711" t="s">
        <v>8032</v>
      </c>
    </row>
    <row r="31" spans="2:6" ht="15" customHeight="1" x14ac:dyDescent="0.2">
      <c r="B31" s="711"/>
      <c r="D31" s="711"/>
      <c r="F31" s="711"/>
    </row>
    <row r="32" spans="2:6" ht="53.25" customHeight="1" x14ac:dyDescent="0.2">
      <c r="B32" s="713" t="s">
        <v>8271</v>
      </c>
      <c r="D32" s="713" t="s">
        <v>8348</v>
      </c>
      <c r="F32" s="711" t="s">
        <v>8033</v>
      </c>
    </row>
    <row r="33" spans="2:6" ht="15" customHeight="1" x14ac:dyDescent="0.2">
      <c r="B33" s="711"/>
      <c r="D33" s="711"/>
      <c r="F33" s="711"/>
    </row>
    <row r="34" spans="2:6" ht="78.75" customHeight="1" x14ac:dyDescent="0.2">
      <c r="B34" s="714" t="s">
        <v>8272</v>
      </c>
      <c r="D34" s="714" t="s">
        <v>8349</v>
      </c>
      <c r="F34" s="711" t="s">
        <v>8034</v>
      </c>
    </row>
    <row r="35" spans="2:6" ht="15" customHeight="1" x14ac:dyDescent="0.2">
      <c r="B35" s="711"/>
      <c r="D35" s="711"/>
      <c r="F35" s="711"/>
    </row>
    <row r="36" spans="2:6" ht="105" customHeight="1" x14ac:dyDescent="0.2">
      <c r="B36" s="714" t="s">
        <v>8273</v>
      </c>
      <c r="D36" s="714" t="s">
        <v>8350</v>
      </c>
      <c r="F36" s="711" t="s">
        <v>8035</v>
      </c>
    </row>
    <row r="37" spans="2:6" ht="15" customHeight="1" x14ac:dyDescent="0.2">
      <c r="B37" s="711"/>
      <c r="D37" s="711"/>
      <c r="F37" s="711"/>
    </row>
    <row r="38" spans="2:6" ht="53.25" customHeight="1" x14ac:dyDescent="0.2">
      <c r="B38" s="714" t="s">
        <v>8274</v>
      </c>
      <c r="D38" s="714" t="s">
        <v>8351</v>
      </c>
      <c r="F38" s="711" t="s">
        <v>8036</v>
      </c>
    </row>
    <row r="39" spans="2:6" ht="15" customHeight="1" x14ac:dyDescent="0.2">
      <c r="B39" s="711"/>
      <c r="D39" s="711"/>
      <c r="F39" s="711"/>
    </row>
    <row r="40" spans="2:6" ht="66" customHeight="1" x14ac:dyDescent="0.2">
      <c r="B40" s="714" t="s">
        <v>8275</v>
      </c>
      <c r="D40" s="714" t="s">
        <v>8352</v>
      </c>
      <c r="F40" s="711" t="s">
        <v>8037</v>
      </c>
    </row>
    <row r="41" spans="2:6" ht="15" customHeight="1" x14ac:dyDescent="0.2">
      <c r="B41" s="711"/>
      <c r="D41" s="711"/>
      <c r="F41" s="711"/>
    </row>
    <row r="42" spans="2:6" ht="76.5" x14ac:dyDescent="0.2">
      <c r="B42" s="714" t="s">
        <v>8276</v>
      </c>
      <c r="D42" s="714" t="s">
        <v>8353</v>
      </c>
      <c r="F42" s="711" t="s">
        <v>8038</v>
      </c>
    </row>
    <row r="43" spans="2:6" ht="15" customHeight="1" x14ac:dyDescent="0.2">
      <c r="B43" s="711"/>
      <c r="D43" s="711"/>
      <c r="F43" s="711"/>
    </row>
    <row r="44" spans="2:6" ht="89.25" x14ac:dyDescent="0.2">
      <c r="B44" s="714" t="s">
        <v>8277</v>
      </c>
      <c r="D44" s="714" t="s">
        <v>8354</v>
      </c>
      <c r="F44" s="711" t="s">
        <v>8039</v>
      </c>
    </row>
    <row r="45" spans="2:6" ht="15" customHeight="1" x14ac:dyDescent="0.2">
      <c r="B45" s="711"/>
      <c r="D45" s="711"/>
      <c r="F45" s="711"/>
    </row>
    <row r="46" spans="2:6" ht="63.75" x14ac:dyDescent="0.2">
      <c r="B46" s="714" t="s">
        <v>8278</v>
      </c>
      <c r="D46" s="714" t="s">
        <v>8355</v>
      </c>
      <c r="F46" s="711" t="s">
        <v>8040</v>
      </c>
    </row>
    <row r="47" spans="2:6" ht="15" customHeight="1" x14ac:dyDescent="0.2">
      <c r="B47" s="711"/>
      <c r="D47" s="711"/>
      <c r="F47" s="711"/>
    </row>
    <row r="48" spans="2:6" ht="127.5" x14ac:dyDescent="0.2">
      <c r="B48" s="714" t="s">
        <v>8279</v>
      </c>
      <c r="D48" s="714" t="s">
        <v>8356</v>
      </c>
      <c r="F48" s="711" t="s">
        <v>8041</v>
      </c>
    </row>
    <row r="49" spans="2:6" ht="15" customHeight="1" x14ac:dyDescent="0.2">
      <c r="B49" s="711"/>
      <c r="D49" s="711"/>
      <c r="F49" s="711"/>
    </row>
    <row r="50" spans="2:6" ht="53.25" customHeight="1" x14ac:dyDescent="0.2">
      <c r="B50" s="714" t="s">
        <v>8280</v>
      </c>
      <c r="D50" s="714" t="s">
        <v>8357</v>
      </c>
      <c r="F50" s="711" t="s">
        <v>8042</v>
      </c>
    </row>
    <row r="51" spans="2:6" ht="15" customHeight="1" x14ac:dyDescent="0.2">
      <c r="B51" s="711"/>
      <c r="D51" s="711"/>
      <c r="F51" s="711"/>
    </row>
    <row r="52" spans="2:6" ht="53.25" customHeight="1" x14ac:dyDescent="0.2">
      <c r="B52" s="714" t="s">
        <v>8281</v>
      </c>
      <c r="D52" s="714" t="s">
        <v>8358</v>
      </c>
      <c r="F52" s="711" t="s">
        <v>8043</v>
      </c>
    </row>
    <row r="53" spans="2:6" ht="15" customHeight="1" x14ac:dyDescent="0.2">
      <c r="B53" s="711"/>
      <c r="D53" s="711"/>
      <c r="F53" s="711"/>
    </row>
    <row r="54" spans="2:6" ht="66" customHeight="1" x14ac:dyDescent="0.2">
      <c r="B54" s="714" t="s">
        <v>8282</v>
      </c>
      <c r="D54" s="714" t="s">
        <v>8359</v>
      </c>
      <c r="F54" s="711" t="s">
        <v>8044</v>
      </c>
    </row>
    <row r="55" spans="2:6" ht="15" customHeight="1" x14ac:dyDescent="0.2">
      <c r="B55" s="711"/>
      <c r="D55" s="711"/>
      <c r="F55" s="711"/>
    </row>
    <row r="56" spans="2:6" ht="40.5" customHeight="1" x14ac:dyDescent="0.2">
      <c r="B56" s="713" t="s">
        <v>8283</v>
      </c>
      <c r="D56" s="713" t="s">
        <v>8360</v>
      </c>
      <c r="F56" s="711" t="s">
        <v>8045</v>
      </c>
    </row>
    <row r="57" spans="2:6" ht="15" customHeight="1" x14ac:dyDescent="0.2">
      <c r="B57" s="711"/>
      <c r="D57" s="711"/>
      <c r="F57" s="711"/>
    </row>
    <row r="58" spans="2:6" ht="40.5" customHeight="1" x14ac:dyDescent="0.2">
      <c r="B58" s="713" t="s">
        <v>8284</v>
      </c>
      <c r="D58" s="713" t="s">
        <v>8361</v>
      </c>
      <c r="F58" s="711" t="s">
        <v>8046</v>
      </c>
    </row>
    <row r="59" spans="2:6" ht="15" customHeight="1" x14ac:dyDescent="0.2">
      <c r="B59" s="711"/>
      <c r="D59" s="711"/>
      <c r="F59" s="711"/>
    </row>
    <row r="60" spans="2:6" ht="63.75" x14ac:dyDescent="0.2">
      <c r="B60" s="714" t="s">
        <v>8285</v>
      </c>
      <c r="D60" s="714" t="s">
        <v>8362</v>
      </c>
      <c r="F60" s="711" t="s">
        <v>8047</v>
      </c>
    </row>
    <row r="61" spans="2:6" ht="15" customHeight="1" x14ac:dyDescent="0.2">
      <c r="B61" s="711"/>
      <c r="D61" s="711"/>
      <c r="F61" s="711"/>
    </row>
    <row r="62" spans="2:6" ht="40.5" customHeight="1" x14ac:dyDescent="0.2">
      <c r="B62" s="713" t="s">
        <v>8286</v>
      </c>
      <c r="D62" s="713" t="s">
        <v>8363</v>
      </c>
      <c r="F62" s="711" t="s">
        <v>8048</v>
      </c>
    </row>
    <row r="63" spans="2:6" ht="15" customHeight="1" x14ac:dyDescent="0.2">
      <c r="B63" s="711"/>
      <c r="D63" s="711"/>
      <c r="F63" s="711"/>
    </row>
    <row r="64" spans="2:6" ht="78.75" customHeight="1" x14ac:dyDescent="0.2">
      <c r="B64" s="714" t="s">
        <v>8287</v>
      </c>
      <c r="D64" s="714" t="s">
        <v>8364</v>
      </c>
      <c r="F64" s="711" t="s">
        <v>8049</v>
      </c>
    </row>
    <row r="65" spans="2:6" ht="15" customHeight="1" x14ac:dyDescent="0.2">
      <c r="B65" s="711"/>
      <c r="D65" s="711"/>
      <c r="F65" s="711"/>
    </row>
    <row r="66" spans="2:6" ht="30" customHeight="1" x14ac:dyDescent="0.2">
      <c r="B66" s="713" t="s">
        <v>8288</v>
      </c>
      <c r="D66" s="713" t="s">
        <v>8365</v>
      </c>
      <c r="F66" s="711" t="s">
        <v>8050</v>
      </c>
    </row>
    <row r="67" spans="2:6" ht="15" customHeight="1" x14ac:dyDescent="0.2">
      <c r="B67" s="711"/>
      <c r="D67" s="711"/>
      <c r="F67" s="711"/>
    </row>
    <row r="68" spans="2:6" ht="40.5" customHeight="1" x14ac:dyDescent="0.2">
      <c r="B68" s="713" t="s">
        <v>8289</v>
      </c>
      <c r="D68" s="713" t="s">
        <v>8366</v>
      </c>
      <c r="F68" s="711" t="s">
        <v>8051</v>
      </c>
    </row>
    <row r="69" spans="2:6" ht="15" customHeight="1" x14ac:dyDescent="0.2">
      <c r="B69" s="711"/>
      <c r="D69" s="711"/>
      <c r="F69" s="711"/>
    </row>
    <row r="70" spans="2:6" ht="66" customHeight="1" x14ac:dyDescent="0.2">
      <c r="B70" s="714" t="s">
        <v>8290</v>
      </c>
      <c r="D70" s="714" t="s">
        <v>8367</v>
      </c>
      <c r="F70" s="711" t="s">
        <v>8052</v>
      </c>
    </row>
    <row r="71" spans="2:6" ht="15" customHeight="1" x14ac:dyDescent="0.2">
      <c r="B71" s="711"/>
      <c r="D71" s="711"/>
      <c r="F71" s="711"/>
    </row>
    <row r="72" spans="2:6" ht="38.25" x14ac:dyDescent="0.2">
      <c r="B72" s="713" t="s">
        <v>8291</v>
      </c>
      <c r="D72" s="714" t="s">
        <v>8368</v>
      </c>
      <c r="F72" s="711" t="s">
        <v>8053</v>
      </c>
    </row>
    <row r="73" spans="2:6" ht="15" customHeight="1" x14ac:dyDescent="0.2">
      <c r="B73" s="711"/>
      <c r="D73" s="711"/>
      <c r="F73" s="711"/>
    </row>
    <row r="74" spans="2:6" ht="63.75" x14ac:dyDescent="0.2">
      <c r="B74" s="714" t="s">
        <v>8292</v>
      </c>
      <c r="D74" s="714" t="s">
        <v>8369</v>
      </c>
      <c r="F74" s="711" t="s">
        <v>8054</v>
      </c>
    </row>
    <row r="75" spans="2:6" ht="15" customHeight="1" x14ac:dyDescent="0.2">
      <c r="B75" s="711"/>
      <c r="D75" s="711"/>
      <c r="F75" s="711"/>
    </row>
    <row r="76" spans="2:6" ht="53.25" customHeight="1" x14ac:dyDescent="0.2">
      <c r="B76" s="714" t="s">
        <v>8293</v>
      </c>
      <c r="D76" s="714" t="s">
        <v>8370</v>
      </c>
      <c r="F76" s="711" t="s">
        <v>8055</v>
      </c>
    </row>
    <row r="77" spans="2:6" ht="15" customHeight="1" x14ac:dyDescent="0.2">
      <c r="B77" s="711"/>
      <c r="D77" s="711"/>
      <c r="F77" s="711"/>
    </row>
    <row r="78" spans="2:6" ht="66" customHeight="1" x14ac:dyDescent="0.2">
      <c r="B78" s="714" t="s">
        <v>8294</v>
      </c>
      <c r="D78" s="714" t="s">
        <v>8371</v>
      </c>
      <c r="F78" s="711" t="s">
        <v>8056</v>
      </c>
    </row>
    <row r="79" spans="2:6" ht="15" customHeight="1" x14ac:dyDescent="0.2">
      <c r="B79" s="711"/>
      <c r="D79" s="711"/>
      <c r="F79" s="711"/>
    </row>
    <row r="80" spans="2:6" ht="117" customHeight="1" x14ac:dyDescent="0.2">
      <c r="B80" s="714" t="s">
        <v>8295</v>
      </c>
      <c r="D80" s="714" t="s">
        <v>8372</v>
      </c>
      <c r="F80" s="711" t="s">
        <v>8057</v>
      </c>
    </row>
    <row r="81" spans="2:6" ht="15" customHeight="1" x14ac:dyDescent="0.2">
      <c r="B81" s="711"/>
      <c r="D81" s="711"/>
      <c r="F81" s="711"/>
    </row>
    <row r="82" spans="2:6" ht="40.5" customHeight="1" x14ac:dyDescent="0.2">
      <c r="B82" s="713" t="s">
        <v>8296</v>
      </c>
      <c r="D82" s="713" t="s">
        <v>8373</v>
      </c>
      <c r="F82" s="711" t="s">
        <v>8058</v>
      </c>
    </row>
    <row r="83" spans="2:6" ht="15" customHeight="1" x14ac:dyDescent="0.2">
      <c r="B83" s="711"/>
      <c r="D83" s="711"/>
      <c r="F83" s="711"/>
    </row>
    <row r="84" spans="2:6" ht="66" customHeight="1" x14ac:dyDescent="0.2">
      <c r="B84" s="714" t="s">
        <v>8297</v>
      </c>
      <c r="D84" s="714" t="s">
        <v>8374</v>
      </c>
      <c r="F84" s="711" t="s">
        <v>8059</v>
      </c>
    </row>
    <row r="85" spans="2:6" ht="15" customHeight="1" x14ac:dyDescent="0.2">
      <c r="B85" s="711"/>
      <c r="D85" s="711"/>
      <c r="F85" s="711"/>
    </row>
    <row r="86" spans="2:6" ht="78.75" customHeight="1" x14ac:dyDescent="0.2">
      <c r="B86" s="714" t="s">
        <v>8298</v>
      </c>
      <c r="D86" s="714" t="s">
        <v>8375</v>
      </c>
      <c r="F86" s="711" t="s">
        <v>8060</v>
      </c>
    </row>
    <row r="87" spans="2:6" ht="15" customHeight="1" x14ac:dyDescent="0.2">
      <c r="B87" s="711"/>
      <c r="D87" s="711"/>
      <c r="F87" s="711"/>
    </row>
    <row r="88" spans="2:6" ht="66" customHeight="1" x14ac:dyDescent="0.2">
      <c r="B88" s="714" t="s">
        <v>8299</v>
      </c>
      <c r="D88" s="714" t="s">
        <v>8376</v>
      </c>
      <c r="F88" s="711" t="s">
        <v>8061</v>
      </c>
    </row>
    <row r="89" spans="2:6" ht="15" customHeight="1" x14ac:dyDescent="0.2">
      <c r="B89" s="711"/>
      <c r="D89" s="711"/>
      <c r="F89" s="711"/>
    </row>
    <row r="90" spans="2:6" ht="78.75" customHeight="1" x14ac:dyDescent="0.2">
      <c r="B90" s="714" t="s">
        <v>8300</v>
      </c>
      <c r="D90" s="714" t="s">
        <v>8377</v>
      </c>
      <c r="F90" s="711" t="s">
        <v>8062</v>
      </c>
    </row>
    <row r="91" spans="2:6" ht="15" customHeight="1" x14ac:dyDescent="0.2">
      <c r="B91" s="711"/>
      <c r="D91" s="711"/>
      <c r="F91" s="711"/>
    </row>
    <row r="92" spans="2:6" ht="66" customHeight="1" x14ac:dyDescent="0.2">
      <c r="B92" s="714" t="s">
        <v>8301</v>
      </c>
      <c r="D92" s="714" t="s">
        <v>8378</v>
      </c>
      <c r="F92" s="711" t="s">
        <v>8063</v>
      </c>
    </row>
    <row r="93" spans="2:6" ht="15" customHeight="1" x14ac:dyDescent="0.2">
      <c r="B93" s="711"/>
      <c r="D93" s="711"/>
      <c r="F93" s="711"/>
    </row>
    <row r="94" spans="2:6" ht="66" customHeight="1" x14ac:dyDescent="0.2">
      <c r="B94" s="714" t="s">
        <v>8302</v>
      </c>
      <c r="D94" s="714" t="s">
        <v>8379</v>
      </c>
      <c r="F94" s="711" t="s">
        <v>8064</v>
      </c>
    </row>
    <row r="95" spans="2:6" ht="15" customHeight="1" x14ac:dyDescent="0.2">
      <c r="B95" s="711"/>
      <c r="D95" s="711"/>
      <c r="F95" s="711"/>
    </row>
    <row r="96" spans="2:6" ht="40.5" customHeight="1" x14ac:dyDescent="0.2">
      <c r="B96" s="713" t="s">
        <v>8303</v>
      </c>
      <c r="D96" s="713" t="s">
        <v>8380</v>
      </c>
      <c r="F96" s="711" t="s">
        <v>8065</v>
      </c>
    </row>
    <row r="97" spans="2:6" ht="15" customHeight="1" x14ac:dyDescent="0.2">
      <c r="B97" s="711"/>
      <c r="D97" s="711"/>
      <c r="F97" s="711"/>
    </row>
    <row r="98" spans="2:6" ht="63.75" x14ac:dyDescent="0.2">
      <c r="B98" s="714" t="s">
        <v>8304</v>
      </c>
      <c r="D98" s="714" t="s">
        <v>8381</v>
      </c>
      <c r="F98" s="711" t="s">
        <v>8066</v>
      </c>
    </row>
    <row r="99" spans="2:6" ht="15" customHeight="1" x14ac:dyDescent="0.2">
      <c r="B99" s="711"/>
      <c r="D99" s="711"/>
      <c r="F99" s="711"/>
    </row>
    <row r="100" spans="2:6" ht="38.25" x14ac:dyDescent="0.2">
      <c r="B100" s="713" t="s">
        <v>8305</v>
      </c>
      <c r="D100" s="713" t="s">
        <v>8382</v>
      </c>
      <c r="F100" s="711" t="s">
        <v>8067</v>
      </c>
    </row>
    <row r="101" spans="2:6" ht="15" customHeight="1" x14ac:dyDescent="0.2">
      <c r="B101" s="711"/>
      <c r="D101" s="711"/>
      <c r="F101" s="711"/>
    </row>
    <row r="102" spans="2:6" ht="40.5" customHeight="1" x14ac:dyDescent="0.2">
      <c r="B102" s="713" t="s">
        <v>8306</v>
      </c>
      <c r="D102" s="713" t="s">
        <v>8383</v>
      </c>
      <c r="F102" s="711" t="s">
        <v>8068</v>
      </c>
    </row>
    <row r="103" spans="2:6" ht="15" customHeight="1" x14ac:dyDescent="0.2">
      <c r="B103" s="711"/>
      <c r="D103" s="711"/>
      <c r="F103" s="711"/>
    </row>
    <row r="104" spans="2:6" ht="40.5" customHeight="1" x14ac:dyDescent="0.2">
      <c r="B104" s="713" t="s">
        <v>8307</v>
      </c>
      <c r="D104" s="713" t="s">
        <v>8384</v>
      </c>
      <c r="F104" s="711" t="s">
        <v>8069</v>
      </c>
    </row>
    <row r="105" spans="2:6" ht="15" customHeight="1" x14ac:dyDescent="0.2">
      <c r="B105" s="711"/>
      <c r="D105" s="711"/>
      <c r="F105" s="711"/>
    </row>
    <row r="106" spans="2:6" ht="117" customHeight="1" x14ac:dyDescent="0.2">
      <c r="B106" s="714" t="s">
        <v>8308</v>
      </c>
      <c r="D106" s="714" t="s">
        <v>8385</v>
      </c>
      <c r="F106" s="711" t="s">
        <v>8070</v>
      </c>
    </row>
    <row r="107" spans="2:6" ht="15" customHeight="1" x14ac:dyDescent="0.2">
      <c r="B107" s="711"/>
      <c r="D107" s="711"/>
      <c r="F107" s="711"/>
    </row>
    <row r="108" spans="2:6" ht="91.5" customHeight="1" x14ac:dyDescent="0.2">
      <c r="B108" s="714" t="s">
        <v>8309</v>
      </c>
      <c r="D108" s="714" t="s">
        <v>8386</v>
      </c>
      <c r="F108" s="711" t="s">
        <v>8071</v>
      </c>
    </row>
    <row r="109" spans="2:6" ht="15" customHeight="1" x14ac:dyDescent="0.2">
      <c r="B109" s="711"/>
      <c r="D109" s="711"/>
      <c r="F109" s="711"/>
    </row>
    <row r="110" spans="2:6" ht="117" customHeight="1" x14ac:dyDescent="0.2">
      <c r="B110" s="714" t="s">
        <v>8310</v>
      </c>
      <c r="D110" s="714" t="s">
        <v>8387</v>
      </c>
      <c r="F110" s="711" t="s">
        <v>8072</v>
      </c>
    </row>
    <row r="111" spans="2:6" ht="15" customHeight="1" x14ac:dyDescent="0.2">
      <c r="B111" s="711"/>
      <c r="D111" s="711"/>
      <c r="F111" s="711"/>
    </row>
    <row r="112" spans="2:6" ht="53.25" customHeight="1" x14ac:dyDescent="0.2">
      <c r="B112" s="714" t="s">
        <v>8311</v>
      </c>
      <c r="D112" s="714" t="s">
        <v>8388</v>
      </c>
      <c r="F112" s="711" t="s">
        <v>8073</v>
      </c>
    </row>
    <row r="113" spans="2:6" ht="15" customHeight="1" x14ac:dyDescent="0.2">
      <c r="B113" s="711"/>
      <c r="D113" s="711"/>
      <c r="F113" s="711"/>
    </row>
    <row r="114" spans="2:6" ht="66" customHeight="1" x14ac:dyDescent="0.2">
      <c r="B114" s="714" t="s">
        <v>8312</v>
      </c>
      <c r="D114" s="714" t="s">
        <v>8389</v>
      </c>
      <c r="F114" s="711" t="s">
        <v>8074</v>
      </c>
    </row>
    <row r="115" spans="2:6" ht="15" customHeight="1" x14ac:dyDescent="0.2">
      <c r="B115" s="711"/>
      <c r="D115" s="711"/>
      <c r="F115" s="711"/>
    </row>
    <row r="116" spans="2:6" ht="129" customHeight="1" x14ac:dyDescent="0.2">
      <c r="B116" s="714" t="s">
        <v>8313</v>
      </c>
      <c r="D116" s="714" t="s">
        <v>8390</v>
      </c>
      <c r="F116" s="711" t="s">
        <v>8075</v>
      </c>
    </row>
    <row r="117" spans="2:6" ht="15" customHeight="1" x14ac:dyDescent="0.2">
      <c r="B117" s="711"/>
      <c r="D117" s="711"/>
      <c r="F117" s="711"/>
    </row>
    <row r="118" spans="2:6" ht="40.5" customHeight="1" x14ac:dyDescent="0.2">
      <c r="B118" s="713" t="s">
        <v>8314</v>
      </c>
      <c r="D118" s="713" t="s">
        <v>8391</v>
      </c>
      <c r="F118" s="711" t="s">
        <v>8076</v>
      </c>
    </row>
    <row r="119" spans="2:6" ht="15" customHeight="1" x14ac:dyDescent="0.2">
      <c r="B119" s="711"/>
      <c r="D119" s="711"/>
      <c r="F119" s="711"/>
    </row>
    <row r="120" spans="2:6" ht="112.5" customHeight="1" x14ac:dyDescent="0.2">
      <c r="B120" s="714" t="s">
        <v>8315</v>
      </c>
      <c r="D120" s="714" t="s">
        <v>8392</v>
      </c>
      <c r="F120" s="711" t="s">
        <v>8077</v>
      </c>
    </row>
    <row r="121" spans="2:6" ht="15" customHeight="1" x14ac:dyDescent="0.2">
      <c r="B121" s="711"/>
      <c r="D121" s="711"/>
      <c r="F121" s="711"/>
    </row>
    <row r="122" spans="2:6" ht="117" customHeight="1" x14ac:dyDescent="0.2">
      <c r="B122" s="714" t="s">
        <v>8316</v>
      </c>
      <c r="D122" s="714" t="s">
        <v>8393</v>
      </c>
      <c r="F122" s="711" t="s">
        <v>8078</v>
      </c>
    </row>
    <row r="123" spans="2:6" ht="15" customHeight="1" x14ac:dyDescent="0.2">
      <c r="B123" s="711"/>
      <c r="D123" s="711"/>
      <c r="F123" s="711"/>
    </row>
    <row r="124" spans="2:6" ht="66" customHeight="1" x14ac:dyDescent="0.2">
      <c r="B124" s="714" t="s">
        <v>8317</v>
      </c>
      <c r="D124" s="714" t="s">
        <v>8394</v>
      </c>
      <c r="F124" s="711" t="s">
        <v>8079</v>
      </c>
    </row>
    <row r="125" spans="2:6" ht="15" customHeight="1" x14ac:dyDescent="0.2">
      <c r="B125" s="711"/>
      <c r="D125" s="711"/>
      <c r="F125" s="711"/>
    </row>
    <row r="126" spans="2:6" ht="78.75" customHeight="1" x14ac:dyDescent="0.2">
      <c r="B126" s="714" t="s">
        <v>8318</v>
      </c>
      <c r="D126" s="714" t="s">
        <v>8395</v>
      </c>
      <c r="F126" s="711" t="s">
        <v>8080</v>
      </c>
    </row>
    <row r="127" spans="2:6" ht="15" customHeight="1" x14ac:dyDescent="0.2">
      <c r="B127" s="711"/>
      <c r="D127" s="711"/>
      <c r="F127" s="711"/>
    </row>
    <row r="128" spans="2:6" ht="66" customHeight="1" x14ac:dyDescent="0.2">
      <c r="B128" s="714" t="s">
        <v>8319</v>
      </c>
      <c r="D128" s="714" t="s">
        <v>8396</v>
      </c>
      <c r="F128" s="711" t="s">
        <v>8081</v>
      </c>
    </row>
    <row r="129" spans="2:6" ht="15" customHeight="1" x14ac:dyDescent="0.2">
      <c r="B129" s="711"/>
      <c r="D129" s="711"/>
      <c r="F129" s="711"/>
    </row>
    <row r="130" spans="2:6" ht="91.5" customHeight="1" x14ac:dyDescent="0.2">
      <c r="B130" s="714" t="s">
        <v>8320</v>
      </c>
      <c r="D130" s="714" t="s">
        <v>8397</v>
      </c>
      <c r="F130" s="711" t="s">
        <v>8082</v>
      </c>
    </row>
    <row r="131" spans="2:6" ht="15" customHeight="1" x14ac:dyDescent="0.2">
      <c r="B131" s="711"/>
      <c r="D131" s="711"/>
      <c r="F131" s="711"/>
    </row>
    <row r="132" spans="2:6" ht="53.25" customHeight="1" x14ac:dyDescent="0.2">
      <c r="B132" s="714" t="s">
        <v>8321</v>
      </c>
      <c r="D132" s="714" t="s">
        <v>8398</v>
      </c>
      <c r="F132" s="711" t="s">
        <v>8083</v>
      </c>
    </row>
    <row r="133" spans="2:6" ht="15" customHeight="1" x14ac:dyDescent="0.2">
      <c r="B133" s="711"/>
      <c r="D133" s="711"/>
      <c r="F133" s="711"/>
    </row>
    <row r="134" spans="2:6" ht="91.5" customHeight="1" x14ac:dyDescent="0.2">
      <c r="B134" s="714" t="s">
        <v>8322</v>
      </c>
      <c r="D134" s="714" t="s">
        <v>8399</v>
      </c>
      <c r="F134" s="711" t="s">
        <v>8084</v>
      </c>
    </row>
    <row r="135" spans="2:6" ht="15" customHeight="1" x14ac:dyDescent="0.2">
      <c r="B135" s="711"/>
      <c r="D135" s="711"/>
      <c r="F135" s="711"/>
    </row>
    <row r="136" spans="2:6" ht="91.5" customHeight="1" x14ac:dyDescent="0.2">
      <c r="B136" s="714" t="s">
        <v>8323</v>
      </c>
      <c r="D136" s="714" t="s">
        <v>8400</v>
      </c>
      <c r="F136" s="711" t="s">
        <v>8085</v>
      </c>
    </row>
    <row r="137" spans="2:6" ht="15" customHeight="1" x14ac:dyDescent="0.2">
      <c r="B137" s="711"/>
      <c r="D137" s="711"/>
      <c r="F137" s="711"/>
    </row>
    <row r="138" spans="2:6" ht="53.25" customHeight="1" x14ac:dyDescent="0.2">
      <c r="B138" s="714" t="s">
        <v>8324</v>
      </c>
      <c r="D138" s="714" t="s">
        <v>8401</v>
      </c>
      <c r="F138" s="711" t="s">
        <v>8086</v>
      </c>
    </row>
    <row r="139" spans="2:6" ht="15" customHeight="1" x14ac:dyDescent="0.2">
      <c r="B139" s="711"/>
      <c r="D139" s="711"/>
      <c r="F139" s="711"/>
    </row>
    <row r="140" spans="2:6" ht="66" customHeight="1" x14ac:dyDescent="0.2">
      <c r="B140" s="714" t="s">
        <v>8325</v>
      </c>
      <c r="D140" s="714" t="s">
        <v>8402</v>
      </c>
      <c r="F140" s="711" t="s">
        <v>8087</v>
      </c>
    </row>
    <row r="141" spans="2:6" ht="15" customHeight="1" x14ac:dyDescent="0.2">
      <c r="B141" s="711"/>
      <c r="D141" s="711"/>
      <c r="F141" s="711"/>
    </row>
    <row r="142" spans="2:6" ht="66" customHeight="1" x14ac:dyDescent="0.2">
      <c r="B142" s="714" t="s">
        <v>8326</v>
      </c>
      <c r="D142" s="714" t="s">
        <v>8403</v>
      </c>
      <c r="F142" s="711" t="s">
        <v>8088</v>
      </c>
    </row>
    <row r="143" spans="2:6" ht="15" customHeight="1" x14ac:dyDescent="0.2">
      <c r="B143" s="711"/>
      <c r="D143" s="711"/>
      <c r="F143" s="711"/>
    </row>
    <row r="144" spans="2:6" ht="78.75" customHeight="1" x14ac:dyDescent="0.2">
      <c r="B144" s="714" t="s">
        <v>8327</v>
      </c>
      <c r="D144" s="714" t="s">
        <v>8404</v>
      </c>
      <c r="F144" s="711" t="s">
        <v>8089</v>
      </c>
    </row>
    <row r="145" spans="2:6" ht="15" customHeight="1" x14ac:dyDescent="0.2">
      <c r="B145" s="711"/>
      <c r="D145" s="711"/>
      <c r="F145" s="711"/>
    </row>
    <row r="146" spans="2:6" ht="66" customHeight="1" x14ac:dyDescent="0.2">
      <c r="B146" s="714" t="s">
        <v>8328</v>
      </c>
      <c r="D146" s="714" t="s">
        <v>8405</v>
      </c>
      <c r="F146" s="711" t="s">
        <v>8090</v>
      </c>
    </row>
    <row r="147" spans="2:6" ht="15" customHeight="1" x14ac:dyDescent="0.2">
      <c r="B147" s="711"/>
      <c r="D147" s="711"/>
      <c r="F147" s="711"/>
    </row>
    <row r="148" spans="2:6" ht="53.25" customHeight="1" x14ac:dyDescent="0.2">
      <c r="B148" s="714" t="s">
        <v>8329</v>
      </c>
      <c r="D148" s="714" t="s">
        <v>8406</v>
      </c>
      <c r="F148" s="711" t="s">
        <v>8091</v>
      </c>
    </row>
    <row r="149" spans="2:6" ht="15" customHeight="1" x14ac:dyDescent="0.2">
      <c r="B149" s="711"/>
      <c r="D149" s="711"/>
      <c r="F149" s="711"/>
    </row>
    <row r="150" spans="2:6" ht="66" customHeight="1" x14ac:dyDescent="0.2">
      <c r="B150" s="714" t="s">
        <v>8330</v>
      </c>
      <c r="D150" s="714" t="s">
        <v>8407</v>
      </c>
      <c r="F150" s="711" t="s">
        <v>8092</v>
      </c>
    </row>
    <row r="151" spans="2:6" ht="15" customHeight="1" x14ac:dyDescent="0.2">
      <c r="B151" s="711"/>
      <c r="D151" s="711"/>
      <c r="F151" s="711"/>
    </row>
    <row r="152" spans="2:6" ht="78.75" customHeight="1" x14ac:dyDescent="0.2">
      <c r="B152" s="714" t="s">
        <v>8331</v>
      </c>
      <c r="D152" s="714" t="s">
        <v>8408</v>
      </c>
      <c r="F152" s="711" t="s">
        <v>8093</v>
      </c>
    </row>
    <row r="153" spans="2:6" ht="15" customHeight="1" x14ac:dyDescent="0.2">
      <c r="B153" s="711"/>
      <c r="D153" s="711"/>
      <c r="F153" s="711"/>
    </row>
    <row r="154" spans="2:6" ht="53.25" customHeight="1" x14ac:dyDescent="0.2">
      <c r="B154" s="713" t="s">
        <v>8332</v>
      </c>
      <c r="D154" s="713" t="s">
        <v>8409</v>
      </c>
      <c r="F154" s="711" t="s">
        <v>8094</v>
      </c>
    </row>
    <row r="155" spans="2:6" ht="15" customHeight="1" x14ac:dyDescent="0.2">
      <c r="B155" s="711"/>
      <c r="D155" s="711"/>
      <c r="F155" s="711"/>
    </row>
    <row r="156" spans="2:6" ht="78.75" customHeight="1" x14ac:dyDescent="0.2">
      <c r="B156" s="714" t="s">
        <v>8333</v>
      </c>
      <c r="D156" s="714" t="s">
        <v>8410</v>
      </c>
      <c r="F156" s="711" t="s">
        <v>8095</v>
      </c>
    </row>
    <row r="157" spans="2:6" ht="15" customHeight="1" x14ac:dyDescent="0.2">
      <c r="B157" s="711"/>
      <c r="D157" s="711"/>
      <c r="F157" s="711"/>
    </row>
    <row r="158" spans="2:6" ht="78.75" customHeight="1" x14ac:dyDescent="0.2">
      <c r="B158" s="714" t="s">
        <v>8334</v>
      </c>
      <c r="D158" s="714" t="s">
        <v>8411</v>
      </c>
      <c r="F158" s="711" t="s">
        <v>8096</v>
      </c>
    </row>
    <row r="159" spans="2:6" ht="15" customHeight="1" x14ac:dyDescent="0.2">
      <c r="B159" s="711"/>
      <c r="D159" s="711"/>
      <c r="F159" s="711"/>
    </row>
    <row r="160" spans="2:6" ht="66" customHeight="1" x14ac:dyDescent="0.2">
      <c r="B160" s="714" t="s">
        <v>8335</v>
      </c>
      <c r="D160" s="714" t="s">
        <v>8412</v>
      </c>
      <c r="F160" s="711" t="s">
        <v>8097</v>
      </c>
    </row>
    <row r="161" spans="2:6" ht="15" customHeight="1" x14ac:dyDescent="0.2">
      <c r="B161" s="711"/>
      <c r="D161" s="711"/>
      <c r="F161" s="711"/>
    </row>
    <row r="162" spans="2:6" ht="78.75" customHeight="1" x14ac:dyDescent="0.2">
      <c r="B162" s="714" t="s">
        <v>8336</v>
      </c>
      <c r="D162" s="714" t="s">
        <v>8413</v>
      </c>
      <c r="F162" s="711" t="s">
        <v>8098</v>
      </c>
    </row>
    <row r="163" spans="2:6" ht="15" customHeight="1" x14ac:dyDescent="0.2">
      <c r="B163" s="711"/>
      <c r="D163" s="711"/>
      <c r="F163" s="711"/>
    </row>
    <row r="164" spans="2:6" ht="15" customHeight="1" x14ac:dyDescent="0.2">
      <c r="B164" s="72"/>
      <c r="D164" s="72" t="s">
        <v>8024</v>
      </c>
      <c r="F164" s="72" t="s">
        <v>8024</v>
      </c>
    </row>
  </sheetData>
  <printOptions horizontalCentered="1"/>
  <pageMargins left="0.78740157480314965" right="0.78740157480314965" top="0.39370078740157483" bottom="0.39370078740157483" header="0.11811023622047245" footer="0.31496062992125984"/>
  <pageSetup paperSize="9" scale="79" fitToHeight="0" orientation="portrait" r:id="rId1"/>
  <headerFooter alignWithMargins="0"/>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wksEvents">
    <pageSetUpPr fitToPage="1"/>
  </sheetPr>
  <dimension ref="A1:F174"/>
  <sheetViews>
    <sheetView showGridLines="0" workbookViewId="0"/>
  </sheetViews>
  <sheetFormatPr defaultColWidth="9.140625" defaultRowHeight="15" customHeight="1" x14ac:dyDescent="0.2"/>
  <cols>
    <col min="1" max="1" width="1.42578125" style="666" customWidth="1"/>
    <col min="2" max="2" width="108.5703125" style="651" customWidth="1"/>
    <col min="3" max="3" width="1.42578125" style="651" customWidth="1"/>
    <col min="4" max="4" width="108.5703125" style="651" customWidth="1"/>
    <col min="5" max="5" width="1.42578125" style="651" customWidth="1"/>
    <col min="6" max="6" width="108.5703125" style="651" customWidth="1"/>
    <col min="7" max="16384" width="9.140625" style="651"/>
  </cols>
  <sheetData>
    <row r="1" spans="2:6" ht="20.25" x14ac:dyDescent="0.2">
      <c r="B1" s="699" t="s">
        <v>8238</v>
      </c>
      <c r="D1" s="699" t="s">
        <v>8251</v>
      </c>
      <c r="F1" s="699" t="s">
        <v>8101</v>
      </c>
    </row>
    <row r="2" spans="2:6" x14ac:dyDescent="0.2">
      <c r="B2" s="659"/>
      <c r="D2" s="659"/>
      <c r="F2" s="659"/>
    </row>
    <row r="3" spans="2:6" x14ac:dyDescent="0.2">
      <c r="B3" s="698" t="s">
        <v>8239</v>
      </c>
      <c r="D3" s="698" t="s">
        <v>8252</v>
      </c>
      <c r="F3" s="698" t="s">
        <v>8103</v>
      </c>
    </row>
    <row r="4" spans="2:6" x14ac:dyDescent="0.2">
      <c r="B4" s="698" t="s">
        <v>8102</v>
      </c>
      <c r="D4" s="698" t="s">
        <v>8102</v>
      </c>
      <c r="F4" s="698" t="s">
        <v>8102</v>
      </c>
    </row>
    <row r="6" spans="2:6" ht="33" customHeight="1" x14ac:dyDescent="0.2">
      <c r="B6" s="711"/>
      <c r="D6" s="711" t="s">
        <v>8253</v>
      </c>
      <c r="F6" s="711" t="s">
        <v>8104</v>
      </c>
    </row>
    <row r="7" spans="2:6" ht="15" customHeight="1" x14ac:dyDescent="0.2">
      <c r="B7" s="697"/>
      <c r="D7" s="697"/>
      <c r="F7" s="697"/>
    </row>
    <row r="8" spans="2:6" ht="66" customHeight="1" x14ac:dyDescent="0.2">
      <c r="B8" s="711" t="s">
        <v>8240</v>
      </c>
      <c r="D8" s="712" t="s">
        <v>8254</v>
      </c>
      <c r="F8" s="711" t="s">
        <v>8105</v>
      </c>
    </row>
    <row r="9" spans="2:6" ht="15" customHeight="1" x14ac:dyDescent="0.2">
      <c r="B9" s="697"/>
      <c r="D9" s="697"/>
      <c r="F9" s="697"/>
    </row>
    <row r="10" spans="2:6" ht="40.5" customHeight="1" x14ac:dyDescent="0.2">
      <c r="B10" s="713" t="s">
        <v>8414</v>
      </c>
      <c r="D10" s="713" t="s">
        <v>8464</v>
      </c>
      <c r="F10" s="711" t="s">
        <v>8107</v>
      </c>
    </row>
    <row r="11" spans="2:6" x14ac:dyDescent="0.2">
      <c r="B11" s="711"/>
      <c r="D11" s="711"/>
      <c r="F11" s="711"/>
    </row>
    <row r="12" spans="2:6" ht="30" customHeight="1" x14ac:dyDescent="0.2">
      <c r="B12" s="713" t="s">
        <v>8415</v>
      </c>
      <c r="D12" s="713" t="s">
        <v>8465</v>
      </c>
      <c r="F12" s="711" t="s">
        <v>8108</v>
      </c>
    </row>
    <row r="13" spans="2:6" x14ac:dyDescent="0.2">
      <c r="B13" s="711"/>
      <c r="D13" s="711"/>
      <c r="F13" s="711"/>
    </row>
    <row r="14" spans="2:6" ht="40.5" customHeight="1" x14ac:dyDescent="0.2">
      <c r="B14" s="713" t="s">
        <v>8416</v>
      </c>
      <c r="D14" s="713" t="s">
        <v>8466</v>
      </c>
      <c r="F14" s="711" t="s">
        <v>8109</v>
      </c>
    </row>
    <row r="15" spans="2:6" x14ac:dyDescent="0.2">
      <c r="B15" s="711"/>
      <c r="D15" s="711"/>
      <c r="F15" s="711"/>
    </row>
    <row r="16" spans="2:6" ht="30" customHeight="1" x14ac:dyDescent="0.2">
      <c r="B16" s="713" t="s">
        <v>8417</v>
      </c>
      <c r="D16" s="713" t="s">
        <v>8467</v>
      </c>
      <c r="F16" s="711" t="s">
        <v>8110</v>
      </c>
    </row>
    <row r="17" spans="2:6" x14ac:dyDescent="0.2">
      <c r="B17" s="711"/>
      <c r="D17" s="711"/>
      <c r="F17" s="711"/>
    </row>
    <row r="18" spans="2:6" ht="117" customHeight="1" x14ac:dyDescent="0.2">
      <c r="B18" s="711"/>
      <c r="D18" s="714" t="s">
        <v>8468</v>
      </c>
      <c r="F18" s="711" t="s">
        <v>8244</v>
      </c>
    </row>
    <row r="19" spans="2:6" x14ac:dyDescent="0.2">
      <c r="B19" s="711"/>
      <c r="D19" s="711"/>
      <c r="F19" s="711"/>
    </row>
    <row r="20" spans="2:6" ht="53.25" customHeight="1" x14ac:dyDescent="0.2">
      <c r="B20" s="713" t="s">
        <v>8418</v>
      </c>
      <c r="D20" s="713" t="s">
        <v>8469</v>
      </c>
      <c r="F20" s="711" t="s">
        <v>8111</v>
      </c>
    </row>
    <row r="21" spans="2:6" x14ac:dyDescent="0.2">
      <c r="B21" s="711"/>
      <c r="D21" s="711"/>
      <c r="F21" s="711"/>
    </row>
    <row r="22" spans="2:6" ht="76.5" x14ac:dyDescent="0.2">
      <c r="B22" s="711"/>
      <c r="D22" s="714" t="s">
        <v>8470</v>
      </c>
      <c r="F22" s="711" t="s">
        <v>8112</v>
      </c>
    </row>
    <row r="23" spans="2:6" x14ac:dyDescent="0.2">
      <c r="B23" s="711"/>
      <c r="D23" s="711"/>
      <c r="F23" s="711"/>
    </row>
    <row r="24" spans="2:6" ht="53.25" customHeight="1" x14ac:dyDescent="0.2">
      <c r="B24" s="713" t="s">
        <v>8419</v>
      </c>
      <c r="D24" s="713" t="s">
        <v>8471</v>
      </c>
      <c r="F24" s="711" t="s">
        <v>8113</v>
      </c>
    </row>
    <row r="25" spans="2:6" x14ac:dyDescent="0.2">
      <c r="B25" s="711"/>
      <c r="D25" s="711"/>
      <c r="F25" s="711"/>
    </row>
    <row r="26" spans="2:6" ht="53.25" customHeight="1" x14ac:dyDescent="0.2">
      <c r="B26" s="713" t="s">
        <v>8420</v>
      </c>
      <c r="D26" s="713" t="s">
        <v>8472</v>
      </c>
      <c r="F26" s="711" t="s">
        <v>8114</v>
      </c>
    </row>
    <row r="27" spans="2:6" x14ac:dyDescent="0.2">
      <c r="B27" s="711"/>
      <c r="D27" s="711"/>
      <c r="F27" s="711"/>
    </row>
    <row r="28" spans="2:6" ht="53.25" customHeight="1" x14ac:dyDescent="0.2">
      <c r="B28" s="711"/>
      <c r="D28" s="714" t="s">
        <v>8473</v>
      </c>
      <c r="F28" s="711" t="s">
        <v>8115</v>
      </c>
    </row>
    <row r="29" spans="2:6" ht="15" customHeight="1" x14ac:dyDescent="0.2">
      <c r="B29" s="711"/>
      <c r="D29" s="711"/>
      <c r="F29" s="711"/>
    </row>
    <row r="30" spans="2:6" x14ac:dyDescent="0.2">
      <c r="B30" s="714" t="s">
        <v>8421</v>
      </c>
      <c r="D30" s="714" t="s">
        <v>8474</v>
      </c>
      <c r="F30" s="711" t="s">
        <v>8116</v>
      </c>
    </row>
    <row r="31" spans="2:6" ht="15" customHeight="1" x14ac:dyDescent="0.2">
      <c r="B31" s="711"/>
      <c r="D31" s="711"/>
      <c r="F31" s="711"/>
    </row>
    <row r="32" spans="2:6" ht="66" customHeight="1" x14ac:dyDescent="0.2">
      <c r="B32" s="714" t="s">
        <v>8422</v>
      </c>
      <c r="D32" s="714" t="s">
        <v>8475</v>
      </c>
      <c r="F32" s="711" t="s">
        <v>8117</v>
      </c>
    </row>
    <row r="33" spans="2:6" ht="15" customHeight="1" x14ac:dyDescent="0.2">
      <c r="B33" s="711"/>
      <c r="D33" s="711"/>
      <c r="F33" s="711"/>
    </row>
    <row r="34" spans="2:6" ht="78.75" customHeight="1" x14ac:dyDescent="0.2">
      <c r="B34" s="714" t="s">
        <v>8423</v>
      </c>
      <c r="D34" s="714" t="s">
        <v>8476</v>
      </c>
      <c r="F34" s="711" t="s">
        <v>8118</v>
      </c>
    </row>
    <row r="35" spans="2:6" ht="15" customHeight="1" x14ac:dyDescent="0.2">
      <c r="B35" s="711"/>
      <c r="D35" s="711"/>
      <c r="F35" s="711"/>
    </row>
    <row r="36" spans="2:6" ht="51" x14ac:dyDescent="0.2">
      <c r="B36" s="714" t="s">
        <v>8424</v>
      </c>
      <c r="D36" s="714" t="s">
        <v>8477</v>
      </c>
      <c r="F36" s="711" t="s">
        <v>8119</v>
      </c>
    </row>
    <row r="37" spans="2:6" ht="15" customHeight="1" x14ac:dyDescent="0.2">
      <c r="B37" s="711"/>
      <c r="D37" s="711"/>
      <c r="F37" s="711"/>
    </row>
    <row r="38" spans="2:6" ht="40.5" customHeight="1" x14ac:dyDescent="0.2">
      <c r="B38" s="713" t="s">
        <v>8425</v>
      </c>
      <c r="D38" s="713" t="s">
        <v>8478</v>
      </c>
      <c r="F38" s="711" t="s">
        <v>8120</v>
      </c>
    </row>
    <row r="39" spans="2:6" ht="15" customHeight="1" x14ac:dyDescent="0.2">
      <c r="B39" s="711"/>
      <c r="D39" s="711"/>
      <c r="F39" s="711"/>
    </row>
    <row r="40" spans="2:6" ht="40.5" customHeight="1" x14ac:dyDescent="0.2">
      <c r="B40" s="713" t="s">
        <v>8426</v>
      </c>
      <c r="D40" s="713" t="s">
        <v>8479</v>
      </c>
      <c r="F40" s="711" t="s">
        <v>8121</v>
      </c>
    </row>
    <row r="41" spans="2:6" ht="15" customHeight="1" x14ac:dyDescent="0.2">
      <c r="B41" s="711"/>
      <c r="D41" s="711"/>
      <c r="F41" s="711"/>
    </row>
    <row r="42" spans="2:6" x14ac:dyDescent="0.2">
      <c r="B42" s="713" t="s">
        <v>8427</v>
      </c>
      <c r="D42" s="713" t="s">
        <v>8480</v>
      </c>
      <c r="F42" s="711" t="s">
        <v>8122</v>
      </c>
    </row>
    <row r="43" spans="2:6" ht="15" customHeight="1" x14ac:dyDescent="0.2">
      <c r="B43" s="711"/>
      <c r="D43" s="711"/>
      <c r="F43" s="711"/>
    </row>
    <row r="44" spans="2:6" ht="25.5" x14ac:dyDescent="0.2">
      <c r="B44" s="713" t="s">
        <v>8428</v>
      </c>
      <c r="D44" s="713" t="s">
        <v>8481</v>
      </c>
      <c r="F44" s="711" t="s">
        <v>8123</v>
      </c>
    </row>
    <row r="45" spans="2:6" ht="15" customHeight="1" x14ac:dyDescent="0.2">
      <c r="B45" s="711"/>
      <c r="D45" s="711"/>
      <c r="F45" s="711"/>
    </row>
    <row r="46" spans="2:6" ht="53.25" customHeight="1" x14ac:dyDescent="0.2">
      <c r="B46" s="713" t="s">
        <v>8429</v>
      </c>
      <c r="D46" s="713" t="s">
        <v>8482</v>
      </c>
      <c r="F46" s="711" t="s">
        <v>8124</v>
      </c>
    </row>
    <row r="47" spans="2:6" ht="15" customHeight="1" x14ac:dyDescent="0.2">
      <c r="B47" s="711"/>
      <c r="D47" s="711"/>
      <c r="F47" s="711"/>
    </row>
    <row r="48" spans="2:6" ht="53.25" customHeight="1" x14ac:dyDescent="0.2">
      <c r="B48" s="713" t="s">
        <v>8430</v>
      </c>
      <c r="D48" s="713" t="s">
        <v>8483</v>
      </c>
      <c r="F48" s="711" t="s">
        <v>8125</v>
      </c>
    </row>
    <row r="49" spans="2:6" ht="15" customHeight="1" x14ac:dyDescent="0.2">
      <c r="B49" s="711"/>
      <c r="D49" s="711"/>
      <c r="F49" s="711"/>
    </row>
    <row r="50" spans="2:6" ht="25.5" x14ac:dyDescent="0.2">
      <c r="B50" s="713" t="s">
        <v>8431</v>
      </c>
      <c r="D50" s="713" t="s">
        <v>8484</v>
      </c>
      <c r="F50" s="711" t="s">
        <v>8126</v>
      </c>
    </row>
    <row r="51" spans="2:6" ht="15" customHeight="1" x14ac:dyDescent="0.2">
      <c r="B51" s="711"/>
      <c r="D51" s="711"/>
      <c r="F51" s="711"/>
    </row>
    <row r="52" spans="2:6" ht="25.5" x14ac:dyDescent="0.2">
      <c r="B52" s="713" t="s">
        <v>8432</v>
      </c>
      <c r="D52" s="713" t="s">
        <v>8485</v>
      </c>
      <c r="F52" s="711" t="s">
        <v>8127</v>
      </c>
    </row>
    <row r="53" spans="2:6" ht="15" customHeight="1" x14ac:dyDescent="0.2">
      <c r="B53" s="711"/>
      <c r="D53" s="711"/>
      <c r="F53" s="711"/>
    </row>
    <row r="54" spans="2:6" ht="25.5" x14ac:dyDescent="0.2">
      <c r="B54" s="713" t="s">
        <v>8433</v>
      </c>
      <c r="D54" s="713" t="s">
        <v>8486</v>
      </c>
      <c r="F54" s="711" t="s">
        <v>8128</v>
      </c>
    </row>
    <row r="55" spans="2:6" ht="15" customHeight="1" x14ac:dyDescent="0.2">
      <c r="B55" s="711"/>
      <c r="D55" s="711"/>
      <c r="F55" s="711"/>
    </row>
    <row r="56" spans="2:6" ht="25.5" x14ac:dyDescent="0.2">
      <c r="B56" s="713" t="s">
        <v>8434</v>
      </c>
      <c r="D56" s="713" t="s">
        <v>8487</v>
      </c>
      <c r="F56" s="711" t="s">
        <v>8129</v>
      </c>
    </row>
    <row r="57" spans="2:6" ht="15" customHeight="1" x14ac:dyDescent="0.2">
      <c r="B57" s="711"/>
      <c r="D57" s="711"/>
      <c r="F57" s="711"/>
    </row>
    <row r="58" spans="2:6" x14ac:dyDescent="0.2">
      <c r="B58" s="714" t="s">
        <v>8435</v>
      </c>
      <c r="D58" s="714" t="s">
        <v>8488</v>
      </c>
      <c r="F58" s="711" t="s">
        <v>8130</v>
      </c>
    </row>
    <row r="59" spans="2:6" ht="15" customHeight="1" x14ac:dyDescent="0.2">
      <c r="B59" s="711"/>
      <c r="D59" s="711"/>
      <c r="F59" s="711"/>
    </row>
    <row r="60" spans="2:6" ht="78.75" customHeight="1" x14ac:dyDescent="0.2">
      <c r="B60" s="714" t="s">
        <v>8436</v>
      </c>
      <c r="D60" s="714" t="s">
        <v>8489</v>
      </c>
      <c r="F60" s="711" t="s">
        <v>8131</v>
      </c>
    </row>
    <row r="61" spans="2:6" ht="15" customHeight="1" x14ac:dyDescent="0.2">
      <c r="B61" s="711"/>
      <c r="D61" s="711"/>
      <c r="F61" s="711"/>
    </row>
    <row r="62" spans="2:6" x14ac:dyDescent="0.2">
      <c r="B62" s="713" t="s">
        <v>8437</v>
      </c>
      <c r="D62" s="713" t="s">
        <v>8490</v>
      </c>
      <c r="F62" s="711" t="s">
        <v>8132</v>
      </c>
    </row>
    <row r="63" spans="2:6" ht="15" customHeight="1" x14ac:dyDescent="0.2">
      <c r="B63" s="711"/>
      <c r="D63" s="711"/>
      <c r="F63" s="711"/>
    </row>
    <row r="64" spans="2:6" x14ac:dyDescent="0.2">
      <c r="B64" s="713" t="s">
        <v>8438</v>
      </c>
      <c r="D64" s="713" t="s">
        <v>8491</v>
      </c>
      <c r="F64" s="711" t="s">
        <v>8133</v>
      </c>
    </row>
    <row r="65" spans="2:6" ht="15" customHeight="1" x14ac:dyDescent="0.2">
      <c r="B65" s="711"/>
      <c r="D65" s="711"/>
      <c r="F65" s="711"/>
    </row>
    <row r="66" spans="2:6" x14ac:dyDescent="0.2">
      <c r="B66" s="713" t="s">
        <v>8439</v>
      </c>
      <c r="D66" s="713" t="s">
        <v>8492</v>
      </c>
      <c r="F66" s="711" t="s">
        <v>8134</v>
      </c>
    </row>
    <row r="67" spans="2:6" ht="15" customHeight="1" x14ac:dyDescent="0.2">
      <c r="B67" s="711"/>
      <c r="D67" s="711"/>
      <c r="F67" s="711"/>
    </row>
    <row r="68" spans="2:6" ht="25.5" x14ac:dyDescent="0.2">
      <c r="B68" s="713" t="s">
        <v>8440</v>
      </c>
      <c r="D68" s="713" t="s">
        <v>8493</v>
      </c>
      <c r="F68" s="711" t="s">
        <v>8135</v>
      </c>
    </row>
    <row r="69" spans="2:6" ht="15" customHeight="1" x14ac:dyDescent="0.2">
      <c r="B69" s="711"/>
      <c r="D69" s="711"/>
      <c r="F69" s="711"/>
    </row>
    <row r="70" spans="2:6" x14ac:dyDescent="0.2">
      <c r="B70" s="713" t="s">
        <v>8441</v>
      </c>
      <c r="D70" s="713" t="s">
        <v>8494</v>
      </c>
      <c r="F70" s="711" t="s">
        <v>8136</v>
      </c>
    </row>
    <row r="71" spans="2:6" ht="15" customHeight="1" x14ac:dyDescent="0.2">
      <c r="B71" s="711"/>
      <c r="D71" s="711"/>
      <c r="F71" s="711"/>
    </row>
    <row r="72" spans="2:6" ht="25.5" x14ac:dyDescent="0.2">
      <c r="B72" s="713" t="s">
        <v>8442</v>
      </c>
      <c r="D72" s="713" t="s">
        <v>8495</v>
      </c>
      <c r="F72" s="711" t="s">
        <v>8137</v>
      </c>
    </row>
    <row r="73" spans="2:6" ht="15" customHeight="1" x14ac:dyDescent="0.2">
      <c r="B73" s="711"/>
      <c r="D73" s="711"/>
      <c r="F73" s="711"/>
    </row>
    <row r="74" spans="2:6" ht="25.5" x14ac:dyDescent="0.2">
      <c r="B74" s="713" t="s">
        <v>8443</v>
      </c>
      <c r="D74" s="713" t="s">
        <v>8496</v>
      </c>
      <c r="F74" s="711" t="s">
        <v>8138</v>
      </c>
    </row>
    <row r="75" spans="2:6" ht="15" customHeight="1" x14ac:dyDescent="0.2">
      <c r="B75" s="711"/>
      <c r="D75" s="711"/>
      <c r="F75" s="711"/>
    </row>
    <row r="76" spans="2:6" ht="63.75" x14ac:dyDescent="0.2">
      <c r="B76" s="713" t="s">
        <v>8444</v>
      </c>
      <c r="D76" s="714" t="s">
        <v>8497</v>
      </c>
      <c r="F76" s="711" t="s">
        <v>8139</v>
      </c>
    </row>
    <row r="77" spans="2:6" ht="15" customHeight="1" x14ac:dyDescent="0.2">
      <c r="B77" s="711"/>
      <c r="D77" s="711"/>
      <c r="F77" s="711"/>
    </row>
    <row r="78" spans="2:6" ht="38.25" x14ac:dyDescent="0.2">
      <c r="B78" s="713" t="s">
        <v>8445</v>
      </c>
      <c r="D78" s="713" t="s">
        <v>8498</v>
      </c>
      <c r="F78" s="711" t="s">
        <v>8140</v>
      </c>
    </row>
    <row r="79" spans="2:6" ht="15" customHeight="1" x14ac:dyDescent="0.2">
      <c r="B79" s="711"/>
      <c r="D79" s="711"/>
      <c r="F79" s="711"/>
    </row>
    <row r="80" spans="2:6" x14ac:dyDescent="0.2">
      <c r="B80" s="713" t="s">
        <v>8446</v>
      </c>
      <c r="D80" s="713" t="s">
        <v>8499</v>
      </c>
      <c r="F80" s="711" t="s">
        <v>8141</v>
      </c>
    </row>
    <row r="81" spans="2:6" ht="15" customHeight="1" x14ac:dyDescent="0.2">
      <c r="B81" s="711"/>
      <c r="D81" s="711"/>
      <c r="F81" s="711"/>
    </row>
    <row r="82" spans="2:6" ht="25.5" x14ac:dyDescent="0.2">
      <c r="B82" s="713" t="s">
        <v>8447</v>
      </c>
      <c r="D82" s="713" t="s">
        <v>8500</v>
      </c>
      <c r="F82" s="711" t="s">
        <v>8142</v>
      </c>
    </row>
    <row r="83" spans="2:6" ht="15" customHeight="1" x14ac:dyDescent="0.2">
      <c r="B83" s="711"/>
      <c r="D83" s="711"/>
      <c r="F83" s="711"/>
    </row>
    <row r="84" spans="2:6" ht="25.5" x14ac:dyDescent="0.2">
      <c r="B84" s="713" t="s">
        <v>8448</v>
      </c>
      <c r="D84" s="713" t="s">
        <v>8501</v>
      </c>
      <c r="F84" s="711" t="s">
        <v>8143</v>
      </c>
    </row>
    <row r="85" spans="2:6" ht="15" customHeight="1" x14ac:dyDescent="0.2">
      <c r="B85" s="711"/>
      <c r="D85" s="711"/>
      <c r="F85" s="711"/>
    </row>
    <row r="86" spans="2:6" ht="25.5" x14ac:dyDescent="0.2">
      <c r="B86" s="713" t="s">
        <v>8449</v>
      </c>
      <c r="D86" s="713" t="s">
        <v>8502</v>
      </c>
      <c r="F86" s="711" t="s">
        <v>8144</v>
      </c>
    </row>
    <row r="87" spans="2:6" ht="15" customHeight="1" x14ac:dyDescent="0.2">
      <c r="B87" s="711"/>
      <c r="D87" s="711"/>
      <c r="F87" s="711"/>
    </row>
    <row r="88" spans="2:6" ht="25.5" x14ac:dyDescent="0.2">
      <c r="B88" s="713" t="s">
        <v>8450</v>
      </c>
      <c r="D88" s="713" t="s">
        <v>8503</v>
      </c>
      <c r="F88" s="711" t="s">
        <v>8145</v>
      </c>
    </row>
    <row r="89" spans="2:6" ht="15" customHeight="1" x14ac:dyDescent="0.2">
      <c r="B89" s="711"/>
      <c r="D89" s="711"/>
      <c r="F89" s="711"/>
    </row>
    <row r="90" spans="2:6" ht="53.25" customHeight="1" x14ac:dyDescent="0.2">
      <c r="B90" s="713" t="s">
        <v>8451</v>
      </c>
      <c r="D90" s="713" t="s">
        <v>8504</v>
      </c>
      <c r="F90" s="711" t="s">
        <v>8146</v>
      </c>
    </row>
    <row r="91" spans="2:6" ht="15" customHeight="1" x14ac:dyDescent="0.2">
      <c r="B91" s="711"/>
      <c r="D91" s="711"/>
      <c r="F91" s="711"/>
    </row>
    <row r="92" spans="2:6" ht="53.25" customHeight="1" x14ac:dyDescent="0.2">
      <c r="B92" s="713" t="s">
        <v>8452</v>
      </c>
      <c r="D92" s="713" t="s">
        <v>8505</v>
      </c>
      <c r="F92" s="711" t="s">
        <v>8147</v>
      </c>
    </row>
    <row r="93" spans="2:6" ht="15" customHeight="1" x14ac:dyDescent="0.2">
      <c r="B93" s="711"/>
      <c r="D93" s="711"/>
      <c r="F93" s="711"/>
    </row>
    <row r="94" spans="2:6" x14ac:dyDescent="0.2">
      <c r="B94" s="713" t="s">
        <v>8453</v>
      </c>
      <c r="D94" s="713" t="s">
        <v>8506</v>
      </c>
      <c r="F94" s="711" t="s">
        <v>8148</v>
      </c>
    </row>
    <row r="95" spans="2:6" ht="15" customHeight="1" x14ac:dyDescent="0.2">
      <c r="B95" s="711"/>
      <c r="D95" s="711"/>
      <c r="F95" s="711"/>
    </row>
    <row r="96" spans="2:6" ht="25.5" x14ac:dyDescent="0.2">
      <c r="B96" s="713" t="s">
        <v>8454</v>
      </c>
      <c r="D96" s="713" t="s">
        <v>8507</v>
      </c>
      <c r="F96" s="711" t="s">
        <v>8149</v>
      </c>
    </row>
    <row r="97" spans="2:6" ht="15" customHeight="1" x14ac:dyDescent="0.2">
      <c r="B97" s="711"/>
      <c r="D97" s="711"/>
      <c r="F97" s="711"/>
    </row>
    <row r="98" spans="2:6" ht="25.5" x14ac:dyDescent="0.2">
      <c r="B98" s="713" t="s">
        <v>8518</v>
      </c>
      <c r="D98" s="713" t="s">
        <v>8517</v>
      </c>
      <c r="F98" s="713" t="s">
        <v>8150</v>
      </c>
    </row>
    <row r="99" spans="2:6" ht="15" customHeight="1" x14ac:dyDescent="0.2">
      <c r="B99" s="711"/>
      <c r="D99" s="711"/>
      <c r="F99" s="711"/>
    </row>
    <row r="100" spans="2:6" ht="38.25" x14ac:dyDescent="0.2">
      <c r="B100" s="713" t="s">
        <v>8455</v>
      </c>
      <c r="D100" s="713" t="s">
        <v>8508</v>
      </c>
      <c r="F100" s="711" t="s">
        <v>8151</v>
      </c>
    </row>
    <row r="101" spans="2:6" ht="15" customHeight="1" x14ac:dyDescent="0.2">
      <c r="B101" s="713"/>
      <c r="D101" s="713"/>
      <c r="F101" s="711"/>
    </row>
    <row r="102" spans="2:6" ht="25.5" x14ac:dyDescent="0.2">
      <c r="B102" s="713" t="s">
        <v>8457</v>
      </c>
      <c r="D102" s="713" t="s">
        <v>8509</v>
      </c>
      <c r="F102" s="711" t="s">
        <v>8152</v>
      </c>
    </row>
    <row r="103" spans="2:6" ht="15" customHeight="1" x14ac:dyDescent="0.2">
      <c r="B103" s="713"/>
      <c r="D103" s="713"/>
      <c r="F103" s="711"/>
    </row>
    <row r="104" spans="2:6" ht="25.5" x14ac:dyDescent="0.2">
      <c r="B104" s="713" t="s">
        <v>8458</v>
      </c>
      <c r="D104" s="713" t="s">
        <v>8510</v>
      </c>
      <c r="F104" s="711" t="s">
        <v>8153</v>
      </c>
    </row>
    <row r="105" spans="2:6" ht="15" customHeight="1" x14ac:dyDescent="0.2">
      <c r="B105" s="713"/>
      <c r="D105" s="713"/>
      <c r="F105" s="711"/>
    </row>
    <row r="106" spans="2:6" x14ac:dyDescent="0.2">
      <c r="B106" s="713" t="s">
        <v>8456</v>
      </c>
      <c r="D106" s="713" t="s">
        <v>8511</v>
      </c>
      <c r="F106" s="711" t="s">
        <v>8154</v>
      </c>
    </row>
    <row r="107" spans="2:6" ht="15" customHeight="1" x14ac:dyDescent="0.2">
      <c r="B107" s="713"/>
      <c r="D107" s="713"/>
      <c r="F107" s="711"/>
    </row>
    <row r="108" spans="2:6" ht="25.5" x14ac:dyDescent="0.2">
      <c r="B108" s="713" t="s">
        <v>8459</v>
      </c>
      <c r="D108" s="713" t="s">
        <v>8512</v>
      </c>
      <c r="F108" s="711" t="s">
        <v>8155</v>
      </c>
    </row>
    <row r="109" spans="2:6" ht="15" customHeight="1" x14ac:dyDescent="0.2">
      <c r="B109" s="711"/>
      <c r="D109" s="711"/>
      <c r="F109" s="711"/>
    </row>
    <row r="110" spans="2:6" ht="53.25" customHeight="1" x14ac:dyDescent="0.2">
      <c r="B110" s="713" t="s">
        <v>8460</v>
      </c>
      <c r="D110" s="713" t="s">
        <v>8513</v>
      </c>
      <c r="F110" s="711" t="s">
        <v>8156</v>
      </c>
    </row>
    <row r="111" spans="2:6" ht="15" customHeight="1" x14ac:dyDescent="0.2">
      <c r="B111" s="711"/>
      <c r="D111" s="711"/>
      <c r="F111" s="711"/>
    </row>
    <row r="112" spans="2:6" x14ac:dyDescent="0.2">
      <c r="B112" s="713" t="s">
        <v>8461</v>
      </c>
      <c r="D112" s="713" t="s">
        <v>8514</v>
      </c>
      <c r="F112" s="711" t="s">
        <v>8157</v>
      </c>
    </row>
    <row r="113" spans="2:6" ht="15" customHeight="1" x14ac:dyDescent="0.2">
      <c r="B113" s="711"/>
      <c r="D113" s="711"/>
      <c r="F113" s="711"/>
    </row>
    <row r="114" spans="2:6" ht="25.5" x14ac:dyDescent="0.2">
      <c r="B114" s="713" t="s">
        <v>8462</v>
      </c>
      <c r="D114" s="713" t="s">
        <v>8515</v>
      </c>
      <c r="F114" s="711" t="s">
        <v>8158</v>
      </c>
    </row>
    <row r="115" spans="2:6" ht="15" customHeight="1" x14ac:dyDescent="0.2">
      <c r="B115" s="711"/>
      <c r="D115" s="711"/>
      <c r="F115" s="711"/>
    </row>
    <row r="116" spans="2:6" ht="38.25" x14ac:dyDescent="0.2">
      <c r="B116" s="713" t="s">
        <v>8463</v>
      </c>
      <c r="D116" s="713" t="s">
        <v>8516</v>
      </c>
      <c r="F116" s="711" t="s">
        <v>8159</v>
      </c>
    </row>
    <row r="117" spans="2:6" ht="15" customHeight="1" x14ac:dyDescent="0.2">
      <c r="B117" s="711"/>
      <c r="D117" s="711"/>
      <c r="F117" s="711"/>
    </row>
    <row r="118" spans="2:6" x14ac:dyDescent="0.2">
      <c r="B118" s="711" t="s">
        <v>8246</v>
      </c>
      <c r="D118" s="711" t="s">
        <v>8246</v>
      </c>
      <c r="F118" s="711" t="s">
        <v>8246</v>
      </c>
    </row>
    <row r="119" spans="2:6" ht="15" customHeight="1" x14ac:dyDescent="0.2">
      <c r="B119" s="711"/>
      <c r="D119" s="711"/>
      <c r="F119" s="711"/>
    </row>
    <row r="120" spans="2:6" x14ac:dyDescent="0.2">
      <c r="B120" s="711" t="s">
        <v>8245</v>
      </c>
      <c r="D120" s="711" t="s">
        <v>8245</v>
      </c>
      <c r="F120" s="711" t="s">
        <v>8106</v>
      </c>
    </row>
    <row r="121" spans="2:6" ht="15" customHeight="1" x14ac:dyDescent="0.2">
      <c r="B121" s="711"/>
      <c r="D121" s="711"/>
      <c r="F121" s="711"/>
    </row>
    <row r="122" spans="2:6" x14ac:dyDescent="0.2">
      <c r="B122" s="711"/>
      <c r="D122" s="711"/>
      <c r="F122" s="711"/>
    </row>
    <row r="123" spans="2:6" ht="15" customHeight="1" x14ac:dyDescent="0.2">
      <c r="B123" s="711"/>
      <c r="D123" s="711"/>
      <c r="F123" s="711"/>
    </row>
    <row r="124" spans="2:6" x14ac:dyDescent="0.2">
      <c r="B124" s="711"/>
      <c r="D124" s="711"/>
      <c r="F124" s="711"/>
    </row>
    <row r="125" spans="2:6" ht="15" customHeight="1" x14ac:dyDescent="0.2">
      <c r="B125" s="711"/>
      <c r="D125" s="711"/>
      <c r="F125" s="711"/>
    </row>
    <row r="126" spans="2:6" x14ac:dyDescent="0.2">
      <c r="B126" s="711"/>
      <c r="D126" s="711"/>
      <c r="F126" s="711"/>
    </row>
    <row r="127" spans="2:6" ht="15" customHeight="1" x14ac:dyDescent="0.2">
      <c r="B127" s="711"/>
      <c r="D127" s="711"/>
      <c r="F127" s="711"/>
    </row>
    <row r="128" spans="2:6" x14ac:dyDescent="0.2">
      <c r="B128" s="711"/>
      <c r="D128" s="711"/>
      <c r="F128" s="711"/>
    </row>
    <row r="129" spans="2:6" ht="15" customHeight="1" x14ac:dyDescent="0.2">
      <c r="B129" s="711"/>
      <c r="D129" s="711"/>
      <c r="F129" s="711"/>
    </row>
    <row r="130" spans="2:6" x14ac:dyDescent="0.2">
      <c r="B130" s="711"/>
      <c r="D130" s="711"/>
      <c r="F130" s="711"/>
    </row>
    <row r="131" spans="2:6" ht="15" customHeight="1" x14ac:dyDescent="0.2">
      <c r="B131" s="711"/>
      <c r="D131" s="711"/>
      <c r="F131" s="711"/>
    </row>
    <row r="132" spans="2:6" x14ac:dyDescent="0.2">
      <c r="B132" s="711"/>
      <c r="D132" s="711"/>
      <c r="F132" s="711"/>
    </row>
    <row r="133" spans="2:6" ht="15" customHeight="1" x14ac:dyDescent="0.2">
      <c r="B133" s="711"/>
      <c r="D133" s="711"/>
      <c r="F133" s="711"/>
    </row>
    <row r="134" spans="2:6" x14ac:dyDescent="0.2">
      <c r="B134" s="711"/>
      <c r="D134" s="711"/>
      <c r="F134" s="711"/>
    </row>
    <row r="135" spans="2:6" ht="15" customHeight="1" x14ac:dyDescent="0.2">
      <c r="B135" s="711"/>
      <c r="D135" s="711"/>
      <c r="F135" s="711"/>
    </row>
    <row r="136" spans="2:6" x14ac:dyDescent="0.2">
      <c r="B136" s="711"/>
      <c r="D136" s="711"/>
      <c r="F136" s="711"/>
    </row>
    <row r="137" spans="2:6" ht="15" customHeight="1" x14ac:dyDescent="0.2">
      <c r="B137" s="711"/>
      <c r="D137" s="711"/>
      <c r="F137" s="711"/>
    </row>
    <row r="138" spans="2:6" x14ac:dyDescent="0.2">
      <c r="B138" s="711"/>
      <c r="D138" s="711"/>
      <c r="F138" s="711"/>
    </row>
    <row r="139" spans="2:6" ht="15" customHeight="1" x14ac:dyDescent="0.2">
      <c r="B139" s="711"/>
      <c r="D139" s="711"/>
      <c r="F139" s="711"/>
    </row>
    <row r="140" spans="2:6" x14ac:dyDescent="0.2">
      <c r="B140" s="711"/>
      <c r="D140" s="711"/>
      <c r="F140" s="711"/>
    </row>
    <row r="141" spans="2:6" ht="15" customHeight="1" x14ac:dyDescent="0.2">
      <c r="B141" s="711"/>
      <c r="D141" s="711"/>
      <c r="F141" s="711"/>
    </row>
    <row r="142" spans="2:6" x14ac:dyDescent="0.2">
      <c r="B142" s="711"/>
      <c r="D142" s="711"/>
      <c r="F142" s="711"/>
    </row>
    <row r="143" spans="2:6" ht="15" customHeight="1" x14ac:dyDescent="0.2">
      <c r="B143" s="711"/>
      <c r="D143" s="711"/>
      <c r="F143" s="711"/>
    </row>
    <row r="144" spans="2:6" x14ac:dyDescent="0.2">
      <c r="B144" s="711"/>
      <c r="D144" s="711"/>
      <c r="F144" s="711"/>
    </row>
    <row r="145" spans="2:6" ht="15" customHeight="1" x14ac:dyDescent="0.2">
      <c r="B145" s="711"/>
      <c r="D145" s="711"/>
      <c r="F145" s="711"/>
    </row>
    <row r="146" spans="2:6" x14ac:dyDescent="0.2">
      <c r="B146" s="711"/>
      <c r="D146" s="711"/>
      <c r="F146" s="711"/>
    </row>
    <row r="147" spans="2:6" ht="15" customHeight="1" x14ac:dyDescent="0.2">
      <c r="B147" s="711"/>
      <c r="D147" s="711"/>
      <c r="F147" s="711"/>
    </row>
    <row r="148" spans="2:6" x14ac:dyDescent="0.2">
      <c r="B148" s="711"/>
      <c r="D148" s="711"/>
      <c r="F148" s="711"/>
    </row>
    <row r="149" spans="2:6" ht="15" customHeight="1" x14ac:dyDescent="0.2">
      <c r="B149" s="711"/>
      <c r="D149" s="711"/>
      <c r="F149" s="711"/>
    </row>
    <row r="150" spans="2:6" x14ac:dyDescent="0.2">
      <c r="B150" s="711"/>
      <c r="D150" s="711"/>
      <c r="F150" s="711"/>
    </row>
    <row r="151" spans="2:6" ht="15" customHeight="1" x14ac:dyDescent="0.2">
      <c r="B151" s="711"/>
      <c r="D151" s="711"/>
      <c r="F151" s="711"/>
    </row>
    <row r="152" spans="2:6" x14ac:dyDescent="0.2">
      <c r="B152" s="711"/>
      <c r="D152" s="711"/>
      <c r="F152" s="711"/>
    </row>
    <row r="153" spans="2:6" ht="15" customHeight="1" x14ac:dyDescent="0.2">
      <c r="B153" s="711"/>
      <c r="D153" s="711"/>
      <c r="F153" s="711"/>
    </row>
    <row r="154" spans="2:6" x14ac:dyDescent="0.2">
      <c r="B154" s="711"/>
      <c r="D154" s="711"/>
      <c r="F154" s="711"/>
    </row>
    <row r="155" spans="2:6" ht="15" customHeight="1" x14ac:dyDescent="0.2">
      <c r="B155" s="711"/>
      <c r="D155" s="711"/>
      <c r="F155" s="711"/>
    </row>
    <row r="156" spans="2:6" x14ac:dyDescent="0.2">
      <c r="B156" s="711"/>
      <c r="D156" s="711"/>
      <c r="F156" s="711"/>
    </row>
    <row r="157" spans="2:6" ht="15" customHeight="1" x14ac:dyDescent="0.2">
      <c r="B157" s="711"/>
      <c r="D157" s="711"/>
      <c r="F157" s="711"/>
    </row>
    <row r="158" spans="2:6" ht="15" customHeight="1" x14ac:dyDescent="0.2">
      <c r="B158" s="711"/>
      <c r="D158" s="711"/>
      <c r="F158" s="72"/>
    </row>
    <row r="159" spans="2:6" ht="15" customHeight="1" x14ac:dyDescent="0.2">
      <c r="B159" s="711"/>
      <c r="D159" s="711"/>
    </row>
    <row r="160" spans="2:6" ht="15" customHeight="1" x14ac:dyDescent="0.2">
      <c r="B160" s="711"/>
      <c r="D160" s="711"/>
    </row>
    <row r="161" spans="2:4" ht="15" customHeight="1" x14ac:dyDescent="0.2">
      <c r="B161" s="711"/>
      <c r="D161" s="711"/>
    </row>
    <row r="162" spans="2:4" ht="15" customHeight="1" x14ac:dyDescent="0.2">
      <c r="B162" s="711"/>
      <c r="D162" s="711"/>
    </row>
    <row r="163" spans="2:4" ht="15" customHeight="1" x14ac:dyDescent="0.2">
      <c r="B163" s="711"/>
      <c r="D163" s="711"/>
    </row>
    <row r="164" spans="2:4" ht="15" customHeight="1" x14ac:dyDescent="0.2">
      <c r="B164" s="711"/>
      <c r="D164" s="711"/>
    </row>
    <row r="165" spans="2:4" ht="15" customHeight="1" x14ac:dyDescent="0.2">
      <c r="B165" s="711"/>
      <c r="D165" s="711"/>
    </row>
    <row r="166" spans="2:4" ht="15" customHeight="1" x14ac:dyDescent="0.2">
      <c r="B166" s="711"/>
      <c r="D166" s="711"/>
    </row>
    <row r="167" spans="2:4" ht="15" customHeight="1" x14ac:dyDescent="0.2">
      <c r="B167" s="711"/>
      <c r="D167" s="711"/>
    </row>
    <row r="168" spans="2:4" ht="15" customHeight="1" x14ac:dyDescent="0.2">
      <c r="B168" s="711"/>
      <c r="D168" s="711"/>
    </row>
    <row r="169" spans="2:4" ht="15" customHeight="1" x14ac:dyDescent="0.2">
      <c r="B169" s="711"/>
      <c r="D169" s="711"/>
    </row>
    <row r="170" spans="2:4" ht="15" customHeight="1" x14ac:dyDescent="0.2">
      <c r="B170" s="711"/>
      <c r="D170" s="711"/>
    </row>
    <row r="171" spans="2:4" ht="15" customHeight="1" x14ac:dyDescent="0.2">
      <c r="B171" s="711"/>
      <c r="D171" s="711"/>
    </row>
    <row r="172" spans="2:4" ht="15" customHeight="1" x14ac:dyDescent="0.2">
      <c r="B172" s="711"/>
      <c r="D172" s="711"/>
    </row>
    <row r="173" spans="2:4" ht="15" customHeight="1" x14ac:dyDescent="0.2">
      <c r="B173" s="711"/>
      <c r="D173" s="711"/>
    </row>
    <row r="174" spans="2:4" ht="15" customHeight="1" x14ac:dyDescent="0.2">
      <c r="B174" s="72"/>
      <c r="D174" s="72"/>
    </row>
  </sheetData>
  <printOptions horizontalCentered="1"/>
  <pageMargins left="0.78740157480314965" right="0.78740157480314965" top="0.39370078740157483" bottom="0.39370078740157483" header="0.11811023622047245" footer="0.31496062992125984"/>
  <pageSetup paperSize="9" scale="79" fitToHeight="0" orientation="portrait" r:id="rId1"/>
  <headerFooter alignWithMargins="0"/>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wksReunions">
    <pageSetUpPr fitToPage="1"/>
  </sheetPr>
  <dimension ref="A1:N30"/>
  <sheetViews>
    <sheetView showGridLines="0" showRowColHeaders="0" workbookViewId="0"/>
  </sheetViews>
  <sheetFormatPr defaultColWidth="0" defaultRowHeight="15" zeroHeight="1" x14ac:dyDescent="0.25"/>
  <cols>
    <col min="1" max="1" width="3.5703125" customWidth="1"/>
    <col min="2" max="2" width="5" customWidth="1"/>
    <col min="3" max="3" width="10.7109375" customWidth="1"/>
    <col min="4" max="4" width="5" customWidth="1"/>
    <col min="5" max="5" width="7.140625" customWidth="1"/>
    <col min="6" max="6" width="2.140625" customWidth="1"/>
    <col min="7" max="7" width="5" customWidth="1"/>
    <col min="8" max="8" width="1.42578125" customWidth="1"/>
    <col min="9" max="9" width="10" customWidth="1"/>
    <col min="10" max="10" width="1.85546875" customWidth="1"/>
    <col min="11" max="11" width="2.140625" customWidth="1"/>
    <col min="12" max="12" width="14" customWidth="1"/>
    <col min="13" max="13" width="2.140625" customWidth="1"/>
    <col min="14" max="14" width="11" customWidth="1"/>
    <col min="15" max="16384" width="9.140625" hidden="1"/>
  </cols>
  <sheetData>
    <row r="1" spans="1:14" ht="24.75" x14ac:dyDescent="0.25">
      <c r="B1" s="715"/>
      <c r="C1" s="715"/>
      <c r="D1" s="715"/>
      <c r="E1" s="715"/>
      <c r="F1" s="993" t="str">
        <f ca="1">'GPlan-Translations'!C362</f>
        <v>Reunião</v>
      </c>
      <c r="G1" s="993"/>
      <c r="H1" s="993"/>
      <c r="I1" s="993"/>
      <c r="J1" s="715"/>
      <c r="K1" s="715"/>
      <c r="L1" s="715"/>
      <c r="M1" s="715"/>
      <c r="N1" s="715"/>
    </row>
    <row r="2" spans="1:14" ht="37.5" customHeight="1" x14ac:dyDescent="0.25">
      <c r="A2" s="701" t="str">
        <f ca="1">'GPlan-Translations'!C363</f>
        <v>Nome da reunião:</v>
      </c>
      <c r="B2" s="702"/>
      <c r="C2" s="702"/>
      <c r="D2" s="702"/>
      <c r="E2" s="703"/>
      <c r="F2" s="703"/>
      <c r="G2" s="703"/>
      <c r="H2" s="703"/>
      <c r="I2" s="703"/>
      <c r="J2" s="703"/>
      <c r="K2" s="703"/>
      <c r="L2" s="703"/>
      <c r="M2" s="703"/>
      <c r="N2" s="703"/>
    </row>
    <row r="3" spans="1:14" ht="26.25" customHeight="1" x14ac:dyDescent="0.25">
      <c r="A3" s="701" t="str">
        <f ca="1">'GPlan-Translations'!C364</f>
        <v>Local:</v>
      </c>
      <c r="B3" s="702"/>
      <c r="C3" s="703"/>
      <c r="D3" s="703"/>
      <c r="E3" s="703"/>
      <c r="F3" s="703"/>
      <c r="G3" s="703"/>
      <c r="H3" s="703"/>
      <c r="I3" s="703"/>
      <c r="J3" s="703"/>
      <c r="K3" s="703"/>
      <c r="L3" s="703"/>
      <c r="M3" s="703"/>
      <c r="N3" s="703"/>
    </row>
    <row r="4" spans="1:14" ht="26.25" customHeight="1" x14ac:dyDescent="0.25">
      <c r="A4" s="701" t="str">
        <f ca="1">'GPlan-Translations'!C365</f>
        <v>Data:</v>
      </c>
      <c r="B4" s="702"/>
      <c r="C4" s="703"/>
      <c r="D4" s="703"/>
      <c r="E4" s="703"/>
      <c r="F4" s="703"/>
      <c r="G4" s="703"/>
      <c r="H4" s="704"/>
      <c r="I4" s="701" t="str">
        <f ca="1">'GPlan-Translations'!C366</f>
        <v>Hora:</v>
      </c>
      <c r="J4" s="703"/>
      <c r="K4" s="703"/>
      <c r="L4" s="703"/>
      <c r="M4" s="703"/>
      <c r="N4" s="703"/>
    </row>
    <row r="5" spans="1:14" ht="26.25" customHeight="1" x14ac:dyDescent="0.25">
      <c r="A5" s="701" t="str">
        <f ca="1">'GPlan-Translations'!C367</f>
        <v>Participantes:</v>
      </c>
      <c r="B5" s="702"/>
      <c r="C5" s="702"/>
      <c r="D5" s="702"/>
      <c r="E5" s="702"/>
      <c r="F5" s="702"/>
      <c r="G5" s="702"/>
      <c r="H5" s="702"/>
      <c r="I5" s="702"/>
      <c r="J5" s="702"/>
      <c r="K5" s="702"/>
      <c r="L5" s="702"/>
      <c r="M5" s="702"/>
      <c r="N5" s="702"/>
    </row>
    <row r="6" spans="1:14" ht="26.25" customHeight="1" x14ac:dyDescent="0.25">
      <c r="A6" s="703"/>
      <c r="B6" s="703"/>
      <c r="C6" s="703"/>
      <c r="D6" s="703"/>
      <c r="E6" s="703"/>
      <c r="F6" s="703"/>
      <c r="G6" s="703"/>
      <c r="H6" s="703"/>
      <c r="I6" s="703"/>
      <c r="J6" s="703"/>
      <c r="K6" s="703"/>
      <c r="L6" s="703"/>
      <c r="M6" s="703"/>
      <c r="N6" s="703"/>
    </row>
    <row r="7" spans="1:14" ht="26.25" customHeight="1" x14ac:dyDescent="0.25">
      <c r="A7" s="703"/>
      <c r="B7" s="703"/>
      <c r="C7" s="703"/>
      <c r="D7" s="703"/>
      <c r="E7" s="703"/>
      <c r="F7" s="703"/>
      <c r="G7" s="703"/>
      <c r="H7" s="703"/>
      <c r="I7" s="703"/>
      <c r="J7" s="703"/>
      <c r="K7" s="703"/>
      <c r="L7" s="703"/>
      <c r="M7" s="703"/>
      <c r="N7" s="703"/>
    </row>
    <row r="8" spans="1:14" ht="26.25" customHeight="1" x14ac:dyDescent="0.25">
      <c r="A8" s="703"/>
      <c r="B8" s="703"/>
      <c r="C8" s="703"/>
      <c r="D8" s="703"/>
      <c r="E8" s="703"/>
      <c r="F8" s="703"/>
      <c r="G8" s="703"/>
      <c r="H8" s="703"/>
      <c r="I8" s="703"/>
      <c r="J8" s="703"/>
      <c r="K8" s="703"/>
      <c r="L8" s="703"/>
      <c r="M8" s="703"/>
      <c r="N8" s="703"/>
    </row>
    <row r="9" spans="1:14" ht="37.5" customHeight="1" x14ac:dyDescent="0.25">
      <c r="A9" s="701" t="str">
        <f ca="1">'GPlan-Translations'!C368</f>
        <v>Itens da agenda</v>
      </c>
      <c r="B9" s="702"/>
      <c r="C9" s="702"/>
      <c r="D9" s="702"/>
      <c r="E9" s="702"/>
      <c r="F9" s="702"/>
      <c r="G9" s="702"/>
      <c r="H9" s="702"/>
      <c r="I9" s="702"/>
      <c r="J9" s="702"/>
      <c r="K9" s="702"/>
      <c r="L9" s="702"/>
      <c r="M9" s="702"/>
      <c r="N9" s="702"/>
    </row>
    <row r="10" spans="1:14" ht="26.25" customHeight="1" x14ac:dyDescent="0.25">
      <c r="A10" s="701" t="s">
        <v>8160</v>
      </c>
      <c r="B10" s="703"/>
      <c r="C10" s="703"/>
      <c r="D10" s="703"/>
      <c r="E10" s="703"/>
      <c r="F10" s="703"/>
      <c r="G10" s="703"/>
      <c r="H10" s="703"/>
      <c r="I10" s="703"/>
      <c r="J10" s="703"/>
      <c r="K10" s="703"/>
      <c r="L10" s="703"/>
      <c r="M10" s="703"/>
      <c r="N10" s="703"/>
    </row>
    <row r="11" spans="1:14" ht="26.25" customHeight="1" x14ac:dyDescent="0.25">
      <c r="A11" s="701" t="s">
        <v>8161</v>
      </c>
      <c r="B11" s="703"/>
      <c r="C11" s="703"/>
      <c r="D11" s="703"/>
      <c r="E11" s="703"/>
      <c r="F11" s="703"/>
      <c r="G11" s="703"/>
      <c r="H11" s="703"/>
      <c r="I11" s="703"/>
      <c r="J11" s="703"/>
      <c r="K11" s="703"/>
      <c r="L11" s="703"/>
      <c r="M11" s="703"/>
      <c r="N11" s="703"/>
    </row>
    <row r="12" spans="1:14" ht="26.25" customHeight="1" x14ac:dyDescent="0.25">
      <c r="A12" s="701" t="s">
        <v>8162</v>
      </c>
      <c r="B12" s="703"/>
      <c r="C12" s="703"/>
      <c r="D12" s="703"/>
      <c r="E12" s="703"/>
      <c r="F12" s="703"/>
      <c r="G12" s="703"/>
      <c r="H12" s="703"/>
      <c r="I12" s="703"/>
      <c r="J12" s="703"/>
      <c r="K12" s="703"/>
      <c r="L12" s="703"/>
      <c r="M12" s="703"/>
      <c r="N12" s="703"/>
    </row>
    <row r="13" spans="1:14" ht="26.25" customHeight="1" x14ac:dyDescent="0.25">
      <c r="A13" s="701" t="s">
        <v>8163</v>
      </c>
      <c r="B13" s="703"/>
      <c r="C13" s="703"/>
      <c r="D13" s="703"/>
      <c r="E13" s="703"/>
      <c r="F13" s="703"/>
      <c r="G13" s="703"/>
      <c r="H13" s="703"/>
      <c r="I13" s="703"/>
      <c r="J13" s="703"/>
      <c r="K13" s="703"/>
      <c r="L13" s="703"/>
      <c r="M13" s="703"/>
      <c r="N13" s="703"/>
    </row>
    <row r="14" spans="1:14" ht="26.25" customHeight="1" x14ac:dyDescent="0.25">
      <c r="A14" s="701" t="s">
        <v>8164</v>
      </c>
      <c r="B14" s="703"/>
      <c r="C14" s="703"/>
      <c r="D14" s="703"/>
      <c r="E14" s="703"/>
      <c r="F14" s="703"/>
      <c r="G14" s="703"/>
      <c r="H14" s="703"/>
      <c r="I14" s="703"/>
      <c r="J14" s="703"/>
      <c r="K14" s="703"/>
      <c r="L14" s="703"/>
      <c r="M14" s="703"/>
      <c r="N14" s="703"/>
    </row>
    <row r="15" spans="1:14" ht="26.25" customHeight="1" x14ac:dyDescent="0.25">
      <c r="A15" s="701" t="s">
        <v>8165</v>
      </c>
      <c r="B15" s="703"/>
      <c r="C15" s="703"/>
      <c r="D15" s="703"/>
      <c r="E15" s="703"/>
      <c r="F15" s="703"/>
      <c r="G15" s="703"/>
      <c r="H15" s="703"/>
      <c r="I15" s="703"/>
      <c r="J15" s="703"/>
      <c r="K15" s="703"/>
      <c r="L15" s="703"/>
      <c r="M15" s="703"/>
      <c r="N15" s="703"/>
    </row>
    <row r="16" spans="1:14" ht="37.5" customHeight="1" x14ac:dyDescent="0.25">
      <c r="A16" s="705" t="str">
        <f ca="1">'GPlan-Translations'!C369</f>
        <v>Itens de ação</v>
      </c>
      <c r="B16" s="704"/>
      <c r="C16" s="704"/>
      <c r="D16" s="704"/>
      <c r="E16" s="704"/>
      <c r="F16" s="704"/>
      <c r="G16" s="992" t="str">
        <f ca="1">'GPlan-Translations'!C370</f>
        <v>Proprietário(s)</v>
      </c>
      <c r="H16" s="992"/>
      <c r="I16" s="992"/>
      <c r="J16" s="992"/>
      <c r="K16" s="704"/>
      <c r="L16" s="706" t="str">
        <f ca="1">'GPlan-Translations'!C371</f>
        <v>Data limite</v>
      </c>
      <c r="M16" s="704"/>
      <c r="N16" s="706" t="str">
        <f ca="1">'GPlan-Translations'!C372</f>
        <v>Status</v>
      </c>
    </row>
    <row r="17" spans="1:14" ht="26.25" customHeight="1" x14ac:dyDescent="0.25">
      <c r="A17" s="703"/>
      <c r="B17" s="703"/>
      <c r="C17" s="703"/>
      <c r="D17" s="703"/>
      <c r="E17" s="703"/>
      <c r="F17" s="702"/>
      <c r="G17" s="703"/>
      <c r="H17" s="703"/>
      <c r="I17" s="703"/>
      <c r="J17" s="703"/>
      <c r="K17" s="702"/>
      <c r="L17" s="703"/>
      <c r="M17" s="702"/>
      <c r="N17" s="703"/>
    </row>
    <row r="18" spans="1:14" ht="26.25" customHeight="1" x14ac:dyDescent="0.25">
      <c r="A18" s="703"/>
      <c r="B18" s="703"/>
      <c r="C18" s="703"/>
      <c r="D18" s="703"/>
      <c r="E18" s="703"/>
      <c r="F18" s="702"/>
      <c r="G18" s="703"/>
      <c r="H18" s="703"/>
      <c r="I18" s="703"/>
      <c r="J18" s="703"/>
      <c r="K18" s="702"/>
      <c r="L18" s="703"/>
      <c r="M18" s="702"/>
      <c r="N18" s="703"/>
    </row>
    <row r="19" spans="1:14" ht="26.25" customHeight="1" x14ac:dyDescent="0.25">
      <c r="A19" s="703"/>
      <c r="B19" s="703"/>
      <c r="C19" s="703"/>
      <c r="D19" s="703"/>
      <c r="E19" s="703"/>
      <c r="F19" s="702"/>
      <c r="G19" s="703"/>
      <c r="H19" s="703"/>
      <c r="I19" s="703"/>
      <c r="J19" s="703"/>
      <c r="K19" s="702"/>
      <c r="L19" s="703"/>
      <c r="M19" s="702"/>
      <c r="N19" s="703"/>
    </row>
    <row r="20" spans="1:14" ht="26.25" customHeight="1" x14ac:dyDescent="0.25">
      <c r="A20" s="703"/>
      <c r="B20" s="703"/>
      <c r="C20" s="703"/>
      <c r="D20" s="703"/>
      <c r="E20" s="703"/>
      <c r="F20" s="702"/>
      <c r="G20" s="703"/>
      <c r="H20" s="703"/>
      <c r="I20" s="703"/>
      <c r="J20" s="703"/>
      <c r="K20" s="702"/>
      <c r="L20" s="703"/>
      <c r="M20" s="702"/>
      <c r="N20" s="703"/>
    </row>
    <row r="21" spans="1:14" ht="26.25" customHeight="1" x14ac:dyDescent="0.25">
      <c r="A21" s="703"/>
      <c r="B21" s="703"/>
      <c r="C21" s="703"/>
      <c r="D21" s="703"/>
      <c r="E21" s="703"/>
      <c r="F21" s="702"/>
      <c r="G21" s="703"/>
      <c r="H21" s="703"/>
      <c r="I21" s="703"/>
      <c r="J21" s="703"/>
      <c r="K21" s="702"/>
      <c r="L21" s="703"/>
      <c r="M21" s="702"/>
      <c r="N21" s="703"/>
    </row>
    <row r="22" spans="1:14" ht="26.25" customHeight="1" x14ac:dyDescent="0.25">
      <c r="A22" s="703"/>
      <c r="B22" s="703"/>
      <c r="C22" s="703"/>
      <c r="D22" s="703"/>
      <c r="E22" s="703"/>
      <c r="F22" s="702"/>
      <c r="G22" s="703"/>
      <c r="H22" s="703"/>
      <c r="I22" s="703"/>
      <c r="J22" s="703"/>
      <c r="K22" s="702"/>
      <c r="L22" s="703"/>
      <c r="M22" s="702"/>
      <c r="N22" s="703"/>
    </row>
    <row r="23" spans="1:14" ht="26.25" customHeight="1" x14ac:dyDescent="0.25">
      <c r="A23" s="703"/>
      <c r="B23" s="703"/>
      <c r="C23" s="703"/>
      <c r="D23" s="703"/>
      <c r="E23" s="703"/>
      <c r="F23" s="702"/>
      <c r="G23" s="703"/>
      <c r="H23" s="703"/>
      <c r="I23" s="703"/>
      <c r="J23" s="703"/>
      <c r="K23" s="702"/>
      <c r="L23" s="703"/>
      <c r="M23" s="702"/>
      <c r="N23" s="703"/>
    </row>
    <row r="24" spans="1:14" ht="26.25" customHeight="1" x14ac:dyDescent="0.25">
      <c r="A24" s="703"/>
      <c r="B24" s="703"/>
      <c r="C24" s="703"/>
      <c r="D24" s="703"/>
      <c r="E24" s="703"/>
      <c r="F24" s="702"/>
      <c r="G24" s="703"/>
      <c r="H24" s="703"/>
      <c r="I24" s="703"/>
      <c r="J24" s="703"/>
      <c r="K24" s="702"/>
      <c r="L24" s="703"/>
      <c r="M24" s="702"/>
      <c r="N24" s="703"/>
    </row>
    <row r="25" spans="1:14" ht="26.25" customHeight="1" x14ac:dyDescent="0.25">
      <c r="A25" s="703"/>
      <c r="B25" s="703"/>
      <c r="C25" s="703"/>
      <c r="D25" s="703"/>
      <c r="E25" s="703"/>
      <c r="F25" s="702"/>
      <c r="G25" s="703"/>
      <c r="H25" s="703"/>
      <c r="I25" s="703"/>
      <c r="J25" s="703"/>
      <c r="K25" s="702"/>
      <c r="L25" s="703"/>
      <c r="M25" s="702"/>
      <c r="N25" s="703"/>
    </row>
    <row r="26" spans="1:14" ht="26.25" customHeight="1" x14ac:dyDescent="0.25">
      <c r="A26" s="703"/>
      <c r="B26" s="703"/>
      <c r="C26" s="703"/>
      <c r="D26" s="703"/>
      <c r="E26" s="703"/>
      <c r="F26" s="702"/>
      <c r="G26" s="703"/>
      <c r="H26" s="703"/>
      <c r="I26" s="703"/>
      <c r="J26" s="703"/>
      <c r="K26" s="702"/>
      <c r="L26" s="703"/>
      <c r="M26" s="702"/>
      <c r="N26" s="703"/>
    </row>
    <row r="27" spans="1:14" ht="26.25" customHeight="1" x14ac:dyDescent="0.25">
      <c r="A27" s="703"/>
      <c r="B27" s="703"/>
      <c r="C27" s="703"/>
      <c r="D27" s="703"/>
      <c r="E27" s="703"/>
      <c r="F27" s="702"/>
      <c r="G27" s="703"/>
      <c r="H27" s="703"/>
      <c r="I27" s="703"/>
      <c r="J27" s="703"/>
      <c r="K27" s="702"/>
      <c r="L27" s="703"/>
      <c r="M27" s="702"/>
      <c r="N27" s="703"/>
    </row>
    <row r="28" spans="1:14" ht="26.25" customHeight="1" x14ac:dyDescent="0.25">
      <c r="A28" s="703"/>
      <c r="B28" s="703"/>
      <c r="C28" s="703"/>
      <c r="D28" s="703"/>
      <c r="E28" s="703"/>
      <c r="F28" s="702"/>
      <c r="G28" s="703"/>
      <c r="H28" s="703"/>
      <c r="I28" s="703"/>
      <c r="J28" s="703"/>
      <c r="K28" s="702"/>
      <c r="L28" s="703"/>
      <c r="M28" s="702"/>
      <c r="N28" s="703"/>
    </row>
    <row r="29" spans="1:14" ht="26.25" customHeight="1" x14ac:dyDescent="0.25">
      <c r="A29" s="703"/>
      <c r="B29" s="703"/>
      <c r="C29" s="703"/>
      <c r="D29" s="703"/>
      <c r="E29" s="703"/>
      <c r="F29" s="702"/>
      <c r="G29" s="703"/>
      <c r="H29" s="703"/>
      <c r="I29" s="703"/>
      <c r="J29" s="703"/>
      <c r="K29" s="702"/>
      <c r="L29" s="703"/>
      <c r="M29" s="702"/>
      <c r="N29" s="703"/>
    </row>
    <row r="30" spans="1:14" x14ac:dyDescent="0.25"/>
  </sheetData>
  <mergeCells count="2">
    <mergeCell ref="G16:J16"/>
    <mergeCell ref="F1:I1"/>
  </mergeCells>
  <printOptions horizontalCentered="1"/>
  <pageMargins left="0.59055118110236227" right="0.59055118110236227" top="0.39370078740157483" bottom="0.39370078740157483" header="0.31496062992125984" footer="0.31496062992125984"/>
  <pageSetup paperSize="9" fitToHeight="0"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wksNotesLeft">
    <pageSetUpPr fitToPage="1"/>
  </sheetPr>
  <dimension ref="A1:HL61"/>
  <sheetViews>
    <sheetView showGridLines="0" showRowColHeaders="0" workbookViewId="0"/>
  </sheetViews>
  <sheetFormatPr defaultColWidth="0" defaultRowHeight="12.75" customHeight="1" zeroHeight="1" x14ac:dyDescent="0.2"/>
  <cols>
    <col min="1" max="2" width="27.85546875" style="72" customWidth="1"/>
    <col min="3" max="4" width="17" style="72" customWidth="1"/>
    <col min="5" max="5" width="12.7109375" style="72" customWidth="1"/>
    <col min="6" max="220" width="9.140625" style="72" hidden="1" customWidth="1"/>
    <col min="221" max="16384" width="0" style="72" hidden="1"/>
  </cols>
  <sheetData>
    <row r="1" spans="1:4" ht="19.5" x14ac:dyDescent="0.2">
      <c r="A1" s="686"/>
      <c r="B1" s="689"/>
      <c r="C1" s="74"/>
      <c r="D1" s="105"/>
    </row>
    <row r="2" spans="1:4" ht="24.75" x14ac:dyDescent="0.2">
      <c r="A2" s="690" t="str">
        <f ca="1">'GPlan-Translations'!C302</f>
        <v>Anotações</v>
      </c>
      <c r="B2" s="691"/>
      <c r="C2" s="691"/>
      <c r="D2" s="692"/>
    </row>
    <row r="3" spans="1:4" ht="18" x14ac:dyDescent="0.2">
      <c r="A3" s="693"/>
      <c r="B3" s="693"/>
      <c r="C3" s="693"/>
      <c r="D3" s="693"/>
    </row>
    <row r="4" spans="1:4" ht="18" x14ac:dyDescent="0.2">
      <c r="A4" s="679"/>
      <c r="B4" s="679"/>
      <c r="C4" s="679"/>
      <c r="D4" s="679"/>
    </row>
    <row r="5" spans="1:4" ht="18" x14ac:dyDescent="0.2">
      <c r="A5" s="679"/>
      <c r="B5" s="679"/>
      <c r="C5" s="679"/>
      <c r="D5" s="679"/>
    </row>
    <row r="6" spans="1:4" ht="18" x14ac:dyDescent="0.2">
      <c r="A6" s="679"/>
      <c r="B6" s="679"/>
      <c r="C6" s="679"/>
      <c r="D6" s="679"/>
    </row>
    <row r="7" spans="1:4" ht="18" customHeight="1" x14ac:dyDescent="0.2">
      <c r="A7" s="679"/>
      <c r="B7" s="679"/>
      <c r="C7" s="679"/>
      <c r="D7" s="679"/>
    </row>
    <row r="8" spans="1:4" ht="18" customHeight="1" x14ac:dyDescent="0.2">
      <c r="A8" s="679"/>
      <c r="B8" s="679"/>
      <c r="C8" s="679"/>
      <c r="D8" s="679"/>
    </row>
    <row r="9" spans="1:4" ht="18" customHeight="1" x14ac:dyDescent="0.2">
      <c r="A9" s="679"/>
      <c r="B9" s="679"/>
      <c r="C9" s="679"/>
      <c r="D9" s="679"/>
    </row>
    <row r="10" spans="1:4" ht="18" customHeight="1" x14ac:dyDescent="0.2">
      <c r="A10" s="679"/>
      <c r="B10" s="679"/>
      <c r="C10" s="679"/>
      <c r="D10" s="679"/>
    </row>
    <row r="11" spans="1:4" ht="18" x14ac:dyDescent="0.2">
      <c r="A11" s="679"/>
      <c r="B11" s="679"/>
      <c r="C11" s="679"/>
      <c r="D11" s="679"/>
    </row>
    <row r="12" spans="1:4" ht="18" customHeight="1" x14ac:dyDescent="0.2">
      <c r="A12" s="679"/>
      <c r="B12" s="679"/>
      <c r="C12" s="679"/>
      <c r="D12" s="679"/>
    </row>
    <row r="13" spans="1:4" ht="18" x14ac:dyDescent="0.2">
      <c r="A13" s="679"/>
      <c r="B13" s="679"/>
      <c r="C13" s="679"/>
      <c r="D13" s="679"/>
    </row>
    <row r="14" spans="1:4" ht="18" x14ac:dyDescent="0.2">
      <c r="A14" s="679"/>
      <c r="B14" s="679"/>
      <c r="C14" s="679"/>
      <c r="D14" s="679"/>
    </row>
    <row r="15" spans="1:4" ht="18" customHeight="1" x14ac:dyDescent="0.2">
      <c r="A15" s="679"/>
      <c r="B15" s="679"/>
      <c r="C15" s="679"/>
      <c r="D15" s="679"/>
    </row>
    <row r="16" spans="1:4" ht="18" customHeight="1" x14ac:dyDescent="0.2">
      <c r="A16" s="679"/>
      <c r="B16" s="679"/>
      <c r="C16" s="679"/>
      <c r="D16" s="679"/>
    </row>
    <row r="17" spans="1:4" ht="18" customHeight="1" x14ac:dyDescent="0.2">
      <c r="A17" s="679"/>
      <c r="B17" s="679"/>
      <c r="C17" s="679"/>
      <c r="D17" s="679"/>
    </row>
    <row r="18" spans="1:4" ht="18" customHeight="1" x14ac:dyDescent="0.2">
      <c r="A18" s="679"/>
      <c r="B18" s="679"/>
      <c r="C18" s="679"/>
      <c r="D18" s="679"/>
    </row>
    <row r="19" spans="1:4" ht="18" x14ac:dyDescent="0.2">
      <c r="A19" s="679"/>
      <c r="B19" s="679"/>
      <c r="C19" s="679"/>
      <c r="D19" s="679"/>
    </row>
    <row r="20" spans="1:4" ht="18" x14ac:dyDescent="0.2">
      <c r="A20" s="679"/>
      <c r="B20" s="679"/>
      <c r="C20" s="679"/>
      <c r="D20" s="679"/>
    </row>
    <row r="21" spans="1:4" ht="18" x14ac:dyDescent="0.2">
      <c r="A21" s="679"/>
      <c r="B21" s="679"/>
      <c r="C21" s="679"/>
      <c r="D21" s="679"/>
    </row>
    <row r="22" spans="1:4" ht="18" customHeight="1" x14ac:dyDescent="0.2">
      <c r="A22" s="679"/>
      <c r="B22" s="679"/>
      <c r="C22" s="679"/>
      <c r="D22" s="679"/>
    </row>
    <row r="23" spans="1:4" ht="18" customHeight="1" x14ac:dyDescent="0.2">
      <c r="A23" s="679"/>
      <c r="B23" s="679"/>
      <c r="C23" s="679"/>
      <c r="D23" s="679"/>
    </row>
    <row r="24" spans="1:4" ht="18" x14ac:dyDescent="0.2">
      <c r="A24" s="679"/>
      <c r="B24" s="679"/>
      <c r="C24" s="679"/>
      <c r="D24" s="679"/>
    </row>
    <row r="25" spans="1:4" ht="18" x14ac:dyDescent="0.2">
      <c r="A25" s="679"/>
      <c r="B25" s="679"/>
      <c r="C25" s="679"/>
      <c r="D25" s="679"/>
    </row>
    <row r="26" spans="1:4" ht="18" x14ac:dyDescent="0.2">
      <c r="A26" s="679"/>
      <c r="B26" s="679"/>
      <c r="C26" s="679"/>
      <c r="D26" s="679"/>
    </row>
    <row r="27" spans="1:4" ht="18" x14ac:dyDescent="0.2">
      <c r="A27" s="679"/>
      <c r="B27" s="679"/>
      <c r="C27" s="679"/>
      <c r="D27" s="679"/>
    </row>
    <row r="28" spans="1:4" ht="18" x14ac:dyDescent="0.2">
      <c r="A28" s="679"/>
      <c r="B28" s="679"/>
      <c r="C28" s="679"/>
      <c r="D28" s="679"/>
    </row>
    <row r="29" spans="1:4" ht="18" x14ac:dyDescent="0.2">
      <c r="A29" s="679"/>
      <c r="B29" s="679"/>
      <c r="C29" s="679"/>
      <c r="D29" s="679"/>
    </row>
    <row r="30" spans="1:4" ht="18" x14ac:dyDescent="0.2">
      <c r="A30" s="679"/>
      <c r="B30" s="679"/>
      <c r="C30" s="679"/>
      <c r="D30" s="679"/>
    </row>
    <row r="31" spans="1:4" ht="18" x14ac:dyDescent="0.2">
      <c r="A31" s="679"/>
      <c r="B31" s="679"/>
      <c r="C31" s="679"/>
      <c r="D31" s="679"/>
    </row>
    <row r="32" spans="1:4" ht="18" x14ac:dyDescent="0.2">
      <c r="A32" s="679"/>
      <c r="B32" s="679"/>
      <c r="C32" s="679"/>
      <c r="D32" s="679"/>
    </row>
    <row r="33" spans="1:4" ht="18" x14ac:dyDescent="0.2">
      <c r="A33" s="679"/>
      <c r="B33" s="679"/>
      <c r="C33" s="679"/>
      <c r="D33" s="679"/>
    </row>
    <row r="34" spans="1:4" ht="18" x14ac:dyDescent="0.2">
      <c r="A34" s="679"/>
      <c r="B34" s="679"/>
      <c r="C34" s="679"/>
      <c r="D34" s="679"/>
    </row>
    <row r="35" spans="1:4" ht="18" x14ac:dyDescent="0.2">
      <c r="A35" s="679"/>
      <c r="B35" s="679"/>
      <c r="C35" s="679"/>
      <c r="D35" s="679"/>
    </row>
    <row r="36" spans="1:4" ht="18" x14ac:dyDescent="0.2">
      <c r="A36" s="679"/>
      <c r="B36" s="679"/>
      <c r="C36" s="679"/>
      <c r="D36" s="679"/>
    </row>
    <row r="37" spans="1:4" ht="18" x14ac:dyDescent="0.2">
      <c r="A37" s="679"/>
      <c r="B37" s="679"/>
      <c r="C37" s="679"/>
      <c r="D37" s="679"/>
    </row>
    <row r="38" spans="1:4" ht="18" x14ac:dyDescent="0.2">
      <c r="A38" s="679"/>
      <c r="B38" s="679"/>
      <c r="C38" s="679"/>
      <c r="D38" s="679"/>
    </row>
    <row r="39" spans="1:4" ht="18" x14ac:dyDescent="0.2">
      <c r="A39" s="679"/>
      <c r="B39" s="679"/>
      <c r="C39" s="679"/>
      <c r="D39" s="679"/>
    </row>
    <row r="40" spans="1:4" ht="18" x14ac:dyDescent="0.2">
      <c r="A40" s="679"/>
      <c r="B40" s="679"/>
      <c r="C40" s="679"/>
      <c r="D40" s="679"/>
    </row>
    <row r="41" spans="1:4" ht="18" x14ac:dyDescent="0.2">
      <c r="A41" s="679"/>
      <c r="B41" s="679"/>
      <c r="C41" s="679"/>
      <c r="D41" s="679"/>
    </row>
    <row r="42" spans="1:4" ht="18" x14ac:dyDescent="0.2">
      <c r="A42" s="679"/>
      <c r="B42" s="679"/>
      <c r="C42" s="679"/>
      <c r="D42" s="679"/>
    </row>
    <row r="43" spans="1:4" ht="18" x14ac:dyDescent="0.2">
      <c r="A43" s="679"/>
      <c r="B43" s="679"/>
      <c r="C43" s="679"/>
      <c r="D43" s="679"/>
    </row>
    <row r="44" spans="1:4" ht="18" x14ac:dyDescent="0.2">
      <c r="A44" s="679"/>
      <c r="B44" s="679"/>
      <c r="C44" s="679"/>
      <c r="D44" s="679"/>
    </row>
    <row r="45" spans="1:4" ht="18" x14ac:dyDescent="0.2">
      <c r="A45" s="682"/>
      <c r="B45" s="685"/>
      <c r="C45" s="685"/>
      <c r="D45" s="685"/>
    </row>
    <row r="46" spans="1:4" x14ac:dyDescent="0.2"/>
    <row r="47" spans="1:4" hidden="1" x14ac:dyDescent="0.2"/>
    <row r="48" spans="1:4" hidden="1" x14ac:dyDescent="0.2"/>
    <row r="49" hidden="1" x14ac:dyDescent="0.2"/>
    <row r="50" hidden="1" x14ac:dyDescent="0.2"/>
    <row r="51" hidden="1" x14ac:dyDescent="0.2"/>
    <row r="52" hidden="1" x14ac:dyDescent="0.2"/>
    <row r="53" hidden="1" x14ac:dyDescent="0.2"/>
    <row r="54" hidden="1" x14ac:dyDescent="0.2"/>
    <row r="55" hidden="1" x14ac:dyDescent="0.2"/>
    <row r="56" hidden="1" x14ac:dyDescent="0.2"/>
    <row r="57" hidden="1" x14ac:dyDescent="0.2"/>
    <row r="58" hidden="1" x14ac:dyDescent="0.2"/>
    <row r="59" hidden="1" x14ac:dyDescent="0.2"/>
    <row r="60" hidden="1" x14ac:dyDescent="0.2"/>
    <row r="61" hidden="1" x14ac:dyDescent="0.2"/>
  </sheetData>
  <sheetProtection sheet="1" objects="1" scenarios="1"/>
  <pageMargins left="0.19685039370078741" right="0.19685039370078741" top="0.19685039370078741" bottom="0.19685039370078741" header="0.11811023622047245" footer="0.11811023622047245"/>
  <pageSetup paperSize="9" scale="97" pageOrder="overThenDown" orientation="portrait" r:id="rId1"/>
  <headerFooter alignWithMargins="0"/>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wksNotesRight">
    <pageSetUpPr fitToPage="1"/>
  </sheetPr>
  <dimension ref="B1:HQ68"/>
  <sheetViews>
    <sheetView showGridLines="0" showRowColHeaders="0" workbookViewId="0"/>
  </sheetViews>
  <sheetFormatPr defaultColWidth="0" defaultRowHeight="12.75" customHeight="1" zeroHeight="1" x14ac:dyDescent="0.2"/>
  <cols>
    <col min="1" max="1" width="12.7109375" style="72" customWidth="1"/>
    <col min="2" max="3" width="27.85546875" style="72" customWidth="1"/>
    <col min="4" max="5" width="17" style="72" customWidth="1"/>
    <col min="6" max="6" width="3.7109375" style="72" customWidth="1"/>
    <col min="7" max="225" width="9.140625" style="72" hidden="1" customWidth="1"/>
    <col min="226" max="16384" width="0" style="72" hidden="1"/>
  </cols>
  <sheetData>
    <row r="1" spans="2:5" ht="19.5" x14ac:dyDescent="0.2">
      <c r="B1" s="686"/>
      <c r="C1" s="689"/>
      <c r="D1" s="74"/>
      <c r="E1" s="105"/>
    </row>
    <row r="2" spans="2:5" ht="24.75" x14ac:dyDescent="0.2">
      <c r="B2" s="694"/>
      <c r="C2" s="691"/>
      <c r="D2" s="994" t="str">
        <f ca="1">'GPlan-Translations'!C305</f>
        <v>Anotações</v>
      </c>
      <c r="E2" s="994"/>
    </row>
    <row r="3" spans="2:5" ht="18" x14ac:dyDescent="0.2">
      <c r="B3" s="693"/>
      <c r="C3" s="693"/>
      <c r="D3" s="693"/>
      <c r="E3" s="693"/>
    </row>
    <row r="4" spans="2:5" ht="18" x14ac:dyDescent="0.2">
      <c r="B4" s="679"/>
      <c r="C4" s="679"/>
      <c r="D4" s="679"/>
      <c r="E4" s="679"/>
    </row>
    <row r="5" spans="2:5" ht="18" x14ac:dyDescent="0.2">
      <c r="B5" s="679"/>
      <c r="C5" s="679"/>
      <c r="D5" s="679"/>
      <c r="E5" s="679"/>
    </row>
    <row r="6" spans="2:5" ht="18" x14ac:dyDescent="0.2">
      <c r="B6" s="679"/>
      <c r="C6" s="679"/>
      <c r="D6" s="679"/>
      <c r="E6" s="679"/>
    </row>
    <row r="7" spans="2:5" ht="18" x14ac:dyDescent="0.2">
      <c r="B7" s="679"/>
      <c r="C7" s="679"/>
      <c r="D7" s="679"/>
      <c r="E7" s="679"/>
    </row>
    <row r="8" spans="2:5" ht="18" x14ac:dyDescent="0.2">
      <c r="B8" s="679"/>
      <c r="C8" s="679"/>
      <c r="D8" s="679"/>
      <c r="E8" s="679"/>
    </row>
    <row r="9" spans="2:5" ht="18" x14ac:dyDescent="0.2">
      <c r="B9" s="679"/>
      <c r="C9" s="679"/>
      <c r="D9" s="679"/>
      <c r="E9" s="679"/>
    </row>
    <row r="10" spans="2:5" ht="18" x14ac:dyDescent="0.2">
      <c r="B10" s="679"/>
      <c r="C10" s="679"/>
      <c r="D10" s="679"/>
      <c r="E10" s="679"/>
    </row>
    <row r="11" spans="2:5" ht="18" x14ac:dyDescent="0.2">
      <c r="B11" s="679"/>
      <c r="C11" s="679"/>
      <c r="D11" s="679"/>
      <c r="E11" s="679"/>
    </row>
    <row r="12" spans="2:5" ht="18" x14ac:dyDescent="0.2">
      <c r="B12" s="679"/>
      <c r="C12" s="679"/>
      <c r="D12" s="679"/>
      <c r="E12" s="679"/>
    </row>
    <row r="13" spans="2:5" ht="18" x14ac:dyDescent="0.2">
      <c r="B13" s="679"/>
      <c r="C13" s="679"/>
      <c r="D13" s="679"/>
      <c r="E13" s="679"/>
    </row>
    <row r="14" spans="2:5" ht="18" x14ac:dyDescent="0.2">
      <c r="B14" s="679"/>
      <c r="C14" s="679"/>
      <c r="D14" s="679"/>
      <c r="E14" s="679"/>
    </row>
    <row r="15" spans="2:5" ht="18" x14ac:dyDescent="0.2">
      <c r="B15" s="679"/>
      <c r="C15" s="679"/>
      <c r="D15" s="679"/>
      <c r="E15" s="679"/>
    </row>
    <row r="16" spans="2:5" ht="18" x14ac:dyDescent="0.2">
      <c r="B16" s="679"/>
      <c r="C16" s="679"/>
      <c r="D16" s="679"/>
      <c r="E16" s="679"/>
    </row>
    <row r="17" spans="2:5" ht="18" x14ac:dyDescent="0.2">
      <c r="B17" s="679"/>
      <c r="C17" s="679"/>
      <c r="D17" s="679"/>
      <c r="E17" s="679"/>
    </row>
    <row r="18" spans="2:5" ht="18" x14ac:dyDescent="0.2">
      <c r="B18" s="679"/>
      <c r="C18" s="679"/>
      <c r="D18" s="679"/>
      <c r="E18" s="679"/>
    </row>
    <row r="19" spans="2:5" ht="18" x14ac:dyDescent="0.2">
      <c r="B19" s="679"/>
      <c r="C19" s="679"/>
      <c r="D19" s="679"/>
      <c r="E19" s="679"/>
    </row>
    <row r="20" spans="2:5" ht="18" x14ac:dyDescent="0.2">
      <c r="B20" s="679"/>
      <c r="C20" s="679"/>
      <c r="D20" s="679"/>
      <c r="E20" s="679"/>
    </row>
    <row r="21" spans="2:5" ht="18" x14ac:dyDescent="0.2">
      <c r="B21" s="679"/>
      <c r="C21" s="679"/>
      <c r="D21" s="679"/>
      <c r="E21" s="679"/>
    </row>
    <row r="22" spans="2:5" ht="18" x14ac:dyDescent="0.2">
      <c r="B22" s="679"/>
      <c r="C22" s="679"/>
      <c r="D22" s="679"/>
      <c r="E22" s="679"/>
    </row>
    <row r="23" spans="2:5" ht="18" x14ac:dyDescent="0.2">
      <c r="B23" s="679"/>
      <c r="C23" s="679"/>
      <c r="D23" s="679"/>
      <c r="E23" s="679"/>
    </row>
    <row r="24" spans="2:5" ht="18" x14ac:dyDescent="0.2">
      <c r="B24" s="679"/>
      <c r="C24" s="679"/>
      <c r="D24" s="679"/>
      <c r="E24" s="679"/>
    </row>
    <row r="25" spans="2:5" ht="18" x14ac:dyDescent="0.2">
      <c r="B25" s="679"/>
      <c r="C25" s="679"/>
      <c r="D25" s="679"/>
      <c r="E25" s="679"/>
    </row>
    <row r="26" spans="2:5" ht="18" x14ac:dyDescent="0.2">
      <c r="B26" s="679"/>
      <c r="C26" s="679"/>
      <c r="D26" s="679"/>
      <c r="E26" s="679"/>
    </row>
    <row r="27" spans="2:5" ht="18" x14ac:dyDescent="0.2">
      <c r="B27" s="679"/>
      <c r="C27" s="679"/>
      <c r="D27" s="679"/>
      <c r="E27" s="679"/>
    </row>
    <row r="28" spans="2:5" ht="18" x14ac:dyDescent="0.2">
      <c r="B28" s="679"/>
      <c r="C28" s="679"/>
      <c r="D28" s="679"/>
      <c r="E28" s="679"/>
    </row>
    <row r="29" spans="2:5" ht="18" x14ac:dyDescent="0.2">
      <c r="B29" s="679"/>
      <c r="C29" s="679"/>
      <c r="D29" s="679"/>
      <c r="E29" s="679"/>
    </row>
    <row r="30" spans="2:5" ht="18" x14ac:dyDescent="0.2">
      <c r="B30" s="679"/>
      <c r="C30" s="679"/>
      <c r="D30" s="679"/>
      <c r="E30" s="679"/>
    </row>
    <row r="31" spans="2:5" ht="18" x14ac:dyDescent="0.2">
      <c r="B31" s="679"/>
      <c r="C31" s="679"/>
      <c r="D31" s="679"/>
      <c r="E31" s="679"/>
    </row>
    <row r="32" spans="2:5" ht="18" x14ac:dyDescent="0.2">
      <c r="B32" s="679"/>
      <c r="C32" s="679"/>
      <c r="D32" s="679"/>
      <c r="E32" s="679"/>
    </row>
    <row r="33" spans="2:5" ht="18" x14ac:dyDescent="0.2">
      <c r="B33" s="679"/>
      <c r="C33" s="679"/>
      <c r="D33" s="679"/>
      <c r="E33" s="679"/>
    </row>
    <row r="34" spans="2:5" ht="18" x14ac:dyDescent="0.2">
      <c r="B34" s="679"/>
      <c r="C34" s="679"/>
      <c r="D34" s="679"/>
      <c r="E34" s="679"/>
    </row>
    <row r="35" spans="2:5" ht="18" x14ac:dyDescent="0.2">
      <c r="B35" s="679"/>
      <c r="C35" s="679"/>
      <c r="D35" s="679"/>
      <c r="E35" s="679"/>
    </row>
    <row r="36" spans="2:5" ht="18" x14ac:dyDescent="0.2">
      <c r="B36" s="679"/>
      <c r="C36" s="679"/>
      <c r="D36" s="679"/>
      <c r="E36" s="679"/>
    </row>
    <row r="37" spans="2:5" ht="18" x14ac:dyDescent="0.2">
      <c r="B37" s="679"/>
      <c r="C37" s="679"/>
      <c r="D37" s="679"/>
      <c r="E37" s="679"/>
    </row>
    <row r="38" spans="2:5" ht="18" x14ac:dyDescent="0.2">
      <c r="B38" s="679"/>
      <c r="C38" s="679"/>
      <c r="D38" s="679"/>
      <c r="E38" s="679"/>
    </row>
    <row r="39" spans="2:5" ht="18" x14ac:dyDescent="0.2">
      <c r="B39" s="679"/>
      <c r="C39" s="679"/>
      <c r="D39" s="679"/>
      <c r="E39" s="679"/>
    </row>
    <row r="40" spans="2:5" ht="18" x14ac:dyDescent="0.2">
      <c r="B40" s="679"/>
      <c r="C40" s="679"/>
      <c r="D40" s="679"/>
      <c r="E40" s="679"/>
    </row>
    <row r="41" spans="2:5" ht="18" x14ac:dyDescent="0.2">
      <c r="B41" s="679"/>
      <c r="C41" s="679"/>
      <c r="D41" s="679"/>
      <c r="E41" s="679"/>
    </row>
    <row r="42" spans="2:5" ht="18" x14ac:dyDescent="0.2">
      <c r="B42" s="679"/>
      <c r="C42" s="679"/>
      <c r="D42" s="679"/>
      <c r="E42" s="679"/>
    </row>
    <row r="43" spans="2:5" ht="18" x14ac:dyDescent="0.2">
      <c r="B43" s="679"/>
      <c r="C43" s="679"/>
      <c r="D43" s="679"/>
      <c r="E43" s="679"/>
    </row>
    <row r="44" spans="2:5" ht="18" x14ac:dyDescent="0.2">
      <c r="B44" s="679"/>
      <c r="C44" s="679"/>
      <c r="D44" s="679"/>
      <c r="E44" s="679"/>
    </row>
    <row r="45" spans="2:5" ht="18" x14ac:dyDescent="0.2">
      <c r="B45" s="682"/>
      <c r="C45" s="685"/>
      <c r="D45" s="685"/>
      <c r="E45" s="685"/>
    </row>
    <row r="46" spans="2:5" ht="12.75" customHeight="1" x14ac:dyDescent="0.2"/>
    <row r="47" spans="2:5" ht="12.75" hidden="1" customHeight="1" x14ac:dyDescent="0.2"/>
    <row r="48" spans="2:5" ht="12.75" hidden="1" customHeight="1" x14ac:dyDescent="0.2"/>
    <row r="49" ht="12.75" hidden="1" customHeight="1" x14ac:dyDescent="0.2"/>
    <row r="50" ht="12.75" hidden="1" customHeight="1" x14ac:dyDescent="0.2"/>
    <row r="51" ht="12.75" hidden="1" customHeight="1" x14ac:dyDescent="0.2"/>
    <row r="52" ht="12.75" hidden="1" customHeight="1" x14ac:dyDescent="0.2"/>
    <row r="53" ht="12.75" hidden="1" customHeight="1" x14ac:dyDescent="0.2"/>
    <row r="54" ht="12.75" hidden="1" customHeight="1" x14ac:dyDescent="0.2"/>
    <row r="55" ht="12.75" hidden="1" customHeight="1" x14ac:dyDescent="0.2"/>
    <row r="56" ht="12.75" hidden="1" customHeight="1" x14ac:dyDescent="0.2"/>
    <row r="57" ht="12.75" hidden="1" customHeight="1" x14ac:dyDescent="0.2"/>
    <row r="58" ht="12.75" hidden="1" customHeight="1" x14ac:dyDescent="0.2"/>
    <row r="59" ht="12.75" hidden="1" customHeight="1" x14ac:dyDescent="0.2"/>
    <row r="60" ht="12.75" hidden="1" customHeight="1" x14ac:dyDescent="0.2"/>
    <row r="61" ht="12.75" hidden="1" customHeight="1" x14ac:dyDescent="0.2"/>
    <row r="62" hidden="1" x14ac:dyDescent="0.2"/>
    <row r="63" hidden="1" x14ac:dyDescent="0.2"/>
    <row r="64" hidden="1" x14ac:dyDescent="0.2"/>
    <row r="65" hidden="1" x14ac:dyDescent="0.2"/>
    <row r="66" hidden="1" x14ac:dyDescent="0.2"/>
    <row r="67" hidden="1" x14ac:dyDescent="0.2"/>
    <row r="68" hidden="1" x14ac:dyDescent="0.2"/>
  </sheetData>
  <sheetProtection sheet="1" objects="1" scenarios="1"/>
  <mergeCells count="1">
    <mergeCell ref="D2:E2"/>
  </mergeCells>
  <pageMargins left="0.19685039370078741" right="0.19685039370078741" top="0.19685039370078741" bottom="0.19685039370078741" header="0.11811023622047245" footer="0.11811023622047245"/>
  <pageSetup paperSize="9" scale="97" pageOrder="overThenDown" orientation="portrait" r:id="rId1"/>
  <headerFooter alignWithMargins="0"/>
  <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wksContactLeft">
    <pageSetUpPr fitToPage="1"/>
  </sheetPr>
  <dimension ref="A1:I61"/>
  <sheetViews>
    <sheetView showGridLines="0" showRowColHeaders="0" workbookViewId="0"/>
  </sheetViews>
  <sheetFormatPr defaultColWidth="0" defaultRowHeight="12.75" customHeight="1" zeroHeight="1" x14ac:dyDescent="0.2"/>
  <cols>
    <col min="1" max="2" width="27.85546875" style="72" customWidth="1"/>
    <col min="3" max="4" width="17" style="72" customWidth="1"/>
    <col min="5" max="5" width="12.7109375" style="72" customWidth="1"/>
    <col min="6" max="7" width="9.140625" style="72" hidden="1" customWidth="1"/>
    <col min="8" max="8" width="3.28515625" style="72" hidden="1" customWidth="1"/>
    <col min="9" max="9" width="11" style="72" hidden="1" customWidth="1"/>
    <col min="10" max="16384" width="9.140625" style="72" hidden="1"/>
  </cols>
  <sheetData>
    <row r="1" spans="1:4" ht="24.75" x14ac:dyDescent="0.2">
      <c r="A1" s="672" t="str">
        <f ca="1">'GPlan-Translations'!C308</f>
        <v>CONTATO</v>
      </c>
      <c r="B1" s="673" t="str">
        <f>Parameters!I28</f>
        <v>A B C D</v>
      </c>
      <c r="C1" s="74"/>
      <c r="D1" s="105"/>
    </row>
    <row r="2" spans="1:4" ht="18" x14ac:dyDescent="0.25">
      <c r="A2" s="674"/>
    </row>
    <row r="3" spans="1:4" ht="18" x14ac:dyDescent="0.2">
      <c r="A3" s="675" t="str">
        <f ca="1">'GPlan-Translations'!C309</f>
        <v>Nome</v>
      </c>
      <c r="B3" s="676" t="str">
        <f ca="1">'GPlan-Translations'!C310</f>
        <v>Endereço</v>
      </c>
      <c r="C3" s="677" t="str">
        <f ca="1">'GPlan-Translations'!C311</f>
        <v>Telefone</v>
      </c>
      <c r="D3" s="678" t="str">
        <f ca="1">'GPlan-Translations'!C319</f>
        <v>Celular</v>
      </c>
    </row>
    <row r="4" spans="1:4" ht="18" x14ac:dyDescent="0.2">
      <c r="A4" s="679"/>
      <c r="B4" s="680"/>
      <c r="C4" s="681"/>
      <c r="D4" s="679"/>
    </row>
    <row r="5" spans="1:4" ht="18" x14ac:dyDescent="0.2">
      <c r="A5" s="679"/>
      <c r="B5" s="680"/>
      <c r="C5" s="681"/>
      <c r="D5" s="679"/>
    </row>
    <row r="6" spans="1:4" ht="18" x14ac:dyDescent="0.2">
      <c r="A6" s="679"/>
      <c r="B6" s="680"/>
      <c r="C6" s="681"/>
      <c r="D6" s="679"/>
    </row>
    <row r="7" spans="1:4" ht="18" customHeight="1" x14ac:dyDescent="0.2">
      <c r="A7" s="679"/>
      <c r="B7" s="680"/>
      <c r="C7" s="681"/>
      <c r="D7" s="679"/>
    </row>
    <row r="8" spans="1:4" ht="18" customHeight="1" x14ac:dyDescent="0.2">
      <c r="A8" s="679"/>
      <c r="B8" s="680"/>
      <c r="C8" s="681"/>
      <c r="D8" s="679"/>
    </row>
    <row r="9" spans="1:4" ht="18" customHeight="1" x14ac:dyDescent="0.2">
      <c r="A9" s="679"/>
      <c r="B9" s="680"/>
      <c r="C9" s="681"/>
      <c r="D9" s="679"/>
    </row>
    <row r="10" spans="1:4" ht="18" customHeight="1" x14ac:dyDescent="0.2">
      <c r="A10" s="679"/>
      <c r="B10" s="680"/>
      <c r="C10" s="681"/>
      <c r="D10" s="679"/>
    </row>
    <row r="11" spans="1:4" ht="18" x14ac:dyDescent="0.2">
      <c r="A11" s="679"/>
      <c r="B11" s="680"/>
      <c r="C11" s="681"/>
      <c r="D11" s="679"/>
    </row>
    <row r="12" spans="1:4" ht="18" customHeight="1" x14ac:dyDescent="0.2">
      <c r="A12" s="679"/>
      <c r="B12" s="680"/>
      <c r="C12" s="681"/>
      <c r="D12" s="679"/>
    </row>
    <row r="13" spans="1:4" ht="18" x14ac:dyDescent="0.2">
      <c r="A13" s="679"/>
      <c r="B13" s="680"/>
      <c r="C13" s="681"/>
      <c r="D13" s="679"/>
    </row>
    <row r="14" spans="1:4" ht="18" x14ac:dyDescent="0.2">
      <c r="A14" s="679"/>
      <c r="B14" s="680"/>
      <c r="C14" s="681"/>
      <c r="D14" s="679"/>
    </row>
    <row r="15" spans="1:4" ht="18" customHeight="1" x14ac:dyDescent="0.2">
      <c r="A15" s="679"/>
      <c r="B15" s="680"/>
      <c r="C15" s="681"/>
      <c r="D15" s="679"/>
    </row>
    <row r="16" spans="1:4" ht="18" customHeight="1" x14ac:dyDescent="0.2">
      <c r="A16" s="679"/>
      <c r="B16" s="680"/>
      <c r="C16" s="681"/>
      <c r="D16" s="679"/>
    </row>
    <row r="17" spans="1:4" ht="18" customHeight="1" x14ac:dyDescent="0.2">
      <c r="A17" s="679"/>
      <c r="B17" s="680"/>
      <c r="C17" s="681"/>
      <c r="D17" s="679"/>
    </row>
    <row r="18" spans="1:4" ht="18" customHeight="1" x14ac:dyDescent="0.2">
      <c r="A18" s="679"/>
      <c r="B18" s="680"/>
      <c r="C18" s="681"/>
      <c r="D18" s="679"/>
    </row>
    <row r="19" spans="1:4" ht="18" x14ac:dyDescent="0.2">
      <c r="A19" s="679"/>
      <c r="B19" s="680"/>
      <c r="C19" s="681"/>
      <c r="D19" s="679"/>
    </row>
    <row r="20" spans="1:4" ht="18" x14ac:dyDescent="0.2">
      <c r="A20" s="679"/>
      <c r="B20" s="680"/>
      <c r="C20" s="681"/>
      <c r="D20" s="679"/>
    </row>
    <row r="21" spans="1:4" ht="18" x14ac:dyDescent="0.2">
      <c r="A21" s="679"/>
      <c r="B21" s="680"/>
      <c r="C21" s="681"/>
      <c r="D21" s="679"/>
    </row>
    <row r="22" spans="1:4" ht="18" customHeight="1" x14ac:dyDescent="0.2">
      <c r="A22" s="679"/>
      <c r="B22" s="680"/>
      <c r="C22" s="681"/>
      <c r="D22" s="679"/>
    </row>
    <row r="23" spans="1:4" ht="18" customHeight="1" x14ac:dyDescent="0.2">
      <c r="A23" s="679"/>
      <c r="B23" s="680"/>
      <c r="C23" s="681"/>
      <c r="D23" s="679"/>
    </row>
    <row r="24" spans="1:4" ht="18" x14ac:dyDescent="0.2">
      <c r="A24" s="679"/>
      <c r="B24" s="680"/>
      <c r="C24" s="681"/>
      <c r="D24" s="679"/>
    </row>
    <row r="25" spans="1:4" ht="18" x14ac:dyDescent="0.2">
      <c r="A25" s="679"/>
      <c r="B25" s="680"/>
      <c r="C25" s="681"/>
      <c r="D25" s="679"/>
    </row>
    <row r="26" spans="1:4" ht="18" x14ac:dyDescent="0.2">
      <c r="A26" s="679"/>
      <c r="B26" s="680"/>
      <c r="C26" s="681"/>
      <c r="D26" s="679"/>
    </row>
    <row r="27" spans="1:4" ht="18" x14ac:dyDescent="0.2">
      <c r="A27" s="679"/>
      <c r="B27" s="680"/>
      <c r="C27" s="681"/>
      <c r="D27" s="679"/>
    </row>
    <row r="28" spans="1:4" ht="18" x14ac:dyDescent="0.2">
      <c r="A28" s="679"/>
      <c r="B28" s="680"/>
      <c r="C28" s="681"/>
      <c r="D28" s="679"/>
    </row>
    <row r="29" spans="1:4" ht="18" x14ac:dyDescent="0.2">
      <c r="A29" s="679"/>
      <c r="B29" s="680"/>
      <c r="C29" s="681"/>
      <c r="D29" s="679"/>
    </row>
    <row r="30" spans="1:4" ht="18" x14ac:dyDescent="0.2">
      <c r="A30" s="679"/>
      <c r="B30" s="680"/>
      <c r="C30" s="681"/>
      <c r="D30" s="679"/>
    </row>
    <row r="31" spans="1:4" ht="18" x14ac:dyDescent="0.2">
      <c r="A31" s="679"/>
      <c r="B31" s="680"/>
      <c r="C31" s="681"/>
      <c r="D31" s="679"/>
    </row>
    <row r="32" spans="1:4" ht="18" x14ac:dyDescent="0.2">
      <c r="A32" s="679"/>
      <c r="B32" s="680"/>
      <c r="C32" s="681"/>
      <c r="D32" s="679"/>
    </row>
    <row r="33" spans="1:4" ht="18" x14ac:dyDescent="0.2">
      <c r="A33" s="679"/>
      <c r="B33" s="680"/>
      <c r="C33" s="681"/>
      <c r="D33" s="679"/>
    </row>
    <row r="34" spans="1:4" ht="18" x14ac:dyDescent="0.2">
      <c r="A34" s="679"/>
      <c r="B34" s="680"/>
      <c r="C34" s="681"/>
      <c r="D34" s="679"/>
    </row>
    <row r="35" spans="1:4" ht="18" x14ac:dyDescent="0.2">
      <c r="A35" s="679"/>
      <c r="B35" s="680"/>
      <c r="C35" s="681"/>
      <c r="D35" s="679"/>
    </row>
    <row r="36" spans="1:4" ht="18" x14ac:dyDescent="0.2">
      <c r="A36" s="679"/>
      <c r="B36" s="680"/>
      <c r="C36" s="681"/>
      <c r="D36" s="679"/>
    </row>
    <row r="37" spans="1:4" ht="18" x14ac:dyDescent="0.2">
      <c r="A37" s="679"/>
      <c r="B37" s="680"/>
      <c r="C37" s="681"/>
      <c r="D37" s="679"/>
    </row>
    <row r="38" spans="1:4" ht="18" x14ac:dyDescent="0.2">
      <c r="A38" s="679"/>
      <c r="B38" s="680"/>
      <c r="C38" s="681"/>
      <c r="D38" s="679"/>
    </row>
    <row r="39" spans="1:4" ht="18" x14ac:dyDescent="0.2">
      <c r="A39" s="679"/>
      <c r="B39" s="680"/>
      <c r="C39" s="681"/>
      <c r="D39" s="679"/>
    </row>
    <row r="40" spans="1:4" ht="18" x14ac:dyDescent="0.2">
      <c r="A40" s="679"/>
      <c r="B40" s="680"/>
      <c r="C40" s="681"/>
      <c r="D40" s="679"/>
    </row>
    <row r="41" spans="1:4" ht="18" x14ac:dyDescent="0.2">
      <c r="A41" s="679"/>
      <c r="B41" s="680"/>
      <c r="C41" s="681"/>
      <c r="D41" s="679"/>
    </row>
    <row r="42" spans="1:4" ht="18" x14ac:dyDescent="0.2">
      <c r="A42" s="679"/>
      <c r="B42" s="680"/>
      <c r="C42" s="681"/>
      <c r="D42" s="679"/>
    </row>
    <row r="43" spans="1:4" ht="18" x14ac:dyDescent="0.2">
      <c r="A43" s="679"/>
      <c r="B43" s="680"/>
      <c r="C43" s="681"/>
      <c r="D43" s="679"/>
    </row>
    <row r="44" spans="1:4" ht="18" x14ac:dyDescent="0.2">
      <c r="A44" s="679"/>
      <c r="B44" s="680"/>
      <c r="C44" s="681"/>
      <c r="D44" s="679"/>
    </row>
    <row r="45" spans="1:4" ht="18" x14ac:dyDescent="0.2">
      <c r="A45" s="682"/>
      <c r="B45" s="683"/>
      <c r="C45" s="684"/>
      <c r="D45" s="685"/>
    </row>
    <row r="46" spans="1:4" x14ac:dyDescent="0.2"/>
    <row r="47" spans="1:4" hidden="1" x14ac:dyDescent="0.2"/>
    <row r="48" spans="1:4" hidden="1" x14ac:dyDescent="0.2"/>
    <row r="49" hidden="1" x14ac:dyDescent="0.2"/>
    <row r="50" hidden="1" x14ac:dyDescent="0.2"/>
    <row r="51" hidden="1" x14ac:dyDescent="0.2"/>
    <row r="52" hidden="1" x14ac:dyDescent="0.2"/>
    <row r="53" hidden="1" x14ac:dyDescent="0.2"/>
    <row r="54" hidden="1" x14ac:dyDescent="0.2"/>
    <row r="55" hidden="1" x14ac:dyDescent="0.2"/>
    <row r="56" hidden="1" x14ac:dyDescent="0.2"/>
    <row r="57" hidden="1" x14ac:dyDescent="0.2"/>
    <row r="58" hidden="1" x14ac:dyDescent="0.2"/>
    <row r="59" hidden="1" x14ac:dyDescent="0.2"/>
    <row r="60" hidden="1" x14ac:dyDescent="0.2"/>
    <row r="61" hidden="1" x14ac:dyDescent="0.2"/>
  </sheetData>
  <sheetProtection sheet="1" objects="1" scenarios="1"/>
  <pageMargins left="0.19685039370078741" right="0.19685039370078741" top="0.19685039370078741" bottom="0.19685039370078741" header="0.11811023622047245" footer="0.11811023622047245"/>
  <pageSetup paperSize="9" scale="97" pageOrder="overThenDown"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64513" r:id="rId4" name="ContactSelect1">
              <controlPr defaultSize="0" print="0" autoPict="0">
                <anchor moveWithCells="1">
                  <from>
                    <xdr:col>2</xdr:col>
                    <xdr:colOff>238125</xdr:colOff>
                    <xdr:row>0</xdr:row>
                    <xdr:rowOff>76200</xdr:rowOff>
                  </from>
                  <to>
                    <xdr:col>2</xdr:col>
                    <xdr:colOff>609600</xdr:colOff>
                    <xdr:row>1</xdr:row>
                    <xdr:rowOff>85725</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wksContactRight">
    <pageSetUpPr fitToPage="1"/>
  </sheetPr>
  <dimension ref="A1:I68"/>
  <sheetViews>
    <sheetView showGridLines="0" showRowColHeaders="0" workbookViewId="0"/>
  </sheetViews>
  <sheetFormatPr defaultColWidth="0" defaultRowHeight="12.75" customHeight="1" zeroHeight="1" x14ac:dyDescent="0.2"/>
  <cols>
    <col min="1" max="1" width="12.7109375" style="72" customWidth="1"/>
    <col min="2" max="3" width="27.85546875" style="72" customWidth="1"/>
    <col min="4" max="5" width="17" style="72" customWidth="1"/>
    <col min="6" max="6" width="3.7109375" style="72" customWidth="1"/>
    <col min="7" max="8" width="9.140625" style="72" hidden="1" customWidth="1"/>
    <col min="9" max="9" width="11.42578125" style="72" hidden="1" customWidth="1"/>
    <col min="10" max="16384" width="9.140625" style="72" hidden="1"/>
  </cols>
  <sheetData>
    <row r="1" spans="2:5" ht="24.75" x14ac:dyDescent="0.2">
      <c r="B1" s="686"/>
      <c r="C1" s="687" t="str">
        <f>Parameters!I29</f>
        <v>E F G H</v>
      </c>
      <c r="D1" s="74"/>
      <c r="E1" s="688" t="str">
        <f ca="1">'GPlan-Translations'!C315</f>
        <v>CONTATO</v>
      </c>
    </row>
    <row r="2" spans="2:5" ht="18" x14ac:dyDescent="0.25">
      <c r="E2" s="674"/>
    </row>
    <row r="3" spans="2:5" ht="18" x14ac:dyDescent="0.2">
      <c r="B3" s="675" t="str">
        <f ca="1">'GPlan-Translations'!C316</f>
        <v>Nome</v>
      </c>
      <c r="C3" s="676" t="str">
        <f ca="1">'GPlan-Translations'!C310</f>
        <v>Endereço</v>
      </c>
      <c r="D3" s="677" t="str">
        <f ca="1">'GPlan-Translations'!C318</f>
        <v>Telefone</v>
      </c>
      <c r="E3" s="678" t="str">
        <f ca="1">'GPlan-Translations'!C319</f>
        <v>Celular</v>
      </c>
    </row>
    <row r="4" spans="2:5" ht="18" x14ac:dyDescent="0.2">
      <c r="B4" s="679"/>
      <c r="C4" s="680"/>
      <c r="D4" s="681"/>
      <c r="E4" s="679"/>
    </row>
    <row r="5" spans="2:5" ht="18" x14ac:dyDescent="0.2">
      <c r="B5" s="679"/>
      <c r="C5" s="680"/>
      <c r="D5" s="681"/>
      <c r="E5" s="679"/>
    </row>
    <row r="6" spans="2:5" ht="18" x14ac:dyDescent="0.2">
      <c r="B6" s="679"/>
      <c r="C6" s="680"/>
      <c r="D6" s="681"/>
      <c r="E6" s="679"/>
    </row>
    <row r="7" spans="2:5" ht="18" x14ac:dyDescent="0.2">
      <c r="B7" s="679"/>
      <c r="C7" s="680"/>
      <c r="D7" s="681"/>
      <c r="E7" s="679"/>
    </row>
    <row r="8" spans="2:5" ht="18" x14ac:dyDescent="0.2">
      <c r="B8" s="679"/>
      <c r="C8" s="680"/>
      <c r="D8" s="681"/>
      <c r="E8" s="679"/>
    </row>
    <row r="9" spans="2:5" ht="18" x14ac:dyDescent="0.2">
      <c r="B9" s="679"/>
      <c r="C9" s="680"/>
      <c r="D9" s="681"/>
      <c r="E9" s="679"/>
    </row>
    <row r="10" spans="2:5" ht="18" x14ac:dyDescent="0.2">
      <c r="B10" s="679"/>
      <c r="C10" s="680"/>
      <c r="D10" s="681"/>
      <c r="E10" s="679"/>
    </row>
    <row r="11" spans="2:5" ht="18" x14ac:dyDescent="0.2">
      <c r="B11" s="679"/>
      <c r="C11" s="680"/>
      <c r="D11" s="681"/>
      <c r="E11" s="679"/>
    </row>
    <row r="12" spans="2:5" ht="18" x14ac:dyDescent="0.2">
      <c r="B12" s="679"/>
      <c r="C12" s="680"/>
      <c r="D12" s="681"/>
      <c r="E12" s="679"/>
    </row>
    <row r="13" spans="2:5" ht="18" x14ac:dyDescent="0.2">
      <c r="B13" s="679"/>
      <c r="C13" s="680"/>
      <c r="D13" s="681"/>
      <c r="E13" s="679"/>
    </row>
    <row r="14" spans="2:5" ht="18" x14ac:dyDescent="0.2">
      <c r="B14" s="679"/>
      <c r="C14" s="680"/>
      <c r="D14" s="681"/>
      <c r="E14" s="679"/>
    </row>
    <row r="15" spans="2:5" ht="18" x14ac:dyDescent="0.2">
      <c r="B15" s="679"/>
      <c r="C15" s="680"/>
      <c r="D15" s="681"/>
      <c r="E15" s="679"/>
    </row>
    <row r="16" spans="2:5" ht="18" x14ac:dyDescent="0.2">
      <c r="B16" s="679"/>
      <c r="C16" s="680"/>
      <c r="D16" s="681"/>
      <c r="E16" s="679"/>
    </row>
    <row r="17" spans="2:5" ht="18" x14ac:dyDescent="0.2">
      <c r="B17" s="679"/>
      <c r="C17" s="680"/>
      <c r="D17" s="681"/>
      <c r="E17" s="679"/>
    </row>
    <row r="18" spans="2:5" ht="18" x14ac:dyDescent="0.2">
      <c r="B18" s="679"/>
      <c r="C18" s="680"/>
      <c r="D18" s="681"/>
      <c r="E18" s="679"/>
    </row>
    <row r="19" spans="2:5" ht="18" x14ac:dyDescent="0.2">
      <c r="B19" s="679"/>
      <c r="C19" s="680"/>
      <c r="D19" s="681"/>
      <c r="E19" s="679"/>
    </row>
    <row r="20" spans="2:5" ht="18" x14ac:dyDescent="0.2">
      <c r="B20" s="679"/>
      <c r="C20" s="680"/>
      <c r="D20" s="681"/>
      <c r="E20" s="679"/>
    </row>
    <row r="21" spans="2:5" ht="18" x14ac:dyDescent="0.2">
      <c r="B21" s="679"/>
      <c r="C21" s="680"/>
      <c r="D21" s="681"/>
      <c r="E21" s="679"/>
    </row>
    <row r="22" spans="2:5" ht="18" x14ac:dyDescent="0.2">
      <c r="B22" s="679"/>
      <c r="C22" s="680"/>
      <c r="D22" s="681"/>
      <c r="E22" s="679"/>
    </row>
    <row r="23" spans="2:5" ht="18" x14ac:dyDescent="0.2">
      <c r="B23" s="679"/>
      <c r="C23" s="680"/>
      <c r="D23" s="681"/>
      <c r="E23" s="679"/>
    </row>
    <row r="24" spans="2:5" ht="18" x14ac:dyDescent="0.2">
      <c r="B24" s="679"/>
      <c r="C24" s="680"/>
      <c r="D24" s="681"/>
      <c r="E24" s="679"/>
    </row>
    <row r="25" spans="2:5" ht="18" x14ac:dyDescent="0.2">
      <c r="B25" s="679"/>
      <c r="C25" s="680"/>
      <c r="D25" s="681"/>
      <c r="E25" s="679"/>
    </row>
    <row r="26" spans="2:5" ht="18" x14ac:dyDescent="0.2">
      <c r="B26" s="679"/>
      <c r="C26" s="680"/>
      <c r="D26" s="681"/>
      <c r="E26" s="679"/>
    </row>
    <row r="27" spans="2:5" ht="18" x14ac:dyDescent="0.2">
      <c r="B27" s="679"/>
      <c r="C27" s="680"/>
      <c r="D27" s="681"/>
      <c r="E27" s="679"/>
    </row>
    <row r="28" spans="2:5" ht="18" x14ac:dyDescent="0.2">
      <c r="B28" s="679"/>
      <c r="C28" s="680"/>
      <c r="D28" s="681"/>
      <c r="E28" s="679"/>
    </row>
    <row r="29" spans="2:5" ht="18" x14ac:dyDescent="0.2">
      <c r="B29" s="679"/>
      <c r="C29" s="680"/>
      <c r="D29" s="681"/>
      <c r="E29" s="679"/>
    </row>
    <row r="30" spans="2:5" ht="18" x14ac:dyDescent="0.2">
      <c r="B30" s="679"/>
      <c r="C30" s="680"/>
      <c r="D30" s="681"/>
      <c r="E30" s="679"/>
    </row>
    <row r="31" spans="2:5" ht="18" x14ac:dyDescent="0.2">
      <c r="B31" s="679"/>
      <c r="C31" s="680"/>
      <c r="D31" s="681"/>
      <c r="E31" s="679"/>
    </row>
    <row r="32" spans="2:5" ht="18" x14ac:dyDescent="0.2">
      <c r="B32" s="679"/>
      <c r="C32" s="680"/>
      <c r="D32" s="681"/>
      <c r="E32" s="679"/>
    </row>
    <row r="33" spans="2:5" ht="18" x14ac:dyDescent="0.2">
      <c r="B33" s="679"/>
      <c r="C33" s="680"/>
      <c r="D33" s="681"/>
      <c r="E33" s="679"/>
    </row>
    <row r="34" spans="2:5" ht="18" x14ac:dyDescent="0.2">
      <c r="B34" s="679"/>
      <c r="C34" s="680"/>
      <c r="D34" s="681"/>
      <c r="E34" s="679"/>
    </row>
    <row r="35" spans="2:5" ht="18" x14ac:dyDescent="0.2">
      <c r="B35" s="679"/>
      <c r="C35" s="680"/>
      <c r="D35" s="681"/>
      <c r="E35" s="679"/>
    </row>
    <row r="36" spans="2:5" ht="18" x14ac:dyDescent="0.2">
      <c r="B36" s="679"/>
      <c r="C36" s="680"/>
      <c r="D36" s="681"/>
      <c r="E36" s="679"/>
    </row>
    <row r="37" spans="2:5" ht="18" x14ac:dyDescent="0.2">
      <c r="B37" s="679"/>
      <c r="C37" s="680"/>
      <c r="D37" s="681"/>
      <c r="E37" s="679"/>
    </row>
    <row r="38" spans="2:5" ht="18" x14ac:dyDescent="0.2">
      <c r="B38" s="679"/>
      <c r="C38" s="680"/>
      <c r="D38" s="681"/>
      <c r="E38" s="679"/>
    </row>
    <row r="39" spans="2:5" ht="18" x14ac:dyDescent="0.2">
      <c r="B39" s="679"/>
      <c r="C39" s="680"/>
      <c r="D39" s="681"/>
      <c r="E39" s="679"/>
    </row>
    <row r="40" spans="2:5" ht="18" x14ac:dyDescent="0.2">
      <c r="B40" s="679"/>
      <c r="C40" s="680"/>
      <c r="D40" s="681"/>
      <c r="E40" s="679"/>
    </row>
    <row r="41" spans="2:5" ht="18" x14ac:dyDescent="0.2">
      <c r="B41" s="679"/>
      <c r="C41" s="680"/>
      <c r="D41" s="681"/>
      <c r="E41" s="679"/>
    </row>
    <row r="42" spans="2:5" ht="18" x14ac:dyDescent="0.2">
      <c r="B42" s="679"/>
      <c r="C42" s="680"/>
      <c r="D42" s="681"/>
      <c r="E42" s="679"/>
    </row>
    <row r="43" spans="2:5" ht="18" x14ac:dyDescent="0.2">
      <c r="B43" s="679"/>
      <c r="C43" s="680"/>
      <c r="D43" s="681"/>
      <c r="E43" s="679"/>
    </row>
    <row r="44" spans="2:5" ht="18" x14ac:dyDescent="0.2">
      <c r="B44" s="679"/>
      <c r="C44" s="680"/>
      <c r="D44" s="681"/>
      <c r="E44" s="679"/>
    </row>
    <row r="45" spans="2:5" ht="18" x14ac:dyDescent="0.2">
      <c r="B45" s="682"/>
      <c r="C45" s="683"/>
      <c r="D45" s="684"/>
      <c r="E45" s="685"/>
    </row>
    <row r="46" spans="2:5" ht="12.75" customHeight="1" x14ac:dyDescent="0.2"/>
    <row r="47" spans="2:5" ht="12.75" hidden="1" customHeight="1" x14ac:dyDescent="0.2"/>
    <row r="48" spans="2:5" ht="12.75" hidden="1" customHeight="1" x14ac:dyDescent="0.2"/>
    <row r="49" ht="12.75" hidden="1" customHeight="1" x14ac:dyDescent="0.2"/>
    <row r="50" ht="12.75" hidden="1" customHeight="1" x14ac:dyDescent="0.2"/>
    <row r="51" ht="12.75" hidden="1" customHeight="1" x14ac:dyDescent="0.2"/>
    <row r="52" ht="12.75" hidden="1" customHeight="1" x14ac:dyDescent="0.2"/>
    <row r="53" ht="12.75" hidden="1" customHeight="1" x14ac:dyDescent="0.2"/>
    <row r="54" ht="12.75" hidden="1" customHeight="1" x14ac:dyDescent="0.2"/>
    <row r="55" ht="12.75" hidden="1" customHeight="1" x14ac:dyDescent="0.2"/>
    <row r="56" ht="12.75" hidden="1" customHeight="1" x14ac:dyDescent="0.2"/>
    <row r="57" ht="12.75" hidden="1" customHeight="1" x14ac:dyDescent="0.2"/>
    <row r="58" ht="12.75" hidden="1" customHeight="1" x14ac:dyDescent="0.2"/>
    <row r="59" ht="12.75" hidden="1" customHeight="1" x14ac:dyDescent="0.2"/>
    <row r="60" ht="12.75" hidden="1" customHeight="1" x14ac:dyDescent="0.2"/>
    <row r="61" ht="12.75" hidden="1" customHeight="1" x14ac:dyDescent="0.2"/>
    <row r="62" hidden="1" x14ac:dyDescent="0.2"/>
    <row r="63" hidden="1" x14ac:dyDescent="0.2"/>
    <row r="64" hidden="1" x14ac:dyDescent="0.2"/>
    <row r="65" hidden="1" x14ac:dyDescent="0.2"/>
    <row r="66" hidden="1" x14ac:dyDescent="0.2"/>
    <row r="67" hidden="1" x14ac:dyDescent="0.2"/>
    <row r="68" hidden="1" x14ac:dyDescent="0.2"/>
  </sheetData>
  <sheetProtection sheet="1" objects="1" scenarios="1"/>
  <pageMargins left="0.19685039370078741" right="0.19685039370078741" top="0.19685039370078741" bottom="0.19685039370078741" header="0.11811023622047245" footer="0.11811023622047245"/>
  <pageSetup paperSize="9" scale="97" pageOrder="overThenDown"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65537" r:id="rId4" name="ContactSelect2">
              <controlPr defaultSize="0" print="0" autoPict="0">
                <anchor moveWithCells="1">
                  <from>
                    <xdr:col>3</xdr:col>
                    <xdr:colOff>123825</xdr:colOff>
                    <xdr:row>0</xdr:row>
                    <xdr:rowOff>66675</xdr:rowOff>
                  </from>
                  <to>
                    <xdr:col>3</xdr:col>
                    <xdr:colOff>495300</xdr:colOff>
                    <xdr:row>1</xdr:row>
                    <xdr:rowOff>76200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wksUnitsConversion">
    <pageSetUpPr fitToPage="1"/>
  </sheetPr>
  <dimension ref="B1:AD258"/>
  <sheetViews>
    <sheetView showGridLines="0" zoomScaleSheetLayoutView="100" workbookViewId="0"/>
  </sheetViews>
  <sheetFormatPr defaultRowHeight="15" x14ac:dyDescent="0.25"/>
  <cols>
    <col min="1" max="1" width="1.42578125" customWidth="1"/>
    <col min="2" max="2" width="9.140625" customWidth="1"/>
    <col min="3" max="9" width="12.42578125" customWidth="1"/>
    <col min="10" max="10" width="16.42578125" customWidth="1"/>
    <col min="11" max="11" width="1.42578125" customWidth="1"/>
    <col min="13" max="19" width="12.42578125" customWidth="1"/>
    <col min="20" max="20" width="16.42578125" customWidth="1"/>
    <col min="21" max="21" width="1.42578125" customWidth="1"/>
    <col min="23" max="29" width="12.42578125" customWidth="1"/>
    <col min="30" max="30" width="16.42578125" customWidth="1"/>
    <col min="31" max="31" width="1.42578125" customWidth="1"/>
  </cols>
  <sheetData>
    <row r="1" spans="2:30" ht="19.5" x14ac:dyDescent="0.3">
      <c r="B1" s="788" t="s">
        <v>8704</v>
      </c>
      <c r="L1" s="788" t="s">
        <v>8704</v>
      </c>
      <c r="V1" s="788" t="s">
        <v>8704</v>
      </c>
    </row>
    <row r="3" spans="2:30" x14ac:dyDescent="0.25">
      <c r="B3" s="750" t="s">
        <v>8525</v>
      </c>
      <c r="C3" s="737"/>
      <c r="D3" s="737"/>
      <c r="E3" s="751" t="s">
        <v>8553</v>
      </c>
      <c r="F3" s="751" t="s">
        <v>8554</v>
      </c>
      <c r="G3" s="751" t="s">
        <v>8555</v>
      </c>
      <c r="H3" s="751" t="s">
        <v>8556</v>
      </c>
      <c r="I3" s="751" t="s">
        <v>8557</v>
      </c>
      <c r="J3" s="752" t="s">
        <v>8558</v>
      </c>
      <c r="L3" s="750" t="s">
        <v>8525</v>
      </c>
      <c r="M3" s="737"/>
      <c r="N3" s="737"/>
      <c r="O3" s="751" t="s">
        <v>8553</v>
      </c>
      <c r="P3" s="751" t="s">
        <v>8554</v>
      </c>
      <c r="Q3" s="751" t="s">
        <v>8555</v>
      </c>
      <c r="R3" s="751" t="s">
        <v>8556</v>
      </c>
      <c r="S3" s="751" t="s">
        <v>8557</v>
      </c>
      <c r="T3" s="752" t="s">
        <v>8558</v>
      </c>
      <c r="V3" s="750" t="s">
        <v>8525</v>
      </c>
      <c r="W3" s="737"/>
      <c r="X3" s="737"/>
      <c r="Y3" s="751" t="s">
        <v>8553</v>
      </c>
      <c r="Z3" s="751" t="s">
        <v>8554</v>
      </c>
      <c r="AA3" s="751" t="s">
        <v>8555</v>
      </c>
      <c r="AB3" s="751" t="s">
        <v>8556</v>
      </c>
      <c r="AC3" s="751" t="s">
        <v>8557</v>
      </c>
      <c r="AD3" s="752" t="s">
        <v>8558</v>
      </c>
    </row>
    <row r="4" spans="2:30" ht="17.25" x14ac:dyDescent="0.25">
      <c r="B4" s="726"/>
      <c r="C4" s="729"/>
      <c r="D4" s="731" t="s">
        <v>8526</v>
      </c>
      <c r="E4" s="744" t="s">
        <v>8538</v>
      </c>
      <c r="F4" s="744" t="s">
        <v>8528</v>
      </c>
      <c r="G4" s="744" t="s">
        <v>8559</v>
      </c>
      <c r="H4" s="744" t="s">
        <v>8560</v>
      </c>
      <c r="I4" s="744" t="s">
        <v>8561</v>
      </c>
      <c r="J4" s="745" t="s">
        <v>8562</v>
      </c>
      <c r="L4" s="726"/>
      <c r="M4" s="729"/>
      <c r="N4" s="731" t="s">
        <v>8526</v>
      </c>
      <c r="O4" s="744" t="s">
        <v>8538</v>
      </c>
      <c r="P4" s="744" t="s">
        <v>8528</v>
      </c>
      <c r="Q4" s="744" t="s">
        <v>8559</v>
      </c>
      <c r="R4" s="744" t="s">
        <v>8560</v>
      </c>
      <c r="S4" s="744" t="s">
        <v>8561</v>
      </c>
      <c r="T4" s="745" t="s">
        <v>8562</v>
      </c>
      <c r="V4" s="726"/>
      <c r="W4" s="729"/>
      <c r="X4" s="731" t="s">
        <v>8526</v>
      </c>
      <c r="Y4" s="744" t="s">
        <v>8538</v>
      </c>
      <c r="Z4" s="744" t="s">
        <v>8528</v>
      </c>
      <c r="AA4" s="744" t="s">
        <v>8559</v>
      </c>
      <c r="AB4" s="744" t="s">
        <v>8560</v>
      </c>
      <c r="AC4" s="744" t="s">
        <v>8561</v>
      </c>
      <c r="AD4" s="745" t="s">
        <v>8562</v>
      </c>
    </row>
    <row r="5" spans="2:30" ht="17.25" x14ac:dyDescent="0.25">
      <c r="B5" s="726"/>
      <c r="C5" s="729"/>
      <c r="D5" s="731" t="s">
        <v>8563</v>
      </c>
      <c r="E5" s="746" t="s">
        <v>8568</v>
      </c>
      <c r="F5" s="746" t="s">
        <v>8538</v>
      </c>
      <c r="G5" s="746" t="s">
        <v>8569</v>
      </c>
      <c r="H5" s="746" t="s">
        <v>8570</v>
      </c>
      <c r="I5" s="746" t="s">
        <v>8571</v>
      </c>
      <c r="J5" s="747" t="s">
        <v>8572</v>
      </c>
      <c r="L5" s="726"/>
      <c r="M5" s="729"/>
      <c r="N5" s="731" t="s">
        <v>8563</v>
      </c>
      <c r="O5" s="746" t="s">
        <v>8568</v>
      </c>
      <c r="P5" s="746" t="s">
        <v>8538</v>
      </c>
      <c r="Q5" s="746" t="s">
        <v>8569</v>
      </c>
      <c r="R5" s="746" t="s">
        <v>8570</v>
      </c>
      <c r="S5" s="746" t="s">
        <v>8571</v>
      </c>
      <c r="T5" s="747" t="s">
        <v>8572</v>
      </c>
      <c r="V5" s="726"/>
      <c r="W5" s="729"/>
      <c r="X5" s="731" t="s">
        <v>8563</v>
      </c>
      <c r="Y5" s="746" t="s">
        <v>8568</v>
      </c>
      <c r="Z5" s="746" t="s">
        <v>8538</v>
      </c>
      <c r="AA5" s="746" t="s">
        <v>8569</v>
      </c>
      <c r="AB5" s="746" t="s">
        <v>8570</v>
      </c>
      <c r="AC5" s="746" t="s">
        <v>8571</v>
      </c>
      <c r="AD5" s="747" t="s">
        <v>8572</v>
      </c>
    </row>
    <row r="6" spans="2:30" ht="17.25" x14ac:dyDescent="0.25">
      <c r="B6" s="726"/>
      <c r="C6" s="729"/>
      <c r="D6" s="731" t="s">
        <v>8564</v>
      </c>
      <c r="E6" s="746" t="s">
        <v>8573</v>
      </c>
      <c r="F6" s="746" t="s">
        <v>8574</v>
      </c>
      <c r="G6" s="746" t="s">
        <v>8538</v>
      </c>
      <c r="H6" s="746" t="s">
        <v>8575</v>
      </c>
      <c r="I6" s="746" t="s">
        <v>8576</v>
      </c>
      <c r="J6" s="747" t="s">
        <v>8577</v>
      </c>
      <c r="L6" s="726"/>
      <c r="M6" s="729"/>
      <c r="N6" s="731" t="s">
        <v>8564</v>
      </c>
      <c r="O6" s="746" t="s">
        <v>8573</v>
      </c>
      <c r="P6" s="746" t="s">
        <v>8574</v>
      </c>
      <c r="Q6" s="746" t="s">
        <v>8538</v>
      </c>
      <c r="R6" s="746" t="s">
        <v>8575</v>
      </c>
      <c r="S6" s="746" t="s">
        <v>8576</v>
      </c>
      <c r="T6" s="747" t="s">
        <v>8577</v>
      </c>
      <c r="V6" s="726"/>
      <c r="W6" s="729"/>
      <c r="X6" s="731" t="s">
        <v>8564</v>
      </c>
      <c r="Y6" s="746" t="s">
        <v>8573</v>
      </c>
      <c r="Z6" s="746" t="s">
        <v>8574</v>
      </c>
      <c r="AA6" s="746" t="s">
        <v>8538</v>
      </c>
      <c r="AB6" s="746" t="s">
        <v>8575</v>
      </c>
      <c r="AC6" s="746" t="s">
        <v>8576</v>
      </c>
      <c r="AD6" s="747" t="s">
        <v>8577</v>
      </c>
    </row>
    <row r="7" spans="2:30" ht="17.25" x14ac:dyDescent="0.25">
      <c r="B7" s="726"/>
      <c r="C7" s="729"/>
      <c r="D7" s="731" t="s">
        <v>8567</v>
      </c>
      <c r="E7" s="746" t="s">
        <v>8578</v>
      </c>
      <c r="F7" s="746" t="s">
        <v>8579</v>
      </c>
      <c r="G7" s="746" t="s">
        <v>8580</v>
      </c>
      <c r="H7" s="746" t="s">
        <v>8538</v>
      </c>
      <c r="I7" s="746" t="s">
        <v>8581</v>
      </c>
      <c r="J7" s="747" t="s">
        <v>8582</v>
      </c>
      <c r="L7" s="726"/>
      <c r="M7" s="729"/>
      <c r="N7" s="731" t="s">
        <v>8567</v>
      </c>
      <c r="O7" s="746" t="s">
        <v>8578</v>
      </c>
      <c r="P7" s="746" t="s">
        <v>8579</v>
      </c>
      <c r="Q7" s="746" t="s">
        <v>8580</v>
      </c>
      <c r="R7" s="746" t="s">
        <v>8538</v>
      </c>
      <c r="S7" s="746" t="s">
        <v>8581</v>
      </c>
      <c r="T7" s="747" t="s">
        <v>8582</v>
      </c>
      <c r="V7" s="726"/>
      <c r="W7" s="729"/>
      <c r="X7" s="731" t="s">
        <v>8567</v>
      </c>
      <c r="Y7" s="746" t="s">
        <v>8578</v>
      </c>
      <c r="Z7" s="746" t="s">
        <v>8579</v>
      </c>
      <c r="AA7" s="746" t="s">
        <v>8580</v>
      </c>
      <c r="AB7" s="746" t="s">
        <v>8538</v>
      </c>
      <c r="AC7" s="746" t="s">
        <v>8581</v>
      </c>
      <c r="AD7" s="747" t="s">
        <v>8582</v>
      </c>
    </row>
    <row r="8" spans="2:30" ht="17.25" x14ac:dyDescent="0.25">
      <c r="B8" s="726"/>
      <c r="C8" s="729"/>
      <c r="D8" s="731" t="s">
        <v>8566</v>
      </c>
      <c r="E8" s="746" t="s">
        <v>8583</v>
      </c>
      <c r="F8" s="746" t="s">
        <v>8584</v>
      </c>
      <c r="G8" s="746" t="s">
        <v>8585</v>
      </c>
      <c r="H8" s="746" t="s">
        <v>8586</v>
      </c>
      <c r="I8" s="746" t="s">
        <v>8538</v>
      </c>
      <c r="J8" s="747" t="s">
        <v>8587</v>
      </c>
      <c r="L8" s="726"/>
      <c r="M8" s="729"/>
      <c r="N8" s="731" t="s">
        <v>8566</v>
      </c>
      <c r="O8" s="746" t="s">
        <v>8583</v>
      </c>
      <c r="P8" s="746" t="s">
        <v>8584</v>
      </c>
      <c r="Q8" s="746" t="s">
        <v>8585</v>
      </c>
      <c r="R8" s="746" t="s">
        <v>8586</v>
      </c>
      <c r="S8" s="746" t="s">
        <v>8538</v>
      </c>
      <c r="T8" s="747" t="s">
        <v>8587</v>
      </c>
      <c r="V8" s="726"/>
      <c r="W8" s="729"/>
      <c r="X8" s="731" t="s">
        <v>8566</v>
      </c>
      <c r="Y8" s="746" t="s">
        <v>8583</v>
      </c>
      <c r="Z8" s="746" t="s">
        <v>8584</v>
      </c>
      <c r="AA8" s="746" t="s">
        <v>8585</v>
      </c>
      <c r="AB8" s="746" t="s">
        <v>8586</v>
      </c>
      <c r="AC8" s="746" t="s">
        <v>8538</v>
      </c>
      <c r="AD8" s="747" t="s">
        <v>8587</v>
      </c>
    </row>
    <row r="9" spans="2:30" ht="17.25" x14ac:dyDescent="0.25">
      <c r="B9" s="727"/>
      <c r="C9" s="730"/>
      <c r="D9" s="732" t="s">
        <v>8565</v>
      </c>
      <c r="E9" s="748" t="s">
        <v>8588</v>
      </c>
      <c r="F9" s="748" t="s">
        <v>8589</v>
      </c>
      <c r="G9" s="748" t="s">
        <v>8590</v>
      </c>
      <c r="H9" s="748" t="s">
        <v>8591</v>
      </c>
      <c r="I9" s="748" t="s">
        <v>8592</v>
      </c>
      <c r="J9" s="749" t="s">
        <v>8538</v>
      </c>
      <c r="L9" s="727"/>
      <c r="M9" s="812"/>
      <c r="N9" s="732" t="s">
        <v>8565</v>
      </c>
      <c r="O9" s="748" t="s">
        <v>8588</v>
      </c>
      <c r="P9" s="748" t="s">
        <v>8589</v>
      </c>
      <c r="Q9" s="748" t="s">
        <v>8590</v>
      </c>
      <c r="R9" s="748" t="s">
        <v>8591</v>
      </c>
      <c r="S9" s="748" t="s">
        <v>8592</v>
      </c>
      <c r="T9" s="749" t="s">
        <v>8538</v>
      </c>
      <c r="V9" s="727"/>
      <c r="W9" s="812"/>
      <c r="X9" s="732" t="s">
        <v>8565</v>
      </c>
      <c r="Y9" s="748" t="s">
        <v>8588</v>
      </c>
      <c r="Z9" s="748" t="s">
        <v>8589</v>
      </c>
      <c r="AA9" s="748" t="s">
        <v>8590</v>
      </c>
      <c r="AB9" s="748" t="s">
        <v>8591</v>
      </c>
      <c r="AC9" s="748" t="s">
        <v>8592</v>
      </c>
      <c r="AD9" s="749" t="s">
        <v>8538</v>
      </c>
    </row>
    <row r="10" spans="2:30" ht="17.25" x14ac:dyDescent="0.25">
      <c r="B10" s="717" t="s">
        <v>8601</v>
      </c>
      <c r="E10" s="717" t="s">
        <v>8595</v>
      </c>
      <c r="G10" t="s">
        <v>8599</v>
      </c>
      <c r="I10" s="717" t="s">
        <v>8597</v>
      </c>
      <c r="L10" s="717" t="s">
        <v>8601</v>
      </c>
      <c r="O10" s="717" t="s">
        <v>8595</v>
      </c>
      <c r="Q10" t="s">
        <v>8599</v>
      </c>
      <c r="S10" s="717" t="s">
        <v>8597</v>
      </c>
      <c r="V10" s="717" t="s">
        <v>8601</v>
      </c>
      <c r="Y10" s="717" t="s">
        <v>8595</v>
      </c>
      <c r="AA10" t="s">
        <v>8599</v>
      </c>
      <c r="AC10" s="717" t="s">
        <v>8597</v>
      </c>
    </row>
    <row r="11" spans="2:30" ht="17.25" x14ac:dyDescent="0.25">
      <c r="B11" s="717" t="s">
        <v>8593</v>
      </c>
      <c r="E11" s="734" t="s">
        <v>9188</v>
      </c>
      <c r="G11" t="s">
        <v>8600</v>
      </c>
      <c r="I11" s="776" t="s">
        <v>9189</v>
      </c>
      <c r="L11" s="717" t="s">
        <v>8593</v>
      </c>
      <c r="O11" s="734" t="s">
        <v>9188</v>
      </c>
      <c r="Q11" t="s">
        <v>8600</v>
      </c>
      <c r="S11" s="776" t="s">
        <v>9189</v>
      </c>
      <c r="V11" s="717" t="s">
        <v>8593</v>
      </c>
      <c r="Y11" s="734" t="s">
        <v>9188</v>
      </c>
      <c r="AA11" t="s">
        <v>8600</v>
      </c>
      <c r="AC11" s="776" t="s">
        <v>9189</v>
      </c>
    </row>
    <row r="12" spans="2:30" ht="17.25" x14ac:dyDescent="0.25">
      <c r="B12" s="717" t="s">
        <v>8598</v>
      </c>
      <c r="E12" s="717" t="s">
        <v>8602</v>
      </c>
      <c r="G12" s="717" t="s">
        <v>8596</v>
      </c>
      <c r="I12" s="718" t="s">
        <v>9190</v>
      </c>
      <c r="L12" s="717" t="s">
        <v>8598</v>
      </c>
      <c r="O12" s="717" t="s">
        <v>8602</v>
      </c>
      <c r="Q12" s="717" t="s">
        <v>8596</v>
      </c>
      <c r="S12" s="718" t="s">
        <v>9190</v>
      </c>
      <c r="V12" s="717" t="s">
        <v>8598</v>
      </c>
      <c r="Y12" s="717" t="s">
        <v>8602</v>
      </c>
      <c r="AA12" s="717" t="s">
        <v>8596</v>
      </c>
      <c r="AC12" s="718" t="s">
        <v>9190</v>
      </c>
    </row>
    <row r="13" spans="2:30" ht="17.25" x14ac:dyDescent="0.25">
      <c r="B13" s="717" t="s">
        <v>9187</v>
      </c>
      <c r="E13" s="717" t="s">
        <v>8603</v>
      </c>
      <c r="G13" s="717" t="s">
        <v>8594</v>
      </c>
      <c r="I13" s="718"/>
      <c r="L13" s="717" t="s">
        <v>9187</v>
      </c>
      <c r="O13" s="717" t="s">
        <v>8603</v>
      </c>
      <c r="Q13" s="717" t="s">
        <v>8594</v>
      </c>
      <c r="S13" s="718"/>
      <c r="V13" s="717" t="s">
        <v>9187</v>
      </c>
      <c r="Y13" s="717" t="s">
        <v>8603</v>
      </c>
      <c r="AA13" s="717" t="s">
        <v>8594</v>
      </c>
      <c r="AC13" s="718"/>
    </row>
    <row r="15" spans="2:30" ht="17.25" x14ac:dyDescent="0.25">
      <c r="B15" s="750" t="s">
        <v>1050</v>
      </c>
      <c r="C15" s="737"/>
      <c r="D15" s="741"/>
      <c r="E15" s="741"/>
      <c r="F15" s="737"/>
      <c r="G15" s="751" t="s">
        <v>9062</v>
      </c>
      <c r="H15" s="751" t="s">
        <v>9063</v>
      </c>
      <c r="I15" s="751" t="s">
        <v>9064</v>
      </c>
      <c r="J15" s="752" t="s">
        <v>9065</v>
      </c>
      <c r="L15" s="750" t="s">
        <v>1050</v>
      </c>
      <c r="M15" s="737"/>
      <c r="N15" s="741"/>
      <c r="O15" s="741"/>
      <c r="P15" s="737"/>
      <c r="Q15" s="751" t="s">
        <v>9062</v>
      </c>
      <c r="R15" s="751" t="s">
        <v>9063</v>
      </c>
      <c r="S15" s="751" t="s">
        <v>9064</v>
      </c>
      <c r="T15" s="752" t="s">
        <v>9065</v>
      </c>
      <c r="V15" s="750" t="s">
        <v>1050</v>
      </c>
      <c r="W15" s="737"/>
      <c r="X15" s="741"/>
      <c r="Y15" s="741"/>
      <c r="Z15" s="737"/>
      <c r="AA15" s="751" t="s">
        <v>9062</v>
      </c>
      <c r="AB15" s="751" t="s">
        <v>9063</v>
      </c>
      <c r="AC15" s="751" t="s">
        <v>9064</v>
      </c>
      <c r="AD15" s="752" t="s">
        <v>9065</v>
      </c>
    </row>
    <row r="16" spans="2:30" ht="17.25" x14ac:dyDescent="0.25">
      <c r="B16" s="726"/>
      <c r="C16" s="729"/>
      <c r="D16" s="729"/>
      <c r="E16" s="729"/>
      <c r="F16" s="731" t="s">
        <v>8604</v>
      </c>
      <c r="G16" s="746" t="s">
        <v>8538</v>
      </c>
      <c r="H16" s="746" t="s">
        <v>8611</v>
      </c>
      <c r="I16" s="746" t="s">
        <v>8614</v>
      </c>
      <c r="J16" s="747" t="s">
        <v>8617</v>
      </c>
      <c r="L16" s="726"/>
      <c r="M16" s="729"/>
      <c r="N16" s="729"/>
      <c r="O16" s="729"/>
      <c r="P16" s="731" t="s">
        <v>8604</v>
      </c>
      <c r="Q16" s="746" t="s">
        <v>8538</v>
      </c>
      <c r="R16" s="746" t="s">
        <v>8611</v>
      </c>
      <c r="S16" s="746" t="s">
        <v>8614</v>
      </c>
      <c r="T16" s="747" t="s">
        <v>8617</v>
      </c>
      <c r="V16" s="726"/>
      <c r="W16" s="729"/>
      <c r="X16" s="729"/>
      <c r="Y16" s="729"/>
      <c r="Z16" s="731" t="s">
        <v>8604</v>
      </c>
      <c r="AA16" s="746" t="s">
        <v>8538</v>
      </c>
      <c r="AB16" s="746" t="s">
        <v>8611</v>
      </c>
      <c r="AC16" s="746" t="s">
        <v>8614</v>
      </c>
      <c r="AD16" s="747" t="s">
        <v>8617</v>
      </c>
    </row>
    <row r="17" spans="2:30" ht="17.25" x14ac:dyDescent="0.25">
      <c r="B17" s="726"/>
      <c r="C17" s="729"/>
      <c r="D17" s="729"/>
      <c r="E17" s="729"/>
      <c r="F17" s="731" t="s">
        <v>8605</v>
      </c>
      <c r="G17" s="746" t="s">
        <v>8608</v>
      </c>
      <c r="H17" s="746" t="s">
        <v>8538</v>
      </c>
      <c r="I17" s="746" t="s">
        <v>8615</v>
      </c>
      <c r="J17" s="747" t="s">
        <v>8618</v>
      </c>
      <c r="L17" s="726"/>
      <c r="M17" s="729"/>
      <c r="N17" s="729"/>
      <c r="O17" s="729"/>
      <c r="P17" s="731" t="s">
        <v>8605</v>
      </c>
      <c r="Q17" s="746" t="s">
        <v>8608</v>
      </c>
      <c r="R17" s="746" t="s">
        <v>8538</v>
      </c>
      <c r="S17" s="746" t="s">
        <v>8615</v>
      </c>
      <c r="T17" s="747" t="s">
        <v>8618</v>
      </c>
      <c r="V17" s="726"/>
      <c r="W17" s="729"/>
      <c r="X17" s="729"/>
      <c r="Y17" s="729"/>
      <c r="Z17" s="731" t="s">
        <v>8605</v>
      </c>
      <c r="AA17" s="746" t="s">
        <v>8608</v>
      </c>
      <c r="AB17" s="746" t="s">
        <v>8538</v>
      </c>
      <c r="AC17" s="746" t="s">
        <v>8615</v>
      </c>
      <c r="AD17" s="747" t="s">
        <v>8618</v>
      </c>
    </row>
    <row r="18" spans="2:30" ht="17.25" x14ac:dyDescent="0.25">
      <c r="B18" s="726"/>
      <c r="C18" s="729"/>
      <c r="D18" s="729"/>
      <c r="E18" s="729"/>
      <c r="F18" s="731" t="s">
        <v>8606</v>
      </c>
      <c r="G18" s="746" t="s">
        <v>8609</v>
      </c>
      <c r="H18" s="746" t="s">
        <v>8612</v>
      </c>
      <c r="I18" s="746" t="s">
        <v>8538</v>
      </c>
      <c r="J18" s="747" t="s">
        <v>8619</v>
      </c>
      <c r="L18" s="726"/>
      <c r="M18" s="729"/>
      <c r="N18" s="729"/>
      <c r="O18" s="729"/>
      <c r="P18" s="731" t="s">
        <v>8606</v>
      </c>
      <c r="Q18" s="746" t="s">
        <v>8609</v>
      </c>
      <c r="R18" s="746" t="s">
        <v>8612</v>
      </c>
      <c r="S18" s="746" t="s">
        <v>8538</v>
      </c>
      <c r="T18" s="747" t="s">
        <v>8619</v>
      </c>
      <c r="V18" s="726"/>
      <c r="W18" s="729"/>
      <c r="X18" s="729"/>
      <c r="Y18" s="729"/>
      <c r="Z18" s="731" t="s">
        <v>8606</v>
      </c>
      <c r="AA18" s="746" t="s">
        <v>8609</v>
      </c>
      <c r="AB18" s="746" t="s">
        <v>8612</v>
      </c>
      <c r="AC18" s="746" t="s">
        <v>8538</v>
      </c>
      <c r="AD18" s="747" t="s">
        <v>8619</v>
      </c>
    </row>
    <row r="19" spans="2:30" ht="17.25" x14ac:dyDescent="0.25">
      <c r="B19" s="727"/>
      <c r="C19" s="730"/>
      <c r="D19" s="730"/>
      <c r="E19" s="730"/>
      <c r="F19" s="732" t="s">
        <v>8607</v>
      </c>
      <c r="G19" s="748" t="s">
        <v>8610</v>
      </c>
      <c r="H19" s="748" t="s">
        <v>8613</v>
      </c>
      <c r="I19" s="748" t="s">
        <v>8616</v>
      </c>
      <c r="J19" s="749" t="s">
        <v>8538</v>
      </c>
      <c r="L19" s="727"/>
      <c r="M19" s="812"/>
      <c r="N19" s="812"/>
      <c r="O19" s="812"/>
      <c r="P19" s="732" t="s">
        <v>8607</v>
      </c>
      <c r="Q19" s="748" t="s">
        <v>8610</v>
      </c>
      <c r="R19" s="748" t="s">
        <v>8613</v>
      </c>
      <c r="S19" s="748" t="s">
        <v>8616</v>
      </c>
      <c r="T19" s="749" t="s">
        <v>8538</v>
      </c>
      <c r="V19" s="727"/>
      <c r="W19" s="812"/>
      <c r="X19" s="812"/>
      <c r="Y19" s="812"/>
      <c r="Z19" s="732" t="s">
        <v>8607</v>
      </c>
      <c r="AA19" s="748" t="s">
        <v>8610</v>
      </c>
      <c r="AB19" s="748" t="s">
        <v>8613</v>
      </c>
      <c r="AC19" s="748" t="s">
        <v>8616</v>
      </c>
      <c r="AD19" s="749" t="s">
        <v>8538</v>
      </c>
    </row>
    <row r="20" spans="2:30" ht="17.25" x14ac:dyDescent="0.25">
      <c r="B20" t="s">
        <v>8624</v>
      </c>
      <c r="E20" t="s">
        <v>9186</v>
      </c>
      <c r="G20" s="719" t="s">
        <v>8620</v>
      </c>
      <c r="H20" t="s">
        <v>8622</v>
      </c>
      <c r="L20" t="s">
        <v>8624</v>
      </c>
      <c r="O20" t="s">
        <v>9186</v>
      </c>
      <c r="Q20" s="719" t="s">
        <v>8620</v>
      </c>
      <c r="R20" t="s">
        <v>8622</v>
      </c>
      <c r="V20" t="s">
        <v>8624</v>
      </c>
      <c r="Y20" t="s">
        <v>9186</v>
      </c>
      <c r="AA20" s="719" t="s">
        <v>8620</v>
      </c>
      <c r="AB20" t="s">
        <v>8622</v>
      </c>
    </row>
    <row r="21" spans="2:30" ht="17.25" x14ac:dyDescent="0.25">
      <c r="B21" t="s">
        <v>8625</v>
      </c>
      <c r="E21" s="719" t="s">
        <v>8621</v>
      </c>
      <c r="H21" t="s">
        <v>8623</v>
      </c>
      <c r="L21" t="s">
        <v>8625</v>
      </c>
      <c r="O21" s="719" t="s">
        <v>8621</v>
      </c>
      <c r="R21" t="s">
        <v>8623</v>
      </c>
      <c r="V21" t="s">
        <v>8625</v>
      </c>
      <c r="Y21" s="719" t="s">
        <v>8621</v>
      </c>
      <c r="AB21" t="s">
        <v>8623</v>
      </c>
    </row>
    <row r="23" spans="2:30" ht="17.25" x14ac:dyDescent="0.25">
      <c r="B23" s="738" t="s">
        <v>8626</v>
      </c>
      <c r="C23" s="737"/>
      <c r="D23" s="741"/>
      <c r="E23" s="737"/>
      <c r="F23" s="751" t="s">
        <v>9066</v>
      </c>
      <c r="G23" s="751" t="s">
        <v>9067</v>
      </c>
      <c r="H23" s="751" t="s">
        <v>8632</v>
      </c>
      <c r="I23" s="751" t="s">
        <v>9068</v>
      </c>
      <c r="J23" s="752" t="s">
        <v>9069</v>
      </c>
      <c r="L23" s="738" t="s">
        <v>8626</v>
      </c>
      <c r="M23" s="737"/>
      <c r="N23" s="741"/>
      <c r="O23" s="737"/>
      <c r="P23" s="751" t="s">
        <v>9066</v>
      </c>
      <c r="Q23" s="751" t="s">
        <v>9067</v>
      </c>
      <c r="R23" s="751" t="s">
        <v>8632</v>
      </c>
      <c r="S23" s="751" t="s">
        <v>9068</v>
      </c>
      <c r="T23" s="752" t="s">
        <v>9069</v>
      </c>
      <c r="V23" s="738" t="s">
        <v>8626</v>
      </c>
      <c r="W23" s="737"/>
      <c r="X23" s="741"/>
      <c r="Y23" s="737"/>
      <c r="Z23" s="751" t="s">
        <v>9066</v>
      </c>
      <c r="AA23" s="751" t="s">
        <v>9067</v>
      </c>
      <c r="AB23" s="751" t="s">
        <v>8632</v>
      </c>
      <c r="AC23" s="751" t="s">
        <v>9068</v>
      </c>
      <c r="AD23" s="752" t="s">
        <v>9069</v>
      </c>
    </row>
    <row r="24" spans="2:30" ht="17.25" x14ac:dyDescent="0.25">
      <c r="B24" s="726"/>
      <c r="C24" s="729"/>
      <c r="D24" s="729"/>
      <c r="E24" s="731" t="s">
        <v>8627</v>
      </c>
      <c r="F24" s="746" t="s">
        <v>8538</v>
      </c>
      <c r="G24" s="746" t="s">
        <v>8634</v>
      </c>
      <c r="H24" s="746" t="s">
        <v>8574</v>
      </c>
      <c r="I24" s="746" t="s">
        <v>8642</v>
      </c>
      <c r="J24" s="747" t="s">
        <v>8646</v>
      </c>
      <c r="L24" s="726"/>
      <c r="M24" s="729"/>
      <c r="N24" s="729"/>
      <c r="O24" s="731" t="s">
        <v>8627</v>
      </c>
      <c r="P24" s="746" t="s">
        <v>8538</v>
      </c>
      <c r="Q24" s="746" t="s">
        <v>8634</v>
      </c>
      <c r="R24" s="746" t="s">
        <v>8574</v>
      </c>
      <c r="S24" s="746" t="s">
        <v>8642</v>
      </c>
      <c r="T24" s="747" t="s">
        <v>8646</v>
      </c>
      <c r="V24" s="726"/>
      <c r="W24" s="729"/>
      <c r="X24" s="729"/>
      <c r="Y24" s="731" t="s">
        <v>8627</v>
      </c>
      <c r="Z24" s="746" t="s">
        <v>8538</v>
      </c>
      <c r="AA24" s="746" t="s">
        <v>8634</v>
      </c>
      <c r="AB24" s="746" t="s">
        <v>8574</v>
      </c>
      <c r="AC24" s="746" t="s">
        <v>8642</v>
      </c>
      <c r="AD24" s="747" t="s">
        <v>8646</v>
      </c>
    </row>
    <row r="25" spans="2:30" ht="17.25" x14ac:dyDescent="0.25">
      <c r="B25" s="726"/>
      <c r="C25" s="729"/>
      <c r="D25" s="729"/>
      <c r="E25" s="731" t="s">
        <v>8628</v>
      </c>
      <c r="F25" s="746" t="s">
        <v>8633</v>
      </c>
      <c r="G25" s="746" t="s">
        <v>8538</v>
      </c>
      <c r="H25" s="746" t="s">
        <v>8639</v>
      </c>
      <c r="I25" s="746" t="s">
        <v>8643</v>
      </c>
      <c r="J25" s="747" t="s">
        <v>8647</v>
      </c>
      <c r="L25" s="726"/>
      <c r="M25" s="729"/>
      <c r="N25" s="729"/>
      <c r="O25" s="731" t="s">
        <v>8628</v>
      </c>
      <c r="P25" s="746" t="s">
        <v>8633</v>
      </c>
      <c r="Q25" s="746" t="s">
        <v>8538</v>
      </c>
      <c r="R25" s="746" t="s">
        <v>8639</v>
      </c>
      <c r="S25" s="746" t="s">
        <v>8643</v>
      </c>
      <c r="T25" s="747" t="s">
        <v>8647</v>
      </c>
      <c r="V25" s="726"/>
      <c r="W25" s="729"/>
      <c r="X25" s="729"/>
      <c r="Y25" s="731" t="s">
        <v>8628</v>
      </c>
      <c r="Z25" s="746" t="s">
        <v>8633</v>
      </c>
      <c r="AA25" s="746" t="s">
        <v>8538</v>
      </c>
      <c r="AB25" s="746" t="s">
        <v>8639</v>
      </c>
      <c r="AC25" s="746" t="s">
        <v>8643</v>
      </c>
      <c r="AD25" s="747" t="s">
        <v>8647</v>
      </c>
    </row>
    <row r="26" spans="2:30" ht="17.25" x14ac:dyDescent="0.25">
      <c r="B26" s="726"/>
      <c r="C26" s="729"/>
      <c r="D26" s="729"/>
      <c r="E26" s="731" t="s">
        <v>8629</v>
      </c>
      <c r="F26" s="746" t="s">
        <v>8639</v>
      </c>
      <c r="G26" s="746" t="s">
        <v>8574</v>
      </c>
      <c r="H26" s="746" t="s">
        <v>8538</v>
      </c>
      <c r="I26" s="746" t="s">
        <v>8644</v>
      </c>
      <c r="J26" s="747" t="s">
        <v>8648</v>
      </c>
      <c r="L26" s="726"/>
      <c r="M26" s="729"/>
      <c r="N26" s="729"/>
      <c r="O26" s="731" t="s">
        <v>8629</v>
      </c>
      <c r="P26" s="746" t="s">
        <v>8639</v>
      </c>
      <c r="Q26" s="746" t="s">
        <v>8574</v>
      </c>
      <c r="R26" s="746" t="s">
        <v>8538</v>
      </c>
      <c r="S26" s="746" t="s">
        <v>8644</v>
      </c>
      <c r="T26" s="747" t="s">
        <v>8648</v>
      </c>
      <c r="V26" s="726"/>
      <c r="W26" s="729"/>
      <c r="X26" s="729"/>
      <c r="Y26" s="731" t="s">
        <v>8629</v>
      </c>
      <c r="Z26" s="746" t="s">
        <v>8639</v>
      </c>
      <c r="AA26" s="746" t="s">
        <v>8574</v>
      </c>
      <c r="AB26" s="746" t="s">
        <v>8538</v>
      </c>
      <c r="AC26" s="746" t="s">
        <v>8644</v>
      </c>
      <c r="AD26" s="747" t="s">
        <v>8648</v>
      </c>
    </row>
    <row r="27" spans="2:30" ht="17.25" x14ac:dyDescent="0.25">
      <c r="B27" s="726"/>
      <c r="C27" s="729"/>
      <c r="D27" s="729"/>
      <c r="E27" s="731" t="s">
        <v>8630</v>
      </c>
      <c r="F27" s="746" t="s">
        <v>8637</v>
      </c>
      <c r="G27" s="746" t="s">
        <v>8635</v>
      </c>
      <c r="H27" s="746" t="s">
        <v>8640</v>
      </c>
      <c r="I27" s="746" t="s">
        <v>8538</v>
      </c>
      <c r="J27" s="747" t="s">
        <v>8649</v>
      </c>
      <c r="L27" s="726"/>
      <c r="M27" s="729"/>
      <c r="N27" s="729"/>
      <c r="O27" s="731" t="s">
        <v>8630</v>
      </c>
      <c r="P27" s="746" t="s">
        <v>8637</v>
      </c>
      <c r="Q27" s="746" t="s">
        <v>8635</v>
      </c>
      <c r="R27" s="746" t="s">
        <v>8640</v>
      </c>
      <c r="S27" s="746" t="s">
        <v>8538</v>
      </c>
      <c r="T27" s="747" t="s">
        <v>8649</v>
      </c>
      <c r="V27" s="726"/>
      <c r="W27" s="729"/>
      <c r="X27" s="729"/>
      <c r="Y27" s="731" t="s">
        <v>8630</v>
      </c>
      <c r="Z27" s="746" t="s">
        <v>8637</v>
      </c>
      <c r="AA27" s="746" t="s">
        <v>8635</v>
      </c>
      <c r="AB27" s="746" t="s">
        <v>8640</v>
      </c>
      <c r="AC27" s="746" t="s">
        <v>8538</v>
      </c>
      <c r="AD27" s="747" t="s">
        <v>8649</v>
      </c>
    </row>
    <row r="28" spans="2:30" ht="17.25" x14ac:dyDescent="0.25">
      <c r="B28" s="727"/>
      <c r="C28" s="730"/>
      <c r="D28" s="730"/>
      <c r="E28" s="732" t="s">
        <v>8631</v>
      </c>
      <c r="F28" s="748" t="s">
        <v>8638</v>
      </c>
      <c r="G28" s="748" t="s">
        <v>8636</v>
      </c>
      <c r="H28" s="748" t="s">
        <v>8641</v>
      </c>
      <c r="I28" s="748" t="s">
        <v>8645</v>
      </c>
      <c r="J28" s="749" t="s">
        <v>8538</v>
      </c>
      <c r="L28" s="727"/>
      <c r="M28" s="812"/>
      <c r="N28" s="812"/>
      <c r="O28" s="732" t="s">
        <v>8631</v>
      </c>
      <c r="P28" s="748" t="s">
        <v>8638</v>
      </c>
      <c r="Q28" s="748" t="s">
        <v>8636</v>
      </c>
      <c r="R28" s="748" t="s">
        <v>8641</v>
      </c>
      <c r="S28" s="748" t="s">
        <v>8645</v>
      </c>
      <c r="T28" s="749" t="s">
        <v>8538</v>
      </c>
      <c r="V28" s="727"/>
      <c r="W28" s="812"/>
      <c r="X28" s="812"/>
      <c r="Y28" s="732" t="s">
        <v>8631</v>
      </c>
      <c r="Z28" s="748" t="s">
        <v>8638</v>
      </c>
      <c r="AA28" s="748" t="s">
        <v>8636</v>
      </c>
      <c r="AB28" s="748" t="s">
        <v>8641</v>
      </c>
      <c r="AC28" s="748" t="s">
        <v>8645</v>
      </c>
      <c r="AD28" s="749" t="s">
        <v>8538</v>
      </c>
    </row>
    <row r="29" spans="2:30" ht="17.25" x14ac:dyDescent="0.25">
      <c r="B29" s="717" t="s">
        <v>9191</v>
      </c>
      <c r="J29" s="803" t="s">
        <v>9482</v>
      </c>
      <c r="L29" s="717" t="s">
        <v>9191</v>
      </c>
      <c r="T29" s="803" t="s">
        <v>9482</v>
      </c>
      <c r="V29" s="717" t="s">
        <v>9191</v>
      </c>
      <c r="AD29" s="803" t="s">
        <v>9482</v>
      </c>
    </row>
    <row r="30" spans="2:30" ht="17.25" x14ac:dyDescent="0.25">
      <c r="B30" s="717" t="s">
        <v>9192</v>
      </c>
      <c r="J30" s="774" t="s">
        <v>9193</v>
      </c>
      <c r="L30" s="717" t="s">
        <v>9192</v>
      </c>
      <c r="T30" s="774" t="s">
        <v>9193</v>
      </c>
      <c r="V30" s="717" t="s">
        <v>9192</v>
      </c>
      <c r="AD30" s="774" t="s">
        <v>9193</v>
      </c>
    </row>
    <row r="32" spans="2:30" x14ac:dyDescent="0.25">
      <c r="B32" s="738" t="s">
        <v>8656</v>
      </c>
      <c r="C32" s="737"/>
      <c r="D32" s="751" t="s">
        <v>8657</v>
      </c>
      <c r="E32" s="751" t="s">
        <v>8658</v>
      </c>
      <c r="F32" s="751" t="s">
        <v>8659</v>
      </c>
      <c r="G32" s="751" t="s">
        <v>8660</v>
      </c>
      <c r="H32" s="751" t="s">
        <v>8661</v>
      </c>
      <c r="I32" s="751" t="s">
        <v>8705</v>
      </c>
      <c r="J32" s="752" t="s">
        <v>8703</v>
      </c>
      <c r="L32" s="738" t="s">
        <v>8656</v>
      </c>
      <c r="M32" s="737"/>
      <c r="N32" s="751" t="s">
        <v>8657</v>
      </c>
      <c r="O32" s="751" t="s">
        <v>8658</v>
      </c>
      <c r="P32" s="751" t="s">
        <v>8659</v>
      </c>
      <c r="Q32" s="751" t="s">
        <v>8660</v>
      </c>
      <c r="R32" s="751" t="s">
        <v>8661</v>
      </c>
      <c r="S32" s="751" t="s">
        <v>8705</v>
      </c>
      <c r="T32" s="752" t="s">
        <v>8703</v>
      </c>
      <c r="V32" s="738" t="s">
        <v>8656</v>
      </c>
      <c r="W32" s="737"/>
      <c r="X32" s="751" t="s">
        <v>8657</v>
      </c>
      <c r="Y32" s="751" t="s">
        <v>8658</v>
      </c>
      <c r="Z32" s="751" t="s">
        <v>8659</v>
      </c>
      <c r="AA32" s="751" t="s">
        <v>8660</v>
      </c>
      <c r="AB32" s="751" t="s">
        <v>8661</v>
      </c>
      <c r="AC32" s="751" t="s">
        <v>8705</v>
      </c>
      <c r="AD32" s="752" t="s">
        <v>8703</v>
      </c>
    </row>
    <row r="33" spans="2:30" ht="17.25" x14ac:dyDescent="0.25">
      <c r="B33" s="726"/>
      <c r="C33" s="731" t="s">
        <v>8650</v>
      </c>
      <c r="D33" s="746" t="s">
        <v>8538</v>
      </c>
      <c r="E33" s="746" t="s">
        <v>8667</v>
      </c>
      <c r="F33" s="746" t="s">
        <v>8673</v>
      </c>
      <c r="G33" s="746" t="s">
        <v>8679</v>
      </c>
      <c r="H33" s="746" t="s">
        <v>8685</v>
      </c>
      <c r="I33" s="746" t="s">
        <v>8691</v>
      </c>
      <c r="J33" s="747" t="s">
        <v>8697</v>
      </c>
      <c r="L33" s="726"/>
      <c r="M33" s="731" t="s">
        <v>8650</v>
      </c>
      <c r="N33" s="746" t="s">
        <v>8538</v>
      </c>
      <c r="O33" s="746" t="s">
        <v>8667</v>
      </c>
      <c r="P33" s="746" t="s">
        <v>8673</v>
      </c>
      <c r="Q33" s="746" t="s">
        <v>8679</v>
      </c>
      <c r="R33" s="746" t="s">
        <v>8685</v>
      </c>
      <c r="S33" s="746" t="s">
        <v>8691</v>
      </c>
      <c r="T33" s="747" t="s">
        <v>8697</v>
      </c>
      <c r="V33" s="726"/>
      <c r="W33" s="731" t="s">
        <v>8650</v>
      </c>
      <c r="X33" s="746" t="s">
        <v>8538</v>
      </c>
      <c r="Y33" s="746" t="s">
        <v>8667</v>
      </c>
      <c r="Z33" s="746" t="s">
        <v>8673</v>
      </c>
      <c r="AA33" s="746" t="s">
        <v>8679</v>
      </c>
      <c r="AB33" s="746" t="s">
        <v>8685</v>
      </c>
      <c r="AC33" s="746" t="s">
        <v>8691</v>
      </c>
      <c r="AD33" s="747" t="s">
        <v>8697</v>
      </c>
    </row>
    <row r="34" spans="2:30" ht="17.25" x14ac:dyDescent="0.25">
      <c r="B34" s="726"/>
      <c r="C34" s="731" t="s">
        <v>8651</v>
      </c>
      <c r="D34" s="746" t="s">
        <v>8574</v>
      </c>
      <c r="E34" s="746" t="s">
        <v>8538</v>
      </c>
      <c r="F34" s="746" t="s">
        <v>8674</v>
      </c>
      <c r="G34" s="746" t="s">
        <v>8680</v>
      </c>
      <c r="H34" s="746" t="s">
        <v>8686</v>
      </c>
      <c r="I34" s="746" t="s">
        <v>8692</v>
      </c>
      <c r="J34" s="747" t="s">
        <v>8699</v>
      </c>
      <c r="L34" s="726"/>
      <c r="M34" s="731" t="s">
        <v>8651</v>
      </c>
      <c r="N34" s="746" t="s">
        <v>8574</v>
      </c>
      <c r="O34" s="746" t="s">
        <v>8538</v>
      </c>
      <c r="P34" s="746" t="s">
        <v>8674</v>
      </c>
      <c r="Q34" s="746" t="s">
        <v>8680</v>
      </c>
      <c r="R34" s="746" t="s">
        <v>8686</v>
      </c>
      <c r="S34" s="746" t="s">
        <v>8692</v>
      </c>
      <c r="T34" s="747" t="s">
        <v>8699</v>
      </c>
      <c r="V34" s="726"/>
      <c r="W34" s="731" t="s">
        <v>8651</v>
      </c>
      <c r="X34" s="746" t="s">
        <v>8574</v>
      </c>
      <c r="Y34" s="746" t="s">
        <v>8538</v>
      </c>
      <c r="Z34" s="746" t="s">
        <v>8674</v>
      </c>
      <c r="AA34" s="746" t="s">
        <v>8680</v>
      </c>
      <c r="AB34" s="746" t="s">
        <v>8686</v>
      </c>
      <c r="AC34" s="746" t="s">
        <v>8692</v>
      </c>
      <c r="AD34" s="747" t="s">
        <v>8699</v>
      </c>
    </row>
    <row r="35" spans="2:30" ht="17.25" x14ac:dyDescent="0.25">
      <c r="B35" s="726"/>
      <c r="C35" s="731" t="s">
        <v>8652</v>
      </c>
      <c r="D35" s="746" t="s">
        <v>8662</v>
      </c>
      <c r="E35" s="746" t="s">
        <v>8668</v>
      </c>
      <c r="F35" s="746" t="s">
        <v>8538</v>
      </c>
      <c r="G35" s="746" t="s">
        <v>8681</v>
      </c>
      <c r="H35" s="746" t="s">
        <v>8687</v>
      </c>
      <c r="I35" s="746" t="s">
        <v>8693</v>
      </c>
      <c r="J35" s="747" t="s">
        <v>8698</v>
      </c>
      <c r="L35" s="726"/>
      <c r="M35" s="731" t="s">
        <v>8652</v>
      </c>
      <c r="N35" s="746" t="s">
        <v>8662</v>
      </c>
      <c r="O35" s="746" t="s">
        <v>8668</v>
      </c>
      <c r="P35" s="746" t="s">
        <v>8538</v>
      </c>
      <c r="Q35" s="746" t="s">
        <v>8681</v>
      </c>
      <c r="R35" s="746" t="s">
        <v>8687</v>
      </c>
      <c r="S35" s="746" t="s">
        <v>8693</v>
      </c>
      <c r="T35" s="747" t="s">
        <v>8698</v>
      </c>
      <c r="V35" s="726"/>
      <c r="W35" s="731" t="s">
        <v>8652</v>
      </c>
      <c r="X35" s="746" t="s">
        <v>8662</v>
      </c>
      <c r="Y35" s="746" t="s">
        <v>8668</v>
      </c>
      <c r="Z35" s="746" t="s">
        <v>8538</v>
      </c>
      <c r="AA35" s="746" t="s">
        <v>8681</v>
      </c>
      <c r="AB35" s="746" t="s">
        <v>8687</v>
      </c>
      <c r="AC35" s="746" t="s">
        <v>8693</v>
      </c>
      <c r="AD35" s="747" t="s">
        <v>8698</v>
      </c>
    </row>
    <row r="36" spans="2:30" ht="17.25" x14ac:dyDescent="0.25">
      <c r="B36" s="726"/>
      <c r="C36" s="731" t="s">
        <v>8708</v>
      </c>
      <c r="D36" s="746" t="s">
        <v>8663</v>
      </c>
      <c r="E36" s="746" t="s">
        <v>8669</v>
      </c>
      <c r="F36" s="746" t="s">
        <v>8675</v>
      </c>
      <c r="G36" s="746" t="s">
        <v>8538</v>
      </c>
      <c r="H36" s="746" t="s">
        <v>8688</v>
      </c>
      <c r="I36" s="746" t="s">
        <v>8694</v>
      </c>
      <c r="J36" s="747" t="s">
        <v>8700</v>
      </c>
      <c r="L36" s="726"/>
      <c r="M36" s="731" t="s">
        <v>8708</v>
      </c>
      <c r="N36" s="746" t="s">
        <v>8663</v>
      </c>
      <c r="O36" s="746" t="s">
        <v>8669</v>
      </c>
      <c r="P36" s="746" t="s">
        <v>8675</v>
      </c>
      <c r="Q36" s="746" t="s">
        <v>8538</v>
      </c>
      <c r="R36" s="746" t="s">
        <v>8688</v>
      </c>
      <c r="S36" s="746" t="s">
        <v>8694</v>
      </c>
      <c r="T36" s="747" t="s">
        <v>8700</v>
      </c>
      <c r="V36" s="726"/>
      <c r="W36" s="731" t="s">
        <v>8708</v>
      </c>
      <c r="X36" s="746" t="s">
        <v>8663</v>
      </c>
      <c r="Y36" s="746" t="s">
        <v>8669</v>
      </c>
      <c r="Z36" s="746" t="s">
        <v>8675</v>
      </c>
      <c r="AA36" s="746" t="s">
        <v>8538</v>
      </c>
      <c r="AB36" s="746" t="s">
        <v>8688</v>
      </c>
      <c r="AC36" s="746" t="s">
        <v>8694</v>
      </c>
      <c r="AD36" s="747" t="s">
        <v>8700</v>
      </c>
    </row>
    <row r="37" spans="2:30" ht="17.25" x14ac:dyDescent="0.25">
      <c r="B37" s="726"/>
      <c r="C37" s="731" t="s">
        <v>8653</v>
      </c>
      <c r="D37" s="746" t="s">
        <v>8664</v>
      </c>
      <c r="E37" s="746" t="s">
        <v>8670</v>
      </c>
      <c r="F37" s="746" t="s">
        <v>8676</v>
      </c>
      <c r="G37" s="746" t="s">
        <v>8682</v>
      </c>
      <c r="H37" s="746" t="s">
        <v>8538</v>
      </c>
      <c r="I37" s="746" t="s">
        <v>8695</v>
      </c>
      <c r="J37" s="747" t="s">
        <v>8701</v>
      </c>
      <c r="L37" s="726"/>
      <c r="M37" s="731" t="s">
        <v>8653</v>
      </c>
      <c r="N37" s="746" t="s">
        <v>8664</v>
      </c>
      <c r="O37" s="746" t="s">
        <v>8670</v>
      </c>
      <c r="P37" s="746" t="s">
        <v>8676</v>
      </c>
      <c r="Q37" s="746" t="s">
        <v>8682</v>
      </c>
      <c r="R37" s="746" t="s">
        <v>8538</v>
      </c>
      <c r="S37" s="746" t="s">
        <v>8695</v>
      </c>
      <c r="T37" s="747" t="s">
        <v>8701</v>
      </c>
      <c r="V37" s="726"/>
      <c r="W37" s="731" t="s">
        <v>8653</v>
      </c>
      <c r="X37" s="746" t="s">
        <v>8664</v>
      </c>
      <c r="Y37" s="746" t="s">
        <v>8670</v>
      </c>
      <c r="Z37" s="746" t="s">
        <v>8676</v>
      </c>
      <c r="AA37" s="746" t="s">
        <v>8682</v>
      </c>
      <c r="AB37" s="746" t="s">
        <v>8538</v>
      </c>
      <c r="AC37" s="746" t="s">
        <v>8695</v>
      </c>
      <c r="AD37" s="747" t="s">
        <v>8701</v>
      </c>
    </row>
    <row r="38" spans="2:30" ht="17.25" x14ac:dyDescent="0.25">
      <c r="B38" s="726"/>
      <c r="C38" s="731" t="s">
        <v>8654</v>
      </c>
      <c r="D38" s="746" t="s">
        <v>8665</v>
      </c>
      <c r="E38" s="746" t="s">
        <v>8671</v>
      </c>
      <c r="F38" s="746" t="s">
        <v>8677</v>
      </c>
      <c r="G38" s="729" t="s">
        <v>8683</v>
      </c>
      <c r="H38" s="746" t="s">
        <v>8689</v>
      </c>
      <c r="I38" s="746" t="s">
        <v>8538</v>
      </c>
      <c r="J38" s="747" t="s">
        <v>8702</v>
      </c>
      <c r="L38" s="726"/>
      <c r="M38" s="731" t="s">
        <v>8654</v>
      </c>
      <c r="N38" s="746" t="s">
        <v>8665</v>
      </c>
      <c r="O38" s="746" t="s">
        <v>8671</v>
      </c>
      <c r="P38" s="746" t="s">
        <v>8677</v>
      </c>
      <c r="Q38" s="729" t="s">
        <v>8683</v>
      </c>
      <c r="R38" s="746" t="s">
        <v>8689</v>
      </c>
      <c r="S38" s="746" t="s">
        <v>8538</v>
      </c>
      <c r="T38" s="747" t="s">
        <v>8702</v>
      </c>
      <c r="V38" s="726"/>
      <c r="W38" s="731" t="s">
        <v>8654</v>
      </c>
      <c r="X38" s="746" t="s">
        <v>8665</v>
      </c>
      <c r="Y38" s="746" t="s">
        <v>8671</v>
      </c>
      <c r="Z38" s="746" t="s">
        <v>8677</v>
      </c>
      <c r="AA38" s="729" t="s">
        <v>8683</v>
      </c>
      <c r="AB38" s="746" t="s">
        <v>8689</v>
      </c>
      <c r="AC38" s="746" t="s">
        <v>8538</v>
      </c>
      <c r="AD38" s="747" t="s">
        <v>8702</v>
      </c>
    </row>
    <row r="39" spans="2:30" ht="17.25" x14ac:dyDescent="0.25">
      <c r="B39" s="727"/>
      <c r="C39" s="732" t="s">
        <v>8655</v>
      </c>
      <c r="D39" s="748" t="s">
        <v>8666</v>
      </c>
      <c r="E39" s="748" t="s">
        <v>8672</v>
      </c>
      <c r="F39" s="748" t="s">
        <v>8678</v>
      </c>
      <c r="G39" s="730" t="s">
        <v>8684</v>
      </c>
      <c r="H39" s="748" t="s">
        <v>8690</v>
      </c>
      <c r="I39" s="748" t="s">
        <v>8696</v>
      </c>
      <c r="J39" s="749" t="s">
        <v>8538</v>
      </c>
      <c r="L39" s="727"/>
      <c r="M39" s="732" t="s">
        <v>8655</v>
      </c>
      <c r="N39" s="748" t="s">
        <v>8666</v>
      </c>
      <c r="O39" s="748" t="s">
        <v>8672</v>
      </c>
      <c r="P39" s="748" t="s">
        <v>8678</v>
      </c>
      <c r="Q39" s="812" t="s">
        <v>8684</v>
      </c>
      <c r="R39" s="748" t="s">
        <v>8690</v>
      </c>
      <c r="S39" s="748" t="s">
        <v>8696</v>
      </c>
      <c r="T39" s="749" t="s">
        <v>8538</v>
      </c>
      <c r="V39" s="727"/>
      <c r="W39" s="732" t="s">
        <v>8655</v>
      </c>
      <c r="X39" s="748" t="s">
        <v>8666</v>
      </c>
      <c r="Y39" s="748" t="s">
        <v>8672</v>
      </c>
      <c r="Z39" s="748" t="s">
        <v>8678</v>
      </c>
      <c r="AA39" s="812" t="s">
        <v>8684</v>
      </c>
      <c r="AB39" s="748" t="s">
        <v>8690</v>
      </c>
      <c r="AC39" s="748" t="s">
        <v>8696</v>
      </c>
      <c r="AD39" s="749" t="s">
        <v>8538</v>
      </c>
    </row>
    <row r="40" spans="2:30" ht="17.25" x14ac:dyDescent="0.25">
      <c r="B40" s="717" t="s">
        <v>8709</v>
      </c>
      <c r="G40" s="719" t="s">
        <v>8711</v>
      </c>
      <c r="I40" s="743" t="s">
        <v>8710</v>
      </c>
      <c r="L40" s="717" t="s">
        <v>8709</v>
      </c>
      <c r="Q40" s="719" t="s">
        <v>8711</v>
      </c>
      <c r="S40" s="743" t="s">
        <v>8710</v>
      </c>
      <c r="V40" s="717" t="s">
        <v>8709</v>
      </c>
      <c r="AA40" s="719" t="s">
        <v>8711</v>
      </c>
      <c r="AC40" s="743" t="s">
        <v>8710</v>
      </c>
    </row>
    <row r="41" spans="2:30" x14ac:dyDescent="0.25">
      <c r="B41" s="717" t="s">
        <v>8706</v>
      </c>
      <c r="L41" s="717" t="s">
        <v>8706</v>
      </c>
      <c r="V41" s="717" t="s">
        <v>8706</v>
      </c>
    </row>
    <row r="42" spans="2:30" x14ac:dyDescent="0.25">
      <c r="B42" s="717" t="s">
        <v>8707</v>
      </c>
      <c r="L42" s="717" t="s">
        <v>8707</v>
      </c>
      <c r="V42" s="717" t="s">
        <v>8707</v>
      </c>
    </row>
    <row r="43" spans="2:30" ht="17.25" x14ac:dyDescent="0.25">
      <c r="B43" s="717" t="s">
        <v>8781</v>
      </c>
      <c r="L43" s="717" t="s">
        <v>8781</v>
      </c>
      <c r="V43" s="717" t="s">
        <v>8781</v>
      </c>
    </row>
    <row r="45" spans="2:30" ht="17.25" x14ac:dyDescent="0.25">
      <c r="B45" s="738" t="s">
        <v>8712</v>
      </c>
      <c r="C45" s="737"/>
      <c r="D45" s="737"/>
      <c r="E45" s="737"/>
      <c r="F45" s="751" t="s">
        <v>9070</v>
      </c>
      <c r="G45" s="751" t="s">
        <v>9071</v>
      </c>
      <c r="H45" s="751" t="s">
        <v>9072</v>
      </c>
      <c r="I45" s="751" t="s">
        <v>9073</v>
      </c>
      <c r="J45" s="752" t="s">
        <v>9074</v>
      </c>
      <c r="L45" s="738" t="s">
        <v>8712</v>
      </c>
      <c r="M45" s="737"/>
      <c r="N45" s="737"/>
      <c r="O45" s="737"/>
      <c r="P45" s="751" t="s">
        <v>9070</v>
      </c>
      <c r="Q45" s="751" t="s">
        <v>9071</v>
      </c>
      <c r="R45" s="751" t="s">
        <v>9072</v>
      </c>
      <c r="S45" s="751" t="s">
        <v>9073</v>
      </c>
      <c r="T45" s="752" t="s">
        <v>9074</v>
      </c>
      <c r="V45" s="738" t="s">
        <v>8712</v>
      </c>
      <c r="W45" s="737"/>
      <c r="X45" s="737"/>
      <c r="Y45" s="737"/>
      <c r="Z45" s="751" t="s">
        <v>9070</v>
      </c>
      <c r="AA45" s="751" t="s">
        <v>9071</v>
      </c>
      <c r="AB45" s="751" t="s">
        <v>9072</v>
      </c>
      <c r="AC45" s="751" t="s">
        <v>9073</v>
      </c>
      <c r="AD45" s="752" t="s">
        <v>9074</v>
      </c>
    </row>
    <row r="46" spans="2:30" ht="17.25" x14ac:dyDescent="0.25">
      <c r="B46" s="726"/>
      <c r="C46" s="729"/>
      <c r="D46" s="729"/>
      <c r="E46" s="731" t="s">
        <v>8713</v>
      </c>
      <c r="F46" s="746" t="s">
        <v>8538</v>
      </c>
      <c r="G46" s="746" t="s">
        <v>8721</v>
      </c>
      <c r="H46" s="746" t="s">
        <v>8724</v>
      </c>
      <c r="I46" s="746" t="s">
        <v>8693</v>
      </c>
      <c r="J46" s="747" t="s">
        <v>8729</v>
      </c>
      <c r="L46" s="726"/>
      <c r="M46" s="729"/>
      <c r="N46" s="729"/>
      <c r="O46" s="731" t="s">
        <v>8713</v>
      </c>
      <c r="P46" s="746" t="s">
        <v>8538</v>
      </c>
      <c r="Q46" s="746" t="s">
        <v>8721</v>
      </c>
      <c r="R46" s="746" t="s">
        <v>8724</v>
      </c>
      <c r="S46" s="746" t="s">
        <v>8693</v>
      </c>
      <c r="T46" s="747" t="s">
        <v>8729</v>
      </c>
      <c r="V46" s="726"/>
      <c r="W46" s="729"/>
      <c r="X46" s="729"/>
      <c r="Y46" s="731" t="s">
        <v>8713</v>
      </c>
      <c r="Z46" s="746" t="s">
        <v>8538</v>
      </c>
      <c r="AA46" s="746" t="s">
        <v>8721</v>
      </c>
      <c r="AB46" s="746" t="s">
        <v>8724</v>
      </c>
      <c r="AC46" s="746" t="s">
        <v>8693</v>
      </c>
      <c r="AD46" s="747" t="s">
        <v>8729</v>
      </c>
    </row>
    <row r="47" spans="2:30" ht="17.25" x14ac:dyDescent="0.25">
      <c r="B47" s="726"/>
      <c r="C47" s="729"/>
      <c r="D47" s="729"/>
      <c r="E47" s="731" t="s">
        <v>8714</v>
      </c>
      <c r="F47" s="746" t="s">
        <v>8718</v>
      </c>
      <c r="G47" s="746" t="s">
        <v>8538</v>
      </c>
      <c r="H47" s="746" t="s">
        <v>8667</v>
      </c>
      <c r="I47" s="746" t="s">
        <v>8727</v>
      </c>
      <c r="J47" s="747" t="s">
        <v>8730</v>
      </c>
      <c r="L47" s="726"/>
      <c r="M47" s="729"/>
      <c r="N47" s="729"/>
      <c r="O47" s="731" t="s">
        <v>8714</v>
      </c>
      <c r="P47" s="746" t="s">
        <v>8718</v>
      </c>
      <c r="Q47" s="746" t="s">
        <v>8538</v>
      </c>
      <c r="R47" s="746" t="s">
        <v>8667</v>
      </c>
      <c r="S47" s="746" t="s">
        <v>8727</v>
      </c>
      <c r="T47" s="747" t="s">
        <v>8730</v>
      </c>
      <c r="V47" s="726"/>
      <c r="W47" s="729"/>
      <c r="X47" s="729"/>
      <c r="Y47" s="731" t="s">
        <v>8714</v>
      </c>
      <c r="Z47" s="746" t="s">
        <v>8718</v>
      </c>
      <c r="AA47" s="746" t="s">
        <v>8538</v>
      </c>
      <c r="AB47" s="746" t="s">
        <v>8667</v>
      </c>
      <c r="AC47" s="746" t="s">
        <v>8727</v>
      </c>
      <c r="AD47" s="747" t="s">
        <v>8730</v>
      </c>
    </row>
    <row r="48" spans="2:30" ht="17.25" x14ac:dyDescent="0.25">
      <c r="B48" s="726"/>
      <c r="C48" s="729"/>
      <c r="D48" s="729"/>
      <c r="E48" s="731" t="s">
        <v>8715</v>
      </c>
      <c r="F48" s="746" t="s">
        <v>8719</v>
      </c>
      <c r="G48" s="746" t="s">
        <v>8574</v>
      </c>
      <c r="H48" s="746" t="s">
        <v>8538</v>
      </c>
      <c r="I48" s="746" t="s">
        <v>8728</v>
      </c>
      <c r="J48" s="747" t="s">
        <v>8731</v>
      </c>
      <c r="L48" s="726"/>
      <c r="M48" s="729"/>
      <c r="N48" s="729"/>
      <c r="O48" s="731" t="s">
        <v>8715</v>
      </c>
      <c r="P48" s="746" t="s">
        <v>8719</v>
      </c>
      <c r="Q48" s="746" t="s">
        <v>8574</v>
      </c>
      <c r="R48" s="746" t="s">
        <v>8538</v>
      </c>
      <c r="S48" s="746" t="s">
        <v>8728</v>
      </c>
      <c r="T48" s="747" t="s">
        <v>8731</v>
      </c>
      <c r="V48" s="726"/>
      <c r="W48" s="729"/>
      <c r="X48" s="729"/>
      <c r="Y48" s="731" t="s">
        <v>8715</v>
      </c>
      <c r="Z48" s="746" t="s">
        <v>8719</v>
      </c>
      <c r="AA48" s="746" t="s">
        <v>8574</v>
      </c>
      <c r="AB48" s="746" t="s">
        <v>8538</v>
      </c>
      <c r="AC48" s="746" t="s">
        <v>8728</v>
      </c>
      <c r="AD48" s="747" t="s">
        <v>8731</v>
      </c>
    </row>
    <row r="49" spans="2:30" ht="17.25" x14ac:dyDescent="0.25">
      <c r="B49" s="726"/>
      <c r="C49" s="729"/>
      <c r="D49" s="729"/>
      <c r="E49" s="731" t="s">
        <v>8716</v>
      </c>
      <c r="F49" s="746" t="s">
        <v>8677</v>
      </c>
      <c r="G49" s="746" t="s">
        <v>8722</v>
      </c>
      <c r="H49" s="746" t="s">
        <v>8725</v>
      </c>
      <c r="I49" s="746" t="s">
        <v>8538</v>
      </c>
      <c r="J49" s="747" t="s">
        <v>8645</v>
      </c>
      <c r="L49" s="726"/>
      <c r="M49" s="729"/>
      <c r="N49" s="729"/>
      <c r="O49" s="731" t="s">
        <v>8716</v>
      </c>
      <c r="P49" s="746" t="s">
        <v>8677</v>
      </c>
      <c r="Q49" s="746" t="s">
        <v>8722</v>
      </c>
      <c r="R49" s="746" t="s">
        <v>8725</v>
      </c>
      <c r="S49" s="746" t="s">
        <v>8538</v>
      </c>
      <c r="T49" s="747" t="s">
        <v>8645</v>
      </c>
      <c r="V49" s="726"/>
      <c r="W49" s="729"/>
      <c r="X49" s="729"/>
      <c r="Y49" s="731" t="s">
        <v>8716</v>
      </c>
      <c r="Z49" s="746" t="s">
        <v>8677</v>
      </c>
      <c r="AA49" s="746" t="s">
        <v>8722</v>
      </c>
      <c r="AB49" s="746" t="s">
        <v>8725</v>
      </c>
      <c r="AC49" s="746" t="s">
        <v>8538</v>
      </c>
      <c r="AD49" s="747" t="s">
        <v>8645</v>
      </c>
    </row>
    <row r="50" spans="2:30" ht="17.25" x14ac:dyDescent="0.25">
      <c r="B50" s="727"/>
      <c r="C50" s="730"/>
      <c r="D50" s="730"/>
      <c r="E50" s="732" t="s">
        <v>8717</v>
      </c>
      <c r="F50" s="748" t="s">
        <v>8720</v>
      </c>
      <c r="G50" s="748" t="s">
        <v>8723</v>
      </c>
      <c r="H50" s="748" t="s">
        <v>8726</v>
      </c>
      <c r="I50" s="748" t="s">
        <v>8649</v>
      </c>
      <c r="J50" s="749" t="s">
        <v>8538</v>
      </c>
      <c r="L50" s="727"/>
      <c r="M50" s="812"/>
      <c r="N50" s="812"/>
      <c r="O50" s="732" t="s">
        <v>8717</v>
      </c>
      <c r="P50" s="748" t="s">
        <v>8720</v>
      </c>
      <c r="Q50" s="748" t="s">
        <v>8723</v>
      </c>
      <c r="R50" s="748" t="s">
        <v>8726</v>
      </c>
      <c r="S50" s="748" t="s">
        <v>8649</v>
      </c>
      <c r="T50" s="749" t="s">
        <v>8538</v>
      </c>
      <c r="V50" s="727"/>
      <c r="W50" s="812"/>
      <c r="X50" s="812"/>
      <c r="Y50" s="732" t="s">
        <v>8717</v>
      </c>
      <c r="Z50" s="748" t="s">
        <v>8720</v>
      </c>
      <c r="AA50" s="748" t="s">
        <v>8723</v>
      </c>
      <c r="AB50" s="748" t="s">
        <v>8726</v>
      </c>
      <c r="AC50" s="748" t="s">
        <v>8649</v>
      </c>
      <c r="AD50" s="749" t="s">
        <v>8538</v>
      </c>
    </row>
    <row r="51" spans="2:30" x14ac:dyDescent="0.25">
      <c r="B51" s="719" t="s">
        <v>8732</v>
      </c>
      <c r="L51" s="719" t="s">
        <v>8732</v>
      </c>
      <c r="V51" s="719" t="s">
        <v>8732</v>
      </c>
    </row>
    <row r="52" spans="2:30" x14ac:dyDescent="0.25">
      <c r="B52" t="s">
        <v>8733</v>
      </c>
      <c r="L52" t="s">
        <v>8733</v>
      </c>
      <c r="V52" t="s">
        <v>8733</v>
      </c>
    </row>
    <row r="54" spans="2:30" x14ac:dyDescent="0.25">
      <c r="B54" s="738" t="s">
        <v>8734</v>
      </c>
      <c r="C54" s="737"/>
      <c r="D54" s="737"/>
      <c r="E54" s="751" t="s">
        <v>8735</v>
      </c>
      <c r="F54" s="751" t="s">
        <v>8736</v>
      </c>
      <c r="G54" s="751" t="s">
        <v>8705</v>
      </c>
      <c r="H54" s="751" t="s">
        <v>8737</v>
      </c>
      <c r="I54" s="751" t="s">
        <v>8738</v>
      </c>
      <c r="J54" s="752" t="s">
        <v>8739</v>
      </c>
      <c r="L54" s="738" t="s">
        <v>8734</v>
      </c>
      <c r="M54" s="737"/>
      <c r="N54" s="737"/>
      <c r="O54" s="751" t="s">
        <v>8735</v>
      </c>
      <c r="P54" s="751" t="s">
        <v>8736</v>
      </c>
      <c r="Q54" s="751" t="s">
        <v>8705</v>
      </c>
      <c r="R54" s="751" t="s">
        <v>8737</v>
      </c>
      <c r="S54" s="751" t="s">
        <v>8738</v>
      </c>
      <c r="T54" s="752" t="s">
        <v>8739</v>
      </c>
      <c r="V54" s="738" t="s">
        <v>8734</v>
      </c>
      <c r="W54" s="737"/>
      <c r="X54" s="737"/>
      <c r="Y54" s="751" t="s">
        <v>8735</v>
      </c>
      <c r="Z54" s="751" t="s">
        <v>8736</v>
      </c>
      <c r="AA54" s="751" t="s">
        <v>8705</v>
      </c>
      <c r="AB54" s="751" t="s">
        <v>8737</v>
      </c>
      <c r="AC54" s="751" t="s">
        <v>8738</v>
      </c>
      <c r="AD54" s="752" t="s">
        <v>8739</v>
      </c>
    </row>
    <row r="55" spans="2:30" ht="17.25" x14ac:dyDescent="0.25">
      <c r="B55" s="726"/>
      <c r="C55" s="729"/>
      <c r="D55" s="731" t="s">
        <v>8740</v>
      </c>
      <c r="E55" s="746" t="s">
        <v>8538</v>
      </c>
      <c r="F55" s="746" t="s">
        <v>8559</v>
      </c>
      <c r="G55" s="746" t="s">
        <v>8753</v>
      </c>
      <c r="H55" s="746" t="s">
        <v>8755</v>
      </c>
      <c r="I55" s="746" t="s">
        <v>8759</v>
      </c>
      <c r="J55" s="747" t="s">
        <v>8762</v>
      </c>
      <c r="L55" s="726"/>
      <c r="M55" s="729"/>
      <c r="N55" s="731" t="s">
        <v>8740</v>
      </c>
      <c r="O55" s="746" t="s">
        <v>8538</v>
      </c>
      <c r="P55" s="746" t="s">
        <v>8559</v>
      </c>
      <c r="Q55" s="746" t="s">
        <v>8753</v>
      </c>
      <c r="R55" s="746" t="s">
        <v>8755</v>
      </c>
      <c r="S55" s="746" t="s">
        <v>8759</v>
      </c>
      <c r="T55" s="747" t="s">
        <v>8762</v>
      </c>
      <c r="V55" s="726"/>
      <c r="W55" s="729"/>
      <c r="X55" s="731" t="s">
        <v>8740</v>
      </c>
      <c r="Y55" s="746" t="s">
        <v>8538</v>
      </c>
      <c r="Z55" s="746" t="s">
        <v>8559</v>
      </c>
      <c r="AA55" s="746" t="s">
        <v>8753</v>
      </c>
      <c r="AB55" s="746" t="s">
        <v>8755</v>
      </c>
      <c r="AC55" s="746" t="s">
        <v>8759</v>
      </c>
      <c r="AD55" s="747" t="s">
        <v>8762</v>
      </c>
    </row>
    <row r="56" spans="2:30" ht="17.25" x14ac:dyDescent="0.25">
      <c r="B56" s="726"/>
      <c r="C56" s="729"/>
      <c r="D56" s="731" t="s">
        <v>8741</v>
      </c>
      <c r="E56" s="746" t="s">
        <v>8573</v>
      </c>
      <c r="F56" s="746" t="s">
        <v>8538</v>
      </c>
      <c r="G56" s="746" t="s">
        <v>8754</v>
      </c>
      <c r="H56" s="746" t="s">
        <v>8756</v>
      </c>
      <c r="I56" s="746" t="s">
        <v>8760</v>
      </c>
      <c r="J56" s="747" t="s">
        <v>8763</v>
      </c>
      <c r="L56" s="726"/>
      <c r="M56" s="729"/>
      <c r="N56" s="731" t="s">
        <v>8741</v>
      </c>
      <c r="O56" s="746" t="s">
        <v>8573</v>
      </c>
      <c r="P56" s="746" t="s">
        <v>8538</v>
      </c>
      <c r="Q56" s="746" t="s">
        <v>8754</v>
      </c>
      <c r="R56" s="746" t="s">
        <v>8756</v>
      </c>
      <c r="S56" s="746" t="s">
        <v>8760</v>
      </c>
      <c r="T56" s="747" t="s">
        <v>8763</v>
      </c>
      <c r="V56" s="726"/>
      <c r="W56" s="729"/>
      <c r="X56" s="731" t="s">
        <v>8741</v>
      </c>
      <c r="Y56" s="746" t="s">
        <v>8573</v>
      </c>
      <c r="Z56" s="746" t="s">
        <v>8538</v>
      </c>
      <c r="AA56" s="746" t="s">
        <v>8754</v>
      </c>
      <c r="AB56" s="746" t="s">
        <v>8756</v>
      </c>
      <c r="AC56" s="746" t="s">
        <v>8760</v>
      </c>
      <c r="AD56" s="747" t="s">
        <v>8763</v>
      </c>
    </row>
    <row r="57" spans="2:30" ht="17.25" x14ac:dyDescent="0.25">
      <c r="B57" s="726"/>
      <c r="C57" s="729"/>
      <c r="D57" s="731" t="s">
        <v>8654</v>
      </c>
      <c r="E57" s="746" t="s">
        <v>8745</v>
      </c>
      <c r="F57" s="746" t="s">
        <v>8749</v>
      </c>
      <c r="G57" s="746" t="s">
        <v>8538</v>
      </c>
      <c r="H57" s="746" t="s">
        <v>8693</v>
      </c>
      <c r="I57" s="746" t="s">
        <v>8671</v>
      </c>
      <c r="J57" s="747" t="s">
        <v>8665</v>
      </c>
      <c r="L57" s="726"/>
      <c r="M57" s="729"/>
      <c r="N57" s="731" t="s">
        <v>8654</v>
      </c>
      <c r="O57" s="746" t="s">
        <v>8745</v>
      </c>
      <c r="P57" s="746" t="s">
        <v>8749</v>
      </c>
      <c r="Q57" s="746" t="s">
        <v>8538</v>
      </c>
      <c r="R57" s="746" t="s">
        <v>8693</v>
      </c>
      <c r="S57" s="746" t="s">
        <v>8671</v>
      </c>
      <c r="T57" s="747" t="s">
        <v>8665</v>
      </c>
      <c r="V57" s="726"/>
      <c r="W57" s="729"/>
      <c r="X57" s="731" t="s">
        <v>8654</v>
      </c>
      <c r="Y57" s="746" t="s">
        <v>8745</v>
      </c>
      <c r="Z57" s="746" t="s">
        <v>8749</v>
      </c>
      <c r="AA57" s="746" t="s">
        <v>8538</v>
      </c>
      <c r="AB57" s="746" t="s">
        <v>8693</v>
      </c>
      <c r="AC57" s="746" t="s">
        <v>8671</v>
      </c>
      <c r="AD57" s="747" t="s">
        <v>8665</v>
      </c>
    </row>
    <row r="58" spans="2:30" ht="17.25" x14ac:dyDescent="0.25">
      <c r="B58" s="726"/>
      <c r="C58" s="729"/>
      <c r="D58" s="731" t="s">
        <v>8742</v>
      </c>
      <c r="E58" s="746" t="s">
        <v>8746</v>
      </c>
      <c r="F58" s="746" t="s">
        <v>8750</v>
      </c>
      <c r="G58" s="746" t="s">
        <v>8677</v>
      </c>
      <c r="H58" s="746" t="s">
        <v>8538</v>
      </c>
      <c r="I58" s="746" t="s">
        <v>8761</v>
      </c>
      <c r="J58" s="747" t="s">
        <v>8764</v>
      </c>
      <c r="L58" s="726"/>
      <c r="M58" s="729"/>
      <c r="N58" s="731" t="s">
        <v>8742</v>
      </c>
      <c r="O58" s="746" t="s">
        <v>8746</v>
      </c>
      <c r="P58" s="746" t="s">
        <v>8750</v>
      </c>
      <c r="Q58" s="746" t="s">
        <v>8677</v>
      </c>
      <c r="R58" s="746" t="s">
        <v>8538</v>
      </c>
      <c r="S58" s="746" t="s">
        <v>8761</v>
      </c>
      <c r="T58" s="747" t="s">
        <v>8764</v>
      </c>
      <c r="V58" s="726"/>
      <c r="W58" s="729"/>
      <c r="X58" s="731" t="s">
        <v>8742</v>
      </c>
      <c r="Y58" s="746" t="s">
        <v>8746</v>
      </c>
      <c r="Z58" s="746" t="s">
        <v>8750</v>
      </c>
      <c r="AA58" s="746" t="s">
        <v>8677</v>
      </c>
      <c r="AB58" s="746" t="s">
        <v>8538</v>
      </c>
      <c r="AC58" s="746" t="s">
        <v>8761</v>
      </c>
      <c r="AD58" s="747" t="s">
        <v>8764</v>
      </c>
    </row>
    <row r="59" spans="2:30" ht="17.25" x14ac:dyDescent="0.25">
      <c r="B59" s="726"/>
      <c r="C59" s="729"/>
      <c r="D59" s="731" t="s">
        <v>8743</v>
      </c>
      <c r="E59" s="746" t="s">
        <v>8747</v>
      </c>
      <c r="F59" s="746" t="s">
        <v>8751</v>
      </c>
      <c r="G59" s="746" t="s">
        <v>8691</v>
      </c>
      <c r="H59" s="746" t="s">
        <v>8757</v>
      </c>
      <c r="I59" s="746" t="s">
        <v>8667</v>
      </c>
      <c r="J59" s="747" t="s">
        <v>8538</v>
      </c>
      <c r="L59" s="726"/>
      <c r="M59" s="729"/>
      <c r="N59" s="731" t="s">
        <v>8743</v>
      </c>
      <c r="O59" s="746" t="s">
        <v>8747</v>
      </c>
      <c r="P59" s="746" t="s">
        <v>8751</v>
      </c>
      <c r="Q59" s="746" t="s">
        <v>8691</v>
      </c>
      <c r="R59" s="746" t="s">
        <v>8757</v>
      </c>
      <c r="S59" s="746" t="s">
        <v>8667</v>
      </c>
      <c r="T59" s="747" t="s">
        <v>8538</v>
      </c>
      <c r="V59" s="726"/>
      <c r="W59" s="729"/>
      <c r="X59" s="731" t="s">
        <v>8743</v>
      </c>
      <c r="Y59" s="746" t="s">
        <v>8747</v>
      </c>
      <c r="Z59" s="746" t="s">
        <v>8751</v>
      </c>
      <c r="AA59" s="746" t="s">
        <v>8691</v>
      </c>
      <c r="AB59" s="746" t="s">
        <v>8757</v>
      </c>
      <c r="AC59" s="746" t="s">
        <v>8667</v>
      </c>
      <c r="AD59" s="747" t="s">
        <v>8538</v>
      </c>
    </row>
    <row r="60" spans="2:30" ht="17.25" x14ac:dyDescent="0.25">
      <c r="B60" s="727"/>
      <c r="C60" s="730"/>
      <c r="D60" s="732" t="s">
        <v>8744</v>
      </c>
      <c r="E60" s="748" t="s">
        <v>8748</v>
      </c>
      <c r="F60" s="748" t="s">
        <v>8752</v>
      </c>
      <c r="G60" s="748" t="s">
        <v>8692</v>
      </c>
      <c r="H60" s="748" t="s">
        <v>8758</v>
      </c>
      <c r="I60" s="748" t="s">
        <v>8538</v>
      </c>
      <c r="J60" s="749" t="s">
        <v>8574</v>
      </c>
      <c r="L60" s="727"/>
      <c r="M60" s="812"/>
      <c r="N60" s="732" t="s">
        <v>8744</v>
      </c>
      <c r="O60" s="748" t="s">
        <v>8748</v>
      </c>
      <c r="P60" s="748" t="s">
        <v>8752</v>
      </c>
      <c r="Q60" s="748" t="s">
        <v>8692</v>
      </c>
      <c r="R60" s="748" t="s">
        <v>8758</v>
      </c>
      <c r="S60" s="748" t="s">
        <v>8538</v>
      </c>
      <c r="T60" s="749" t="s">
        <v>8574</v>
      </c>
      <c r="V60" s="727"/>
      <c r="W60" s="812"/>
      <c r="X60" s="732" t="s">
        <v>8744</v>
      </c>
      <c r="Y60" s="748" t="s">
        <v>8748</v>
      </c>
      <c r="Z60" s="748" t="s">
        <v>8752</v>
      </c>
      <c r="AA60" s="748" t="s">
        <v>8692</v>
      </c>
      <c r="AB60" s="748" t="s">
        <v>8758</v>
      </c>
      <c r="AC60" s="748" t="s">
        <v>8538</v>
      </c>
      <c r="AD60" s="749" t="s">
        <v>8574</v>
      </c>
    </row>
    <row r="61" spans="2:30" x14ac:dyDescent="0.25">
      <c r="B61" s="717" t="s">
        <v>9479</v>
      </c>
      <c r="L61" s="717" t="s">
        <v>9479</v>
      </c>
      <c r="V61" s="717" t="s">
        <v>9479</v>
      </c>
    </row>
    <row r="62" spans="2:30" x14ac:dyDescent="0.25">
      <c r="B62" s="717" t="s">
        <v>9079</v>
      </c>
      <c r="L62" s="717" t="s">
        <v>9079</v>
      </c>
      <c r="V62" s="717" t="s">
        <v>9079</v>
      </c>
    </row>
    <row r="63" spans="2:30" ht="18.75" x14ac:dyDescent="0.35">
      <c r="B63" s="717" t="s">
        <v>9078</v>
      </c>
      <c r="L63" s="717" t="s">
        <v>9078</v>
      </c>
      <c r="V63" s="717" t="s">
        <v>9078</v>
      </c>
    </row>
    <row r="65" spans="2:30" x14ac:dyDescent="0.25">
      <c r="B65" s="738" t="s">
        <v>8765</v>
      </c>
      <c r="C65" s="737"/>
      <c r="D65" s="737"/>
      <c r="E65" s="737"/>
      <c r="F65" s="737"/>
      <c r="G65" s="737"/>
      <c r="H65" s="995" t="s">
        <v>8766</v>
      </c>
      <c r="I65" s="995"/>
      <c r="J65" s="736" t="s">
        <v>8656</v>
      </c>
      <c r="L65" s="738" t="s">
        <v>8765</v>
      </c>
      <c r="M65" s="737"/>
      <c r="N65" s="737"/>
      <c r="O65" s="737"/>
      <c r="P65" s="737"/>
      <c r="Q65" s="737"/>
      <c r="R65" s="995" t="s">
        <v>8766</v>
      </c>
      <c r="S65" s="995"/>
      <c r="T65" s="736" t="s">
        <v>8656</v>
      </c>
      <c r="V65" s="738" t="s">
        <v>8765</v>
      </c>
      <c r="W65" s="737"/>
      <c r="X65" s="737"/>
      <c r="Y65" s="737"/>
      <c r="Z65" s="737"/>
      <c r="AA65" s="737"/>
      <c r="AB65" s="995" t="s">
        <v>8766</v>
      </c>
      <c r="AC65" s="995"/>
      <c r="AD65" s="736" t="s">
        <v>8656</v>
      </c>
    </row>
    <row r="66" spans="2:30" ht="17.25" x14ac:dyDescent="0.25">
      <c r="B66" s="725"/>
      <c r="C66" s="728"/>
      <c r="D66" s="728"/>
      <c r="E66" s="728"/>
      <c r="F66" s="728"/>
      <c r="G66" s="720"/>
      <c r="H66" s="729"/>
      <c r="I66" s="731" t="s">
        <v>8767</v>
      </c>
      <c r="J66" s="747" t="s">
        <v>8774</v>
      </c>
      <c r="L66" s="725"/>
      <c r="M66" s="810"/>
      <c r="N66" s="810"/>
      <c r="O66" s="810"/>
      <c r="P66" s="810"/>
      <c r="Q66" s="811"/>
      <c r="R66" s="729"/>
      <c r="S66" s="731" t="s">
        <v>8767</v>
      </c>
      <c r="T66" s="747" t="s">
        <v>8774</v>
      </c>
      <c r="V66" s="725"/>
      <c r="W66" s="810"/>
      <c r="X66" s="810"/>
      <c r="Y66" s="810"/>
      <c r="Z66" s="810"/>
      <c r="AA66" s="811"/>
      <c r="AB66" s="729"/>
      <c r="AC66" s="731" t="s">
        <v>8767</v>
      </c>
      <c r="AD66" s="747" t="s">
        <v>8774</v>
      </c>
    </row>
    <row r="67" spans="2:30" ht="17.25" x14ac:dyDescent="0.25">
      <c r="B67" s="726"/>
      <c r="C67" s="729" t="s">
        <v>9080</v>
      </c>
      <c r="D67" s="729"/>
      <c r="E67" s="729"/>
      <c r="F67" s="729"/>
      <c r="G67" s="722"/>
      <c r="H67" s="729"/>
      <c r="I67" s="731" t="s">
        <v>8768</v>
      </c>
      <c r="J67" s="747" t="s">
        <v>8775</v>
      </c>
      <c r="L67" s="726"/>
      <c r="M67" s="729" t="s">
        <v>9080</v>
      </c>
      <c r="N67" s="729"/>
      <c r="O67" s="729"/>
      <c r="P67" s="729"/>
      <c r="Q67" s="722"/>
      <c r="R67" s="729"/>
      <c r="S67" s="731" t="s">
        <v>8768</v>
      </c>
      <c r="T67" s="747" t="s">
        <v>8775</v>
      </c>
      <c r="V67" s="726"/>
      <c r="W67" s="729" t="s">
        <v>9080</v>
      </c>
      <c r="X67" s="729"/>
      <c r="Y67" s="729"/>
      <c r="Z67" s="729"/>
      <c r="AA67" s="722"/>
      <c r="AB67" s="729"/>
      <c r="AC67" s="731" t="s">
        <v>8768</v>
      </c>
      <c r="AD67" s="747" t="s">
        <v>8775</v>
      </c>
    </row>
    <row r="68" spans="2:30" ht="17.25" x14ac:dyDescent="0.25">
      <c r="B68" s="726"/>
      <c r="C68" s="729" t="s">
        <v>9081</v>
      </c>
      <c r="D68" s="729"/>
      <c r="E68" s="729"/>
      <c r="F68" s="729"/>
      <c r="G68" s="722"/>
      <c r="H68" s="729"/>
      <c r="I68" s="731" t="s">
        <v>8769</v>
      </c>
      <c r="J68" s="747" t="s">
        <v>8776</v>
      </c>
      <c r="L68" s="726"/>
      <c r="M68" s="729" t="s">
        <v>9081</v>
      </c>
      <c r="N68" s="729"/>
      <c r="O68" s="729"/>
      <c r="P68" s="729"/>
      <c r="Q68" s="722"/>
      <c r="R68" s="729"/>
      <c r="S68" s="731" t="s">
        <v>8769</v>
      </c>
      <c r="T68" s="747" t="s">
        <v>8776</v>
      </c>
      <c r="V68" s="726"/>
      <c r="W68" s="729" t="s">
        <v>9081</v>
      </c>
      <c r="X68" s="729"/>
      <c r="Y68" s="729"/>
      <c r="Z68" s="729"/>
      <c r="AA68" s="722"/>
      <c r="AB68" s="729"/>
      <c r="AC68" s="731" t="s">
        <v>8769</v>
      </c>
      <c r="AD68" s="747" t="s">
        <v>8776</v>
      </c>
    </row>
    <row r="69" spans="2:30" ht="17.25" x14ac:dyDescent="0.25">
      <c r="B69" s="726"/>
      <c r="C69" s="729" t="s">
        <v>9082</v>
      </c>
      <c r="D69" s="729"/>
      <c r="E69" s="729"/>
      <c r="F69" s="729"/>
      <c r="G69" s="722"/>
      <c r="H69" s="729"/>
      <c r="I69" s="731" t="s">
        <v>8770</v>
      </c>
      <c r="J69" s="747" t="s">
        <v>8777</v>
      </c>
      <c r="L69" s="726"/>
      <c r="M69" s="729" t="s">
        <v>9082</v>
      </c>
      <c r="N69" s="729"/>
      <c r="O69" s="729"/>
      <c r="P69" s="729"/>
      <c r="Q69" s="722"/>
      <c r="R69" s="729"/>
      <c r="S69" s="731" t="s">
        <v>8770</v>
      </c>
      <c r="T69" s="747" t="s">
        <v>8777</v>
      </c>
      <c r="V69" s="726"/>
      <c r="W69" s="729" t="s">
        <v>9082</v>
      </c>
      <c r="X69" s="729"/>
      <c r="Y69" s="729"/>
      <c r="Z69" s="729"/>
      <c r="AA69" s="722"/>
      <c r="AB69" s="729"/>
      <c r="AC69" s="731" t="s">
        <v>8770</v>
      </c>
      <c r="AD69" s="747" t="s">
        <v>8777</v>
      </c>
    </row>
    <row r="70" spans="2:30" ht="18.75" x14ac:dyDescent="0.35">
      <c r="B70" s="726"/>
      <c r="C70" s="729" t="s">
        <v>9083</v>
      </c>
      <c r="D70" s="729"/>
      <c r="E70" s="729"/>
      <c r="F70" s="729"/>
      <c r="G70" s="722"/>
      <c r="H70" s="729"/>
      <c r="I70" s="731" t="s">
        <v>8771</v>
      </c>
      <c r="J70" s="747" t="s">
        <v>8778</v>
      </c>
      <c r="L70" s="726"/>
      <c r="M70" s="729" t="s">
        <v>9083</v>
      </c>
      <c r="N70" s="729"/>
      <c r="O70" s="729"/>
      <c r="P70" s="729"/>
      <c r="Q70" s="722"/>
      <c r="R70" s="729"/>
      <c r="S70" s="731" t="s">
        <v>8771</v>
      </c>
      <c r="T70" s="747" t="s">
        <v>8778</v>
      </c>
      <c r="V70" s="726"/>
      <c r="W70" s="729" t="s">
        <v>9083</v>
      </c>
      <c r="X70" s="729"/>
      <c r="Y70" s="729"/>
      <c r="Z70" s="729"/>
      <c r="AA70" s="722"/>
      <c r="AB70" s="729"/>
      <c r="AC70" s="731" t="s">
        <v>8771</v>
      </c>
      <c r="AD70" s="747" t="s">
        <v>8778</v>
      </c>
    </row>
    <row r="71" spans="2:30" x14ac:dyDescent="0.25">
      <c r="B71" s="726"/>
      <c r="C71" s="729"/>
      <c r="D71" s="729"/>
      <c r="E71" s="729"/>
      <c r="F71" s="729"/>
      <c r="G71" s="722"/>
      <c r="H71" s="729"/>
      <c r="I71" s="731" t="s">
        <v>8772</v>
      </c>
      <c r="J71" s="747" t="s">
        <v>8779</v>
      </c>
      <c r="L71" s="726"/>
      <c r="M71" s="729"/>
      <c r="N71" s="729"/>
      <c r="O71" s="729"/>
      <c r="P71" s="729"/>
      <c r="Q71" s="722"/>
      <c r="R71" s="729"/>
      <c r="S71" s="731" t="s">
        <v>8772</v>
      </c>
      <c r="T71" s="747" t="s">
        <v>8779</v>
      </c>
      <c r="V71" s="726"/>
      <c r="W71" s="729"/>
      <c r="X71" s="729"/>
      <c r="Y71" s="729"/>
      <c r="Z71" s="729"/>
      <c r="AA71" s="722"/>
      <c r="AB71" s="729"/>
      <c r="AC71" s="731" t="s">
        <v>8772</v>
      </c>
      <c r="AD71" s="747" t="s">
        <v>8779</v>
      </c>
    </row>
    <row r="72" spans="2:30" x14ac:dyDescent="0.25">
      <c r="B72" s="727"/>
      <c r="C72" s="730"/>
      <c r="D72" s="730"/>
      <c r="E72" s="730"/>
      <c r="F72" s="730"/>
      <c r="G72" s="724"/>
      <c r="H72" s="730"/>
      <c r="I72" s="732" t="s">
        <v>8773</v>
      </c>
      <c r="J72" s="749" t="s">
        <v>8780</v>
      </c>
      <c r="L72" s="727"/>
      <c r="M72" s="812"/>
      <c r="N72" s="812"/>
      <c r="O72" s="812"/>
      <c r="P72" s="812"/>
      <c r="Q72" s="813"/>
      <c r="R72" s="812"/>
      <c r="S72" s="732" t="s">
        <v>8773</v>
      </c>
      <c r="T72" s="749" t="s">
        <v>8780</v>
      </c>
      <c r="V72" s="727"/>
      <c r="W72" s="812"/>
      <c r="X72" s="812"/>
      <c r="Y72" s="812"/>
      <c r="Z72" s="812"/>
      <c r="AA72" s="813"/>
      <c r="AB72" s="812"/>
      <c r="AC72" s="732" t="s">
        <v>8773</v>
      </c>
      <c r="AD72" s="749" t="s">
        <v>8780</v>
      </c>
    </row>
    <row r="73" spans="2:30" ht="13.5" customHeight="1" x14ac:dyDescent="0.25"/>
    <row r="74" spans="2:30" x14ac:dyDescent="0.25">
      <c r="B74" s="738" t="s">
        <v>8808</v>
      </c>
      <c r="C74" s="737"/>
      <c r="D74" s="741"/>
      <c r="E74" s="737"/>
      <c r="F74" s="751" t="s">
        <v>8809</v>
      </c>
      <c r="G74" s="751" t="s">
        <v>8810</v>
      </c>
      <c r="H74" s="751" t="s">
        <v>8811</v>
      </c>
      <c r="I74" s="751" t="s">
        <v>8554</v>
      </c>
      <c r="J74" s="752" t="s">
        <v>8812</v>
      </c>
      <c r="L74" s="738" t="s">
        <v>8808</v>
      </c>
      <c r="M74" s="737"/>
      <c r="N74" s="741"/>
      <c r="O74" s="737"/>
      <c r="P74" s="751" t="s">
        <v>8809</v>
      </c>
      <c r="Q74" s="751" t="s">
        <v>8810</v>
      </c>
      <c r="R74" s="751" t="s">
        <v>8811</v>
      </c>
      <c r="S74" s="751" t="s">
        <v>8554</v>
      </c>
      <c r="T74" s="752" t="s">
        <v>8812</v>
      </c>
      <c r="V74" s="738" t="s">
        <v>8808</v>
      </c>
      <c r="W74" s="737"/>
      <c r="X74" s="741"/>
      <c r="Y74" s="737"/>
      <c r="Z74" s="751" t="s">
        <v>8809</v>
      </c>
      <c r="AA74" s="751" t="s">
        <v>8810</v>
      </c>
      <c r="AB74" s="751" t="s">
        <v>8811</v>
      </c>
      <c r="AC74" s="751" t="s">
        <v>8554</v>
      </c>
      <c r="AD74" s="752" t="s">
        <v>8812</v>
      </c>
    </row>
    <row r="75" spans="2:30" ht="17.25" x14ac:dyDescent="0.25">
      <c r="B75" s="725" t="s">
        <v>9194</v>
      </c>
      <c r="C75" s="720"/>
      <c r="D75" s="729"/>
      <c r="E75" s="731" t="s">
        <v>8813</v>
      </c>
      <c r="F75" s="746" t="s">
        <v>8538</v>
      </c>
      <c r="G75" s="746" t="s">
        <v>8817</v>
      </c>
      <c r="H75" s="746" t="s">
        <v>8824</v>
      </c>
      <c r="I75" s="746" t="s">
        <v>8826</v>
      </c>
      <c r="J75" s="747" t="s">
        <v>8828</v>
      </c>
      <c r="L75" s="725" t="s">
        <v>9194</v>
      </c>
      <c r="M75" s="811"/>
      <c r="N75" s="729"/>
      <c r="O75" s="731" t="s">
        <v>8813</v>
      </c>
      <c r="P75" s="746" t="s">
        <v>8538</v>
      </c>
      <c r="Q75" s="746" t="s">
        <v>8817</v>
      </c>
      <c r="R75" s="746" t="s">
        <v>8824</v>
      </c>
      <c r="S75" s="746" t="s">
        <v>8826</v>
      </c>
      <c r="T75" s="747" t="s">
        <v>8828</v>
      </c>
      <c r="V75" s="725" t="s">
        <v>9194</v>
      </c>
      <c r="W75" s="811"/>
      <c r="X75" s="729"/>
      <c r="Y75" s="731" t="s">
        <v>8813</v>
      </c>
      <c r="Z75" s="746" t="s">
        <v>8538</v>
      </c>
      <c r="AA75" s="746" t="s">
        <v>8817</v>
      </c>
      <c r="AB75" s="746" t="s">
        <v>8824</v>
      </c>
      <c r="AC75" s="746" t="s">
        <v>8826</v>
      </c>
      <c r="AD75" s="747" t="s">
        <v>8828</v>
      </c>
    </row>
    <row r="76" spans="2:30" ht="17.25" x14ac:dyDescent="0.25">
      <c r="B76" s="726" t="s">
        <v>9195</v>
      </c>
      <c r="C76" s="722"/>
      <c r="D76" s="729"/>
      <c r="E76" s="731" t="s">
        <v>8814</v>
      </c>
      <c r="F76" s="746" t="s">
        <v>8816</v>
      </c>
      <c r="G76" s="746" t="s">
        <v>8538</v>
      </c>
      <c r="H76" s="746" t="s">
        <v>8825</v>
      </c>
      <c r="I76" s="746" t="s">
        <v>8827</v>
      </c>
      <c r="J76" s="747" t="s">
        <v>8829</v>
      </c>
      <c r="L76" s="726" t="s">
        <v>9195</v>
      </c>
      <c r="M76" s="722"/>
      <c r="N76" s="729"/>
      <c r="O76" s="731" t="s">
        <v>8814</v>
      </c>
      <c r="P76" s="746" t="s">
        <v>8816</v>
      </c>
      <c r="Q76" s="746" t="s">
        <v>8538</v>
      </c>
      <c r="R76" s="746" t="s">
        <v>8825</v>
      </c>
      <c r="S76" s="746" t="s">
        <v>8827</v>
      </c>
      <c r="T76" s="747" t="s">
        <v>8829</v>
      </c>
      <c r="V76" s="726" t="s">
        <v>9195</v>
      </c>
      <c r="W76" s="722"/>
      <c r="X76" s="729"/>
      <c r="Y76" s="731" t="s">
        <v>8814</v>
      </c>
      <c r="Z76" s="746" t="s">
        <v>8816</v>
      </c>
      <c r="AA76" s="746" t="s">
        <v>8538</v>
      </c>
      <c r="AB76" s="746" t="s">
        <v>8825</v>
      </c>
      <c r="AC76" s="746" t="s">
        <v>8827</v>
      </c>
      <c r="AD76" s="747" t="s">
        <v>8829</v>
      </c>
    </row>
    <row r="77" spans="2:30" ht="17.25" x14ac:dyDescent="0.25">
      <c r="B77" s="726" t="s">
        <v>9196</v>
      </c>
      <c r="C77" s="722"/>
      <c r="D77" s="729"/>
      <c r="E77" s="731" t="s">
        <v>8815</v>
      </c>
      <c r="F77" s="746" t="s">
        <v>8821</v>
      </c>
      <c r="G77" s="746" t="s">
        <v>8818</v>
      </c>
      <c r="H77" s="746" t="s">
        <v>8538</v>
      </c>
      <c r="I77" s="746" t="s">
        <v>8539</v>
      </c>
      <c r="J77" s="747" t="s">
        <v>8540</v>
      </c>
      <c r="L77" s="726" t="s">
        <v>9196</v>
      </c>
      <c r="M77" s="722"/>
      <c r="N77" s="729"/>
      <c r="O77" s="731" t="s">
        <v>8815</v>
      </c>
      <c r="P77" s="746" t="s">
        <v>8821</v>
      </c>
      <c r="Q77" s="746" t="s">
        <v>8818</v>
      </c>
      <c r="R77" s="746" t="s">
        <v>8538</v>
      </c>
      <c r="S77" s="746" t="s">
        <v>8539</v>
      </c>
      <c r="T77" s="747" t="s">
        <v>8540</v>
      </c>
      <c r="V77" s="726" t="s">
        <v>9196</v>
      </c>
      <c r="W77" s="722"/>
      <c r="X77" s="729"/>
      <c r="Y77" s="731" t="s">
        <v>8815</v>
      </c>
      <c r="Z77" s="746" t="s">
        <v>8821</v>
      </c>
      <c r="AA77" s="746" t="s">
        <v>8818</v>
      </c>
      <c r="AB77" s="746" t="s">
        <v>8538</v>
      </c>
      <c r="AC77" s="746" t="s">
        <v>8539</v>
      </c>
      <c r="AD77" s="747" t="s">
        <v>8540</v>
      </c>
    </row>
    <row r="78" spans="2:30" ht="17.25" x14ac:dyDescent="0.25">
      <c r="B78" s="726" t="s">
        <v>9197</v>
      </c>
      <c r="C78" s="722"/>
      <c r="D78" s="729"/>
      <c r="E78" s="731" t="s">
        <v>8521</v>
      </c>
      <c r="F78" s="746" t="s">
        <v>8822</v>
      </c>
      <c r="G78" s="746" t="s">
        <v>8819</v>
      </c>
      <c r="H78" s="746" t="s">
        <v>8534</v>
      </c>
      <c r="I78" s="746" t="s">
        <v>8538</v>
      </c>
      <c r="J78" s="747" t="s">
        <v>8539</v>
      </c>
      <c r="L78" s="726" t="s">
        <v>9197</v>
      </c>
      <c r="M78" s="722"/>
      <c r="N78" s="729"/>
      <c r="O78" s="731" t="s">
        <v>8521</v>
      </c>
      <c r="P78" s="746" t="s">
        <v>8822</v>
      </c>
      <c r="Q78" s="746" t="s">
        <v>8819</v>
      </c>
      <c r="R78" s="746" t="s">
        <v>8534</v>
      </c>
      <c r="S78" s="746" t="s">
        <v>8538</v>
      </c>
      <c r="T78" s="747" t="s">
        <v>8539</v>
      </c>
      <c r="V78" s="726" t="s">
        <v>9197</v>
      </c>
      <c r="W78" s="722"/>
      <c r="X78" s="729"/>
      <c r="Y78" s="731" t="s">
        <v>8521</v>
      </c>
      <c r="Z78" s="746" t="s">
        <v>8822</v>
      </c>
      <c r="AA78" s="746" t="s">
        <v>8819</v>
      </c>
      <c r="AB78" s="746" t="s">
        <v>8534</v>
      </c>
      <c r="AC78" s="746" t="s">
        <v>8538</v>
      </c>
      <c r="AD78" s="747" t="s">
        <v>8539</v>
      </c>
    </row>
    <row r="79" spans="2:30" ht="17.25" x14ac:dyDescent="0.25">
      <c r="B79" s="727" t="s">
        <v>9198</v>
      </c>
      <c r="C79" s="724"/>
      <c r="D79" s="730"/>
      <c r="E79" s="732" t="s">
        <v>8522</v>
      </c>
      <c r="F79" s="748" t="s">
        <v>8823</v>
      </c>
      <c r="G79" s="748" t="s">
        <v>8820</v>
      </c>
      <c r="H79" s="748" t="s">
        <v>8542</v>
      </c>
      <c r="I79" s="748" t="s">
        <v>8534</v>
      </c>
      <c r="J79" s="749" t="s">
        <v>8538</v>
      </c>
      <c r="L79" s="727" t="s">
        <v>9198</v>
      </c>
      <c r="M79" s="813"/>
      <c r="N79" s="812"/>
      <c r="O79" s="732" t="s">
        <v>8522</v>
      </c>
      <c r="P79" s="748" t="s">
        <v>8823</v>
      </c>
      <c r="Q79" s="748" t="s">
        <v>8820</v>
      </c>
      <c r="R79" s="748" t="s">
        <v>8542</v>
      </c>
      <c r="S79" s="748" t="s">
        <v>8534</v>
      </c>
      <c r="T79" s="749" t="s">
        <v>8538</v>
      </c>
      <c r="V79" s="727" t="s">
        <v>9198</v>
      </c>
      <c r="W79" s="813"/>
      <c r="X79" s="812"/>
      <c r="Y79" s="732" t="s">
        <v>8522</v>
      </c>
      <c r="Z79" s="748" t="s">
        <v>8823</v>
      </c>
      <c r="AA79" s="748" t="s">
        <v>8820</v>
      </c>
      <c r="AB79" s="748" t="s">
        <v>8542</v>
      </c>
      <c r="AC79" s="748" t="s">
        <v>8534</v>
      </c>
      <c r="AD79" s="749" t="s">
        <v>8538</v>
      </c>
    </row>
    <row r="80" spans="2:30" ht="13.5" customHeight="1" x14ac:dyDescent="0.25"/>
    <row r="81" spans="2:30" x14ac:dyDescent="0.25">
      <c r="B81" s="738" t="s">
        <v>8782</v>
      </c>
      <c r="C81" s="737"/>
      <c r="D81" s="741"/>
      <c r="E81" s="737"/>
      <c r="F81" s="751" t="s">
        <v>8783</v>
      </c>
      <c r="G81" s="737" t="s">
        <v>8784</v>
      </c>
      <c r="H81" s="737" t="s">
        <v>8785</v>
      </c>
      <c r="I81" s="737" t="s">
        <v>8786</v>
      </c>
      <c r="J81" s="736" t="s">
        <v>8787</v>
      </c>
      <c r="L81" s="738" t="s">
        <v>8782</v>
      </c>
      <c r="M81" s="737"/>
      <c r="N81" s="741"/>
      <c r="O81" s="737"/>
      <c r="P81" s="751" t="s">
        <v>8783</v>
      </c>
      <c r="Q81" s="737" t="s">
        <v>8784</v>
      </c>
      <c r="R81" s="737" t="s">
        <v>8785</v>
      </c>
      <c r="S81" s="737" t="s">
        <v>8786</v>
      </c>
      <c r="T81" s="736" t="s">
        <v>8787</v>
      </c>
      <c r="V81" s="738" t="s">
        <v>8782</v>
      </c>
      <c r="W81" s="737"/>
      <c r="X81" s="741"/>
      <c r="Y81" s="737"/>
      <c r="Z81" s="751" t="s">
        <v>8783</v>
      </c>
      <c r="AA81" s="737" t="s">
        <v>8784</v>
      </c>
      <c r="AB81" s="737" t="s">
        <v>8785</v>
      </c>
      <c r="AC81" s="737" t="s">
        <v>8786</v>
      </c>
      <c r="AD81" s="736" t="s">
        <v>8787</v>
      </c>
    </row>
    <row r="82" spans="2:30" x14ac:dyDescent="0.25">
      <c r="B82" s="726"/>
      <c r="C82" s="729"/>
      <c r="D82" s="729"/>
      <c r="E82" s="731" t="s">
        <v>8788</v>
      </c>
      <c r="F82" s="746" t="s">
        <v>8538</v>
      </c>
      <c r="G82" s="746" t="s">
        <v>8795</v>
      </c>
      <c r="H82" s="746" t="s">
        <v>8584</v>
      </c>
      <c r="I82" s="746" t="s">
        <v>8801</v>
      </c>
      <c r="J82" s="747" t="s">
        <v>8583</v>
      </c>
      <c r="L82" s="726"/>
      <c r="M82" s="729"/>
      <c r="N82" s="729"/>
      <c r="O82" s="731" t="s">
        <v>8788</v>
      </c>
      <c r="P82" s="746" t="s">
        <v>8538</v>
      </c>
      <c r="Q82" s="746" t="s">
        <v>8795</v>
      </c>
      <c r="R82" s="746" t="s">
        <v>8584</v>
      </c>
      <c r="S82" s="746" t="s">
        <v>8801</v>
      </c>
      <c r="T82" s="747" t="s">
        <v>8583</v>
      </c>
      <c r="V82" s="726"/>
      <c r="W82" s="729"/>
      <c r="X82" s="729"/>
      <c r="Y82" s="731" t="s">
        <v>8788</v>
      </c>
      <c r="Z82" s="746" t="s">
        <v>8538</v>
      </c>
      <c r="AA82" s="746" t="s">
        <v>8795</v>
      </c>
      <c r="AB82" s="746" t="s">
        <v>8584</v>
      </c>
      <c r="AC82" s="746" t="s">
        <v>8801</v>
      </c>
      <c r="AD82" s="747" t="s">
        <v>8583</v>
      </c>
    </row>
    <row r="83" spans="2:30" x14ac:dyDescent="0.25">
      <c r="B83" s="726"/>
      <c r="C83" s="729"/>
      <c r="D83" s="729"/>
      <c r="E83" s="731" t="s">
        <v>8789</v>
      </c>
      <c r="F83" s="746" t="s">
        <v>8793</v>
      </c>
      <c r="G83" s="746" t="s">
        <v>8538</v>
      </c>
      <c r="H83" s="746" t="s">
        <v>8798</v>
      </c>
      <c r="I83" s="746" t="s">
        <v>8577</v>
      </c>
      <c r="J83" s="747" t="s">
        <v>8804</v>
      </c>
      <c r="L83" s="726"/>
      <c r="M83" s="729"/>
      <c r="N83" s="729"/>
      <c r="O83" s="731" t="s">
        <v>8789</v>
      </c>
      <c r="P83" s="746" t="s">
        <v>8793</v>
      </c>
      <c r="Q83" s="746" t="s">
        <v>8538</v>
      </c>
      <c r="R83" s="746" t="s">
        <v>8798</v>
      </c>
      <c r="S83" s="746" t="s">
        <v>8577</v>
      </c>
      <c r="T83" s="747" t="s">
        <v>8804</v>
      </c>
      <c r="V83" s="726"/>
      <c r="W83" s="729"/>
      <c r="X83" s="729"/>
      <c r="Y83" s="731" t="s">
        <v>8789</v>
      </c>
      <c r="Z83" s="746" t="s">
        <v>8793</v>
      </c>
      <c r="AA83" s="746" t="s">
        <v>8538</v>
      </c>
      <c r="AB83" s="746" t="s">
        <v>8798</v>
      </c>
      <c r="AC83" s="746" t="s">
        <v>8577</v>
      </c>
      <c r="AD83" s="747" t="s">
        <v>8804</v>
      </c>
    </row>
    <row r="84" spans="2:30" x14ac:dyDescent="0.25">
      <c r="B84" s="726"/>
      <c r="C84" s="729"/>
      <c r="D84" s="729"/>
      <c r="E84" s="731" t="s">
        <v>8790</v>
      </c>
      <c r="F84" s="746" t="s">
        <v>8571</v>
      </c>
      <c r="G84" s="746" t="s">
        <v>8796</v>
      </c>
      <c r="H84" s="746" t="s">
        <v>8538</v>
      </c>
      <c r="I84" s="746" t="s">
        <v>8802</v>
      </c>
      <c r="J84" s="747" t="s">
        <v>8568</v>
      </c>
      <c r="L84" s="726"/>
      <c r="M84" s="729"/>
      <c r="N84" s="729"/>
      <c r="O84" s="731" t="s">
        <v>8790</v>
      </c>
      <c r="P84" s="746" t="s">
        <v>8571</v>
      </c>
      <c r="Q84" s="746" t="s">
        <v>8796</v>
      </c>
      <c r="R84" s="746" t="s">
        <v>8538</v>
      </c>
      <c r="S84" s="746" t="s">
        <v>8802</v>
      </c>
      <c r="T84" s="747" t="s">
        <v>8568</v>
      </c>
      <c r="V84" s="726"/>
      <c r="W84" s="729"/>
      <c r="X84" s="729"/>
      <c r="Y84" s="731" t="s">
        <v>8790</v>
      </c>
      <c r="Z84" s="746" t="s">
        <v>8571</v>
      </c>
      <c r="AA84" s="746" t="s">
        <v>8796</v>
      </c>
      <c r="AB84" s="746" t="s">
        <v>8538</v>
      </c>
      <c r="AC84" s="746" t="s">
        <v>8802</v>
      </c>
      <c r="AD84" s="747" t="s">
        <v>8568</v>
      </c>
    </row>
    <row r="85" spans="2:30" x14ac:dyDescent="0.25">
      <c r="B85" s="726"/>
      <c r="C85" s="729"/>
      <c r="D85" s="729"/>
      <c r="E85" s="731" t="s">
        <v>8791</v>
      </c>
      <c r="F85" s="746" t="s">
        <v>8794</v>
      </c>
      <c r="G85" s="746" t="s">
        <v>8590</v>
      </c>
      <c r="H85" s="746" t="s">
        <v>8799</v>
      </c>
      <c r="I85" s="746" t="s">
        <v>8538</v>
      </c>
      <c r="J85" s="747" t="s">
        <v>8805</v>
      </c>
      <c r="L85" s="726"/>
      <c r="M85" s="729"/>
      <c r="N85" s="729"/>
      <c r="O85" s="731" t="s">
        <v>8791</v>
      </c>
      <c r="P85" s="746" t="s">
        <v>8794</v>
      </c>
      <c r="Q85" s="746" t="s">
        <v>8590</v>
      </c>
      <c r="R85" s="746" t="s">
        <v>8799</v>
      </c>
      <c r="S85" s="746" t="s">
        <v>8538</v>
      </c>
      <c r="T85" s="747" t="s">
        <v>8805</v>
      </c>
      <c r="V85" s="726"/>
      <c r="W85" s="729"/>
      <c r="X85" s="729"/>
      <c r="Y85" s="731" t="s">
        <v>8791</v>
      </c>
      <c r="Z85" s="746" t="s">
        <v>8794</v>
      </c>
      <c r="AA85" s="746" t="s">
        <v>8590</v>
      </c>
      <c r="AB85" s="746" t="s">
        <v>8799</v>
      </c>
      <c r="AC85" s="746" t="s">
        <v>8538</v>
      </c>
      <c r="AD85" s="747" t="s">
        <v>8805</v>
      </c>
    </row>
    <row r="86" spans="2:30" ht="17.25" x14ac:dyDescent="0.25">
      <c r="B86" s="727"/>
      <c r="C86" s="730"/>
      <c r="D86" s="730"/>
      <c r="E86" s="732" t="s">
        <v>8792</v>
      </c>
      <c r="F86" s="748" t="s">
        <v>8561</v>
      </c>
      <c r="G86" s="748" t="s">
        <v>8797</v>
      </c>
      <c r="H86" s="748" t="s">
        <v>8800</v>
      </c>
      <c r="I86" s="748" t="s">
        <v>8803</v>
      </c>
      <c r="J86" s="749" t="s">
        <v>8538</v>
      </c>
      <c r="L86" s="727"/>
      <c r="M86" s="812"/>
      <c r="N86" s="812"/>
      <c r="O86" s="732" t="s">
        <v>8792</v>
      </c>
      <c r="P86" s="748" t="s">
        <v>8561</v>
      </c>
      <c r="Q86" s="748" t="s">
        <v>8797</v>
      </c>
      <c r="R86" s="748" t="s">
        <v>8800</v>
      </c>
      <c r="S86" s="748" t="s">
        <v>8803</v>
      </c>
      <c r="T86" s="749" t="s">
        <v>8538</v>
      </c>
      <c r="V86" s="727"/>
      <c r="W86" s="812"/>
      <c r="X86" s="812"/>
      <c r="Y86" s="732" t="s">
        <v>8792</v>
      </c>
      <c r="Z86" s="748" t="s">
        <v>8561</v>
      </c>
      <c r="AA86" s="748" t="s">
        <v>8797</v>
      </c>
      <c r="AB86" s="748" t="s">
        <v>8800</v>
      </c>
      <c r="AC86" s="748" t="s">
        <v>8803</v>
      </c>
      <c r="AD86" s="749" t="s">
        <v>8538</v>
      </c>
    </row>
    <row r="87" spans="2:30" x14ac:dyDescent="0.25">
      <c r="B87" s="717" t="s">
        <v>8806</v>
      </c>
      <c r="J87" s="2" t="s">
        <v>8807</v>
      </c>
      <c r="L87" s="717" t="s">
        <v>8806</v>
      </c>
      <c r="T87" s="2" t="s">
        <v>8807</v>
      </c>
      <c r="V87" s="717" t="s">
        <v>8806</v>
      </c>
      <c r="AD87" s="2" t="s">
        <v>8807</v>
      </c>
    </row>
    <row r="88" spans="2:30" ht="13.5" customHeight="1" x14ac:dyDescent="0.25"/>
    <row r="89" spans="2:30" x14ac:dyDescent="0.25">
      <c r="B89" s="738" t="s">
        <v>8519</v>
      </c>
      <c r="C89" s="737"/>
      <c r="D89" s="741"/>
      <c r="E89" s="737"/>
      <c r="F89" s="758" t="s">
        <v>8529</v>
      </c>
      <c r="G89" s="759" t="s">
        <v>8530</v>
      </c>
      <c r="H89" s="759" t="s">
        <v>8531</v>
      </c>
      <c r="I89" s="758" t="s">
        <v>8532</v>
      </c>
      <c r="J89" s="760" t="s">
        <v>8533</v>
      </c>
      <c r="L89" s="738" t="s">
        <v>8519</v>
      </c>
      <c r="M89" s="737"/>
      <c r="N89" s="741"/>
      <c r="O89" s="737"/>
      <c r="P89" s="758" t="s">
        <v>8529</v>
      </c>
      <c r="Q89" s="759" t="s">
        <v>8530</v>
      </c>
      <c r="R89" s="759" t="s">
        <v>8531</v>
      </c>
      <c r="S89" s="758" t="s">
        <v>8532</v>
      </c>
      <c r="T89" s="760" t="s">
        <v>8533</v>
      </c>
      <c r="V89" s="738" t="s">
        <v>8519</v>
      </c>
      <c r="W89" s="737"/>
      <c r="X89" s="741"/>
      <c r="Y89" s="737"/>
      <c r="Z89" s="758" t="s">
        <v>8529</v>
      </c>
      <c r="AA89" s="759" t="s">
        <v>8530</v>
      </c>
      <c r="AB89" s="759" t="s">
        <v>8531</v>
      </c>
      <c r="AC89" s="758" t="s">
        <v>8532</v>
      </c>
      <c r="AD89" s="760" t="s">
        <v>8533</v>
      </c>
    </row>
    <row r="90" spans="2:30" ht="17.25" x14ac:dyDescent="0.25">
      <c r="B90" s="726"/>
      <c r="C90" s="729"/>
      <c r="D90" s="729"/>
      <c r="E90" s="731" t="s">
        <v>8520</v>
      </c>
      <c r="F90" s="744" t="s">
        <v>8538</v>
      </c>
      <c r="G90" s="744" t="s">
        <v>8539</v>
      </c>
      <c r="H90" s="744" t="s">
        <v>8540</v>
      </c>
      <c r="I90" s="744" t="s">
        <v>8545</v>
      </c>
      <c r="J90" s="745" t="s">
        <v>8549</v>
      </c>
      <c r="L90" s="726"/>
      <c r="M90" s="729"/>
      <c r="N90" s="729"/>
      <c r="O90" s="731" t="s">
        <v>8520</v>
      </c>
      <c r="P90" s="744" t="s">
        <v>8538</v>
      </c>
      <c r="Q90" s="744" t="s">
        <v>8539</v>
      </c>
      <c r="R90" s="744" t="s">
        <v>8540</v>
      </c>
      <c r="S90" s="744" t="s">
        <v>8545</v>
      </c>
      <c r="T90" s="745" t="s">
        <v>8549</v>
      </c>
      <c r="V90" s="726"/>
      <c r="W90" s="729"/>
      <c r="X90" s="729"/>
      <c r="Y90" s="731" t="s">
        <v>8520</v>
      </c>
      <c r="Z90" s="744" t="s">
        <v>8538</v>
      </c>
      <c r="AA90" s="744" t="s">
        <v>8539</v>
      </c>
      <c r="AB90" s="744" t="s">
        <v>8540</v>
      </c>
      <c r="AC90" s="744" t="s">
        <v>8545</v>
      </c>
      <c r="AD90" s="745" t="s">
        <v>8549</v>
      </c>
    </row>
    <row r="91" spans="2:30" ht="17.25" x14ac:dyDescent="0.25">
      <c r="B91" s="726"/>
      <c r="C91" s="729"/>
      <c r="D91" s="729"/>
      <c r="E91" s="731" t="s">
        <v>8521</v>
      </c>
      <c r="F91" s="744" t="s">
        <v>8534</v>
      </c>
      <c r="G91" s="744" t="s">
        <v>8538</v>
      </c>
      <c r="H91" s="744" t="s">
        <v>8539</v>
      </c>
      <c r="I91" s="744" t="s">
        <v>8546</v>
      </c>
      <c r="J91" s="745" t="s">
        <v>8550</v>
      </c>
      <c r="L91" s="726"/>
      <c r="M91" s="729"/>
      <c r="N91" s="729"/>
      <c r="O91" s="731" t="s">
        <v>8521</v>
      </c>
      <c r="P91" s="744" t="s">
        <v>8534</v>
      </c>
      <c r="Q91" s="744" t="s">
        <v>8538</v>
      </c>
      <c r="R91" s="744" t="s">
        <v>8539</v>
      </c>
      <c r="S91" s="744" t="s">
        <v>8546</v>
      </c>
      <c r="T91" s="745" t="s">
        <v>8550</v>
      </c>
      <c r="V91" s="726"/>
      <c r="W91" s="729"/>
      <c r="X91" s="729"/>
      <c r="Y91" s="731" t="s">
        <v>8521</v>
      </c>
      <c r="Z91" s="744" t="s">
        <v>8534</v>
      </c>
      <c r="AA91" s="744" t="s">
        <v>8538</v>
      </c>
      <c r="AB91" s="744" t="s">
        <v>8539</v>
      </c>
      <c r="AC91" s="744" t="s">
        <v>8546</v>
      </c>
      <c r="AD91" s="745" t="s">
        <v>8550</v>
      </c>
    </row>
    <row r="92" spans="2:30" ht="17.25" x14ac:dyDescent="0.25">
      <c r="B92" s="726"/>
      <c r="C92" s="729"/>
      <c r="D92" s="729"/>
      <c r="E92" s="731" t="s">
        <v>8522</v>
      </c>
      <c r="F92" s="744" t="s">
        <v>8542</v>
      </c>
      <c r="G92" s="753" t="s">
        <v>8534</v>
      </c>
      <c r="H92" s="744" t="s">
        <v>8538</v>
      </c>
      <c r="I92" s="744" t="s">
        <v>8547</v>
      </c>
      <c r="J92" s="745" t="s">
        <v>8551</v>
      </c>
      <c r="L92" s="726"/>
      <c r="M92" s="729"/>
      <c r="N92" s="729"/>
      <c r="O92" s="731" t="s">
        <v>8522</v>
      </c>
      <c r="P92" s="744" t="s">
        <v>8542</v>
      </c>
      <c r="Q92" s="753" t="s">
        <v>8534</v>
      </c>
      <c r="R92" s="744" t="s">
        <v>8538</v>
      </c>
      <c r="S92" s="744" t="s">
        <v>8547</v>
      </c>
      <c r="T92" s="745" t="s">
        <v>8551</v>
      </c>
      <c r="V92" s="726"/>
      <c r="W92" s="729"/>
      <c r="X92" s="729"/>
      <c r="Y92" s="731" t="s">
        <v>8522</v>
      </c>
      <c r="Z92" s="744" t="s">
        <v>8542</v>
      </c>
      <c r="AA92" s="753" t="s">
        <v>8534</v>
      </c>
      <c r="AB92" s="744" t="s">
        <v>8538</v>
      </c>
      <c r="AC92" s="744" t="s">
        <v>8547</v>
      </c>
      <c r="AD92" s="745" t="s">
        <v>8551</v>
      </c>
    </row>
    <row r="93" spans="2:30" ht="17.25" x14ac:dyDescent="0.25">
      <c r="B93" s="726"/>
      <c r="C93" s="729"/>
      <c r="D93" s="729"/>
      <c r="E93" s="731" t="s">
        <v>8523</v>
      </c>
      <c r="F93" s="754" t="s">
        <v>8543</v>
      </c>
      <c r="G93" s="744" t="s">
        <v>8541</v>
      </c>
      <c r="H93" s="753" t="s">
        <v>8536</v>
      </c>
      <c r="I93" s="744" t="s">
        <v>8538</v>
      </c>
      <c r="J93" s="745" t="s">
        <v>8552</v>
      </c>
      <c r="L93" s="726"/>
      <c r="M93" s="729"/>
      <c r="N93" s="729"/>
      <c r="O93" s="731" t="s">
        <v>8523</v>
      </c>
      <c r="P93" s="754" t="s">
        <v>8543</v>
      </c>
      <c r="Q93" s="744" t="s">
        <v>8541</v>
      </c>
      <c r="R93" s="753" t="s">
        <v>8536</v>
      </c>
      <c r="S93" s="744" t="s">
        <v>8538</v>
      </c>
      <c r="T93" s="745" t="s">
        <v>8552</v>
      </c>
      <c r="V93" s="726"/>
      <c r="W93" s="729"/>
      <c r="X93" s="729"/>
      <c r="Y93" s="731" t="s">
        <v>8523</v>
      </c>
      <c r="Z93" s="754" t="s">
        <v>8543</v>
      </c>
      <c r="AA93" s="744" t="s">
        <v>8541</v>
      </c>
      <c r="AB93" s="753" t="s">
        <v>8536</v>
      </c>
      <c r="AC93" s="744" t="s">
        <v>8538</v>
      </c>
      <c r="AD93" s="745" t="s">
        <v>8552</v>
      </c>
    </row>
    <row r="94" spans="2:30" ht="17.25" x14ac:dyDescent="0.25">
      <c r="B94" s="727"/>
      <c r="C94" s="730"/>
      <c r="D94" s="730"/>
      <c r="E94" s="732" t="s">
        <v>8524</v>
      </c>
      <c r="F94" s="755" t="s">
        <v>8544</v>
      </c>
      <c r="G94" s="756" t="s">
        <v>8535</v>
      </c>
      <c r="H94" s="756" t="s">
        <v>8537</v>
      </c>
      <c r="I94" s="755" t="s">
        <v>8548</v>
      </c>
      <c r="J94" s="757" t="s">
        <v>8538</v>
      </c>
      <c r="L94" s="727"/>
      <c r="M94" s="812"/>
      <c r="N94" s="812"/>
      <c r="O94" s="732" t="s">
        <v>8524</v>
      </c>
      <c r="P94" s="755" t="s">
        <v>8544</v>
      </c>
      <c r="Q94" s="756" t="s">
        <v>8535</v>
      </c>
      <c r="R94" s="756" t="s">
        <v>8537</v>
      </c>
      <c r="S94" s="755" t="s">
        <v>8548</v>
      </c>
      <c r="T94" s="757" t="s">
        <v>8538</v>
      </c>
      <c r="V94" s="727"/>
      <c r="W94" s="812"/>
      <c r="X94" s="812"/>
      <c r="Y94" s="732" t="s">
        <v>8524</v>
      </c>
      <c r="Z94" s="755" t="s">
        <v>8544</v>
      </c>
      <c r="AA94" s="756" t="s">
        <v>8535</v>
      </c>
      <c r="AB94" s="756" t="s">
        <v>8537</v>
      </c>
      <c r="AC94" s="755" t="s">
        <v>8548</v>
      </c>
      <c r="AD94" s="757" t="s">
        <v>8538</v>
      </c>
    </row>
    <row r="95" spans="2:30" x14ac:dyDescent="0.25">
      <c r="B95" t="s">
        <v>9149</v>
      </c>
      <c r="D95" s="717"/>
      <c r="L95" t="s">
        <v>9149</v>
      </c>
      <c r="N95" s="717"/>
      <c r="V95" t="s">
        <v>9149</v>
      </c>
      <c r="X95" s="717"/>
    </row>
    <row r="96" spans="2:30" ht="13.5" customHeight="1" x14ac:dyDescent="0.25">
      <c r="B96" s="729"/>
      <c r="C96" s="768"/>
      <c r="D96" s="729"/>
      <c r="E96" s="729"/>
      <c r="F96" s="729"/>
      <c r="G96" s="729"/>
      <c r="H96" s="729"/>
      <c r="I96" s="729"/>
      <c r="J96" s="729"/>
      <c r="L96" s="729"/>
      <c r="M96" s="768"/>
      <c r="N96" s="729"/>
      <c r="O96" s="729"/>
      <c r="P96" s="729"/>
      <c r="Q96" s="729"/>
      <c r="R96" s="729"/>
      <c r="S96" s="729"/>
      <c r="T96" s="729"/>
      <c r="V96" s="729"/>
      <c r="W96" s="768"/>
      <c r="X96" s="729"/>
      <c r="Y96" s="729"/>
      <c r="Z96" s="729"/>
      <c r="AA96" s="729"/>
      <c r="AB96" s="729"/>
      <c r="AC96" s="729"/>
      <c r="AD96" s="729"/>
    </row>
    <row r="97" spans="2:30" x14ac:dyDescent="0.25">
      <c r="B97" s="738" t="s">
        <v>9084</v>
      </c>
      <c r="C97" s="772"/>
      <c r="D97" s="737"/>
      <c r="E97" s="741"/>
      <c r="F97" s="741"/>
      <c r="G97" s="737"/>
      <c r="H97" s="773" t="s">
        <v>9054</v>
      </c>
      <c r="I97" s="737" t="s">
        <v>9085</v>
      </c>
      <c r="J97" s="736" t="s">
        <v>9090</v>
      </c>
      <c r="L97" s="738" t="s">
        <v>9084</v>
      </c>
      <c r="M97" s="772"/>
      <c r="N97" s="737"/>
      <c r="O97" s="741"/>
      <c r="P97" s="741"/>
      <c r="Q97" s="737"/>
      <c r="R97" s="773" t="s">
        <v>9054</v>
      </c>
      <c r="S97" s="737" t="s">
        <v>9085</v>
      </c>
      <c r="T97" s="736" t="s">
        <v>9090</v>
      </c>
      <c r="V97" s="738" t="s">
        <v>9084</v>
      </c>
      <c r="W97" s="772"/>
      <c r="X97" s="737"/>
      <c r="Y97" s="741"/>
      <c r="Z97" s="741"/>
      <c r="AA97" s="737"/>
      <c r="AB97" s="773" t="s">
        <v>9054</v>
      </c>
      <c r="AC97" s="737" t="s">
        <v>9085</v>
      </c>
      <c r="AD97" s="736" t="s">
        <v>9090</v>
      </c>
    </row>
    <row r="98" spans="2:30" x14ac:dyDescent="0.25">
      <c r="B98" s="726"/>
      <c r="C98" s="768"/>
      <c r="D98" s="729"/>
      <c r="E98" s="729"/>
      <c r="F98" s="729"/>
      <c r="G98" s="731" t="s">
        <v>9095</v>
      </c>
      <c r="H98" s="746" t="s">
        <v>8538</v>
      </c>
      <c r="I98" s="746" t="s">
        <v>9086</v>
      </c>
      <c r="J98" s="770" t="s">
        <v>9087</v>
      </c>
      <c r="L98" s="726"/>
      <c r="M98" s="768"/>
      <c r="N98" s="729"/>
      <c r="O98" s="729"/>
      <c r="P98" s="729"/>
      <c r="Q98" s="731" t="s">
        <v>9095</v>
      </c>
      <c r="R98" s="746" t="s">
        <v>8538</v>
      </c>
      <c r="S98" s="746" t="s">
        <v>9086</v>
      </c>
      <c r="T98" s="770" t="s">
        <v>9087</v>
      </c>
      <c r="V98" s="726"/>
      <c r="W98" s="768"/>
      <c r="X98" s="729"/>
      <c r="Y98" s="729"/>
      <c r="Z98" s="729"/>
      <c r="AA98" s="731" t="s">
        <v>9095</v>
      </c>
      <c r="AB98" s="746" t="s">
        <v>8538</v>
      </c>
      <c r="AC98" s="746" t="s">
        <v>9086</v>
      </c>
      <c r="AD98" s="770" t="s">
        <v>9087</v>
      </c>
    </row>
    <row r="99" spans="2:30" x14ac:dyDescent="0.25">
      <c r="B99" s="726"/>
      <c r="C99" s="768"/>
      <c r="D99" s="729"/>
      <c r="E99" s="729"/>
      <c r="F99" s="729"/>
      <c r="G99" s="731" t="s">
        <v>9096</v>
      </c>
      <c r="H99" s="729" t="s">
        <v>9088</v>
      </c>
      <c r="I99" s="746" t="s">
        <v>8538</v>
      </c>
      <c r="J99" s="722" t="s">
        <v>9089</v>
      </c>
      <c r="L99" s="726"/>
      <c r="M99" s="768"/>
      <c r="N99" s="729"/>
      <c r="O99" s="729"/>
      <c r="P99" s="729"/>
      <c r="Q99" s="731" t="s">
        <v>9096</v>
      </c>
      <c r="R99" s="729" t="s">
        <v>9088</v>
      </c>
      <c r="S99" s="746" t="s">
        <v>8538</v>
      </c>
      <c r="T99" s="722" t="s">
        <v>9089</v>
      </c>
      <c r="V99" s="726"/>
      <c r="W99" s="768"/>
      <c r="X99" s="729"/>
      <c r="Y99" s="729"/>
      <c r="Z99" s="729"/>
      <c r="AA99" s="731" t="s">
        <v>9096</v>
      </c>
      <c r="AB99" s="729" t="s">
        <v>9088</v>
      </c>
      <c r="AC99" s="746" t="s">
        <v>8538</v>
      </c>
      <c r="AD99" s="722" t="s">
        <v>9089</v>
      </c>
    </row>
    <row r="100" spans="2:30" x14ac:dyDescent="0.25">
      <c r="B100" s="727"/>
      <c r="C100" s="761"/>
      <c r="D100" s="730"/>
      <c r="E100" s="730"/>
      <c r="F100" s="730"/>
      <c r="G100" s="732" t="s">
        <v>9097</v>
      </c>
      <c r="H100" s="771" t="s">
        <v>9091</v>
      </c>
      <c r="I100" s="748" t="s">
        <v>9092</v>
      </c>
      <c r="J100" s="749" t="s">
        <v>8538</v>
      </c>
      <c r="L100" s="727"/>
      <c r="M100" s="761"/>
      <c r="N100" s="812"/>
      <c r="O100" s="812"/>
      <c r="P100" s="812"/>
      <c r="Q100" s="732" t="s">
        <v>9097</v>
      </c>
      <c r="R100" s="771" t="s">
        <v>9091</v>
      </c>
      <c r="S100" s="748" t="s">
        <v>9092</v>
      </c>
      <c r="T100" s="749" t="s">
        <v>8538</v>
      </c>
      <c r="V100" s="727"/>
      <c r="W100" s="761"/>
      <c r="X100" s="812"/>
      <c r="Y100" s="812"/>
      <c r="Z100" s="812"/>
      <c r="AA100" s="732" t="s">
        <v>9097</v>
      </c>
      <c r="AB100" s="771" t="s">
        <v>9091</v>
      </c>
      <c r="AC100" s="748" t="s">
        <v>9092</v>
      </c>
      <c r="AD100" s="749" t="s">
        <v>8538</v>
      </c>
    </row>
    <row r="101" spans="2:30" x14ac:dyDescent="0.25">
      <c r="B101" s="729" t="s">
        <v>9093</v>
      </c>
      <c r="C101" s="768"/>
      <c r="D101" s="729"/>
      <c r="E101" s="729"/>
      <c r="J101" s="731" t="s">
        <v>9138</v>
      </c>
      <c r="L101" s="729" t="s">
        <v>9093</v>
      </c>
      <c r="M101" s="768"/>
      <c r="N101" s="729"/>
      <c r="O101" s="729"/>
      <c r="T101" s="731" t="s">
        <v>9138</v>
      </c>
      <c r="V101" s="729" t="s">
        <v>9093</v>
      </c>
      <c r="W101" s="768"/>
      <c r="X101" s="729"/>
      <c r="Y101" s="729"/>
      <c r="AD101" s="731" t="s">
        <v>9138</v>
      </c>
    </row>
    <row r="102" spans="2:30" x14ac:dyDescent="0.25">
      <c r="B102" s="729" t="s">
        <v>9094</v>
      </c>
      <c r="C102" s="768"/>
      <c r="D102" s="729"/>
      <c r="E102" s="729"/>
      <c r="G102" s="729"/>
      <c r="H102" s="729"/>
      <c r="I102" s="729"/>
      <c r="J102" s="774" t="s">
        <v>9098</v>
      </c>
      <c r="L102" s="729" t="s">
        <v>9094</v>
      </c>
      <c r="M102" s="768"/>
      <c r="N102" s="729"/>
      <c r="O102" s="729"/>
      <c r="Q102" s="729"/>
      <c r="R102" s="729"/>
      <c r="S102" s="729"/>
      <c r="T102" s="774" t="s">
        <v>9098</v>
      </c>
      <c r="V102" s="729" t="s">
        <v>9094</v>
      </c>
      <c r="W102" s="768"/>
      <c r="X102" s="729"/>
      <c r="Y102" s="729"/>
      <c r="AA102" s="729"/>
      <c r="AB102" s="729"/>
      <c r="AC102" s="729"/>
      <c r="AD102" s="774" t="s">
        <v>9098</v>
      </c>
    </row>
    <row r="103" spans="2:30" ht="13.5" customHeight="1" x14ac:dyDescent="0.25">
      <c r="C103" s="768"/>
      <c r="D103" s="729"/>
      <c r="E103" s="729"/>
      <c r="F103" s="729"/>
      <c r="G103" s="729"/>
      <c r="H103" s="729"/>
      <c r="I103" s="729"/>
      <c r="J103" s="729"/>
      <c r="M103" s="768"/>
      <c r="N103" s="729"/>
      <c r="O103" s="729"/>
      <c r="P103" s="729"/>
      <c r="Q103" s="729"/>
      <c r="R103" s="729"/>
      <c r="S103" s="729"/>
      <c r="T103" s="729"/>
      <c r="W103" s="768"/>
      <c r="X103" s="729"/>
      <c r="Y103" s="729"/>
      <c r="Z103" s="729"/>
      <c r="AA103" s="729"/>
      <c r="AB103" s="729"/>
      <c r="AC103" s="729"/>
      <c r="AD103" s="729"/>
    </row>
    <row r="104" spans="2:30" x14ac:dyDescent="0.25">
      <c r="B104" s="738" t="s">
        <v>9185</v>
      </c>
      <c r="C104" s="741"/>
      <c r="D104" s="741"/>
      <c r="E104" s="741"/>
      <c r="F104" s="741"/>
      <c r="G104" s="741"/>
      <c r="H104" s="741"/>
      <c r="I104" s="741"/>
      <c r="J104" s="742"/>
      <c r="L104" s="738" t="s">
        <v>9185</v>
      </c>
      <c r="M104" s="741"/>
      <c r="N104" s="741"/>
      <c r="O104" s="741"/>
      <c r="P104" s="741"/>
      <c r="Q104" s="741"/>
      <c r="R104" s="741"/>
      <c r="S104" s="741"/>
      <c r="T104" s="742"/>
      <c r="V104" s="738" t="s">
        <v>9185</v>
      </c>
      <c r="W104" s="741"/>
      <c r="X104" s="741"/>
      <c r="Y104" s="741"/>
      <c r="Z104" s="741"/>
      <c r="AA104" s="741"/>
      <c r="AB104" s="741"/>
      <c r="AC104" s="741"/>
      <c r="AD104" s="742"/>
    </row>
    <row r="105" spans="2:30" x14ac:dyDescent="0.25">
      <c r="B105" s="735" t="s">
        <v>9152</v>
      </c>
      <c r="C105" s="739" t="s">
        <v>9151</v>
      </c>
      <c r="D105" s="739" t="s">
        <v>9161</v>
      </c>
      <c r="E105" s="736" t="s">
        <v>9162</v>
      </c>
      <c r="F105" s="735" t="s">
        <v>9152</v>
      </c>
      <c r="G105" s="739" t="s">
        <v>9151</v>
      </c>
      <c r="H105" s="739" t="s">
        <v>9161</v>
      </c>
      <c r="I105" s="737" t="s">
        <v>9162</v>
      </c>
      <c r="J105" s="736"/>
      <c r="L105" s="808" t="s">
        <v>9152</v>
      </c>
      <c r="M105" s="809" t="s">
        <v>9151</v>
      </c>
      <c r="N105" s="809" t="s">
        <v>9161</v>
      </c>
      <c r="O105" s="736" t="s">
        <v>9162</v>
      </c>
      <c r="P105" s="808" t="s">
        <v>9152</v>
      </c>
      <c r="Q105" s="809" t="s">
        <v>9151</v>
      </c>
      <c r="R105" s="809" t="s">
        <v>9161</v>
      </c>
      <c r="S105" s="737" t="s">
        <v>9162</v>
      </c>
      <c r="T105" s="736"/>
      <c r="V105" s="808" t="s">
        <v>9152</v>
      </c>
      <c r="W105" s="809" t="s">
        <v>9151</v>
      </c>
      <c r="X105" s="809" t="s">
        <v>9161</v>
      </c>
      <c r="Y105" s="736" t="s">
        <v>9162</v>
      </c>
      <c r="Z105" s="808" t="s">
        <v>9152</v>
      </c>
      <c r="AA105" s="809" t="s">
        <v>9151</v>
      </c>
      <c r="AB105" s="809" t="s">
        <v>9161</v>
      </c>
      <c r="AC105" s="737" t="s">
        <v>9162</v>
      </c>
      <c r="AD105" s="736"/>
    </row>
    <row r="106" spans="2:30" x14ac:dyDescent="0.25">
      <c r="B106" s="721" t="s">
        <v>9153</v>
      </c>
      <c r="C106" s="762" t="s">
        <v>9157</v>
      </c>
      <c r="D106" s="762" t="s">
        <v>9174</v>
      </c>
      <c r="E106" s="785" t="s">
        <v>9163</v>
      </c>
      <c r="F106" s="721" t="s">
        <v>9167</v>
      </c>
      <c r="G106" s="762" t="s">
        <v>9173</v>
      </c>
      <c r="H106" s="762" t="s">
        <v>9181</v>
      </c>
      <c r="I106" s="729" t="s">
        <v>9171</v>
      </c>
      <c r="J106" s="722"/>
      <c r="L106" s="721" t="s">
        <v>9153</v>
      </c>
      <c r="M106" s="762" t="s">
        <v>9157</v>
      </c>
      <c r="N106" s="762" t="s">
        <v>9174</v>
      </c>
      <c r="O106" s="785" t="s">
        <v>9163</v>
      </c>
      <c r="P106" s="721" t="s">
        <v>9167</v>
      </c>
      <c r="Q106" s="762" t="s">
        <v>9173</v>
      </c>
      <c r="R106" s="762" t="s">
        <v>9181</v>
      </c>
      <c r="S106" s="729" t="s">
        <v>9171</v>
      </c>
      <c r="T106" s="722"/>
      <c r="V106" s="721" t="s">
        <v>9153</v>
      </c>
      <c r="W106" s="762" t="s">
        <v>9157</v>
      </c>
      <c r="X106" s="762" t="s">
        <v>9174</v>
      </c>
      <c r="Y106" s="785" t="s">
        <v>9163</v>
      </c>
      <c r="Z106" s="721" t="s">
        <v>9167</v>
      </c>
      <c r="AA106" s="762" t="s">
        <v>9173</v>
      </c>
      <c r="AB106" s="762" t="s">
        <v>9181</v>
      </c>
      <c r="AC106" s="729" t="s">
        <v>9171</v>
      </c>
      <c r="AD106" s="722"/>
    </row>
    <row r="107" spans="2:30" x14ac:dyDescent="0.25">
      <c r="B107" s="721" t="s">
        <v>9154</v>
      </c>
      <c r="C107" s="762" t="s">
        <v>9158</v>
      </c>
      <c r="D107" s="762" t="s">
        <v>9175</v>
      </c>
      <c r="E107" s="785" t="s">
        <v>9164</v>
      </c>
      <c r="F107" s="721" t="s">
        <v>9168</v>
      </c>
      <c r="G107" s="762" t="s">
        <v>9178</v>
      </c>
      <c r="H107" s="762" t="s">
        <v>9182</v>
      </c>
      <c r="I107" s="729" t="s">
        <v>9172</v>
      </c>
      <c r="J107" s="722"/>
      <c r="L107" s="721" t="s">
        <v>9154</v>
      </c>
      <c r="M107" s="762" t="s">
        <v>9158</v>
      </c>
      <c r="N107" s="762" t="s">
        <v>9175</v>
      </c>
      <c r="O107" s="785" t="s">
        <v>9164</v>
      </c>
      <c r="P107" s="721" t="s">
        <v>9168</v>
      </c>
      <c r="Q107" s="762" t="s">
        <v>9178</v>
      </c>
      <c r="R107" s="762" t="s">
        <v>9182</v>
      </c>
      <c r="S107" s="729" t="s">
        <v>9172</v>
      </c>
      <c r="T107" s="722"/>
      <c r="V107" s="721" t="s">
        <v>9154</v>
      </c>
      <c r="W107" s="762" t="s">
        <v>9158</v>
      </c>
      <c r="X107" s="762" t="s">
        <v>9175</v>
      </c>
      <c r="Y107" s="785" t="s">
        <v>9164</v>
      </c>
      <c r="Z107" s="721" t="s">
        <v>9168</v>
      </c>
      <c r="AA107" s="762" t="s">
        <v>9178</v>
      </c>
      <c r="AB107" s="762" t="s">
        <v>9182</v>
      </c>
      <c r="AC107" s="729" t="s">
        <v>9172</v>
      </c>
      <c r="AD107" s="722"/>
    </row>
    <row r="108" spans="2:30" x14ac:dyDescent="0.25">
      <c r="B108" s="721" t="s">
        <v>9155</v>
      </c>
      <c r="C108" s="762" t="s">
        <v>9159</v>
      </c>
      <c r="D108" s="762" t="s">
        <v>9176</v>
      </c>
      <c r="E108" s="785" t="s">
        <v>9165</v>
      </c>
      <c r="F108" s="721" t="s">
        <v>9169</v>
      </c>
      <c r="G108" s="762" t="s">
        <v>9179</v>
      </c>
      <c r="H108" s="762" t="s">
        <v>9183</v>
      </c>
      <c r="I108" s="729" t="s">
        <v>9172</v>
      </c>
      <c r="J108" s="722"/>
      <c r="L108" s="721" t="s">
        <v>9155</v>
      </c>
      <c r="M108" s="762" t="s">
        <v>9159</v>
      </c>
      <c r="N108" s="762" t="s">
        <v>9176</v>
      </c>
      <c r="O108" s="785" t="s">
        <v>9165</v>
      </c>
      <c r="P108" s="721" t="s">
        <v>9169</v>
      </c>
      <c r="Q108" s="762" t="s">
        <v>9179</v>
      </c>
      <c r="R108" s="762" t="s">
        <v>9183</v>
      </c>
      <c r="S108" s="729" t="s">
        <v>9172</v>
      </c>
      <c r="T108" s="722"/>
      <c r="V108" s="721" t="s">
        <v>9155</v>
      </c>
      <c r="W108" s="762" t="s">
        <v>9159</v>
      </c>
      <c r="X108" s="762" t="s">
        <v>9176</v>
      </c>
      <c r="Y108" s="785" t="s">
        <v>9165</v>
      </c>
      <c r="Z108" s="721" t="s">
        <v>9169</v>
      </c>
      <c r="AA108" s="762" t="s">
        <v>9179</v>
      </c>
      <c r="AB108" s="762" t="s">
        <v>9183</v>
      </c>
      <c r="AC108" s="729" t="s">
        <v>9172</v>
      </c>
      <c r="AD108" s="722"/>
    </row>
    <row r="109" spans="2:30" x14ac:dyDescent="0.25">
      <c r="B109" s="723" t="s">
        <v>9156</v>
      </c>
      <c r="C109" s="765" t="s">
        <v>9160</v>
      </c>
      <c r="D109" s="765" t="s">
        <v>9177</v>
      </c>
      <c r="E109" s="786" t="s">
        <v>9166</v>
      </c>
      <c r="F109" s="723" t="s">
        <v>9170</v>
      </c>
      <c r="G109" s="765" t="s">
        <v>9180</v>
      </c>
      <c r="H109" s="765" t="s">
        <v>9184</v>
      </c>
      <c r="I109" s="730" t="s">
        <v>9172</v>
      </c>
      <c r="J109" s="724"/>
      <c r="L109" s="723" t="s">
        <v>9156</v>
      </c>
      <c r="M109" s="765" t="s">
        <v>9160</v>
      </c>
      <c r="N109" s="765" t="s">
        <v>9177</v>
      </c>
      <c r="O109" s="786" t="s">
        <v>9166</v>
      </c>
      <c r="P109" s="723" t="s">
        <v>9170</v>
      </c>
      <c r="Q109" s="765" t="s">
        <v>9180</v>
      </c>
      <c r="R109" s="765" t="s">
        <v>9184</v>
      </c>
      <c r="S109" s="812" t="s">
        <v>9172</v>
      </c>
      <c r="T109" s="813"/>
      <c r="V109" s="723" t="s">
        <v>9156</v>
      </c>
      <c r="W109" s="765" t="s">
        <v>9160</v>
      </c>
      <c r="X109" s="765" t="s">
        <v>9177</v>
      </c>
      <c r="Y109" s="786" t="s">
        <v>9166</v>
      </c>
      <c r="Z109" s="723" t="s">
        <v>9170</v>
      </c>
      <c r="AA109" s="765" t="s">
        <v>9180</v>
      </c>
      <c r="AB109" s="765" t="s">
        <v>9184</v>
      </c>
      <c r="AC109" s="812" t="s">
        <v>9172</v>
      </c>
      <c r="AD109" s="813"/>
    </row>
    <row r="110" spans="2:30" ht="13.5" customHeight="1" x14ac:dyDescent="0.25"/>
    <row r="111" spans="2:30" x14ac:dyDescent="0.25">
      <c r="B111" s="738" t="s">
        <v>9199</v>
      </c>
      <c r="C111" s="737"/>
      <c r="D111" s="751" t="s">
        <v>9260</v>
      </c>
      <c r="E111" s="752" t="s">
        <v>9261</v>
      </c>
      <c r="F111" s="738" t="s">
        <v>9204</v>
      </c>
      <c r="G111" s="737"/>
      <c r="H111" s="751" t="s">
        <v>9257</v>
      </c>
      <c r="I111" s="751" t="s">
        <v>9258</v>
      </c>
      <c r="J111" s="752" t="s">
        <v>9259</v>
      </c>
      <c r="L111" s="738" t="s">
        <v>9199</v>
      </c>
      <c r="M111" s="737"/>
      <c r="N111" s="751" t="s">
        <v>9260</v>
      </c>
      <c r="O111" s="752" t="s">
        <v>9261</v>
      </c>
      <c r="P111" s="738" t="s">
        <v>9204</v>
      </c>
      <c r="Q111" s="737"/>
      <c r="R111" s="751" t="s">
        <v>9257</v>
      </c>
      <c r="S111" s="751" t="s">
        <v>9258</v>
      </c>
      <c r="T111" s="752" t="s">
        <v>9259</v>
      </c>
      <c r="V111" s="738" t="s">
        <v>9199</v>
      </c>
      <c r="W111" s="737"/>
      <c r="X111" s="751" t="s">
        <v>9260</v>
      </c>
      <c r="Y111" s="752" t="s">
        <v>9261</v>
      </c>
      <c r="Z111" s="738" t="s">
        <v>9204</v>
      </c>
      <c r="AA111" s="737"/>
      <c r="AB111" s="751" t="s">
        <v>9257</v>
      </c>
      <c r="AC111" s="751" t="s">
        <v>9258</v>
      </c>
      <c r="AD111" s="752" t="s">
        <v>9259</v>
      </c>
    </row>
    <row r="112" spans="2:30" ht="17.25" x14ac:dyDescent="0.25">
      <c r="B112" s="726"/>
      <c r="C112" s="731" t="s">
        <v>9200</v>
      </c>
      <c r="D112" s="746" t="s">
        <v>8538</v>
      </c>
      <c r="E112" s="747" t="s">
        <v>9202</v>
      </c>
      <c r="F112" s="726"/>
      <c r="G112" s="731" t="s">
        <v>9205</v>
      </c>
      <c r="H112" s="746" t="s">
        <v>8538</v>
      </c>
      <c r="I112" s="746" t="s">
        <v>8608</v>
      </c>
      <c r="J112" s="747" t="s">
        <v>8574</v>
      </c>
      <c r="L112" s="726"/>
      <c r="M112" s="731" t="s">
        <v>9200</v>
      </c>
      <c r="N112" s="746" t="s">
        <v>8538</v>
      </c>
      <c r="O112" s="747" t="s">
        <v>9202</v>
      </c>
      <c r="P112" s="726"/>
      <c r="Q112" s="731" t="s">
        <v>9205</v>
      </c>
      <c r="R112" s="746" t="s">
        <v>8538</v>
      </c>
      <c r="S112" s="746" t="s">
        <v>8608</v>
      </c>
      <c r="T112" s="747" t="s">
        <v>8574</v>
      </c>
      <c r="V112" s="726"/>
      <c r="W112" s="731" t="s">
        <v>9200</v>
      </c>
      <c r="X112" s="746" t="s">
        <v>8538</v>
      </c>
      <c r="Y112" s="747" t="s">
        <v>9202</v>
      </c>
      <c r="Z112" s="726"/>
      <c r="AA112" s="731" t="s">
        <v>9205</v>
      </c>
      <c r="AB112" s="746" t="s">
        <v>8538</v>
      </c>
      <c r="AC112" s="746" t="s">
        <v>8608</v>
      </c>
      <c r="AD112" s="747" t="s">
        <v>8574</v>
      </c>
    </row>
    <row r="113" spans="2:30" ht="17.25" x14ac:dyDescent="0.25">
      <c r="B113" s="727"/>
      <c r="C113" s="732" t="s">
        <v>9201</v>
      </c>
      <c r="D113" s="748" t="s">
        <v>9203</v>
      </c>
      <c r="E113" s="749" t="s">
        <v>8538</v>
      </c>
      <c r="F113" s="726"/>
      <c r="G113" s="731" t="s">
        <v>9206</v>
      </c>
      <c r="H113" s="746" t="s">
        <v>8611</v>
      </c>
      <c r="I113" s="746" t="s">
        <v>8538</v>
      </c>
      <c r="J113" s="747" t="s">
        <v>9209</v>
      </c>
      <c r="L113" s="727"/>
      <c r="M113" s="732" t="s">
        <v>9201</v>
      </c>
      <c r="N113" s="748" t="s">
        <v>9203</v>
      </c>
      <c r="O113" s="749" t="s">
        <v>8538</v>
      </c>
      <c r="P113" s="726"/>
      <c r="Q113" s="731" t="s">
        <v>9206</v>
      </c>
      <c r="R113" s="746" t="s">
        <v>8611</v>
      </c>
      <c r="S113" s="746" t="s">
        <v>8538</v>
      </c>
      <c r="T113" s="747" t="s">
        <v>9209</v>
      </c>
      <c r="V113" s="727"/>
      <c r="W113" s="732" t="s">
        <v>9201</v>
      </c>
      <c r="X113" s="748" t="s">
        <v>9203</v>
      </c>
      <c r="Y113" s="749" t="s">
        <v>8538</v>
      </c>
      <c r="Z113" s="726"/>
      <c r="AA113" s="731" t="s">
        <v>9206</v>
      </c>
      <c r="AB113" s="746" t="s">
        <v>8611</v>
      </c>
      <c r="AC113" s="746" t="s">
        <v>8538</v>
      </c>
      <c r="AD113" s="747" t="s">
        <v>9209</v>
      </c>
    </row>
    <row r="114" spans="2:30" ht="17.25" x14ac:dyDescent="0.25">
      <c r="B114" t="s">
        <v>9210</v>
      </c>
      <c r="F114" s="727"/>
      <c r="G114" s="732" t="s">
        <v>9207</v>
      </c>
      <c r="H114" s="748" t="s">
        <v>8667</v>
      </c>
      <c r="I114" s="748" t="s">
        <v>9208</v>
      </c>
      <c r="J114" s="749" t="s">
        <v>8538</v>
      </c>
      <c r="L114" t="s">
        <v>9210</v>
      </c>
      <c r="P114" s="727"/>
      <c r="Q114" s="732" t="s">
        <v>9207</v>
      </c>
      <c r="R114" s="748" t="s">
        <v>8667</v>
      </c>
      <c r="S114" s="748" t="s">
        <v>9208</v>
      </c>
      <c r="T114" s="749" t="s">
        <v>8538</v>
      </c>
      <c r="V114" t="s">
        <v>9210</v>
      </c>
      <c r="Z114" s="727"/>
      <c r="AA114" s="732" t="s">
        <v>9207</v>
      </c>
      <c r="AB114" s="748" t="s">
        <v>8667</v>
      </c>
      <c r="AC114" s="748" t="s">
        <v>9208</v>
      </c>
      <c r="AD114" s="749" t="s">
        <v>8538</v>
      </c>
    </row>
    <row r="115" spans="2:30" ht="13.5" customHeight="1" x14ac:dyDescent="0.25"/>
    <row r="116" spans="2:30" ht="17.25" x14ac:dyDescent="0.25">
      <c r="B116" s="738" t="s">
        <v>9358</v>
      </c>
      <c r="C116" s="737"/>
      <c r="D116" s="796" t="s">
        <v>9361</v>
      </c>
      <c r="E116" s="796" t="s">
        <v>9406</v>
      </c>
      <c r="F116" s="807" t="s">
        <v>9409</v>
      </c>
      <c r="G116" s="796" t="s">
        <v>9360</v>
      </c>
      <c r="H116" s="796" t="s">
        <v>9359</v>
      </c>
      <c r="I116" s="796" t="s">
        <v>9407</v>
      </c>
      <c r="J116" s="797" t="s">
        <v>9408</v>
      </c>
      <c r="L116" s="738" t="s">
        <v>9358</v>
      </c>
      <c r="M116" s="737"/>
      <c r="N116" s="796" t="s">
        <v>9361</v>
      </c>
      <c r="O116" s="796" t="s">
        <v>9406</v>
      </c>
      <c r="P116" s="807" t="s">
        <v>9409</v>
      </c>
      <c r="Q116" s="796" t="s">
        <v>9360</v>
      </c>
      <c r="R116" s="796" t="s">
        <v>9359</v>
      </c>
      <c r="S116" s="796" t="s">
        <v>9407</v>
      </c>
      <c r="T116" s="797" t="s">
        <v>9408</v>
      </c>
      <c r="V116" s="738" t="s">
        <v>9358</v>
      </c>
      <c r="W116" s="737"/>
      <c r="X116" s="796" t="s">
        <v>9361</v>
      </c>
      <c r="Y116" s="796" t="s">
        <v>9406</v>
      </c>
      <c r="Z116" s="807" t="s">
        <v>9409</v>
      </c>
      <c r="AA116" s="796" t="s">
        <v>9360</v>
      </c>
      <c r="AB116" s="796" t="s">
        <v>9359</v>
      </c>
      <c r="AC116" s="796" t="s">
        <v>9407</v>
      </c>
      <c r="AD116" s="797" t="s">
        <v>9408</v>
      </c>
    </row>
    <row r="117" spans="2:30" ht="17.25" x14ac:dyDescent="0.25">
      <c r="B117" s="726"/>
      <c r="C117" s="731" t="s">
        <v>9362</v>
      </c>
      <c r="D117" s="769" t="s">
        <v>8538</v>
      </c>
      <c r="E117" s="769" t="s">
        <v>9367</v>
      </c>
      <c r="F117" s="746" t="s">
        <v>9368</v>
      </c>
      <c r="G117" s="769" t="s">
        <v>9369</v>
      </c>
      <c r="H117" s="769" t="s">
        <v>9370</v>
      </c>
      <c r="I117" s="769" t="s">
        <v>9371</v>
      </c>
      <c r="J117" s="770" t="s">
        <v>9372</v>
      </c>
      <c r="L117" s="726"/>
      <c r="M117" s="731" t="s">
        <v>9362</v>
      </c>
      <c r="N117" s="769" t="s">
        <v>8538</v>
      </c>
      <c r="O117" s="769" t="s">
        <v>9367</v>
      </c>
      <c r="P117" s="746" t="s">
        <v>9368</v>
      </c>
      <c r="Q117" s="769" t="s">
        <v>9369</v>
      </c>
      <c r="R117" s="769" t="s">
        <v>9370</v>
      </c>
      <c r="S117" s="769" t="s">
        <v>9371</v>
      </c>
      <c r="T117" s="770" t="s">
        <v>9372</v>
      </c>
      <c r="V117" s="726"/>
      <c r="W117" s="731" t="s">
        <v>9362</v>
      </c>
      <c r="X117" s="769" t="s">
        <v>8538</v>
      </c>
      <c r="Y117" s="769" t="s">
        <v>9367</v>
      </c>
      <c r="Z117" s="746" t="s">
        <v>9368</v>
      </c>
      <c r="AA117" s="769" t="s">
        <v>9369</v>
      </c>
      <c r="AB117" s="769" t="s">
        <v>9370</v>
      </c>
      <c r="AC117" s="769" t="s">
        <v>9371</v>
      </c>
      <c r="AD117" s="770" t="s">
        <v>9372</v>
      </c>
    </row>
    <row r="118" spans="2:30" ht="17.25" x14ac:dyDescent="0.25">
      <c r="B118" s="726"/>
      <c r="C118" s="729" t="s">
        <v>9363</v>
      </c>
      <c r="D118" s="769" t="s">
        <v>9373</v>
      </c>
      <c r="E118" s="746" t="s">
        <v>8538</v>
      </c>
      <c r="F118" s="746" t="s">
        <v>9374</v>
      </c>
      <c r="G118" s="769" t="s">
        <v>9375</v>
      </c>
      <c r="H118" s="769" t="s">
        <v>9376</v>
      </c>
      <c r="I118" s="769" t="s">
        <v>9377</v>
      </c>
      <c r="J118" s="770" t="s">
        <v>9378</v>
      </c>
      <c r="L118" s="726"/>
      <c r="M118" s="729" t="s">
        <v>9363</v>
      </c>
      <c r="N118" s="769" t="s">
        <v>9373</v>
      </c>
      <c r="O118" s="746" t="s">
        <v>8538</v>
      </c>
      <c r="P118" s="746" t="s">
        <v>9374</v>
      </c>
      <c r="Q118" s="769" t="s">
        <v>9375</v>
      </c>
      <c r="R118" s="769" t="s">
        <v>9376</v>
      </c>
      <c r="S118" s="769" t="s">
        <v>9377</v>
      </c>
      <c r="T118" s="770" t="s">
        <v>9378</v>
      </c>
      <c r="V118" s="726"/>
      <c r="W118" s="729" t="s">
        <v>9363</v>
      </c>
      <c r="X118" s="769" t="s">
        <v>9373</v>
      </c>
      <c r="Y118" s="746" t="s">
        <v>8538</v>
      </c>
      <c r="Z118" s="746" t="s">
        <v>9374</v>
      </c>
      <c r="AA118" s="769" t="s">
        <v>9375</v>
      </c>
      <c r="AB118" s="769" t="s">
        <v>9376</v>
      </c>
      <c r="AC118" s="769" t="s">
        <v>9377</v>
      </c>
      <c r="AD118" s="770" t="s">
        <v>9378</v>
      </c>
    </row>
    <row r="119" spans="2:30" ht="17.25" x14ac:dyDescent="0.25">
      <c r="B119" s="726"/>
      <c r="C119" s="731" t="s">
        <v>9410</v>
      </c>
      <c r="D119" s="769" t="s">
        <v>9379</v>
      </c>
      <c r="E119" s="746" t="s">
        <v>9380</v>
      </c>
      <c r="F119" s="746" t="s">
        <v>8538</v>
      </c>
      <c r="G119" s="769" t="s">
        <v>9381</v>
      </c>
      <c r="H119" s="769" t="s">
        <v>9382</v>
      </c>
      <c r="I119" s="769" t="s">
        <v>9383</v>
      </c>
      <c r="J119" s="770" t="s">
        <v>9384</v>
      </c>
      <c r="L119" s="726"/>
      <c r="M119" s="731" t="s">
        <v>9410</v>
      </c>
      <c r="N119" s="769" t="s">
        <v>9379</v>
      </c>
      <c r="O119" s="746" t="s">
        <v>9380</v>
      </c>
      <c r="P119" s="746" t="s">
        <v>8538</v>
      </c>
      <c r="Q119" s="769" t="s">
        <v>9381</v>
      </c>
      <c r="R119" s="769" t="s">
        <v>9382</v>
      </c>
      <c r="S119" s="769" t="s">
        <v>9383</v>
      </c>
      <c r="T119" s="770" t="s">
        <v>9384</v>
      </c>
      <c r="V119" s="726"/>
      <c r="W119" s="731" t="s">
        <v>9410</v>
      </c>
      <c r="X119" s="769" t="s">
        <v>9379</v>
      </c>
      <c r="Y119" s="746" t="s">
        <v>9380</v>
      </c>
      <c r="Z119" s="746" t="s">
        <v>8538</v>
      </c>
      <c r="AA119" s="769" t="s">
        <v>9381</v>
      </c>
      <c r="AB119" s="769" t="s">
        <v>9382</v>
      </c>
      <c r="AC119" s="769" t="s">
        <v>9383</v>
      </c>
      <c r="AD119" s="770" t="s">
        <v>9384</v>
      </c>
    </row>
    <row r="120" spans="2:30" ht="17.25" x14ac:dyDescent="0.25">
      <c r="B120" s="726"/>
      <c r="C120" s="731" t="s">
        <v>9411</v>
      </c>
      <c r="D120" s="769" t="s">
        <v>9385</v>
      </c>
      <c r="E120" s="729" t="s">
        <v>9386</v>
      </c>
      <c r="F120" s="746" t="s">
        <v>9387</v>
      </c>
      <c r="G120" s="746" t="s">
        <v>8538</v>
      </c>
      <c r="H120" s="769" t="s">
        <v>9388</v>
      </c>
      <c r="I120" s="769" t="s">
        <v>9389</v>
      </c>
      <c r="J120" s="770" t="s">
        <v>9390</v>
      </c>
      <c r="L120" s="726"/>
      <c r="M120" s="731" t="s">
        <v>9411</v>
      </c>
      <c r="N120" s="769" t="s">
        <v>9385</v>
      </c>
      <c r="O120" s="729" t="s">
        <v>9386</v>
      </c>
      <c r="P120" s="746" t="s">
        <v>9387</v>
      </c>
      <c r="Q120" s="746" t="s">
        <v>8538</v>
      </c>
      <c r="R120" s="769" t="s">
        <v>9388</v>
      </c>
      <c r="S120" s="769" t="s">
        <v>9389</v>
      </c>
      <c r="T120" s="770" t="s">
        <v>9390</v>
      </c>
      <c r="V120" s="726"/>
      <c r="W120" s="731" t="s">
        <v>9411</v>
      </c>
      <c r="X120" s="769" t="s">
        <v>9385</v>
      </c>
      <c r="Y120" s="729" t="s">
        <v>9386</v>
      </c>
      <c r="Z120" s="746" t="s">
        <v>9387</v>
      </c>
      <c r="AA120" s="746" t="s">
        <v>8538</v>
      </c>
      <c r="AB120" s="769" t="s">
        <v>9388</v>
      </c>
      <c r="AC120" s="769" t="s">
        <v>9389</v>
      </c>
      <c r="AD120" s="770" t="s">
        <v>9390</v>
      </c>
    </row>
    <row r="121" spans="2:30" ht="17.25" x14ac:dyDescent="0.25">
      <c r="B121" s="726"/>
      <c r="C121" s="731" t="s">
        <v>9364</v>
      </c>
      <c r="D121" s="769" t="s">
        <v>9391</v>
      </c>
      <c r="E121" s="746" t="s">
        <v>9392</v>
      </c>
      <c r="F121" s="746" t="s">
        <v>9393</v>
      </c>
      <c r="G121" s="746" t="s">
        <v>9394</v>
      </c>
      <c r="H121" s="746" t="s">
        <v>8538</v>
      </c>
      <c r="I121" s="769" t="s">
        <v>9395</v>
      </c>
      <c r="J121" s="770" t="s">
        <v>9396</v>
      </c>
      <c r="L121" s="726"/>
      <c r="M121" s="731" t="s">
        <v>9364</v>
      </c>
      <c r="N121" s="769" t="s">
        <v>9391</v>
      </c>
      <c r="O121" s="746" t="s">
        <v>9392</v>
      </c>
      <c r="P121" s="746" t="s">
        <v>9393</v>
      </c>
      <c r="Q121" s="746" t="s">
        <v>9394</v>
      </c>
      <c r="R121" s="746" t="s">
        <v>8538</v>
      </c>
      <c r="S121" s="769" t="s">
        <v>9395</v>
      </c>
      <c r="T121" s="770" t="s">
        <v>9396</v>
      </c>
      <c r="V121" s="726"/>
      <c r="W121" s="731" t="s">
        <v>9364</v>
      </c>
      <c r="X121" s="769" t="s">
        <v>9391</v>
      </c>
      <c r="Y121" s="746" t="s">
        <v>9392</v>
      </c>
      <c r="Z121" s="746" t="s">
        <v>9393</v>
      </c>
      <c r="AA121" s="746" t="s">
        <v>9394</v>
      </c>
      <c r="AB121" s="746" t="s">
        <v>8538</v>
      </c>
      <c r="AC121" s="769" t="s">
        <v>9395</v>
      </c>
      <c r="AD121" s="770" t="s">
        <v>9396</v>
      </c>
    </row>
    <row r="122" spans="2:30" ht="17.25" x14ac:dyDescent="0.25">
      <c r="B122" s="726"/>
      <c r="C122" s="731" t="s">
        <v>9365</v>
      </c>
      <c r="D122" s="769" t="s">
        <v>9397</v>
      </c>
      <c r="E122" s="746" t="s">
        <v>9398</v>
      </c>
      <c r="F122" s="746" t="s">
        <v>8726</v>
      </c>
      <c r="G122" s="746" t="s">
        <v>9399</v>
      </c>
      <c r="H122" s="746" t="s">
        <v>9400</v>
      </c>
      <c r="I122" s="746" t="s">
        <v>8538</v>
      </c>
      <c r="J122" s="770" t="s">
        <v>8619</v>
      </c>
      <c r="L122" s="726"/>
      <c r="M122" s="731" t="s">
        <v>9365</v>
      </c>
      <c r="N122" s="769" t="s">
        <v>9397</v>
      </c>
      <c r="O122" s="746" t="s">
        <v>9398</v>
      </c>
      <c r="P122" s="746" t="s">
        <v>8726</v>
      </c>
      <c r="Q122" s="746" t="s">
        <v>9399</v>
      </c>
      <c r="R122" s="746" t="s">
        <v>9400</v>
      </c>
      <c r="S122" s="746" t="s">
        <v>8538</v>
      </c>
      <c r="T122" s="770" t="s">
        <v>8619</v>
      </c>
      <c r="V122" s="726"/>
      <c r="W122" s="731" t="s">
        <v>9365</v>
      </c>
      <c r="X122" s="769" t="s">
        <v>9397</v>
      </c>
      <c r="Y122" s="746" t="s">
        <v>9398</v>
      </c>
      <c r="Z122" s="746" t="s">
        <v>8726</v>
      </c>
      <c r="AA122" s="746" t="s">
        <v>9399</v>
      </c>
      <c r="AB122" s="746" t="s">
        <v>9400</v>
      </c>
      <c r="AC122" s="746" t="s">
        <v>8538</v>
      </c>
      <c r="AD122" s="770" t="s">
        <v>8619</v>
      </c>
    </row>
    <row r="123" spans="2:30" ht="17.25" x14ac:dyDescent="0.25">
      <c r="B123" s="727"/>
      <c r="C123" s="732" t="s">
        <v>9366</v>
      </c>
      <c r="D123" s="771" t="s">
        <v>9401</v>
      </c>
      <c r="E123" s="748" t="s">
        <v>9402</v>
      </c>
      <c r="F123" s="748" t="s">
        <v>9403</v>
      </c>
      <c r="G123" s="748" t="s">
        <v>9404</v>
      </c>
      <c r="H123" s="748" t="s">
        <v>9405</v>
      </c>
      <c r="I123" s="748" t="s">
        <v>8616</v>
      </c>
      <c r="J123" s="749" t="s">
        <v>8538</v>
      </c>
      <c r="L123" s="727"/>
      <c r="M123" s="732" t="s">
        <v>9366</v>
      </c>
      <c r="N123" s="771" t="s">
        <v>9401</v>
      </c>
      <c r="O123" s="748" t="s">
        <v>9402</v>
      </c>
      <c r="P123" s="748" t="s">
        <v>9403</v>
      </c>
      <c r="Q123" s="748" t="s">
        <v>9404</v>
      </c>
      <c r="R123" s="748" t="s">
        <v>9405</v>
      </c>
      <c r="S123" s="748" t="s">
        <v>8616</v>
      </c>
      <c r="T123" s="749" t="s">
        <v>8538</v>
      </c>
      <c r="V123" s="727"/>
      <c r="W123" s="732" t="s">
        <v>9366</v>
      </c>
      <c r="X123" s="771" t="s">
        <v>9401</v>
      </c>
      <c r="Y123" s="748" t="s">
        <v>9402</v>
      </c>
      <c r="Z123" s="748" t="s">
        <v>9403</v>
      </c>
      <c r="AA123" s="748" t="s">
        <v>9404</v>
      </c>
      <c r="AB123" s="748" t="s">
        <v>9405</v>
      </c>
      <c r="AC123" s="748" t="s">
        <v>8616</v>
      </c>
      <c r="AD123" s="749" t="s">
        <v>8538</v>
      </c>
    </row>
    <row r="124" spans="2:30" ht="17.25" x14ac:dyDescent="0.25">
      <c r="B124" t="s">
        <v>9412</v>
      </c>
      <c r="E124" t="s">
        <v>9414</v>
      </c>
      <c r="H124" s="734" t="s">
        <v>9416</v>
      </c>
      <c r="L124" t="s">
        <v>9412</v>
      </c>
      <c r="O124" t="s">
        <v>9414</v>
      </c>
      <c r="R124" s="734" t="s">
        <v>9416</v>
      </c>
      <c r="V124" t="s">
        <v>9412</v>
      </c>
      <c r="Y124" t="s">
        <v>9414</v>
      </c>
      <c r="AB124" s="734" t="s">
        <v>9416</v>
      </c>
    </row>
    <row r="125" spans="2:30" ht="18.75" x14ac:dyDescent="0.35">
      <c r="B125" t="s">
        <v>9413</v>
      </c>
      <c r="E125" s="734" t="s">
        <v>9415</v>
      </c>
      <c r="L125" t="s">
        <v>9413</v>
      </c>
      <c r="O125" s="734" t="s">
        <v>9415</v>
      </c>
      <c r="V125" t="s">
        <v>9413</v>
      </c>
      <c r="Y125" s="734" t="s">
        <v>9415</v>
      </c>
    </row>
    <row r="126" spans="2:30" ht="13.5" customHeight="1" x14ac:dyDescent="0.25"/>
    <row r="127" spans="2:30" x14ac:dyDescent="0.25">
      <c r="B127" s="738" t="s">
        <v>9481</v>
      </c>
      <c r="C127" s="741"/>
      <c r="D127" s="741"/>
      <c r="E127" s="741"/>
      <c r="F127" s="737" t="s">
        <v>9298</v>
      </c>
      <c r="G127" s="741"/>
      <c r="H127" s="741"/>
      <c r="I127" s="741"/>
      <c r="J127" s="742"/>
      <c r="L127" s="738" t="s">
        <v>9481</v>
      </c>
      <c r="M127" s="741"/>
      <c r="N127" s="741"/>
      <c r="O127" s="741"/>
      <c r="P127" s="737" t="s">
        <v>9298</v>
      </c>
      <c r="Q127" s="741"/>
      <c r="R127" s="741"/>
      <c r="S127" s="741"/>
      <c r="T127" s="742"/>
      <c r="V127" s="738" t="s">
        <v>9481</v>
      </c>
      <c r="W127" s="741"/>
      <c r="X127" s="741"/>
      <c r="Y127" s="741"/>
      <c r="Z127" s="737" t="s">
        <v>9298</v>
      </c>
      <c r="AA127" s="741"/>
      <c r="AB127" s="741"/>
      <c r="AC127" s="741"/>
      <c r="AD127" s="742"/>
    </row>
    <row r="128" spans="2:30" ht="17.25" x14ac:dyDescent="0.25">
      <c r="B128" s="727"/>
      <c r="C128" s="730"/>
      <c r="D128" s="730"/>
      <c r="E128" s="730" t="s">
        <v>9300</v>
      </c>
      <c r="F128" s="730" t="s">
        <v>9299</v>
      </c>
      <c r="G128" s="730"/>
      <c r="H128" s="730"/>
      <c r="I128" s="730"/>
      <c r="J128" s="724"/>
      <c r="L128" s="727"/>
      <c r="M128" s="812"/>
      <c r="N128" s="812"/>
      <c r="O128" s="812" t="s">
        <v>9300</v>
      </c>
      <c r="P128" s="812" t="s">
        <v>9299</v>
      </c>
      <c r="Q128" s="812"/>
      <c r="R128" s="812"/>
      <c r="S128" s="812"/>
      <c r="T128" s="813"/>
      <c r="V128" s="727"/>
      <c r="W128" s="812"/>
      <c r="X128" s="812"/>
      <c r="Y128" s="812" t="s">
        <v>9300</v>
      </c>
      <c r="Z128" s="812" t="s">
        <v>9299</v>
      </c>
      <c r="AA128" s="812"/>
      <c r="AB128" s="812"/>
      <c r="AC128" s="812"/>
      <c r="AD128" s="813"/>
    </row>
    <row r="129" spans="2:30" ht="12" customHeight="1" x14ac:dyDescent="0.25"/>
    <row r="130" spans="2:30" x14ac:dyDescent="0.25">
      <c r="B130" s="738" t="s">
        <v>9227</v>
      </c>
      <c r="C130" s="741"/>
      <c r="D130" s="741"/>
      <c r="E130" s="741"/>
      <c r="F130" s="741"/>
      <c r="G130" s="741"/>
      <c r="H130" s="741"/>
      <c r="I130" s="741"/>
      <c r="J130" s="802" t="s">
        <v>9297</v>
      </c>
      <c r="L130" s="738" t="s">
        <v>9227</v>
      </c>
      <c r="M130" s="741"/>
      <c r="N130" s="741"/>
      <c r="O130" s="741"/>
      <c r="P130" s="741"/>
      <c r="Q130" s="741"/>
      <c r="R130" s="741"/>
      <c r="S130" s="741"/>
      <c r="T130" s="802" t="s">
        <v>9297</v>
      </c>
      <c r="V130" s="738" t="s">
        <v>9227</v>
      </c>
      <c r="W130" s="741"/>
      <c r="X130" s="741"/>
      <c r="Y130" s="741"/>
      <c r="Z130" s="741"/>
      <c r="AA130" s="741"/>
      <c r="AB130" s="741"/>
      <c r="AC130" s="741"/>
      <c r="AD130" s="802" t="s">
        <v>9297</v>
      </c>
    </row>
    <row r="131" spans="2:30" x14ac:dyDescent="0.25">
      <c r="B131" s="740"/>
      <c r="C131" s="741"/>
      <c r="D131" s="790" t="s">
        <v>9253</v>
      </c>
      <c r="E131" s="737"/>
      <c r="F131" s="759" t="s">
        <v>9254</v>
      </c>
      <c r="G131" s="737"/>
      <c r="H131" s="759" t="s">
        <v>9255</v>
      </c>
      <c r="I131" s="737"/>
      <c r="J131" s="791" t="s">
        <v>9256</v>
      </c>
      <c r="L131" s="740"/>
      <c r="M131" s="741"/>
      <c r="N131" s="790" t="s">
        <v>9253</v>
      </c>
      <c r="O131" s="737"/>
      <c r="P131" s="759" t="s">
        <v>9254</v>
      </c>
      <c r="Q131" s="737"/>
      <c r="R131" s="759" t="s">
        <v>9255</v>
      </c>
      <c r="S131" s="737"/>
      <c r="T131" s="791" t="s">
        <v>9256</v>
      </c>
      <c r="V131" s="740"/>
      <c r="W131" s="741"/>
      <c r="X131" s="790" t="s">
        <v>9253</v>
      </c>
      <c r="Y131" s="737"/>
      <c r="Z131" s="759" t="s">
        <v>9254</v>
      </c>
      <c r="AA131" s="737"/>
      <c r="AB131" s="759" t="s">
        <v>9255</v>
      </c>
      <c r="AC131" s="737"/>
      <c r="AD131" s="791" t="s">
        <v>9256</v>
      </c>
    </row>
    <row r="132" spans="2:30" x14ac:dyDescent="0.25">
      <c r="B132" s="726"/>
      <c r="C132" s="731" t="s">
        <v>9211</v>
      </c>
      <c r="D132" s="789" t="s">
        <v>8538</v>
      </c>
      <c r="E132" s="729"/>
      <c r="F132" s="769" t="s">
        <v>9215</v>
      </c>
      <c r="G132" s="729"/>
      <c r="H132" s="769" t="s">
        <v>9222</v>
      </c>
      <c r="I132" s="729"/>
      <c r="J132" s="747" t="s">
        <v>9219</v>
      </c>
      <c r="L132" s="726"/>
      <c r="M132" s="731" t="s">
        <v>9211</v>
      </c>
      <c r="N132" s="789" t="s">
        <v>8538</v>
      </c>
      <c r="O132" s="729"/>
      <c r="P132" s="769" t="s">
        <v>9215</v>
      </c>
      <c r="Q132" s="729"/>
      <c r="R132" s="769" t="s">
        <v>9222</v>
      </c>
      <c r="S132" s="729"/>
      <c r="T132" s="747" t="s">
        <v>9219</v>
      </c>
      <c r="V132" s="726"/>
      <c r="W132" s="731" t="s">
        <v>9211</v>
      </c>
      <c r="X132" s="789" t="s">
        <v>8538</v>
      </c>
      <c r="Y132" s="729"/>
      <c r="Z132" s="769" t="s">
        <v>9215</v>
      </c>
      <c r="AA132" s="729"/>
      <c r="AB132" s="769" t="s">
        <v>9222</v>
      </c>
      <c r="AC132" s="729"/>
      <c r="AD132" s="747" t="s">
        <v>9219</v>
      </c>
    </row>
    <row r="133" spans="2:30" x14ac:dyDescent="0.25">
      <c r="B133" s="726"/>
      <c r="C133" s="731" t="s">
        <v>9212</v>
      </c>
      <c r="D133" s="769" t="s">
        <v>9216</v>
      </c>
      <c r="E133" s="729"/>
      <c r="F133" s="746" t="s">
        <v>8538</v>
      </c>
      <c r="G133" s="729"/>
      <c r="H133" s="769" t="s">
        <v>9224</v>
      </c>
      <c r="I133" s="729"/>
      <c r="J133" s="770" t="s">
        <v>9486</v>
      </c>
      <c r="L133" s="726"/>
      <c r="M133" s="731" t="s">
        <v>9212</v>
      </c>
      <c r="N133" s="769" t="s">
        <v>9216</v>
      </c>
      <c r="O133" s="729"/>
      <c r="P133" s="746" t="s">
        <v>8538</v>
      </c>
      <c r="Q133" s="729"/>
      <c r="R133" s="769" t="s">
        <v>9224</v>
      </c>
      <c r="S133" s="729"/>
      <c r="T133" s="770" t="s">
        <v>9486</v>
      </c>
      <c r="V133" s="726"/>
      <c r="W133" s="731" t="s">
        <v>9212</v>
      </c>
      <c r="X133" s="769" t="s">
        <v>9216</v>
      </c>
      <c r="Y133" s="729"/>
      <c r="Z133" s="746" t="s">
        <v>8538</v>
      </c>
      <c r="AA133" s="729"/>
      <c r="AB133" s="769" t="s">
        <v>9224</v>
      </c>
      <c r="AC133" s="729"/>
      <c r="AD133" s="770" t="s">
        <v>9486</v>
      </c>
    </row>
    <row r="134" spans="2:30" x14ac:dyDescent="0.25">
      <c r="B134" s="726"/>
      <c r="C134" s="731" t="s">
        <v>9213</v>
      </c>
      <c r="D134" s="769" t="s">
        <v>9223</v>
      </c>
      <c r="E134" s="729"/>
      <c r="F134" s="746" t="s">
        <v>9221</v>
      </c>
      <c r="G134" s="729"/>
      <c r="H134" s="746" t="s">
        <v>8538</v>
      </c>
      <c r="I134" s="729"/>
      <c r="J134" s="747" t="s">
        <v>9217</v>
      </c>
      <c r="L134" s="726"/>
      <c r="M134" s="731" t="s">
        <v>9213</v>
      </c>
      <c r="N134" s="769" t="s">
        <v>9223</v>
      </c>
      <c r="O134" s="729"/>
      <c r="P134" s="746" t="s">
        <v>9221</v>
      </c>
      <c r="Q134" s="729"/>
      <c r="R134" s="746" t="s">
        <v>8538</v>
      </c>
      <c r="S134" s="729"/>
      <c r="T134" s="747" t="s">
        <v>9217</v>
      </c>
      <c r="V134" s="726"/>
      <c r="W134" s="731" t="s">
        <v>9213</v>
      </c>
      <c r="X134" s="769" t="s">
        <v>9223</v>
      </c>
      <c r="Y134" s="729"/>
      <c r="Z134" s="746" t="s">
        <v>9221</v>
      </c>
      <c r="AA134" s="729"/>
      <c r="AB134" s="746" t="s">
        <v>8538</v>
      </c>
      <c r="AC134" s="729"/>
      <c r="AD134" s="747" t="s">
        <v>9217</v>
      </c>
    </row>
    <row r="135" spans="2:30" x14ac:dyDescent="0.25">
      <c r="B135" s="727"/>
      <c r="C135" s="732" t="s">
        <v>9214</v>
      </c>
      <c r="D135" s="748" t="s">
        <v>9220</v>
      </c>
      <c r="E135" s="730"/>
      <c r="F135" s="748" t="s">
        <v>9225</v>
      </c>
      <c r="G135" s="730"/>
      <c r="H135" s="748" t="s">
        <v>9218</v>
      </c>
      <c r="I135" s="730"/>
      <c r="J135" s="749" t="s">
        <v>8538</v>
      </c>
      <c r="L135" s="727"/>
      <c r="M135" s="732" t="s">
        <v>9214</v>
      </c>
      <c r="N135" s="748" t="s">
        <v>9220</v>
      </c>
      <c r="O135" s="812"/>
      <c r="P135" s="748" t="s">
        <v>9225</v>
      </c>
      <c r="Q135" s="812"/>
      <c r="R135" s="748" t="s">
        <v>9218</v>
      </c>
      <c r="S135" s="812"/>
      <c r="T135" s="749" t="s">
        <v>8538</v>
      </c>
      <c r="V135" s="727"/>
      <c r="W135" s="732" t="s">
        <v>9214</v>
      </c>
      <c r="X135" s="748" t="s">
        <v>9220</v>
      </c>
      <c r="Y135" s="812"/>
      <c r="Z135" s="748" t="s">
        <v>9225</v>
      </c>
      <c r="AA135" s="812"/>
      <c r="AB135" s="748" t="s">
        <v>9218</v>
      </c>
      <c r="AC135" s="812"/>
      <c r="AD135" s="749" t="s">
        <v>8538</v>
      </c>
    </row>
    <row r="136" spans="2:30" x14ac:dyDescent="0.25">
      <c r="B136" s="769" t="s">
        <v>9226</v>
      </c>
      <c r="L136" s="769" t="s">
        <v>9226</v>
      </c>
      <c r="V136" s="769" t="s">
        <v>9226</v>
      </c>
    </row>
    <row r="138" spans="2:30" x14ac:dyDescent="0.25">
      <c r="B138" s="738" t="s">
        <v>9296</v>
      </c>
      <c r="C138" s="741"/>
      <c r="D138" s="741"/>
      <c r="E138" s="741"/>
      <c r="F138" s="741"/>
      <c r="G138" s="751" t="s">
        <v>9249</v>
      </c>
      <c r="H138" s="751" t="s">
        <v>9250</v>
      </c>
      <c r="I138" s="751" t="s">
        <v>9251</v>
      </c>
      <c r="J138" s="752" t="s">
        <v>9252</v>
      </c>
      <c r="L138" s="738" t="s">
        <v>9296</v>
      </c>
      <c r="M138" s="741"/>
      <c r="N138" s="741"/>
      <c r="O138" s="741"/>
      <c r="P138" s="741"/>
      <c r="Q138" s="751" t="s">
        <v>9249</v>
      </c>
      <c r="R138" s="751" t="s">
        <v>9250</v>
      </c>
      <c r="S138" s="751" t="s">
        <v>9251</v>
      </c>
      <c r="T138" s="752" t="s">
        <v>9252</v>
      </c>
      <c r="V138" s="738" t="s">
        <v>9296</v>
      </c>
      <c r="W138" s="741"/>
      <c r="X138" s="741"/>
      <c r="Y138" s="741"/>
      <c r="Z138" s="741"/>
      <c r="AA138" s="751" t="s">
        <v>9249</v>
      </c>
      <c r="AB138" s="751" t="s">
        <v>9250</v>
      </c>
      <c r="AC138" s="751" t="s">
        <v>9251</v>
      </c>
      <c r="AD138" s="752" t="s">
        <v>9252</v>
      </c>
    </row>
    <row r="139" spans="2:30" x14ac:dyDescent="0.25">
      <c r="B139" s="726" t="s">
        <v>9228</v>
      </c>
      <c r="C139" s="729"/>
      <c r="D139" s="729"/>
      <c r="E139" s="729"/>
      <c r="F139" s="729"/>
      <c r="G139" s="746" t="s">
        <v>9229</v>
      </c>
      <c r="H139" s="746" t="s">
        <v>9240</v>
      </c>
      <c r="I139" s="746" t="s">
        <v>9262</v>
      </c>
      <c r="J139" s="747" t="s">
        <v>9229</v>
      </c>
      <c r="L139" s="726" t="s">
        <v>9228</v>
      </c>
      <c r="M139" s="729"/>
      <c r="N139" s="729"/>
      <c r="O139" s="729"/>
      <c r="P139" s="729"/>
      <c r="Q139" s="746" t="s">
        <v>9229</v>
      </c>
      <c r="R139" s="746" t="s">
        <v>9240</v>
      </c>
      <c r="S139" s="746" t="s">
        <v>9262</v>
      </c>
      <c r="T139" s="747" t="s">
        <v>9229</v>
      </c>
      <c r="V139" s="726" t="s">
        <v>9228</v>
      </c>
      <c r="W139" s="729"/>
      <c r="X139" s="729"/>
      <c r="Y139" s="729"/>
      <c r="Z139" s="729"/>
      <c r="AA139" s="746" t="s">
        <v>9229</v>
      </c>
      <c r="AB139" s="746" t="s">
        <v>9240</v>
      </c>
      <c r="AC139" s="746" t="s">
        <v>9262</v>
      </c>
      <c r="AD139" s="747" t="s">
        <v>9229</v>
      </c>
    </row>
    <row r="140" spans="2:30" ht="17.25" x14ac:dyDescent="0.25">
      <c r="B140" s="726" t="s">
        <v>9281</v>
      </c>
      <c r="C140" s="729"/>
      <c r="D140" s="729"/>
      <c r="E140" s="729"/>
      <c r="F140" s="729"/>
      <c r="G140" s="746" t="s">
        <v>9230</v>
      </c>
      <c r="H140" s="746" t="s">
        <v>9241</v>
      </c>
      <c r="I140" s="746" t="s">
        <v>9263</v>
      </c>
      <c r="J140" s="747" t="s">
        <v>9236</v>
      </c>
      <c r="L140" s="726" t="s">
        <v>9281</v>
      </c>
      <c r="M140" s="729"/>
      <c r="N140" s="729"/>
      <c r="O140" s="729"/>
      <c r="P140" s="729"/>
      <c r="Q140" s="746" t="s">
        <v>9230</v>
      </c>
      <c r="R140" s="746" t="s">
        <v>9241</v>
      </c>
      <c r="S140" s="746" t="s">
        <v>9263</v>
      </c>
      <c r="T140" s="747" t="s">
        <v>9236</v>
      </c>
      <c r="V140" s="726" t="s">
        <v>9281</v>
      </c>
      <c r="W140" s="729"/>
      <c r="X140" s="729"/>
      <c r="Y140" s="729"/>
      <c r="Z140" s="729"/>
      <c r="AA140" s="746" t="s">
        <v>9230</v>
      </c>
      <c r="AB140" s="746" t="s">
        <v>9241</v>
      </c>
      <c r="AC140" s="746" t="s">
        <v>9263</v>
      </c>
      <c r="AD140" s="747" t="s">
        <v>9236</v>
      </c>
    </row>
    <row r="141" spans="2:30" x14ac:dyDescent="0.25">
      <c r="B141" s="726" t="s">
        <v>9282</v>
      </c>
      <c r="C141" s="729"/>
      <c r="D141" s="729"/>
      <c r="E141" s="729"/>
      <c r="F141" s="729"/>
      <c r="G141" s="746" t="s">
        <v>9231</v>
      </c>
      <c r="H141" s="746" t="s">
        <v>9242</v>
      </c>
      <c r="I141" s="746" t="s">
        <v>9229</v>
      </c>
      <c r="J141" s="747" t="s">
        <v>9272</v>
      </c>
      <c r="L141" s="726" t="s">
        <v>9282</v>
      </c>
      <c r="M141" s="729"/>
      <c r="N141" s="729"/>
      <c r="O141" s="729"/>
      <c r="P141" s="729"/>
      <c r="Q141" s="746" t="s">
        <v>9231</v>
      </c>
      <c r="R141" s="746" t="s">
        <v>9242</v>
      </c>
      <c r="S141" s="746" t="s">
        <v>9229</v>
      </c>
      <c r="T141" s="747" t="s">
        <v>9272</v>
      </c>
      <c r="V141" s="726" t="s">
        <v>9282</v>
      </c>
      <c r="W141" s="729"/>
      <c r="X141" s="729"/>
      <c r="Y141" s="729"/>
      <c r="Z141" s="729"/>
      <c r="AA141" s="746" t="s">
        <v>9231</v>
      </c>
      <c r="AB141" s="746" t="s">
        <v>9242</v>
      </c>
      <c r="AC141" s="746" t="s">
        <v>9229</v>
      </c>
      <c r="AD141" s="747" t="s">
        <v>9272</v>
      </c>
    </row>
    <row r="142" spans="2:30" x14ac:dyDescent="0.25">
      <c r="B142" s="726" t="s">
        <v>9283</v>
      </c>
      <c r="C142" s="729"/>
      <c r="D142" s="729"/>
      <c r="E142" s="729"/>
      <c r="F142" s="729"/>
      <c r="G142" s="746" t="s">
        <v>9232</v>
      </c>
      <c r="H142" s="746" t="s">
        <v>9229</v>
      </c>
      <c r="I142" s="746" t="s">
        <v>9264</v>
      </c>
      <c r="J142" s="747" t="s">
        <v>9273</v>
      </c>
      <c r="L142" s="726" t="s">
        <v>9283</v>
      </c>
      <c r="M142" s="729"/>
      <c r="N142" s="729"/>
      <c r="O142" s="729"/>
      <c r="P142" s="729"/>
      <c r="Q142" s="746" t="s">
        <v>9232</v>
      </c>
      <c r="R142" s="746" t="s">
        <v>9229</v>
      </c>
      <c r="S142" s="746" t="s">
        <v>9264</v>
      </c>
      <c r="T142" s="747" t="s">
        <v>9273</v>
      </c>
      <c r="V142" s="726" t="s">
        <v>9283</v>
      </c>
      <c r="W142" s="729"/>
      <c r="X142" s="729"/>
      <c r="Y142" s="729"/>
      <c r="Z142" s="729"/>
      <c r="AA142" s="746" t="s">
        <v>9232</v>
      </c>
      <c r="AB142" s="746" t="s">
        <v>9229</v>
      </c>
      <c r="AC142" s="746" t="s">
        <v>9264</v>
      </c>
      <c r="AD142" s="747" t="s">
        <v>9273</v>
      </c>
    </row>
    <row r="143" spans="2:30" x14ac:dyDescent="0.25">
      <c r="B143" s="726" t="s">
        <v>9284</v>
      </c>
      <c r="C143" s="729"/>
      <c r="D143" s="729"/>
      <c r="E143" s="729"/>
      <c r="F143" s="729"/>
      <c r="G143" s="746" t="s">
        <v>9233</v>
      </c>
      <c r="H143" s="746" t="s">
        <v>8800</v>
      </c>
      <c r="I143" s="792" t="s">
        <v>9265</v>
      </c>
      <c r="J143" s="793" t="s">
        <v>9274</v>
      </c>
      <c r="L143" s="726" t="s">
        <v>9284</v>
      </c>
      <c r="M143" s="729"/>
      <c r="N143" s="729"/>
      <c r="O143" s="729"/>
      <c r="P143" s="729"/>
      <c r="Q143" s="746" t="s">
        <v>9233</v>
      </c>
      <c r="R143" s="746" t="s">
        <v>8800</v>
      </c>
      <c r="S143" s="792" t="s">
        <v>9265</v>
      </c>
      <c r="T143" s="793" t="s">
        <v>9274</v>
      </c>
      <c r="V143" s="726" t="s">
        <v>9284</v>
      </c>
      <c r="W143" s="729"/>
      <c r="X143" s="729"/>
      <c r="Y143" s="729"/>
      <c r="Z143" s="729"/>
      <c r="AA143" s="746" t="s">
        <v>9233</v>
      </c>
      <c r="AB143" s="746" t="s">
        <v>8800</v>
      </c>
      <c r="AC143" s="792" t="s">
        <v>9265</v>
      </c>
      <c r="AD143" s="793" t="s">
        <v>9274</v>
      </c>
    </row>
    <row r="144" spans="2:30" x14ac:dyDescent="0.25">
      <c r="B144" s="726" t="s">
        <v>9285</v>
      </c>
      <c r="C144" s="729"/>
      <c r="D144" s="729"/>
      <c r="E144" s="729"/>
      <c r="F144" s="729"/>
      <c r="G144" s="746" t="s">
        <v>9234</v>
      </c>
      <c r="H144" s="746" t="s">
        <v>9243</v>
      </c>
      <c r="I144" s="746" t="s">
        <v>9266</v>
      </c>
      <c r="J144" s="747" t="s">
        <v>9275</v>
      </c>
      <c r="L144" s="726" t="s">
        <v>9285</v>
      </c>
      <c r="M144" s="729"/>
      <c r="N144" s="729"/>
      <c r="O144" s="729"/>
      <c r="P144" s="729"/>
      <c r="Q144" s="746" t="s">
        <v>9234</v>
      </c>
      <c r="R144" s="746" t="s">
        <v>9243</v>
      </c>
      <c r="S144" s="746" t="s">
        <v>9266</v>
      </c>
      <c r="T144" s="747" t="s">
        <v>9275</v>
      </c>
      <c r="V144" s="726" t="s">
        <v>9285</v>
      </c>
      <c r="W144" s="729"/>
      <c r="X144" s="729"/>
      <c r="Y144" s="729"/>
      <c r="Z144" s="729"/>
      <c r="AA144" s="746" t="s">
        <v>9234</v>
      </c>
      <c r="AB144" s="746" t="s">
        <v>9243</v>
      </c>
      <c r="AC144" s="746" t="s">
        <v>9266</v>
      </c>
      <c r="AD144" s="747" t="s">
        <v>9275</v>
      </c>
    </row>
    <row r="145" spans="2:30" x14ac:dyDescent="0.25">
      <c r="B145" s="726" t="s">
        <v>9286</v>
      </c>
      <c r="C145" s="729"/>
      <c r="D145" s="729"/>
      <c r="E145" s="729"/>
      <c r="F145" s="729"/>
      <c r="G145" s="746" t="s">
        <v>9235</v>
      </c>
      <c r="H145" s="746" t="s">
        <v>9244</v>
      </c>
      <c r="I145" s="746" t="s">
        <v>9267</v>
      </c>
      <c r="J145" s="747" t="s">
        <v>9276</v>
      </c>
      <c r="L145" s="726" t="s">
        <v>9286</v>
      </c>
      <c r="M145" s="729"/>
      <c r="N145" s="729"/>
      <c r="O145" s="729"/>
      <c r="P145" s="729"/>
      <c r="Q145" s="746" t="s">
        <v>9235</v>
      </c>
      <c r="R145" s="746" t="s">
        <v>9244</v>
      </c>
      <c r="S145" s="746" t="s">
        <v>9267</v>
      </c>
      <c r="T145" s="747" t="s">
        <v>9276</v>
      </c>
      <c r="V145" s="726" t="s">
        <v>9286</v>
      </c>
      <c r="W145" s="729"/>
      <c r="X145" s="729"/>
      <c r="Y145" s="729"/>
      <c r="Z145" s="729"/>
      <c r="AA145" s="746" t="s">
        <v>9235</v>
      </c>
      <c r="AB145" s="746" t="s">
        <v>9244</v>
      </c>
      <c r="AC145" s="746" t="s">
        <v>9267</v>
      </c>
      <c r="AD145" s="747" t="s">
        <v>9276</v>
      </c>
    </row>
    <row r="146" spans="2:30" ht="17.25" x14ac:dyDescent="0.25">
      <c r="B146" s="726" t="s">
        <v>9290</v>
      </c>
      <c r="C146" s="729"/>
      <c r="D146" s="729"/>
      <c r="E146" s="729"/>
      <c r="F146" s="729"/>
      <c r="G146" s="746" t="s">
        <v>9236</v>
      </c>
      <c r="H146" s="746" t="s">
        <v>9245</v>
      </c>
      <c r="I146" s="746" t="s">
        <v>9268</v>
      </c>
      <c r="J146" s="747" t="s">
        <v>9277</v>
      </c>
      <c r="L146" s="726" t="s">
        <v>9290</v>
      </c>
      <c r="M146" s="729"/>
      <c r="N146" s="729"/>
      <c r="O146" s="729"/>
      <c r="P146" s="729"/>
      <c r="Q146" s="746" t="s">
        <v>9236</v>
      </c>
      <c r="R146" s="746" t="s">
        <v>9245</v>
      </c>
      <c r="S146" s="746" t="s">
        <v>9268</v>
      </c>
      <c r="T146" s="747" t="s">
        <v>9277</v>
      </c>
      <c r="V146" s="726" t="s">
        <v>9290</v>
      </c>
      <c r="W146" s="729"/>
      <c r="X146" s="729"/>
      <c r="Y146" s="729"/>
      <c r="Z146" s="729"/>
      <c r="AA146" s="746" t="s">
        <v>9236</v>
      </c>
      <c r="AB146" s="746" t="s">
        <v>9245</v>
      </c>
      <c r="AC146" s="746" t="s">
        <v>9268</v>
      </c>
      <c r="AD146" s="747" t="s">
        <v>9277</v>
      </c>
    </row>
    <row r="147" spans="2:30" x14ac:dyDescent="0.25">
      <c r="B147" s="726" t="s">
        <v>9293</v>
      </c>
      <c r="C147" s="729"/>
      <c r="D147" s="729"/>
      <c r="E147" s="729"/>
      <c r="F147" s="729"/>
      <c r="G147" s="746" t="s">
        <v>9237</v>
      </c>
      <c r="H147" s="746" t="s">
        <v>9246</v>
      </c>
      <c r="I147" s="746" t="s">
        <v>9269</v>
      </c>
      <c r="J147" s="747" t="s">
        <v>9278</v>
      </c>
      <c r="L147" s="726" t="s">
        <v>9293</v>
      </c>
      <c r="M147" s="729"/>
      <c r="N147" s="729"/>
      <c r="O147" s="729"/>
      <c r="P147" s="729"/>
      <c r="Q147" s="746" t="s">
        <v>9237</v>
      </c>
      <c r="R147" s="746" t="s">
        <v>9246</v>
      </c>
      <c r="S147" s="746" t="s">
        <v>9269</v>
      </c>
      <c r="T147" s="747" t="s">
        <v>9278</v>
      </c>
      <c r="V147" s="726" t="s">
        <v>9293</v>
      </c>
      <c r="W147" s="729"/>
      <c r="X147" s="729"/>
      <c r="Y147" s="729"/>
      <c r="Z147" s="729"/>
      <c r="AA147" s="746" t="s">
        <v>9237</v>
      </c>
      <c r="AB147" s="746" t="s">
        <v>9246</v>
      </c>
      <c r="AC147" s="746" t="s">
        <v>9269</v>
      </c>
      <c r="AD147" s="747" t="s">
        <v>9278</v>
      </c>
    </row>
    <row r="148" spans="2:30" x14ac:dyDescent="0.25">
      <c r="B148" s="726" t="s">
        <v>9294</v>
      </c>
      <c r="C148" s="729"/>
      <c r="D148" s="729"/>
      <c r="E148" s="729"/>
      <c r="F148" s="729"/>
      <c r="G148" s="746" t="s">
        <v>9238</v>
      </c>
      <c r="H148" s="746" t="s">
        <v>9247</v>
      </c>
      <c r="I148" s="746" t="s">
        <v>9270</v>
      </c>
      <c r="J148" s="747" t="s">
        <v>9279</v>
      </c>
      <c r="L148" s="726" t="s">
        <v>9294</v>
      </c>
      <c r="M148" s="729"/>
      <c r="N148" s="729"/>
      <c r="O148" s="729"/>
      <c r="P148" s="729"/>
      <c r="Q148" s="746" t="s">
        <v>9238</v>
      </c>
      <c r="R148" s="746" t="s">
        <v>9247</v>
      </c>
      <c r="S148" s="746" t="s">
        <v>9270</v>
      </c>
      <c r="T148" s="747" t="s">
        <v>9279</v>
      </c>
      <c r="V148" s="726" t="s">
        <v>9294</v>
      </c>
      <c r="W148" s="729"/>
      <c r="X148" s="729"/>
      <c r="Y148" s="729"/>
      <c r="Z148" s="729"/>
      <c r="AA148" s="746" t="s">
        <v>9238</v>
      </c>
      <c r="AB148" s="746" t="s">
        <v>9247</v>
      </c>
      <c r="AC148" s="746" t="s">
        <v>9270</v>
      </c>
      <c r="AD148" s="747" t="s">
        <v>9279</v>
      </c>
    </row>
    <row r="149" spans="2:30" x14ac:dyDescent="0.25">
      <c r="B149" s="727" t="s">
        <v>9295</v>
      </c>
      <c r="C149" s="730"/>
      <c r="D149" s="730"/>
      <c r="E149" s="730"/>
      <c r="F149" s="730"/>
      <c r="G149" s="748" t="s">
        <v>9239</v>
      </c>
      <c r="H149" s="748" t="s">
        <v>9248</v>
      </c>
      <c r="I149" s="748" t="s">
        <v>9271</v>
      </c>
      <c r="J149" s="749" t="s">
        <v>9280</v>
      </c>
      <c r="L149" s="727" t="s">
        <v>9295</v>
      </c>
      <c r="M149" s="812"/>
      <c r="N149" s="812"/>
      <c r="O149" s="812"/>
      <c r="P149" s="812"/>
      <c r="Q149" s="748" t="s">
        <v>9239</v>
      </c>
      <c r="R149" s="748" t="s">
        <v>9248</v>
      </c>
      <c r="S149" s="748" t="s">
        <v>9271</v>
      </c>
      <c r="T149" s="749" t="s">
        <v>9280</v>
      </c>
      <c r="V149" s="727" t="s">
        <v>9295</v>
      </c>
      <c r="W149" s="812"/>
      <c r="X149" s="812"/>
      <c r="Y149" s="812"/>
      <c r="Z149" s="812"/>
      <c r="AA149" s="748" t="s">
        <v>9239</v>
      </c>
      <c r="AB149" s="748" t="s">
        <v>9248</v>
      </c>
      <c r="AC149" s="748" t="s">
        <v>9271</v>
      </c>
      <c r="AD149" s="749" t="s">
        <v>9280</v>
      </c>
    </row>
    <row r="150" spans="2:30" x14ac:dyDescent="0.25">
      <c r="B150" t="s">
        <v>9287</v>
      </c>
      <c r="L150" t="s">
        <v>9287</v>
      </c>
      <c r="V150" t="s">
        <v>9287</v>
      </c>
    </row>
    <row r="151" spans="2:30" x14ac:dyDescent="0.25">
      <c r="B151" t="s">
        <v>9288</v>
      </c>
      <c r="L151" t="s">
        <v>9288</v>
      </c>
      <c r="V151" t="s">
        <v>9288</v>
      </c>
    </row>
    <row r="152" spans="2:30" x14ac:dyDescent="0.25">
      <c r="B152" t="s">
        <v>9289</v>
      </c>
      <c r="L152" t="s">
        <v>9289</v>
      </c>
      <c r="V152" t="s">
        <v>9289</v>
      </c>
    </row>
    <row r="153" spans="2:30" x14ac:dyDescent="0.25">
      <c r="B153" t="s">
        <v>9291</v>
      </c>
      <c r="L153" t="s">
        <v>9291</v>
      </c>
      <c r="V153" t="s">
        <v>9291</v>
      </c>
    </row>
    <row r="154" spans="2:30" x14ac:dyDescent="0.25">
      <c r="B154" t="s">
        <v>9292</v>
      </c>
      <c r="L154" t="s">
        <v>9292</v>
      </c>
      <c r="V154" t="s">
        <v>9292</v>
      </c>
    </row>
    <row r="172" spans="2:30" ht="7.5" customHeight="1" x14ac:dyDescent="0.25"/>
    <row r="173" spans="2:30" x14ac:dyDescent="0.25">
      <c r="B173" s="738" t="s">
        <v>9301</v>
      </c>
      <c r="C173" s="737"/>
      <c r="D173" s="751" t="s">
        <v>9309</v>
      </c>
      <c r="E173" s="751" t="s">
        <v>9310</v>
      </c>
      <c r="F173" s="751" t="s">
        <v>9311</v>
      </c>
      <c r="G173" s="751" t="s">
        <v>9312</v>
      </c>
      <c r="H173" s="751" t="s">
        <v>9313</v>
      </c>
      <c r="I173" s="751" t="s">
        <v>9314</v>
      </c>
      <c r="J173" s="752" t="s">
        <v>9315</v>
      </c>
      <c r="L173" s="738" t="s">
        <v>9301</v>
      </c>
      <c r="M173" s="737"/>
      <c r="N173" s="751" t="s">
        <v>9309</v>
      </c>
      <c r="O173" s="751" t="s">
        <v>9310</v>
      </c>
      <c r="P173" s="751" t="s">
        <v>9311</v>
      </c>
      <c r="Q173" s="751" t="s">
        <v>9312</v>
      </c>
      <c r="R173" s="751" t="s">
        <v>9313</v>
      </c>
      <c r="S173" s="751" t="s">
        <v>9314</v>
      </c>
      <c r="T173" s="752" t="s">
        <v>9315</v>
      </c>
      <c r="V173" s="738" t="s">
        <v>9301</v>
      </c>
      <c r="W173" s="737"/>
      <c r="X173" s="751" t="s">
        <v>9309</v>
      </c>
      <c r="Y173" s="751" t="s">
        <v>9310</v>
      </c>
      <c r="Z173" s="751" t="s">
        <v>9311</v>
      </c>
      <c r="AA173" s="751" t="s">
        <v>9312</v>
      </c>
      <c r="AB173" s="751" t="s">
        <v>9313</v>
      </c>
      <c r="AC173" s="751" t="s">
        <v>9314</v>
      </c>
      <c r="AD173" s="752" t="s">
        <v>9315</v>
      </c>
    </row>
    <row r="174" spans="2:30" ht="17.25" x14ac:dyDescent="0.25">
      <c r="B174" s="726"/>
      <c r="C174" s="731" t="s">
        <v>9303</v>
      </c>
      <c r="D174" s="746" t="s">
        <v>8538</v>
      </c>
      <c r="E174" s="746" t="s">
        <v>9316</v>
      </c>
      <c r="F174" s="746" t="s">
        <v>9317</v>
      </c>
      <c r="G174" s="746" t="s">
        <v>9321</v>
      </c>
      <c r="H174" s="746" t="s">
        <v>9318</v>
      </c>
      <c r="I174" s="746" t="s">
        <v>9320</v>
      </c>
      <c r="J174" s="747" t="s">
        <v>9319</v>
      </c>
      <c r="L174" s="726"/>
      <c r="M174" s="731" t="s">
        <v>9303</v>
      </c>
      <c r="N174" s="746" t="s">
        <v>8538</v>
      </c>
      <c r="O174" s="746" t="s">
        <v>9316</v>
      </c>
      <c r="P174" s="746" t="s">
        <v>9317</v>
      </c>
      <c r="Q174" s="746" t="s">
        <v>9321</v>
      </c>
      <c r="R174" s="746" t="s">
        <v>9318</v>
      </c>
      <c r="S174" s="746" t="s">
        <v>9320</v>
      </c>
      <c r="T174" s="747" t="s">
        <v>9319</v>
      </c>
      <c r="V174" s="726"/>
      <c r="W174" s="731" t="s">
        <v>9303</v>
      </c>
      <c r="X174" s="746" t="s">
        <v>8538</v>
      </c>
      <c r="Y174" s="746" t="s">
        <v>9316</v>
      </c>
      <c r="Z174" s="746" t="s">
        <v>9317</v>
      </c>
      <c r="AA174" s="746" t="s">
        <v>9321</v>
      </c>
      <c r="AB174" s="746" t="s">
        <v>9318</v>
      </c>
      <c r="AC174" s="746" t="s">
        <v>9320</v>
      </c>
      <c r="AD174" s="747" t="s">
        <v>9319</v>
      </c>
    </row>
    <row r="175" spans="2:30" ht="17.25" x14ac:dyDescent="0.25">
      <c r="B175" s="726"/>
      <c r="C175" s="731" t="s">
        <v>9302</v>
      </c>
      <c r="D175" s="746" t="s">
        <v>9322</v>
      </c>
      <c r="E175" s="746" t="s">
        <v>8538</v>
      </c>
      <c r="F175" s="746" t="s">
        <v>9323</v>
      </c>
      <c r="G175" s="746" t="s">
        <v>9324</v>
      </c>
      <c r="H175" s="746" t="s">
        <v>9325</v>
      </c>
      <c r="I175" s="746" t="s">
        <v>9326</v>
      </c>
      <c r="J175" s="747" t="s">
        <v>9327</v>
      </c>
      <c r="L175" s="726"/>
      <c r="M175" s="731" t="s">
        <v>9302</v>
      </c>
      <c r="N175" s="746" t="s">
        <v>9322</v>
      </c>
      <c r="O175" s="746" t="s">
        <v>8538</v>
      </c>
      <c r="P175" s="746" t="s">
        <v>9323</v>
      </c>
      <c r="Q175" s="746" t="s">
        <v>9324</v>
      </c>
      <c r="R175" s="746" t="s">
        <v>9325</v>
      </c>
      <c r="S175" s="746" t="s">
        <v>9326</v>
      </c>
      <c r="T175" s="747" t="s">
        <v>9327</v>
      </c>
      <c r="V175" s="726"/>
      <c r="W175" s="731" t="s">
        <v>9302</v>
      </c>
      <c r="X175" s="746" t="s">
        <v>9322</v>
      </c>
      <c r="Y175" s="746" t="s">
        <v>8538</v>
      </c>
      <c r="Z175" s="746" t="s">
        <v>9323</v>
      </c>
      <c r="AA175" s="746" t="s">
        <v>9324</v>
      </c>
      <c r="AB175" s="746" t="s">
        <v>9325</v>
      </c>
      <c r="AC175" s="746" t="s">
        <v>9326</v>
      </c>
      <c r="AD175" s="747" t="s">
        <v>9327</v>
      </c>
    </row>
    <row r="176" spans="2:30" ht="17.25" x14ac:dyDescent="0.25">
      <c r="B176" s="726"/>
      <c r="C176" s="731" t="s">
        <v>9304</v>
      </c>
      <c r="D176" s="746" t="s">
        <v>9328</v>
      </c>
      <c r="E176" s="746" t="s">
        <v>9329</v>
      </c>
      <c r="F176" s="746" t="s">
        <v>8538</v>
      </c>
      <c r="G176" s="746" t="s">
        <v>9330</v>
      </c>
      <c r="H176" s="746" t="s">
        <v>9331</v>
      </c>
      <c r="I176" s="746" t="s">
        <v>9332</v>
      </c>
      <c r="J176" s="747" t="s">
        <v>9333</v>
      </c>
      <c r="L176" s="726"/>
      <c r="M176" s="731" t="s">
        <v>9304</v>
      </c>
      <c r="N176" s="746" t="s">
        <v>9328</v>
      </c>
      <c r="O176" s="746" t="s">
        <v>9329</v>
      </c>
      <c r="P176" s="746" t="s">
        <v>8538</v>
      </c>
      <c r="Q176" s="746" t="s">
        <v>9330</v>
      </c>
      <c r="R176" s="746" t="s">
        <v>9331</v>
      </c>
      <c r="S176" s="746" t="s">
        <v>9332</v>
      </c>
      <c r="T176" s="747" t="s">
        <v>9333</v>
      </c>
      <c r="V176" s="726"/>
      <c r="W176" s="731" t="s">
        <v>9304</v>
      </c>
      <c r="X176" s="746" t="s">
        <v>9328</v>
      </c>
      <c r="Y176" s="746" t="s">
        <v>9329</v>
      </c>
      <c r="Z176" s="746" t="s">
        <v>8538</v>
      </c>
      <c r="AA176" s="746" t="s">
        <v>9330</v>
      </c>
      <c r="AB176" s="746" t="s">
        <v>9331</v>
      </c>
      <c r="AC176" s="746" t="s">
        <v>9332</v>
      </c>
      <c r="AD176" s="747" t="s">
        <v>9333</v>
      </c>
    </row>
    <row r="177" spans="2:30" ht="17.25" x14ac:dyDescent="0.25">
      <c r="B177" s="726"/>
      <c r="C177" s="731" t="s">
        <v>9305</v>
      </c>
      <c r="D177" s="746" t="s">
        <v>9334</v>
      </c>
      <c r="E177" s="746" t="s">
        <v>9335</v>
      </c>
      <c r="F177" s="746" t="s">
        <v>9336</v>
      </c>
      <c r="G177" s="746" t="s">
        <v>8538</v>
      </c>
      <c r="H177" s="746" t="s">
        <v>9337</v>
      </c>
      <c r="I177" s="746" t="s">
        <v>9338</v>
      </c>
      <c r="J177" s="747" t="s">
        <v>9339</v>
      </c>
      <c r="L177" s="726"/>
      <c r="M177" s="731" t="s">
        <v>9305</v>
      </c>
      <c r="N177" s="746" t="s">
        <v>9334</v>
      </c>
      <c r="O177" s="746" t="s">
        <v>9335</v>
      </c>
      <c r="P177" s="746" t="s">
        <v>9336</v>
      </c>
      <c r="Q177" s="746" t="s">
        <v>8538</v>
      </c>
      <c r="R177" s="746" t="s">
        <v>9337</v>
      </c>
      <c r="S177" s="746" t="s">
        <v>9338</v>
      </c>
      <c r="T177" s="747" t="s">
        <v>9339</v>
      </c>
      <c r="V177" s="726"/>
      <c r="W177" s="731" t="s">
        <v>9305</v>
      </c>
      <c r="X177" s="746" t="s">
        <v>9334</v>
      </c>
      <c r="Y177" s="746" t="s">
        <v>9335</v>
      </c>
      <c r="Z177" s="746" t="s">
        <v>9336</v>
      </c>
      <c r="AA177" s="746" t="s">
        <v>8538</v>
      </c>
      <c r="AB177" s="746" t="s">
        <v>9337</v>
      </c>
      <c r="AC177" s="746" t="s">
        <v>9338</v>
      </c>
      <c r="AD177" s="747" t="s">
        <v>9339</v>
      </c>
    </row>
    <row r="178" spans="2:30" ht="17.25" x14ac:dyDescent="0.25">
      <c r="B178" s="726"/>
      <c r="C178" s="731" t="s">
        <v>9306</v>
      </c>
      <c r="D178" s="746" t="s">
        <v>9340</v>
      </c>
      <c r="E178" s="746" t="s">
        <v>9341</v>
      </c>
      <c r="F178" s="746" t="s">
        <v>9342</v>
      </c>
      <c r="G178" s="746" t="s">
        <v>9343</v>
      </c>
      <c r="H178" s="746" t="s">
        <v>8538</v>
      </c>
      <c r="I178" s="746" t="s">
        <v>9344</v>
      </c>
      <c r="J178" s="747" t="s">
        <v>9345</v>
      </c>
      <c r="L178" s="726"/>
      <c r="M178" s="731" t="s">
        <v>9306</v>
      </c>
      <c r="N178" s="746" t="s">
        <v>9340</v>
      </c>
      <c r="O178" s="746" t="s">
        <v>9341</v>
      </c>
      <c r="P178" s="746" t="s">
        <v>9342</v>
      </c>
      <c r="Q178" s="746" t="s">
        <v>9343</v>
      </c>
      <c r="R178" s="746" t="s">
        <v>8538</v>
      </c>
      <c r="S178" s="746" t="s">
        <v>9344</v>
      </c>
      <c r="T178" s="747" t="s">
        <v>9345</v>
      </c>
      <c r="V178" s="726"/>
      <c r="W178" s="731" t="s">
        <v>9306</v>
      </c>
      <c r="X178" s="746" t="s">
        <v>9340</v>
      </c>
      <c r="Y178" s="746" t="s">
        <v>9341</v>
      </c>
      <c r="Z178" s="746" t="s">
        <v>9342</v>
      </c>
      <c r="AA178" s="746" t="s">
        <v>9343</v>
      </c>
      <c r="AB178" s="746" t="s">
        <v>8538</v>
      </c>
      <c r="AC178" s="746" t="s">
        <v>9344</v>
      </c>
      <c r="AD178" s="747" t="s">
        <v>9345</v>
      </c>
    </row>
    <row r="179" spans="2:30" x14ac:dyDescent="0.25">
      <c r="B179" s="726"/>
      <c r="C179" s="731" t="s">
        <v>9307</v>
      </c>
      <c r="D179" s="746" t="s">
        <v>9346</v>
      </c>
      <c r="E179" s="746" t="s">
        <v>9347</v>
      </c>
      <c r="F179" s="746" t="s">
        <v>9348</v>
      </c>
      <c r="G179" s="746" t="s">
        <v>9349</v>
      </c>
      <c r="H179" s="746" t="s">
        <v>9350</v>
      </c>
      <c r="I179" s="746" t="s">
        <v>8538</v>
      </c>
      <c r="J179" s="747" t="s">
        <v>8574</v>
      </c>
      <c r="L179" s="726"/>
      <c r="M179" s="731" t="s">
        <v>9307</v>
      </c>
      <c r="N179" s="746" t="s">
        <v>9346</v>
      </c>
      <c r="O179" s="746" t="s">
        <v>9347</v>
      </c>
      <c r="P179" s="746" t="s">
        <v>9348</v>
      </c>
      <c r="Q179" s="746" t="s">
        <v>9349</v>
      </c>
      <c r="R179" s="746" t="s">
        <v>9350</v>
      </c>
      <c r="S179" s="746" t="s">
        <v>8538</v>
      </c>
      <c r="T179" s="747" t="s">
        <v>8574</v>
      </c>
      <c r="V179" s="726"/>
      <c r="W179" s="731" t="s">
        <v>9307</v>
      </c>
      <c r="X179" s="746" t="s">
        <v>9346</v>
      </c>
      <c r="Y179" s="746" t="s">
        <v>9347</v>
      </c>
      <c r="Z179" s="746" t="s">
        <v>9348</v>
      </c>
      <c r="AA179" s="746" t="s">
        <v>9349</v>
      </c>
      <c r="AB179" s="746" t="s">
        <v>9350</v>
      </c>
      <c r="AC179" s="746" t="s">
        <v>8538</v>
      </c>
      <c r="AD179" s="747" t="s">
        <v>8574</v>
      </c>
    </row>
    <row r="180" spans="2:30" ht="17.25" x14ac:dyDescent="0.25">
      <c r="B180" s="727"/>
      <c r="C180" s="732" t="s">
        <v>9308</v>
      </c>
      <c r="D180" s="748" t="s">
        <v>9351</v>
      </c>
      <c r="E180" s="748" t="s">
        <v>9352</v>
      </c>
      <c r="F180" s="748" t="s">
        <v>9353</v>
      </c>
      <c r="G180" s="748" t="s">
        <v>9354</v>
      </c>
      <c r="H180" s="748" t="s">
        <v>9355</v>
      </c>
      <c r="I180" s="748" t="s">
        <v>8667</v>
      </c>
      <c r="J180" s="749" t="s">
        <v>8538</v>
      </c>
      <c r="L180" s="727"/>
      <c r="M180" s="732" t="s">
        <v>9308</v>
      </c>
      <c r="N180" s="748" t="s">
        <v>9351</v>
      </c>
      <c r="O180" s="748" t="s">
        <v>9352</v>
      </c>
      <c r="P180" s="748" t="s">
        <v>9353</v>
      </c>
      <c r="Q180" s="748" t="s">
        <v>9354</v>
      </c>
      <c r="R180" s="748" t="s">
        <v>9355</v>
      </c>
      <c r="S180" s="748" t="s">
        <v>8667</v>
      </c>
      <c r="T180" s="749" t="s">
        <v>8538</v>
      </c>
      <c r="V180" s="727"/>
      <c r="W180" s="732" t="s">
        <v>9308</v>
      </c>
      <c r="X180" s="748" t="s">
        <v>9351</v>
      </c>
      <c r="Y180" s="748" t="s">
        <v>9352</v>
      </c>
      <c r="Z180" s="748" t="s">
        <v>9353</v>
      </c>
      <c r="AA180" s="748" t="s">
        <v>9354</v>
      </c>
      <c r="AB180" s="748" t="s">
        <v>9355</v>
      </c>
      <c r="AC180" s="748" t="s">
        <v>8667</v>
      </c>
      <c r="AD180" s="749" t="s">
        <v>8538</v>
      </c>
    </row>
    <row r="181" spans="2:30" x14ac:dyDescent="0.25">
      <c r="B181" t="s">
        <v>9356</v>
      </c>
      <c r="E181" s="734" t="s">
        <v>9357</v>
      </c>
      <c r="L181" t="s">
        <v>9356</v>
      </c>
      <c r="O181" s="734" t="s">
        <v>9357</v>
      </c>
      <c r="V181" t="s">
        <v>9356</v>
      </c>
      <c r="Y181" s="734" t="s">
        <v>9357</v>
      </c>
    </row>
    <row r="182" spans="2:30" ht="11.25" customHeight="1" x14ac:dyDescent="0.25"/>
    <row r="183" spans="2:30" x14ac:dyDescent="0.25">
      <c r="B183" s="738" t="s">
        <v>9417</v>
      </c>
      <c r="C183" s="741"/>
      <c r="D183" s="741"/>
      <c r="E183" s="741"/>
      <c r="F183" s="741"/>
      <c r="G183" s="741"/>
      <c r="H183" s="741"/>
      <c r="I183" s="741"/>
      <c r="J183" s="742"/>
      <c r="L183" s="738" t="s">
        <v>9417</v>
      </c>
      <c r="M183" s="741"/>
      <c r="N183" s="741"/>
      <c r="O183" s="741"/>
      <c r="P183" s="741"/>
      <c r="Q183" s="741"/>
      <c r="R183" s="741"/>
      <c r="S183" s="741"/>
      <c r="T183" s="742"/>
      <c r="V183" s="738" t="s">
        <v>9417</v>
      </c>
      <c r="W183" s="741"/>
      <c r="X183" s="741"/>
      <c r="Y183" s="741"/>
      <c r="Z183" s="741"/>
      <c r="AA183" s="741"/>
      <c r="AB183" s="741"/>
      <c r="AC183" s="741"/>
      <c r="AD183" s="742"/>
    </row>
    <row r="184" spans="2:30" x14ac:dyDescent="0.25">
      <c r="B184" s="740"/>
      <c r="C184" s="751" t="s">
        <v>9418</v>
      </c>
      <c r="D184" s="751" t="s">
        <v>9419</v>
      </c>
      <c r="E184" s="751" t="s">
        <v>9420</v>
      </c>
      <c r="F184" s="751" t="s">
        <v>9421</v>
      </c>
      <c r="G184" s="751" t="s">
        <v>9422</v>
      </c>
      <c r="H184" s="751" t="s">
        <v>9423</v>
      </c>
      <c r="I184" s="751" t="s">
        <v>9424</v>
      </c>
      <c r="J184" s="752" t="s">
        <v>9425</v>
      </c>
      <c r="L184" s="740"/>
      <c r="M184" s="751" t="s">
        <v>9418</v>
      </c>
      <c r="N184" s="751" t="s">
        <v>9419</v>
      </c>
      <c r="O184" s="751" t="s">
        <v>9420</v>
      </c>
      <c r="P184" s="751" t="s">
        <v>9421</v>
      </c>
      <c r="Q184" s="751" t="s">
        <v>9422</v>
      </c>
      <c r="R184" s="751" t="s">
        <v>9423</v>
      </c>
      <c r="S184" s="751" t="s">
        <v>9424</v>
      </c>
      <c r="T184" s="752" t="s">
        <v>9425</v>
      </c>
      <c r="V184" s="740"/>
      <c r="W184" s="751" t="s">
        <v>9418</v>
      </c>
      <c r="X184" s="751" t="s">
        <v>9419</v>
      </c>
      <c r="Y184" s="751" t="s">
        <v>9420</v>
      </c>
      <c r="Z184" s="751" t="s">
        <v>9421</v>
      </c>
      <c r="AA184" s="751" t="s">
        <v>9422</v>
      </c>
      <c r="AB184" s="751" t="s">
        <v>9423</v>
      </c>
      <c r="AC184" s="751" t="s">
        <v>9424</v>
      </c>
      <c r="AD184" s="752" t="s">
        <v>9425</v>
      </c>
    </row>
    <row r="185" spans="2:30" ht="17.25" x14ac:dyDescent="0.25">
      <c r="B185" s="798" t="s">
        <v>9428</v>
      </c>
      <c r="C185" s="794" t="s">
        <v>8538</v>
      </c>
      <c r="D185" s="794" t="s">
        <v>9438</v>
      </c>
      <c r="E185" s="794" t="s">
        <v>9434</v>
      </c>
      <c r="F185" s="794" t="s">
        <v>9317</v>
      </c>
      <c r="G185" s="794" t="s">
        <v>9435</v>
      </c>
      <c r="H185" s="794" t="s">
        <v>9436</v>
      </c>
      <c r="I185" s="794" t="s">
        <v>9320</v>
      </c>
      <c r="J185" s="795" t="s">
        <v>9439</v>
      </c>
      <c r="L185" s="798" t="s">
        <v>9428</v>
      </c>
      <c r="M185" s="794" t="s">
        <v>8538</v>
      </c>
      <c r="N185" s="794" t="s">
        <v>9438</v>
      </c>
      <c r="O185" s="794" t="s">
        <v>9434</v>
      </c>
      <c r="P185" s="794" t="s">
        <v>9317</v>
      </c>
      <c r="Q185" s="794" t="s">
        <v>9435</v>
      </c>
      <c r="R185" s="794" t="s">
        <v>9436</v>
      </c>
      <c r="S185" s="794" t="s">
        <v>9320</v>
      </c>
      <c r="T185" s="795" t="s">
        <v>9439</v>
      </c>
      <c r="V185" s="798" t="s">
        <v>9428</v>
      </c>
      <c r="W185" s="794" t="s">
        <v>8538</v>
      </c>
      <c r="X185" s="794" t="s">
        <v>9438</v>
      </c>
      <c r="Y185" s="794" t="s">
        <v>9434</v>
      </c>
      <c r="Z185" s="794" t="s">
        <v>9317</v>
      </c>
      <c r="AA185" s="794" t="s">
        <v>9435</v>
      </c>
      <c r="AB185" s="794" t="s">
        <v>9436</v>
      </c>
      <c r="AC185" s="794" t="s">
        <v>9320</v>
      </c>
      <c r="AD185" s="795" t="s">
        <v>9439</v>
      </c>
    </row>
    <row r="186" spans="2:30" ht="17.25" x14ac:dyDescent="0.25">
      <c r="B186" s="799" t="s">
        <v>9429</v>
      </c>
      <c r="C186" s="746" t="s">
        <v>9437</v>
      </c>
      <c r="D186" s="746" t="s">
        <v>8538</v>
      </c>
      <c r="E186" s="746" t="s">
        <v>9440</v>
      </c>
      <c r="F186" s="746" t="s">
        <v>9441</v>
      </c>
      <c r="G186" s="746" t="s">
        <v>9208</v>
      </c>
      <c r="H186" s="746" t="s">
        <v>9442</v>
      </c>
      <c r="I186" s="746" t="s">
        <v>9443</v>
      </c>
      <c r="J186" s="747" t="s">
        <v>9444</v>
      </c>
      <c r="L186" s="799" t="s">
        <v>9429</v>
      </c>
      <c r="M186" s="746" t="s">
        <v>9437</v>
      </c>
      <c r="N186" s="746" t="s">
        <v>8538</v>
      </c>
      <c r="O186" s="746" t="s">
        <v>9440</v>
      </c>
      <c r="P186" s="746" t="s">
        <v>9441</v>
      </c>
      <c r="Q186" s="746" t="s">
        <v>9208</v>
      </c>
      <c r="R186" s="746" t="s">
        <v>9442</v>
      </c>
      <c r="S186" s="746" t="s">
        <v>9443</v>
      </c>
      <c r="T186" s="747" t="s">
        <v>9444</v>
      </c>
      <c r="V186" s="799" t="s">
        <v>9429</v>
      </c>
      <c r="W186" s="746" t="s">
        <v>9437</v>
      </c>
      <c r="X186" s="746" t="s">
        <v>8538</v>
      </c>
      <c r="Y186" s="746" t="s">
        <v>9440</v>
      </c>
      <c r="Z186" s="746" t="s">
        <v>9441</v>
      </c>
      <c r="AA186" s="746" t="s">
        <v>9208</v>
      </c>
      <c r="AB186" s="746" t="s">
        <v>9442</v>
      </c>
      <c r="AC186" s="746" t="s">
        <v>9443</v>
      </c>
      <c r="AD186" s="747" t="s">
        <v>9444</v>
      </c>
    </row>
    <row r="187" spans="2:30" ht="17.25" x14ac:dyDescent="0.25">
      <c r="B187" s="799" t="s">
        <v>9426</v>
      </c>
      <c r="C187" s="746" t="s">
        <v>9445</v>
      </c>
      <c r="D187" s="746" t="s">
        <v>9446</v>
      </c>
      <c r="E187" s="746" t="s">
        <v>8538</v>
      </c>
      <c r="F187" s="746" t="s">
        <v>9447</v>
      </c>
      <c r="G187" s="746" t="s">
        <v>9327</v>
      </c>
      <c r="H187" s="746" t="s">
        <v>9448</v>
      </c>
      <c r="I187" s="746" t="s">
        <v>9459</v>
      </c>
      <c r="J187" s="747" t="s">
        <v>9449</v>
      </c>
      <c r="L187" s="799" t="s">
        <v>9426</v>
      </c>
      <c r="M187" s="746" t="s">
        <v>9445</v>
      </c>
      <c r="N187" s="746" t="s">
        <v>9446</v>
      </c>
      <c r="O187" s="746" t="s">
        <v>8538</v>
      </c>
      <c r="P187" s="746" t="s">
        <v>9447</v>
      </c>
      <c r="Q187" s="746" t="s">
        <v>9327</v>
      </c>
      <c r="R187" s="746" t="s">
        <v>9448</v>
      </c>
      <c r="S187" s="746" t="s">
        <v>9459</v>
      </c>
      <c r="T187" s="747" t="s">
        <v>9449</v>
      </c>
      <c r="V187" s="799" t="s">
        <v>9426</v>
      </c>
      <c r="W187" s="746" t="s">
        <v>9445</v>
      </c>
      <c r="X187" s="746" t="s">
        <v>9446</v>
      </c>
      <c r="Y187" s="746" t="s">
        <v>8538</v>
      </c>
      <c r="Z187" s="746" t="s">
        <v>9447</v>
      </c>
      <c r="AA187" s="746" t="s">
        <v>9327</v>
      </c>
      <c r="AB187" s="746" t="s">
        <v>9448</v>
      </c>
      <c r="AC187" s="746" t="s">
        <v>9459</v>
      </c>
      <c r="AD187" s="747" t="s">
        <v>9449</v>
      </c>
    </row>
    <row r="188" spans="2:30" ht="17.25" x14ac:dyDescent="0.25">
      <c r="B188" s="799" t="s">
        <v>9427</v>
      </c>
      <c r="C188" s="746" t="s">
        <v>9328</v>
      </c>
      <c r="D188" s="746" t="s">
        <v>9450</v>
      </c>
      <c r="E188" s="746" t="s">
        <v>9451</v>
      </c>
      <c r="F188" s="746" t="s">
        <v>8538</v>
      </c>
      <c r="G188" s="746" t="s">
        <v>9452</v>
      </c>
      <c r="H188" s="746" t="s">
        <v>9453</v>
      </c>
      <c r="I188" s="746" t="s">
        <v>9332</v>
      </c>
      <c r="J188" s="747" t="s">
        <v>9454</v>
      </c>
      <c r="L188" s="799" t="s">
        <v>9427</v>
      </c>
      <c r="M188" s="746" t="s">
        <v>9328</v>
      </c>
      <c r="N188" s="746" t="s">
        <v>9450</v>
      </c>
      <c r="O188" s="746" t="s">
        <v>9451</v>
      </c>
      <c r="P188" s="746" t="s">
        <v>8538</v>
      </c>
      <c r="Q188" s="746" t="s">
        <v>9452</v>
      </c>
      <c r="R188" s="746" t="s">
        <v>9453</v>
      </c>
      <c r="S188" s="746" t="s">
        <v>9332</v>
      </c>
      <c r="T188" s="747" t="s">
        <v>9454</v>
      </c>
      <c r="V188" s="799" t="s">
        <v>9427</v>
      </c>
      <c r="W188" s="746" t="s">
        <v>9328</v>
      </c>
      <c r="X188" s="746" t="s">
        <v>9450</v>
      </c>
      <c r="Y188" s="746" t="s">
        <v>9451</v>
      </c>
      <c r="Z188" s="746" t="s">
        <v>8538</v>
      </c>
      <c r="AA188" s="746" t="s">
        <v>9452</v>
      </c>
      <c r="AB188" s="746" t="s">
        <v>9453</v>
      </c>
      <c r="AC188" s="746" t="s">
        <v>9332</v>
      </c>
      <c r="AD188" s="747" t="s">
        <v>9454</v>
      </c>
    </row>
    <row r="189" spans="2:30" ht="17.25" x14ac:dyDescent="0.25">
      <c r="B189" s="799" t="s">
        <v>9430</v>
      </c>
      <c r="C189" s="746" t="s">
        <v>9455</v>
      </c>
      <c r="D189" s="746" t="s">
        <v>9209</v>
      </c>
      <c r="E189" s="746" t="s">
        <v>9456</v>
      </c>
      <c r="F189" s="746" t="s">
        <v>9457</v>
      </c>
      <c r="G189" s="746" t="s">
        <v>8538</v>
      </c>
      <c r="H189" s="746" t="s">
        <v>9355</v>
      </c>
      <c r="I189" s="746" t="s">
        <v>9458</v>
      </c>
      <c r="J189" s="747" t="s">
        <v>9460</v>
      </c>
      <c r="L189" s="799" t="s">
        <v>9430</v>
      </c>
      <c r="M189" s="746" t="s">
        <v>9455</v>
      </c>
      <c r="N189" s="746" t="s">
        <v>9209</v>
      </c>
      <c r="O189" s="746" t="s">
        <v>9456</v>
      </c>
      <c r="P189" s="746" t="s">
        <v>9457</v>
      </c>
      <c r="Q189" s="746" t="s">
        <v>8538</v>
      </c>
      <c r="R189" s="746" t="s">
        <v>9355</v>
      </c>
      <c r="S189" s="746" t="s">
        <v>9458</v>
      </c>
      <c r="T189" s="747" t="s">
        <v>9460</v>
      </c>
      <c r="V189" s="799" t="s">
        <v>9430</v>
      </c>
      <c r="W189" s="746" t="s">
        <v>9455</v>
      </c>
      <c r="X189" s="746" t="s">
        <v>9209</v>
      </c>
      <c r="Y189" s="746" t="s">
        <v>9456</v>
      </c>
      <c r="Z189" s="746" t="s">
        <v>9457</v>
      </c>
      <c r="AA189" s="746" t="s">
        <v>8538</v>
      </c>
      <c r="AB189" s="746" t="s">
        <v>9355</v>
      </c>
      <c r="AC189" s="746" t="s">
        <v>9458</v>
      </c>
      <c r="AD189" s="747" t="s">
        <v>9460</v>
      </c>
    </row>
    <row r="190" spans="2:30" ht="17.25" x14ac:dyDescent="0.25">
      <c r="B190" s="799" t="s">
        <v>9431</v>
      </c>
      <c r="C190" s="746" t="s">
        <v>9461</v>
      </c>
      <c r="D190" s="746" t="s">
        <v>9462</v>
      </c>
      <c r="E190" s="746" t="s">
        <v>9341</v>
      </c>
      <c r="F190" s="746" t="s">
        <v>9463</v>
      </c>
      <c r="G190" s="746" t="s">
        <v>9345</v>
      </c>
      <c r="H190" s="746" t="s">
        <v>8538</v>
      </c>
      <c r="I190" s="746" t="s">
        <v>9464</v>
      </c>
      <c r="J190" s="747" t="s">
        <v>9465</v>
      </c>
      <c r="L190" s="799" t="s">
        <v>9431</v>
      </c>
      <c r="M190" s="746" t="s">
        <v>9461</v>
      </c>
      <c r="N190" s="746" t="s">
        <v>9462</v>
      </c>
      <c r="O190" s="746" t="s">
        <v>9341</v>
      </c>
      <c r="P190" s="746" t="s">
        <v>9463</v>
      </c>
      <c r="Q190" s="746" t="s">
        <v>9345</v>
      </c>
      <c r="R190" s="746" t="s">
        <v>8538</v>
      </c>
      <c r="S190" s="746" t="s">
        <v>9464</v>
      </c>
      <c r="T190" s="747" t="s">
        <v>9465</v>
      </c>
      <c r="V190" s="799" t="s">
        <v>9431</v>
      </c>
      <c r="W190" s="746" t="s">
        <v>9461</v>
      </c>
      <c r="X190" s="746" t="s">
        <v>9462</v>
      </c>
      <c r="Y190" s="746" t="s">
        <v>9341</v>
      </c>
      <c r="Z190" s="746" t="s">
        <v>9463</v>
      </c>
      <c r="AA190" s="746" t="s">
        <v>9345</v>
      </c>
      <c r="AB190" s="746" t="s">
        <v>8538</v>
      </c>
      <c r="AC190" s="746" t="s">
        <v>9464</v>
      </c>
      <c r="AD190" s="747" t="s">
        <v>9465</v>
      </c>
    </row>
    <row r="191" spans="2:30" ht="17.25" x14ac:dyDescent="0.25">
      <c r="B191" s="799" t="s">
        <v>9432</v>
      </c>
      <c r="C191" s="746" t="s">
        <v>9346</v>
      </c>
      <c r="D191" s="746" t="s">
        <v>9466</v>
      </c>
      <c r="E191" s="746" t="s">
        <v>9467</v>
      </c>
      <c r="F191" s="746" t="s">
        <v>9348</v>
      </c>
      <c r="G191" s="746" t="s">
        <v>9468</v>
      </c>
      <c r="H191" s="746" t="s">
        <v>9469</v>
      </c>
      <c r="I191" s="746" t="s">
        <v>8538</v>
      </c>
      <c r="J191" s="747" t="s">
        <v>9470</v>
      </c>
      <c r="L191" s="799" t="s">
        <v>9432</v>
      </c>
      <c r="M191" s="746" t="s">
        <v>9346</v>
      </c>
      <c r="N191" s="746" t="s">
        <v>9466</v>
      </c>
      <c r="O191" s="746" t="s">
        <v>9467</v>
      </c>
      <c r="P191" s="746" t="s">
        <v>9348</v>
      </c>
      <c r="Q191" s="746" t="s">
        <v>9468</v>
      </c>
      <c r="R191" s="746" t="s">
        <v>9469</v>
      </c>
      <c r="S191" s="746" t="s">
        <v>8538</v>
      </c>
      <c r="T191" s="747" t="s">
        <v>9470</v>
      </c>
      <c r="V191" s="799" t="s">
        <v>9432</v>
      </c>
      <c r="W191" s="746" t="s">
        <v>9346</v>
      </c>
      <c r="X191" s="746" t="s">
        <v>9466</v>
      </c>
      <c r="Y191" s="746" t="s">
        <v>9467</v>
      </c>
      <c r="Z191" s="746" t="s">
        <v>9348</v>
      </c>
      <c r="AA191" s="746" t="s">
        <v>9468</v>
      </c>
      <c r="AB191" s="746" t="s">
        <v>9469</v>
      </c>
      <c r="AC191" s="746" t="s">
        <v>8538</v>
      </c>
      <c r="AD191" s="747" t="s">
        <v>9470</v>
      </c>
    </row>
    <row r="192" spans="2:30" ht="17.25" x14ac:dyDescent="0.25">
      <c r="B192" s="800" t="s">
        <v>9433</v>
      </c>
      <c r="C192" s="748" t="s">
        <v>9471</v>
      </c>
      <c r="D192" s="748" t="s">
        <v>9472</v>
      </c>
      <c r="E192" s="748" t="s">
        <v>9473</v>
      </c>
      <c r="F192" s="748" t="s">
        <v>9474</v>
      </c>
      <c r="G192" s="748" t="s">
        <v>9475</v>
      </c>
      <c r="H192" s="748" t="s">
        <v>9476</v>
      </c>
      <c r="I192" s="748" t="s">
        <v>9477</v>
      </c>
      <c r="J192" s="749" t="s">
        <v>8538</v>
      </c>
      <c r="L192" s="800" t="s">
        <v>9433</v>
      </c>
      <c r="M192" s="748" t="s">
        <v>9471</v>
      </c>
      <c r="N192" s="748" t="s">
        <v>9472</v>
      </c>
      <c r="O192" s="748" t="s">
        <v>9473</v>
      </c>
      <c r="P192" s="748" t="s">
        <v>9474</v>
      </c>
      <c r="Q192" s="748" t="s">
        <v>9475</v>
      </c>
      <c r="R192" s="748" t="s">
        <v>9476</v>
      </c>
      <c r="S192" s="748" t="s">
        <v>9477</v>
      </c>
      <c r="T192" s="749" t="s">
        <v>8538</v>
      </c>
      <c r="V192" s="800" t="s">
        <v>9433</v>
      </c>
      <c r="W192" s="748" t="s">
        <v>9471</v>
      </c>
      <c r="X192" s="748" t="s">
        <v>9472</v>
      </c>
      <c r="Y192" s="748" t="s">
        <v>9473</v>
      </c>
      <c r="Z192" s="748" t="s">
        <v>9474</v>
      </c>
      <c r="AA192" s="748" t="s">
        <v>9475</v>
      </c>
      <c r="AB192" s="748" t="s">
        <v>9476</v>
      </c>
      <c r="AC192" s="748" t="s">
        <v>9477</v>
      </c>
      <c r="AD192" s="749" t="s">
        <v>8538</v>
      </c>
    </row>
    <row r="193" spans="2:30" x14ac:dyDescent="0.25">
      <c r="B193" s="801" t="s">
        <v>9478</v>
      </c>
      <c r="L193" s="801" t="s">
        <v>9478</v>
      </c>
      <c r="V193" s="801" t="s">
        <v>9478</v>
      </c>
    </row>
    <row r="194" spans="2:30" ht="11.25" customHeight="1" x14ac:dyDescent="0.25"/>
    <row r="195" spans="2:30" x14ac:dyDescent="0.25">
      <c r="B195" s="733" t="s">
        <v>9076</v>
      </c>
      <c r="C195" s="728"/>
      <c r="D195" s="728"/>
      <c r="E195" s="728"/>
      <c r="F195" s="728"/>
      <c r="G195" s="728"/>
      <c r="H195" s="728"/>
      <c r="I195" s="728"/>
      <c r="J195" s="720"/>
      <c r="L195" s="733" t="s">
        <v>9076</v>
      </c>
      <c r="M195" s="810"/>
      <c r="N195" s="810"/>
      <c r="O195" s="810"/>
      <c r="P195" s="810"/>
      <c r="Q195" s="810"/>
      <c r="R195" s="810"/>
      <c r="S195" s="810"/>
      <c r="T195" s="811"/>
      <c r="V195" s="733" t="s">
        <v>9076</v>
      </c>
      <c r="W195" s="810"/>
      <c r="X195" s="810"/>
      <c r="Y195" s="810"/>
      <c r="Z195" s="810"/>
      <c r="AA195" s="810"/>
      <c r="AB195" s="810"/>
      <c r="AC195" s="810"/>
      <c r="AD195" s="811"/>
    </row>
    <row r="196" spans="2:30" ht="17.25" hidden="1" x14ac:dyDescent="0.25">
      <c r="B196" s="996" t="s">
        <v>8921</v>
      </c>
      <c r="C196" s="996"/>
      <c r="D196" s="739" t="s">
        <v>8830</v>
      </c>
      <c r="E196" s="739" t="s">
        <v>8833</v>
      </c>
      <c r="F196" s="739" t="s">
        <v>8922</v>
      </c>
      <c r="G196" s="737" t="s">
        <v>8832</v>
      </c>
      <c r="H196" s="737"/>
      <c r="I196" s="737"/>
      <c r="J196" s="736" t="s">
        <v>9075</v>
      </c>
      <c r="L196" s="996" t="s">
        <v>8921</v>
      </c>
      <c r="M196" s="996"/>
      <c r="N196" s="809" t="s">
        <v>8830</v>
      </c>
      <c r="O196" s="809" t="s">
        <v>8833</v>
      </c>
      <c r="P196" s="809" t="s">
        <v>8922</v>
      </c>
      <c r="Q196" s="737" t="s">
        <v>8832</v>
      </c>
      <c r="R196" s="737"/>
      <c r="S196" s="737"/>
      <c r="T196" s="736" t="s">
        <v>9075</v>
      </c>
      <c r="V196" s="996" t="s">
        <v>8921</v>
      </c>
      <c r="W196" s="996"/>
      <c r="X196" s="809" t="s">
        <v>8830</v>
      </c>
      <c r="Y196" s="809" t="s">
        <v>8833</v>
      </c>
      <c r="Z196" s="809" t="s">
        <v>8922</v>
      </c>
      <c r="AA196" s="737" t="s">
        <v>8832</v>
      </c>
      <c r="AB196" s="737"/>
      <c r="AC196" s="737"/>
      <c r="AD196" s="736" t="s">
        <v>9075</v>
      </c>
    </row>
    <row r="197" spans="2:30" ht="17.25" x14ac:dyDescent="0.25">
      <c r="B197" s="726"/>
      <c r="C197" s="731" t="s">
        <v>8836</v>
      </c>
      <c r="D197" s="762" t="s">
        <v>8834</v>
      </c>
      <c r="E197" s="762" t="s">
        <v>8835</v>
      </c>
      <c r="F197" s="763" t="s">
        <v>8904</v>
      </c>
      <c r="G197" s="753" t="s">
        <v>8837</v>
      </c>
      <c r="H197" s="729"/>
      <c r="I197" s="729"/>
      <c r="J197" s="764">
        <v>1991</v>
      </c>
      <c r="L197" s="726"/>
      <c r="M197" s="731" t="s">
        <v>8836</v>
      </c>
      <c r="N197" s="762" t="s">
        <v>8834</v>
      </c>
      <c r="O197" s="762" t="s">
        <v>8835</v>
      </c>
      <c r="P197" s="763" t="s">
        <v>8904</v>
      </c>
      <c r="Q197" s="753" t="s">
        <v>8837</v>
      </c>
      <c r="R197" s="729"/>
      <c r="S197" s="729"/>
      <c r="T197" s="764">
        <v>1991</v>
      </c>
      <c r="V197" s="726"/>
      <c r="W197" s="731" t="s">
        <v>8836</v>
      </c>
      <c r="X197" s="762" t="s">
        <v>8834</v>
      </c>
      <c r="Y197" s="762" t="s">
        <v>8835</v>
      </c>
      <c r="Z197" s="763" t="s">
        <v>8904</v>
      </c>
      <c r="AA197" s="753" t="s">
        <v>8837</v>
      </c>
      <c r="AB197" s="729"/>
      <c r="AC197" s="729"/>
      <c r="AD197" s="764">
        <v>1991</v>
      </c>
    </row>
    <row r="198" spans="2:30" ht="17.25" x14ac:dyDescent="0.25">
      <c r="B198" s="726"/>
      <c r="C198" s="731" t="s">
        <v>8840</v>
      </c>
      <c r="D198" s="762" t="s">
        <v>8838</v>
      </c>
      <c r="E198" s="762" t="s">
        <v>8839</v>
      </c>
      <c r="F198" s="763" t="s">
        <v>8905</v>
      </c>
      <c r="G198" s="753" t="s">
        <v>8841</v>
      </c>
      <c r="H198" s="729"/>
      <c r="I198" s="729"/>
      <c r="J198" s="764">
        <v>1991</v>
      </c>
      <c r="L198" s="726"/>
      <c r="M198" s="731" t="s">
        <v>8840</v>
      </c>
      <c r="N198" s="762" t="s">
        <v>8838</v>
      </c>
      <c r="O198" s="762" t="s">
        <v>8839</v>
      </c>
      <c r="P198" s="763" t="s">
        <v>8905</v>
      </c>
      <c r="Q198" s="753" t="s">
        <v>8841</v>
      </c>
      <c r="R198" s="729"/>
      <c r="S198" s="729"/>
      <c r="T198" s="764">
        <v>1991</v>
      </c>
      <c r="V198" s="726"/>
      <c r="W198" s="731" t="s">
        <v>8840</v>
      </c>
      <c r="X198" s="762" t="s">
        <v>8838</v>
      </c>
      <c r="Y198" s="762" t="s">
        <v>8839</v>
      </c>
      <c r="Z198" s="763" t="s">
        <v>8905</v>
      </c>
      <c r="AA198" s="753" t="s">
        <v>8841</v>
      </c>
      <c r="AB198" s="729"/>
      <c r="AC198" s="729"/>
      <c r="AD198" s="764">
        <v>1991</v>
      </c>
    </row>
    <row r="199" spans="2:30" ht="17.25" x14ac:dyDescent="0.25">
      <c r="B199" s="726"/>
      <c r="C199" s="731" t="s">
        <v>8843</v>
      </c>
      <c r="D199" s="762" t="s">
        <v>8842</v>
      </c>
      <c r="E199" s="762" t="s">
        <v>7495</v>
      </c>
      <c r="F199" s="763" t="s">
        <v>8906</v>
      </c>
      <c r="G199" s="753" t="s">
        <v>8844</v>
      </c>
      <c r="H199" s="729"/>
      <c r="I199" s="729"/>
      <c r="J199" s="764">
        <v>1975</v>
      </c>
      <c r="L199" s="726"/>
      <c r="M199" s="731" t="s">
        <v>8843</v>
      </c>
      <c r="N199" s="762" t="s">
        <v>8842</v>
      </c>
      <c r="O199" s="762" t="s">
        <v>7495</v>
      </c>
      <c r="P199" s="763" t="s">
        <v>8906</v>
      </c>
      <c r="Q199" s="753" t="s">
        <v>8844</v>
      </c>
      <c r="R199" s="729"/>
      <c r="S199" s="729"/>
      <c r="T199" s="764">
        <v>1975</v>
      </c>
      <c r="V199" s="726"/>
      <c r="W199" s="731" t="s">
        <v>8843</v>
      </c>
      <c r="X199" s="762" t="s">
        <v>8842</v>
      </c>
      <c r="Y199" s="762" t="s">
        <v>7495</v>
      </c>
      <c r="Z199" s="763" t="s">
        <v>8906</v>
      </c>
      <c r="AA199" s="753" t="s">
        <v>8844</v>
      </c>
      <c r="AB199" s="729"/>
      <c r="AC199" s="729"/>
      <c r="AD199" s="764">
        <v>1975</v>
      </c>
    </row>
    <row r="200" spans="2:30" ht="17.25" x14ac:dyDescent="0.25">
      <c r="B200" s="726"/>
      <c r="C200" s="731" t="s">
        <v>8846</v>
      </c>
      <c r="D200" s="762" t="s">
        <v>8845</v>
      </c>
      <c r="E200" s="762" t="s">
        <v>7591</v>
      </c>
      <c r="F200" s="763" t="s">
        <v>8907</v>
      </c>
      <c r="G200" s="753" t="s">
        <v>8847</v>
      </c>
      <c r="H200" s="729"/>
      <c r="I200" s="729"/>
      <c r="J200" s="764">
        <v>1975</v>
      </c>
      <c r="L200" s="726"/>
      <c r="M200" s="731" t="s">
        <v>8846</v>
      </c>
      <c r="N200" s="762" t="s">
        <v>8845</v>
      </c>
      <c r="O200" s="762" t="s">
        <v>7591</v>
      </c>
      <c r="P200" s="763" t="s">
        <v>8907</v>
      </c>
      <c r="Q200" s="753" t="s">
        <v>8847</v>
      </c>
      <c r="R200" s="729"/>
      <c r="S200" s="729"/>
      <c r="T200" s="764">
        <v>1975</v>
      </c>
      <c r="V200" s="726"/>
      <c r="W200" s="731" t="s">
        <v>8846</v>
      </c>
      <c r="X200" s="762" t="s">
        <v>8845</v>
      </c>
      <c r="Y200" s="762" t="s">
        <v>7591</v>
      </c>
      <c r="Z200" s="763" t="s">
        <v>8907</v>
      </c>
      <c r="AA200" s="753" t="s">
        <v>8847</v>
      </c>
      <c r="AB200" s="729"/>
      <c r="AC200" s="729"/>
      <c r="AD200" s="764">
        <v>1975</v>
      </c>
    </row>
    <row r="201" spans="2:30" ht="17.25" x14ac:dyDescent="0.25">
      <c r="B201" s="726"/>
      <c r="C201" s="731" t="s">
        <v>8849</v>
      </c>
      <c r="D201" s="762" t="s">
        <v>8848</v>
      </c>
      <c r="E201" s="762" t="s">
        <v>1476</v>
      </c>
      <c r="F201" s="763" t="s">
        <v>8908</v>
      </c>
      <c r="G201" s="753" t="s">
        <v>8850</v>
      </c>
      <c r="H201" s="729"/>
      <c r="I201" s="729"/>
      <c r="J201" s="764">
        <v>1960</v>
      </c>
      <c r="L201" s="726"/>
      <c r="M201" s="731" t="s">
        <v>8849</v>
      </c>
      <c r="N201" s="762" t="s">
        <v>8848</v>
      </c>
      <c r="O201" s="762" t="s">
        <v>1476</v>
      </c>
      <c r="P201" s="763" t="s">
        <v>8908</v>
      </c>
      <c r="Q201" s="753" t="s">
        <v>8850</v>
      </c>
      <c r="R201" s="729"/>
      <c r="S201" s="729"/>
      <c r="T201" s="764">
        <v>1960</v>
      </c>
      <c r="V201" s="726"/>
      <c r="W201" s="731" t="s">
        <v>8849</v>
      </c>
      <c r="X201" s="762" t="s">
        <v>8848</v>
      </c>
      <c r="Y201" s="762" t="s">
        <v>1476</v>
      </c>
      <c r="Z201" s="763" t="s">
        <v>8908</v>
      </c>
      <c r="AA201" s="753" t="s">
        <v>8850</v>
      </c>
      <c r="AB201" s="729"/>
      <c r="AC201" s="729"/>
      <c r="AD201" s="764">
        <v>1960</v>
      </c>
    </row>
    <row r="202" spans="2:30" ht="17.25" x14ac:dyDescent="0.25">
      <c r="B202" s="726"/>
      <c r="C202" s="731" t="s">
        <v>8852</v>
      </c>
      <c r="D202" s="762" t="s">
        <v>8851</v>
      </c>
      <c r="E202" s="762" t="s">
        <v>24</v>
      </c>
      <c r="F202" s="763" t="s">
        <v>8909</v>
      </c>
      <c r="G202" s="753" t="s">
        <v>8853</v>
      </c>
      <c r="H202" s="729"/>
      <c r="I202" s="729"/>
      <c r="J202" s="764">
        <v>1960</v>
      </c>
      <c r="L202" s="726"/>
      <c r="M202" s="731" t="s">
        <v>8852</v>
      </c>
      <c r="N202" s="762" t="s">
        <v>8851</v>
      </c>
      <c r="O202" s="762" t="s">
        <v>24</v>
      </c>
      <c r="P202" s="763" t="s">
        <v>8909</v>
      </c>
      <c r="Q202" s="753" t="s">
        <v>8853</v>
      </c>
      <c r="R202" s="729"/>
      <c r="S202" s="729"/>
      <c r="T202" s="764">
        <v>1960</v>
      </c>
      <c r="V202" s="726"/>
      <c r="W202" s="731" t="s">
        <v>8852</v>
      </c>
      <c r="X202" s="762" t="s">
        <v>8851</v>
      </c>
      <c r="Y202" s="762" t="s">
        <v>24</v>
      </c>
      <c r="Z202" s="763" t="s">
        <v>8909</v>
      </c>
      <c r="AA202" s="753" t="s">
        <v>8853</v>
      </c>
      <c r="AB202" s="729"/>
      <c r="AC202" s="729"/>
      <c r="AD202" s="764">
        <v>1960</v>
      </c>
    </row>
    <row r="203" spans="2:30" ht="17.25" x14ac:dyDescent="0.25">
      <c r="B203" s="726"/>
      <c r="C203" s="731" t="s">
        <v>8856</v>
      </c>
      <c r="D203" s="762" t="s">
        <v>8854</v>
      </c>
      <c r="E203" s="762" t="s">
        <v>8855</v>
      </c>
      <c r="F203" s="763" t="s">
        <v>8634</v>
      </c>
      <c r="G203" s="753" t="s">
        <v>8857</v>
      </c>
      <c r="H203" s="729"/>
      <c r="I203" s="729"/>
      <c r="J203" s="764">
        <v>1960</v>
      </c>
      <c r="L203" s="726"/>
      <c r="M203" s="731" t="s">
        <v>8856</v>
      </c>
      <c r="N203" s="762" t="s">
        <v>8854</v>
      </c>
      <c r="O203" s="762" t="s">
        <v>8855</v>
      </c>
      <c r="P203" s="763" t="s">
        <v>8634</v>
      </c>
      <c r="Q203" s="753" t="s">
        <v>8857</v>
      </c>
      <c r="R203" s="729"/>
      <c r="S203" s="729"/>
      <c r="T203" s="764">
        <v>1960</v>
      </c>
      <c r="V203" s="726"/>
      <c r="W203" s="731" t="s">
        <v>8856</v>
      </c>
      <c r="X203" s="762" t="s">
        <v>8854</v>
      </c>
      <c r="Y203" s="762" t="s">
        <v>8855</v>
      </c>
      <c r="Z203" s="763" t="s">
        <v>8634</v>
      </c>
      <c r="AA203" s="753" t="s">
        <v>8857</v>
      </c>
      <c r="AB203" s="729"/>
      <c r="AC203" s="729"/>
      <c r="AD203" s="764">
        <v>1960</v>
      </c>
    </row>
    <row r="204" spans="2:30" ht="17.25" x14ac:dyDescent="0.25">
      <c r="B204" s="726"/>
      <c r="C204" s="731" t="s">
        <v>8860</v>
      </c>
      <c r="D204" s="762" t="s">
        <v>8858</v>
      </c>
      <c r="E204" s="762" t="s">
        <v>8859</v>
      </c>
      <c r="F204" s="763" t="s">
        <v>8910</v>
      </c>
      <c r="G204" s="753" t="s">
        <v>8861</v>
      </c>
      <c r="H204" s="729"/>
      <c r="I204" s="729"/>
      <c r="J204" s="764">
        <v>1795</v>
      </c>
      <c r="L204" s="726"/>
      <c r="M204" s="731" t="s">
        <v>8860</v>
      </c>
      <c r="N204" s="762" t="s">
        <v>8858</v>
      </c>
      <c r="O204" s="762" t="s">
        <v>8859</v>
      </c>
      <c r="P204" s="763" t="s">
        <v>8910</v>
      </c>
      <c r="Q204" s="753" t="s">
        <v>8861</v>
      </c>
      <c r="R204" s="729"/>
      <c r="S204" s="729"/>
      <c r="T204" s="764">
        <v>1795</v>
      </c>
      <c r="V204" s="726"/>
      <c r="W204" s="731" t="s">
        <v>8860</v>
      </c>
      <c r="X204" s="762" t="s">
        <v>8858</v>
      </c>
      <c r="Y204" s="762" t="s">
        <v>8859</v>
      </c>
      <c r="Z204" s="763" t="s">
        <v>8910</v>
      </c>
      <c r="AA204" s="753" t="s">
        <v>8861</v>
      </c>
      <c r="AB204" s="729"/>
      <c r="AC204" s="729"/>
      <c r="AD204" s="764">
        <v>1795</v>
      </c>
    </row>
    <row r="205" spans="2:30" ht="17.25" x14ac:dyDescent="0.25">
      <c r="B205" s="726"/>
      <c r="C205" s="731" t="s">
        <v>8864</v>
      </c>
      <c r="D205" s="762" t="s">
        <v>8862</v>
      </c>
      <c r="E205" s="762" t="s">
        <v>8863</v>
      </c>
      <c r="F205" s="763" t="s">
        <v>8911</v>
      </c>
      <c r="G205" s="753">
        <v>100</v>
      </c>
      <c r="H205" s="729"/>
      <c r="I205" s="729"/>
      <c r="J205" s="764">
        <v>1795</v>
      </c>
      <c r="L205" s="726"/>
      <c r="M205" s="731" t="s">
        <v>8864</v>
      </c>
      <c r="N205" s="762" t="s">
        <v>8862</v>
      </c>
      <c r="O205" s="762" t="s">
        <v>8863</v>
      </c>
      <c r="P205" s="763" t="s">
        <v>8911</v>
      </c>
      <c r="Q205" s="753">
        <v>100</v>
      </c>
      <c r="R205" s="729"/>
      <c r="S205" s="729"/>
      <c r="T205" s="764">
        <v>1795</v>
      </c>
      <c r="V205" s="726"/>
      <c r="W205" s="731" t="s">
        <v>8864</v>
      </c>
      <c r="X205" s="762" t="s">
        <v>8862</v>
      </c>
      <c r="Y205" s="762" t="s">
        <v>8863</v>
      </c>
      <c r="Z205" s="763" t="s">
        <v>8911</v>
      </c>
      <c r="AA205" s="753">
        <v>100</v>
      </c>
      <c r="AB205" s="729"/>
      <c r="AC205" s="729"/>
      <c r="AD205" s="764">
        <v>1795</v>
      </c>
    </row>
    <row r="206" spans="2:30" ht="17.25" x14ac:dyDescent="0.25">
      <c r="B206" s="726"/>
      <c r="C206" s="731" t="s">
        <v>8867</v>
      </c>
      <c r="D206" s="762" t="s">
        <v>8865</v>
      </c>
      <c r="E206" s="762" t="s">
        <v>8866</v>
      </c>
      <c r="F206" s="763" t="s">
        <v>8912</v>
      </c>
      <c r="G206" s="753">
        <v>10</v>
      </c>
      <c r="H206" s="729"/>
      <c r="I206" s="729"/>
      <c r="J206" s="764">
        <v>1795</v>
      </c>
      <c r="L206" s="726"/>
      <c r="M206" s="731" t="s">
        <v>8867</v>
      </c>
      <c r="N206" s="762" t="s">
        <v>8865</v>
      </c>
      <c r="O206" s="762" t="s">
        <v>8866</v>
      </c>
      <c r="P206" s="763" t="s">
        <v>8912</v>
      </c>
      <c r="Q206" s="753">
        <v>10</v>
      </c>
      <c r="R206" s="729"/>
      <c r="S206" s="729"/>
      <c r="T206" s="764">
        <v>1795</v>
      </c>
      <c r="V206" s="726"/>
      <c r="W206" s="731" t="s">
        <v>8867</v>
      </c>
      <c r="X206" s="762" t="s">
        <v>8865</v>
      </c>
      <c r="Y206" s="762" t="s">
        <v>8866</v>
      </c>
      <c r="Z206" s="763" t="s">
        <v>8912</v>
      </c>
      <c r="AA206" s="753">
        <v>10</v>
      </c>
      <c r="AB206" s="729"/>
      <c r="AC206" s="729"/>
      <c r="AD206" s="764">
        <v>1795</v>
      </c>
    </row>
    <row r="207" spans="2:30" ht="17.25" x14ac:dyDescent="0.25">
      <c r="B207" s="726"/>
      <c r="C207" s="731" t="s">
        <v>8766</v>
      </c>
      <c r="D207" s="762" t="s">
        <v>8868</v>
      </c>
      <c r="E207" s="762"/>
      <c r="F207" s="763" t="s">
        <v>8913</v>
      </c>
      <c r="G207" s="753">
        <v>1</v>
      </c>
      <c r="H207" s="729"/>
      <c r="I207" s="729"/>
      <c r="J207" s="764"/>
      <c r="L207" s="726"/>
      <c r="M207" s="731" t="s">
        <v>8766</v>
      </c>
      <c r="N207" s="762" t="s">
        <v>8868</v>
      </c>
      <c r="O207" s="762"/>
      <c r="P207" s="763" t="s">
        <v>8913</v>
      </c>
      <c r="Q207" s="753">
        <v>1</v>
      </c>
      <c r="R207" s="729"/>
      <c r="S207" s="729"/>
      <c r="T207" s="764"/>
      <c r="V207" s="726"/>
      <c r="W207" s="731" t="s">
        <v>8766</v>
      </c>
      <c r="X207" s="762" t="s">
        <v>8868</v>
      </c>
      <c r="Y207" s="762"/>
      <c r="Z207" s="763" t="s">
        <v>8913</v>
      </c>
      <c r="AA207" s="753">
        <v>1</v>
      </c>
      <c r="AB207" s="729"/>
      <c r="AC207" s="729"/>
      <c r="AD207" s="764"/>
    </row>
    <row r="208" spans="2:30" ht="17.25" x14ac:dyDescent="0.25">
      <c r="B208" s="726"/>
      <c r="C208" s="731" t="s">
        <v>8871</v>
      </c>
      <c r="D208" s="762" t="s">
        <v>8869</v>
      </c>
      <c r="E208" s="762" t="s">
        <v>8870</v>
      </c>
      <c r="F208" s="763" t="s">
        <v>8914</v>
      </c>
      <c r="G208" s="753">
        <v>0.1</v>
      </c>
      <c r="H208" s="729"/>
      <c r="I208" s="729"/>
      <c r="J208" s="764">
        <v>1795</v>
      </c>
      <c r="L208" s="726"/>
      <c r="M208" s="731" t="s">
        <v>8871</v>
      </c>
      <c r="N208" s="762" t="s">
        <v>8869</v>
      </c>
      <c r="O208" s="762" t="s">
        <v>8870</v>
      </c>
      <c r="P208" s="763" t="s">
        <v>8914</v>
      </c>
      <c r="Q208" s="753">
        <v>0.1</v>
      </c>
      <c r="R208" s="729"/>
      <c r="S208" s="729"/>
      <c r="T208" s="764">
        <v>1795</v>
      </c>
      <c r="V208" s="726"/>
      <c r="W208" s="731" t="s">
        <v>8871</v>
      </c>
      <c r="X208" s="762" t="s">
        <v>8869</v>
      </c>
      <c r="Y208" s="762" t="s">
        <v>8870</v>
      </c>
      <c r="Z208" s="763" t="s">
        <v>8914</v>
      </c>
      <c r="AA208" s="753">
        <v>0.1</v>
      </c>
      <c r="AB208" s="729"/>
      <c r="AC208" s="729"/>
      <c r="AD208" s="764">
        <v>1795</v>
      </c>
    </row>
    <row r="209" spans="2:30" ht="17.25" x14ac:dyDescent="0.25">
      <c r="B209" s="726"/>
      <c r="C209" s="731" t="s">
        <v>8874</v>
      </c>
      <c r="D209" s="762" t="s">
        <v>8872</v>
      </c>
      <c r="E209" s="762" t="s">
        <v>8873</v>
      </c>
      <c r="F209" s="763" t="s">
        <v>8528</v>
      </c>
      <c r="G209" s="753">
        <v>0.01</v>
      </c>
      <c r="H209" s="729"/>
      <c r="I209" s="729"/>
      <c r="J209" s="764">
        <v>1795</v>
      </c>
      <c r="L209" s="726"/>
      <c r="M209" s="731" t="s">
        <v>8874</v>
      </c>
      <c r="N209" s="762" t="s">
        <v>8872</v>
      </c>
      <c r="O209" s="762" t="s">
        <v>8873</v>
      </c>
      <c r="P209" s="763" t="s">
        <v>8528</v>
      </c>
      <c r="Q209" s="753">
        <v>0.01</v>
      </c>
      <c r="R209" s="729"/>
      <c r="S209" s="729"/>
      <c r="T209" s="764">
        <v>1795</v>
      </c>
      <c r="V209" s="726"/>
      <c r="W209" s="731" t="s">
        <v>8874</v>
      </c>
      <c r="X209" s="762" t="s">
        <v>8872</v>
      </c>
      <c r="Y209" s="762" t="s">
        <v>8873</v>
      </c>
      <c r="Z209" s="763" t="s">
        <v>8528</v>
      </c>
      <c r="AA209" s="753">
        <v>0.01</v>
      </c>
      <c r="AB209" s="729"/>
      <c r="AC209" s="729"/>
      <c r="AD209" s="764">
        <v>1795</v>
      </c>
    </row>
    <row r="210" spans="2:30" ht="17.25" x14ac:dyDescent="0.25">
      <c r="B210" s="726"/>
      <c r="C210" s="731" t="s">
        <v>8876</v>
      </c>
      <c r="D210" s="762" t="s">
        <v>8875</v>
      </c>
      <c r="E210" s="762" t="s">
        <v>8527</v>
      </c>
      <c r="F210" s="763" t="s">
        <v>8569</v>
      </c>
      <c r="G210" s="753">
        <v>1E-3</v>
      </c>
      <c r="H210" s="729"/>
      <c r="I210" s="729"/>
      <c r="J210" s="764">
        <v>1795</v>
      </c>
      <c r="L210" s="726"/>
      <c r="M210" s="731" t="s">
        <v>8876</v>
      </c>
      <c r="N210" s="762" t="s">
        <v>8875</v>
      </c>
      <c r="O210" s="762" t="s">
        <v>8527</v>
      </c>
      <c r="P210" s="763" t="s">
        <v>8569</v>
      </c>
      <c r="Q210" s="753">
        <v>1E-3</v>
      </c>
      <c r="R210" s="729"/>
      <c r="S210" s="729"/>
      <c r="T210" s="764">
        <v>1795</v>
      </c>
      <c r="V210" s="726"/>
      <c r="W210" s="731" t="s">
        <v>8876</v>
      </c>
      <c r="X210" s="762" t="s">
        <v>8875</v>
      </c>
      <c r="Y210" s="762" t="s">
        <v>8527</v>
      </c>
      <c r="Z210" s="763" t="s">
        <v>8569</v>
      </c>
      <c r="AA210" s="753">
        <v>1E-3</v>
      </c>
      <c r="AB210" s="729"/>
      <c r="AC210" s="729"/>
      <c r="AD210" s="764">
        <v>1795</v>
      </c>
    </row>
    <row r="211" spans="2:30" ht="17.25" x14ac:dyDescent="0.25">
      <c r="B211" s="726"/>
      <c r="C211" s="731" t="s">
        <v>8879</v>
      </c>
      <c r="D211" s="762" t="s">
        <v>8877</v>
      </c>
      <c r="E211" s="762" t="s">
        <v>8878</v>
      </c>
      <c r="F211" s="763" t="s">
        <v>8633</v>
      </c>
      <c r="G211" s="753" t="s">
        <v>8880</v>
      </c>
      <c r="H211" s="729"/>
      <c r="I211" s="729"/>
      <c r="J211" s="764">
        <v>1960</v>
      </c>
      <c r="L211" s="726"/>
      <c r="M211" s="731" t="s">
        <v>8879</v>
      </c>
      <c r="N211" s="762" t="s">
        <v>8877</v>
      </c>
      <c r="O211" s="762" t="s">
        <v>8878</v>
      </c>
      <c r="P211" s="763" t="s">
        <v>8633</v>
      </c>
      <c r="Q211" s="753" t="s">
        <v>8880</v>
      </c>
      <c r="R211" s="729"/>
      <c r="S211" s="729"/>
      <c r="T211" s="764">
        <v>1960</v>
      </c>
      <c r="V211" s="726"/>
      <c r="W211" s="731" t="s">
        <v>8879</v>
      </c>
      <c r="X211" s="762" t="s">
        <v>8877</v>
      </c>
      <c r="Y211" s="762" t="s">
        <v>8878</v>
      </c>
      <c r="Z211" s="763" t="s">
        <v>8633</v>
      </c>
      <c r="AA211" s="753" t="s">
        <v>8880</v>
      </c>
      <c r="AB211" s="729"/>
      <c r="AC211" s="729"/>
      <c r="AD211" s="764">
        <v>1960</v>
      </c>
    </row>
    <row r="212" spans="2:30" ht="17.25" x14ac:dyDescent="0.25">
      <c r="B212" s="726"/>
      <c r="C212" s="731" t="s">
        <v>8882</v>
      </c>
      <c r="D212" s="762" t="s">
        <v>8881</v>
      </c>
      <c r="E212" s="762" t="s">
        <v>8831</v>
      </c>
      <c r="F212" s="763" t="s">
        <v>8915</v>
      </c>
      <c r="G212" s="753" t="s">
        <v>8883</v>
      </c>
      <c r="H212" s="729"/>
      <c r="I212" s="729"/>
      <c r="J212" s="764">
        <v>1960</v>
      </c>
      <c r="L212" s="726"/>
      <c r="M212" s="731" t="s">
        <v>8882</v>
      </c>
      <c r="N212" s="762" t="s">
        <v>8881</v>
      </c>
      <c r="O212" s="762" t="s">
        <v>8831</v>
      </c>
      <c r="P212" s="763" t="s">
        <v>8915</v>
      </c>
      <c r="Q212" s="753" t="s">
        <v>8883</v>
      </c>
      <c r="R212" s="729"/>
      <c r="S212" s="729"/>
      <c r="T212" s="764">
        <v>1960</v>
      </c>
      <c r="V212" s="726"/>
      <c r="W212" s="731" t="s">
        <v>8882</v>
      </c>
      <c r="X212" s="762" t="s">
        <v>8881</v>
      </c>
      <c r="Y212" s="762" t="s">
        <v>8831</v>
      </c>
      <c r="Z212" s="763" t="s">
        <v>8915</v>
      </c>
      <c r="AA212" s="753" t="s">
        <v>8883</v>
      </c>
      <c r="AB212" s="729"/>
      <c r="AC212" s="729"/>
      <c r="AD212" s="764">
        <v>1960</v>
      </c>
    </row>
    <row r="213" spans="2:30" ht="17.25" x14ac:dyDescent="0.25">
      <c r="B213" s="726"/>
      <c r="C213" s="731" t="s">
        <v>8886</v>
      </c>
      <c r="D213" s="762" t="s">
        <v>8884</v>
      </c>
      <c r="E213" s="762" t="s">
        <v>8885</v>
      </c>
      <c r="F213" s="763" t="s">
        <v>8916</v>
      </c>
      <c r="G213" s="753" t="s">
        <v>8887</v>
      </c>
      <c r="H213" s="729"/>
      <c r="I213" s="729"/>
      <c r="J213" s="764">
        <v>1960</v>
      </c>
      <c r="L213" s="726"/>
      <c r="M213" s="731" t="s">
        <v>8886</v>
      </c>
      <c r="N213" s="762" t="s">
        <v>8884</v>
      </c>
      <c r="O213" s="762" t="s">
        <v>8885</v>
      </c>
      <c r="P213" s="763" t="s">
        <v>8916</v>
      </c>
      <c r="Q213" s="753" t="s">
        <v>8887</v>
      </c>
      <c r="R213" s="729"/>
      <c r="S213" s="729"/>
      <c r="T213" s="764">
        <v>1960</v>
      </c>
      <c r="V213" s="726"/>
      <c r="W213" s="731" t="s">
        <v>8886</v>
      </c>
      <c r="X213" s="762" t="s">
        <v>8884</v>
      </c>
      <c r="Y213" s="762" t="s">
        <v>8885</v>
      </c>
      <c r="Z213" s="763" t="s">
        <v>8916</v>
      </c>
      <c r="AA213" s="753" t="s">
        <v>8887</v>
      </c>
      <c r="AB213" s="729"/>
      <c r="AC213" s="729"/>
      <c r="AD213" s="764">
        <v>1960</v>
      </c>
    </row>
    <row r="214" spans="2:30" ht="17.25" x14ac:dyDescent="0.25">
      <c r="B214" s="726"/>
      <c r="C214" s="731" t="s">
        <v>8890</v>
      </c>
      <c r="D214" s="762" t="s">
        <v>8888</v>
      </c>
      <c r="E214" s="762" t="s">
        <v>8889</v>
      </c>
      <c r="F214" s="763" t="s">
        <v>8917</v>
      </c>
      <c r="G214" s="753" t="s">
        <v>8891</v>
      </c>
      <c r="H214" s="729"/>
      <c r="I214" s="729"/>
      <c r="J214" s="764">
        <v>1964</v>
      </c>
      <c r="L214" s="726"/>
      <c r="M214" s="731" t="s">
        <v>8890</v>
      </c>
      <c r="N214" s="762" t="s">
        <v>8888</v>
      </c>
      <c r="O214" s="762" t="s">
        <v>8889</v>
      </c>
      <c r="P214" s="763" t="s">
        <v>8917</v>
      </c>
      <c r="Q214" s="753" t="s">
        <v>8891</v>
      </c>
      <c r="R214" s="729"/>
      <c r="S214" s="729"/>
      <c r="T214" s="764">
        <v>1964</v>
      </c>
      <c r="V214" s="726"/>
      <c r="W214" s="731" t="s">
        <v>8890</v>
      </c>
      <c r="X214" s="762" t="s">
        <v>8888</v>
      </c>
      <c r="Y214" s="762" t="s">
        <v>8889</v>
      </c>
      <c r="Z214" s="763" t="s">
        <v>8917</v>
      </c>
      <c r="AA214" s="753" t="s">
        <v>8891</v>
      </c>
      <c r="AB214" s="729"/>
      <c r="AC214" s="729"/>
      <c r="AD214" s="764">
        <v>1964</v>
      </c>
    </row>
    <row r="215" spans="2:30" ht="17.25" x14ac:dyDescent="0.25">
      <c r="B215" s="726"/>
      <c r="C215" s="731" t="s">
        <v>8894</v>
      </c>
      <c r="D215" s="762" t="s">
        <v>8892</v>
      </c>
      <c r="E215" s="762" t="s">
        <v>8893</v>
      </c>
      <c r="F215" s="763" t="s">
        <v>8918</v>
      </c>
      <c r="G215" s="753" t="s">
        <v>8895</v>
      </c>
      <c r="H215" s="729"/>
      <c r="I215" s="729"/>
      <c r="J215" s="764">
        <v>1964</v>
      </c>
      <c r="L215" s="726"/>
      <c r="M215" s="731" t="s">
        <v>8894</v>
      </c>
      <c r="N215" s="762" t="s">
        <v>8892</v>
      </c>
      <c r="O215" s="762" t="s">
        <v>8893</v>
      </c>
      <c r="P215" s="763" t="s">
        <v>8918</v>
      </c>
      <c r="Q215" s="753" t="s">
        <v>8895</v>
      </c>
      <c r="R215" s="729"/>
      <c r="S215" s="729"/>
      <c r="T215" s="764">
        <v>1964</v>
      </c>
      <c r="V215" s="726"/>
      <c r="W215" s="731" t="s">
        <v>8894</v>
      </c>
      <c r="X215" s="762" t="s">
        <v>8892</v>
      </c>
      <c r="Y215" s="762" t="s">
        <v>8893</v>
      </c>
      <c r="Z215" s="763" t="s">
        <v>8918</v>
      </c>
      <c r="AA215" s="753" t="s">
        <v>8895</v>
      </c>
      <c r="AB215" s="729"/>
      <c r="AC215" s="729"/>
      <c r="AD215" s="764">
        <v>1964</v>
      </c>
    </row>
    <row r="216" spans="2:30" ht="17.25" x14ac:dyDescent="0.25">
      <c r="B216" s="726"/>
      <c r="C216" s="731" t="s">
        <v>8898</v>
      </c>
      <c r="D216" s="762" t="s">
        <v>8896</v>
      </c>
      <c r="E216" s="762" t="s">
        <v>8897</v>
      </c>
      <c r="F216" s="763" t="s">
        <v>8919</v>
      </c>
      <c r="G216" s="753" t="s">
        <v>8899</v>
      </c>
      <c r="H216" s="729"/>
      <c r="I216" s="729"/>
      <c r="J216" s="764">
        <v>1991</v>
      </c>
      <c r="L216" s="726"/>
      <c r="M216" s="731" t="s">
        <v>8898</v>
      </c>
      <c r="N216" s="762" t="s">
        <v>8896</v>
      </c>
      <c r="O216" s="762" t="s">
        <v>8897</v>
      </c>
      <c r="P216" s="763" t="s">
        <v>8919</v>
      </c>
      <c r="Q216" s="753" t="s">
        <v>8899</v>
      </c>
      <c r="R216" s="729"/>
      <c r="S216" s="729"/>
      <c r="T216" s="764">
        <v>1991</v>
      </c>
      <c r="V216" s="726"/>
      <c r="W216" s="731" t="s">
        <v>8898</v>
      </c>
      <c r="X216" s="762" t="s">
        <v>8896</v>
      </c>
      <c r="Y216" s="762" t="s">
        <v>8897</v>
      </c>
      <c r="Z216" s="763" t="s">
        <v>8919</v>
      </c>
      <c r="AA216" s="753" t="s">
        <v>8899</v>
      </c>
      <c r="AB216" s="729"/>
      <c r="AC216" s="729"/>
      <c r="AD216" s="764">
        <v>1991</v>
      </c>
    </row>
    <row r="217" spans="2:30" ht="17.25" x14ac:dyDescent="0.25">
      <c r="B217" s="727"/>
      <c r="C217" s="732" t="s">
        <v>8902</v>
      </c>
      <c r="D217" s="765" t="s">
        <v>8900</v>
      </c>
      <c r="E217" s="765" t="s">
        <v>8901</v>
      </c>
      <c r="F217" s="766" t="s">
        <v>8920</v>
      </c>
      <c r="G217" s="756" t="s">
        <v>8903</v>
      </c>
      <c r="H217" s="730"/>
      <c r="I217" s="730"/>
      <c r="J217" s="767">
        <v>1991</v>
      </c>
      <c r="L217" s="727"/>
      <c r="M217" s="732" t="s">
        <v>8902</v>
      </c>
      <c r="N217" s="765" t="s">
        <v>8900</v>
      </c>
      <c r="O217" s="765" t="s">
        <v>8901</v>
      </c>
      <c r="P217" s="766" t="s">
        <v>8920</v>
      </c>
      <c r="Q217" s="756" t="s">
        <v>8903</v>
      </c>
      <c r="R217" s="812"/>
      <c r="S217" s="812"/>
      <c r="T217" s="767">
        <v>1991</v>
      </c>
      <c r="V217" s="727"/>
      <c r="W217" s="732" t="s">
        <v>8902</v>
      </c>
      <c r="X217" s="765" t="s">
        <v>8900</v>
      </c>
      <c r="Y217" s="765" t="s">
        <v>8901</v>
      </c>
      <c r="Z217" s="766" t="s">
        <v>8920</v>
      </c>
      <c r="AA217" s="756" t="s">
        <v>8903</v>
      </c>
      <c r="AB217" s="812"/>
      <c r="AC217" s="812"/>
      <c r="AD217" s="767">
        <v>1991</v>
      </c>
    </row>
    <row r="218" spans="2:30" x14ac:dyDescent="0.25">
      <c r="B218" t="s">
        <v>9077</v>
      </c>
      <c r="L218" t="s">
        <v>9077</v>
      </c>
      <c r="V218" t="s">
        <v>9077</v>
      </c>
    </row>
    <row r="219" spans="2:30" x14ac:dyDescent="0.25">
      <c r="B219" t="s">
        <v>9058</v>
      </c>
      <c r="L219" t="s">
        <v>9058</v>
      </c>
      <c r="V219" t="s">
        <v>9058</v>
      </c>
    </row>
    <row r="221" spans="2:30" x14ac:dyDescent="0.25">
      <c r="B221" s="787" t="s">
        <v>9139</v>
      </c>
      <c r="C221" s="782"/>
      <c r="D221" s="741"/>
      <c r="E221" s="741"/>
      <c r="F221" s="741"/>
      <c r="G221" s="741"/>
      <c r="H221" s="741"/>
      <c r="I221" s="741"/>
      <c r="J221" s="742"/>
      <c r="L221" s="787" t="s">
        <v>9139</v>
      </c>
      <c r="M221" s="782"/>
      <c r="N221" s="741"/>
      <c r="O221" s="741"/>
      <c r="P221" s="741"/>
      <c r="Q221" s="741"/>
      <c r="R221" s="741"/>
      <c r="S221" s="741"/>
      <c r="T221" s="742"/>
      <c r="V221" s="787" t="s">
        <v>9139</v>
      </c>
      <c r="W221" s="782"/>
      <c r="X221" s="741"/>
      <c r="Y221" s="741"/>
      <c r="Z221" s="741"/>
      <c r="AA221" s="741"/>
      <c r="AB221" s="741"/>
      <c r="AC221" s="741"/>
      <c r="AD221" s="742"/>
    </row>
    <row r="222" spans="2:30" ht="17.25" x14ac:dyDescent="0.25">
      <c r="B222" s="783" t="s">
        <v>9150</v>
      </c>
      <c r="C222" s="784" t="s">
        <v>9099</v>
      </c>
      <c r="D222" s="772" t="s">
        <v>9100</v>
      </c>
      <c r="E222" s="737" t="s">
        <v>9101</v>
      </c>
      <c r="F222" s="737" t="s">
        <v>9102</v>
      </c>
      <c r="G222" s="737"/>
      <c r="H222" s="737"/>
      <c r="I222" s="737"/>
      <c r="J222" s="736"/>
      <c r="L222" s="783" t="s">
        <v>9150</v>
      </c>
      <c r="M222" s="784" t="s">
        <v>9099</v>
      </c>
      <c r="N222" s="772" t="s">
        <v>9100</v>
      </c>
      <c r="O222" s="737" t="s">
        <v>9101</v>
      </c>
      <c r="P222" s="737" t="s">
        <v>9102</v>
      </c>
      <c r="Q222" s="737"/>
      <c r="R222" s="737"/>
      <c r="S222" s="737"/>
      <c r="T222" s="736"/>
      <c r="V222" s="783" t="s">
        <v>9150</v>
      </c>
      <c r="W222" s="784" t="s">
        <v>9099</v>
      </c>
      <c r="X222" s="772" t="s">
        <v>9100</v>
      </c>
      <c r="Y222" s="737" t="s">
        <v>9101</v>
      </c>
      <c r="Z222" s="737" t="s">
        <v>9102</v>
      </c>
      <c r="AA222" s="737"/>
      <c r="AB222" s="737"/>
      <c r="AC222" s="737"/>
      <c r="AD222" s="736"/>
    </row>
    <row r="223" spans="2:30" ht="17.25" x14ac:dyDescent="0.25">
      <c r="B223" s="778" t="s">
        <v>9146</v>
      </c>
      <c r="C223" s="768" t="s">
        <v>9103</v>
      </c>
      <c r="D223" s="729" t="s">
        <v>9111</v>
      </c>
      <c r="E223" s="729" t="s">
        <v>9119</v>
      </c>
      <c r="F223" s="734" t="s">
        <v>9128</v>
      </c>
      <c r="G223" s="729"/>
      <c r="H223" s="777" t="s">
        <v>9480</v>
      </c>
      <c r="I223" s="728"/>
      <c r="J223" s="720"/>
      <c r="L223" s="778" t="s">
        <v>9146</v>
      </c>
      <c r="M223" s="768" t="s">
        <v>9103</v>
      </c>
      <c r="N223" s="729" t="s">
        <v>9111</v>
      </c>
      <c r="O223" s="729" t="s">
        <v>9119</v>
      </c>
      <c r="P223" s="734" t="s">
        <v>9128</v>
      </c>
      <c r="Q223" s="729"/>
      <c r="R223" s="777" t="s">
        <v>9480</v>
      </c>
      <c r="S223" s="810"/>
      <c r="T223" s="811"/>
      <c r="V223" s="778" t="s">
        <v>9146</v>
      </c>
      <c r="W223" s="768" t="s">
        <v>9103</v>
      </c>
      <c r="X223" s="729" t="s">
        <v>9111</v>
      </c>
      <c r="Y223" s="729" t="s">
        <v>9119</v>
      </c>
      <c r="Z223" s="734" t="s">
        <v>9128</v>
      </c>
      <c r="AA223" s="729"/>
      <c r="AB223" s="777" t="s">
        <v>9480</v>
      </c>
      <c r="AC223" s="810"/>
      <c r="AD223" s="811"/>
    </row>
    <row r="224" spans="2:30" ht="17.25" x14ac:dyDescent="0.25">
      <c r="B224" s="778" t="s">
        <v>9147</v>
      </c>
      <c r="C224" s="768" t="s">
        <v>9104</v>
      </c>
      <c r="D224" s="729" t="s">
        <v>9112</v>
      </c>
      <c r="E224" s="729" t="s">
        <v>9120</v>
      </c>
      <c r="F224" s="734" t="s">
        <v>9130</v>
      </c>
      <c r="G224" s="729"/>
      <c r="H224" s="804" t="s">
        <v>9485</v>
      </c>
      <c r="I224" s="729"/>
      <c r="J224" s="722"/>
      <c r="L224" s="778" t="s">
        <v>9147</v>
      </c>
      <c r="M224" s="768" t="s">
        <v>9104</v>
      </c>
      <c r="N224" s="729" t="s">
        <v>9112</v>
      </c>
      <c r="O224" s="729" t="s">
        <v>9120</v>
      </c>
      <c r="P224" s="734" t="s">
        <v>9130</v>
      </c>
      <c r="Q224" s="729"/>
      <c r="R224" s="804" t="s">
        <v>9485</v>
      </c>
      <c r="S224" s="729"/>
      <c r="T224" s="722"/>
      <c r="V224" s="778" t="s">
        <v>9147</v>
      </c>
      <c r="W224" s="768" t="s">
        <v>9104</v>
      </c>
      <c r="X224" s="729" t="s">
        <v>9112</v>
      </c>
      <c r="Y224" s="729" t="s">
        <v>9120</v>
      </c>
      <c r="Z224" s="734" t="s">
        <v>9130</v>
      </c>
      <c r="AA224" s="729"/>
      <c r="AB224" s="804" t="s">
        <v>9485</v>
      </c>
      <c r="AC224" s="729"/>
      <c r="AD224" s="722"/>
    </row>
    <row r="225" spans="2:30" ht="17.25" x14ac:dyDescent="0.25">
      <c r="B225" s="778" t="s">
        <v>9148</v>
      </c>
      <c r="C225" s="775" t="s">
        <v>9105</v>
      </c>
      <c r="D225" s="734" t="s">
        <v>9113</v>
      </c>
      <c r="E225" s="734" t="s">
        <v>9121</v>
      </c>
      <c r="F225" s="734" t="s">
        <v>9129</v>
      </c>
      <c r="G225" s="729"/>
      <c r="H225" s="805" t="s">
        <v>9483</v>
      </c>
      <c r="I225" s="729"/>
      <c r="J225" s="722"/>
      <c r="L225" s="778" t="s">
        <v>9148</v>
      </c>
      <c r="M225" s="775" t="s">
        <v>9105</v>
      </c>
      <c r="N225" s="734" t="s">
        <v>9113</v>
      </c>
      <c r="O225" s="734" t="s">
        <v>9121</v>
      </c>
      <c r="P225" s="734" t="s">
        <v>9129</v>
      </c>
      <c r="Q225" s="729"/>
      <c r="R225" s="805" t="s">
        <v>9483</v>
      </c>
      <c r="S225" s="729"/>
      <c r="T225" s="722"/>
      <c r="V225" s="778" t="s">
        <v>9148</v>
      </c>
      <c r="W225" s="775" t="s">
        <v>9105</v>
      </c>
      <c r="X225" s="734" t="s">
        <v>9113</v>
      </c>
      <c r="Y225" s="734" t="s">
        <v>9121</v>
      </c>
      <c r="Z225" s="734" t="s">
        <v>9129</v>
      </c>
      <c r="AA225" s="729"/>
      <c r="AB225" s="805" t="s">
        <v>9483</v>
      </c>
      <c r="AC225" s="729"/>
      <c r="AD225" s="722"/>
    </row>
    <row r="226" spans="2:30" ht="17.25" x14ac:dyDescent="0.25">
      <c r="B226" s="778" t="s">
        <v>9140</v>
      </c>
      <c r="C226" s="775" t="s">
        <v>9106</v>
      </c>
      <c r="D226" s="734" t="s">
        <v>6661</v>
      </c>
      <c r="E226" s="734" t="s">
        <v>9122</v>
      </c>
      <c r="F226" s="734" t="s">
        <v>9131</v>
      </c>
      <c r="G226" s="729"/>
      <c r="H226" s="806" t="s">
        <v>9484</v>
      </c>
      <c r="I226" s="730"/>
      <c r="J226" s="724"/>
      <c r="L226" s="778" t="s">
        <v>9140</v>
      </c>
      <c r="M226" s="775" t="s">
        <v>9106</v>
      </c>
      <c r="N226" s="734" t="s">
        <v>6661</v>
      </c>
      <c r="O226" s="734" t="s">
        <v>9122</v>
      </c>
      <c r="P226" s="734" t="s">
        <v>9131</v>
      </c>
      <c r="Q226" s="729"/>
      <c r="R226" s="806" t="s">
        <v>9484</v>
      </c>
      <c r="S226" s="812"/>
      <c r="T226" s="813"/>
      <c r="V226" s="778" t="s">
        <v>9140</v>
      </c>
      <c r="W226" s="775" t="s">
        <v>9106</v>
      </c>
      <c r="X226" s="734" t="s">
        <v>6661</v>
      </c>
      <c r="Y226" s="734" t="s">
        <v>9122</v>
      </c>
      <c r="Z226" s="734" t="s">
        <v>9131</v>
      </c>
      <c r="AA226" s="729"/>
      <c r="AB226" s="806" t="s">
        <v>9484</v>
      </c>
      <c r="AC226" s="812"/>
      <c r="AD226" s="813"/>
    </row>
    <row r="227" spans="2:30" ht="17.25" x14ac:dyDescent="0.25">
      <c r="B227" s="778" t="s">
        <v>9141</v>
      </c>
      <c r="C227" s="775" t="s">
        <v>9107</v>
      </c>
      <c r="D227" s="734" t="s">
        <v>9114</v>
      </c>
      <c r="E227" s="734" t="s">
        <v>9123</v>
      </c>
      <c r="F227" s="734" t="s">
        <v>9132</v>
      </c>
      <c r="G227" s="729"/>
      <c r="H227" s="729"/>
      <c r="I227" s="729"/>
      <c r="J227" s="722"/>
      <c r="L227" s="778" t="s">
        <v>9141</v>
      </c>
      <c r="M227" s="775" t="s">
        <v>9107</v>
      </c>
      <c r="N227" s="734" t="s">
        <v>9114</v>
      </c>
      <c r="O227" s="734" t="s">
        <v>9123</v>
      </c>
      <c r="P227" s="734" t="s">
        <v>9132</v>
      </c>
      <c r="Q227" s="729"/>
      <c r="R227" s="729"/>
      <c r="S227" s="729"/>
      <c r="T227" s="722"/>
      <c r="V227" s="778" t="s">
        <v>9141</v>
      </c>
      <c r="W227" s="775" t="s">
        <v>9107</v>
      </c>
      <c r="X227" s="734" t="s">
        <v>9114</v>
      </c>
      <c r="Y227" s="734" t="s">
        <v>9123</v>
      </c>
      <c r="Z227" s="734" t="s">
        <v>9132</v>
      </c>
      <c r="AA227" s="729"/>
      <c r="AB227" s="729"/>
      <c r="AC227" s="729"/>
      <c r="AD227" s="722"/>
    </row>
    <row r="228" spans="2:30" ht="17.25" x14ac:dyDescent="0.25">
      <c r="B228" s="778" t="s">
        <v>9142</v>
      </c>
      <c r="C228" s="775" t="s">
        <v>9108</v>
      </c>
      <c r="D228" s="734" t="s">
        <v>9115</v>
      </c>
      <c r="E228" s="734" t="s">
        <v>9124</v>
      </c>
      <c r="F228" s="734" t="s">
        <v>9133</v>
      </c>
      <c r="G228" s="729"/>
      <c r="H228" s="729"/>
      <c r="I228" s="729"/>
      <c r="J228" s="722"/>
      <c r="L228" s="778" t="s">
        <v>9142</v>
      </c>
      <c r="M228" s="775" t="s">
        <v>9108</v>
      </c>
      <c r="N228" s="734" t="s">
        <v>9115</v>
      </c>
      <c r="O228" s="734" t="s">
        <v>9124</v>
      </c>
      <c r="P228" s="734" t="s">
        <v>9133</v>
      </c>
      <c r="Q228" s="729"/>
      <c r="R228" s="729"/>
      <c r="S228" s="729"/>
      <c r="T228" s="722"/>
      <c r="V228" s="778" t="s">
        <v>9142</v>
      </c>
      <c r="W228" s="775" t="s">
        <v>9108</v>
      </c>
      <c r="X228" s="734" t="s">
        <v>9115</v>
      </c>
      <c r="Y228" s="734" t="s">
        <v>9124</v>
      </c>
      <c r="Z228" s="734" t="s">
        <v>9133</v>
      </c>
      <c r="AA228" s="729"/>
      <c r="AB228" s="729"/>
      <c r="AC228" s="729"/>
      <c r="AD228" s="722"/>
    </row>
    <row r="229" spans="2:30" ht="17.25" x14ac:dyDescent="0.25">
      <c r="B229" s="778" t="s">
        <v>9143</v>
      </c>
      <c r="C229" s="775" t="s">
        <v>9109</v>
      </c>
      <c r="D229" s="734" t="s">
        <v>9117</v>
      </c>
      <c r="E229" s="734" t="s">
        <v>9125</v>
      </c>
      <c r="F229" s="734" t="s">
        <v>9134</v>
      </c>
      <c r="G229" s="729"/>
      <c r="H229" s="729"/>
      <c r="I229" s="729"/>
      <c r="J229" s="722"/>
      <c r="L229" s="778" t="s">
        <v>9143</v>
      </c>
      <c r="M229" s="775" t="s">
        <v>9109</v>
      </c>
      <c r="N229" s="734" t="s">
        <v>9117</v>
      </c>
      <c r="O229" s="734" t="s">
        <v>9125</v>
      </c>
      <c r="P229" s="734" t="s">
        <v>9134</v>
      </c>
      <c r="Q229" s="729"/>
      <c r="R229" s="729"/>
      <c r="S229" s="729"/>
      <c r="T229" s="722"/>
      <c r="V229" s="778" t="s">
        <v>9143</v>
      </c>
      <c r="W229" s="775" t="s">
        <v>9109</v>
      </c>
      <c r="X229" s="734" t="s">
        <v>9117</v>
      </c>
      <c r="Y229" s="734" t="s">
        <v>9125</v>
      </c>
      <c r="Z229" s="734" t="s">
        <v>9134</v>
      </c>
      <c r="AA229" s="729"/>
      <c r="AB229" s="729"/>
      <c r="AC229" s="729"/>
      <c r="AD229" s="722"/>
    </row>
    <row r="230" spans="2:30" ht="17.25" x14ac:dyDescent="0.25">
      <c r="B230" s="778" t="s">
        <v>9144</v>
      </c>
      <c r="C230" s="775" t="s">
        <v>9137</v>
      </c>
      <c r="D230" s="734" t="s">
        <v>9116</v>
      </c>
      <c r="E230" s="734" t="s">
        <v>9126</v>
      </c>
      <c r="F230" s="734" t="s">
        <v>9135</v>
      </c>
      <c r="G230" s="729"/>
      <c r="H230" s="729"/>
      <c r="I230" s="729"/>
      <c r="J230" s="722"/>
      <c r="L230" s="778" t="s">
        <v>9144</v>
      </c>
      <c r="M230" s="775" t="s">
        <v>9137</v>
      </c>
      <c r="N230" s="734" t="s">
        <v>9116</v>
      </c>
      <c r="O230" s="734" t="s">
        <v>9126</v>
      </c>
      <c r="P230" s="734" t="s">
        <v>9135</v>
      </c>
      <c r="Q230" s="729"/>
      <c r="R230" s="729"/>
      <c r="S230" s="729"/>
      <c r="T230" s="722"/>
      <c r="V230" s="778" t="s">
        <v>9144</v>
      </c>
      <c r="W230" s="775" t="s">
        <v>9137</v>
      </c>
      <c r="X230" s="734" t="s">
        <v>9116</v>
      </c>
      <c r="Y230" s="734" t="s">
        <v>9126</v>
      </c>
      <c r="Z230" s="734" t="s">
        <v>9135</v>
      </c>
      <c r="AA230" s="729"/>
      <c r="AB230" s="729"/>
      <c r="AC230" s="729"/>
      <c r="AD230" s="722"/>
    </row>
    <row r="231" spans="2:30" ht="17.25" x14ac:dyDescent="0.25">
      <c r="B231" s="779" t="s">
        <v>9145</v>
      </c>
      <c r="C231" s="780" t="s">
        <v>9110</v>
      </c>
      <c r="D231" s="781" t="s">
        <v>9118</v>
      </c>
      <c r="E231" s="781" t="s">
        <v>9127</v>
      </c>
      <c r="F231" s="781" t="s">
        <v>9136</v>
      </c>
      <c r="G231" s="730"/>
      <c r="H231" s="730"/>
      <c r="I231" s="730"/>
      <c r="J231" s="724"/>
      <c r="L231" s="779" t="s">
        <v>9145</v>
      </c>
      <c r="M231" s="780" t="s">
        <v>9110</v>
      </c>
      <c r="N231" s="781" t="s">
        <v>9118</v>
      </c>
      <c r="O231" s="781" t="s">
        <v>9127</v>
      </c>
      <c r="P231" s="781" t="s">
        <v>9136</v>
      </c>
      <c r="Q231" s="812"/>
      <c r="R231" s="812"/>
      <c r="S231" s="812"/>
      <c r="T231" s="813"/>
      <c r="V231" s="779" t="s">
        <v>9145</v>
      </c>
      <c r="W231" s="780" t="s">
        <v>9110</v>
      </c>
      <c r="X231" s="781" t="s">
        <v>9118</v>
      </c>
      <c r="Y231" s="781" t="s">
        <v>9127</v>
      </c>
      <c r="Z231" s="781" t="s">
        <v>9136</v>
      </c>
      <c r="AA231" s="812"/>
      <c r="AB231" s="812"/>
      <c r="AC231" s="812"/>
      <c r="AD231" s="813"/>
    </row>
    <row r="233" spans="2:30" x14ac:dyDescent="0.25">
      <c r="B233" s="733" t="s">
        <v>8923</v>
      </c>
      <c r="C233" s="728"/>
      <c r="D233" s="728"/>
      <c r="E233" s="728"/>
      <c r="F233" s="728"/>
      <c r="G233" s="996" t="s">
        <v>9059</v>
      </c>
      <c r="H233" s="995"/>
      <c r="I233" s="995"/>
      <c r="J233" s="997"/>
      <c r="L233" s="733" t="s">
        <v>8923</v>
      </c>
      <c r="M233" s="810"/>
      <c r="N233" s="810"/>
      <c r="O233" s="810"/>
      <c r="P233" s="810"/>
      <c r="Q233" s="996" t="s">
        <v>9059</v>
      </c>
      <c r="R233" s="995"/>
      <c r="S233" s="995"/>
      <c r="T233" s="997"/>
      <c r="V233" s="733" t="s">
        <v>8923</v>
      </c>
      <c r="W233" s="810"/>
      <c r="X233" s="810"/>
      <c r="Y233" s="810"/>
      <c r="Z233" s="810"/>
      <c r="AA233" s="996" t="s">
        <v>9059</v>
      </c>
      <c r="AB233" s="995"/>
      <c r="AC233" s="995"/>
      <c r="AD233" s="997"/>
    </row>
    <row r="234" spans="2:30" x14ac:dyDescent="0.25">
      <c r="B234" s="738" t="s">
        <v>1013</v>
      </c>
      <c r="C234" s="739" t="s">
        <v>8925</v>
      </c>
      <c r="D234" s="739" t="s">
        <v>8926</v>
      </c>
      <c r="E234" s="739" t="s">
        <v>8924</v>
      </c>
      <c r="F234" s="739" t="s">
        <v>8927</v>
      </c>
      <c r="G234" s="738" t="s">
        <v>9060</v>
      </c>
      <c r="H234" s="737" t="s">
        <v>9061</v>
      </c>
      <c r="I234" s="741"/>
      <c r="J234" s="742"/>
      <c r="L234" s="738" t="s">
        <v>1013</v>
      </c>
      <c r="M234" s="809" t="s">
        <v>8925</v>
      </c>
      <c r="N234" s="809" t="s">
        <v>8926</v>
      </c>
      <c r="O234" s="809" t="s">
        <v>8924</v>
      </c>
      <c r="P234" s="809" t="s">
        <v>8927</v>
      </c>
      <c r="Q234" s="738" t="s">
        <v>9060</v>
      </c>
      <c r="R234" s="737" t="s">
        <v>9061</v>
      </c>
      <c r="S234" s="741"/>
      <c r="T234" s="742"/>
      <c r="V234" s="738" t="s">
        <v>1013</v>
      </c>
      <c r="W234" s="809" t="s">
        <v>8925</v>
      </c>
      <c r="X234" s="809" t="s">
        <v>8926</v>
      </c>
      <c r="Y234" s="809" t="s">
        <v>8924</v>
      </c>
      <c r="Z234" s="809" t="s">
        <v>8927</v>
      </c>
      <c r="AA234" s="738" t="s">
        <v>9060</v>
      </c>
      <c r="AB234" s="737" t="s">
        <v>9061</v>
      </c>
      <c r="AC234" s="741"/>
      <c r="AD234" s="742"/>
    </row>
    <row r="235" spans="2:30" x14ac:dyDescent="0.25">
      <c r="B235" s="726" t="s">
        <v>8930</v>
      </c>
      <c r="C235" s="762" t="s">
        <v>8928</v>
      </c>
      <c r="D235" s="762" t="s">
        <v>8929</v>
      </c>
      <c r="E235" s="762">
        <v>1</v>
      </c>
      <c r="F235" s="729" t="s">
        <v>8931</v>
      </c>
      <c r="G235" s="729" t="s">
        <v>8933</v>
      </c>
      <c r="H235" s="729" t="s">
        <v>8932</v>
      </c>
      <c r="I235" s="729"/>
      <c r="J235" s="722"/>
      <c r="L235" s="726" t="s">
        <v>8930</v>
      </c>
      <c r="M235" s="762" t="s">
        <v>8928</v>
      </c>
      <c r="N235" s="762" t="s">
        <v>8929</v>
      </c>
      <c r="O235" s="762">
        <v>1</v>
      </c>
      <c r="P235" s="729" t="s">
        <v>8931</v>
      </c>
      <c r="Q235" s="729" t="s">
        <v>8933</v>
      </c>
      <c r="R235" s="729" t="s">
        <v>8932</v>
      </c>
      <c r="S235" s="729"/>
      <c r="T235" s="722"/>
      <c r="V235" s="726" t="s">
        <v>8930</v>
      </c>
      <c r="W235" s="762" t="s">
        <v>8928</v>
      </c>
      <c r="X235" s="762" t="s">
        <v>8929</v>
      </c>
      <c r="Y235" s="762">
        <v>1</v>
      </c>
      <c r="Z235" s="729" t="s">
        <v>8931</v>
      </c>
      <c r="AA235" s="729" t="s">
        <v>8933</v>
      </c>
      <c r="AB235" s="729" t="s">
        <v>8932</v>
      </c>
      <c r="AC235" s="729"/>
      <c r="AD235" s="722"/>
    </row>
    <row r="236" spans="2:30" x14ac:dyDescent="0.25">
      <c r="B236" s="726" t="s">
        <v>8936</v>
      </c>
      <c r="C236" s="762" t="s">
        <v>8934</v>
      </c>
      <c r="D236" s="762" t="s">
        <v>8935</v>
      </c>
      <c r="E236" s="762">
        <v>2</v>
      </c>
      <c r="F236" s="729" t="s">
        <v>8937</v>
      </c>
      <c r="G236" s="729" t="s">
        <v>8939</v>
      </c>
      <c r="H236" s="729" t="s">
        <v>8938</v>
      </c>
      <c r="I236" s="729"/>
      <c r="J236" s="722"/>
      <c r="L236" s="726" t="s">
        <v>8936</v>
      </c>
      <c r="M236" s="762" t="s">
        <v>8934</v>
      </c>
      <c r="N236" s="762" t="s">
        <v>8935</v>
      </c>
      <c r="O236" s="762">
        <v>2</v>
      </c>
      <c r="P236" s="729" t="s">
        <v>8937</v>
      </c>
      <c r="Q236" s="729" t="s">
        <v>8939</v>
      </c>
      <c r="R236" s="729" t="s">
        <v>8938</v>
      </c>
      <c r="S236" s="729"/>
      <c r="T236" s="722"/>
      <c r="V236" s="726" t="s">
        <v>8936</v>
      </c>
      <c r="W236" s="762" t="s">
        <v>8934</v>
      </c>
      <c r="X236" s="762" t="s">
        <v>8935</v>
      </c>
      <c r="Y236" s="762">
        <v>2</v>
      </c>
      <c r="Z236" s="729" t="s">
        <v>8937</v>
      </c>
      <c r="AA236" s="729" t="s">
        <v>8939</v>
      </c>
      <c r="AB236" s="729" t="s">
        <v>8938</v>
      </c>
      <c r="AC236" s="729"/>
      <c r="AD236" s="722"/>
    </row>
    <row r="237" spans="2:30" x14ac:dyDescent="0.25">
      <c r="B237" s="726" t="s">
        <v>8942</v>
      </c>
      <c r="C237" s="762" t="s">
        <v>8940</v>
      </c>
      <c r="D237" s="762" t="s">
        <v>8941</v>
      </c>
      <c r="E237" s="762">
        <v>3</v>
      </c>
      <c r="F237" s="729" t="s">
        <v>8943</v>
      </c>
      <c r="G237" s="729" t="s">
        <v>8945</v>
      </c>
      <c r="H237" s="729" t="s">
        <v>8944</v>
      </c>
      <c r="I237" s="729"/>
      <c r="J237" s="722"/>
      <c r="L237" s="726" t="s">
        <v>8942</v>
      </c>
      <c r="M237" s="762" t="s">
        <v>8940</v>
      </c>
      <c r="N237" s="762" t="s">
        <v>8941</v>
      </c>
      <c r="O237" s="762">
        <v>3</v>
      </c>
      <c r="P237" s="729" t="s">
        <v>8943</v>
      </c>
      <c r="Q237" s="729" t="s">
        <v>8945</v>
      </c>
      <c r="R237" s="729" t="s">
        <v>8944</v>
      </c>
      <c r="S237" s="729"/>
      <c r="T237" s="722"/>
      <c r="V237" s="726" t="s">
        <v>8942</v>
      </c>
      <c r="W237" s="762" t="s">
        <v>8940</v>
      </c>
      <c r="X237" s="762" t="s">
        <v>8941</v>
      </c>
      <c r="Y237" s="762">
        <v>3</v>
      </c>
      <c r="Z237" s="729" t="s">
        <v>8943</v>
      </c>
      <c r="AA237" s="729" t="s">
        <v>8945</v>
      </c>
      <c r="AB237" s="729" t="s">
        <v>8944</v>
      </c>
      <c r="AC237" s="729"/>
      <c r="AD237" s="722"/>
    </row>
    <row r="238" spans="2:30" x14ac:dyDescent="0.25">
      <c r="B238" s="726" t="s">
        <v>8948</v>
      </c>
      <c r="C238" s="762" t="s">
        <v>8946</v>
      </c>
      <c r="D238" s="762" t="s">
        <v>8947</v>
      </c>
      <c r="E238" s="762">
        <v>4</v>
      </c>
      <c r="F238" s="729" t="s">
        <v>8949</v>
      </c>
      <c r="G238" s="729" t="s">
        <v>8951</v>
      </c>
      <c r="H238" s="729" t="s">
        <v>8950</v>
      </c>
      <c r="I238" s="729"/>
      <c r="J238" s="722"/>
      <c r="L238" s="726" t="s">
        <v>8948</v>
      </c>
      <c r="M238" s="762" t="s">
        <v>8946</v>
      </c>
      <c r="N238" s="762" t="s">
        <v>8947</v>
      </c>
      <c r="O238" s="762">
        <v>4</v>
      </c>
      <c r="P238" s="729" t="s">
        <v>8949</v>
      </c>
      <c r="Q238" s="729" t="s">
        <v>8951</v>
      </c>
      <c r="R238" s="729" t="s">
        <v>8950</v>
      </c>
      <c r="S238" s="729"/>
      <c r="T238" s="722"/>
      <c r="V238" s="726" t="s">
        <v>8948</v>
      </c>
      <c r="W238" s="762" t="s">
        <v>8946</v>
      </c>
      <c r="X238" s="762" t="s">
        <v>8947</v>
      </c>
      <c r="Y238" s="762">
        <v>4</v>
      </c>
      <c r="Z238" s="729" t="s">
        <v>8949</v>
      </c>
      <c r="AA238" s="729" t="s">
        <v>8951</v>
      </c>
      <c r="AB238" s="729" t="s">
        <v>8950</v>
      </c>
      <c r="AC238" s="729"/>
      <c r="AD238" s="722"/>
    </row>
    <row r="239" spans="2:30" x14ac:dyDescent="0.25">
      <c r="B239" s="726" t="s">
        <v>8954</v>
      </c>
      <c r="C239" s="762" t="s">
        <v>8952</v>
      </c>
      <c r="D239" s="762" t="s">
        <v>8953</v>
      </c>
      <c r="E239" s="762">
        <v>5</v>
      </c>
      <c r="F239" s="729" t="s">
        <v>8955</v>
      </c>
      <c r="G239" s="729" t="s">
        <v>8957</v>
      </c>
      <c r="H239" s="729" t="s">
        <v>8956</v>
      </c>
      <c r="I239" s="729"/>
      <c r="J239" s="722"/>
      <c r="L239" s="726" t="s">
        <v>8954</v>
      </c>
      <c r="M239" s="762" t="s">
        <v>8952</v>
      </c>
      <c r="N239" s="762" t="s">
        <v>8953</v>
      </c>
      <c r="O239" s="762">
        <v>5</v>
      </c>
      <c r="P239" s="729" t="s">
        <v>8955</v>
      </c>
      <c r="Q239" s="729" t="s">
        <v>8957</v>
      </c>
      <c r="R239" s="729" t="s">
        <v>8956</v>
      </c>
      <c r="S239" s="729"/>
      <c r="T239" s="722"/>
      <c r="V239" s="726" t="s">
        <v>8954</v>
      </c>
      <c r="W239" s="762" t="s">
        <v>8952</v>
      </c>
      <c r="X239" s="762" t="s">
        <v>8953</v>
      </c>
      <c r="Y239" s="762">
        <v>5</v>
      </c>
      <c r="Z239" s="729" t="s">
        <v>8955</v>
      </c>
      <c r="AA239" s="729" t="s">
        <v>8957</v>
      </c>
      <c r="AB239" s="729" t="s">
        <v>8956</v>
      </c>
      <c r="AC239" s="729"/>
      <c r="AD239" s="722"/>
    </row>
    <row r="240" spans="2:30" x14ac:dyDescent="0.25">
      <c r="B240" s="726" t="s">
        <v>8960</v>
      </c>
      <c r="C240" s="762" t="s">
        <v>8958</v>
      </c>
      <c r="D240" s="762" t="s">
        <v>8959</v>
      </c>
      <c r="E240" s="762">
        <v>6</v>
      </c>
      <c r="F240" s="729" t="s">
        <v>8961</v>
      </c>
      <c r="G240" s="729" t="s">
        <v>8963</v>
      </c>
      <c r="H240" s="729" t="s">
        <v>8962</v>
      </c>
      <c r="I240" s="729"/>
      <c r="J240" s="722"/>
      <c r="L240" s="726" t="s">
        <v>8960</v>
      </c>
      <c r="M240" s="762" t="s">
        <v>8958</v>
      </c>
      <c r="N240" s="762" t="s">
        <v>8959</v>
      </c>
      <c r="O240" s="762">
        <v>6</v>
      </c>
      <c r="P240" s="729" t="s">
        <v>8961</v>
      </c>
      <c r="Q240" s="729" t="s">
        <v>8963</v>
      </c>
      <c r="R240" s="729" t="s">
        <v>8962</v>
      </c>
      <c r="S240" s="729"/>
      <c r="T240" s="722"/>
      <c r="V240" s="726" t="s">
        <v>8960</v>
      </c>
      <c r="W240" s="762" t="s">
        <v>8958</v>
      </c>
      <c r="X240" s="762" t="s">
        <v>8959</v>
      </c>
      <c r="Y240" s="762">
        <v>6</v>
      </c>
      <c r="Z240" s="729" t="s">
        <v>8961</v>
      </c>
      <c r="AA240" s="729" t="s">
        <v>8963</v>
      </c>
      <c r="AB240" s="729" t="s">
        <v>8962</v>
      </c>
      <c r="AC240" s="729"/>
      <c r="AD240" s="722"/>
    </row>
    <row r="241" spans="2:30" x14ac:dyDescent="0.25">
      <c r="B241" s="726" t="s">
        <v>8966</v>
      </c>
      <c r="C241" s="762" t="s">
        <v>8964</v>
      </c>
      <c r="D241" s="762" t="s">
        <v>8965</v>
      </c>
      <c r="E241" s="762">
        <v>7</v>
      </c>
      <c r="F241" s="729" t="s">
        <v>8967</v>
      </c>
      <c r="G241" s="729" t="s">
        <v>8969</v>
      </c>
      <c r="H241" s="729" t="s">
        <v>8968</v>
      </c>
      <c r="I241" s="729"/>
      <c r="J241" s="722"/>
      <c r="L241" s="726" t="s">
        <v>8966</v>
      </c>
      <c r="M241" s="762" t="s">
        <v>8964</v>
      </c>
      <c r="N241" s="762" t="s">
        <v>8965</v>
      </c>
      <c r="O241" s="762">
        <v>7</v>
      </c>
      <c r="P241" s="729" t="s">
        <v>8967</v>
      </c>
      <c r="Q241" s="729" t="s">
        <v>8969</v>
      </c>
      <c r="R241" s="729" t="s">
        <v>8968</v>
      </c>
      <c r="S241" s="729"/>
      <c r="T241" s="722"/>
      <c r="V241" s="726" t="s">
        <v>8966</v>
      </c>
      <c r="W241" s="762" t="s">
        <v>8964</v>
      </c>
      <c r="X241" s="762" t="s">
        <v>8965</v>
      </c>
      <c r="Y241" s="762">
        <v>7</v>
      </c>
      <c r="Z241" s="729" t="s">
        <v>8967</v>
      </c>
      <c r="AA241" s="729" t="s">
        <v>8969</v>
      </c>
      <c r="AB241" s="729" t="s">
        <v>8968</v>
      </c>
      <c r="AC241" s="729"/>
      <c r="AD241" s="722"/>
    </row>
    <row r="242" spans="2:30" x14ac:dyDescent="0.25">
      <c r="B242" s="726" t="s">
        <v>8972</v>
      </c>
      <c r="C242" s="762" t="s">
        <v>8970</v>
      </c>
      <c r="D242" s="762" t="s">
        <v>8971</v>
      </c>
      <c r="E242" s="762">
        <v>8</v>
      </c>
      <c r="F242" s="729" t="s">
        <v>8973</v>
      </c>
      <c r="G242" s="729" t="s">
        <v>8975</v>
      </c>
      <c r="H242" s="729" t="s">
        <v>8974</v>
      </c>
      <c r="I242" s="729"/>
      <c r="J242" s="722"/>
      <c r="L242" s="726" t="s">
        <v>8972</v>
      </c>
      <c r="M242" s="762" t="s">
        <v>8970</v>
      </c>
      <c r="N242" s="762" t="s">
        <v>8971</v>
      </c>
      <c r="O242" s="762">
        <v>8</v>
      </c>
      <c r="P242" s="729" t="s">
        <v>8973</v>
      </c>
      <c r="Q242" s="729" t="s">
        <v>8975</v>
      </c>
      <c r="R242" s="729" t="s">
        <v>8974</v>
      </c>
      <c r="S242" s="729"/>
      <c r="T242" s="722"/>
      <c r="V242" s="726" t="s">
        <v>8972</v>
      </c>
      <c r="W242" s="762" t="s">
        <v>8970</v>
      </c>
      <c r="X242" s="762" t="s">
        <v>8971</v>
      </c>
      <c r="Y242" s="762">
        <v>8</v>
      </c>
      <c r="Z242" s="729" t="s">
        <v>8973</v>
      </c>
      <c r="AA242" s="729" t="s">
        <v>8975</v>
      </c>
      <c r="AB242" s="729" t="s">
        <v>8974</v>
      </c>
      <c r="AC242" s="729"/>
      <c r="AD242" s="722"/>
    </row>
    <row r="243" spans="2:30" x14ac:dyDescent="0.25">
      <c r="B243" s="726" t="s">
        <v>8978</v>
      </c>
      <c r="C243" s="762" t="s">
        <v>8976</v>
      </c>
      <c r="D243" s="762" t="s">
        <v>8977</v>
      </c>
      <c r="E243" s="762">
        <v>9</v>
      </c>
      <c r="F243" s="729" t="s">
        <v>8979</v>
      </c>
      <c r="G243" s="729" t="s">
        <v>8969</v>
      </c>
      <c r="H243" s="729" t="s">
        <v>8980</v>
      </c>
      <c r="I243" s="729"/>
      <c r="J243" s="722"/>
      <c r="L243" s="726" t="s">
        <v>8978</v>
      </c>
      <c r="M243" s="762" t="s">
        <v>8976</v>
      </c>
      <c r="N243" s="762" t="s">
        <v>8977</v>
      </c>
      <c r="O243" s="762">
        <v>9</v>
      </c>
      <c r="P243" s="729" t="s">
        <v>8979</v>
      </c>
      <c r="Q243" s="729" t="s">
        <v>8969</v>
      </c>
      <c r="R243" s="729" t="s">
        <v>8980</v>
      </c>
      <c r="S243" s="729"/>
      <c r="T243" s="722"/>
      <c r="V243" s="726" t="s">
        <v>8978</v>
      </c>
      <c r="W243" s="762" t="s">
        <v>8976</v>
      </c>
      <c r="X243" s="762" t="s">
        <v>8977</v>
      </c>
      <c r="Y243" s="762">
        <v>9</v>
      </c>
      <c r="Z243" s="729" t="s">
        <v>8979</v>
      </c>
      <c r="AA243" s="729" t="s">
        <v>8969</v>
      </c>
      <c r="AB243" s="729" t="s">
        <v>8980</v>
      </c>
      <c r="AC243" s="729"/>
      <c r="AD243" s="722"/>
    </row>
    <row r="244" spans="2:30" x14ac:dyDescent="0.25">
      <c r="B244" s="726" t="s">
        <v>116</v>
      </c>
      <c r="C244" s="762" t="s">
        <v>8981</v>
      </c>
      <c r="D244" s="762" t="s">
        <v>8982</v>
      </c>
      <c r="E244" s="762">
        <v>10</v>
      </c>
      <c r="F244" s="729" t="s">
        <v>8983</v>
      </c>
      <c r="G244" s="729" t="s">
        <v>8985</v>
      </c>
      <c r="H244" s="729" t="s">
        <v>8984</v>
      </c>
      <c r="I244" s="729"/>
      <c r="J244" s="722"/>
      <c r="L244" s="726" t="s">
        <v>116</v>
      </c>
      <c r="M244" s="762" t="s">
        <v>8981</v>
      </c>
      <c r="N244" s="762" t="s">
        <v>8982</v>
      </c>
      <c r="O244" s="762">
        <v>10</v>
      </c>
      <c r="P244" s="729" t="s">
        <v>8983</v>
      </c>
      <c r="Q244" s="729" t="s">
        <v>8985</v>
      </c>
      <c r="R244" s="729" t="s">
        <v>8984</v>
      </c>
      <c r="S244" s="729"/>
      <c r="T244" s="722"/>
      <c r="V244" s="726" t="s">
        <v>116</v>
      </c>
      <c r="W244" s="762" t="s">
        <v>8981</v>
      </c>
      <c r="X244" s="762" t="s">
        <v>8982</v>
      </c>
      <c r="Y244" s="762">
        <v>10</v>
      </c>
      <c r="Z244" s="729" t="s">
        <v>8983</v>
      </c>
      <c r="AA244" s="729" t="s">
        <v>8985</v>
      </c>
      <c r="AB244" s="729" t="s">
        <v>8984</v>
      </c>
      <c r="AC244" s="729"/>
      <c r="AD244" s="722"/>
    </row>
    <row r="245" spans="2:30" x14ac:dyDescent="0.25">
      <c r="B245" s="726" t="s">
        <v>8988</v>
      </c>
      <c r="C245" s="762" t="s">
        <v>8986</v>
      </c>
      <c r="D245" s="762" t="s">
        <v>8987</v>
      </c>
      <c r="E245" s="762">
        <v>11</v>
      </c>
      <c r="F245" s="729" t="s">
        <v>8989</v>
      </c>
      <c r="G245" s="729" t="s">
        <v>8990</v>
      </c>
      <c r="H245" s="729" t="s">
        <v>8990</v>
      </c>
      <c r="I245" s="729"/>
      <c r="J245" s="722"/>
      <c r="L245" s="726" t="s">
        <v>8988</v>
      </c>
      <c r="M245" s="762" t="s">
        <v>8986</v>
      </c>
      <c r="N245" s="762" t="s">
        <v>8987</v>
      </c>
      <c r="O245" s="762">
        <v>11</v>
      </c>
      <c r="P245" s="729" t="s">
        <v>8989</v>
      </c>
      <c r="Q245" s="729" t="s">
        <v>8990</v>
      </c>
      <c r="R245" s="729" t="s">
        <v>8990</v>
      </c>
      <c r="S245" s="729"/>
      <c r="T245" s="722"/>
      <c r="V245" s="726" t="s">
        <v>8988</v>
      </c>
      <c r="W245" s="762" t="s">
        <v>8986</v>
      </c>
      <c r="X245" s="762" t="s">
        <v>8987</v>
      </c>
      <c r="Y245" s="762">
        <v>11</v>
      </c>
      <c r="Z245" s="729" t="s">
        <v>8989</v>
      </c>
      <c r="AA245" s="729" t="s">
        <v>8990</v>
      </c>
      <c r="AB245" s="729" t="s">
        <v>8990</v>
      </c>
      <c r="AC245" s="729"/>
      <c r="AD245" s="722"/>
    </row>
    <row r="246" spans="2:30" x14ac:dyDescent="0.25">
      <c r="B246" s="726" t="s">
        <v>1478</v>
      </c>
      <c r="C246" s="762" t="s">
        <v>8991</v>
      </c>
      <c r="D246" s="762" t="s">
        <v>8992</v>
      </c>
      <c r="E246" s="762">
        <v>12</v>
      </c>
      <c r="F246" s="729" t="s">
        <v>8993</v>
      </c>
      <c r="G246" s="729" t="s">
        <v>8994</v>
      </c>
      <c r="H246" s="729" t="s">
        <v>8994</v>
      </c>
      <c r="I246" s="729"/>
      <c r="J246" s="722"/>
      <c r="L246" s="726" t="s">
        <v>1478</v>
      </c>
      <c r="M246" s="762" t="s">
        <v>8991</v>
      </c>
      <c r="N246" s="762" t="s">
        <v>8992</v>
      </c>
      <c r="O246" s="762">
        <v>12</v>
      </c>
      <c r="P246" s="729" t="s">
        <v>8993</v>
      </c>
      <c r="Q246" s="729" t="s">
        <v>8994</v>
      </c>
      <c r="R246" s="729" t="s">
        <v>8994</v>
      </c>
      <c r="S246" s="729"/>
      <c r="T246" s="722"/>
      <c r="V246" s="726" t="s">
        <v>1478</v>
      </c>
      <c r="W246" s="762" t="s">
        <v>8991</v>
      </c>
      <c r="X246" s="762" t="s">
        <v>8992</v>
      </c>
      <c r="Y246" s="762">
        <v>12</v>
      </c>
      <c r="Z246" s="729" t="s">
        <v>8993</v>
      </c>
      <c r="AA246" s="729" t="s">
        <v>8994</v>
      </c>
      <c r="AB246" s="729" t="s">
        <v>8994</v>
      </c>
      <c r="AC246" s="729"/>
      <c r="AD246" s="722"/>
    </row>
    <row r="247" spans="2:30" x14ac:dyDescent="0.25">
      <c r="B247" s="726" t="s">
        <v>8997</v>
      </c>
      <c r="C247" s="762" t="s">
        <v>8995</v>
      </c>
      <c r="D247" s="762" t="s">
        <v>8996</v>
      </c>
      <c r="E247" s="762">
        <v>13</v>
      </c>
      <c r="F247" s="729" t="s">
        <v>8998</v>
      </c>
      <c r="G247" s="729" t="s">
        <v>8999</v>
      </c>
      <c r="H247" s="729" t="s">
        <v>8999</v>
      </c>
      <c r="I247" s="729"/>
      <c r="J247" s="722"/>
      <c r="L247" s="726" t="s">
        <v>8997</v>
      </c>
      <c r="M247" s="762" t="s">
        <v>8995</v>
      </c>
      <c r="N247" s="762" t="s">
        <v>8996</v>
      </c>
      <c r="O247" s="762">
        <v>13</v>
      </c>
      <c r="P247" s="729" t="s">
        <v>8998</v>
      </c>
      <c r="Q247" s="729" t="s">
        <v>8999</v>
      </c>
      <c r="R247" s="729" t="s">
        <v>8999</v>
      </c>
      <c r="S247" s="729"/>
      <c r="T247" s="722"/>
      <c r="V247" s="726" t="s">
        <v>8997</v>
      </c>
      <c r="W247" s="762" t="s">
        <v>8995</v>
      </c>
      <c r="X247" s="762" t="s">
        <v>8996</v>
      </c>
      <c r="Y247" s="762">
        <v>13</v>
      </c>
      <c r="Z247" s="729" t="s">
        <v>8998</v>
      </c>
      <c r="AA247" s="729" t="s">
        <v>8999</v>
      </c>
      <c r="AB247" s="729" t="s">
        <v>8999</v>
      </c>
      <c r="AC247" s="729"/>
      <c r="AD247" s="722"/>
    </row>
    <row r="248" spans="2:30" x14ac:dyDescent="0.25">
      <c r="B248" s="726" t="s">
        <v>9002</v>
      </c>
      <c r="C248" s="762" t="s">
        <v>9000</v>
      </c>
      <c r="D248" s="762" t="s">
        <v>9001</v>
      </c>
      <c r="E248" s="762">
        <v>14</v>
      </c>
      <c r="F248" s="729" t="s">
        <v>9003</v>
      </c>
      <c r="G248" s="729" t="s">
        <v>9004</v>
      </c>
      <c r="H248" s="729" t="s">
        <v>9004</v>
      </c>
      <c r="I248" s="729"/>
      <c r="J248" s="722"/>
      <c r="L248" s="726" t="s">
        <v>9002</v>
      </c>
      <c r="M248" s="762" t="s">
        <v>9000</v>
      </c>
      <c r="N248" s="762" t="s">
        <v>9001</v>
      </c>
      <c r="O248" s="762">
        <v>14</v>
      </c>
      <c r="P248" s="729" t="s">
        <v>9003</v>
      </c>
      <c r="Q248" s="729" t="s">
        <v>9004</v>
      </c>
      <c r="R248" s="729" t="s">
        <v>9004</v>
      </c>
      <c r="S248" s="729"/>
      <c r="T248" s="722"/>
      <c r="V248" s="726" t="s">
        <v>9002</v>
      </c>
      <c r="W248" s="762" t="s">
        <v>9000</v>
      </c>
      <c r="X248" s="762" t="s">
        <v>9001</v>
      </c>
      <c r="Y248" s="762">
        <v>14</v>
      </c>
      <c r="Z248" s="729" t="s">
        <v>9003</v>
      </c>
      <c r="AA248" s="729" t="s">
        <v>9004</v>
      </c>
      <c r="AB248" s="729" t="s">
        <v>9004</v>
      </c>
      <c r="AC248" s="729"/>
      <c r="AD248" s="722"/>
    </row>
    <row r="249" spans="2:30" x14ac:dyDescent="0.25">
      <c r="B249" s="726" t="s">
        <v>9007</v>
      </c>
      <c r="C249" s="762" t="s">
        <v>9005</v>
      </c>
      <c r="D249" s="762" t="s">
        <v>9006</v>
      </c>
      <c r="E249" s="762">
        <v>15</v>
      </c>
      <c r="F249" s="729" t="s">
        <v>9008</v>
      </c>
      <c r="G249" s="729" t="s">
        <v>9010</v>
      </c>
      <c r="H249" s="729" t="s">
        <v>9009</v>
      </c>
      <c r="I249" s="729"/>
      <c r="J249" s="722"/>
      <c r="L249" s="726" t="s">
        <v>9007</v>
      </c>
      <c r="M249" s="762" t="s">
        <v>9005</v>
      </c>
      <c r="N249" s="762" t="s">
        <v>9006</v>
      </c>
      <c r="O249" s="762">
        <v>15</v>
      </c>
      <c r="P249" s="729" t="s">
        <v>9008</v>
      </c>
      <c r="Q249" s="729" t="s">
        <v>9010</v>
      </c>
      <c r="R249" s="729" t="s">
        <v>9009</v>
      </c>
      <c r="S249" s="729"/>
      <c r="T249" s="722"/>
      <c r="V249" s="726" t="s">
        <v>9007</v>
      </c>
      <c r="W249" s="762" t="s">
        <v>9005</v>
      </c>
      <c r="X249" s="762" t="s">
        <v>9006</v>
      </c>
      <c r="Y249" s="762">
        <v>15</v>
      </c>
      <c r="Z249" s="729" t="s">
        <v>9008</v>
      </c>
      <c r="AA249" s="729" t="s">
        <v>9010</v>
      </c>
      <c r="AB249" s="729" t="s">
        <v>9009</v>
      </c>
      <c r="AC249" s="729"/>
      <c r="AD249" s="722"/>
    </row>
    <row r="250" spans="2:30" x14ac:dyDescent="0.25">
      <c r="B250" s="726" t="s">
        <v>9013</v>
      </c>
      <c r="C250" s="762" t="s">
        <v>9011</v>
      </c>
      <c r="D250" s="762" t="s">
        <v>9012</v>
      </c>
      <c r="E250" s="762">
        <v>16</v>
      </c>
      <c r="F250" s="729" t="s">
        <v>9014</v>
      </c>
      <c r="G250" s="729" t="s">
        <v>9015</v>
      </c>
      <c r="H250" s="729" t="s">
        <v>9015</v>
      </c>
      <c r="I250" s="729"/>
      <c r="J250" s="722"/>
      <c r="L250" s="726" t="s">
        <v>9013</v>
      </c>
      <c r="M250" s="762" t="s">
        <v>9011</v>
      </c>
      <c r="N250" s="762" t="s">
        <v>9012</v>
      </c>
      <c r="O250" s="762">
        <v>16</v>
      </c>
      <c r="P250" s="729" t="s">
        <v>9014</v>
      </c>
      <c r="Q250" s="729" t="s">
        <v>9015</v>
      </c>
      <c r="R250" s="729" t="s">
        <v>9015</v>
      </c>
      <c r="S250" s="729"/>
      <c r="T250" s="722"/>
      <c r="V250" s="726" t="s">
        <v>9013</v>
      </c>
      <c r="W250" s="762" t="s">
        <v>9011</v>
      </c>
      <c r="X250" s="762" t="s">
        <v>9012</v>
      </c>
      <c r="Y250" s="762">
        <v>16</v>
      </c>
      <c r="Z250" s="729" t="s">
        <v>9014</v>
      </c>
      <c r="AA250" s="729" t="s">
        <v>9015</v>
      </c>
      <c r="AB250" s="729" t="s">
        <v>9015</v>
      </c>
      <c r="AC250" s="729"/>
      <c r="AD250" s="722"/>
    </row>
    <row r="251" spans="2:30" x14ac:dyDescent="0.25">
      <c r="B251" s="726" t="s">
        <v>9018</v>
      </c>
      <c r="C251" s="762" t="s">
        <v>9016</v>
      </c>
      <c r="D251" s="762" t="s">
        <v>9017</v>
      </c>
      <c r="E251" s="762">
        <v>17</v>
      </c>
      <c r="F251" s="729" t="s">
        <v>9019</v>
      </c>
      <c r="G251" s="729" t="s">
        <v>9020</v>
      </c>
      <c r="H251" s="729" t="s">
        <v>9020</v>
      </c>
      <c r="I251" s="729"/>
      <c r="J251" s="722"/>
      <c r="L251" s="726" t="s">
        <v>9018</v>
      </c>
      <c r="M251" s="762" t="s">
        <v>9016</v>
      </c>
      <c r="N251" s="762" t="s">
        <v>9017</v>
      </c>
      <c r="O251" s="762">
        <v>17</v>
      </c>
      <c r="P251" s="729" t="s">
        <v>9019</v>
      </c>
      <c r="Q251" s="729" t="s">
        <v>9020</v>
      </c>
      <c r="R251" s="729" t="s">
        <v>9020</v>
      </c>
      <c r="S251" s="729"/>
      <c r="T251" s="722"/>
      <c r="V251" s="726" t="s">
        <v>9018</v>
      </c>
      <c r="W251" s="762" t="s">
        <v>9016</v>
      </c>
      <c r="X251" s="762" t="s">
        <v>9017</v>
      </c>
      <c r="Y251" s="762">
        <v>17</v>
      </c>
      <c r="Z251" s="729" t="s">
        <v>9019</v>
      </c>
      <c r="AA251" s="729" t="s">
        <v>9020</v>
      </c>
      <c r="AB251" s="729" t="s">
        <v>9020</v>
      </c>
      <c r="AC251" s="729"/>
      <c r="AD251" s="722"/>
    </row>
    <row r="252" spans="2:30" x14ac:dyDescent="0.25">
      <c r="B252" s="726" t="s">
        <v>9023</v>
      </c>
      <c r="C252" s="762" t="s">
        <v>9021</v>
      </c>
      <c r="D252" s="762" t="s">
        <v>9022</v>
      </c>
      <c r="E252" s="762">
        <v>18</v>
      </c>
      <c r="F252" s="729" t="s">
        <v>9024</v>
      </c>
      <c r="G252" s="729" t="s">
        <v>9025</v>
      </c>
      <c r="H252" s="729" t="s">
        <v>9025</v>
      </c>
      <c r="I252" s="729"/>
      <c r="J252" s="722"/>
      <c r="L252" s="726" t="s">
        <v>9023</v>
      </c>
      <c r="M252" s="762" t="s">
        <v>9021</v>
      </c>
      <c r="N252" s="762" t="s">
        <v>9022</v>
      </c>
      <c r="O252" s="762">
        <v>18</v>
      </c>
      <c r="P252" s="729" t="s">
        <v>9024</v>
      </c>
      <c r="Q252" s="729" t="s">
        <v>9025</v>
      </c>
      <c r="R252" s="729" t="s">
        <v>9025</v>
      </c>
      <c r="S252" s="729"/>
      <c r="T252" s="722"/>
      <c r="V252" s="726" t="s">
        <v>9023</v>
      </c>
      <c r="W252" s="762" t="s">
        <v>9021</v>
      </c>
      <c r="X252" s="762" t="s">
        <v>9022</v>
      </c>
      <c r="Y252" s="762">
        <v>18</v>
      </c>
      <c r="Z252" s="729" t="s">
        <v>9024</v>
      </c>
      <c r="AA252" s="729" t="s">
        <v>9025</v>
      </c>
      <c r="AB252" s="729" t="s">
        <v>9025</v>
      </c>
      <c r="AC252" s="729"/>
      <c r="AD252" s="722"/>
    </row>
    <row r="253" spans="2:30" x14ac:dyDescent="0.25">
      <c r="B253" s="726" t="s">
        <v>9028</v>
      </c>
      <c r="C253" s="762" t="s">
        <v>9026</v>
      </c>
      <c r="D253" s="762" t="s">
        <v>9027</v>
      </c>
      <c r="E253" s="762">
        <v>19</v>
      </c>
      <c r="F253" s="729" t="s">
        <v>9029</v>
      </c>
      <c r="G253" s="729" t="s">
        <v>9030</v>
      </c>
      <c r="H253" s="729" t="s">
        <v>9030</v>
      </c>
      <c r="I253" s="729"/>
      <c r="J253" s="722"/>
      <c r="L253" s="726" t="s">
        <v>9028</v>
      </c>
      <c r="M253" s="762" t="s">
        <v>9026</v>
      </c>
      <c r="N253" s="762" t="s">
        <v>9027</v>
      </c>
      <c r="O253" s="762">
        <v>19</v>
      </c>
      <c r="P253" s="729" t="s">
        <v>9029</v>
      </c>
      <c r="Q253" s="729" t="s">
        <v>9030</v>
      </c>
      <c r="R253" s="729" t="s">
        <v>9030</v>
      </c>
      <c r="S253" s="729"/>
      <c r="T253" s="722"/>
      <c r="V253" s="726" t="s">
        <v>9028</v>
      </c>
      <c r="W253" s="762" t="s">
        <v>9026</v>
      </c>
      <c r="X253" s="762" t="s">
        <v>9027</v>
      </c>
      <c r="Y253" s="762">
        <v>19</v>
      </c>
      <c r="Z253" s="729" t="s">
        <v>9029</v>
      </c>
      <c r="AA253" s="729" t="s">
        <v>9030</v>
      </c>
      <c r="AB253" s="729" t="s">
        <v>9030</v>
      </c>
      <c r="AC253" s="729"/>
      <c r="AD253" s="722"/>
    </row>
    <row r="254" spans="2:30" x14ac:dyDescent="0.25">
      <c r="B254" s="726" t="s">
        <v>9033</v>
      </c>
      <c r="C254" s="762" t="s">
        <v>9031</v>
      </c>
      <c r="D254" s="762" t="s">
        <v>9032</v>
      </c>
      <c r="E254" s="762">
        <v>20</v>
      </c>
      <c r="F254" s="729" t="s">
        <v>9034</v>
      </c>
      <c r="G254" s="729" t="s">
        <v>8969</v>
      </c>
      <c r="H254" s="729" t="s">
        <v>9035</v>
      </c>
      <c r="I254" s="729"/>
      <c r="J254" s="722"/>
      <c r="L254" s="726" t="s">
        <v>9033</v>
      </c>
      <c r="M254" s="762" t="s">
        <v>9031</v>
      </c>
      <c r="N254" s="762" t="s">
        <v>9032</v>
      </c>
      <c r="O254" s="762">
        <v>20</v>
      </c>
      <c r="P254" s="729" t="s">
        <v>9034</v>
      </c>
      <c r="Q254" s="729" t="s">
        <v>8969</v>
      </c>
      <c r="R254" s="729" t="s">
        <v>9035</v>
      </c>
      <c r="S254" s="729"/>
      <c r="T254" s="722"/>
      <c r="V254" s="726" t="s">
        <v>9033</v>
      </c>
      <c r="W254" s="762" t="s">
        <v>9031</v>
      </c>
      <c r="X254" s="762" t="s">
        <v>9032</v>
      </c>
      <c r="Y254" s="762">
        <v>20</v>
      </c>
      <c r="Z254" s="729" t="s">
        <v>9034</v>
      </c>
      <c r="AA254" s="729" t="s">
        <v>8969</v>
      </c>
      <c r="AB254" s="729" t="s">
        <v>9035</v>
      </c>
      <c r="AC254" s="729"/>
      <c r="AD254" s="722"/>
    </row>
    <row r="255" spans="2:30" x14ac:dyDescent="0.25">
      <c r="B255" s="726" t="s">
        <v>9038</v>
      </c>
      <c r="C255" s="762" t="s">
        <v>9036</v>
      </c>
      <c r="D255" s="762" t="s">
        <v>9037</v>
      </c>
      <c r="E255" s="762">
        <v>21</v>
      </c>
      <c r="F255" s="729" t="s">
        <v>9039</v>
      </c>
      <c r="G255" s="729" t="s">
        <v>9041</v>
      </c>
      <c r="H255" s="729" t="s">
        <v>9040</v>
      </c>
      <c r="I255" s="729"/>
      <c r="J255" s="722"/>
      <c r="L255" s="726" t="s">
        <v>9038</v>
      </c>
      <c r="M255" s="762" t="s">
        <v>9036</v>
      </c>
      <c r="N255" s="762" t="s">
        <v>9037</v>
      </c>
      <c r="O255" s="762">
        <v>21</v>
      </c>
      <c r="P255" s="729" t="s">
        <v>9039</v>
      </c>
      <c r="Q255" s="729" t="s">
        <v>9041</v>
      </c>
      <c r="R255" s="729" t="s">
        <v>9040</v>
      </c>
      <c r="S255" s="729"/>
      <c r="T255" s="722"/>
      <c r="V255" s="726" t="s">
        <v>9038</v>
      </c>
      <c r="W255" s="762" t="s">
        <v>9036</v>
      </c>
      <c r="X255" s="762" t="s">
        <v>9037</v>
      </c>
      <c r="Y255" s="762">
        <v>21</v>
      </c>
      <c r="Z255" s="729" t="s">
        <v>9039</v>
      </c>
      <c r="AA255" s="729" t="s">
        <v>9041</v>
      </c>
      <c r="AB255" s="729" t="s">
        <v>9040</v>
      </c>
      <c r="AC255" s="729"/>
      <c r="AD255" s="722"/>
    </row>
    <row r="256" spans="2:30" x14ac:dyDescent="0.25">
      <c r="B256" s="726" t="s">
        <v>9044</v>
      </c>
      <c r="C256" s="762" t="s">
        <v>9042</v>
      </c>
      <c r="D256" s="762" t="s">
        <v>9043</v>
      </c>
      <c r="E256" s="762">
        <v>22</v>
      </c>
      <c r="F256" s="729" t="s">
        <v>9045</v>
      </c>
      <c r="G256" s="729" t="s">
        <v>9047</v>
      </c>
      <c r="H256" s="729" t="s">
        <v>9046</v>
      </c>
      <c r="I256" s="729"/>
      <c r="J256" s="722"/>
      <c r="L256" s="726" t="s">
        <v>9044</v>
      </c>
      <c r="M256" s="762" t="s">
        <v>9042</v>
      </c>
      <c r="N256" s="762" t="s">
        <v>9043</v>
      </c>
      <c r="O256" s="762">
        <v>22</v>
      </c>
      <c r="P256" s="729" t="s">
        <v>9045</v>
      </c>
      <c r="Q256" s="729" t="s">
        <v>9047</v>
      </c>
      <c r="R256" s="729" t="s">
        <v>9046</v>
      </c>
      <c r="S256" s="729"/>
      <c r="T256" s="722"/>
      <c r="V256" s="726" t="s">
        <v>9044</v>
      </c>
      <c r="W256" s="762" t="s">
        <v>9042</v>
      </c>
      <c r="X256" s="762" t="s">
        <v>9043</v>
      </c>
      <c r="Y256" s="762">
        <v>22</v>
      </c>
      <c r="Z256" s="729" t="s">
        <v>9045</v>
      </c>
      <c r="AA256" s="729" t="s">
        <v>9047</v>
      </c>
      <c r="AB256" s="729" t="s">
        <v>9046</v>
      </c>
      <c r="AC256" s="729"/>
      <c r="AD256" s="722"/>
    </row>
    <row r="257" spans="2:30" x14ac:dyDescent="0.25">
      <c r="B257" s="726" t="s">
        <v>9050</v>
      </c>
      <c r="C257" s="762" t="s">
        <v>9048</v>
      </c>
      <c r="D257" s="762" t="s">
        <v>9049</v>
      </c>
      <c r="E257" s="762">
        <v>23</v>
      </c>
      <c r="F257" s="729" t="s">
        <v>9051</v>
      </c>
      <c r="G257" s="729" t="s">
        <v>9052</v>
      </c>
      <c r="H257" s="729" t="s">
        <v>9052</v>
      </c>
      <c r="I257" s="729"/>
      <c r="J257" s="722"/>
      <c r="L257" s="726" t="s">
        <v>9050</v>
      </c>
      <c r="M257" s="762" t="s">
        <v>9048</v>
      </c>
      <c r="N257" s="762" t="s">
        <v>9049</v>
      </c>
      <c r="O257" s="762">
        <v>23</v>
      </c>
      <c r="P257" s="729" t="s">
        <v>9051</v>
      </c>
      <c r="Q257" s="729" t="s">
        <v>9052</v>
      </c>
      <c r="R257" s="729" t="s">
        <v>9052</v>
      </c>
      <c r="S257" s="729"/>
      <c r="T257" s="722"/>
      <c r="V257" s="726" t="s">
        <v>9050</v>
      </c>
      <c r="W257" s="762" t="s">
        <v>9048</v>
      </c>
      <c r="X257" s="762" t="s">
        <v>9049</v>
      </c>
      <c r="Y257" s="762">
        <v>23</v>
      </c>
      <c r="Z257" s="729" t="s">
        <v>9051</v>
      </c>
      <c r="AA257" s="729" t="s">
        <v>9052</v>
      </c>
      <c r="AB257" s="729" t="s">
        <v>9052</v>
      </c>
      <c r="AC257" s="729"/>
      <c r="AD257" s="722"/>
    </row>
    <row r="258" spans="2:30" x14ac:dyDescent="0.25">
      <c r="B258" s="727" t="s">
        <v>9055</v>
      </c>
      <c r="C258" s="765" t="s">
        <v>9053</v>
      </c>
      <c r="D258" s="765" t="s">
        <v>9054</v>
      </c>
      <c r="E258" s="765">
        <v>24</v>
      </c>
      <c r="F258" s="730" t="s">
        <v>9056</v>
      </c>
      <c r="G258" s="730" t="s">
        <v>9010</v>
      </c>
      <c r="H258" s="730" t="s">
        <v>9057</v>
      </c>
      <c r="I258" s="730"/>
      <c r="J258" s="724"/>
      <c r="L258" s="727" t="s">
        <v>9055</v>
      </c>
      <c r="M258" s="765" t="s">
        <v>9053</v>
      </c>
      <c r="N258" s="765" t="s">
        <v>9054</v>
      </c>
      <c r="O258" s="765">
        <v>24</v>
      </c>
      <c r="P258" s="812" t="s">
        <v>9056</v>
      </c>
      <c r="Q258" s="812" t="s">
        <v>9010</v>
      </c>
      <c r="R258" s="812" t="s">
        <v>9057</v>
      </c>
      <c r="S258" s="812"/>
      <c r="T258" s="813"/>
      <c r="V258" s="727" t="s">
        <v>9055</v>
      </c>
      <c r="W258" s="765" t="s">
        <v>9053</v>
      </c>
      <c r="X258" s="765" t="s">
        <v>9054</v>
      </c>
      <c r="Y258" s="765">
        <v>24</v>
      </c>
      <c r="Z258" s="812" t="s">
        <v>9056</v>
      </c>
      <c r="AA258" s="812" t="s">
        <v>9010</v>
      </c>
      <c r="AB258" s="812" t="s">
        <v>9057</v>
      </c>
      <c r="AC258" s="812"/>
      <c r="AD258" s="813"/>
    </row>
  </sheetData>
  <mergeCells count="9">
    <mergeCell ref="AB65:AC65"/>
    <mergeCell ref="V196:W196"/>
    <mergeCell ref="AA233:AD233"/>
    <mergeCell ref="B196:C196"/>
    <mergeCell ref="H65:I65"/>
    <mergeCell ref="G233:J233"/>
    <mergeCell ref="R65:S65"/>
    <mergeCell ref="L196:M196"/>
    <mergeCell ref="Q233:T233"/>
  </mergeCells>
  <printOptions horizontalCentered="1"/>
  <pageMargins left="0.78740157480314965" right="0.78740157480314965" top="0.39370078740157483" bottom="0.39370078740157483" header="0.31496062992125984" footer="0.31496062992125984"/>
  <pageSetup paperSize="9" scale="76" fitToHeight="0" orientation="portrait" horizontalDpi="0" verticalDpi="0" r:id="rId1"/>
  <rowBreaks count="3" manualBreakCount="3">
    <brk id="64" max="16383" man="1"/>
    <brk id="129" max="16383" man="1"/>
    <brk id="194" max="16383" man="1"/>
  </rowBreaks>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wksParameters"/>
  <dimension ref="A1:AE74"/>
  <sheetViews>
    <sheetView workbookViewId="0"/>
  </sheetViews>
  <sheetFormatPr defaultRowHeight="15" x14ac:dyDescent="0.25"/>
  <cols>
    <col min="1" max="1" width="23.5703125" style="10" bestFit="1" customWidth="1"/>
    <col min="2" max="3" width="27.140625" style="10" customWidth="1"/>
    <col min="4" max="4" width="13.7109375" style="10" customWidth="1"/>
    <col min="5" max="5" width="9.28515625" style="10" customWidth="1"/>
    <col min="6" max="6" width="12.28515625" customWidth="1"/>
    <col min="7" max="7" width="14.7109375" style="10" bestFit="1" customWidth="1"/>
    <col min="8" max="8" width="12.28515625" style="10" bestFit="1" customWidth="1"/>
    <col min="9" max="9" width="10.140625" style="10" bestFit="1" customWidth="1"/>
    <col min="10" max="10" width="11" style="10" bestFit="1" customWidth="1"/>
    <col min="11" max="11" width="11.140625" style="10" bestFit="1" customWidth="1"/>
    <col min="12" max="12" width="12.28515625" style="10" bestFit="1" customWidth="1"/>
    <col min="13" max="13" width="10.85546875" style="10" bestFit="1" customWidth="1"/>
    <col min="14" max="14" width="8.28515625" style="10" bestFit="1" customWidth="1"/>
    <col min="16" max="16" width="8.5703125" style="10" customWidth="1"/>
    <col min="17" max="18" width="9.140625" style="10"/>
    <col min="19" max="19" width="11.85546875" style="10" customWidth="1"/>
    <col min="20" max="21" width="9.140625" style="10"/>
    <col min="22" max="22" width="8.28515625" style="10" bestFit="1" customWidth="1"/>
    <col min="23" max="23" width="14.7109375" style="10" bestFit="1" customWidth="1"/>
    <col min="24" max="24" width="9.5703125" style="10" bestFit="1" customWidth="1"/>
    <col min="25" max="25" width="8.5703125" style="10" bestFit="1" customWidth="1"/>
    <col min="26" max="26" width="2.5703125" style="10" customWidth="1"/>
    <col min="27" max="27" width="11.140625" style="10" bestFit="1" customWidth="1"/>
    <col min="28" max="28" width="4" style="10" bestFit="1" customWidth="1"/>
    <col min="29" max="29" width="3" style="10" bestFit="1" customWidth="1"/>
    <col min="30" max="30" width="8.28515625" style="10" bestFit="1" customWidth="1"/>
    <col min="31" max="31" width="18.5703125" style="10" bestFit="1" customWidth="1"/>
    <col min="32" max="32" width="8.5703125" style="10" bestFit="1" customWidth="1"/>
    <col min="33" max="16384" width="9.140625" style="10"/>
  </cols>
  <sheetData>
    <row r="1" spans="1:31" x14ac:dyDescent="0.25">
      <c r="A1" s="33" t="s">
        <v>154</v>
      </c>
      <c r="B1" s="34" t="s">
        <v>103</v>
      </c>
      <c r="C1" s="34" t="s">
        <v>104</v>
      </c>
      <c r="D1" s="6"/>
      <c r="E1" s="10" t="s">
        <v>8255</v>
      </c>
      <c r="G1" s="335" t="s">
        <v>1236</v>
      </c>
      <c r="H1" s="335" t="s">
        <v>1238</v>
      </c>
      <c r="J1" s="334" t="s">
        <v>7242</v>
      </c>
      <c r="K1" s="334" t="s">
        <v>7551</v>
      </c>
      <c r="L1" s="334" t="s">
        <v>7556</v>
      </c>
      <c r="M1" s="334" t="s">
        <v>7557</v>
      </c>
      <c r="O1" s="6"/>
      <c r="P1" s="6" t="s">
        <v>155</v>
      </c>
      <c r="Q1" s="6"/>
      <c r="V1" s="818" t="s">
        <v>95</v>
      </c>
      <c r="W1" s="1" t="s">
        <v>96</v>
      </c>
      <c r="X1" s="820" t="s">
        <v>87</v>
      </c>
      <c r="Y1" s="820" t="s">
        <v>88</v>
      </c>
      <c r="Z1" s="820" t="s">
        <v>89</v>
      </c>
      <c r="AA1" s="820" t="s">
        <v>90</v>
      </c>
      <c r="AB1" s="820" t="s">
        <v>91</v>
      </c>
      <c r="AC1" s="820" t="s">
        <v>0</v>
      </c>
      <c r="AD1" s="818" t="s">
        <v>97</v>
      </c>
      <c r="AE1" s="818" t="s">
        <v>98</v>
      </c>
    </row>
    <row r="2" spans="1:31" x14ac:dyDescent="0.25">
      <c r="A2" s="12" t="s">
        <v>156</v>
      </c>
      <c r="B2" s="35" t="str">
        <f ca="1">'GPlan-Translations'!D1</f>
        <v>Português</v>
      </c>
      <c r="C2" s="822">
        <f ca="1">Opções!$R$1</f>
        <v>3</v>
      </c>
      <c r="D2" s="6"/>
      <c r="E2" t="s">
        <v>93</v>
      </c>
      <c r="G2" s="71" t="s">
        <v>7111</v>
      </c>
      <c r="H2" s="71">
        <v>1</v>
      </c>
      <c r="J2" s="40" t="str">
        <f>""</f>
        <v/>
      </c>
      <c r="K2" s="40" t="str">
        <f>""</f>
        <v/>
      </c>
      <c r="L2" s="40" t="str">
        <f>""</f>
        <v/>
      </c>
      <c r="M2" s="40" t="s">
        <v>7589</v>
      </c>
      <c r="O2" s="6"/>
      <c r="P2" s="17">
        <f>COUNTA(Cities!$A$2:$A$2388)</f>
        <v>2387</v>
      </c>
      <c r="Q2" s="9" t="s">
        <v>157</v>
      </c>
      <c r="R2" s="6"/>
      <c r="V2" s="815" t="s">
        <v>85</v>
      </c>
      <c r="W2" s="815" t="s">
        <v>86</v>
      </c>
      <c r="X2" s="10">
        <v>-34.88111</v>
      </c>
      <c r="Y2" s="10">
        <v>-8.0538900000000009</v>
      </c>
      <c r="Z2" s="10">
        <v>-3</v>
      </c>
      <c r="AA2" s="815" t="s">
        <v>9681</v>
      </c>
      <c r="AB2" s="10">
        <v>801</v>
      </c>
      <c r="AC2" s="10">
        <v>63</v>
      </c>
      <c r="AD2" s="815" t="s">
        <v>85</v>
      </c>
      <c r="AE2" s="815" t="s">
        <v>92</v>
      </c>
    </row>
    <row r="3" spans="1:31" x14ac:dyDescent="0.25">
      <c r="A3" s="12" t="s">
        <v>158</v>
      </c>
      <c r="B3" s="35" t="str">
        <f ca="1">'GPlan-Translations'!C6</f>
        <v>ISO-8859-1</v>
      </c>
      <c r="D3" s="6"/>
      <c r="E3" t="s">
        <v>94</v>
      </c>
      <c r="G3" s="71" t="s">
        <v>7112</v>
      </c>
      <c r="H3" s="71">
        <v>2</v>
      </c>
      <c r="J3" s="40" t="s">
        <v>72</v>
      </c>
      <c r="K3" s="40" t="s">
        <v>1473</v>
      </c>
      <c r="L3" s="40">
        <v>-21</v>
      </c>
      <c r="M3" s="40" t="s">
        <v>9651</v>
      </c>
      <c r="O3" s="10"/>
      <c r="P3" s="17" t="str">
        <f>Opções!R6</f>
        <v>Brazil</v>
      </c>
      <c r="Q3" s="9" t="s">
        <v>159</v>
      </c>
      <c r="R3" s="6"/>
    </row>
    <row r="4" spans="1:31" x14ac:dyDescent="0.25">
      <c r="A4" s="12" t="s">
        <v>160</v>
      </c>
      <c r="B4" s="17" t="str">
        <f>INDEX(Cities!$J$2:$J$2388,B$6)</f>
        <v>Brazil</v>
      </c>
      <c r="C4" s="36" t="str">
        <f>D4</f>
        <v>Brazil</v>
      </c>
      <c r="D4" s="40" t="str">
        <f>IF(ISNUMBER(E8),INDEX(Cities!J2:J2388,E8),"")</f>
        <v>Brazil</v>
      </c>
      <c r="G4" s="71" t="s">
        <v>7113</v>
      </c>
      <c r="H4" s="71">
        <v>3</v>
      </c>
      <c r="J4" s="40" t="str">
        <f>""</f>
        <v/>
      </c>
      <c r="K4" s="40" t="s">
        <v>7588</v>
      </c>
      <c r="L4" s="40">
        <v>-11</v>
      </c>
      <c r="M4" s="40" t="s">
        <v>1200</v>
      </c>
      <c r="O4" s="10"/>
      <c r="P4" s="17">
        <f>IFERROR(MATCH(P3,Cities!$J$2:$J$2388,0),2)</f>
        <v>152</v>
      </c>
      <c r="Q4" s="9" t="s">
        <v>161</v>
      </c>
      <c r="V4" s="829" t="str">
        <f>V2</f>
        <v>Calendar</v>
      </c>
      <c r="W4" s="830" t="str">
        <f>W2</f>
        <v>GCal 11, Build 2</v>
      </c>
      <c r="X4" s="830">
        <f>X2</f>
        <v>-34.88111</v>
      </c>
      <c r="Y4" s="830">
        <f>Y2</f>
        <v>-8.0538900000000009</v>
      </c>
      <c r="Z4" s="830">
        <f t="shared" ref="Z4:AE4" si="0">Z2</f>
        <v>-3</v>
      </c>
      <c r="AA4" s="830" t="str">
        <f t="shared" si="0"/>
        <v>24 Nov 2018</v>
      </c>
      <c r="AB4" s="830">
        <f t="shared" si="0"/>
        <v>801</v>
      </c>
      <c r="AC4" s="830">
        <f t="shared" si="0"/>
        <v>63</v>
      </c>
      <c r="AD4" s="830" t="str">
        <f t="shared" si="0"/>
        <v>Calendar</v>
      </c>
      <c r="AE4" s="830" t="str">
        <f t="shared" si="0"/>
        <v>-3:00 America/Recife</v>
      </c>
    </row>
    <row r="5" spans="1:31" x14ac:dyDescent="0.25">
      <c r="A5" s="12" t="s">
        <v>162</v>
      </c>
      <c r="B5" s="17" t="str">
        <f>Opções!R8</f>
        <v>Recife|Brazil|-34,881111|-8,053889|-3:00 America/Recife</v>
      </c>
      <c r="G5" s="71" t="s">
        <v>7114</v>
      </c>
      <c r="H5" s="71">
        <v>4</v>
      </c>
      <c r="J5" s="40" t="s">
        <v>72</v>
      </c>
      <c r="K5" s="40" t="s">
        <v>25</v>
      </c>
      <c r="L5" s="40">
        <v>-2</v>
      </c>
      <c r="M5" s="40" t="s">
        <v>7590</v>
      </c>
      <c r="O5" s="6"/>
      <c r="P5" s="17">
        <f>COUNTIF(Cities!$J$2:$J$2388,P3)</f>
        <v>117</v>
      </c>
      <c r="Q5" s="9" t="s">
        <v>163</v>
      </c>
    </row>
    <row r="6" spans="1:31" x14ac:dyDescent="0.25">
      <c r="A6" s="12" t="s">
        <v>164</v>
      </c>
      <c r="B6" s="37">
        <f>MATCH(B5,Cities!$M$2:$M$2388,0)</f>
        <v>231</v>
      </c>
      <c r="G6" s="71" t="s">
        <v>7122</v>
      </c>
      <c r="H6" s="71">
        <v>5</v>
      </c>
      <c r="J6" s="40" t="s">
        <v>72</v>
      </c>
      <c r="K6" s="40" t="s">
        <v>7591</v>
      </c>
      <c r="L6" s="40">
        <v>-1</v>
      </c>
      <c r="M6" s="40" t="s">
        <v>7555</v>
      </c>
      <c r="O6" s="10"/>
      <c r="P6" s="17">
        <f>IF(P5&lt;1,P2,P5)</f>
        <v>117</v>
      </c>
      <c r="Q6" s="9" t="s">
        <v>165</v>
      </c>
      <c r="R6" s="12"/>
    </row>
    <row r="7" spans="1:31" x14ac:dyDescent="0.25">
      <c r="A7" s="6" t="s">
        <v>8257</v>
      </c>
      <c r="B7" s="17" t="str">
        <f>INDEX(Cities!$I$2:$I$2388,B$6)</f>
        <v>BR</v>
      </c>
      <c r="C7" s="876" t="s">
        <v>9715</v>
      </c>
      <c r="D7" s="998" t="str">
        <f>Opções!R16</f>
        <v>Recife</v>
      </c>
      <c r="G7" s="71" t="s">
        <v>7115</v>
      </c>
      <c r="H7" s="71">
        <v>6</v>
      </c>
      <c r="J7" s="40" t="s">
        <v>72</v>
      </c>
      <c r="K7" s="40" t="s">
        <v>7495</v>
      </c>
      <c r="L7" s="40">
        <v>-0.7</v>
      </c>
      <c r="M7" s="40" t="s">
        <v>7587</v>
      </c>
      <c r="O7" s="10"/>
      <c r="P7" s="38" t="e">
        <v>#VALUE!</v>
      </c>
      <c r="Q7" s="9" t="s">
        <v>151</v>
      </c>
      <c r="R7" s="12"/>
    </row>
    <row r="8" spans="1:31" x14ac:dyDescent="0.25">
      <c r="A8" s="12" t="s">
        <v>166</v>
      </c>
      <c r="B8" s="17" t="str">
        <f>INDEX(Cities!$B$2:$B$2388,B$6)</f>
        <v>Recife</v>
      </c>
      <c r="C8" s="36" t="str">
        <f>D8</f>
        <v>Recife</v>
      </c>
      <c r="D8" s="40" t="str">
        <f>IF(ISNUMBER(E8),INDEX(Cities!B2:B2388,E8),"")</f>
        <v>Recife</v>
      </c>
      <c r="E8" s="842">
        <f>IFERROR(E9,IFERROR(E10,"---"))</f>
        <v>231</v>
      </c>
      <c r="G8" s="71" t="s">
        <v>7116</v>
      </c>
      <c r="H8" s="71">
        <v>7</v>
      </c>
      <c r="J8" s="40" t="str">
        <f>""</f>
        <v/>
      </c>
      <c r="K8" s="40" t="s">
        <v>7497</v>
      </c>
      <c r="L8" s="40">
        <v>-0.3</v>
      </c>
      <c r="M8" s="40" t="s">
        <v>7586</v>
      </c>
      <c r="O8" s="10"/>
      <c r="P8" s="17" t="e">
        <f ca="1">Retorna_Formula_Local(P7)</f>
        <v>#NAME?</v>
      </c>
    </row>
    <row r="9" spans="1:31" x14ac:dyDescent="0.25">
      <c r="A9" s="12" t="s">
        <v>107</v>
      </c>
      <c r="B9" s="39">
        <f>INDEX(Cities!$E$2:$E$2388,B$6)</f>
        <v>-34.881110999999997</v>
      </c>
      <c r="C9" s="881">
        <f>TRUNC(VALUE(SUBSTITUTE(X4,".",",")),4)</f>
        <v>-34.881100000000004</v>
      </c>
      <c r="D9" s="40">
        <f>MATCH(C9,Cities!C2:C2388,0)</f>
        <v>231</v>
      </c>
      <c r="E9" s="842">
        <f>IF(D9=$B$6,D9,"---")</f>
        <v>231</v>
      </c>
      <c r="G9" s="71" t="s">
        <v>7117</v>
      </c>
      <c r="H9" s="71">
        <v>8</v>
      </c>
      <c r="J9" s="40" t="str">
        <f>""</f>
        <v/>
      </c>
      <c r="K9" s="40" t="s">
        <v>7496</v>
      </c>
      <c r="L9" s="40">
        <v>0</v>
      </c>
      <c r="M9" s="40" t="s">
        <v>167</v>
      </c>
      <c r="O9" s="10"/>
      <c r="P9" s="6"/>
      <c r="Q9" s="6"/>
    </row>
    <row r="10" spans="1:31" x14ac:dyDescent="0.25">
      <c r="A10" s="12" t="s">
        <v>108</v>
      </c>
      <c r="B10" s="39">
        <f>INDEX(Cities!$F$2:$F$2388,B$6)</f>
        <v>-8.0538889999999999</v>
      </c>
      <c r="C10" s="881">
        <f>TRUNC(VALUE(SUBSTITUTE(Y4,".",",")),4)</f>
        <v>-8.0538000000000007</v>
      </c>
      <c r="D10" s="40">
        <f>MATCH(C10,Cities!D2:D2388,0)</f>
        <v>231</v>
      </c>
      <c r="E10" s="842">
        <f>IF(D10=$B$6,D10,"---")</f>
        <v>231</v>
      </c>
      <c r="G10" s="71" t="s">
        <v>7118</v>
      </c>
      <c r="H10" s="71">
        <v>9</v>
      </c>
      <c r="J10" s="40" t="str">
        <f>""</f>
        <v/>
      </c>
      <c r="K10" s="40" t="s">
        <v>7496</v>
      </c>
      <c r="L10" s="40">
        <v>0.5</v>
      </c>
      <c r="M10" s="40" t="s">
        <v>7554</v>
      </c>
      <c r="O10" s="10"/>
    </row>
    <row r="11" spans="1:31" x14ac:dyDescent="0.25">
      <c r="A11" s="12" t="s">
        <v>109</v>
      </c>
      <c r="B11" s="17" t="str">
        <f>INDEX(Cities!$H$2:$H$2388,B$6)</f>
        <v>-3:00</v>
      </c>
      <c r="C11" s="36" t="str">
        <f>LEFT(C12,SEARCH(" ",C12)-1)</f>
        <v>-3:00</v>
      </c>
      <c r="D11" s="40" t="b">
        <f>D9=D10</f>
        <v>1</v>
      </c>
      <c r="E11" s="286">
        <f>Z4</f>
        <v>-3</v>
      </c>
      <c r="G11" s="71" t="s">
        <v>7119</v>
      </c>
      <c r="H11" s="71">
        <v>10</v>
      </c>
      <c r="J11" s="40" t="str">
        <f>""</f>
        <v/>
      </c>
      <c r="K11" s="40" t="s">
        <v>7496</v>
      </c>
      <c r="L11" s="40">
        <v>1</v>
      </c>
      <c r="M11" s="40" t="s">
        <v>168</v>
      </c>
      <c r="O11" s="10"/>
    </row>
    <row r="12" spans="1:31" x14ac:dyDescent="0.25">
      <c r="A12" s="12" t="s">
        <v>110</v>
      </c>
      <c r="B12" s="17" t="str">
        <f>INDEX(Cities!$K$2:$K$2388,B$6)</f>
        <v>-3:00 America/Recife</v>
      </c>
      <c r="C12" s="70" t="str">
        <f>AE4</f>
        <v>-3:00 America/Recife</v>
      </c>
      <c r="G12" s="71" t="s">
        <v>7120</v>
      </c>
      <c r="H12" s="71">
        <v>11</v>
      </c>
      <c r="J12" s="40" t="str">
        <f>""</f>
        <v/>
      </c>
      <c r="K12" s="40" t="s">
        <v>7496</v>
      </c>
      <c r="L12" s="40">
        <v>2</v>
      </c>
      <c r="M12" s="40" t="s">
        <v>169</v>
      </c>
      <c r="O12" s="10"/>
    </row>
    <row r="13" spans="1:31" x14ac:dyDescent="0.25">
      <c r="A13" s="14" t="s">
        <v>170</v>
      </c>
      <c r="B13" s="40"/>
      <c r="C13" s="6"/>
      <c r="D13" s="6"/>
      <c r="F13" s="10"/>
      <c r="G13" s="71" t="s">
        <v>7121</v>
      </c>
      <c r="H13" s="71">
        <v>12</v>
      </c>
      <c r="J13" s="40" t="str">
        <f>""</f>
        <v/>
      </c>
      <c r="K13" s="40" t="s">
        <v>7496</v>
      </c>
      <c r="L13" s="40">
        <v>3</v>
      </c>
      <c r="M13" s="40" t="s">
        <v>171</v>
      </c>
      <c r="O13" s="10"/>
    </row>
    <row r="14" spans="1:31" x14ac:dyDescent="0.25">
      <c r="A14" s="14" t="s">
        <v>172</v>
      </c>
      <c r="B14" s="41" t="str">
        <f>Opções!R14</f>
        <v>2019</v>
      </c>
      <c r="C14" s="422">
        <f>YEAR(C15)+1</f>
        <v>2019</v>
      </c>
      <c r="D14" s="46">
        <f>C14+1</f>
        <v>2020</v>
      </c>
      <c r="E14" s="46">
        <f>D14+1</f>
        <v>2021</v>
      </c>
      <c r="J14" s="40" t="str">
        <f>""</f>
        <v/>
      </c>
      <c r="K14" s="40" t="s">
        <v>7496</v>
      </c>
      <c r="L14" s="40">
        <v>4</v>
      </c>
      <c r="M14" s="40" t="s">
        <v>173</v>
      </c>
      <c r="O14" s="10"/>
      <c r="P14" s="10" t="s">
        <v>9669</v>
      </c>
    </row>
    <row r="15" spans="1:31" x14ac:dyDescent="0.25">
      <c r="A15" s="14" t="s">
        <v>111</v>
      </c>
      <c r="B15" s="42">
        <f>DATE(B14-1,11,24)</f>
        <v>43428</v>
      </c>
      <c r="C15" s="43">
        <f>'GCal-XML'!A2</f>
        <v>43428</v>
      </c>
      <c r="D15" s="821" t="str">
        <f>AA4</f>
        <v>24 Nov 2018</v>
      </c>
      <c r="J15" s="40" t="str">
        <f>""</f>
        <v/>
      </c>
      <c r="K15" s="40" t="s">
        <v>7496</v>
      </c>
      <c r="L15" s="40">
        <v>5</v>
      </c>
      <c r="M15" s="40" t="s">
        <v>174</v>
      </c>
      <c r="O15" s="10"/>
      <c r="P15" s="842" t="str">
        <f>Countries!$G$2:INDEX(Countries!$G$2:$G$213,MAX(Countries!$F$2:$F$213),1)</f>
        <v>Brazil</v>
      </c>
    </row>
    <row r="16" spans="1:31" x14ac:dyDescent="0.25">
      <c r="A16" s="14" t="s">
        <v>115</v>
      </c>
      <c r="B16" s="42">
        <f>DATE(B14+2,2,2)</f>
        <v>44229</v>
      </c>
      <c r="C16" s="44">
        <f>C15+C17-1</f>
        <v>44228</v>
      </c>
      <c r="D16"/>
      <c r="E16"/>
      <c r="J16" s="40" t="str">
        <f>""</f>
        <v/>
      </c>
      <c r="K16" s="40" t="s">
        <v>7496</v>
      </c>
      <c r="L16" s="40">
        <v>6</v>
      </c>
      <c r="M16" s="40" t="s">
        <v>7553</v>
      </c>
      <c r="O16" s="6"/>
      <c r="P16" s="6"/>
    </row>
    <row r="17" spans="1:18" x14ac:dyDescent="0.25">
      <c r="A17" s="14" t="s">
        <v>113</v>
      </c>
      <c r="B17" s="17">
        <f>B16-B15</f>
        <v>801</v>
      </c>
      <c r="C17" s="423">
        <f>AB4</f>
        <v>801</v>
      </c>
      <c r="O17" s="6"/>
      <c r="P17" s="10" t="s">
        <v>9672</v>
      </c>
      <c r="R17" s="6"/>
    </row>
    <row r="18" spans="1:18" x14ac:dyDescent="0.25">
      <c r="A18" s="14" t="s">
        <v>97</v>
      </c>
      <c r="C18" s="819" t="str">
        <f>AD4</f>
        <v>Calendar</v>
      </c>
      <c r="E18" s="2" t="s">
        <v>1236</v>
      </c>
      <c r="F18" s="10" t="s">
        <v>8227</v>
      </c>
      <c r="G18" t="s">
        <v>8228</v>
      </c>
      <c r="P18" s="10" t="str">
        <f>Cities!$Q$2:INDEX(Cities!$Q$2:$Q$2388,MAX(Cities!$P$2:$P$2388),1)</f>
        <v>Recife|Brazil|-34,881111|-8,053889|-3:00 America/Recife</v>
      </c>
    </row>
    <row r="19" spans="1:18" x14ac:dyDescent="0.25">
      <c r="A19" s="45" t="s">
        <v>7514</v>
      </c>
      <c r="B19" s="269">
        <v>1</v>
      </c>
      <c r="C19" s="424">
        <f>C14-1+B19</f>
        <v>2019</v>
      </c>
      <c r="D19" s="414">
        <f>DATE(C19,E19,1)</f>
        <v>43466</v>
      </c>
      <c r="E19" s="269">
        <v>1</v>
      </c>
      <c r="F19" s="415">
        <f>D19-G19+6</f>
        <v>43471</v>
      </c>
      <c r="G19" s="386">
        <f>WEEKDAY(D19,3)</f>
        <v>1</v>
      </c>
      <c r="I19"/>
      <c r="J19" s="267"/>
    </row>
    <row r="20" spans="1:18" x14ac:dyDescent="0.25">
      <c r="A20" s="45" t="s">
        <v>7515</v>
      </c>
      <c r="B20" s="270">
        <v>1</v>
      </c>
      <c r="C20" s="272">
        <f>INDEX($J$21:$J$23,MATCH(B19,H21:$H$23,0))</f>
        <v>43465</v>
      </c>
      <c r="F20" s="10"/>
      <c r="I20"/>
      <c r="J20" s="267"/>
    </row>
    <row r="21" spans="1:18" x14ac:dyDescent="0.25">
      <c r="A21" s="45" t="s">
        <v>175</v>
      </c>
      <c r="C21" s="54" t="str">
        <f>"Gaurabda" &amp; " " &amp; E21 &amp; " / " &amp; RIGHT(E22,3)</f>
        <v>Gaurabda 532 / 533</v>
      </c>
      <c r="D21" s="426">
        <f>DATE(C14,1,1)</f>
        <v>43466</v>
      </c>
      <c r="E21" s="427">
        <f>'GCal-XML'!D2</f>
        <v>532</v>
      </c>
      <c r="F21" s="428">
        <f>WEEKDAY(D21,3)</f>
        <v>1</v>
      </c>
      <c r="G21" s="429">
        <f>7*($B$20-IF(F21&lt;3,1,0))</f>
        <v>0</v>
      </c>
      <c r="H21" s="425">
        <v>1</v>
      </c>
      <c r="I21" s="430">
        <f>D21-F21</f>
        <v>43465</v>
      </c>
      <c r="J21" s="430">
        <f>I21+G21</f>
        <v>43465</v>
      </c>
      <c r="L21"/>
    </row>
    <row r="22" spans="1:18" x14ac:dyDescent="0.25">
      <c r="A22" s="45" t="s">
        <v>176</v>
      </c>
      <c r="C22" s="18" t="str">
        <f>C8 &amp; " - " &amp; C4  &amp; " - " &amp; C14</f>
        <v>Recife - Brazil - 2019</v>
      </c>
      <c r="D22" s="426">
        <f>DATE(D14,1,1)</f>
        <v>43831</v>
      </c>
      <c r="E22" s="427">
        <f>E21+1</f>
        <v>533</v>
      </c>
      <c r="F22" s="428">
        <f>WEEKDAY(D22,3)</f>
        <v>2</v>
      </c>
      <c r="G22" s="429">
        <f>7*($B$20-IF(F22&lt;3,1,0))</f>
        <v>0</v>
      </c>
      <c r="H22" s="428">
        <v>2</v>
      </c>
      <c r="I22" s="430">
        <f>D22-F22</f>
        <v>43829</v>
      </c>
      <c r="J22" s="430">
        <f>I22+G22</f>
        <v>43829</v>
      </c>
    </row>
    <row r="23" spans="1:18" x14ac:dyDescent="0.25">
      <c r="A23" s="45" t="s">
        <v>7561</v>
      </c>
      <c r="C23" s="18" t="str">
        <f>"GPlan-" &amp; C14 &amp; "-" &amp; SUBSTITUTE(C8," ","_")</f>
        <v>GPlan-2019-Recife</v>
      </c>
      <c r="D23" s="426">
        <f>DATE(E14,1,1)</f>
        <v>44197</v>
      </c>
      <c r="E23" s="427">
        <f>E22+1</f>
        <v>534</v>
      </c>
      <c r="F23" s="428">
        <f>WEEKDAY(D23,3)</f>
        <v>4</v>
      </c>
      <c r="G23" s="429">
        <f>7*($B$20-IF(F23&lt;3,1,0))</f>
        <v>7</v>
      </c>
      <c r="H23" s="428">
        <v>3</v>
      </c>
      <c r="I23" s="430">
        <f>D23-F23</f>
        <v>44193</v>
      </c>
      <c r="J23" s="430">
        <f>I23+G23</f>
        <v>44200</v>
      </c>
    </row>
    <row r="24" spans="1:18" x14ac:dyDescent="0.25">
      <c r="A24" s="14" t="s">
        <v>117</v>
      </c>
      <c r="B24" s="14"/>
      <c r="C24" s="16" t="str">
        <f>IF(LEFT(C10,1)="-","south","north")</f>
        <v>south</v>
      </c>
    </row>
    <row r="25" spans="1:18" x14ac:dyDescent="0.25">
      <c r="A25" s="14" t="s">
        <v>177</v>
      </c>
      <c r="B25" s="47" t="s">
        <v>178</v>
      </c>
      <c r="C25" s="47" t="str">
        <f>" -" &amp; A25 &amp; " " &amp; B25</f>
        <v xml:space="preserve"> -R calendar</v>
      </c>
    </row>
    <row r="26" spans="1:18" x14ac:dyDescent="0.25">
      <c r="A26" s="14" t="s">
        <v>179</v>
      </c>
      <c r="B26" s="48" t="str">
        <f>B8 &amp; " - " &amp; B4</f>
        <v>Recife - Brazil</v>
      </c>
      <c r="C26" s="47" t="str">
        <f>" -" &amp; A26 &amp; " " &amp; CHAR(34) &amp; B26 &amp; CHAR(34)</f>
        <v xml:space="preserve"> -N "Recife - Brazil"</v>
      </c>
      <c r="H26" s="26"/>
      <c r="I26" s="6"/>
      <c r="J26" s="27" t="s">
        <v>143</v>
      </c>
      <c r="K26" s="22"/>
      <c r="L26" s="22" t="s">
        <v>144</v>
      </c>
      <c r="M26" s="27"/>
    </row>
    <row r="27" spans="1:18" x14ac:dyDescent="0.25">
      <c r="A27" s="14" t="s">
        <v>180</v>
      </c>
      <c r="B27" s="48" t="str">
        <f>SUBSTITUTE(B9 &amp; ";" &amp; B10,",",".")</f>
        <v>-34.881111;-8.053889</v>
      </c>
      <c r="C27" s="47" t="str">
        <f>" -" &amp; A27 &amp; " " &amp; B27</f>
        <v xml:space="preserve"> -L -34.881111;-8.053889</v>
      </c>
      <c r="H27" s="19" t="s">
        <v>121</v>
      </c>
      <c r="I27" s="6"/>
      <c r="J27" s="23">
        <v>1</v>
      </c>
      <c r="K27" s="23" t="s">
        <v>145</v>
      </c>
      <c r="L27" s="23">
        <v>1</v>
      </c>
      <c r="M27" s="23" t="s">
        <v>146</v>
      </c>
    </row>
    <row r="28" spans="1:18" x14ac:dyDescent="0.25">
      <c r="A28" s="14" t="s">
        <v>181</v>
      </c>
      <c r="B28" s="48" t="str">
        <f>B11</f>
        <v>-3:00</v>
      </c>
      <c r="C28" s="47" t="str">
        <f>" -" &amp; A28 &amp; " " &amp; B11</f>
        <v xml:space="preserve"> -TZ -3:00</v>
      </c>
      <c r="H28" s="28" t="s">
        <v>143</v>
      </c>
      <c r="I28" s="29" t="str">
        <f>VLOOKUP(C61,J27:K29,2,FALSE)</f>
        <v>A B C D</v>
      </c>
      <c r="J28" s="23">
        <v>2</v>
      </c>
      <c r="K28" s="23" t="s">
        <v>147</v>
      </c>
      <c r="L28" s="23">
        <v>2</v>
      </c>
      <c r="M28" s="23" t="s">
        <v>148</v>
      </c>
    </row>
    <row r="29" spans="1:18" x14ac:dyDescent="0.25">
      <c r="A29" s="14" t="s">
        <v>182</v>
      </c>
      <c r="B29" s="48" t="str">
        <f>TEXT(B15,"d-m-aaaa")</f>
        <v>24-11-2018</v>
      </c>
      <c r="C29" s="47" t="str">
        <f>" -" &amp; A29 &amp; " " &amp; B29</f>
        <v xml:space="preserve"> -SG 24-11-2018</v>
      </c>
      <c r="H29" s="30" t="s">
        <v>144</v>
      </c>
      <c r="I29" s="29" t="str">
        <f>VLOOKUP(C61,L27:M29,2,FALSE)</f>
        <v>E F G H</v>
      </c>
      <c r="J29" s="23">
        <v>3</v>
      </c>
      <c r="K29" s="23" t="s">
        <v>149</v>
      </c>
      <c r="L29" s="23">
        <v>3</v>
      </c>
      <c r="M29" s="23" t="s">
        <v>150</v>
      </c>
    </row>
    <row r="30" spans="1:18" x14ac:dyDescent="0.25">
      <c r="A30" s="14" t="s">
        <v>183</v>
      </c>
      <c r="B30" s="48" t="str">
        <f>TEXT(B16,"d-m-aaaa")</f>
        <v>2-2-2021</v>
      </c>
      <c r="C30" s="47" t="str">
        <f>" -EG " &amp; B30</f>
        <v xml:space="preserve"> -EG 2-2-2021</v>
      </c>
      <c r="I30" s="6"/>
      <c r="J30" s="6"/>
      <c r="K30" s="6"/>
    </row>
    <row r="31" spans="1:18" x14ac:dyDescent="0.25">
      <c r="A31" s="14" t="s">
        <v>110</v>
      </c>
      <c r="B31" s="48" t="str">
        <f>B12</f>
        <v>-3:00 America/Recife</v>
      </c>
      <c r="C31" s="47" t="str">
        <f>" -" &amp; A31 &amp; " " &amp; CHAR(34) &amp; B31 &amp; CHAR(34)</f>
        <v xml:space="preserve"> -DST "-3:00 America/Recife"</v>
      </c>
      <c r="I31" s="6"/>
      <c r="J31" s="6"/>
      <c r="K31" s="6"/>
    </row>
    <row r="32" spans="1:18" x14ac:dyDescent="0.25">
      <c r="A32" s="14" t="s">
        <v>184</v>
      </c>
      <c r="B32" s="48" t="str">
        <f>B14 &amp; "-" &amp; B7 &amp; "-" &amp; SUBSTITUTE(B8," ","_")</f>
        <v>2019-BR-Recife</v>
      </c>
      <c r="C32" s="47" t="str">
        <f ca="1">" -" &amp; A32 &amp; " " &amp; CHAR(34) &amp; C46</f>
        <v xml:space="preserve"> -O "C:\Users\Gopala\Downloads\GPlan2019R1\</v>
      </c>
      <c r="I32" s="6"/>
      <c r="J32" s="6"/>
      <c r="K32" s="6"/>
    </row>
    <row r="33" spans="1:11" x14ac:dyDescent="0.25">
      <c r="A33" s="14" t="s">
        <v>125</v>
      </c>
      <c r="B33" s="48" t="str">
        <f>"-" &amp; B25 &amp; ".xml"</f>
        <v>-calendar.xml</v>
      </c>
      <c r="C33" s="263" t="str">
        <f>B25 &amp; ".xml"</f>
        <v>calendar.xml</v>
      </c>
      <c r="D33" s="10" t="str">
        <f>" -" &amp; A32 &amp; " " &amp; CHAR(34) &amp; B32 &amp; "-"</f>
        <v xml:space="preserve"> -O "2019-BR-Recife-</v>
      </c>
      <c r="I33" s="6"/>
      <c r="J33" s="6"/>
      <c r="K33" s="6"/>
    </row>
    <row r="34" spans="1:11" x14ac:dyDescent="0.25">
      <c r="A34" s="14" t="s">
        <v>185</v>
      </c>
      <c r="C34" s="49" t="str">
        <f ca="1">C36 &amp; C25 &amp; $C$27 &amp; $C$26 &amp; $C$28 &amp; $C$29 &amp; $C$30 &amp; $C$31 &amp; $C$32 &amp; C33 &amp; CHAR(34)</f>
        <v>C:\Users\Gopala\Downloads\GPlan2019R1\gcal.exe -R calendar -L -34.881111;-8.053889 -N "Recife - Brazil" -TZ -3:00 -SG 24-11-2018 -EG 2-2-2021 -DST "-3:00 America/Recife" -O "C:\Users\Gopala\Downloads\GPlan2019R1\calendar.xml"</v>
      </c>
      <c r="J34" s="6"/>
      <c r="K34" s="6"/>
    </row>
    <row r="35" spans="1:11" x14ac:dyDescent="0.25">
      <c r="A35" s="6" t="s">
        <v>186</v>
      </c>
      <c r="B35" s="17" t="s">
        <v>187</v>
      </c>
      <c r="C35" s="814"/>
      <c r="K35" s="6"/>
    </row>
    <row r="36" spans="1:11" x14ac:dyDescent="0.25">
      <c r="A36" s="6" t="s">
        <v>128</v>
      </c>
      <c r="C36" s="50" t="str">
        <f ca="1">C46 &amp; B35</f>
        <v>C:\Users\Gopala\Downloads\GPlan2019R1\gcal.exe</v>
      </c>
      <c r="K36" s="6"/>
    </row>
    <row r="37" spans="1:11" x14ac:dyDescent="0.25">
      <c r="A37" s="6" t="s">
        <v>118</v>
      </c>
      <c r="B37" s="14"/>
      <c r="C37" s="262" t="str">
        <f>W4</f>
        <v>GCal 11, Build 2</v>
      </c>
      <c r="H37" s="10" t="s">
        <v>9662</v>
      </c>
      <c r="K37" s="6"/>
    </row>
    <row r="38" spans="1:11" x14ac:dyDescent="0.25">
      <c r="A38" s="6" t="s">
        <v>129</v>
      </c>
      <c r="C38" s="21"/>
      <c r="G38" s="6"/>
      <c r="K38" s="6"/>
    </row>
    <row r="39" spans="1:11" x14ac:dyDescent="0.25">
      <c r="A39" s="6" t="s">
        <v>130</v>
      </c>
      <c r="C39" s="17" t="str">
        <f ca="1">GplanTranslation("sys_cstrLoadError")</f>
        <v>Ocorreu um erro:</v>
      </c>
      <c r="G39" s="6"/>
      <c r="K39" s="6" t="s">
        <v>126</v>
      </c>
    </row>
    <row r="40" spans="1:11" x14ac:dyDescent="0.25">
      <c r="A40" s="6" t="s">
        <v>132</v>
      </c>
      <c r="C40" s="17" t="str">
        <f ca="1">GplanTranslation("sys_cstrGCalDownload")</f>
        <v>Baixe o Gcal 11, descompacte, e copie para a mesma pasta deste arquivo.</v>
      </c>
      <c r="G40" s="6"/>
      <c r="H40" s="6"/>
      <c r="K40" s="6"/>
    </row>
    <row r="41" spans="1:11" x14ac:dyDescent="0.25">
      <c r="A41" s="6" t="s">
        <v>136</v>
      </c>
      <c r="C41" s="17" t="str">
        <f ca="1">GplanTranslation("sys_cstrGCalWebsite")</f>
        <v>http://www.krishnadays.com</v>
      </c>
      <c r="G41" s="6"/>
      <c r="I41" s="6"/>
      <c r="J41" s="6"/>
      <c r="K41" s="6"/>
    </row>
    <row r="42" spans="1:11" x14ac:dyDescent="0.25">
      <c r="A42" s="6" t="s">
        <v>188</v>
      </c>
      <c r="C42" s="31" t="str">
        <f>"http://maps.google.com.br/maps?q=" &amp; B8 &amp; "-" &amp; B4 &amp; "&amp;bav=on.2,or.r_gc.r_pw.r_qf.,cf.osb&amp;biw=1138&amp;bih=553&amp;um=1&amp;ie=UTF-8&amp;sa=N&amp;tab=wl"</f>
        <v>http://maps.google.com.br/maps?q=Recife-Brazil&amp;bav=on.2,or.r_gc.r_pw.r_qf.,cf.osb&amp;biw=1138&amp;bih=553&amp;um=1&amp;ie=UTF-8&amp;sa=N&amp;tab=wl</v>
      </c>
      <c r="E42" s="6"/>
      <c r="G42" s="6"/>
      <c r="H42" s="6"/>
      <c r="I42" s="6"/>
      <c r="J42" s="6"/>
      <c r="K42" s="6"/>
    </row>
    <row r="43" spans="1:11" x14ac:dyDescent="0.25">
      <c r="A43" s="6" t="s">
        <v>189</v>
      </c>
      <c r="B43" s="17">
        <f ca="1">LEN(C43)</f>
        <v>60</v>
      </c>
      <c r="C43" s="51" t="str">
        <f ca="1">CELL("nome.arquivo",C43)</f>
        <v>C:\Users\Gopala\Downloads\GPlan2019R1\[GPlan.xlsm]Parameters</v>
      </c>
      <c r="E43" s="6"/>
      <c r="G43" s="6"/>
      <c r="H43" s="6"/>
      <c r="K43" s="6"/>
    </row>
    <row r="44" spans="1:11" x14ac:dyDescent="0.25">
      <c r="A44" s="6" t="s">
        <v>190</v>
      </c>
      <c r="B44" s="17">
        <f ca="1">LEN(C44)</f>
        <v>58</v>
      </c>
      <c r="C44" s="31" t="str">
        <f ca="1">CELL("nome.arquivo",Holidays!A1)</f>
        <v>C:\Users\Gopala\Downloads\GPlan2019R1\[GPlan.xlsm]Holidays</v>
      </c>
      <c r="D44" s="6"/>
      <c r="E44" s="6"/>
      <c r="G44" s="6"/>
      <c r="H44" s="6"/>
      <c r="K44" s="6"/>
    </row>
    <row r="45" spans="1:11" x14ac:dyDescent="0.25">
      <c r="A45" s="6" t="s">
        <v>191</v>
      </c>
      <c r="B45" s="17">
        <f ca="1">LEN(C45)</f>
        <v>63</v>
      </c>
      <c r="C45" s="31" t="str">
        <f ca="1">CELL("nome.arquivo",'Personal Data'!A1)</f>
        <v>C:\Users\Gopala\Downloads\GPlan2019R1\[GPlan.xlsm]Personal Data</v>
      </c>
      <c r="E45" s="6"/>
      <c r="G45" s="6"/>
      <c r="K45" s="6"/>
    </row>
    <row r="46" spans="1:11" x14ac:dyDescent="0.25">
      <c r="A46" s="52" t="str">
        <f ca="1">HYPERLINK(C46,"Folder")</f>
        <v>Folder</v>
      </c>
      <c r="B46" s="53">
        <f ca="1">SEARCH("[",C43,1)</f>
        <v>39</v>
      </c>
      <c r="C46" s="264" t="str">
        <f ca="1">LEFT(C43,B46-1)</f>
        <v>C:\Users\Gopala\Downloads\GPlan2019R1\</v>
      </c>
      <c r="D46" s="6"/>
      <c r="E46" s="6"/>
      <c r="G46" s="6"/>
      <c r="K46" s="6"/>
    </row>
    <row r="47" spans="1:11" x14ac:dyDescent="0.25">
      <c r="A47" s="54" t="s">
        <v>125</v>
      </c>
      <c r="B47" s="17">
        <f ca="1">SEARCH("]",C43)</f>
        <v>50</v>
      </c>
      <c r="C47" s="51" t="str">
        <f ca="1">MID(C43,B46+1,B47-B46-1)</f>
        <v>GPlan.xlsm</v>
      </c>
      <c r="E47" s="6"/>
      <c r="G47" s="6"/>
      <c r="H47" s="6"/>
      <c r="I47" s="6"/>
      <c r="J47" s="6"/>
      <c r="K47" s="6"/>
    </row>
    <row r="48" spans="1:11" x14ac:dyDescent="0.25">
      <c r="A48" s="54" t="s">
        <v>127</v>
      </c>
      <c r="C48" s="51" t="str">
        <f ca="1">C46&amp;C47</f>
        <v>C:\Users\Gopala\Downloads\GPlan2019R1\GPlan.xlsm</v>
      </c>
      <c r="E48" s="24"/>
      <c r="G48" s="6"/>
      <c r="H48" s="6"/>
      <c r="J48" s="6"/>
      <c r="K48" s="6"/>
    </row>
    <row r="49" spans="1:13" x14ac:dyDescent="0.25">
      <c r="A49" s="6" t="str">
        <f ca="1">RIGHT(C43,B43-B$47)</f>
        <v>Parameters</v>
      </c>
      <c r="C49" s="17" t="str">
        <f ca="1">"["&amp;C$47&amp;"]"&amp;"'"&amp;A49&amp;"'!"&amp;"A1"</f>
        <v>[GPlan.xlsm]'Parameters'!A1</v>
      </c>
      <c r="E49" s="6"/>
      <c r="G49" s="6"/>
      <c r="H49" s="6"/>
      <c r="J49" s="6"/>
      <c r="K49" s="6"/>
    </row>
    <row r="50" spans="1:13" x14ac:dyDescent="0.25">
      <c r="A50" s="6" t="str">
        <f ca="1">RIGHT(C44,B44-B$47)</f>
        <v>Holidays</v>
      </c>
      <c r="C50" s="17" t="str">
        <f ca="1">"["&amp;C$47&amp;"]"&amp;"'"&amp;A50&amp;"'!"&amp;"A1"</f>
        <v>[GPlan.xlsm]'Holidays'!A1</v>
      </c>
      <c r="D50" s="6"/>
      <c r="E50" s="6"/>
      <c r="G50" s="6"/>
      <c r="H50" s="6"/>
      <c r="J50" s="6"/>
      <c r="K50" s="6"/>
    </row>
    <row r="51" spans="1:13" x14ac:dyDescent="0.25">
      <c r="A51" s="6" t="str">
        <f ca="1">RIGHT(C45,B45-B$47)</f>
        <v>Personal Data</v>
      </c>
      <c r="C51" s="17" t="str">
        <f ca="1">"["&amp;$C$47&amp;"]"&amp;"'"&amp;A51&amp;"'!"&amp;"A1"</f>
        <v>[GPlan.xlsm]'Personal Data'!A1</v>
      </c>
      <c r="D51" s="6"/>
      <c r="G51" s="6"/>
      <c r="H51" s="6"/>
      <c r="I51" s="6"/>
      <c r="J51" s="6"/>
      <c r="K51" s="6"/>
    </row>
    <row r="52" spans="1:13" x14ac:dyDescent="0.25">
      <c r="A52" s="6" t="s">
        <v>192</v>
      </c>
      <c r="C52" s="17" t="str">
        <f ca="1">'GPlan-Translations'!C66</f>
        <v>Atualização Automática dos Dados do Calendário</v>
      </c>
      <c r="D52" s="15"/>
      <c r="E52" s="6"/>
      <c r="G52" s="6"/>
      <c r="H52" s="6"/>
      <c r="I52" s="6"/>
      <c r="J52" s="6"/>
      <c r="K52" s="6"/>
    </row>
    <row r="53" spans="1:13" x14ac:dyDescent="0.25">
      <c r="A53" s="6" t="s">
        <v>193</v>
      </c>
      <c r="C53" s="17" t="str">
        <f ca="1">'GPlan-Translations'!C65</f>
        <v>Calcular os dados do calendário para a seguinte localidade e ano?</v>
      </c>
      <c r="E53" s="6"/>
      <c r="G53" s="6"/>
      <c r="H53" s="6"/>
      <c r="I53" s="6"/>
      <c r="J53" s="6"/>
      <c r="K53" s="6"/>
    </row>
    <row r="54" spans="1:13" x14ac:dyDescent="0.25">
      <c r="A54" s="6" t="s">
        <v>194</v>
      </c>
      <c r="C54" s="17" t="str">
        <f ca="1">'GPlan-Translations'!C59</f>
        <v>Em caso afirmativo, não mexa no mouse ou no teclado até o Gcal concluir o cálculo e fechar.</v>
      </c>
      <c r="E54" s="6"/>
      <c r="I54" s="6"/>
      <c r="J54" s="6"/>
      <c r="K54" s="6"/>
    </row>
    <row r="55" spans="1:13" x14ac:dyDescent="0.25">
      <c r="A55" s="6" t="s">
        <v>195</v>
      </c>
      <c r="C55" s="17" t="str">
        <f ca="1">'GPlan-Translations'!C64</f>
        <v>Geração Automática da Agenda</v>
      </c>
      <c r="D55" s="6"/>
      <c r="I55" s="6"/>
      <c r="J55" s="6"/>
      <c r="K55" s="6"/>
      <c r="L55" s="6"/>
      <c r="M55" s="6"/>
    </row>
    <row r="56" spans="1:13" x14ac:dyDescent="0.25">
      <c r="A56" s="6" t="s">
        <v>196</v>
      </c>
      <c r="C56" s="17" t="str">
        <f ca="1">'GPlan-Translations'!C58</f>
        <v>Gerar a agenda GPlan em formato pdf?</v>
      </c>
      <c r="D56" s="6"/>
      <c r="I56" s="6"/>
      <c r="J56" s="6"/>
      <c r="K56" s="6"/>
      <c r="L56" s="6"/>
      <c r="M56" s="6"/>
    </row>
    <row r="57" spans="1:13" x14ac:dyDescent="0.25">
      <c r="A57" s="6" t="s">
        <v>197</v>
      </c>
      <c r="C57" s="17" t="str">
        <f ca="1">'GPlan-Translations'!C63</f>
        <v>A geração automática da Agenda pode levar alguns minutos. O processo pode ser interrompido a qualquer momento, ao manter pressionada a tecla 'Esc'.</v>
      </c>
      <c r="D57" s="6"/>
      <c r="K57" s="6"/>
      <c r="L57" s="6"/>
      <c r="M57" s="6"/>
    </row>
    <row r="58" spans="1:13" x14ac:dyDescent="0.25">
      <c r="A58" s="55" t="s">
        <v>198</v>
      </c>
      <c r="B58" s="25" t="s">
        <v>8191</v>
      </c>
      <c r="C58" s="17" t="str">
        <f ca="1">"5- " &amp; 'GPlan-Translations'!C55</f>
        <v>5- Calcular</v>
      </c>
      <c r="K58" s="6"/>
      <c r="L58" s="6"/>
      <c r="M58" s="6"/>
    </row>
    <row r="59" spans="1:13" x14ac:dyDescent="0.25">
      <c r="E59" s="6"/>
      <c r="I59" s="6"/>
      <c r="K59" s="6"/>
      <c r="L59" s="6"/>
      <c r="M59" s="6"/>
    </row>
    <row r="60" spans="1:13" x14ac:dyDescent="0.25">
      <c r="A60" s="55" t="s">
        <v>199</v>
      </c>
      <c r="B60" s="25" t="s">
        <v>138</v>
      </c>
      <c r="C60" s="17" t="str">
        <f ca="1">"11- " &amp; 'GPlan-Translations'!C57</f>
        <v>11- Gerar</v>
      </c>
      <c r="E60" s="6"/>
      <c r="I60" s="6"/>
      <c r="K60" s="6"/>
      <c r="L60" s="6"/>
      <c r="M60" s="6"/>
    </row>
    <row r="61" spans="1:13" x14ac:dyDescent="0.25">
      <c r="A61" s="55" t="s">
        <v>121</v>
      </c>
      <c r="C61" s="21">
        <v>1</v>
      </c>
      <c r="E61" s="6"/>
      <c r="G61" s="6"/>
      <c r="H61" s="6"/>
      <c r="K61" s="6"/>
      <c r="L61" s="6"/>
      <c r="M61" s="6"/>
    </row>
    <row r="62" spans="1:13" x14ac:dyDescent="0.25">
      <c r="A62" s="55" t="str">
        <f ca="1">'GPlan-Translations'!C35</f>
        <v>Pronto</v>
      </c>
      <c r="C62" s="17">
        <v>1</v>
      </c>
      <c r="E62" s="6"/>
      <c r="G62" s="6"/>
      <c r="H62" s="6"/>
      <c r="K62" s="6"/>
      <c r="L62" s="6"/>
      <c r="M62" s="6"/>
    </row>
    <row r="63" spans="1:13" x14ac:dyDescent="0.25">
      <c r="A63" s="55" t="str">
        <f ca="1">'GPlan-Translations'!C36</f>
        <v>Atualizar</v>
      </c>
      <c r="C63" s="17">
        <v>0</v>
      </c>
      <c r="D63" s="6"/>
      <c r="I63" s="6"/>
      <c r="J63" s="6"/>
      <c r="K63" s="6"/>
      <c r="L63" s="6"/>
      <c r="M63" s="6"/>
    </row>
    <row r="64" spans="1:13" x14ac:dyDescent="0.25">
      <c r="A64" s="6" t="s">
        <v>120</v>
      </c>
      <c r="B64" s="56" t="s">
        <v>200</v>
      </c>
      <c r="C64" s="20" t="str">
        <f>CHAR(10)</f>
        <v xml:space="preserve">
</v>
      </c>
      <c r="D64" s="6"/>
      <c r="I64" s="6"/>
      <c r="J64" s="6"/>
      <c r="K64" s="6"/>
      <c r="L64" s="6"/>
      <c r="M64" s="6"/>
    </row>
    <row r="65" spans="1:4" x14ac:dyDescent="0.25">
      <c r="A65" s="55" t="s">
        <v>8100</v>
      </c>
      <c r="B65" s="25" t="s">
        <v>8099</v>
      </c>
      <c r="C65" s="700" t="b">
        <f>Opções!$R$19</f>
        <v>1</v>
      </c>
    </row>
    <row r="66" spans="1:4" x14ac:dyDescent="0.25">
      <c r="B66" s="25" t="s">
        <v>8189</v>
      </c>
      <c r="C66" s="17" t="str">
        <f ca="1">'GPlan-Translations'!C40</f>
        <v>Personalidades e Eventos</v>
      </c>
    </row>
    <row r="67" spans="1:4" x14ac:dyDescent="0.25">
      <c r="A67" s="55" t="s">
        <v>8258</v>
      </c>
      <c r="C67" s="716" t="str">
        <f ca="1">ADDRESS(1,C$2*2,1) &amp; ":" &amp; ADDRESS(164,C$2*2,1)</f>
        <v>$F$1:$F$164</v>
      </c>
    </row>
    <row r="68" spans="1:4" x14ac:dyDescent="0.25">
      <c r="A68" s="55" t="s">
        <v>8259</v>
      </c>
      <c r="C68" s="716" t="str">
        <f ca="1">ADDRESS(1,C$2*2,1) &amp; ":" &amp; ADDRESS(120,C$2*2,1)</f>
        <v>$F$1:$F$120</v>
      </c>
    </row>
    <row r="69" spans="1:4" x14ac:dyDescent="0.25">
      <c r="A69" s="55" t="s">
        <v>8100</v>
      </c>
      <c r="B69" s="25" t="s">
        <v>8176</v>
      </c>
      <c r="C69" s="700" t="b">
        <f>Opções!$R$20</f>
        <v>1</v>
      </c>
    </row>
    <row r="70" spans="1:4" x14ac:dyDescent="0.25">
      <c r="B70" s="25" t="s">
        <v>8190</v>
      </c>
      <c r="C70" s="17" t="str">
        <f ca="1">'GPlan-Translations'!C41</f>
        <v>Reuniões</v>
      </c>
    </row>
    <row r="71" spans="1:4" x14ac:dyDescent="0.25">
      <c r="A71" s="55" t="s">
        <v>8100</v>
      </c>
      <c r="B71" s="25" t="s">
        <v>9487</v>
      </c>
      <c r="C71" s="700" t="b">
        <f>Opções!$R$21</f>
        <v>1</v>
      </c>
    </row>
    <row r="72" spans="1:4" x14ac:dyDescent="0.25">
      <c r="B72" s="25" t="s">
        <v>9488</v>
      </c>
      <c r="C72" s="17" t="str">
        <f ca="1">'GPlan-Translations'!C42</f>
        <v>Conversão de Unidades</v>
      </c>
    </row>
    <row r="73" spans="1:4" x14ac:dyDescent="0.25">
      <c r="A73" s="55" t="s">
        <v>9492</v>
      </c>
      <c r="C73" s="716" t="str">
        <f ca="1">ADDRESS(1,C$2*10-8,1) &amp; ":" &amp; ADDRESS(258,(C$2*10),1)</f>
        <v>$V$1:$AD$258</v>
      </c>
    </row>
    <row r="74" spans="1:4" x14ac:dyDescent="0.25">
      <c r="D74" s="10">
        <v>61</v>
      </c>
    </row>
  </sheetData>
  <pageMargins left="0.511811024" right="0.511811024" top="0.78740157499999996" bottom="0.78740157499999996" header="0.31496062000000002" footer="0.31496062000000002"/>
  <pageSetup paperSize="9" orientation="portrait" horizontalDpi="0" verticalDpi="0"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wksGCalXml"/>
  <dimension ref="A1:AN802"/>
  <sheetViews>
    <sheetView workbookViewId="0">
      <pane xSplit="3" ySplit="1" topLeftCell="D2" activePane="bottomRight" state="frozen"/>
      <selection pane="topRight" activeCell="D1" sqref="D1"/>
      <selection pane="bottomLeft" activeCell="A2" sqref="A2"/>
      <selection pane="bottomRight"/>
    </sheetView>
  </sheetViews>
  <sheetFormatPr defaultRowHeight="15" x14ac:dyDescent="0.25"/>
  <cols>
    <col min="1" max="1" width="10.7109375" bestFit="1" customWidth="1"/>
    <col min="2" max="2" width="13" bestFit="1" customWidth="1"/>
    <col min="3" max="3" width="12.85546875" bestFit="1" customWidth="1"/>
    <col min="4" max="4" width="8.140625" bestFit="1" customWidth="1"/>
    <col min="5" max="5" width="19.140625" bestFit="1" customWidth="1"/>
    <col min="6" max="6" width="11.7109375" bestFit="1" customWidth="1"/>
    <col min="7" max="7" width="15" bestFit="1" customWidth="1"/>
    <col min="8" max="8" width="12.85546875" bestFit="1" customWidth="1"/>
    <col min="9" max="9" width="26.7109375" bestFit="1" customWidth="1"/>
    <col min="10" max="10" width="13" bestFit="1" customWidth="1"/>
    <col min="11" max="11" width="16.85546875" bestFit="1" customWidth="1"/>
    <col min="12" max="12" width="15" bestFit="1" customWidth="1"/>
    <col min="13" max="13" width="13.5703125" bestFit="1" customWidth="1"/>
    <col min="14" max="14" width="11.140625" bestFit="1" customWidth="1"/>
    <col min="15" max="15" width="12" bestFit="1" customWidth="1"/>
    <col min="16" max="16" width="13.28515625" bestFit="1" customWidth="1"/>
    <col min="17" max="17" width="15.7109375" bestFit="1" customWidth="1"/>
    <col min="18" max="18" width="14.5703125" bestFit="1" customWidth="1"/>
    <col min="19" max="19" width="12.42578125" bestFit="1" customWidth="1"/>
    <col min="20" max="20" width="10" bestFit="1" customWidth="1"/>
    <col min="21" max="21" width="11.7109375" bestFit="1" customWidth="1"/>
    <col min="22" max="22" width="11.140625" bestFit="1" customWidth="1"/>
    <col min="23" max="23" width="11.28515625" bestFit="1" customWidth="1"/>
    <col min="24" max="24" width="11.5703125" bestFit="1" customWidth="1"/>
    <col min="25" max="25" width="12.85546875" bestFit="1" customWidth="1"/>
    <col min="26" max="26" width="16.7109375" bestFit="1" customWidth="1"/>
    <col min="27" max="27" width="15.85546875" bestFit="1" customWidth="1"/>
    <col min="28" max="28" width="12.42578125" bestFit="1" customWidth="1"/>
    <col min="29" max="29" width="16.28515625" bestFit="1" customWidth="1"/>
    <col min="30" max="30" width="15.5703125" bestFit="1" customWidth="1"/>
    <col min="31" max="31" width="10.5703125" bestFit="1" customWidth="1"/>
    <col min="32" max="32" width="11" bestFit="1" customWidth="1"/>
    <col min="33" max="33" width="26.7109375" bestFit="1" customWidth="1"/>
    <col min="34" max="34" width="9.5703125" bestFit="1" customWidth="1"/>
    <col min="35" max="35" width="26.7109375" bestFit="1" customWidth="1"/>
    <col min="36" max="36" width="9.5703125" bestFit="1" customWidth="1"/>
    <col min="37" max="37" width="25.7109375" bestFit="1" customWidth="1"/>
    <col min="38" max="38" width="9.5703125" bestFit="1" customWidth="1"/>
    <col min="39" max="39" width="12" bestFit="1" customWidth="1"/>
    <col min="40" max="40" width="9.5703125" bestFit="1" customWidth="1"/>
  </cols>
  <sheetData>
    <row r="1" spans="1:40" x14ac:dyDescent="0.25">
      <c r="A1" t="s">
        <v>9493</v>
      </c>
      <c r="B1" t="s">
        <v>9494</v>
      </c>
      <c r="C1" t="s">
        <v>9495</v>
      </c>
      <c r="D1" t="s">
        <v>9496</v>
      </c>
      <c r="E1" t="s">
        <v>9497</v>
      </c>
      <c r="F1" t="s">
        <v>9498</v>
      </c>
      <c r="G1" t="s">
        <v>9499</v>
      </c>
      <c r="H1" t="s">
        <v>9500</v>
      </c>
      <c r="I1" t="s">
        <v>9501</v>
      </c>
      <c r="J1" t="s">
        <v>9502</v>
      </c>
      <c r="K1" t="s">
        <v>9503</v>
      </c>
      <c r="L1" t="s">
        <v>9504</v>
      </c>
      <c r="M1" t="s">
        <v>9505</v>
      </c>
      <c r="N1" t="s">
        <v>9506</v>
      </c>
      <c r="O1" t="s">
        <v>9507</v>
      </c>
      <c r="P1" t="s">
        <v>9508</v>
      </c>
      <c r="Q1" t="s">
        <v>9509</v>
      </c>
      <c r="R1" t="s">
        <v>9510</v>
      </c>
      <c r="S1" t="s">
        <v>9511</v>
      </c>
      <c r="T1" t="s">
        <v>9512</v>
      </c>
      <c r="U1" t="s">
        <v>9513</v>
      </c>
      <c r="V1" t="s">
        <v>9514</v>
      </c>
      <c r="W1" t="s">
        <v>9515</v>
      </c>
      <c r="X1" t="s">
        <v>9516</v>
      </c>
      <c r="Y1" t="s">
        <v>9517</v>
      </c>
      <c r="Z1" t="s">
        <v>9518</v>
      </c>
      <c r="AA1" t="s">
        <v>9519</v>
      </c>
      <c r="AB1" t="s">
        <v>9520</v>
      </c>
      <c r="AC1" t="s">
        <v>9521</v>
      </c>
      <c r="AD1" t="s">
        <v>9522</v>
      </c>
      <c r="AE1" t="s">
        <v>9523</v>
      </c>
      <c r="AF1" t="s">
        <v>9524</v>
      </c>
      <c r="AG1" t="s">
        <v>9525</v>
      </c>
      <c r="AH1" t="s">
        <v>9526</v>
      </c>
      <c r="AI1" t="s">
        <v>9527</v>
      </c>
      <c r="AJ1" t="s">
        <v>9528</v>
      </c>
      <c r="AK1" t="s">
        <v>9529</v>
      </c>
      <c r="AL1" t="s">
        <v>9530</v>
      </c>
      <c r="AM1" t="s">
        <v>9531</v>
      </c>
      <c r="AN1" t="s">
        <v>9532</v>
      </c>
    </row>
    <row r="2" spans="1:40" x14ac:dyDescent="0.25">
      <c r="A2" s="265">
        <v>43428</v>
      </c>
      <c r="B2">
        <v>6</v>
      </c>
      <c r="C2" s="816" t="s">
        <v>2</v>
      </c>
      <c r="D2">
        <v>532</v>
      </c>
      <c r="E2" s="816" t="s">
        <v>9533</v>
      </c>
      <c r="F2" s="816" t="s">
        <v>25</v>
      </c>
      <c r="G2" s="816" t="s">
        <v>9547</v>
      </c>
      <c r="H2">
        <v>2</v>
      </c>
      <c r="I2" s="816" t="s">
        <v>12</v>
      </c>
      <c r="J2" s="816" t="s">
        <v>12</v>
      </c>
      <c r="K2" s="817">
        <v>0.13497685185185185</v>
      </c>
      <c r="L2" s="817">
        <v>0.2016435185185185</v>
      </c>
      <c r="M2" s="817"/>
      <c r="N2" s="817"/>
      <c r="O2" s="817">
        <v>0.4626736111111111</v>
      </c>
      <c r="P2" s="817">
        <v>0.72369212962962959</v>
      </c>
      <c r="Q2" s="817"/>
      <c r="R2" s="816"/>
      <c r="S2" s="817"/>
      <c r="T2" s="817"/>
      <c r="U2" s="816" t="s">
        <v>9551</v>
      </c>
      <c r="V2" s="816" t="s">
        <v>9551</v>
      </c>
      <c r="W2" s="267"/>
      <c r="X2" s="816" t="s">
        <v>26</v>
      </c>
      <c r="Y2">
        <v>19.8</v>
      </c>
      <c r="Z2">
        <v>91.8</v>
      </c>
      <c r="AA2" s="816" t="s">
        <v>9560</v>
      </c>
      <c r="AB2" s="816" t="s">
        <v>9588</v>
      </c>
      <c r="AC2" s="816"/>
      <c r="AD2" s="816"/>
      <c r="AE2" s="816"/>
      <c r="AF2" s="816"/>
      <c r="AG2" s="816"/>
      <c r="AI2" s="816"/>
      <c r="AK2" s="816"/>
      <c r="AM2" s="816"/>
    </row>
    <row r="3" spans="1:40" x14ac:dyDescent="0.25">
      <c r="A3" s="265">
        <v>43429</v>
      </c>
      <c r="B3">
        <v>0</v>
      </c>
      <c r="C3" s="816" t="s">
        <v>3</v>
      </c>
      <c r="D3">
        <v>532</v>
      </c>
      <c r="E3" s="816" t="s">
        <v>9533</v>
      </c>
      <c r="F3" s="816" t="s">
        <v>25</v>
      </c>
      <c r="G3" s="816" t="s">
        <v>9547</v>
      </c>
      <c r="H3">
        <v>3</v>
      </c>
      <c r="I3" s="816" t="s">
        <v>23</v>
      </c>
      <c r="J3" s="816" t="s">
        <v>23</v>
      </c>
      <c r="K3" s="817">
        <v>0.1350925925925926</v>
      </c>
      <c r="L3" s="817">
        <v>0.20175925925925928</v>
      </c>
      <c r="M3" s="817"/>
      <c r="N3" s="817"/>
      <c r="O3" s="817">
        <v>0.46288194444444447</v>
      </c>
      <c r="P3" s="817">
        <v>0.72400462962962964</v>
      </c>
      <c r="Q3" s="817"/>
      <c r="R3" s="816"/>
      <c r="S3" s="817"/>
      <c r="T3" s="817"/>
      <c r="U3" s="816" t="s">
        <v>9551</v>
      </c>
      <c r="V3" s="816" t="s">
        <v>9551</v>
      </c>
      <c r="W3" s="267"/>
      <c r="X3" s="816" t="s">
        <v>26</v>
      </c>
      <c r="Y3">
        <v>31.1</v>
      </c>
      <c r="Z3">
        <v>99.5</v>
      </c>
      <c r="AA3" s="816" t="s">
        <v>9561</v>
      </c>
      <c r="AB3" s="816" t="s">
        <v>9589</v>
      </c>
      <c r="AC3" s="816"/>
      <c r="AD3" s="816"/>
      <c r="AE3" s="816"/>
      <c r="AF3" s="816"/>
      <c r="AG3" s="816"/>
      <c r="AI3" s="816"/>
      <c r="AK3" s="816"/>
      <c r="AM3" s="816"/>
    </row>
    <row r="4" spans="1:40" x14ac:dyDescent="0.25">
      <c r="A4" s="265">
        <v>43430</v>
      </c>
      <c r="B4">
        <v>1</v>
      </c>
      <c r="C4" s="816" t="s">
        <v>4</v>
      </c>
      <c r="D4">
        <v>532</v>
      </c>
      <c r="E4" s="816" t="s">
        <v>9533</v>
      </c>
      <c r="F4" s="816" t="s">
        <v>25</v>
      </c>
      <c r="G4" s="816" t="s">
        <v>9547</v>
      </c>
      <c r="H4">
        <v>4</v>
      </c>
      <c r="I4" s="816" t="s">
        <v>13</v>
      </c>
      <c r="J4" s="816" t="s">
        <v>13</v>
      </c>
      <c r="K4" s="817">
        <v>0.13520833333333335</v>
      </c>
      <c r="L4" s="817">
        <v>0.201875</v>
      </c>
      <c r="M4" s="817"/>
      <c r="N4" s="817"/>
      <c r="O4" s="817">
        <v>0.46309027777777773</v>
      </c>
      <c r="P4" s="817">
        <v>0.72430555555555554</v>
      </c>
      <c r="Q4" s="817"/>
      <c r="R4" s="816"/>
      <c r="S4" s="817"/>
      <c r="T4" s="817"/>
      <c r="U4" s="816" t="s">
        <v>9551</v>
      </c>
      <c r="V4" s="816" t="s">
        <v>9551</v>
      </c>
      <c r="W4" s="267"/>
      <c r="X4" s="816" t="s">
        <v>26</v>
      </c>
      <c r="Y4">
        <v>42.9</v>
      </c>
      <c r="Z4">
        <v>7.7</v>
      </c>
      <c r="AA4" s="816" t="s">
        <v>9563</v>
      </c>
      <c r="AB4" s="816" t="s">
        <v>9590</v>
      </c>
      <c r="AC4" s="816"/>
      <c r="AD4" s="816"/>
      <c r="AE4" s="816"/>
      <c r="AF4" s="816"/>
      <c r="AG4" s="816"/>
      <c r="AI4" s="816"/>
      <c r="AK4" s="816"/>
      <c r="AM4" s="816"/>
    </row>
    <row r="5" spans="1:40" x14ac:dyDescent="0.25">
      <c r="A5" s="265">
        <v>43431</v>
      </c>
      <c r="B5">
        <v>2</v>
      </c>
      <c r="C5" s="816" t="s">
        <v>5</v>
      </c>
      <c r="D5">
        <v>532</v>
      </c>
      <c r="E5" s="816" t="s">
        <v>9533</v>
      </c>
      <c r="F5" s="816" t="s">
        <v>25</v>
      </c>
      <c r="G5" s="816" t="s">
        <v>9547</v>
      </c>
      <c r="H5">
        <v>5</v>
      </c>
      <c r="I5" s="816" t="s">
        <v>14</v>
      </c>
      <c r="J5" s="816" t="s">
        <v>14</v>
      </c>
      <c r="K5" s="817">
        <v>0.13534722222222223</v>
      </c>
      <c r="L5" s="817">
        <v>0.20201388888888891</v>
      </c>
      <c r="M5" s="817"/>
      <c r="N5" s="817"/>
      <c r="O5" s="817">
        <v>0.46332175925925928</v>
      </c>
      <c r="P5" s="817">
        <v>0.72461805555555558</v>
      </c>
      <c r="Q5" s="817"/>
      <c r="R5" s="816"/>
      <c r="S5" s="817"/>
      <c r="T5" s="817"/>
      <c r="U5" s="816" t="s">
        <v>9551</v>
      </c>
      <c r="V5" s="816" t="s">
        <v>9551</v>
      </c>
      <c r="W5" s="267"/>
      <c r="X5" s="816" t="s">
        <v>26</v>
      </c>
      <c r="Y5">
        <v>54.5</v>
      </c>
      <c r="Z5">
        <v>15.7</v>
      </c>
      <c r="AA5" s="816" t="s">
        <v>9564</v>
      </c>
      <c r="AB5" s="816" t="s">
        <v>9591</v>
      </c>
      <c r="AC5" s="816"/>
      <c r="AD5" s="816"/>
      <c r="AE5" s="816"/>
      <c r="AF5" s="816"/>
      <c r="AG5" s="816"/>
      <c r="AI5" s="816"/>
      <c r="AK5" s="816"/>
      <c r="AM5" s="816"/>
    </row>
    <row r="6" spans="1:40" x14ac:dyDescent="0.25">
      <c r="A6" s="265">
        <v>43432</v>
      </c>
      <c r="B6">
        <v>3</v>
      </c>
      <c r="C6" s="816" t="s">
        <v>6</v>
      </c>
      <c r="D6">
        <v>532</v>
      </c>
      <c r="E6" s="816" t="s">
        <v>9533</v>
      </c>
      <c r="F6" s="816" t="s">
        <v>25</v>
      </c>
      <c r="G6" s="816" t="s">
        <v>9547</v>
      </c>
      <c r="H6">
        <v>6</v>
      </c>
      <c r="I6" s="816" t="s">
        <v>15</v>
      </c>
      <c r="J6" s="816" t="s">
        <v>15</v>
      </c>
      <c r="K6" s="817">
        <v>0.13549768518518518</v>
      </c>
      <c r="L6" s="817">
        <v>0.20216435185185186</v>
      </c>
      <c r="M6" s="817"/>
      <c r="N6" s="817"/>
      <c r="O6" s="817">
        <v>0.46355324074074072</v>
      </c>
      <c r="P6" s="817">
        <v>0.72494212962962967</v>
      </c>
      <c r="Q6" s="817"/>
      <c r="R6" s="816"/>
      <c r="S6" s="817"/>
      <c r="T6" s="817"/>
      <c r="U6" s="816" t="s">
        <v>9551</v>
      </c>
      <c r="V6" s="816" t="s">
        <v>9551</v>
      </c>
      <c r="W6" s="267"/>
      <c r="X6" s="816" t="s">
        <v>26</v>
      </c>
      <c r="Y6">
        <v>65.400000000000006</v>
      </c>
      <c r="Z6">
        <v>23.1</v>
      </c>
      <c r="AA6" s="816" t="s">
        <v>9565</v>
      </c>
      <c r="AB6" s="816" t="s">
        <v>9605</v>
      </c>
      <c r="AC6" s="816"/>
      <c r="AD6" s="816"/>
      <c r="AE6" s="816"/>
      <c r="AF6" s="816"/>
      <c r="AG6" s="816"/>
      <c r="AI6" s="816"/>
      <c r="AK6" s="816"/>
      <c r="AM6" s="816"/>
    </row>
    <row r="7" spans="1:40" x14ac:dyDescent="0.25">
      <c r="A7" s="265">
        <v>43433</v>
      </c>
      <c r="B7">
        <v>4</v>
      </c>
      <c r="C7" s="816" t="s">
        <v>7</v>
      </c>
      <c r="D7">
        <v>532</v>
      </c>
      <c r="E7" s="816" t="s">
        <v>9533</v>
      </c>
      <c r="F7" s="816" t="s">
        <v>25</v>
      </c>
      <c r="G7" s="816" t="s">
        <v>9547</v>
      </c>
      <c r="H7">
        <v>7</v>
      </c>
      <c r="I7" s="816" t="s">
        <v>16</v>
      </c>
      <c r="J7" s="816" t="s">
        <v>16</v>
      </c>
      <c r="K7" s="817">
        <v>0.13564814814814816</v>
      </c>
      <c r="L7" s="817">
        <v>0.20231481481481484</v>
      </c>
      <c r="M7" s="817"/>
      <c r="N7" s="817"/>
      <c r="O7" s="817">
        <v>0.46378472222222222</v>
      </c>
      <c r="P7" s="817">
        <v>0.72525462962962972</v>
      </c>
      <c r="Q7" s="817"/>
      <c r="R7" s="816"/>
      <c r="S7" s="817"/>
      <c r="T7" s="817"/>
      <c r="U7" s="816" t="s">
        <v>9551</v>
      </c>
      <c r="V7" s="816" t="s">
        <v>9551</v>
      </c>
      <c r="W7" s="267"/>
      <c r="X7" s="816" t="s">
        <v>26</v>
      </c>
      <c r="Y7">
        <v>75.2</v>
      </c>
      <c r="Z7">
        <v>29.6</v>
      </c>
      <c r="AA7" s="816" t="s">
        <v>9566</v>
      </c>
      <c r="AB7" s="816" t="s">
        <v>9593</v>
      </c>
      <c r="AC7" s="816"/>
      <c r="AD7" s="816"/>
      <c r="AE7" s="816"/>
      <c r="AF7" s="816"/>
      <c r="AG7" s="816"/>
      <c r="AI7" s="816"/>
      <c r="AK7" s="816"/>
      <c r="AM7" s="816"/>
    </row>
    <row r="8" spans="1:40" x14ac:dyDescent="0.25">
      <c r="A8" s="265">
        <v>43434</v>
      </c>
      <c r="B8">
        <v>5</v>
      </c>
      <c r="C8" s="816" t="s">
        <v>1</v>
      </c>
      <c r="D8">
        <v>532</v>
      </c>
      <c r="E8" s="816" t="s">
        <v>9533</v>
      </c>
      <c r="F8" s="816" t="s">
        <v>25</v>
      </c>
      <c r="G8" s="816" t="s">
        <v>9547</v>
      </c>
      <c r="H8">
        <v>8</v>
      </c>
      <c r="I8" s="816" t="s">
        <v>17</v>
      </c>
      <c r="J8" s="816" t="s">
        <v>17</v>
      </c>
      <c r="K8" s="817">
        <v>0.13582175925925927</v>
      </c>
      <c r="L8" s="817">
        <v>0.20248842592592595</v>
      </c>
      <c r="M8" s="817"/>
      <c r="N8" s="817"/>
      <c r="O8" s="817">
        <v>0.4640393518518518</v>
      </c>
      <c r="P8" s="817">
        <v>0.72559027777777774</v>
      </c>
      <c r="Q8" s="817"/>
      <c r="R8" s="816"/>
      <c r="S8" s="817"/>
      <c r="T8" s="817"/>
      <c r="U8" s="816" t="s">
        <v>9551</v>
      </c>
      <c r="V8" s="816" t="s">
        <v>9551</v>
      </c>
      <c r="W8" s="267"/>
      <c r="X8" s="816" t="s">
        <v>26</v>
      </c>
      <c r="Y8">
        <v>83.8</v>
      </c>
      <c r="Z8">
        <v>35</v>
      </c>
      <c r="AA8" s="816" t="s">
        <v>9567</v>
      </c>
      <c r="AB8" s="816" t="s">
        <v>9594</v>
      </c>
      <c r="AC8" s="816"/>
      <c r="AD8" s="816"/>
      <c r="AE8" s="816"/>
      <c r="AF8" s="816"/>
      <c r="AG8" s="816"/>
      <c r="AI8" s="816"/>
      <c r="AK8" s="816"/>
      <c r="AM8" s="816"/>
    </row>
    <row r="9" spans="1:40" x14ac:dyDescent="0.25">
      <c r="A9" s="265">
        <v>43435</v>
      </c>
      <c r="B9">
        <v>6</v>
      </c>
      <c r="C9" s="816" t="s">
        <v>2</v>
      </c>
      <c r="D9">
        <v>532</v>
      </c>
      <c r="E9" s="816" t="s">
        <v>9533</v>
      </c>
      <c r="F9" s="816" t="s">
        <v>25</v>
      </c>
      <c r="G9" s="816" t="s">
        <v>9547</v>
      </c>
      <c r="H9">
        <v>9</v>
      </c>
      <c r="I9" s="816" t="s">
        <v>18</v>
      </c>
      <c r="J9" s="816" t="s">
        <v>18</v>
      </c>
      <c r="K9" s="817">
        <v>0.13600694444444444</v>
      </c>
      <c r="L9" s="817">
        <v>0.20267361111111112</v>
      </c>
      <c r="M9" s="817"/>
      <c r="N9" s="817"/>
      <c r="O9" s="817">
        <v>0.46429398148148149</v>
      </c>
      <c r="P9" s="817">
        <v>0.72592592592592586</v>
      </c>
      <c r="Q9" s="817"/>
      <c r="R9" s="816"/>
      <c r="S9" s="817"/>
      <c r="T9" s="817"/>
      <c r="U9" s="816" t="s">
        <v>9551</v>
      </c>
      <c r="V9" s="816" t="s">
        <v>9551</v>
      </c>
      <c r="W9" s="267"/>
      <c r="X9" s="816" t="s">
        <v>26</v>
      </c>
      <c r="Y9">
        <v>91.1</v>
      </c>
      <c r="Z9">
        <v>39.1</v>
      </c>
      <c r="AA9" s="816" t="s">
        <v>9568</v>
      </c>
      <c r="AB9" s="816" t="s">
        <v>9595</v>
      </c>
      <c r="AC9" s="816"/>
      <c r="AD9" s="816"/>
      <c r="AE9" s="816"/>
      <c r="AF9" s="816"/>
      <c r="AG9" s="816"/>
      <c r="AI9" s="816"/>
      <c r="AK9" s="816"/>
      <c r="AM9" s="816"/>
    </row>
    <row r="10" spans="1:40" x14ac:dyDescent="0.25">
      <c r="A10" s="265">
        <v>43436</v>
      </c>
      <c r="B10">
        <v>0</v>
      </c>
      <c r="C10" s="816" t="s">
        <v>3</v>
      </c>
      <c r="D10">
        <v>532</v>
      </c>
      <c r="E10" s="816" t="s">
        <v>9533</v>
      </c>
      <c r="F10" s="816" t="s">
        <v>25</v>
      </c>
      <c r="G10" s="816" t="s">
        <v>9547</v>
      </c>
      <c r="H10">
        <v>10</v>
      </c>
      <c r="I10" s="816" t="s">
        <v>19</v>
      </c>
      <c r="J10" s="816" t="s">
        <v>19</v>
      </c>
      <c r="K10" s="817">
        <v>0.13619212962962965</v>
      </c>
      <c r="L10" s="817">
        <v>0.2028587962962963</v>
      </c>
      <c r="M10" s="817"/>
      <c r="N10" s="817"/>
      <c r="O10" s="817">
        <v>0.46456018518518521</v>
      </c>
      <c r="P10" s="817">
        <v>0.7262615740740741</v>
      </c>
      <c r="Q10" s="817"/>
      <c r="R10" s="816"/>
      <c r="S10" s="817"/>
      <c r="T10" s="817"/>
      <c r="U10" s="816" t="s">
        <v>9551</v>
      </c>
      <c r="V10" s="816" t="s">
        <v>9551</v>
      </c>
      <c r="W10" s="267"/>
      <c r="X10" s="816" t="s">
        <v>26</v>
      </c>
      <c r="Y10">
        <v>97</v>
      </c>
      <c r="Z10">
        <v>42</v>
      </c>
      <c r="AA10" s="816" t="s">
        <v>9569</v>
      </c>
      <c r="AB10" s="816" t="s">
        <v>9596</v>
      </c>
      <c r="AC10" s="816"/>
      <c r="AD10" s="816"/>
      <c r="AE10" s="816"/>
      <c r="AF10" s="816"/>
      <c r="AG10" s="816"/>
      <c r="AI10" s="816"/>
      <c r="AK10" s="816"/>
      <c r="AM10" s="816"/>
    </row>
    <row r="11" spans="1:40" x14ac:dyDescent="0.25">
      <c r="A11" s="265">
        <v>43437</v>
      </c>
      <c r="B11">
        <v>1</v>
      </c>
      <c r="C11" s="816" t="s">
        <v>4</v>
      </c>
      <c r="D11">
        <v>532</v>
      </c>
      <c r="E11" s="816" t="s">
        <v>9533</v>
      </c>
      <c r="F11" s="816" t="s">
        <v>25</v>
      </c>
      <c r="G11" s="816" t="s">
        <v>9547</v>
      </c>
      <c r="H11">
        <v>12</v>
      </c>
      <c r="I11" s="816" t="s">
        <v>9550</v>
      </c>
      <c r="J11" s="816" t="s">
        <v>20</v>
      </c>
      <c r="K11" s="817">
        <v>0.13638888888888889</v>
      </c>
      <c r="L11" s="817">
        <v>0.20305555555555554</v>
      </c>
      <c r="M11" s="817"/>
      <c r="N11" s="817"/>
      <c r="O11" s="817">
        <v>0.46482638888888889</v>
      </c>
      <c r="P11" s="817">
        <v>0.72659722222222223</v>
      </c>
      <c r="Q11" s="817"/>
      <c r="R11" s="816"/>
      <c r="S11" s="817">
        <v>0.23055555555555554</v>
      </c>
      <c r="T11" s="817">
        <v>0.18888888888888888</v>
      </c>
      <c r="U11" s="816" t="s">
        <v>9551</v>
      </c>
      <c r="V11" s="816" t="s">
        <v>9551</v>
      </c>
      <c r="W11" s="267"/>
      <c r="X11" s="816" t="s">
        <v>26</v>
      </c>
      <c r="Y11">
        <v>1.4</v>
      </c>
      <c r="Z11">
        <v>43.6</v>
      </c>
      <c r="AA11" s="816" t="s">
        <v>9570</v>
      </c>
      <c r="AB11" s="816" t="s">
        <v>9597</v>
      </c>
      <c r="AC11" s="816"/>
      <c r="AD11" s="816"/>
      <c r="AE11" s="816"/>
      <c r="AF11" s="816" t="s">
        <v>72</v>
      </c>
      <c r="AG11" s="816" t="s">
        <v>70</v>
      </c>
      <c r="AH11">
        <v>-1</v>
      </c>
      <c r="AI11" s="816"/>
      <c r="AK11" s="816"/>
      <c r="AM11" s="816"/>
    </row>
    <row r="12" spans="1:40" x14ac:dyDescent="0.25">
      <c r="A12" s="265">
        <v>43438</v>
      </c>
      <c r="B12">
        <v>2</v>
      </c>
      <c r="C12" s="816" t="s">
        <v>5</v>
      </c>
      <c r="D12">
        <v>532</v>
      </c>
      <c r="E12" s="816" t="s">
        <v>9533</v>
      </c>
      <c r="F12" s="816" t="s">
        <v>25</v>
      </c>
      <c r="G12" s="816" t="s">
        <v>9547</v>
      </c>
      <c r="H12">
        <v>13</v>
      </c>
      <c r="I12" s="816" t="s">
        <v>8</v>
      </c>
      <c r="J12" s="816" t="s">
        <v>21</v>
      </c>
      <c r="K12" s="817">
        <v>0.1366087962962963</v>
      </c>
      <c r="L12" s="817">
        <v>0.20327546296296295</v>
      </c>
      <c r="M12" s="817">
        <v>0.20277777777777781</v>
      </c>
      <c r="N12" s="817">
        <v>0.37777777777777777</v>
      </c>
      <c r="O12" s="817">
        <v>0.46510416666666665</v>
      </c>
      <c r="P12" s="817">
        <v>0.72694444444444439</v>
      </c>
      <c r="Q12" s="817"/>
      <c r="R12" s="816"/>
      <c r="S12" s="817"/>
      <c r="T12" s="817"/>
      <c r="U12" s="816" t="s">
        <v>9551</v>
      </c>
      <c r="V12" s="816" t="s">
        <v>9551</v>
      </c>
      <c r="W12" s="267"/>
      <c r="X12" s="816" t="s">
        <v>26</v>
      </c>
      <c r="Y12">
        <v>4.3</v>
      </c>
      <c r="Z12">
        <v>43.8</v>
      </c>
      <c r="AA12" s="816" t="s">
        <v>9571</v>
      </c>
      <c r="AB12" s="816" t="s">
        <v>9598</v>
      </c>
      <c r="AC12" s="816"/>
      <c r="AD12" s="816"/>
      <c r="AE12" s="816"/>
      <c r="AF12" s="816"/>
      <c r="AG12" s="816"/>
      <c r="AI12" s="816"/>
      <c r="AK12" s="816"/>
      <c r="AM12" s="816"/>
    </row>
    <row r="13" spans="1:40" x14ac:dyDescent="0.25">
      <c r="A13" s="265">
        <v>43439</v>
      </c>
      <c r="B13">
        <v>3</v>
      </c>
      <c r="C13" s="816" t="s">
        <v>6</v>
      </c>
      <c r="D13">
        <v>532</v>
      </c>
      <c r="E13" s="816" t="s">
        <v>9533</v>
      </c>
      <c r="F13" s="816" t="s">
        <v>25</v>
      </c>
      <c r="G13" s="816" t="s">
        <v>9547</v>
      </c>
      <c r="H13">
        <v>14</v>
      </c>
      <c r="I13" s="816" t="s">
        <v>9</v>
      </c>
      <c r="J13" s="816" t="s">
        <v>8</v>
      </c>
      <c r="K13" s="817">
        <v>0.1368287037037037</v>
      </c>
      <c r="L13" s="817">
        <v>0.20349537037037035</v>
      </c>
      <c r="M13" s="817"/>
      <c r="N13" s="817"/>
      <c r="O13" s="817">
        <v>0.46539351851851851</v>
      </c>
      <c r="P13" s="817">
        <v>0.72729166666666656</v>
      </c>
      <c r="Q13" s="817"/>
      <c r="R13" s="816"/>
      <c r="S13" s="817"/>
      <c r="T13" s="817"/>
      <c r="U13" s="816" t="s">
        <v>9551</v>
      </c>
      <c r="V13" s="816" t="s">
        <v>9551</v>
      </c>
      <c r="W13" s="267"/>
      <c r="X13" s="816" t="s">
        <v>26</v>
      </c>
      <c r="Y13">
        <v>5.4</v>
      </c>
      <c r="Z13">
        <v>42.4</v>
      </c>
      <c r="AA13" s="816" t="s">
        <v>9572</v>
      </c>
      <c r="AB13" s="816" t="s">
        <v>9599</v>
      </c>
      <c r="AC13" s="816"/>
      <c r="AD13" s="816"/>
      <c r="AE13" s="816"/>
      <c r="AF13" s="816"/>
      <c r="AG13" s="816"/>
      <c r="AI13" s="816"/>
      <c r="AK13" s="816"/>
      <c r="AM13" s="816"/>
    </row>
    <row r="14" spans="1:40" x14ac:dyDescent="0.25">
      <c r="A14" s="265">
        <v>43440</v>
      </c>
      <c r="B14">
        <v>4</v>
      </c>
      <c r="C14" s="816" t="s">
        <v>7</v>
      </c>
      <c r="D14">
        <v>532</v>
      </c>
      <c r="E14" s="816" t="s">
        <v>9533</v>
      </c>
      <c r="F14" s="816" t="s">
        <v>25</v>
      </c>
      <c r="G14" s="816" t="s">
        <v>9547</v>
      </c>
      <c r="H14">
        <v>15</v>
      </c>
      <c r="I14" s="816" t="s">
        <v>22</v>
      </c>
      <c r="J14" s="816" t="s">
        <v>9</v>
      </c>
      <c r="K14" s="817">
        <v>0.13706018518518517</v>
      </c>
      <c r="L14" s="817">
        <v>0.20372685185185188</v>
      </c>
      <c r="M14" s="817"/>
      <c r="N14" s="817"/>
      <c r="O14" s="817">
        <v>0.46568287037037037</v>
      </c>
      <c r="P14" s="817">
        <v>0.72763888888888895</v>
      </c>
      <c r="Q14" s="817"/>
      <c r="R14" s="816"/>
      <c r="S14" s="817"/>
      <c r="T14" s="817"/>
      <c r="U14" s="816" t="s">
        <v>9551</v>
      </c>
      <c r="V14" s="816" t="s">
        <v>9551</v>
      </c>
      <c r="W14" s="267"/>
      <c r="X14" s="816" t="s">
        <v>26</v>
      </c>
      <c r="Y14">
        <v>4.7</v>
      </c>
      <c r="Z14">
        <v>39.4</v>
      </c>
      <c r="AA14" s="816" t="s">
        <v>9573</v>
      </c>
      <c r="AB14" s="816" t="s">
        <v>9600</v>
      </c>
      <c r="AC14" s="816"/>
      <c r="AD14" s="816"/>
      <c r="AE14" s="816"/>
      <c r="AF14" s="816"/>
      <c r="AG14" s="816"/>
      <c r="AI14" s="816"/>
      <c r="AK14" s="816"/>
      <c r="AM14" s="816"/>
    </row>
    <row r="15" spans="1:40" x14ac:dyDescent="0.25">
      <c r="A15" s="265">
        <v>43441</v>
      </c>
      <c r="B15">
        <v>5</v>
      </c>
      <c r="C15" s="816" t="s">
        <v>1</v>
      </c>
      <c r="D15">
        <v>532</v>
      </c>
      <c r="E15" s="816" t="s">
        <v>9533</v>
      </c>
      <c r="F15" s="816" t="s">
        <v>24</v>
      </c>
      <c r="G15" s="816" t="s">
        <v>9546</v>
      </c>
      <c r="H15">
        <v>16</v>
      </c>
      <c r="I15" s="816" t="s">
        <v>11</v>
      </c>
      <c r="J15" s="816" t="s">
        <v>22</v>
      </c>
      <c r="K15" s="817">
        <v>0.13729166666666667</v>
      </c>
      <c r="L15" s="817">
        <v>0.20395833333333332</v>
      </c>
      <c r="M15" s="817"/>
      <c r="N15" s="817"/>
      <c r="O15" s="817">
        <v>0.46597222222222223</v>
      </c>
      <c r="P15" s="817">
        <v>0.72799768518518515</v>
      </c>
      <c r="Q15" s="817"/>
      <c r="R15" s="816"/>
      <c r="S15" s="817"/>
      <c r="T15" s="817"/>
      <c r="U15" s="816" t="s">
        <v>9551</v>
      </c>
      <c r="V15" s="816" t="s">
        <v>9551</v>
      </c>
      <c r="W15" s="267"/>
      <c r="X15" s="816" t="s">
        <v>26</v>
      </c>
      <c r="Y15">
        <v>2.1</v>
      </c>
      <c r="Z15">
        <v>34.700000000000003</v>
      </c>
      <c r="AA15" s="816" t="s">
        <v>9574</v>
      </c>
      <c r="AB15" s="816" t="s">
        <v>9601</v>
      </c>
      <c r="AC15" s="816"/>
      <c r="AD15" s="816"/>
      <c r="AE15" s="816"/>
      <c r="AF15" s="816"/>
      <c r="AG15" s="816"/>
      <c r="AI15" s="816"/>
      <c r="AK15" s="816"/>
      <c r="AM15" s="816"/>
    </row>
    <row r="16" spans="1:40" x14ac:dyDescent="0.25">
      <c r="A16" s="265">
        <v>43442</v>
      </c>
      <c r="B16">
        <v>6</v>
      </c>
      <c r="C16" s="816" t="s">
        <v>2</v>
      </c>
      <c r="D16">
        <v>532</v>
      </c>
      <c r="E16" s="816" t="s">
        <v>9533</v>
      </c>
      <c r="F16" s="816" t="s">
        <v>24</v>
      </c>
      <c r="G16" s="816" t="s">
        <v>9546</v>
      </c>
      <c r="H16">
        <v>16</v>
      </c>
      <c r="I16" s="816" t="s">
        <v>11</v>
      </c>
      <c r="J16" s="816" t="s">
        <v>11</v>
      </c>
      <c r="K16" s="817">
        <v>0.13754629629629631</v>
      </c>
      <c r="L16" s="817">
        <v>0.20421296296296299</v>
      </c>
      <c r="M16" s="817"/>
      <c r="N16" s="817"/>
      <c r="O16" s="817">
        <v>0.46628472222222223</v>
      </c>
      <c r="P16" s="817">
        <v>0.72834490740740743</v>
      </c>
      <c r="Q16" s="817"/>
      <c r="R16" s="816"/>
      <c r="S16" s="817"/>
      <c r="T16" s="817"/>
      <c r="U16" s="816" t="s">
        <v>9551</v>
      </c>
      <c r="V16" s="816" t="s">
        <v>9551</v>
      </c>
      <c r="W16" s="267"/>
      <c r="X16" s="816" t="s">
        <v>27</v>
      </c>
      <c r="Y16">
        <v>97.5</v>
      </c>
      <c r="Z16">
        <v>28.2</v>
      </c>
      <c r="AA16" s="816" t="s">
        <v>9575</v>
      </c>
      <c r="AB16" s="816" t="s">
        <v>9602</v>
      </c>
      <c r="AC16" s="816"/>
      <c r="AD16" s="816"/>
      <c r="AE16" s="816"/>
      <c r="AF16" s="816"/>
      <c r="AG16" s="816"/>
      <c r="AI16" s="816"/>
      <c r="AK16" s="816"/>
      <c r="AM16" s="816"/>
    </row>
    <row r="17" spans="1:39" x14ac:dyDescent="0.25">
      <c r="A17" s="265">
        <v>43443</v>
      </c>
      <c r="B17">
        <v>0</v>
      </c>
      <c r="C17" s="816" t="s">
        <v>3</v>
      </c>
      <c r="D17">
        <v>532</v>
      </c>
      <c r="E17" s="816" t="s">
        <v>9533</v>
      </c>
      <c r="F17" s="816" t="s">
        <v>24</v>
      </c>
      <c r="G17" s="816" t="s">
        <v>9546</v>
      </c>
      <c r="H17">
        <v>17</v>
      </c>
      <c r="I17" s="816" t="s">
        <v>12</v>
      </c>
      <c r="J17" s="816" t="s">
        <v>12</v>
      </c>
      <c r="K17" s="817">
        <v>0.13780092592592594</v>
      </c>
      <c r="L17" s="817">
        <v>0.20446759259259259</v>
      </c>
      <c r="M17" s="817"/>
      <c r="N17" s="817"/>
      <c r="O17" s="817">
        <v>0.46658564814814812</v>
      </c>
      <c r="P17" s="817">
        <v>0.72870370370370363</v>
      </c>
      <c r="Q17" s="817"/>
      <c r="R17" s="816"/>
      <c r="S17" s="817"/>
      <c r="T17" s="817"/>
      <c r="U17" s="816" t="s">
        <v>9551</v>
      </c>
      <c r="V17" s="816" t="s">
        <v>9551</v>
      </c>
      <c r="W17" s="267"/>
      <c r="X17" s="816" t="s">
        <v>26</v>
      </c>
      <c r="Y17">
        <v>91.1</v>
      </c>
      <c r="Z17">
        <v>20</v>
      </c>
      <c r="AA17" s="816" t="s">
        <v>9576</v>
      </c>
      <c r="AB17" s="816" t="s">
        <v>9603</v>
      </c>
      <c r="AC17" s="816"/>
      <c r="AD17" s="816"/>
      <c r="AE17" s="816"/>
      <c r="AF17" s="816"/>
      <c r="AG17" s="816"/>
      <c r="AI17" s="816"/>
      <c r="AK17" s="816"/>
      <c r="AM17" s="816"/>
    </row>
    <row r="18" spans="1:39" x14ac:dyDescent="0.25">
      <c r="A18" s="265">
        <v>43444</v>
      </c>
      <c r="B18">
        <v>1</v>
      </c>
      <c r="C18" s="816" t="s">
        <v>4</v>
      </c>
      <c r="D18">
        <v>532</v>
      </c>
      <c r="E18" s="816" t="s">
        <v>9533</v>
      </c>
      <c r="F18" s="816" t="s">
        <v>24</v>
      </c>
      <c r="G18" s="816" t="s">
        <v>9546</v>
      </c>
      <c r="H18">
        <v>18</v>
      </c>
      <c r="I18" s="816" t="s">
        <v>23</v>
      </c>
      <c r="J18" s="816" t="s">
        <v>23</v>
      </c>
      <c r="K18" s="817">
        <v>0.13806712962962964</v>
      </c>
      <c r="L18" s="817">
        <v>0.20473379629629629</v>
      </c>
      <c r="M18" s="817"/>
      <c r="N18" s="817"/>
      <c r="O18" s="817">
        <v>0.46689814814814817</v>
      </c>
      <c r="P18" s="817">
        <v>0.72906249999999995</v>
      </c>
      <c r="Q18" s="817"/>
      <c r="R18" s="816"/>
      <c r="S18" s="817"/>
      <c r="T18" s="817"/>
      <c r="U18" s="816" t="s">
        <v>9551</v>
      </c>
      <c r="V18" s="816" t="s">
        <v>9551</v>
      </c>
      <c r="W18" s="267"/>
      <c r="X18" s="816" t="s">
        <v>26</v>
      </c>
      <c r="Y18">
        <v>83.1</v>
      </c>
      <c r="Z18">
        <v>10.4</v>
      </c>
      <c r="AA18" s="816" t="s">
        <v>9577</v>
      </c>
      <c r="AB18" s="816" t="s">
        <v>9579</v>
      </c>
      <c r="AC18" s="816"/>
      <c r="AD18" s="816"/>
      <c r="AE18" s="816"/>
      <c r="AF18" s="816"/>
      <c r="AG18" s="816"/>
      <c r="AI18" s="816"/>
      <c r="AK18" s="816"/>
      <c r="AM18" s="816"/>
    </row>
    <row r="19" spans="1:39" x14ac:dyDescent="0.25">
      <c r="A19" s="265">
        <v>43445</v>
      </c>
      <c r="B19">
        <v>2</v>
      </c>
      <c r="C19" s="816" t="s">
        <v>5</v>
      </c>
      <c r="D19">
        <v>532</v>
      </c>
      <c r="E19" s="816" t="s">
        <v>9533</v>
      </c>
      <c r="F19" s="816" t="s">
        <v>24</v>
      </c>
      <c r="G19" s="816" t="s">
        <v>9546</v>
      </c>
      <c r="H19">
        <v>19</v>
      </c>
      <c r="I19" s="816" t="s">
        <v>13</v>
      </c>
      <c r="J19" s="816" t="s">
        <v>13</v>
      </c>
      <c r="K19" s="817">
        <v>0.1383449074074074</v>
      </c>
      <c r="L19" s="817">
        <v>0.20501157407407408</v>
      </c>
      <c r="M19" s="817"/>
      <c r="N19" s="817"/>
      <c r="O19" s="817">
        <v>0.46722222222222221</v>
      </c>
      <c r="P19" s="817">
        <v>0.72942129629629626</v>
      </c>
      <c r="Q19" s="817"/>
      <c r="R19" s="816"/>
      <c r="S19" s="817"/>
      <c r="T19" s="817"/>
      <c r="U19" s="816" t="s">
        <v>9551</v>
      </c>
      <c r="V19" s="816" t="s">
        <v>9551</v>
      </c>
      <c r="W19" s="267"/>
      <c r="X19" s="816" t="s">
        <v>26</v>
      </c>
      <c r="Y19">
        <v>73.8</v>
      </c>
      <c r="Z19">
        <v>99.7</v>
      </c>
      <c r="AA19" s="816" t="s">
        <v>9577</v>
      </c>
      <c r="AB19" s="816" t="s">
        <v>9580</v>
      </c>
      <c r="AC19" s="816"/>
      <c r="AD19" s="816"/>
      <c r="AE19" s="816"/>
      <c r="AF19" s="816"/>
      <c r="AG19" s="816"/>
      <c r="AI19" s="816"/>
      <c r="AK19" s="816"/>
      <c r="AM19" s="816"/>
    </row>
    <row r="20" spans="1:39" x14ac:dyDescent="0.25">
      <c r="A20" s="265">
        <v>43446</v>
      </c>
      <c r="B20">
        <v>3</v>
      </c>
      <c r="C20" s="816" t="s">
        <v>6</v>
      </c>
      <c r="D20">
        <v>532</v>
      </c>
      <c r="E20" s="816" t="s">
        <v>9533</v>
      </c>
      <c r="F20" s="816" t="s">
        <v>24</v>
      </c>
      <c r="G20" s="816" t="s">
        <v>9546</v>
      </c>
      <c r="H20">
        <v>20</v>
      </c>
      <c r="I20" s="816" t="s">
        <v>14</v>
      </c>
      <c r="J20" s="816" t="s">
        <v>14</v>
      </c>
      <c r="K20" s="817">
        <v>0.13863425925925926</v>
      </c>
      <c r="L20" s="817">
        <v>0.20530092592592594</v>
      </c>
      <c r="M20" s="817"/>
      <c r="N20" s="817"/>
      <c r="O20" s="817">
        <v>0.4675347222222222</v>
      </c>
      <c r="P20" s="817">
        <v>0.72978009259259258</v>
      </c>
      <c r="Q20" s="817"/>
      <c r="R20" s="816"/>
      <c r="S20" s="817"/>
      <c r="T20" s="817"/>
      <c r="U20" s="816" t="s">
        <v>9551</v>
      </c>
      <c r="V20" s="816" t="s">
        <v>9551</v>
      </c>
      <c r="W20" s="267"/>
      <c r="X20" s="816" t="s">
        <v>26</v>
      </c>
      <c r="Y20">
        <v>63.7</v>
      </c>
      <c r="Z20">
        <v>88.2</v>
      </c>
      <c r="AA20" s="816" t="s">
        <v>9552</v>
      </c>
      <c r="AB20" s="816" t="s">
        <v>9581</v>
      </c>
      <c r="AC20" s="816"/>
      <c r="AD20" s="816"/>
      <c r="AE20" s="816"/>
      <c r="AF20" s="816"/>
      <c r="AG20" s="816"/>
      <c r="AI20" s="816"/>
      <c r="AK20" s="816"/>
      <c r="AM20" s="816"/>
    </row>
    <row r="21" spans="1:39" x14ac:dyDescent="0.25">
      <c r="A21" s="265">
        <v>43447</v>
      </c>
      <c r="B21">
        <v>4</v>
      </c>
      <c r="C21" s="816" t="s">
        <v>7</v>
      </c>
      <c r="D21">
        <v>532</v>
      </c>
      <c r="E21" s="816" t="s">
        <v>9533</v>
      </c>
      <c r="F21" s="816" t="s">
        <v>24</v>
      </c>
      <c r="G21" s="816" t="s">
        <v>9546</v>
      </c>
      <c r="H21">
        <v>21</v>
      </c>
      <c r="I21" s="816" t="s">
        <v>15</v>
      </c>
      <c r="J21" s="816" t="s">
        <v>15</v>
      </c>
      <c r="K21" s="817">
        <v>0.13892361111111109</v>
      </c>
      <c r="L21" s="817">
        <v>0.20559027777777775</v>
      </c>
      <c r="M21" s="817"/>
      <c r="N21" s="817"/>
      <c r="O21" s="817">
        <v>0.46785879629629629</v>
      </c>
      <c r="P21" s="817">
        <v>0.73013888888888889</v>
      </c>
      <c r="Q21" s="817"/>
      <c r="R21" s="816"/>
      <c r="S21" s="817"/>
      <c r="T21" s="817"/>
      <c r="U21" s="816" t="s">
        <v>9551</v>
      </c>
      <c r="V21" s="816" t="s">
        <v>9551</v>
      </c>
      <c r="W21" s="267"/>
      <c r="X21" s="816" t="s">
        <v>26</v>
      </c>
      <c r="Y21">
        <v>53.5</v>
      </c>
      <c r="Z21">
        <v>76.599999999999994</v>
      </c>
      <c r="AA21" s="816" t="s">
        <v>9553</v>
      </c>
      <c r="AB21" s="816" t="s">
        <v>9582</v>
      </c>
      <c r="AC21" s="816"/>
      <c r="AD21" s="816"/>
      <c r="AE21" s="816"/>
      <c r="AF21" s="816"/>
      <c r="AG21" s="816"/>
      <c r="AI21" s="816"/>
      <c r="AK21" s="816"/>
      <c r="AM21" s="816"/>
    </row>
    <row r="22" spans="1:39" x14ac:dyDescent="0.25">
      <c r="A22" s="265">
        <v>43448</v>
      </c>
      <c r="B22">
        <v>5</v>
      </c>
      <c r="C22" s="816" t="s">
        <v>1</v>
      </c>
      <c r="D22">
        <v>532</v>
      </c>
      <c r="E22" s="816" t="s">
        <v>9533</v>
      </c>
      <c r="F22" s="816" t="s">
        <v>24</v>
      </c>
      <c r="G22" s="816" t="s">
        <v>9546</v>
      </c>
      <c r="H22">
        <v>22</v>
      </c>
      <c r="I22" s="816" t="s">
        <v>16</v>
      </c>
      <c r="J22" s="816" t="s">
        <v>16</v>
      </c>
      <c r="K22" s="817">
        <v>0.13922453703703705</v>
      </c>
      <c r="L22" s="817">
        <v>0.2058912037037037</v>
      </c>
      <c r="M22" s="817"/>
      <c r="N22" s="817"/>
      <c r="O22" s="817">
        <v>0.46819444444444441</v>
      </c>
      <c r="P22" s="817">
        <v>0.73049768518518521</v>
      </c>
      <c r="Q22" s="817"/>
      <c r="R22" s="816"/>
      <c r="S22" s="817"/>
      <c r="T22" s="817"/>
      <c r="U22" s="816" t="s">
        <v>9551</v>
      </c>
      <c r="V22" s="816" t="s">
        <v>9551</v>
      </c>
      <c r="W22" s="267"/>
      <c r="X22" s="816" t="s">
        <v>26</v>
      </c>
      <c r="Y22">
        <v>43.7</v>
      </c>
      <c r="Z22">
        <v>65.400000000000006</v>
      </c>
      <c r="AA22" s="816" t="s">
        <v>9554</v>
      </c>
      <c r="AB22" s="816" t="s">
        <v>9583</v>
      </c>
      <c r="AC22" s="816"/>
      <c r="AD22" s="816"/>
      <c r="AE22" s="816"/>
      <c r="AF22" s="816"/>
      <c r="AG22" s="816"/>
      <c r="AI22" s="816"/>
      <c r="AK22" s="816"/>
      <c r="AM22" s="816"/>
    </row>
    <row r="23" spans="1:39" x14ac:dyDescent="0.25">
      <c r="A23" s="265">
        <v>43449</v>
      </c>
      <c r="B23">
        <v>6</v>
      </c>
      <c r="C23" s="816" t="s">
        <v>2</v>
      </c>
      <c r="D23">
        <v>532</v>
      </c>
      <c r="E23" s="816" t="s">
        <v>9533</v>
      </c>
      <c r="F23" s="816" t="s">
        <v>24</v>
      </c>
      <c r="G23" s="816" t="s">
        <v>9546</v>
      </c>
      <c r="H23">
        <v>23</v>
      </c>
      <c r="I23" s="816" t="s">
        <v>17</v>
      </c>
      <c r="J23" s="816" t="s">
        <v>17</v>
      </c>
      <c r="K23" s="817">
        <v>0.13952546296296295</v>
      </c>
      <c r="L23" s="817">
        <v>0.20619212962962963</v>
      </c>
      <c r="M23" s="817"/>
      <c r="N23" s="817"/>
      <c r="O23" s="817">
        <v>0.4685300925925926</v>
      </c>
      <c r="P23" s="817">
        <v>0.73085648148148152</v>
      </c>
      <c r="Q23" s="817"/>
      <c r="R23" s="816"/>
      <c r="S23" s="817"/>
      <c r="T23" s="817"/>
      <c r="U23" s="816" t="s">
        <v>9551</v>
      </c>
      <c r="V23" s="816" t="s">
        <v>9551</v>
      </c>
      <c r="W23" s="267"/>
      <c r="X23" s="816" t="s">
        <v>26</v>
      </c>
      <c r="Y23">
        <v>35</v>
      </c>
      <c r="Z23">
        <v>55.3</v>
      </c>
      <c r="AA23" s="816" t="s">
        <v>9555</v>
      </c>
      <c r="AB23" s="816" t="s">
        <v>9584</v>
      </c>
      <c r="AC23" s="816"/>
      <c r="AD23" s="816"/>
      <c r="AE23" s="816"/>
      <c r="AF23" s="816"/>
      <c r="AG23" s="816"/>
      <c r="AI23" s="816"/>
      <c r="AK23" s="816"/>
      <c r="AM23" s="816"/>
    </row>
    <row r="24" spans="1:39" x14ac:dyDescent="0.25">
      <c r="A24" s="265">
        <v>43450</v>
      </c>
      <c r="B24">
        <v>0</v>
      </c>
      <c r="C24" s="816" t="s">
        <v>3</v>
      </c>
      <c r="D24">
        <v>532</v>
      </c>
      <c r="E24" s="816" t="s">
        <v>9533</v>
      </c>
      <c r="F24" s="816" t="s">
        <v>24</v>
      </c>
      <c r="G24" s="816" t="s">
        <v>9546</v>
      </c>
      <c r="H24">
        <v>24</v>
      </c>
      <c r="I24" s="816" t="s">
        <v>18</v>
      </c>
      <c r="J24" s="816" t="s">
        <v>18</v>
      </c>
      <c r="K24" s="817">
        <v>0.13983796296296297</v>
      </c>
      <c r="L24" s="817">
        <v>0.20650462962962965</v>
      </c>
      <c r="M24" s="817"/>
      <c r="N24" s="817"/>
      <c r="O24" s="817">
        <v>0.46886574074074078</v>
      </c>
      <c r="P24" s="817">
        <v>0.73121527777777784</v>
      </c>
      <c r="Q24" s="817">
        <v>2.3865740740740743E-2</v>
      </c>
      <c r="R24" s="816" t="s">
        <v>73</v>
      </c>
      <c r="S24" s="817"/>
      <c r="T24" s="817"/>
      <c r="U24" s="816" t="s">
        <v>9551</v>
      </c>
      <c r="V24" s="816" t="s">
        <v>9551</v>
      </c>
      <c r="W24" s="267"/>
      <c r="X24" s="816" t="s">
        <v>26</v>
      </c>
      <c r="Y24">
        <v>28.2</v>
      </c>
      <c r="Z24">
        <v>46.8</v>
      </c>
      <c r="AA24" s="816" t="s">
        <v>9556</v>
      </c>
      <c r="AB24" s="816" t="s">
        <v>9585</v>
      </c>
      <c r="AC24" s="816"/>
      <c r="AD24" s="816"/>
      <c r="AE24" s="816"/>
      <c r="AF24" s="816"/>
      <c r="AG24" s="816"/>
      <c r="AI24" s="816"/>
      <c r="AK24" s="816"/>
      <c r="AM24" s="816"/>
    </row>
    <row r="25" spans="1:39" x14ac:dyDescent="0.25">
      <c r="A25" s="265">
        <v>43451</v>
      </c>
      <c r="B25">
        <v>1</v>
      </c>
      <c r="C25" s="816" t="s">
        <v>4</v>
      </c>
      <c r="D25">
        <v>532</v>
      </c>
      <c r="E25" s="816" t="s">
        <v>9533</v>
      </c>
      <c r="F25" s="816" t="s">
        <v>24</v>
      </c>
      <c r="G25" s="816" t="s">
        <v>9546</v>
      </c>
      <c r="H25">
        <v>25</v>
      </c>
      <c r="I25" s="816" t="s">
        <v>19</v>
      </c>
      <c r="J25" s="816" t="s">
        <v>19</v>
      </c>
      <c r="K25" s="817">
        <v>0.14015046296296296</v>
      </c>
      <c r="L25" s="817">
        <v>0.20681712962962964</v>
      </c>
      <c r="M25" s="817"/>
      <c r="N25" s="817"/>
      <c r="O25" s="817">
        <v>0.4692013888888889</v>
      </c>
      <c r="P25" s="817">
        <v>0.73157407407407404</v>
      </c>
      <c r="Q25" s="817"/>
      <c r="R25" s="816"/>
      <c r="S25" s="817"/>
      <c r="T25" s="817"/>
      <c r="U25" s="816" t="s">
        <v>9551</v>
      </c>
      <c r="V25" s="816" t="s">
        <v>9551</v>
      </c>
      <c r="W25" s="267"/>
      <c r="X25" s="816" t="s">
        <v>26</v>
      </c>
      <c r="Y25">
        <v>24</v>
      </c>
      <c r="Z25">
        <v>40.6</v>
      </c>
      <c r="AA25" s="816" t="s">
        <v>9557</v>
      </c>
      <c r="AB25" s="816" t="s">
        <v>9586</v>
      </c>
      <c r="AC25" s="816"/>
      <c r="AD25" s="816"/>
      <c r="AE25" s="816"/>
      <c r="AF25" s="816"/>
      <c r="AG25" s="816"/>
      <c r="AI25" s="816"/>
      <c r="AK25" s="816"/>
      <c r="AM25" s="816"/>
    </row>
    <row r="26" spans="1:39" x14ac:dyDescent="0.25">
      <c r="A26" s="265">
        <v>43452</v>
      </c>
      <c r="B26">
        <v>2</v>
      </c>
      <c r="C26" s="816" t="s">
        <v>5</v>
      </c>
      <c r="D26">
        <v>532</v>
      </c>
      <c r="E26" s="816" t="s">
        <v>9533</v>
      </c>
      <c r="F26" s="816" t="s">
        <v>24</v>
      </c>
      <c r="G26" s="816" t="s">
        <v>9546</v>
      </c>
      <c r="H26">
        <v>26</v>
      </c>
      <c r="I26" s="816" t="s">
        <v>9548</v>
      </c>
      <c r="J26" s="816" t="s">
        <v>20</v>
      </c>
      <c r="K26" s="817">
        <v>0.14048611111111112</v>
      </c>
      <c r="L26" s="817">
        <v>0.20715277777777777</v>
      </c>
      <c r="M26" s="817"/>
      <c r="N26" s="817"/>
      <c r="O26" s="817">
        <v>0.46953703703703703</v>
      </c>
      <c r="P26" s="817">
        <v>0.73193287037037036</v>
      </c>
      <c r="Q26" s="817"/>
      <c r="R26" s="816"/>
      <c r="S26" s="817"/>
      <c r="T26" s="817"/>
      <c r="U26" s="816" t="s">
        <v>9551</v>
      </c>
      <c r="V26" s="816" t="s">
        <v>9551</v>
      </c>
      <c r="W26" s="267"/>
      <c r="X26" s="816" t="s">
        <v>26</v>
      </c>
      <c r="Y26">
        <v>22.9</v>
      </c>
      <c r="Z26">
        <v>37.299999999999997</v>
      </c>
      <c r="AA26" s="816" t="s">
        <v>9558</v>
      </c>
      <c r="AB26" s="816" t="s">
        <v>9604</v>
      </c>
      <c r="AC26" s="816"/>
      <c r="AD26" s="816"/>
      <c r="AE26" s="816"/>
      <c r="AF26" s="816" t="s">
        <v>72</v>
      </c>
      <c r="AG26" s="816" t="s">
        <v>71</v>
      </c>
      <c r="AH26">
        <v>-1</v>
      </c>
      <c r="AI26" s="816"/>
      <c r="AK26" s="816"/>
      <c r="AM26" s="816"/>
    </row>
    <row r="27" spans="1:39" x14ac:dyDescent="0.25">
      <c r="A27" s="265">
        <v>43453</v>
      </c>
      <c r="B27">
        <v>3</v>
      </c>
      <c r="C27" s="816" t="s">
        <v>6</v>
      </c>
      <c r="D27">
        <v>532</v>
      </c>
      <c r="E27" s="816" t="s">
        <v>9533</v>
      </c>
      <c r="F27" s="816" t="s">
        <v>24</v>
      </c>
      <c r="G27" s="816" t="s">
        <v>9546</v>
      </c>
      <c r="H27">
        <v>27</v>
      </c>
      <c r="I27" s="816" t="s">
        <v>21</v>
      </c>
      <c r="J27" s="816" t="s">
        <v>21</v>
      </c>
      <c r="K27" s="817">
        <v>0.14081018518518518</v>
      </c>
      <c r="L27" s="817">
        <v>0.20747685185185186</v>
      </c>
      <c r="M27" s="817">
        <v>0.20694444444444446</v>
      </c>
      <c r="N27" s="817">
        <v>0.38194444444444442</v>
      </c>
      <c r="O27" s="817">
        <v>0.46988425925925931</v>
      </c>
      <c r="P27" s="817">
        <v>0.73228009259259252</v>
      </c>
      <c r="Q27" s="817"/>
      <c r="R27" s="816"/>
      <c r="S27" s="817"/>
      <c r="T27" s="817"/>
      <c r="U27" s="816" t="s">
        <v>9551</v>
      </c>
      <c r="V27" s="816" t="s">
        <v>9551</v>
      </c>
      <c r="W27" s="267"/>
      <c r="X27" s="816" t="s">
        <v>26</v>
      </c>
      <c r="Y27">
        <v>25.3</v>
      </c>
      <c r="Z27">
        <v>37.1</v>
      </c>
      <c r="AA27" s="816" t="s">
        <v>9578</v>
      </c>
      <c r="AB27" s="816" t="s">
        <v>9587</v>
      </c>
      <c r="AC27" s="816"/>
      <c r="AD27" s="816"/>
      <c r="AE27" s="816"/>
      <c r="AF27" s="816"/>
      <c r="AG27" s="816"/>
      <c r="AI27" s="816"/>
      <c r="AK27" s="816"/>
      <c r="AM27" s="816"/>
    </row>
    <row r="28" spans="1:39" x14ac:dyDescent="0.25">
      <c r="A28" s="265">
        <v>43454</v>
      </c>
      <c r="B28">
        <v>4</v>
      </c>
      <c r="C28" s="816" t="s">
        <v>7</v>
      </c>
      <c r="D28">
        <v>532</v>
      </c>
      <c r="E28" s="816" t="s">
        <v>9533</v>
      </c>
      <c r="F28" s="816" t="s">
        <v>24</v>
      </c>
      <c r="G28" s="816" t="s">
        <v>9546</v>
      </c>
      <c r="H28">
        <v>28</v>
      </c>
      <c r="I28" s="816" t="s">
        <v>8</v>
      </c>
      <c r="J28" s="816" t="s">
        <v>8</v>
      </c>
      <c r="K28" s="817">
        <v>0.14114583333333333</v>
      </c>
      <c r="L28" s="817">
        <v>0.20781249999999998</v>
      </c>
      <c r="M28" s="817"/>
      <c r="N28" s="817"/>
      <c r="O28" s="817">
        <v>0.47021990740740738</v>
      </c>
      <c r="P28" s="817">
        <v>0.73263888888888884</v>
      </c>
      <c r="Q28" s="817"/>
      <c r="R28" s="816"/>
      <c r="S28" s="817"/>
      <c r="T28" s="817"/>
      <c r="U28" s="816" t="s">
        <v>9551</v>
      </c>
      <c r="V28" s="816" t="s">
        <v>9551</v>
      </c>
      <c r="W28" s="267"/>
      <c r="X28" s="816" t="s">
        <v>26</v>
      </c>
      <c r="Y28">
        <v>31.4</v>
      </c>
      <c r="Z28">
        <v>40.200000000000003</v>
      </c>
      <c r="AA28" s="816" t="s">
        <v>9559</v>
      </c>
      <c r="AB28" s="816" t="s">
        <v>9588</v>
      </c>
      <c r="AC28" s="816"/>
      <c r="AD28" s="816"/>
      <c r="AE28" s="816"/>
      <c r="AF28" s="816"/>
      <c r="AG28" s="816"/>
      <c r="AI28" s="816"/>
      <c r="AK28" s="816"/>
      <c r="AM28" s="816"/>
    </row>
    <row r="29" spans="1:39" x14ac:dyDescent="0.25">
      <c r="A29" s="265">
        <v>43455</v>
      </c>
      <c r="B29">
        <v>5</v>
      </c>
      <c r="C29" s="816" t="s">
        <v>1</v>
      </c>
      <c r="D29">
        <v>532</v>
      </c>
      <c r="E29" s="816" t="s">
        <v>9533</v>
      </c>
      <c r="F29" s="816" t="s">
        <v>24</v>
      </c>
      <c r="G29" s="816" t="s">
        <v>9546</v>
      </c>
      <c r="H29">
        <v>29</v>
      </c>
      <c r="I29" s="816" t="s">
        <v>9</v>
      </c>
      <c r="J29" s="816" t="s">
        <v>9</v>
      </c>
      <c r="K29" s="817">
        <v>0.14149305555555555</v>
      </c>
      <c r="L29" s="817">
        <v>0.20815972222222223</v>
      </c>
      <c r="M29" s="817"/>
      <c r="N29" s="817"/>
      <c r="O29" s="817">
        <v>0.47056712962962965</v>
      </c>
      <c r="P29" s="817">
        <v>0.73298611111111101</v>
      </c>
      <c r="Q29" s="817"/>
      <c r="R29" s="816"/>
      <c r="S29" s="817"/>
      <c r="T29" s="817"/>
      <c r="U29" s="816" t="s">
        <v>9551</v>
      </c>
      <c r="V29" s="816" t="s">
        <v>9551</v>
      </c>
      <c r="W29" s="267"/>
      <c r="X29" s="816" t="s">
        <v>26</v>
      </c>
      <c r="Y29">
        <v>40.9</v>
      </c>
      <c r="Z29">
        <v>46.4</v>
      </c>
      <c r="AA29" s="816" t="s">
        <v>9560</v>
      </c>
      <c r="AB29" s="816" t="s">
        <v>9589</v>
      </c>
      <c r="AC29" s="816"/>
      <c r="AD29" s="816"/>
      <c r="AE29" s="816"/>
      <c r="AF29" s="816"/>
      <c r="AG29" s="816"/>
      <c r="AI29" s="816"/>
      <c r="AK29" s="816"/>
      <c r="AM29" s="816"/>
    </row>
    <row r="30" spans="1:39" x14ac:dyDescent="0.25">
      <c r="A30" s="265">
        <v>43456</v>
      </c>
      <c r="B30">
        <v>6</v>
      </c>
      <c r="C30" s="816" t="s">
        <v>2</v>
      </c>
      <c r="D30">
        <v>532</v>
      </c>
      <c r="E30" s="816" t="s">
        <v>9533</v>
      </c>
      <c r="F30" s="816" t="s">
        <v>24</v>
      </c>
      <c r="G30" s="816" t="s">
        <v>9546</v>
      </c>
      <c r="H30">
        <v>30</v>
      </c>
      <c r="I30" s="816" t="s">
        <v>10</v>
      </c>
      <c r="J30" s="816" t="s">
        <v>10</v>
      </c>
      <c r="K30" s="817">
        <v>0.14182870370370371</v>
      </c>
      <c r="L30" s="817">
        <v>0.20849537037037036</v>
      </c>
      <c r="M30" s="817"/>
      <c r="N30" s="817"/>
      <c r="O30" s="817">
        <v>0.47091435185185188</v>
      </c>
      <c r="P30" s="817">
        <v>0.73332175925925924</v>
      </c>
      <c r="Q30" s="817"/>
      <c r="R30" s="816"/>
      <c r="S30" s="817"/>
      <c r="T30" s="817"/>
      <c r="U30" s="816" t="s">
        <v>9551</v>
      </c>
      <c r="V30" s="816" t="s">
        <v>9551</v>
      </c>
      <c r="W30" s="267"/>
      <c r="X30" s="816" t="s">
        <v>26</v>
      </c>
      <c r="Y30">
        <v>53.3</v>
      </c>
      <c r="Z30">
        <v>55.2</v>
      </c>
      <c r="AA30" s="816" t="s">
        <v>9561</v>
      </c>
      <c r="AB30" s="816" t="s">
        <v>9591</v>
      </c>
      <c r="AC30" s="816"/>
      <c r="AD30" s="816"/>
      <c r="AE30" s="816"/>
      <c r="AF30" s="816"/>
      <c r="AG30" s="816"/>
      <c r="AI30" s="816"/>
      <c r="AK30" s="816"/>
      <c r="AM30" s="816"/>
    </row>
    <row r="31" spans="1:39" x14ac:dyDescent="0.25">
      <c r="A31" s="265">
        <v>43457</v>
      </c>
      <c r="B31">
        <v>0</v>
      </c>
      <c r="C31" s="816" t="s">
        <v>3</v>
      </c>
      <c r="D31">
        <v>532</v>
      </c>
      <c r="E31" s="816" t="s">
        <v>9534</v>
      </c>
      <c r="F31" s="816" t="s">
        <v>25</v>
      </c>
      <c r="G31" s="816" t="s">
        <v>9547</v>
      </c>
      <c r="H31">
        <v>1</v>
      </c>
      <c r="I31" s="816" t="s">
        <v>11</v>
      </c>
      <c r="J31" s="816" t="s">
        <v>11</v>
      </c>
      <c r="K31" s="817">
        <v>0.14218749999999999</v>
      </c>
      <c r="L31" s="817">
        <v>0.20885416666666667</v>
      </c>
      <c r="M31" s="817"/>
      <c r="N31" s="817"/>
      <c r="O31" s="817">
        <v>0.47126157407407404</v>
      </c>
      <c r="P31" s="817">
        <v>0.73366898148148152</v>
      </c>
      <c r="Q31" s="817"/>
      <c r="R31" s="816"/>
      <c r="S31" s="817"/>
      <c r="T31" s="817"/>
      <c r="U31" s="816" t="s">
        <v>9551</v>
      </c>
      <c r="V31" s="816" t="s">
        <v>9551</v>
      </c>
      <c r="W31" s="267"/>
      <c r="X31" s="816" t="s">
        <v>26</v>
      </c>
      <c r="Y31">
        <v>67.7</v>
      </c>
      <c r="Z31">
        <v>65.8</v>
      </c>
      <c r="AA31" s="816" t="s">
        <v>9562</v>
      </c>
      <c r="AB31" s="816" t="s">
        <v>9605</v>
      </c>
      <c r="AC31" s="816"/>
      <c r="AD31" s="816"/>
      <c r="AE31" s="816"/>
      <c r="AF31" s="816"/>
      <c r="AG31" s="816"/>
      <c r="AI31" s="816"/>
      <c r="AK31" s="816"/>
      <c r="AM31" s="816"/>
    </row>
    <row r="32" spans="1:39" x14ac:dyDescent="0.25">
      <c r="A32" s="265">
        <v>43458</v>
      </c>
      <c r="B32">
        <v>1</v>
      </c>
      <c r="C32" s="816" t="s">
        <v>4</v>
      </c>
      <c r="D32">
        <v>532</v>
      </c>
      <c r="E32" s="816" t="s">
        <v>9534</v>
      </c>
      <c r="F32" s="816" t="s">
        <v>25</v>
      </c>
      <c r="G32" s="816" t="s">
        <v>9547</v>
      </c>
      <c r="H32">
        <v>2</v>
      </c>
      <c r="I32" s="816" t="s">
        <v>12</v>
      </c>
      <c r="J32" s="816" t="s">
        <v>12</v>
      </c>
      <c r="K32" s="817">
        <v>0.14253472222222222</v>
      </c>
      <c r="L32" s="817">
        <v>0.20920138888888887</v>
      </c>
      <c r="M32" s="817"/>
      <c r="N32" s="817"/>
      <c r="O32" s="817">
        <v>0.47159722222222222</v>
      </c>
      <c r="P32" s="817">
        <v>0.73400462962962953</v>
      </c>
      <c r="Q32" s="817"/>
      <c r="R32" s="816"/>
      <c r="S32" s="817"/>
      <c r="T32" s="817"/>
      <c r="U32" s="816" t="s">
        <v>9551</v>
      </c>
      <c r="V32" s="816" t="s">
        <v>9551</v>
      </c>
      <c r="W32" s="267"/>
      <c r="X32" s="816" t="s">
        <v>26</v>
      </c>
      <c r="Y32">
        <v>83.2</v>
      </c>
      <c r="Z32">
        <v>77.400000000000006</v>
      </c>
      <c r="AA32" s="816" t="s">
        <v>9563</v>
      </c>
      <c r="AB32" s="816" t="s">
        <v>9592</v>
      </c>
      <c r="AC32" s="816"/>
      <c r="AD32" s="816"/>
      <c r="AE32" s="816"/>
      <c r="AF32" s="816"/>
      <c r="AG32" s="816"/>
      <c r="AI32" s="816"/>
      <c r="AK32" s="816"/>
      <c r="AM32" s="816"/>
    </row>
    <row r="33" spans="1:39" x14ac:dyDescent="0.25">
      <c r="A33" s="265">
        <v>43459</v>
      </c>
      <c r="B33">
        <v>2</v>
      </c>
      <c r="C33" s="816" t="s">
        <v>5</v>
      </c>
      <c r="D33">
        <v>532</v>
      </c>
      <c r="E33" s="816" t="s">
        <v>9534</v>
      </c>
      <c r="F33" s="816" t="s">
        <v>25</v>
      </c>
      <c r="G33" s="816" t="s">
        <v>9547</v>
      </c>
      <c r="H33">
        <v>3</v>
      </c>
      <c r="I33" s="816" t="s">
        <v>23</v>
      </c>
      <c r="J33" s="816" t="s">
        <v>23</v>
      </c>
      <c r="K33" s="817">
        <v>0.14289351851851853</v>
      </c>
      <c r="L33" s="817">
        <v>0.20956018518518518</v>
      </c>
      <c r="M33" s="817"/>
      <c r="N33" s="817"/>
      <c r="O33" s="817">
        <v>0.47194444444444444</v>
      </c>
      <c r="P33" s="817">
        <v>0.73432870370370373</v>
      </c>
      <c r="Q33" s="817"/>
      <c r="R33" s="816"/>
      <c r="S33" s="817"/>
      <c r="T33" s="817"/>
      <c r="U33" s="816" t="s">
        <v>9551</v>
      </c>
      <c r="V33" s="816" t="s">
        <v>9551</v>
      </c>
      <c r="W33" s="267"/>
      <c r="X33" s="816" t="s">
        <v>26</v>
      </c>
      <c r="Y33">
        <v>98.6</v>
      </c>
      <c r="Z33">
        <v>88.9</v>
      </c>
      <c r="AA33" s="816" t="s">
        <v>9564</v>
      </c>
      <c r="AB33" s="816" t="s">
        <v>9593</v>
      </c>
      <c r="AC33" s="816"/>
      <c r="AD33" s="816"/>
      <c r="AE33" s="816"/>
      <c r="AF33" s="816"/>
      <c r="AG33" s="816"/>
      <c r="AI33" s="816"/>
      <c r="AK33" s="816"/>
      <c r="AM33" s="816"/>
    </row>
    <row r="34" spans="1:39" x14ac:dyDescent="0.25">
      <c r="A34" s="265">
        <v>43460</v>
      </c>
      <c r="B34">
        <v>3</v>
      </c>
      <c r="C34" s="816" t="s">
        <v>6</v>
      </c>
      <c r="D34">
        <v>532</v>
      </c>
      <c r="E34" s="816" t="s">
        <v>9534</v>
      </c>
      <c r="F34" s="816" t="s">
        <v>25</v>
      </c>
      <c r="G34" s="816" t="s">
        <v>9547</v>
      </c>
      <c r="H34">
        <v>5</v>
      </c>
      <c r="I34" s="816" t="s">
        <v>14</v>
      </c>
      <c r="J34" s="816" t="s">
        <v>14</v>
      </c>
      <c r="K34" s="817">
        <v>0.14325231481481482</v>
      </c>
      <c r="L34" s="817">
        <v>0.20991898148148147</v>
      </c>
      <c r="M34" s="817"/>
      <c r="N34" s="817"/>
      <c r="O34" s="817">
        <v>0.47229166666666672</v>
      </c>
      <c r="P34" s="817">
        <v>0.73466435185185175</v>
      </c>
      <c r="Q34" s="817"/>
      <c r="R34" s="816"/>
      <c r="S34" s="817">
        <v>0.22152777777777777</v>
      </c>
      <c r="T34" s="817">
        <v>9.5833333333333326E-2</v>
      </c>
      <c r="U34" s="816" t="s">
        <v>9551</v>
      </c>
      <c r="V34" s="816" t="s">
        <v>9551</v>
      </c>
      <c r="W34" s="267"/>
      <c r="X34" s="816" t="s">
        <v>26</v>
      </c>
      <c r="Y34">
        <v>12.9</v>
      </c>
      <c r="Z34">
        <v>99.4</v>
      </c>
      <c r="AA34" s="816" t="s">
        <v>9565</v>
      </c>
      <c r="AB34" s="816" t="s">
        <v>9594</v>
      </c>
      <c r="AC34" s="816"/>
      <c r="AD34" s="816"/>
      <c r="AE34" s="816"/>
      <c r="AF34" s="816"/>
      <c r="AG34" s="816"/>
      <c r="AI34" s="816"/>
      <c r="AK34" s="816"/>
      <c r="AM34" s="816"/>
    </row>
    <row r="35" spans="1:39" x14ac:dyDescent="0.25">
      <c r="A35" s="265">
        <v>43461</v>
      </c>
      <c r="B35">
        <v>4</v>
      </c>
      <c r="C35" s="816" t="s">
        <v>7</v>
      </c>
      <c r="D35">
        <v>532</v>
      </c>
      <c r="E35" s="816" t="s">
        <v>9534</v>
      </c>
      <c r="F35" s="816" t="s">
        <v>25</v>
      </c>
      <c r="G35" s="816" t="s">
        <v>9547</v>
      </c>
      <c r="H35">
        <v>6</v>
      </c>
      <c r="I35" s="816" t="s">
        <v>15</v>
      </c>
      <c r="J35" s="816" t="s">
        <v>15</v>
      </c>
      <c r="K35" s="817">
        <v>0.14361111111111111</v>
      </c>
      <c r="L35" s="817">
        <v>0.21027777777777779</v>
      </c>
      <c r="M35" s="817"/>
      <c r="N35" s="817"/>
      <c r="O35" s="817">
        <v>0.47262731481481479</v>
      </c>
      <c r="P35" s="817">
        <v>0.7349768518518518</v>
      </c>
      <c r="Q35" s="817"/>
      <c r="R35" s="816"/>
      <c r="S35" s="817"/>
      <c r="T35" s="817"/>
      <c r="U35" s="816" t="s">
        <v>9551</v>
      </c>
      <c r="V35" s="816" t="s">
        <v>9551</v>
      </c>
      <c r="W35" s="267"/>
      <c r="X35" s="816" t="s">
        <v>26</v>
      </c>
      <c r="Y35">
        <v>25.4</v>
      </c>
      <c r="Z35">
        <v>8.3000000000000007</v>
      </c>
      <c r="AA35" s="816" t="s">
        <v>9567</v>
      </c>
      <c r="AB35" s="816" t="s">
        <v>9595</v>
      </c>
      <c r="AC35" s="816"/>
      <c r="AD35" s="816"/>
      <c r="AE35" s="816"/>
      <c r="AF35" s="816"/>
      <c r="AG35" s="816"/>
      <c r="AI35" s="816"/>
      <c r="AK35" s="816"/>
      <c r="AM35" s="816"/>
    </row>
    <row r="36" spans="1:39" x14ac:dyDescent="0.25">
      <c r="A36" s="265">
        <v>43462</v>
      </c>
      <c r="B36">
        <v>5</v>
      </c>
      <c r="C36" s="816" t="s">
        <v>1</v>
      </c>
      <c r="D36">
        <v>532</v>
      </c>
      <c r="E36" s="816" t="s">
        <v>9534</v>
      </c>
      <c r="F36" s="816" t="s">
        <v>25</v>
      </c>
      <c r="G36" s="816" t="s">
        <v>9547</v>
      </c>
      <c r="H36">
        <v>7</v>
      </c>
      <c r="I36" s="816" t="s">
        <v>16</v>
      </c>
      <c r="J36" s="816" t="s">
        <v>16</v>
      </c>
      <c r="K36" s="817">
        <v>0.14396990740740742</v>
      </c>
      <c r="L36" s="817">
        <v>0.21063657407407407</v>
      </c>
      <c r="M36" s="817"/>
      <c r="N36" s="817"/>
      <c r="O36" s="817">
        <v>0.47297453703703707</v>
      </c>
      <c r="P36" s="817">
        <v>0.73530092592592589</v>
      </c>
      <c r="Q36" s="817"/>
      <c r="R36" s="816"/>
      <c r="S36" s="817"/>
      <c r="T36" s="817"/>
      <c r="U36" s="816" t="s">
        <v>9551</v>
      </c>
      <c r="V36" s="816" t="s">
        <v>9551</v>
      </c>
      <c r="W36" s="267"/>
      <c r="X36" s="816" t="s">
        <v>26</v>
      </c>
      <c r="Y36">
        <v>35.5</v>
      </c>
      <c r="Z36">
        <v>15.1</v>
      </c>
      <c r="AA36" s="816" t="s">
        <v>9568</v>
      </c>
      <c r="AB36" s="816" t="s">
        <v>9597</v>
      </c>
      <c r="AC36" s="816"/>
      <c r="AD36" s="816"/>
      <c r="AE36" s="816"/>
      <c r="AF36" s="816"/>
      <c r="AG36" s="816"/>
      <c r="AI36" s="816"/>
      <c r="AK36" s="816"/>
      <c r="AM36" s="816"/>
    </row>
    <row r="37" spans="1:39" x14ac:dyDescent="0.25">
      <c r="A37" s="265">
        <v>43463</v>
      </c>
      <c r="B37">
        <v>6</v>
      </c>
      <c r="C37" s="816" t="s">
        <v>2</v>
      </c>
      <c r="D37">
        <v>532</v>
      </c>
      <c r="E37" s="816" t="s">
        <v>9534</v>
      </c>
      <c r="F37" s="816" t="s">
        <v>25</v>
      </c>
      <c r="G37" s="816" t="s">
        <v>9547</v>
      </c>
      <c r="H37">
        <v>8</v>
      </c>
      <c r="I37" s="816" t="s">
        <v>17</v>
      </c>
      <c r="J37" s="816" t="s">
        <v>17</v>
      </c>
      <c r="K37" s="817">
        <v>0.14434027777777778</v>
      </c>
      <c r="L37" s="817">
        <v>0.21100694444444446</v>
      </c>
      <c r="M37" s="817"/>
      <c r="N37" s="817"/>
      <c r="O37" s="817">
        <v>0.47331018518518514</v>
      </c>
      <c r="P37" s="817">
        <v>0.73560185185185178</v>
      </c>
      <c r="Q37" s="817"/>
      <c r="R37" s="816"/>
      <c r="S37" s="817"/>
      <c r="T37" s="817"/>
      <c r="U37" s="816" t="s">
        <v>9551</v>
      </c>
      <c r="V37" s="816" t="s">
        <v>9551</v>
      </c>
      <c r="W37" s="267"/>
      <c r="X37" s="816" t="s">
        <v>26</v>
      </c>
      <c r="Y37">
        <v>43.2</v>
      </c>
      <c r="Z37">
        <v>19.600000000000001</v>
      </c>
      <c r="AA37" s="816" t="s">
        <v>9569</v>
      </c>
      <c r="AB37" s="816" t="s">
        <v>9598</v>
      </c>
      <c r="AC37" s="816"/>
      <c r="AD37" s="816"/>
      <c r="AE37" s="816"/>
      <c r="AF37" s="816"/>
      <c r="AG37" s="816"/>
      <c r="AI37" s="816"/>
      <c r="AK37" s="816"/>
      <c r="AM37" s="816"/>
    </row>
    <row r="38" spans="1:39" x14ac:dyDescent="0.25">
      <c r="A38" s="265">
        <v>43464</v>
      </c>
      <c r="B38">
        <v>0</v>
      </c>
      <c r="C38" s="816" t="s">
        <v>3</v>
      </c>
      <c r="D38">
        <v>532</v>
      </c>
      <c r="E38" s="816" t="s">
        <v>9534</v>
      </c>
      <c r="F38" s="816" t="s">
        <v>25</v>
      </c>
      <c r="G38" s="816" t="s">
        <v>9547</v>
      </c>
      <c r="H38">
        <v>9</v>
      </c>
      <c r="I38" s="816" t="s">
        <v>18</v>
      </c>
      <c r="J38" s="816" t="s">
        <v>18</v>
      </c>
      <c r="K38" s="817">
        <v>0.14471064814814816</v>
      </c>
      <c r="L38" s="817">
        <v>0.21137731481481481</v>
      </c>
      <c r="M38" s="817"/>
      <c r="N38" s="817"/>
      <c r="O38" s="817">
        <v>0.47364583333333332</v>
      </c>
      <c r="P38" s="817">
        <v>0.73590277777777768</v>
      </c>
      <c r="Q38" s="817"/>
      <c r="R38" s="816"/>
      <c r="S38" s="817"/>
      <c r="T38" s="817"/>
      <c r="U38" s="816" t="s">
        <v>9551</v>
      </c>
      <c r="V38" s="816" t="s">
        <v>9551</v>
      </c>
      <c r="W38" s="267"/>
      <c r="X38" s="816" t="s">
        <v>26</v>
      </c>
      <c r="Y38">
        <v>48.2</v>
      </c>
      <c r="Z38">
        <v>21.8</v>
      </c>
      <c r="AA38" s="816" t="s">
        <v>9570</v>
      </c>
      <c r="AB38" s="816" t="s">
        <v>9599</v>
      </c>
      <c r="AC38" s="816"/>
      <c r="AD38" s="816"/>
      <c r="AE38" s="816"/>
      <c r="AF38" s="816"/>
      <c r="AG38" s="816"/>
      <c r="AI38" s="816"/>
      <c r="AK38" s="816"/>
      <c r="AM38" s="816"/>
    </row>
    <row r="39" spans="1:39" x14ac:dyDescent="0.25">
      <c r="A39" s="265">
        <v>43465</v>
      </c>
      <c r="B39">
        <v>1</v>
      </c>
      <c r="C39" s="816" t="s">
        <v>4</v>
      </c>
      <c r="D39">
        <v>532</v>
      </c>
      <c r="E39" s="816" t="s">
        <v>9534</v>
      </c>
      <c r="F39" s="816" t="s">
        <v>25</v>
      </c>
      <c r="G39" s="816" t="s">
        <v>9547</v>
      </c>
      <c r="H39">
        <v>10</v>
      </c>
      <c r="I39" s="816" t="s">
        <v>19</v>
      </c>
      <c r="J39" s="816" t="s">
        <v>19</v>
      </c>
      <c r="K39" s="817">
        <v>0.14506944444444445</v>
      </c>
      <c r="L39" s="817">
        <v>0.21173611111111112</v>
      </c>
      <c r="M39" s="817"/>
      <c r="N39" s="817"/>
      <c r="O39" s="817">
        <v>0.47396990740740735</v>
      </c>
      <c r="P39" s="817">
        <v>0.7362037037037038</v>
      </c>
      <c r="Q39" s="817"/>
      <c r="R39" s="816"/>
      <c r="S39" s="817"/>
      <c r="T39" s="817"/>
      <c r="U39" s="816" t="s">
        <v>9551</v>
      </c>
      <c r="V39" s="816" t="s">
        <v>9551</v>
      </c>
      <c r="W39" s="267"/>
      <c r="X39" s="816" t="s">
        <v>26</v>
      </c>
      <c r="Y39">
        <v>50.8</v>
      </c>
      <c r="Z39">
        <v>21.7</v>
      </c>
      <c r="AA39" s="816" t="s">
        <v>9571</v>
      </c>
      <c r="AB39" s="816" t="s">
        <v>9600</v>
      </c>
      <c r="AC39" s="816"/>
      <c r="AD39" s="816"/>
      <c r="AE39" s="816"/>
      <c r="AF39" s="816"/>
      <c r="AG39" s="816"/>
      <c r="AI39" s="816"/>
      <c r="AK39" s="816"/>
      <c r="AM39" s="816"/>
    </row>
    <row r="40" spans="1:39" x14ac:dyDescent="0.25">
      <c r="A40" s="265">
        <v>43466</v>
      </c>
      <c r="B40">
        <v>2</v>
      </c>
      <c r="C40" s="816" t="s">
        <v>5</v>
      </c>
      <c r="D40">
        <v>532</v>
      </c>
      <c r="E40" s="816" t="s">
        <v>9534</v>
      </c>
      <c r="F40" s="816" t="s">
        <v>25</v>
      </c>
      <c r="G40" s="816" t="s">
        <v>9547</v>
      </c>
      <c r="H40">
        <v>11</v>
      </c>
      <c r="I40" s="816" t="s">
        <v>9548</v>
      </c>
      <c r="J40" s="816" t="s">
        <v>20</v>
      </c>
      <c r="K40" s="817">
        <v>0.1454398148148148</v>
      </c>
      <c r="L40" s="817">
        <v>0.21210648148148148</v>
      </c>
      <c r="M40" s="817"/>
      <c r="N40" s="817"/>
      <c r="O40" s="817">
        <v>0.47430555555555554</v>
      </c>
      <c r="P40" s="817">
        <v>0.73649305555555555</v>
      </c>
      <c r="Q40" s="817"/>
      <c r="R40" s="816"/>
      <c r="S40" s="817"/>
      <c r="T40" s="817"/>
      <c r="U40" s="816" t="s">
        <v>9551</v>
      </c>
      <c r="V40" s="816" t="s">
        <v>9551</v>
      </c>
      <c r="W40" s="267"/>
      <c r="X40" s="816" t="s">
        <v>26</v>
      </c>
      <c r="Y40">
        <v>51</v>
      </c>
      <c r="Z40">
        <v>19.600000000000001</v>
      </c>
      <c r="AA40" s="816" t="s">
        <v>9572</v>
      </c>
      <c r="AB40" s="816" t="s">
        <v>9601</v>
      </c>
      <c r="AC40" s="816"/>
      <c r="AD40" s="816"/>
      <c r="AE40" s="816"/>
      <c r="AF40" s="816" t="s">
        <v>72</v>
      </c>
      <c r="AG40" s="816" t="s">
        <v>29</v>
      </c>
      <c r="AH40">
        <v>-1</v>
      </c>
      <c r="AI40" s="816"/>
      <c r="AK40" s="816"/>
      <c r="AM40" s="816"/>
    </row>
    <row r="41" spans="1:39" x14ac:dyDescent="0.25">
      <c r="A41" s="265">
        <v>43467</v>
      </c>
      <c r="B41">
        <v>3</v>
      </c>
      <c r="C41" s="816" t="s">
        <v>6</v>
      </c>
      <c r="D41">
        <v>532</v>
      </c>
      <c r="E41" s="816" t="s">
        <v>9534</v>
      </c>
      <c r="F41" s="816" t="s">
        <v>25</v>
      </c>
      <c r="G41" s="816" t="s">
        <v>9547</v>
      </c>
      <c r="H41">
        <v>12</v>
      </c>
      <c r="I41" s="816" t="s">
        <v>21</v>
      </c>
      <c r="J41" s="816" t="s">
        <v>21</v>
      </c>
      <c r="K41" s="817">
        <v>0.14581018518518518</v>
      </c>
      <c r="L41" s="817">
        <v>0.21247685185185183</v>
      </c>
      <c r="M41" s="817">
        <v>0.21180555555555555</v>
      </c>
      <c r="N41" s="817">
        <v>0.38680555555555557</v>
      </c>
      <c r="O41" s="817">
        <v>0.47462962962962968</v>
      </c>
      <c r="P41" s="817">
        <v>0.73677083333333337</v>
      </c>
      <c r="Q41" s="817"/>
      <c r="R41" s="816"/>
      <c r="S41" s="817"/>
      <c r="T41" s="817"/>
      <c r="U41" s="816" t="s">
        <v>9551</v>
      </c>
      <c r="V41" s="816" t="s">
        <v>9551</v>
      </c>
      <c r="W41" s="267"/>
      <c r="X41" s="816" t="s">
        <v>26</v>
      </c>
      <c r="Y41">
        <v>49.2</v>
      </c>
      <c r="Z41">
        <v>15.6</v>
      </c>
      <c r="AA41" s="816" t="s">
        <v>9573</v>
      </c>
      <c r="AB41" s="816" t="s">
        <v>9602</v>
      </c>
      <c r="AC41" s="816"/>
      <c r="AD41" s="816"/>
      <c r="AE41" s="816"/>
      <c r="AF41" s="816"/>
      <c r="AG41" s="816"/>
      <c r="AI41" s="816"/>
      <c r="AK41" s="816"/>
      <c r="AM41" s="816"/>
    </row>
    <row r="42" spans="1:39" x14ac:dyDescent="0.25">
      <c r="A42" s="265">
        <v>43468</v>
      </c>
      <c r="B42">
        <v>4</v>
      </c>
      <c r="C42" s="816" t="s">
        <v>7</v>
      </c>
      <c r="D42">
        <v>532</v>
      </c>
      <c r="E42" s="816" t="s">
        <v>9534</v>
      </c>
      <c r="F42" s="816" t="s">
        <v>25</v>
      </c>
      <c r="G42" s="816" t="s">
        <v>9547</v>
      </c>
      <c r="H42">
        <v>13</v>
      </c>
      <c r="I42" s="816" t="s">
        <v>8</v>
      </c>
      <c r="J42" s="816" t="s">
        <v>8</v>
      </c>
      <c r="K42" s="817">
        <v>0.14618055555555556</v>
      </c>
      <c r="L42" s="817">
        <v>0.21284722222222222</v>
      </c>
      <c r="M42" s="817"/>
      <c r="N42" s="817"/>
      <c r="O42" s="817">
        <v>0.47494212962962962</v>
      </c>
      <c r="P42" s="817">
        <v>0.73704861111111108</v>
      </c>
      <c r="Q42" s="817"/>
      <c r="R42" s="816"/>
      <c r="S42" s="817"/>
      <c r="T42" s="817"/>
      <c r="U42" s="816" t="s">
        <v>9551</v>
      </c>
      <c r="V42" s="816" t="s">
        <v>9551</v>
      </c>
      <c r="W42" s="267"/>
      <c r="X42" s="816" t="s">
        <v>26</v>
      </c>
      <c r="Y42">
        <v>45.5</v>
      </c>
      <c r="Z42">
        <v>9.9</v>
      </c>
      <c r="AA42" s="816" t="s">
        <v>9574</v>
      </c>
      <c r="AB42" s="816" t="s">
        <v>9603</v>
      </c>
      <c r="AC42" s="816"/>
      <c r="AD42" s="816"/>
      <c r="AE42" s="816"/>
      <c r="AF42" s="816"/>
      <c r="AG42" s="816"/>
      <c r="AI42" s="816"/>
      <c r="AK42" s="816"/>
      <c r="AM42" s="816"/>
    </row>
    <row r="43" spans="1:39" x14ac:dyDescent="0.25">
      <c r="A43" s="265">
        <v>43469</v>
      </c>
      <c r="B43">
        <v>5</v>
      </c>
      <c r="C43" s="816" t="s">
        <v>1</v>
      </c>
      <c r="D43">
        <v>532</v>
      </c>
      <c r="E43" s="816" t="s">
        <v>9534</v>
      </c>
      <c r="F43" s="816" t="s">
        <v>25</v>
      </c>
      <c r="G43" s="816" t="s">
        <v>9547</v>
      </c>
      <c r="H43">
        <v>14</v>
      </c>
      <c r="I43" s="816" t="s">
        <v>9</v>
      </c>
      <c r="J43" s="816" t="s">
        <v>9</v>
      </c>
      <c r="K43" s="817">
        <v>0.14653935185185185</v>
      </c>
      <c r="L43" s="817">
        <v>0.2132060185185185</v>
      </c>
      <c r="M43" s="817"/>
      <c r="N43" s="817"/>
      <c r="O43" s="817">
        <v>0.4752662037037037</v>
      </c>
      <c r="P43" s="817">
        <v>0.73731481481481476</v>
      </c>
      <c r="Q43" s="817"/>
      <c r="R43" s="816"/>
      <c r="S43" s="817"/>
      <c r="T43" s="817"/>
      <c r="U43" s="816" t="s">
        <v>9551</v>
      </c>
      <c r="V43" s="816" t="s">
        <v>9551</v>
      </c>
      <c r="W43" s="267"/>
      <c r="X43" s="816" t="s">
        <v>26</v>
      </c>
      <c r="Y43">
        <v>40.200000000000003</v>
      </c>
      <c r="Z43">
        <v>2.7</v>
      </c>
      <c r="AA43" s="816" t="s">
        <v>9575</v>
      </c>
      <c r="AB43" s="816" t="s">
        <v>9579</v>
      </c>
      <c r="AC43" s="816"/>
      <c r="AD43" s="816"/>
      <c r="AE43" s="816"/>
      <c r="AF43" s="816"/>
      <c r="AG43" s="816"/>
      <c r="AI43" s="816"/>
      <c r="AK43" s="816"/>
      <c r="AM43" s="816"/>
    </row>
    <row r="44" spans="1:39" x14ac:dyDescent="0.25">
      <c r="A44" s="265">
        <v>43470</v>
      </c>
      <c r="B44">
        <v>6</v>
      </c>
      <c r="C44" s="816" t="s">
        <v>2</v>
      </c>
      <c r="D44">
        <v>532</v>
      </c>
      <c r="E44" s="816" t="s">
        <v>9534</v>
      </c>
      <c r="F44" s="816" t="s">
        <v>25</v>
      </c>
      <c r="G44" s="816" t="s">
        <v>9547</v>
      </c>
      <c r="H44">
        <v>15</v>
      </c>
      <c r="I44" s="816" t="s">
        <v>22</v>
      </c>
      <c r="J44" s="816" t="s">
        <v>22</v>
      </c>
      <c r="K44" s="817">
        <v>0.14690972222222223</v>
      </c>
      <c r="L44" s="817">
        <v>0.21357638888888889</v>
      </c>
      <c r="M44" s="817"/>
      <c r="N44" s="817"/>
      <c r="O44" s="817">
        <v>0.47557870370370375</v>
      </c>
      <c r="P44" s="817">
        <v>0.7375694444444445</v>
      </c>
      <c r="Q44" s="817"/>
      <c r="R44" s="816"/>
      <c r="S44" s="817"/>
      <c r="T44" s="817"/>
      <c r="U44" s="816" t="s">
        <v>9551</v>
      </c>
      <c r="V44" s="816" t="s">
        <v>9551</v>
      </c>
      <c r="W44" s="267"/>
      <c r="X44" s="816" t="s">
        <v>26</v>
      </c>
      <c r="Y44">
        <v>33.4</v>
      </c>
      <c r="Z44">
        <v>94.3</v>
      </c>
      <c r="AA44" s="816" t="s">
        <v>9575</v>
      </c>
      <c r="AB44" s="816" t="s">
        <v>9580</v>
      </c>
      <c r="AC44" s="816"/>
      <c r="AD44" s="816"/>
      <c r="AE44" s="816"/>
      <c r="AF44" s="816"/>
      <c r="AG44" s="816"/>
      <c r="AI44" s="816"/>
      <c r="AK44" s="816"/>
      <c r="AM44" s="816"/>
    </row>
    <row r="45" spans="1:39" x14ac:dyDescent="0.25">
      <c r="A45" s="265">
        <v>43471</v>
      </c>
      <c r="B45">
        <v>0</v>
      </c>
      <c r="C45" s="816" t="s">
        <v>3</v>
      </c>
      <c r="D45">
        <v>532</v>
      </c>
      <c r="E45" s="816" t="s">
        <v>9534</v>
      </c>
      <c r="F45" s="816" t="s">
        <v>24</v>
      </c>
      <c r="G45" s="816" t="s">
        <v>9546</v>
      </c>
      <c r="H45">
        <v>16</v>
      </c>
      <c r="I45" s="816" t="s">
        <v>11</v>
      </c>
      <c r="J45" s="816" t="s">
        <v>11</v>
      </c>
      <c r="K45" s="817">
        <v>0.14726851851851852</v>
      </c>
      <c r="L45" s="817">
        <v>0.21393518518518517</v>
      </c>
      <c r="M45" s="817"/>
      <c r="N45" s="817"/>
      <c r="O45" s="817">
        <v>0.47587962962962965</v>
      </c>
      <c r="P45" s="817">
        <v>0.73782407407407413</v>
      </c>
      <c r="Q45" s="817"/>
      <c r="R45" s="816"/>
      <c r="S45" s="817"/>
      <c r="T45" s="817"/>
      <c r="U45" s="816" t="s">
        <v>9551</v>
      </c>
      <c r="V45" s="816" t="s">
        <v>9551</v>
      </c>
      <c r="W45" s="267"/>
      <c r="X45" s="816" t="s">
        <v>26</v>
      </c>
      <c r="Y45">
        <v>25.3</v>
      </c>
      <c r="Z45">
        <v>84.7</v>
      </c>
      <c r="AA45" s="816" t="s">
        <v>9576</v>
      </c>
      <c r="AB45" s="816" t="s">
        <v>9581</v>
      </c>
      <c r="AC45" s="816"/>
      <c r="AD45" s="816"/>
      <c r="AE45" s="816"/>
      <c r="AF45" s="816"/>
      <c r="AG45" s="816"/>
      <c r="AI45" s="816"/>
      <c r="AK45" s="816"/>
      <c r="AM45" s="816"/>
    </row>
    <row r="46" spans="1:39" x14ac:dyDescent="0.25">
      <c r="A46" s="265">
        <v>43472</v>
      </c>
      <c r="B46">
        <v>1</v>
      </c>
      <c r="C46" s="816" t="s">
        <v>4</v>
      </c>
      <c r="D46">
        <v>532</v>
      </c>
      <c r="E46" s="816" t="s">
        <v>9534</v>
      </c>
      <c r="F46" s="816" t="s">
        <v>24</v>
      </c>
      <c r="G46" s="816" t="s">
        <v>9546</v>
      </c>
      <c r="H46">
        <v>17</v>
      </c>
      <c r="I46" s="816" t="s">
        <v>12</v>
      </c>
      <c r="J46" s="816" t="s">
        <v>12</v>
      </c>
      <c r="K46" s="817">
        <v>0.1476388888888889</v>
      </c>
      <c r="L46" s="817">
        <v>0.21430555555555555</v>
      </c>
      <c r="M46" s="817"/>
      <c r="N46" s="817"/>
      <c r="O46" s="817">
        <v>0.47618055555555555</v>
      </c>
      <c r="P46" s="817">
        <v>0.73805555555555558</v>
      </c>
      <c r="Q46" s="817"/>
      <c r="R46" s="816"/>
      <c r="S46" s="817"/>
      <c r="T46" s="817"/>
      <c r="U46" s="816" t="s">
        <v>9551</v>
      </c>
      <c r="V46" s="816" t="s">
        <v>9551</v>
      </c>
      <c r="W46" s="267"/>
      <c r="X46" s="816" t="s">
        <v>26</v>
      </c>
      <c r="Y46">
        <v>16.2</v>
      </c>
      <c r="Z46">
        <v>74.2</v>
      </c>
      <c r="AA46" s="816" t="s">
        <v>9577</v>
      </c>
      <c r="AB46" s="816" t="s">
        <v>9582</v>
      </c>
      <c r="AC46" s="816"/>
      <c r="AD46" s="816"/>
      <c r="AE46" s="816"/>
      <c r="AF46" s="816"/>
      <c r="AG46" s="816"/>
      <c r="AI46" s="816"/>
      <c r="AK46" s="816"/>
      <c r="AM46" s="816"/>
    </row>
    <row r="47" spans="1:39" x14ac:dyDescent="0.25">
      <c r="A47" s="265">
        <v>43473</v>
      </c>
      <c r="B47">
        <v>2</v>
      </c>
      <c r="C47" s="816" t="s">
        <v>5</v>
      </c>
      <c r="D47">
        <v>532</v>
      </c>
      <c r="E47" s="816" t="s">
        <v>9534</v>
      </c>
      <c r="F47" s="816" t="s">
        <v>24</v>
      </c>
      <c r="G47" s="816" t="s">
        <v>9546</v>
      </c>
      <c r="H47">
        <v>18</v>
      </c>
      <c r="I47" s="816" t="s">
        <v>23</v>
      </c>
      <c r="J47" s="816" t="s">
        <v>23</v>
      </c>
      <c r="K47" s="817">
        <v>0.14799768518518519</v>
      </c>
      <c r="L47" s="817">
        <v>0.21466435185185184</v>
      </c>
      <c r="M47" s="817"/>
      <c r="N47" s="817"/>
      <c r="O47" s="817">
        <v>0.47648148148148151</v>
      </c>
      <c r="P47" s="817">
        <v>0.73828703703703702</v>
      </c>
      <c r="Q47" s="817"/>
      <c r="R47" s="816"/>
      <c r="S47" s="817"/>
      <c r="T47" s="817"/>
      <c r="U47" s="816" t="s">
        <v>9551</v>
      </c>
      <c r="V47" s="816" t="s">
        <v>9551</v>
      </c>
      <c r="W47" s="267"/>
      <c r="X47" s="816" t="s">
        <v>26</v>
      </c>
      <c r="Y47">
        <v>6.4</v>
      </c>
      <c r="Z47">
        <v>63</v>
      </c>
      <c r="AA47" s="816" t="s">
        <v>9552</v>
      </c>
      <c r="AB47" s="816" t="s">
        <v>9583</v>
      </c>
      <c r="AC47" s="816"/>
      <c r="AD47" s="816"/>
      <c r="AE47" s="816"/>
      <c r="AF47" s="816"/>
      <c r="AG47" s="816"/>
      <c r="AI47" s="816"/>
      <c r="AK47" s="816"/>
      <c r="AM47" s="816"/>
    </row>
    <row r="48" spans="1:39" x14ac:dyDescent="0.25">
      <c r="A48" s="265">
        <v>43474</v>
      </c>
      <c r="B48">
        <v>3</v>
      </c>
      <c r="C48" s="816" t="s">
        <v>6</v>
      </c>
      <c r="D48">
        <v>532</v>
      </c>
      <c r="E48" s="816" t="s">
        <v>9534</v>
      </c>
      <c r="F48" s="816" t="s">
        <v>24</v>
      </c>
      <c r="G48" s="816" t="s">
        <v>9546</v>
      </c>
      <c r="H48">
        <v>18</v>
      </c>
      <c r="I48" s="816" t="s">
        <v>23</v>
      </c>
      <c r="J48" s="816" t="s">
        <v>23</v>
      </c>
      <c r="K48" s="817">
        <v>0.14835648148148148</v>
      </c>
      <c r="L48" s="817">
        <v>0.21502314814814816</v>
      </c>
      <c r="M48" s="817"/>
      <c r="N48" s="817"/>
      <c r="O48" s="817">
        <v>0.47677083333333337</v>
      </c>
      <c r="P48" s="817">
        <v>0.73851851851851846</v>
      </c>
      <c r="Q48" s="817"/>
      <c r="R48" s="816"/>
      <c r="S48" s="817"/>
      <c r="T48" s="817"/>
      <c r="U48" s="816" t="s">
        <v>9551</v>
      </c>
      <c r="V48" s="816" t="s">
        <v>9551</v>
      </c>
      <c r="W48" s="267"/>
      <c r="X48" s="816" t="s">
        <v>27</v>
      </c>
      <c r="Y48">
        <v>96.2</v>
      </c>
      <c r="Z48">
        <v>51.5</v>
      </c>
      <c r="AA48" s="816" t="s">
        <v>9553</v>
      </c>
      <c r="AB48" s="816" t="s">
        <v>9584</v>
      </c>
      <c r="AC48" s="816"/>
      <c r="AD48" s="816"/>
      <c r="AE48" s="816"/>
      <c r="AF48" s="816"/>
      <c r="AG48" s="816"/>
      <c r="AI48" s="816"/>
      <c r="AK48" s="816"/>
      <c r="AM48" s="816"/>
    </row>
    <row r="49" spans="1:39" x14ac:dyDescent="0.25">
      <c r="A49" s="265">
        <v>43475</v>
      </c>
      <c r="B49">
        <v>4</v>
      </c>
      <c r="C49" s="816" t="s">
        <v>7</v>
      </c>
      <c r="D49">
        <v>532</v>
      </c>
      <c r="E49" s="816" t="s">
        <v>9534</v>
      </c>
      <c r="F49" s="816" t="s">
        <v>24</v>
      </c>
      <c r="G49" s="816" t="s">
        <v>9546</v>
      </c>
      <c r="H49">
        <v>19</v>
      </c>
      <c r="I49" s="816" t="s">
        <v>13</v>
      </c>
      <c r="J49" s="816" t="s">
        <v>13</v>
      </c>
      <c r="K49" s="817">
        <v>0.1487037037037037</v>
      </c>
      <c r="L49" s="817">
        <v>0.21537037037037035</v>
      </c>
      <c r="M49" s="817"/>
      <c r="N49" s="817"/>
      <c r="O49" s="817">
        <v>0.47704861111111113</v>
      </c>
      <c r="P49" s="817">
        <v>0.73872685185185183</v>
      </c>
      <c r="Q49" s="817"/>
      <c r="R49" s="816"/>
      <c r="S49" s="817"/>
      <c r="T49" s="817"/>
      <c r="U49" s="816" t="s">
        <v>9551</v>
      </c>
      <c r="V49" s="816" t="s">
        <v>9551</v>
      </c>
      <c r="W49" s="267"/>
      <c r="X49" s="816" t="s">
        <v>26</v>
      </c>
      <c r="Y49">
        <v>86</v>
      </c>
      <c r="Z49">
        <v>39.9</v>
      </c>
      <c r="AA49" s="816" t="s">
        <v>9554</v>
      </c>
      <c r="AB49" s="816" t="s">
        <v>9585</v>
      </c>
      <c r="AC49" s="816"/>
      <c r="AD49" s="816"/>
      <c r="AE49" s="816"/>
      <c r="AF49" s="816"/>
      <c r="AG49" s="816"/>
      <c r="AI49" s="816"/>
      <c r="AK49" s="816"/>
      <c r="AM49" s="816"/>
    </row>
    <row r="50" spans="1:39" x14ac:dyDescent="0.25">
      <c r="A50" s="265">
        <v>43476</v>
      </c>
      <c r="B50">
        <v>5</v>
      </c>
      <c r="C50" s="816" t="s">
        <v>1</v>
      </c>
      <c r="D50">
        <v>532</v>
      </c>
      <c r="E50" s="816" t="s">
        <v>9534</v>
      </c>
      <c r="F50" s="816" t="s">
        <v>24</v>
      </c>
      <c r="G50" s="816" t="s">
        <v>9546</v>
      </c>
      <c r="H50">
        <v>20</v>
      </c>
      <c r="I50" s="816" t="s">
        <v>14</v>
      </c>
      <c r="J50" s="816" t="s">
        <v>14</v>
      </c>
      <c r="K50" s="817">
        <v>0.14906250000000001</v>
      </c>
      <c r="L50" s="817">
        <v>0.21572916666666667</v>
      </c>
      <c r="M50" s="817"/>
      <c r="N50" s="817"/>
      <c r="O50" s="817">
        <v>0.47732638888888884</v>
      </c>
      <c r="P50" s="817">
        <v>0.73892361111111116</v>
      </c>
      <c r="Q50" s="817"/>
      <c r="R50" s="816"/>
      <c r="S50" s="817"/>
      <c r="T50" s="817"/>
      <c r="U50" s="816" t="s">
        <v>9551</v>
      </c>
      <c r="V50" s="816" t="s">
        <v>9551</v>
      </c>
      <c r="W50" s="267"/>
      <c r="X50" s="816" t="s">
        <v>26</v>
      </c>
      <c r="Y50">
        <v>76.3</v>
      </c>
      <c r="Z50">
        <v>28.8</v>
      </c>
      <c r="AA50" s="816" t="s">
        <v>9555</v>
      </c>
      <c r="AB50" s="816" t="s">
        <v>9586</v>
      </c>
      <c r="AC50" s="816"/>
      <c r="AD50" s="816"/>
      <c r="AE50" s="816"/>
      <c r="AF50" s="816"/>
      <c r="AG50" s="816"/>
      <c r="AI50" s="816"/>
      <c r="AK50" s="816"/>
      <c r="AM50" s="816"/>
    </row>
    <row r="51" spans="1:39" x14ac:dyDescent="0.25">
      <c r="A51" s="265">
        <v>43477</v>
      </c>
      <c r="B51">
        <v>6</v>
      </c>
      <c r="C51" s="816" t="s">
        <v>2</v>
      </c>
      <c r="D51">
        <v>532</v>
      </c>
      <c r="E51" s="816" t="s">
        <v>9534</v>
      </c>
      <c r="F51" s="816" t="s">
        <v>24</v>
      </c>
      <c r="G51" s="816" t="s">
        <v>9546</v>
      </c>
      <c r="H51">
        <v>21</v>
      </c>
      <c r="I51" s="816" t="s">
        <v>15</v>
      </c>
      <c r="J51" s="816" t="s">
        <v>15</v>
      </c>
      <c r="K51" s="817">
        <v>0.14940972222222224</v>
      </c>
      <c r="L51" s="817">
        <v>0.21607638888888889</v>
      </c>
      <c r="M51" s="817"/>
      <c r="N51" s="817"/>
      <c r="O51" s="817">
        <v>0.47759259259259257</v>
      </c>
      <c r="P51" s="817">
        <v>0.73912037037037026</v>
      </c>
      <c r="Q51" s="817"/>
      <c r="R51" s="816"/>
      <c r="S51" s="817"/>
      <c r="T51" s="817"/>
      <c r="U51" s="816" t="s">
        <v>9551</v>
      </c>
      <c r="V51" s="816" t="s">
        <v>9551</v>
      </c>
      <c r="W51" s="267"/>
      <c r="X51" s="816" t="s">
        <v>26</v>
      </c>
      <c r="Y51">
        <v>67.599999999999994</v>
      </c>
      <c r="Z51">
        <v>18.600000000000001</v>
      </c>
      <c r="AA51" s="816" t="s">
        <v>9556</v>
      </c>
      <c r="AB51" s="816" t="s">
        <v>9604</v>
      </c>
      <c r="AC51" s="816"/>
      <c r="AD51" s="816"/>
      <c r="AE51" s="816"/>
      <c r="AF51" s="816"/>
      <c r="AG51" s="816"/>
      <c r="AI51" s="816"/>
      <c r="AK51" s="816"/>
      <c r="AM51" s="816"/>
    </row>
    <row r="52" spans="1:39" x14ac:dyDescent="0.25">
      <c r="A52" s="265">
        <v>43478</v>
      </c>
      <c r="B52">
        <v>0</v>
      </c>
      <c r="C52" s="816" t="s">
        <v>3</v>
      </c>
      <c r="D52">
        <v>532</v>
      </c>
      <c r="E52" s="816" t="s">
        <v>9534</v>
      </c>
      <c r="F52" s="816" t="s">
        <v>24</v>
      </c>
      <c r="G52" s="816" t="s">
        <v>9546</v>
      </c>
      <c r="H52">
        <v>22</v>
      </c>
      <c r="I52" s="816" t="s">
        <v>16</v>
      </c>
      <c r="J52" s="816" t="s">
        <v>16</v>
      </c>
      <c r="K52" s="817">
        <v>0.14974537037037036</v>
      </c>
      <c r="L52" s="817">
        <v>0.21641203703703704</v>
      </c>
      <c r="M52" s="817"/>
      <c r="N52" s="817"/>
      <c r="O52" s="817">
        <v>0.4778587962962963</v>
      </c>
      <c r="P52" s="817">
        <v>0.73930555555555555</v>
      </c>
      <c r="Q52" s="817"/>
      <c r="R52" s="816"/>
      <c r="S52" s="817"/>
      <c r="T52" s="817"/>
      <c r="U52" s="816" t="s">
        <v>9551</v>
      </c>
      <c r="V52" s="816" t="s">
        <v>9551</v>
      </c>
      <c r="W52" s="267"/>
      <c r="X52" s="816" t="s">
        <v>26</v>
      </c>
      <c r="Y52">
        <v>60.5</v>
      </c>
      <c r="Z52">
        <v>9.9</v>
      </c>
      <c r="AA52" s="816" t="s">
        <v>9557</v>
      </c>
      <c r="AB52" s="816" t="s">
        <v>9587</v>
      </c>
      <c r="AC52" s="816"/>
      <c r="AD52" s="816"/>
      <c r="AE52" s="816"/>
      <c r="AF52" s="816"/>
      <c r="AG52" s="816"/>
      <c r="AI52" s="816"/>
      <c r="AK52" s="816"/>
      <c r="AM52" s="816"/>
    </row>
    <row r="53" spans="1:39" x14ac:dyDescent="0.25">
      <c r="A53" s="265">
        <v>43479</v>
      </c>
      <c r="B53">
        <v>1</v>
      </c>
      <c r="C53" s="816" t="s">
        <v>4</v>
      </c>
      <c r="D53">
        <v>532</v>
      </c>
      <c r="E53" s="816" t="s">
        <v>9534</v>
      </c>
      <c r="F53" s="816" t="s">
        <v>24</v>
      </c>
      <c r="G53" s="816" t="s">
        <v>9546</v>
      </c>
      <c r="H53">
        <v>23</v>
      </c>
      <c r="I53" s="816" t="s">
        <v>17</v>
      </c>
      <c r="J53" s="816" t="s">
        <v>17</v>
      </c>
      <c r="K53" s="817">
        <v>0.15009259259259258</v>
      </c>
      <c r="L53" s="817">
        <v>0.21675925925925923</v>
      </c>
      <c r="M53" s="817"/>
      <c r="N53" s="817"/>
      <c r="O53" s="817">
        <v>0.47811342592592593</v>
      </c>
      <c r="P53" s="817">
        <v>0.73946759259259265</v>
      </c>
      <c r="Q53" s="817">
        <v>0.47076388888888893</v>
      </c>
      <c r="R53" s="816" t="s">
        <v>74</v>
      </c>
      <c r="S53" s="817"/>
      <c r="T53" s="817"/>
      <c r="U53" s="816" t="s">
        <v>9551</v>
      </c>
      <c r="V53" s="816" t="s">
        <v>9551</v>
      </c>
      <c r="W53" s="267"/>
      <c r="X53" s="816" t="s">
        <v>26</v>
      </c>
      <c r="Y53">
        <v>55.7</v>
      </c>
      <c r="Z53">
        <v>3.2</v>
      </c>
      <c r="AA53" s="816" t="s">
        <v>9558</v>
      </c>
      <c r="AB53" s="816" t="s">
        <v>9588</v>
      </c>
      <c r="AC53" s="816"/>
      <c r="AD53" s="816"/>
      <c r="AE53" s="816"/>
      <c r="AF53" s="816"/>
      <c r="AG53" s="816" t="s">
        <v>32</v>
      </c>
      <c r="AH53">
        <v>5</v>
      </c>
      <c r="AI53" s="816"/>
      <c r="AK53" s="816"/>
      <c r="AM53" s="816"/>
    </row>
    <row r="54" spans="1:39" x14ac:dyDescent="0.25">
      <c r="A54" s="265">
        <v>43480</v>
      </c>
      <c r="B54">
        <v>2</v>
      </c>
      <c r="C54" s="816" t="s">
        <v>5</v>
      </c>
      <c r="D54">
        <v>532</v>
      </c>
      <c r="E54" s="816" t="s">
        <v>9534</v>
      </c>
      <c r="F54" s="816" t="s">
        <v>24</v>
      </c>
      <c r="G54" s="816" t="s">
        <v>9546</v>
      </c>
      <c r="H54">
        <v>24</v>
      </c>
      <c r="I54" s="816" t="s">
        <v>18</v>
      </c>
      <c r="J54" s="816" t="s">
        <v>18</v>
      </c>
      <c r="K54" s="817">
        <v>0.15042824074074074</v>
      </c>
      <c r="L54" s="817">
        <v>0.21709490740740742</v>
      </c>
      <c r="M54" s="817"/>
      <c r="N54" s="817"/>
      <c r="O54" s="817">
        <v>0.47835648148148152</v>
      </c>
      <c r="P54" s="817">
        <v>0.73962962962962964</v>
      </c>
      <c r="Q54" s="817"/>
      <c r="R54" s="816"/>
      <c r="S54" s="817"/>
      <c r="T54" s="817"/>
      <c r="U54" s="816" t="s">
        <v>9551</v>
      </c>
      <c r="V54" s="816" t="s">
        <v>9551</v>
      </c>
      <c r="W54" s="267"/>
      <c r="X54" s="816" t="s">
        <v>26</v>
      </c>
      <c r="Y54">
        <v>53.7</v>
      </c>
      <c r="Z54">
        <v>99</v>
      </c>
      <c r="AA54" s="816" t="s">
        <v>9558</v>
      </c>
      <c r="AB54" s="816" t="s">
        <v>9589</v>
      </c>
      <c r="AC54" s="816"/>
      <c r="AD54" s="816"/>
      <c r="AE54" s="816"/>
      <c r="AF54" s="816"/>
      <c r="AG54" s="816"/>
      <c r="AI54" s="816"/>
      <c r="AK54" s="816"/>
      <c r="AM54" s="816"/>
    </row>
    <row r="55" spans="1:39" x14ac:dyDescent="0.25">
      <c r="A55" s="265">
        <v>43481</v>
      </c>
      <c r="B55">
        <v>3</v>
      </c>
      <c r="C55" s="816" t="s">
        <v>6</v>
      </c>
      <c r="D55">
        <v>532</v>
      </c>
      <c r="E55" s="816" t="s">
        <v>9534</v>
      </c>
      <c r="F55" s="816" t="s">
        <v>24</v>
      </c>
      <c r="G55" s="816" t="s">
        <v>9546</v>
      </c>
      <c r="H55">
        <v>25</v>
      </c>
      <c r="I55" s="816" t="s">
        <v>19</v>
      </c>
      <c r="J55" s="816" t="s">
        <v>19</v>
      </c>
      <c r="K55" s="817">
        <v>0.1507523148148148</v>
      </c>
      <c r="L55" s="817">
        <v>0.2174189814814815</v>
      </c>
      <c r="M55" s="817"/>
      <c r="N55" s="817"/>
      <c r="O55" s="817">
        <v>0.47859953703703706</v>
      </c>
      <c r="P55" s="817">
        <v>0.7397800925925927</v>
      </c>
      <c r="Q55" s="817"/>
      <c r="R55" s="816"/>
      <c r="S55" s="817"/>
      <c r="T55" s="817"/>
      <c r="U55" s="816" t="s">
        <v>9551</v>
      </c>
      <c r="V55" s="816" t="s">
        <v>9551</v>
      </c>
      <c r="W55" s="267"/>
      <c r="X55" s="816" t="s">
        <v>26</v>
      </c>
      <c r="Y55">
        <v>55.1</v>
      </c>
      <c r="Z55">
        <v>97.9</v>
      </c>
      <c r="AA55" s="816" t="s">
        <v>9578</v>
      </c>
      <c r="AB55" s="816" t="s">
        <v>9590</v>
      </c>
      <c r="AC55" s="816"/>
      <c r="AD55" s="816"/>
      <c r="AE55" s="816"/>
      <c r="AF55" s="816"/>
      <c r="AG55" s="816"/>
      <c r="AI55" s="816"/>
      <c r="AK55" s="816"/>
      <c r="AM55" s="816"/>
    </row>
    <row r="56" spans="1:39" x14ac:dyDescent="0.25">
      <c r="A56" s="265">
        <v>43482</v>
      </c>
      <c r="B56">
        <v>4</v>
      </c>
      <c r="C56" s="816" t="s">
        <v>7</v>
      </c>
      <c r="D56">
        <v>532</v>
      </c>
      <c r="E56" s="816" t="s">
        <v>9534</v>
      </c>
      <c r="F56" s="816" t="s">
        <v>24</v>
      </c>
      <c r="G56" s="816" t="s">
        <v>9546</v>
      </c>
      <c r="H56">
        <v>26</v>
      </c>
      <c r="I56" s="816" t="s">
        <v>9548</v>
      </c>
      <c r="J56" s="816" t="s">
        <v>20</v>
      </c>
      <c r="K56" s="817">
        <v>0.15107638888888889</v>
      </c>
      <c r="L56" s="817">
        <v>0.21774305555555554</v>
      </c>
      <c r="M56" s="817"/>
      <c r="N56" s="817"/>
      <c r="O56" s="817">
        <v>0.4788310185185185</v>
      </c>
      <c r="P56" s="817">
        <v>0.73991898148148139</v>
      </c>
      <c r="Q56" s="817"/>
      <c r="R56" s="816"/>
      <c r="S56" s="817"/>
      <c r="T56" s="817"/>
      <c r="U56" s="816" t="s">
        <v>9551</v>
      </c>
      <c r="V56" s="816" t="s">
        <v>9551</v>
      </c>
      <c r="W56" s="267"/>
      <c r="X56" s="816" t="s">
        <v>26</v>
      </c>
      <c r="Y56">
        <v>60.2</v>
      </c>
      <c r="Z56">
        <v>0.1</v>
      </c>
      <c r="AA56" s="816" t="s">
        <v>9560</v>
      </c>
      <c r="AB56" s="816" t="s">
        <v>9591</v>
      </c>
      <c r="AC56" s="816"/>
      <c r="AD56" s="816"/>
      <c r="AE56" s="816"/>
      <c r="AF56" s="816" t="s">
        <v>72</v>
      </c>
      <c r="AG56" s="816" t="s">
        <v>30</v>
      </c>
      <c r="AH56">
        <v>-1</v>
      </c>
      <c r="AI56" s="816"/>
      <c r="AK56" s="816"/>
      <c r="AM56" s="816"/>
    </row>
    <row r="57" spans="1:39" x14ac:dyDescent="0.25">
      <c r="A57" s="265">
        <v>43483</v>
      </c>
      <c r="B57">
        <v>5</v>
      </c>
      <c r="C57" s="816" t="s">
        <v>1</v>
      </c>
      <c r="D57">
        <v>532</v>
      </c>
      <c r="E57" s="816" t="s">
        <v>9534</v>
      </c>
      <c r="F57" s="816" t="s">
        <v>24</v>
      </c>
      <c r="G57" s="816" t="s">
        <v>9546</v>
      </c>
      <c r="H57">
        <v>27</v>
      </c>
      <c r="I57" s="816" t="s">
        <v>21</v>
      </c>
      <c r="J57" s="816" t="s">
        <v>21</v>
      </c>
      <c r="K57" s="817">
        <v>0.15140046296296297</v>
      </c>
      <c r="L57" s="817">
        <v>0.21806712962962962</v>
      </c>
      <c r="M57" s="817">
        <v>0.21805555555555556</v>
      </c>
      <c r="N57" s="817">
        <v>0.39166666666666666</v>
      </c>
      <c r="O57" s="817">
        <v>0.4790625</v>
      </c>
      <c r="P57" s="817">
        <v>0.74004629629629637</v>
      </c>
      <c r="Q57" s="817"/>
      <c r="R57" s="816"/>
      <c r="S57" s="817"/>
      <c r="T57" s="817"/>
      <c r="U57" s="816" t="s">
        <v>9551</v>
      </c>
      <c r="V57" s="816" t="s">
        <v>9551</v>
      </c>
      <c r="W57" s="267"/>
      <c r="X57" s="816" t="s">
        <v>26</v>
      </c>
      <c r="Y57">
        <v>69.099999999999994</v>
      </c>
      <c r="Z57">
        <v>5.8</v>
      </c>
      <c r="AA57" s="816" t="s">
        <v>9561</v>
      </c>
      <c r="AB57" s="816" t="s">
        <v>9605</v>
      </c>
      <c r="AC57" s="816"/>
      <c r="AD57" s="816"/>
      <c r="AE57" s="816"/>
      <c r="AF57" s="816"/>
      <c r="AG57" s="816"/>
      <c r="AI57" s="816"/>
      <c r="AK57" s="816"/>
      <c r="AM57" s="816"/>
    </row>
    <row r="58" spans="1:39" x14ac:dyDescent="0.25">
      <c r="A58" s="265">
        <v>43484</v>
      </c>
      <c r="B58">
        <v>6</v>
      </c>
      <c r="C58" s="816" t="s">
        <v>2</v>
      </c>
      <c r="D58">
        <v>532</v>
      </c>
      <c r="E58" s="816" t="s">
        <v>9534</v>
      </c>
      <c r="F58" s="816" t="s">
        <v>24</v>
      </c>
      <c r="G58" s="816" t="s">
        <v>9546</v>
      </c>
      <c r="H58">
        <v>28</v>
      </c>
      <c r="I58" s="816" t="s">
        <v>8</v>
      </c>
      <c r="J58" s="816" t="s">
        <v>8</v>
      </c>
      <c r="K58" s="817">
        <v>0.15171296296296297</v>
      </c>
      <c r="L58" s="817">
        <v>0.21837962962962965</v>
      </c>
      <c r="M58" s="817"/>
      <c r="N58" s="817"/>
      <c r="O58" s="817">
        <v>0.47927083333333331</v>
      </c>
      <c r="P58" s="817">
        <v>0.74016203703703709</v>
      </c>
      <c r="Q58" s="817"/>
      <c r="R58" s="816"/>
      <c r="S58" s="817"/>
      <c r="T58" s="817"/>
      <c r="U58" s="816" t="s">
        <v>9551</v>
      </c>
      <c r="V58" s="816" t="s">
        <v>9551</v>
      </c>
      <c r="W58" s="267"/>
      <c r="X58" s="816" t="s">
        <v>26</v>
      </c>
      <c r="Y58">
        <v>81.599999999999994</v>
      </c>
      <c r="Z58">
        <v>14.7</v>
      </c>
      <c r="AA58" s="816" t="s">
        <v>9562</v>
      </c>
      <c r="AB58" s="816" t="s">
        <v>9592</v>
      </c>
      <c r="AC58" s="816"/>
      <c r="AD58" s="816"/>
      <c r="AE58" s="816"/>
      <c r="AF58" s="816"/>
      <c r="AG58" s="816"/>
      <c r="AI58" s="816"/>
      <c r="AK58" s="816"/>
      <c r="AM58" s="816"/>
    </row>
    <row r="59" spans="1:39" x14ac:dyDescent="0.25">
      <c r="A59" s="265">
        <v>43485</v>
      </c>
      <c r="B59">
        <v>0</v>
      </c>
      <c r="C59" s="816" t="s">
        <v>3</v>
      </c>
      <c r="D59">
        <v>532</v>
      </c>
      <c r="E59" s="816" t="s">
        <v>9534</v>
      </c>
      <c r="F59" s="816" t="s">
        <v>24</v>
      </c>
      <c r="G59" s="816" t="s">
        <v>9546</v>
      </c>
      <c r="H59">
        <v>29</v>
      </c>
      <c r="I59" s="816" t="s">
        <v>9</v>
      </c>
      <c r="J59" s="816" t="s">
        <v>9</v>
      </c>
      <c r="K59" s="817">
        <v>0.15202546296296296</v>
      </c>
      <c r="L59" s="817">
        <v>0.21869212962962961</v>
      </c>
      <c r="M59" s="817"/>
      <c r="N59" s="817"/>
      <c r="O59" s="817">
        <v>0.47947916666666668</v>
      </c>
      <c r="P59" s="817">
        <v>0.74026620370370377</v>
      </c>
      <c r="Q59" s="817"/>
      <c r="R59" s="816"/>
      <c r="S59" s="817"/>
      <c r="T59" s="817"/>
      <c r="U59" s="816" t="s">
        <v>9551</v>
      </c>
      <c r="V59" s="816" t="s">
        <v>9551</v>
      </c>
      <c r="W59" s="267"/>
      <c r="X59" s="816" t="s">
        <v>26</v>
      </c>
      <c r="Y59">
        <v>97.1</v>
      </c>
      <c r="Z59">
        <v>26.3</v>
      </c>
      <c r="AA59" s="816" t="s">
        <v>9563</v>
      </c>
      <c r="AB59" s="816" t="s">
        <v>9593</v>
      </c>
      <c r="AC59" s="816"/>
      <c r="AD59" s="816"/>
      <c r="AE59" s="816"/>
      <c r="AF59" s="816"/>
      <c r="AG59" s="816"/>
      <c r="AI59" s="816"/>
      <c r="AK59" s="816"/>
      <c r="AM59" s="816"/>
    </row>
    <row r="60" spans="1:39" x14ac:dyDescent="0.25">
      <c r="A60" s="265">
        <v>43486</v>
      </c>
      <c r="B60">
        <v>1</v>
      </c>
      <c r="C60" s="816" t="s">
        <v>4</v>
      </c>
      <c r="D60">
        <v>532</v>
      </c>
      <c r="E60" s="816" t="s">
        <v>9535</v>
      </c>
      <c r="F60" s="816" t="s">
        <v>25</v>
      </c>
      <c r="G60" s="816" t="s">
        <v>9547</v>
      </c>
      <c r="H60">
        <v>1</v>
      </c>
      <c r="I60" s="816" t="s">
        <v>11</v>
      </c>
      <c r="J60" s="816" t="s">
        <v>11</v>
      </c>
      <c r="K60" s="817">
        <v>0.15232638888888889</v>
      </c>
      <c r="L60" s="817">
        <v>0.21899305555555557</v>
      </c>
      <c r="M60" s="817"/>
      <c r="N60" s="817"/>
      <c r="O60" s="817">
        <v>0.47967592592592595</v>
      </c>
      <c r="P60" s="817">
        <v>0.74037037037037035</v>
      </c>
      <c r="Q60" s="817"/>
      <c r="R60" s="816"/>
      <c r="S60" s="817">
        <v>0.24305555555555555</v>
      </c>
      <c r="T60" s="817">
        <v>9.5138888888888884E-2</v>
      </c>
      <c r="U60" s="816" t="s">
        <v>9551</v>
      </c>
      <c r="V60" s="816" t="s">
        <v>9551</v>
      </c>
      <c r="W60" s="267"/>
      <c r="X60" s="816" t="s">
        <v>26</v>
      </c>
      <c r="Y60">
        <v>14.6</v>
      </c>
      <c r="Z60">
        <v>39.6</v>
      </c>
      <c r="AA60" s="816" t="s">
        <v>9564</v>
      </c>
      <c r="AB60" s="816" t="s">
        <v>9595</v>
      </c>
      <c r="AC60" s="816"/>
      <c r="AD60" s="816"/>
      <c r="AE60" s="816"/>
      <c r="AF60" s="816"/>
      <c r="AG60" s="816"/>
      <c r="AI60" s="816"/>
      <c r="AK60" s="816"/>
      <c r="AM60" s="816"/>
    </row>
    <row r="61" spans="1:39" x14ac:dyDescent="0.25">
      <c r="A61" s="265">
        <v>43487</v>
      </c>
      <c r="B61">
        <v>2</v>
      </c>
      <c r="C61" s="816" t="s">
        <v>5</v>
      </c>
      <c r="D61">
        <v>532</v>
      </c>
      <c r="E61" s="816" t="s">
        <v>9535</v>
      </c>
      <c r="F61" s="816" t="s">
        <v>25</v>
      </c>
      <c r="G61" s="816" t="s">
        <v>9547</v>
      </c>
      <c r="H61">
        <v>2</v>
      </c>
      <c r="I61" s="816" t="s">
        <v>12</v>
      </c>
      <c r="J61" s="816" t="s">
        <v>12</v>
      </c>
      <c r="K61" s="817">
        <v>0.15262731481481481</v>
      </c>
      <c r="L61" s="817">
        <v>0.21929398148148149</v>
      </c>
      <c r="M61" s="817"/>
      <c r="N61" s="817"/>
      <c r="O61" s="817">
        <v>0.47987268518518517</v>
      </c>
      <c r="P61" s="817">
        <v>0.74045138888888884</v>
      </c>
      <c r="Q61" s="817"/>
      <c r="R61" s="816"/>
      <c r="S61" s="817"/>
      <c r="T61" s="817"/>
      <c r="U61" s="816" t="s">
        <v>9551</v>
      </c>
      <c r="V61" s="816" t="s">
        <v>9551</v>
      </c>
      <c r="W61" s="267"/>
      <c r="X61" s="816" t="s">
        <v>26</v>
      </c>
      <c r="Y61">
        <v>32.700000000000003</v>
      </c>
      <c r="Z61">
        <v>53.6</v>
      </c>
      <c r="AA61" s="816" t="s">
        <v>9565</v>
      </c>
      <c r="AB61" s="816" t="s">
        <v>9596</v>
      </c>
      <c r="AC61" s="816"/>
      <c r="AD61" s="816"/>
      <c r="AE61" s="816"/>
      <c r="AF61" s="816"/>
      <c r="AG61" s="816"/>
      <c r="AI61" s="816"/>
      <c r="AK61" s="816"/>
      <c r="AM61" s="816"/>
    </row>
    <row r="62" spans="1:39" x14ac:dyDescent="0.25">
      <c r="A62" s="265">
        <v>43488</v>
      </c>
      <c r="B62">
        <v>3</v>
      </c>
      <c r="C62" s="816" t="s">
        <v>6</v>
      </c>
      <c r="D62">
        <v>532</v>
      </c>
      <c r="E62" s="816" t="s">
        <v>9535</v>
      </c>
      <c r="F62" s="816" t="s">
        <v>25</v>
      </c>
      <c r="G62" s="816" t="s">
        <v>9547</v>
      </c>
      <c r="H62">
        <v>3</v>
      </c>
      <c r="I62" s="816" t="s">
        <v>23</v>
      </c>
      <c r="J62" s="816" t="s">
        <v>23</v>
      </c>
      <c r="K62" s="817">
        <v>0.15291666666666667</v>
      </c>
      <c r="L62" s="817">
        <v>0.21958333333333332</v>
      </c>
      <c r="M62" s="817"/>
      <c r="N62" s="817"/>
      <c r="O62" s="817">
        <v>0.4800462962962963</v>
      </c>
      <c r="P62" s="817">
        <v>0.74052083333333341</v>
      </c>
      <c r="Q62" s="817"/>
      <c r="R62" s="816"/>
      <c r="S62" s="817"/>
      <c r="T62" s="817"/>
      <c r="U62" s="816" t="s">
        <v>9551</v>
      </c>
      <c r="V62" s="816" t="s">
        <v>9551</v>
      </c>
      <c r="W62" s="267"/>
      <c r="X62" s="816" t="s">
        <v>26</v>
      </c>
      <c r="Y62">
        <v>50.3</v>
      </c>
      <c r="Z62">
        <v>67.099999999999994</v>
      </c>
      <c r="AA62" s="816" t="s">
        <v>9566</v>
      </c>
      <c r="AB62" s="816" t="s">
        <v>9597</v>
      </c>
      <c r="AC62" s="816"/>
      <c r="AD62" s="816"/>
      <c r="AE62" s="816"/>
      <c r="AF62" s="816"/>
      <c r="AG62" s="816"/>
      <c r="AI62" s="816"/>
      <c r="AK62" s="816"/>
      <c r="AM62" s="816"/>
    </row>
    <row r="63" spans="1:39" x14ac:dyDescent="0.25">
      <c r="A63" s="265">
        <v>43489</v>
      </c>
      <c r="B63">
        <v>4</v>
      </c>
      <c r="C63" s="816" t="s">
        <v>7</v>
      </c>
      <c r="D63">
        <v>532</v>
      </c>
      <c r="E63" s="816" t="s">
        <v>9535</v>
      </c>
      <c r="F63" s="816" t="s">
        <v>25</v>
      </c>
      <c r="G63" s="816" t="s">
        <v>9547</v>
      </c>
      <c r="H63">
        <v>4</v>
      </c>
      <c r="I63" s="816" t="s">
        <v>13</v>
      </c>
      <c r="J63" s="816" t="s">
        <v>13</v>
      </c>
      <c r="K63" s="817">
        <v>0.15319444444444444</v>
      </c>
      <c r="L63" s="817">
        <v>0.21986111111111109</v>
      </c>
      <c r="M63" s="817"/>
      <c r="N63" s="817"/>
      <c r="O63" s="817">
        <v>0.48021990740740739</v>
      </c>
      <c r="P63" s="817">
        <v>0.7405787037037036</v>
      </c>
      <c r="Q63" s="817"/>
      <c r="R63" s="816"/>
      <c r="S63" s="817"/>
      <c r="T63" s="817"/>
      <c r="U63" s="816" t="s">
        <v>9551</v>
      </c>
      <c r="V63" s="816" t="s">
        <v>9551</v>
      </c>
      <c r="W63" s="267"/>
      <c r="X63" s="816" t="s">
        <v>26</v>
      </c>
      <c r="Y63">
        <v>66</v>
      </c>
      <c r="Z63">
        <v>78.900000000000006</v>
      </c>
      <c r="AA63" s="816" t="s">
        <v>9567</v>
      </c>
      <c r="AB63" s="816" t="s">
        <v>9598</v>
      </c>
      <c r="AC63" s="816"/>
      <c r="AD63" s="816"/>
      <c r="AE63" s="816"/>
      <c r="AF63" s="816"/>
      <c r="AG63" s="816"/>
      <c r="AI63" s="816"/>
      <c r="AK63" s="816"/>
      <c r="AM63" s="816"/>
    </row>
    <row r="64" spans="1:39" x14ac:dyDescent="0.25">
      <c r="A64" s="265">
        <v>43490</v>
      </c>
      <c r="B64">
        <v>5</v>
      </c>
      <c r="C64" s="816" t="s">
        <v>1</v>
      </c>
      <c r="D64">
        <v>532</v>
      </c>
      <c r="E64" s="816" t="s">
        <v>9535</v>
      </c>
      <c r="F64" s="816" t="s">
        <v>25</v>
      </c>
      <c r="G64" s="816" t="s">
        <v>9547</v>
      </c>
      <c r="H64">
        <v>5</v>
      </c>
      <c r="I64" s="816" t="s">
        <v>14</v>
      </c>
      <c r="J64" s="816" t="s">
        <v>14</v>
      </c>
      <c r="K64" s="817">
        <v>0.15347222222222223</v>
      </c>
      <c r="L64" s="817">
        <v>0.22013888888888888</v>
      </c>
      <c r="M64" s="817"/>
      <c r="N64" s="817"/>
      <c r="O64" s="817">
        <v>0.48038194444444443</v>
      </c>
      <c r="P64" s="817">
        <v>0.74062499999999998</v>
      </c>
      <c r="Q64" s="817"/>
      <c r="R64" s="816"/>
      <c r="S64" s="817"/>
      <c r="T64" s="817"/>
      <c r="U64" s="816" t="s">
        <v>9551</v>
      </c>
      <c r="V64" s="816" t="s">
        <v>9551</v>
      </c>
      <c r="W64" s="267"/>
      <c r="X64" s="816" t="s">
        <v>26</v>
      </c>
      <c r="Y64">
        <v>79</v>
      </c>
      <c r="Z64">
        <v>88.1</v>
      </c>
      <c r="AA64" s="816" t="s">
        <v>9568</v>
      </c>
      <c r="AB64" s="816" t="s">
        <v>9599</v>
      </c>
      <c r="AC64" s="816"/>
      <c r="AD64" s="816"/>
      <c r="AE64" s="816"/>
      <c r="AF64" s="816"/>
      <c r="AG64" s="816"/>
      <c r="AI64" s="816"/>
      <c r="AK64" s="816"/>
      <c r="AM64" s="816"/>
    </row>
    <row r="65" spans="1:39" x14ac:dyDescent="0.25">
      <c r="A65" s="265">
        <v>43491</v>
      </c>
      <c r="B65">
        <v>6</v>
      </c>
      <c r="C65" s="816" t="s">
        <v>2</v>
      </c>
      <c r="D65">
        <v>532</v>
      </c>
      <c r="E65" s="816" t="s">
        <v>9535</v>
      </c>
      <c r="F65" s="816" t="s">
        <v>25</v>
      </c>
      <c r="G65" s="816" t="s">
        <v>9547</v>
      </c>
      <c r="H65">
        <v>6</v>
      </c>
      <c r="I65" s="816" t="s">
        <v>15</v>
      </c>
      <c r="J65" s="816" t="s">
        <v>15</v>
      </c>
      <c r="K65" s="817">
        <v>0.15373842592592593</v>
      </c>
      <c r="L65" s="817">
        <v>0.22040509259259258</v>
      </c>
      <c r="M65" s="817"/>
      <c r="N65" s="817"/>
      <c r="O65" s="817">
        <v>0.48053240740740738</v>
      </c>
      <c r="P65" s="817">
        <v>0.74067129629629624</v>
      </c>
      <c r="Q65" s="817"/>
      <c r="R65" s="816"/>
      <c r="S65" s="817"/>
      <c r="T65" s="817"/>
      <c r="U65" s="816" t="s">
        <v>9551</v>
      </c>
      <c r="V65" s="816" t="s">
        <v>9551</v>
      </c>
      <c r="W65" s="267"/>
      <c r="X65" s="816" t="s">
        <v>26</v>
      </c>
      <c r="Y65">
        <v>88.5</v>
      </c>
      <c r="Z65">
        <v>94.3</v>
      </c>
      <c r="AA65" s="816" t="s">
        <v>9569</v>
      </c>
      <c r="AB65" s="816" t="s">
        <v>9601</v>
      </c>
      <c r="AC65" s="816"/>
      <c r="AD65" s="816"/>
      <c r="AE65" s="816"/>
      <c r="AF65" s="816"/>
      <c r="AG65" s="816"/>
      <c r="AI65" s="816"/>
      <c r="AK65" s="816"/>
      <c r="AM65" s="816"/>
    </row>
    <row r="66" spans="1:39" x14ac:dyDescent="0.25">
      <c r="A66" s="265">
        <v>43492</v>
      </c>
      <c r="B66">
        <v>0</v>
      </c>
      <c r="C66" s="816" t="s">
        <v>3</v>
      </c>
      <c r="D66">
        <v>532</v>
      </c>
      <c r="E66" s="816" t="s">
        <v>9535</v>
      </c>
      <c r="F66" s="816" t="s">
        <v>25</v>
      </c>
      <c r="G66" s="816" t="s">
        <v>9547</v>
      </c>
      <c r="H66">
        <v>7</v>
      </c>
      <c r="I66" s="816" t="s">
        <v>16</v>
      </c>
      <c r="J66" s="816" t="s">
        <v>16</v>
      </c>
      <c r="K66" s="817">
        <v>0.15400462962962963</v>
      </c>
      <c r="L66" s="817">
        <v>0.22067129629629631</v>
      </c>
      <c r="M66" s="817"/>
      <c r="N66" s="817"/>
      <c r="O66" s="817">
        <v>0.48068287037037033</v>
      </c>
      <c r="P66" s="817">
        <v>0.74069444444444443</v>
      </c>
      <c r="Q66" s="817"/>
      <c r="R66" s="816"/>
      <c r="S66" s="817"/>
      <c r="T66" s="817"/>
      <c r="U66" s="816" t="s">
        <v>9551</v>
      </c>
      <c r="V66" s="816" t="s">
        <v>9551</v>
      </c>
      <c r="W66" s="267"/>
      <c r="X66" s="816" t="s">
        <v>26</v>
      </c>
      <c r="Y66">
        <v>94.5</v>
      </c>
      <c r="Z66">
        <v>97.3</v>
      </c>
      <c r="AA66" s="816" t="s">
        <v>9570</v>
      </c>
      <c r="AB66" s="816" t="s">
        <v>9602</v>
      </c>
      <c r="AC66" s="816"/>
      <c r="AD66" s="816"/>
      <c r="AE66" s="816"/>
      <c r="AF66" s="816"/>
      <c r="AG66" s="816"/>
      <c r="AI66" s="816"/>
      <c r="AK66" s="816"/>
      <c r="AM66" s="816"/>
    </row>
    <row r="67" spans="1:39" x14ac:dyDescent="0.25">
      <c r="A67" s="265">
        <v>43493</v>
      </c>
      <c r="B67">
        <v>1</v>
      </c>
      <c r="C67" s="816" t="s">
        <v>4</v>
      </c>
      <c r="D67">
        <v>532</v>
      </c>
      <c r="E67" s="816" t="s">
        <v>9535</v>
      </c>
      <c r="F67" s="816" t="s">
        <v>25</v>
      </c>
      <c r="G67" s="816" t="s">
        <v>9547</v>
      </c>
      <c r="H67">
        <v>8</v>
      </c>
      <c r="I67" s="816" t="s">
        <v>17</v>
      </c>
      <c r="J67" s="816" t="s">
        <v>17</v>
      </c>
      <c r="K67" s="817">
        <v>0.15425925925925926</v>
      </c>
      <c r="L67" s="817">
        <v>0.22092592592592594</v>
      </c>
      <c r="M67" s="817"/>
      <c r="N67" s="817"/>
      <c r="O67" s="817">
        <v>0.48082175925925924</v>
      </c>
      <c r="P67" s="817">
        <v>0.74070601851851858</v>
      </c>
      <c r="Q67" s="817"/>
      <c r="R67" s="816"/>
      <c r="S67" s="817"/>
      <c r="T67" s="817"/>
      <c r="U67" s="816" t="s">
        <v>9551</v>
      </c>
      <c r="V67" s="816" t="s">
        <v>9551</v>
      </c>
      <c r="W67" s="267"/>
      <c r="X67" s="816" t="s">
        <v>26</v>
      </c>
      <c r="Y67">
        <v>97</v>
      </c>
      <c r="Z67">
        <v>97.2</v>
      </c>
      <c r="AA67" s="816" t="s">
        <v>9571</v>
      </c>
      <c r="AB67" s="816" t="s">
        <v>9603</v>
      </c>
      <c r="AC67" s="816"/>
      <c r="AD67" s="816"/>
      <c r="AE67" s="816"/>
      <c r="AF67" s="816"/>
      <c r="AG67" s="816"/>
      <c r="AI67" s="816"/>
      <c r="AK67" s="816"/>
      <c r="AM67" s="816"/>
    </row>
    <row r="68" spans="1:39" x14ac:dyDescent="0.25">
      <c r="A68" s="265">
        <v>43494</v>
      </c>
      <c r="B68">
        <v>2</v>
      </c>
      <c r="C68" s="816" t="s">
        <v>5</v>
      </c>
      <c r="D68">
        <v>532</v>
      </c>
      <c r="E68" s="816" t="s">
        <v>9535</v>
      </c>
      <c r="F68" s="816" t="s">
        <v>25</v>
      </c>
      <c r="G68" s="816" t="s">
        <v>9547</v>
      </c>
      <c r="H68">
        <v>9</v>
      </c>
      <c r="I68" s="816" t="s">
        <v>18</v>
      </c>
      <c r="J68" s="816" t="s">
        <v>18</v>
      </c>
      <c r="K68" s="817">
        <v>0.15450231481481483</v>
      </c>
      <c r="L68" s="817">
        <v>0.22116898148148148</v>
      </c>
      <c r="M68" s="817"/>
      <c r="N68" s="817"/>
      <c r="O68" s="817">
        <v>0.48093750000000002</v>
      </c>
      <c r="P68" s="817">
        <v>0.74070601851851858</v>
      </c>
      <c r="Q68" s="817"/>
      <c r="R68" s="816"/>
      <c r="S68" s="817"/>
      <c r="T68" s="817"/>
      <c r="U68" s="816" t="s">
        <v>9551</v>
      </c>
      <c r="V68" s="816" t="s">
        <v>9551</v>
      </c>
      <c r="W68" s="267"/>
      <c r="X68" s="816" t="s">
        <v>26</v>
      </c>
      <c r="Y68">
        <v>96.3</v>
      </c>
      <c r="Z68">
        <v>94.2</v>
      </c>
      <c r="AA68" s="816" t="s">
        <v>9572</v>
      </c>
      <c r="AB68" s="816" t="s">
        <v>9579</v>
      </c>
      <c r="AC68" s="816"/>
      <c r="AD68" s="816"/>
      <c r="AE68" s="816"/>
      <c r="AF68" s="816"/>
      <c r="AG68" s="816"/>
      <c r="AI68" s="816"/>
      <c r="AK68" s="816"/>
      <c r="AM68" s="816"/>
    </row>
    <row r="69" spans="1:39" x14ac:dyDescent="0.25">
      <c r="A69" s="265">
        <v>43495</v>
      </c>
      <c r="B69">
        <v>3</v>
      </c>
      <c r="C69" s="816" t="s">
        <v>6</v>
      </c>
      <c r="D69">
        <v>532</v>
      </c>
      <c r="E69" s="816" t="s">
        <v>9535</v>
      </c>
      <c r="F69" s="816" t="s">
        <v>25</v>
      </c>
      <c r="G69" s="816" t="s">
        <v>9547</v>
      </c>
      <c r="H69">
        <v>10</v>
      </c>
      <c r="I69" s="816" t="s">
        <v>19</v>
      </c>
      <c r="J69" s="816" t="s">
        <v>19</v>
      </c>
      <c r="K69" s="817">
        <v>0.15474537037037037</v>
      </c>
      <c r="L69" s="817">
        <v>0.22141203703703705</v>
      </c>
      <c r="M69" s="817"/>
      <c r="N69" s="817"/>
      <c r="O69" s="817">
        <v>0.4810532407407408</v>
      </c>
      <c r="P69" s="817">
        <v>0.74070601851851858</v>
      </c>
      <c r="Q69" s="817"/>
      <c r="R69" s="816"/>
      <c r="S69" s="817"/>
      <c r="T69" s="817"/>
      <c r="U69" s="816" t="s">
        <v>9551</v>
      </c>
      <c r="V69" s="816" t="s">
        <v>9551</v>
      </c>
      <c r="W69" s="267"/>
      <c r="X69" s="816" t="s">
        <v>26</v>
      </c>
      <c r="Y69">
        <v>92.9</v>
      </c>
      <c r="Z69">
        <v>88.8</v>
      </c>
      <c r="AA69" s="816" t="s">
        <v>9573</v>
      </c>
      <c r="AB69" s="816" t="s">
        <v>9580</v>
      </c>
      <c r="AC69" s="816"/>
      <c r="AD69" s="816"/>
      <c r="AE69" s="816"/>
      <c r="AF69" s="816"/>
      <c r="AG69" s="816"/>
      <c r="AI69" s="816"/>
      <c r="AK69" s="816"/>
      <c r="AM69" s="816"/>
    </row>
    <row r="70" spans="1:39" x14ac:dyDescent="0.25">
      <c r="A70" s="265">
        <v>43496</v>
      </c>
      <c r="B70">
        <v>4</v>
      </c>
      <c r="C70" s="816" t="s">
        <v>7</v>
      </c>
      <c r="D70">
        <v>532</v>
      </c>
      <c r="E70" s="816" t="s">
        <v>9535</v>
      </c>
      <c r="F70" s="816" t="s">
        <v>25</v>
      </c>
      <c r="G70" s="816" t="s">
        <v>9547</v>
      </c>
      <c r="H70">
        <v>11</v>
      </c>
      <c r="I70" s="816" t="s">
        <v>9548</v>
      </c>
      <c r="J70" s="816" t="s">
        <v>20</v>
      </c>
      <c r="K70" s="817">
        <v>0.15497685185185187</v>
      </c>
      <c r="L70" s="817">
        <v>0.22164351851851852</v>
      </c>
      <c r="M70" s="817"/>
      <c r="N70" s="817"/>
      <c r="O70" s="817">
        <v>0.48116898148148146</v>
      </c>
      <c r="P70" s="817">
        <v>0.74068287037037039</v>
      </c>
      <c r="Q70" s="817"/>
      <c r="R70" s="816"/>
      <c r="S70" s="817"/>
      <c r="T70" s="817"/>
      <c r="U70" s="816" t="s">
        <v>9551</v>
      </c>
      <c r="V70" s="816" t="s">
        <v>9551</v>
      </c>
      <c r="W70" s="267"/>
      <c r="X70" s="816" t="s">
        <v>26</v>
      </c>
      <c r="Y70">
        <v>87.4</v>
      </c>
      <c r="Z70">
        <v>81.400000000000006</v>
      </c>
      <c r="AA70" s="816" t="s">
        <v>9574</v>
      </c>
      <c r="AB70" s="816" t="s">
        <v>9581</v>
      </c>
      <c r="AC70" s="816"/>
      <c r="AD70" s="816"/>
      <c r="AE70" s="816"/>
      <c r="AF70" s="816" t="s">
        <v>72</v>
      </c>
      <c r="AG70" s="816" t="s">
        <v>31</v>
      </c>
      <c r="AH70">
        <v>-1</v>
      </c>
      <c r="AI70" s="816"/>
      <c r="AK70" s="816"/>
      <c r="AM70" s="816"/>
    </row>
    <row r="71" spans="1:39" x14ac:dyDescent="0.25">
      <c r="A71" s="265">
        <v>43497</v>
      </c>
      <c r="B71">
        <v>5</v>
      </c>
      <c r="C71" s="816" t="s">
        <v>1</v>
      </c>
      <c r="D71">
        <v>532</v>
      </c>
      <c r="E71" s="816" t="s">
        <v>9535</v>
      </c>
      <c r="F71" s="816" t="s">
        <v>25</v>
      </c>
      <c r="G71" s="816" t="s">
        <v>9547</v>
      </c>
      <c r="H71">
        <v>12</v>
      </c>
      <c r="I71" s="816" t="s">
        <v>21</v>
      </c>
      <c r="J71" s="816" t="s">
        <v>21</v>
      </c>
      <c r="K71" s="817">
        <v>0.15520833333333334</v>
      </c>
      <c r="L71" s="817">
        <v>0.22187500000000002</v>
      </c>
      <c r="M71" s="817">
        <v>0.22152777777777777</v>
      </c>
      <c r="N71" s="817">
        <v>0.39444444444444443</v>
      </c>
      <c r="O71" s="817">
        <v>0.48126157407407405</v>
      </c>
      <c r="P71" s="817">
        <v>0.74064814814814817</v>
      </c>
      <c r="Q71" s="817"/>
      <c r="R71" s="816"/>
      <c r="S71" s="817"/>
      <c r="T71" s="817"/>
      <c r="U71" s="816" t="s">
        <v>9551</v>
      </c>
      <c r="V71" s="816" t="s">
        <v>9551</v>
      </c>
      <c r="W71" s="267"/>
      <c r="X71" s="816" t="s">
        <v>26</v>
      </c>
      <c r="Y71">
        <v>80.099999999999994</v>
      </c>
      <c r="Z71">
        <v>72.5</v>
      </c>
      <c r="AA71" s="816" t="s">
        <v>9575</v>
      </c>
      <c r="AB71" s="816" t="s">
        <v>9582</v>
      </c>
      <c r="AC71" s="816"/>
      <c r="AD71" s="816"/>
      <c r="AE71" s="816"/>
      <c r="AF71" s="816"/>
      <c r="AG71" s="816"/>
      <c r="AI71" s="816"/>
      <c r="AK71" s="816"/>
      <c r="AM71" s="816"/>
    </row>
    <row r="72" spans="1:39" x14ac:dyDescent="0.25">
      <c r="A72" s="265">
        <v>43498</v>
      </c>
      <c r="B72">
        <v>6</v>
      </c>
      <c r="C72" s="816" t="s">
        <v>2</v>
      </c>
      <c r="D72">
        <v>532</v>
      </c>
      <c r="E72" s="816" t="s">
        <v>9535</v>
      </c>
      <c r="F72" s="816" t="s">
        <v>25</v>
      </c>
      <c r="G72" s="816" t="s">
        <v>9547</v>
      </c>
      <c r="H72">
        <v>13</v>
      </c>
      <c r="I72" s="816" t="s">
        <v>8</v>
      </c>
      <c r="J72" s="816" t="s">
        <v>8</v>
      </c>
      <c r="K72" s="817">
        <v>0.15542824074074074</v>
      </c>
      <c r="L72" s="817">
        <v>0.22209490740740742</v>
      </c>
      <c r="M72" s="817"/>
      <c r="N72" s="817"/>
      <c r="O72" s="817">
        <v>0.48135416666666669</v>
      </c>
      <c r="P72" s="817">
        <v>0.74061342592592594</v>
      </c>
      <c r="Q72" s="817"/>
      <c r="R72" s="816"/>
      <c r="S72" s="817"/>
      <c r="T72" s="817"/>
      <c r="U72" s="816" t="s">
        <v>9551</v>
      </c>
      <c r="V72" s="816" t="s">
        <v>9551</v>
      </c>
      <c r="W72" s="267"/>
      <c r="X72" s="816" t="s">
        <v>26</v>
      </c>
      <c r="Y72">
        <v>71.599999999999994</v>
      </c>
      <c r="Z72">
        <v>62.4</v>
      </c>
      <c r="AA72" s="816" t="s">
        <v>9576</v>
      </c>
      <c r="AB72" s="816" t="s">
        <v>9583</v>
      </c>
      <c r="AC72" s="816"/>
      <c r="AD72" s="816"/>
      <c r="AE72" s="816"/>
      <c r="AF72" s="816"/>
      <c r="AG72" s="816"/>
      <c r="AI72" s="816"/>
      <c r="AK72" s="816"/>
      <c r="AM72" s="816"/>
    </row>
    <row r="73" spans="1:39" x14ac:dyDescent="0.25">
      <c r="A73" s="265">
        <v>43499</v>
      </c>
      <c r="B73">
        <v>0</v>
      </c>
      <c r="C73" s="816" t="s">
        <v>3</v>
      </c>
      <c r="D73">
        <v>532</v>
      </c>
      <c r="E73" s="816" t="s">
        <v>9535</v>
      </c>
      <c r="F73" s="816" t="s">
        <v>25</v>
      </c>
      <c r="G73" s="816" t="s">
        <v>9547</v>
      </c>
      <c r="H73">
        <v>14</v>
      </c>
      <c r="I73" s="816" t="s">
        <v>9</v>
      </c>
      <c r="J73" s="816" t="s">
        <v>9</v>
      </c>
      <c r="K73" s="817">
        <v>0.15563657407407408</v>
      </c>
      <c r="L73" s="817">
        <v>0.22230324074074073</v>
      </c>
      <c r="M73" s="817"/>
      <c r="N73" s="817"/>
      <c r="O73" s="817">
        <v>0.48142361111111115</v>
      </c>
      <c r="P73" s="817">
        <v>0.74055555555555552</v>
      </c>
      <c r="Q73" s="817"/>
      <c r="R73" s="816"/>
      <c r="S73" s="817"/>
      <c r="T73" s="817"/>
      <c r="U73" s="816" t="s">
        <v>9551</v>
      </c>
      <c r="V73" s="816" t="s">
        <v>9551</v>
      </c>
      <c r="W73" s="267"/>
      <c r="X73" s="816" t="s">
        <v>26</v>
      </c>
      <c r="Y73">
        <v>62.2</v>
      </c>
      <c r="Z73">
        <v>51.6</v>
      </c>
      <c r="AA73" s="816" t="s">
        <v>9577</v>
      </c>
      <c r="AB73" s="816" t="s">
        <v>9584</v>
      </c>
      <c r="AC73" s="816"/>
      <c r="AD73" s="816"/>
      <c r="AE73" s="816"/>
      <c r="AF73" s="816"/>
      <c r="AG73" s="816"/>
      <c r="AI73" s="816"/>
      <c r="AK73" s="816"/>
      <c r="AM73" s="816"/>
    </row>
    <row r="74" spans="1:39" x14ac:dyDescent="0.25">
      <c r="A74" s="265">
        <v>43500</v>
      </c>
      <c r="B74">
        <v>1</v>
      </c>
      <c r="C74" s="816" t="s">
        <v>4</v>
      </c>
      <c r="D74">
        <v>532</v>
      </c>
      <c r="E74" s="816" t="s">
        <v>9535</v>
      </c>
      <c r="F74" s="816" t="s">
        <v>25</v>
      </c>
      <c r="G74" s="816" t="s">
        <v>9547</v>
      </c>
      <c r="H74">
        <v>15</v>
      </c>
      <c r="I74" s="816" t="s">
        <v>22</v>
      </c>
      <c r="J74" s="816" t="s">
        <v>22</v>
      </c>
      <c r="K74" s="817">
        <v>0.15583333333333335</v>
      </c>
      <c r="L74" s="817">
        <v>0.2225</v>
      </c>
      <c r="M74" s="817"/>
      <c r="N74" s="817"/>
      <c r="O74" s="817">
        <v>0.4814930555555556</v>
      </c>
      <c r="P74" s="817">
        <v>0.74049768518518511</v>
      </c>
      <c r="Q74" s="817"/>
      <c r="R74" s="816"/>
      <c r="S74" s="817"/>
      <c r="T74" s="817"/>
      <c r="U74" s="816" t="s">
        <v>9551</v>
      </c>
      <c r="V74" s="816" t="s">
        <v>9551</v>
      </c>
      <c r="W74" s="267"/>
      <c r="X74" s="816" t="s">
        <v>26</v>
      </c>
      <c r="Y74">
        <v>52.3</v>
      </c>
      <c r="Z74">
        <v>40.299999999999997</v>
      </c>
      <c r="AA74" s="816" t="s">
        <v>9552</v>
      </c>
      <c r="AB74" s="816" t="s">
        <v>9585</v>
      </c>
      <c r="AC74" s="816"/>
      <c r="AD74" s="816"/>
      <c r="AE74" s="816"/>
      <c r="AF74" s="816"/>
      <c r="AG74" s="816"/>
      <c r="AI74" s="816"/>
      <c r="AK74" s="816"/>
      <c r="AM74" s="816"/>
    </row>
    <row r="75" spans="1:39" x14ac:dyDescent="0.25">
      <c r="A75" s="265">
        <v>43501</v>
      </c>
      <c r="B75">
        <v>2</v>
      </c>
      <c r="C75" s="816" t="s">
        <v>5</v>
      </c>
      <c r="D75">
        <v>532</v>
      </c>
      <c r="E75" s="816" t="s">
        <v>9535</v>
      </c>
      <c r="F75" s="816" t="s">
        <v>24</v>
      </c>
      <c r="G75" s="816" t="s">
        <v>9546</v>
      </c>
      <c r="H75">
        <v>16</v>
      </c>
      <c r="I75" s="816" t="s">
        <v>11</v>
      </c>
      <c r="J75" s="816" t="s">
        <v>11</v>
      </c>
      <c r="K75" s="817">
        <v>0.1560300925925926</v>
      </c>
      <c r="L75" s="817">
        <v>0.22269675925925925</v>
      </c>
      <c r="M75" s="817"/>
      <c r="N75" s="817"/>
      <c r="O75" s="817">
        <v>0.48156249999999995</v>
      </c>
      <c r="P75" s="817">
        <v>0.74041666666666661</v>
      </c>
      <c r="Q75" s="817"/>
      <c r="R75" s="816"/>
      <c r="S75" s="817"/>
      <c r="T75" s="817"/>
      <c r="U75" s="816" t="s">
        <v>9551</v>
      </c>
      <c r="V75" s="816" t="s">
        <v>9551</v>
      </c>
      <c r="W75" s="267"/>
      <c r="X75" s="816" t="s">
        <v>26</v>
      </c>
      <c r="Y75">
        <v>42.1</v>
      </c>
      <c r="Z75">
        <v>28.8</v>
      </c>
      <c r="AA75" s="816" t="s">
        <v>9553</v>
      </c>
      <c r="AB75" s="816" t="s">
        <v>9586</v>
      </c>
      <c r="AC75" s="816"/>
      <c r="AD75" s="816"/>
      <c r="AE75" s="816"/>
      <c r="AF75" s="816"/>
      <c r="AG75" s="816"/>
      <c r="AI75" s="816"/>
      <c r="AK75" s="816"/>
      <c r="AM75" s="816"/>
    </row>
    <row r="76" spans="1:39" x14ac:dyDescent="0.25">
      <c r="A76" s="265">
        <v>43502</v>
      </c>
      <c r="B76">
        <v>3</v>
      </c>
      <c r="C76" s="816" t="s">
        <v>6</v>
      </c>
      <c r="D76">
        <v>532</v>
      </c>
      <c r="E76" s="816" t="s">
        <v>9535</v>
      </c>
      <c r="F76" s="816" t="s">
        <v>24</v>
      </c>
      <c r="G76" s="816" t="s">
        <v>9546</v>
      </c>
      <c r="H76">
        <v>17</v>
      </c>
      <c r="I76" s="816" t="s">
        <v>12</v>
      </c>
      <c r="J76" s="816" t="s">
        <v>12</v>
      </c>
      <c r="K76" s="817">
        <v>0.15621527777777777</v>
      </c>
      <c r="L76" s="817">
        <v>0.22288194444444445</v>
      </c>
      <c r="M76" s="817"/>
      <c r="N76" s="817"/>
      <c r="O76" s="817">
        <v>0.48160879629629627</v>
      </c>
      <c r="P76" s="817">
        <v>0.74033564814814812</v>
      </c>
      <c r="Q76" s="817"/>
      <c r="R76" s="816"/>
      <c r="S76" s="817"/>
      <c r="T76" s="817"/>
      <c r="U76" s="816" t="s">
        <v>9551</v>
      </c>
      <c r="V76" s="816" t="s">
        <v>9551</v>
      </c>
      <c r="W76" s="267"/>
      <c r="X76" s="816" t="s">
        <v>26</v>
      </c>
      <c r="Y76">
        <v>32.1</v>
      </c>
      <c r="Z76">
        <v>17.399999999999999</v>
      </c>
      <c r="AA76" s="816" t="s">
        <v>9554</v>
      </c>
      <c r="AB76" s="816" t="s">
        <v>9604</v>
      </c>
      <c r="AC76" s="816"/>
      <c r="AD76" s="816"/>
      <c r="AE76" s="816"/>
      <c r="AF76" s="816"/>
      <c r="AG76" s="816"/>
      <c r="AI76" s="816"/>
      <c r="AK76" s="816"/>
      <c r="AM76" s="816"/>
    </row>
    <row r="77" spans="1:39" x14ac:dyDescent="0.25">
      <c r="A77" s="265">
        <v>43503</v>
      </c>
      <c r="B77">
        <v>4</v>
      </c>
      <c r="C77" s="816" t="s">
        <v>7</v>
      </c>
      <c r="D77">
        <v>532</v>
      </c>
      <c r="E77" s="816" t="s">
        <v>9535</v>
      </c>
      <c r="F77" s="816" t="s">
        <v>24</v>
      </c>
      <c r="G77" s="816" t="s">
        <v>9546</v>
      </c>
      <c r="H77">
        <v>18</v>
      </c>
      <c r="I77" s="816" t="s">
        <v>23</v>
      </c>
      <c r="J77" s="816" t="s">
        <v>23</v>
      </c>
      <c r="K77" s="817">
        <v>0.15640046296296298</v>
      </c>
      <c r="L77" s="817">
        <v>0.22306712962962963</v>
      </c>
      <c r="M77" s="817"/>
      <c r="N77" s="817"/>
      <c r="O77" s="817">
        <v>0.48164351851851855</v>
      </c>
      <c r="P77" s="817">
        <v>0.74023148148148143</v>
      </c>
      <c r="Q77" s="817"/>
      <c r="R77" s="816"/>
      <c r="S77" s="817"/>
      <c r="T77" s="817"/>
      <c r="U77" s="816" t="s">
        <v>9551</v>
      </c>
      <c r="V77" s="816" t="s">
        <v>9551</v>
      </c>
      <c r="W77" s="267"/>
      <c r="X77" s="816" t="s">
        <v>26</v>
      </c>
      <c r="Y77">
        <v>22.5</v>
      </c>
      <c r="Z77">
        <v>6.3</v>
      </c>
      <c r="AA77" s="816" t="s">
        <v>9555</v>
      </c>
      <c r="AB77" s="816" t="s">
        <v>9587</v>
      </c>
      <c r="AC77" s="816"/>
      <c r="AD77" s="816"/>
      <c r="AE77" s="816"/>
      <c r="AF77" s="816"/>
      <c r="AG77" s="816"/>
      <c r="AI77" s="816"/>
      <c r="AK77" s="816"/>
      <c r="AM77" s="816"/>
    </row>
    <row r="78" spans="1:39" x14ac:dyDescent="0.25">
      <c r="A78" s="265">
        <v>43504</v>
      </c>
      <c r="B78">
        <v>5</v>
      </c>
      <c r="C78" s="816" t="s">
        <v>1</v>
      </c>
      <c r="D78">
        <v>532</v>
      </c>
      <c r="E78" s="816" t="s">
        <v>9535</v>
      </c>
      <c r="F78" s="816" t="s">
        <v>24</v>
      </c>
      <c r="G78" s="816" t="s">
        <v>9546</v>
      </c>
      <c r="H78">
        <v>19</v>
      </c>
      <c r="I78" s="816" t="s">
        <v>13</v>
      </c>
      <c r="J78" s="816" t="s">
        <v>13</v>
      </c>
      <c r="K78" s="817">
        <v>0.15656250000000002</v>
      </c>
      <c r="L78" s="817">
        <v>0.22322916666666667</v>
      </c>
      <c r="M78" s="817"/>
      <c r="N78" s="817"/>
      <c r="O78" s="817">
        <v>0.48167824074074073</v>
      </c>
      <c r="P78" s="817">
        <v>0.74012731481481486</v>
      </c>
      <c r="Q78" s="817"/>
      <c r="R78" s="816"/>
      <c r="S78" s="817"/>
      <c r="T78" s="817"/>
      <c r="U78" s="816" t="s">
        <v>9551</v>
      </c>
      <c r="V78" s="816" t="s">
        <v>9551</v>
      </c>
      <c r="W78" s="267"/>
      <c r="X78" s="816" t="s">
        <v>26</v>
      </c>
      <c r="Y78">
        <v>13.4</v>
      </c>
      <c r="Z78">
        <v>95.8</v>
      </c>
      <c r="AA78" s="816" t="s">
        <v>9555</v>
      </c>
      <c r="AB78" s="816" t="s">
        <v>9588</v>
      </c>
      <c r="AC78" s="816"/>
      <c r="AD78" s="816"/>
      <c r="AE78" s="816"/>
      <c r="AF78" s="816"/>
      <c r="AG78" s="816"/>
      <c r="AI78" s="816"/>
      <c r="AK78" s="816"/>
      <c r="AM78" s="816"/>
    </row>
    <row r="79" spans="1:39" x14ac:dyDescent="0.25">
      <c r="A79" s="265">
        <v>43505</v>
      </c>
      <c r="B79">
        <v>6</v>
      </c>
      <c r="C79" s="816" t="s">
        <v>2</v>
      </c>
      <c r="D79">
        <v>532</v>
      </c>
      <c r="E79" s="816" t="s">
        <v>9535</v>
      </c>
      <c r="F79" s="816" t="s">
        <v>24</v>
      </c>
      <c r="G79" s="816" t="s">
        <v>9546</v>
      </c>
      <c r="H79">
        <v>20</v>
      </c>
      <c r="I79" s="816" t="s">
        <v>14</v>
      </c>
      <c r="J79" s="816" t="s">
        <v>13</v>
      </c>
      <c r="K79" s="817">
        <v>0.15672453703703704</v>
      </c>
      <c r="L79" s="817">
        <v>0.22339120370370369</v>
      </c>
      <c r="M79" s="817"/>
      <c r="N79" s="817"/>
      <c r="O79" s="817">
        <v>0.48170138888888886</v>
      </c>
      <c r="P79" s="817">
        <v>0.74001157407407403</v>
      </c>
      <c r="Q79" s="817"/>
      <c r="R79" s="816"/>
      <c r="S79" s="817"/>
      <c r="T79" s="817"/>
      <c r="U79" s="816" t="s">
        <v>9551</v>
      </c>
      <c r="V79" s="816" t="s">
        <v>9551</v>
      </c>
      <c r="W79" s="267"/>
      <c r="X79" s="816" t="s">
        <v>26</v>
      </c>
      <c r="Y79">
        <v>5.4</v>
      </c>
      <c r="Z79">
        <v>86.1</v>
      </c>
      <c r="AA79" s="816" t="s">
        <v>9556</v>
      </c>
      <c r="AB79" s="816" t="s">
        <v>9589</v>
      </c>
      <c r="AC79" s="816"/>
      <c r="AD79" s="816"/>
      <c r="AE79" s="816"/>
      <c r="AF79" s="816"/>
      <c r="AG79" s="816"/>
      <c r="AI79" s="816"/>
      <c r="AK79" s="816"/>
      <c r="AM79" s="816"/>
    </row>
    <row r="80" spans="1:39" x14ac:dyDescent="0.25">
      <c r="A80" s="265">
        <v>43506</v>
      </c>
      <c r="B80">
        <v>0</v>
      </c>
      <c r="C80" s="816" t="s">
        <v>3</v>
      </c>
      <c r="D80">
        <v>532</v>
      </c>
      <c r="E80" s="816" t="s">
        <v>9535</v>
      </c>
      <c r="F80" s="816" t="s">
        <v>24</v>
      </c>
      <c r="G80" s="816" t="s">
        <v>9546</v>
      </c>
      <c r="H80">
        <v>20</v>
      </c>
      <c r="I80" s="816" t="s">
        <v>14</v>
      </c>
      <c r="J80" s="816" t="s">
        <v>14</v>
      </c>
      <c r="K80" s="817">
        <v>0.15688657407407405</v>
      </c>
      <c r="L80" s="817">
        <v>0.22355324074074076</v>
      </c>
      <c r="M80" s="817"/>
      <c r="N80" s="817"/>
      <c r="O80" s="817">
        <v>0.48171296296296301</v>
      </c>
      <c r="P80" s="817">
        <v>0.73988425925925927</v>
      </c>
      <c r="Q80" s="817"/>
      <c r="R80" s="816"/>
      <c r="S80" s="817"/>
      <c r="T80" s="817"/>
      <c r="U80" s="816" t="s">
        <v>9551</v>
      </c>
      <c r="V80" s="816" t="s">
        <v>9551</v>
      </c>
      <c r="W80" s="267"/>
      <c r="X80" s="816" t="s">
        <v>27</v>
      </c>
      <c r="Y80">
        <v>98.8</v>
      </c>
      <c r="Z80">
        <v>77.8</v>
      </c>
      <c r="AA80" s="816" t="s">
        <v>9557</v>
      </c>
      <c r="AB80" s="816" t="s">
        <v>9590</v>
      </c>
      <c r="AC80" s="816"/>
      <c r="AD80" s="816"/>
      <c r="AE80" s="816"/>
      <c r="AF80" s="816"/>
      <c r="AG80" s="816"/>
      <c r="AI80" s="816"/>
      <c r="AK80" s="816"/>
      <c r="AM80" s="816"/>
    </row>
    <row r="81" spans="1:39" x14ac:dyDescent="0.25">
      <c r="A81" s="265">
        <v>43507</v>
      </c>
      <c r="B81">
        <v>1</v>
      </c>
      <c r="C81" s="816" t="s">
        <v>4</v>
      </c>
      <c r="D81">
        <v>532</v>
      </c>
      <c r="E81" s="816" t="s">
        <v>9535</v>
      </c>
      <c r="F81" s="816" t="s">
        <v>24</v>
      </c>
      <c r="G81" s="816" t="s">
        <v>9546</v>
      </c>
      <c r="H81">
        <v>21</v>
      </c>
      <c r="I81" s="816" t="s">
        <v>15</v>
      </c>
      <c r="J81" s="816" t="s">
        <v>15</v>
      </c>
      <c r="K81" s="817">
        <v>0.15703703703703703</v>
      </c>
      <c r="L81" s="817">
        <v>0.22370370370370371</v>
      </c>
      <c r="M81" s="817"/>
      <c r="N81" s="817"/>
      <c r="O81" s="817">
        <v>0.48172453703703705</v>
      </c>
      <c r="P81" s="817">
        <v>0.73974537037037036</v>
      </c>
      <c r="Q81" s="817"/>
      <c r="R81" s="816"/>
      <c r="S81" s="817"/>
      <c r="T81" s="817"/>
      <c r="U81" s="816" t="s">
        <v>9551</v>
      </c>
      <c r="V81" s="816" t="s">
        <v>9551</v>
      </c>
      <c r="W81" s="267"/>
      <c r="X81" s="816" t="s">
        <v>26</v>
      </c>
      <c r="Y81">
        <v>94</v>
      </c>
      <c r="Z81">
        <v>71</v>
      </c>
      <c r="AA81" s="816" t="s">
        <v>9558</v>
      </c>
      <c r="AB81" s="816" t="s">
        <v>9591</v>
      </c>
      <c r="AC81" s="816"/>
      <c r="AD81" s="816"/>
      <c r="AE81" s="816"/>
      <c r="AF81" s="816"/>
      <c r="AG81" s="816"/>
      <c r="AI81" s="816"/>
      <c r="AK81" s="816"/>
      <c r="AM81" s="816"/>
    </row>
    <row r="82" spans="1:39" x14ac:dyDescent="0.25">
      <c r="A82" s="265">
        <v>43508</v>
      </c>
      <c r="B82">
        <v>2</v>
      </c>
      <c r="C82" s="816" t="s">
        <v>5</v>
      </c>
      <c r="D82">
        <v>532</v>
      </c>
      <c r="E82" s="816" t="s">
        <v>9535</v>
      </c>
      <c r="F82" s="816" t="s">
        <v>24</v>
      </c>
      <c r="G82" s="816" t="s">
        <v>9546</v>
      </c>
      <c r="H82">
        <v>22</v>
      </c>
      <c r="I82" s="816" t="s">
        <v>16</v>
      </c>
      <c r="J82" s="816" t="s">
        <v>16</v>
      </c>
      <c r="K82" s="817">
        <v>0.15717592592592591</v>
      </c>
      <c r="L82" s="817">
        <v>0.22384259259259257</v>
      </c>
      <c r="M82" s="817"/>
      <c r="N82" s="817"/>
      <c r="O82" s="817">
        <v>0.48171296296296301</v>
      </c>
      <c r="P82" s="817">
        <v>0.73959490740740741</v>
      </c>
      <c r="Q82" s="817"/>
      <c r="R82" s="816"/>
      <c r="S82" s="817"/>
      <c r="T82" s="817"/>
      <c r="U82" s="816" t="s">
        <v>9551</v>
      </c>
      <c r="V82" s="816" t="s">
        <v>9551</v>
      </c>
      <c r="W82" s="267"/>
      <c r="X82" s="816" t="s">
        <v>26</v>
      </c>
      <c r="Y82">
        <v>91.5</v>
      </c>
      <c r="Z82">
        <v>66.400000000000006</v>
      </c>
      <c r="AA82" s="816" t="s">
        <v>9578</v>
      </c>
      <c r="AB82" s="816" t="s">
        <v>9605</v>
      </c>
      <c r="AC82" s="816"/>
      <c r="AD82" s="816"/>
      <c r="AE82" s="816"/>
      <c r="AF82" s="816"/>
      <c r="AG82" s="816"/>
      <c r="AI82" s="816"/>
      <c r="AK82" s="816"/>
      <c r="AM82" s="816"/>
    </row>
    <row r="83" spans="1:39" x14ac:dyDescent="0.25">
      <c r="A83" s="265">
        <v>43509</v>
      </c>
      <c r="B83">
        <v>3</v>
      </c>
      <c r="C83" s="816" t="s">
        <v>6</v>
      </c>
      <c r="D83">
        <v>532</v>
      </c>
      <c r="E83" s="816" t="s">
        <v>9535</v>
      </c>
      <c r="F83" s="816" t="s">
        <v>24</v>
      </c>
      <c r="G83" s="816" t="s">
        <v>9546</v>
      </c>
      <c r="H83">
        <v>23</v>
      </c>
      <c r="I83" s="816" t="s">
        <v>17</v>
      </c>
      <c r="J83" s="816" t="s">
        <v>17</v>
      </c>
      <c r="K83" s="817">
        <v>0.15730324074074073</v>
      </c>
      <c r="L83" s="817">
        <v>0.22396990740740741</v>
      </c>
      <c r="M83" s="817"/>
      <c r="N83" s="817"/>
      <c r="O83" s="817">
        <v>0.48170138888888886</v>
      </c>
      <c r="P83" s="817">
        <v>0.73943287037037031</v>
      </c>
      <c r="Q83" s="817">
        <v>1.1817129629629629E-2</v>
      </c>
      <c r="R83" s="816" t="s">
        <v>75</v>
      </c>
      <c r="S83" s="817"/>
      <c r="T83" s="817"/>
      <c r="U83" s="816" t="s">
        <v>9551</v>
      </c>
      <c r="V83" s="816" t="s">
        <v>9551</v>
      </c>
      <c r="W83" s="267"/>
      <c r="X83" s="816" t="s">
        <v>26</v>
      </c>
      <c r="Y83">
        <v>91.8</v>
      </c>
      <c r="Z83">
        <v>64.2</v>
      </c>
      <c r="AA83" s="816" t="s">
        <v>9559</v>
      </c>
      <c r="AB83" s="816" t="s">
        <v>9592</v>
      </c>
      <c r="AC83" s="816"/>
      <c r="AD83" s="816"/>
      <c r="AE83" s="816"/>
      <c r="AF83" s="816"/>
      <c r="AG83" s="816"/>
      <c r="AI83" s="816"/>
      <c r="AK83" s="816"/>
      <c r="AM83" s="816"/>
    </row>
    <row r="84" spans="1:39" x14ac:dyDescent="0.25">
      <c r="A84" s="265">
        <v>43510</v>
      </c>
      <c r="B84">
        <v>4</v>
      </c>
      <c r="C84" s="816" t="s">
        <v>7</v>
      </c>
      <c r="D84">
        <v>532</v>
      </c>
      <c r="E84" s="816" t="s">
        <v>9535</v>
      </c>
      <c r="F84" s="816" t="s">
        <v>24</v>
      </c>
      <c r="G84" s="816" t="s">
        <v>9546</v>
      </c>
      <c r="H84">
        <v>24</v>
      </c>
      <c r="I84" s="816" t="s">
        <v>18</v>
      </c>
      <c r="J84" s="816" t="s">
        <v>18</v>
      </c>
      <c r="K84" s="817">
        <v>0.15743055555555555</v>
      </c>
      <c r="L84" s="817">
        <v>0.2240972222222222</v>
      </c>
      <c r="M84" s="817"/>
      <c r="N84" s="817"/>
      <c r="O84" s="817">
        <v>0.48167824074074073</v>
      </c>
      <c r="P84" s="817">
        <v>0.73927083333333332</v>
      </c>
      <c r="Q84" s="817"/>
      <c r="R84" s="816"/>
      <c r="S84" s="817"/>
      <c r="T84" s="817"/>
      <c r="U84" s="816" t="s">
        <v>9551</v>
      </c>
      <c r="V84" s="816" t="s">
        <v>9551</v>
      </c>
      <c r="W84" s="267"/>
      <c r="X84" s="816" t="s">
        <v>26</v>
      </c>
      <c r="Y84">
        <v>95.4</v>
      </c>
      <c r="Z84">
        <v>65</v>
      </c>
      <c r="AA84" s="816" t="s">
        <v>9560</v>
      </c>
      <c r="AB84" s="816" t="s">
        <v>9593</v>
      </c>
      <c r="AC84" s="816"/>
      <c r="AD84" s="816"/>
      <c r="AE84" s="816"/>
      <c r="AF84" s="816"/>
      <c r="AG84" s="816"/>
      <c r="AI84" s="816"/>
      <c r="AK84" s="816"/>
      <c r="AM84" s="816"/>
    </row>
    <row r="85" spans="1:39" x14ac:dyDescent="0.25">
      <c r="A85" s="265">
        <v>43511</v>
      </c>
      <c r="B85">
        <v>5</v>
      </c>
      <c r="C85" s="816" t="s">
        <v>1</v>
      </c>
      <c r="D85">
        <v>532</v>
      </c>
      <c r="E85" s="816" t="s">
        <v>9535</v>
      </c>
      <c r="F85" s="816" t="s">
        <v>24</v>
      </c>
      <c r="G85" s="816" t="s">
        <v>9546</v>
      </c>
      <c r="H85">
        <v>26</v>
      </c>
      <c r="I85" s="816" t="s">
        <v>9549</v>
      </c>
      <c r="J85" s="816" t="s">
        <v>19</v>
      </c>
      <c r="K85" s="817">
        <v>0.1575462962962963</v>
      </c>
      <c r="L85" s="817">
        <v>0.22421296296296298</v>
      </c>
      <c r="M85" s="817"/>
      <c r="N85" s="817"/>
      <c r="O85" s="817">
        <v>0.48165509259259259</v>
      </c>
      <c r="P85" s="817">
        <v>0.73909722222222218</v>
      </c>
      <c r="Q85" s="817"/>
      <c r="R85" s="816"/>
      <c r="S85" s="817">
        <v>0.26805555555555555</v>
      </c>
      <c r="T85" s="817">
        <v>0.20138888888888887</v>
      </c>
      <c r="U85" s="816" t="s">
        <v>9551</v>
      </c>
      <c r="V85" s="816" t="s">
        <v>9551</v>
      </c>
      <c r="W85" s="267"/>
      <c r="X85" s="816" t="s">
        <v>26</v>
      </c>
      <c r="Y85">
        <v>2.5</v>
      </c>
      <c r="Z85">
        <v>69</v>
      </c>
      <c r="AA85" s="816" t="s">
        <v>9561</v>
      </c>
      <c r="AB85" s="816" t="s">
        <v>9594</v>
      </c>
      <c r="AC85" s="816"/>
      <c r="AD85" s="816"/>
      <c r="AE85" s="816"/>
      <c r="AF85" s="816"/>
      <c r="AG85" s="816"/>
      <c r="AI85" s="816"/>
      <c r="AK85" s="816"/>
      <c r="AM85" s="816"/>
    </row>
    <row r="86" spans="1:39" x14ac:dyDescent="0.25">
      <c r="A86" s="265">
        <v>43512</v>
      </c>
      <c r="B86">
        <v>6</v>
      </c>
      <c r="C86" s="816" t="s">
        <v>2</v>
      </c>
      <c r="D86">
        <v>532</v>
      </c>
      <c r="E86" s="816" t="s">
        <v>9535</v>
      </c>
      <c r="F86" s="816" t="s">
        <v>24</v>
      </c>
      <c r="G86" s="816" t="s">
        <v>9546</v>
      </c>
      <c r="H86">
        <v>27</v>
      </c>
      <c r="I86" s="816" t="s">
        <v>9550</v>
      </c>
      <c r="J86" s="816" t="s">
        <v>21</v>
      </c>
      <c r="K86" s="817">
        <v>0.15765046296296295</v>
      </c>
      <c r="L86" s="817">
        <v>0.2243171296296296</v>
      </c>
      <c r="M86" s="817"/>
      <c r="N86" s="817"/>
      <c r="O86" s="817">
        <v>0.48162037037037037</v>
      </c>
      <c r="P86" s="817">
        <v>0.73891203703703701</v>
      </c>
      <c r="Q86" s="817"/>
      <c r="R86" s="816"/>
      <c r="S86" s="817"/>
      <c r="T86" s="817"/>
      <c r="U86" s="816" t="s">
        <v>9551</v>
      </c>
      <c r="V86" s="816" t="s">
        <v>9551</v>
      </c>
      <c r="W86" s="267"/>
      <c r="X86" s="816" t="s">
        <v>26</v>
      </c>
      <c r="Y86">
        <v>13.2</v>
      </c>
      <c r="Z86">
        <v>76.2</v>
      </c>
      <c r="AA86" s="816" t="s">
        <v>9562</v>
      </c>
      <c r="AB86" s="816" t="s">
        <v>9595</v>
      </c>
      <c r="AC86" s="816"/>
      <c r="AD86" s="816"/>
      <c r="AE86" s="816"/>
      <c r="AF86" s="816" t="s">
        <v>72</v>
      </c>
      <c r="AG86" s="816" t="s">
        <v>33</v>
      </c>
      <c r="AH86">
        <v>-1</v>
      </c>
      <c r="AI86" s="816"/>
      <c r="AK86" s="816"/>
      <c r="AM86" s="816"/>
    </row>
    <row r="87" spans="1:39" x14ac:dyDescent="0.25">
      <c r="A87" s="265">
        <v>43513</v>
      </c>
      <c r="B87">
        <v>0</v>
      </c>
      <c r="C87" s="816" t="s">
        <v>3</v>
      </c>
      <c r="D87">
        <v>532</v>
      </c>
      <c r="E87" s="816" t="s">
        <v>9535</v>
      </c>
      <c r="F87" s="816" t="s">
        <v>24</v>
      </c>
      <c r="G87" s="816" t="s">
        <v>9546</v>
      </c>
      <c r="H87">
        <v>28</v>
      </c>
      <c r="I87" s="816" t="s">
        <v>8</v>
      </c>
      <c r="J87" s="816" t="s">
        <v>8</v>
      </c>
      <c r="K87" s="817">
        <v>0.15775462962962963</v>
      </c>
      <c r="L87" s="817">
        <v>0.22442129629629629</v>
      </c>
      <c r="M87" s="817">
        <v>0.22430555555555556</v>
      </c>
      <c r="N87" s="817">
        <v>0.39583333333333331</v>
      </c>
      <c r="O87" s="817">
        <v>0.48156249999999995</v>
      </c>
      <c r="P87" s="817">
        <v>0.73871527777777779</v>
      </c>
      <c r="Q87" s="817"/>
      <c r="R87" s="816"/>
      <c r="S87" s="817"/>
      <c r="T87" s="817"/>
      <c r="U87" s="816" t="s">
        <v>9551</v>
      </c>
      <c r="V87" s="816" t="s">
        <v>9551</v>
      </c>
      <c r="W87" s="267"/>
      <c r="X87" s="816" t="s">
        <v>26</v>
      </c>
      <c r="Y87">
        <v>27.3</v>
      </c>
      <c r="Z87">
        <v>86.5</v>
      </c>
      <c r="AA87" s="816" t="s">
        <v>9563</v>
      </c>
      <c r="AB87" s="816" t="s">
        <v>9596</v>
      </c>
      <c r="AC87" s="816"/>
      <c r="AD87" s="816"/>
      <c r="AE87" s="816"/>
      <c r="AF87" s="816"/>
      <c r="AG87" s="816"/>
      <c r="AI87" s="816"/>
      <c r="AK87" s="816"/>
      <c r="AM87" s="816"/>
    </row>
    <row r="88" spans="1:39" x14ac:dyDescent="0.25">
      <c r="A88" s="265">
        <v>43514</v>
      </c>
      <c r="B88">
        <v>1</v>
      </c>
      <c r="C88" s="816" t="s">
        <v>4</v>
      </c>
      <c r="D88">
        <v>532</v>
      </c>
      <c r="E88" s="816" t="s">
        <v>9535</v>
      </c>
      <c r="F88" s="816" t="s">
        <v>24</v>
      </c>
      <c r="G88" s="816" t="s">
        <v>9546</v>
      </c>
      <c r="H88">
        <v>29</v>
      </c>
      <c r="I88" s="816" t="s">
        <v>9</v>
      </c>
      <c r="J88" s="816" t="s">
        <v>9</v>
      </c>
      <c r="K88" s="817">
        <v>0.15784722222222222</v>
      </c>
      <c r="L88" s="817">
        <v>0.2245138888888889</v>
      </c>
      <c r="M88" s="817"/>
      <c r="N88" s="817"/>
      <c r="O88" s="817">
        <v>0.48151620370370374</v>
      </c>
      <c r="P88" s="817">
        <v>0.73850694444444442</v>
      </c>
      <c r="Q88" s="817"/>
      <c r="R88" s="816"/>
      <c r="S88" s="817"/>
      <c r="T88" s="817"/>
      <c r="U88" s="816" t="s">
        <v>9551</v>
      </c>
      <c r="V88" s="816" t="s">
        <v>9551</v>
      </c>
      <c r="W88" s="267"/>
      <c r="X88" s="816" t="s">
        <v>26</v>
      </c>
      <c r="Y88">
        <v>44.2</v>
      </c>
      <c r="Z88">
        <v>99.3</v>
      </c>
      <c r="AA88" s="816" t="s">
        <v>9564</v>
      </c>
      <c r="AB88" s="816" t="s">
        <v>9597</v>
      </c>
      <c r="AC88" s="816"/>
      <c r="AD88" s="816"/>
      <c r="AE88" s="816"/>
      <c r="AF88" s="816"/>
      <c r="AG88" s="816"/>
      <c r="AI88" s="816"/>
      <c r="AK88" s="816"/>
      <c r="AM88" s="816"/>
    </row>
    <row r="89" spans="1:39" x14ac:dyDescent="0.25">
      <c r="A89" s="265">
        <v>43515</v>
      </c>
      <c r="B89">
        <v>2</v>
      </c>
      <c r="C89" s="816" t="s">
        <v>5</v>
      </c>
      <c r="D89">
        <v>532</v>
      </c>
      <c r="E89" s="816" t="s">
        <v>9535</v>
      </c>
      <c r="F89" s="816" t="s">
        <v>24</v>
      </c>
      <c r="G89" s="816" t="s">
        <v>9546</v>
      </c>
      <c r="H89">
        <v>30</v>
      </c>
      <c r="I89" s="816" t="s">
        <v>10</v>
      </c>
      <c r="J89" s="816" t="s">
        <v>10</v>
      </c>
      <c r="K89" s="817">
        <v>0.15793981481481481</v>
      </c>
      <c r="L89" s="817">
        <v>0.22460648148148146</v>
      </c>
      <c r="M89" s="817"/>
      <c r="N89" s="817"/>
      <c r="O89" s="817">
        <v>0.48144675925925928</v>
      </c>
      <c r="P89" s="817">
        <v>0.73829861111111106</v>
      </c>
      <c r="Q89" s="817"/>
      <c r="R89" s="816"/>
      <c r="S89" s="817"/>
      <c r="T89" s="817"/>
      <c r="U89" s="816" t="s">
        <v>9551</v>
      </c>
      <c r="V89" s="816" t="s">
        <v>9551</v>
      </c>
      <c r="W89" s="267"/>
      <c r="X89" s="816" t="s">
        <v>26</v>
      </c>
      <c r="Y89">
        <v>62.7</v>
      </c>
      <c r="Z89">
        <v>13.5</v>
      </c>
      <c r="AA89" s="816" t="s">
        <v>9566</v>
      </c>
      <c r="AB89" s="816" t="s">
        <v>9599</v>
      </c>
      <c r="AC89" s="816"/>
      <c r="AD89" s="816"/>
      <c r="AE89" s="816"/>
      <c r="AF89" s="816"/>
      <c r="AG89" s="816"/>
      <c r="AI89" s="816"/>
      <c r="AK89" s="816"/>
      <c r="AM89" s="816"/>
    </row>
    <row r="90" spans="1:39" x14ac:dyDescent="0.25">
      <c r="A90" s="265">
        <v>43516</v>
      </c>
      <c r="B90">
        <v>3</v>
      </c>
      <c r="C90" s="816" t="s">
        <v>6</v>
      </c>
      <c r="D90">
        <v>532</v>
      </c>
      <c r="E90" s="816" t="s">
        <v>9536</v>
      </c>
      <c r="F90" s="816" t="s">
        <v>25</v>
      </c>
      <c r="G90" s="816" t="s">
        <v>9547</v>
      </c>
      <c r="H90">
        <v>1</v>
      </c>
      <c r="I90" s="816" t="s">
        <v>11</v>
      </c>
      <c r="J90" s="816" t="s">
        <v>11</v>
      </c>
      <c r="K90" s="817">
        <v>0.15802083333333333</v>
      </c>
      <c r="L90" s="817">
        <v>0.22468750000000001</v>
      </c>
      <c r="M90" s="817"/>
      <c r="N90" s="817"/>
      <c r="O90" s="817">
        <v>0.48137731481481483</v>
      </c>
      <c r="P90" s="817">
        <v>0.73807870370370365</v>
      </c>
      <c r="Q90" s="817"/>
      <c r="R90" s="816"/>
      <c r="S90" s="817"/>
      <c r="T90" s="817"/>
      <c r="U90" s="816" t="s">
        <v>9551</v>
      </c>
      <c r="V90" s="816" t="s">
        <v>9551</v>
      </c>
      <c r="W90" s="267"/>
      <c r="X90" s="816" t="s">
        <v>26</v>
      </c>
      <c r="Y90">
        <v>81.5</v>
      </c>
      <c r="Z90">
        <v>28</v>
      </c>
      <c r="AA90" s="816" t="s">
        <v>9567</v>
      </c>
      <c r="AB90" s="816" t="s">
        <v>9600</v>
      </c>
      <c r="AC90" s="816"/>
      <c r="AD90" s="816"/>
      <c r="AE90" s="816"/>
      <c r="AF90" s="816"/>
      <c r="AG90" s="816"/>
      <c r="AI90" s="816"/>
      <c r="AK90" s="816"/>
      <c r="AM90" s="816"/>
    </row>
    <row r="91" spans="1:39" x14ac:dyDescent="0.25">
      <c r="A91" s="265">
        <v>43517</v>
      </c>
      <c r="B91">
        <v>4</v>
      </c>
      <c r="C91" s="816" t="s">
        <v>7</v>
      </c>
      <c r="D91">
        <v>532</v>
      </c>
      <c r="E91" s="816" t="s">
        <v>9536</v>
      </c>
      <c r="F91" s="816" t="s">
        <v>25</v>
      </c>
      <c r="G91" s="816" t="s">
        <v>9547</v>
      </c>
      <c r="H91">
        <v>2</v>
      </c>
      <c r="I91" s="816" t="s">
        <v>12</v>
      </c>
      <c r="J91" s="816" t="s">
        <v>12</v>
      </c>
      <c r="K91" s="817">
        <v>0.15809027777777776</v>
      </c>
      <c r="L91" s="817">
        <v>0.22475694444444447</v>
      </c>
      <c r="M91" s="817"/>
      <c r="N91" s="817"/>
      <c r="O91" s="817">
        <v>0.48130787037037037</v>
      </c>
      <c r="P91" s="817">
        <v>0.73784722222222221</v>
      </c>
      <c r="Q91" s="817"/>
      <c r="R91" s="816"/>
      <c r="S91" s="817"/>
      <c r="T91" s="817"/>
      <c r="U91" s="816" t="s">
        <v>9551</v>
      </c>
      <c r="V91" s="816" t="s">
        <v>9551</v>
      </c>
      <c r="W91" s="267"/>
      <c r="X91" s="816" t="s">
        <v>26</v>
      </c>
      <c r="Y91">
        <v>99.2</v>
      </c>
      <c r="Z91">
        <v>41.5</v>
      </c>
      <c r="AA91" s="816" t="s">
        <v>9568</v>
      </c>
      <c r="AB91" s="816" t="s">
        <v>9601</v>
      </c>
      <c r="AC91" s="816"/>
      <c r="AD91" s="816"/>
      <c r="AE91" s="816"/>
      <c r="AF91" s="816"/>
      <c r="AG91" s="816"/>
      <c r="AI91" s="816"/>
      <c r="AK91" s="816"/>
      <c r="AM91" s="816"/>
    </row>
    <row r="92" spans="1:39" x14ac:dyDescent="0.25">
      <c r="A92" s="265">
        <v>43518</v>
      </c>
      <c r="B92">
        <v>5</v>
      </c>
      <c r="C92" s="816" t="s">
        <v>1</v>
      </c>
      <c r="D92">
        <v>532</v>
      </c>
      <c r="E92" s="816" t="s">
        <v>9536</v>
      </c>
      <c r="F92" s="816" t="s">
        <v>25</v>
      </c>
      <c r="G92" s="816" t="s">
        <v>9547</v>
      </c>
      <c r="H92">
        <v>4</v>
      </c>
      <c r="I92" s="816" t="s">
        <v>13</v>
      </c>
      <c r="J92" s="816" t="s">
        <v>13</v>
      </c>
      <c r="K92" s="817">
        <v>0.15815972222222222</v>
      </c>
      <c r="L92" s="817">
        <v>0.22482638888888887</v>
      </c>
      <c r="M92" s="817"/>
      <c r="N92" s="817"/>
      <c r="O92" s="817">
        <v>0.48121527777777778</v>
      </c>
      <c r="P92" s="817">
        <v>0.73760416666666673</v>
      </c>
      <c r="Q92" s="817"/>
      <c r="R92" s="816"/>
      <c r="S92" s="817">
        <v>0.23124999999999998</v>
      </c>
      <c r="T92" s="817">
        <v>9.7916666666666666E-2</v>
      </c>
      <c r="U92" s="816" t="s">
        <v>9551</v>
      </c>
      <c r="V92" s="816" t="s">
        <v>9551</v>
      </c>
      <c r="W92" s="267"/>
      <c r="X92" s="816" t="s">
        <v>26</v>
      </c>
      <c r="Y92">
        <v>14.4</v>
      </c>
      <c r="Z92">
        <v>52.7</v>
      </c>
      <c r="AA92" s="816" t="s">
        <v>9569</v>
      </c>
      <c r="AB92" s="816" t="s">
        <v>9602</v>
      </c>
      <c r="AC92" s="816"/>
      <c r="AD92" s="816"/>
      <c r="AE92" s="816"/>
      <c r="AF92" s="816"/>
      <c r="AG92" s="816"/>
      <c r="AI92" s="816"/>
      <c r="AK92" s="816"/>
      <c r="AM92" s="816"/>
    </row>
    <row r="93" spans="1:39" x14ac:dyDescent="0.25">
      <c r="A93" s="265">
        <v>43519</v>
      </c>
      <c r="B93">
        <v>6</v>
      </c>
      <c r="C93" s="816" t="s">
        <v>2</v>
      </c>
      <c r="D93">
        <v>532</v>
      </c>
      <c r="E93" s="816" t="s">
        <v>9536</v>
      </c>
      <c r="F93" s="816" t="s">
        <v>25</v>
      </c>
      <c r="G93" s="816" t="s">
        <v>9547</v>
      </c>
      <c r="H93">
        <v>5</v>
      </c>
      <c r="I93" s="816" t="s">
        <v>14</v>
      </c>
      <c r="J93" s="816" t="s">
        <v>14</v>
      </c>
      <c r="K93" s="817">
        <v>0.15822916666666667</v>
      </c>
      <c r="L93" s="817">
        <v>0.22489583333333332</v>
      </c>
      <c r="M93" s="817"/>
      <c r="N93" s="817"/>
      <c r="O93" s="817">
        <v>0.48112268518518514</v>
      </c>
      <c r="P93" s="817">
        <v>0.73736111111111102</v>
      </c>
      <c r="Q93" s="817"/>
      <c r="R93" s="816"/>
      <c r="S93" s="817"/>
      <c r="T93" s="817"/>
      <c r="U93" s="816" t="s">
        <v>9551</v>
      </c>
      <c r="V93" s="816" t="s">
        <v>9551</v>
      </c>
      <c r="W93" s="267"/>
      <c r="X93" s="816" t="s">
        <v>26</v>
      </c>
      <c r="Y93">
        <v>26.1</v>
      </c>
      <c r="Z93">
        <v>60.8</v>
      </c>
      <c r="AA93" s="816" t="s">
        <v>9570</v>
      </c>
      <c r="AB93" s="816" t="s">
        <v>9603</v>
      </c>
      <c r="AC93" s="816"/>
      <c r="AD93" s="816"/>
      <c r="AE93" s="816"/>
      <c r="AF93" s="816"/>
      <c r="AG93" s="816"/>
      <c r="AI93" s="816"/>
      <c r="AK93" s="816"/>
      <c r="AM93" s="816"/>
    </row>
    <row r="94" spans="1:39" x14ac:dyDescent="0.25">
      <c r="A94" s="265">
        <v>43520</v>
      </c>
      <c r="B94">
        <v>0</v>
      </c>
      <c r="C94" s="816" t="s">
        <v>3</v>
      </c>
      <c r="D94">
        <v>532</v>
      </c>
      <c r="E94" s="816" t="s">
        <v>9536</v>
      </c>
      <c r="F94" s="816" t="s">
        <v>25</v>
      </c>
      <c r="G94" s="816" t="s">
        <v>9547</v>
      </c>
      <c r="H94">
        <v>6</v>
      </c>
      <c r="I94" s="816" t="s">
        <v>15</v>
      </c>
      <c r="J94" s="816" t="s">
        <v>15</v>
      </c>
      <c r="K94" s="817">
        <v>0.15827546296296297</v>
      </c>
      <c r="L94" s="817">
        <v>0.22494212962962964</v>
      </c>
      <c r="M94" s="817"/>
      <c r="N94" s="817"/>
      <c r="O94" s="817">
        <v>0.48103009259259261</v>
      </c>
      <c r="P94" s="817">
        <v>0.7371064814814815</v>
      </c>
      <c r="Q94" s="817"/>
      <c r="R94" s="816"/>
      <c r="S94" s="817"/>
      <c r="T94" s="817"/>
      <c r="U94" s="816" t="s">
        <v>9551</v>
      </c>
      <c r="V94" s="816" t="s">
        <v>9551</v>
      </c>
      <c r="W94" s="267"/>
      <c r="X94" s="816" t="s">
        <v>26</v>
      </c>
      <c r="Y94">
        <v>33.9</v>
      </c>
      <c r="Z94">
        <v>65.3</v>
      </c>
      <c r="AA94" s="816" t="s">
        <v>9571</v>
      </c>
      <c r="AB94" s="816" t="s">
        <v>9580</v>
      </c>
      <c r="AC94" s="816"/>
      <c r="AD94" s="816"/>
      <c r="AE94" s="816"/>
      <c r="AF94" s="816"/>
      <c r="AG94" s="816"/>
      <c r="AI94" s="816"/>
      <c r="AK94" s="816"/>
      <c r="AM94" s="816"/>
    </row>
    <row r="95" spans="1:39" x14ac:dyDescent="0.25">
      <c r="A95" s="265">
        <v>43521</v>
      </c>
      <c r="B95">
        <v>1</v>
      </c>
      <c r="C95" s="816" t="s">
        <v>4</v>
      </c>
      <c r="D95">
        <v>532</v>
      </c>
      <c r="E95" s="816" t="s">
        <v>9536</v>
      </c>
      <c r="F95" s="816" t="s">
        <v>25</v>
      </c>
      <c r="G95" s="816" t="s">
        <v>9547</v>
      </c>
      <c r="H95">
        <v>7</v>
      </c>
      <c r="I95" s="816" t="s">
        <v>16</v>
      </c>
      <c r="J95" s="816" t="s">
        <v>16</v>
      </c>
      <c r="K95" s="817">
        <v>0.15832175925925926</v>
      </c>
      <c r="L95" s="817">
        <v>0.22498842592592594</v>
      </c>
      <c r="M95" s="817"/>
      <c r="N95" s="817"/>
      <c r="O95" s="817">
        <v>0.48092592592592592</v>
      </c>
      <c r="P95" s="817">
        <v>0.73685185185185187</v>
      </c>
      <c r="Q95" s="817"/>
      <c r="R95" s="816"/>
      <c r="S95" s="817"/>
      <c r="T95" s="817"/>
      <c r="U95" s="816" t="s">
        <v>9551</v>
      </c>
      <c r="V95" s="816" t="s">
        <v>9551</v>
      </c>
      <c r="W95" s="267"/>
      <c r="X95" s="816" t="s">
        <v>26</v>
      </c>
      <c r="Y95">
        <v>37.5</v>
      </c>
      <c r="Z95">
        <v>66.2</v>
      </c>
      <c r="AA95" s="816" t="s">
        <v>9572</v>
      </c>
      <c r="AB95" s="816" t="s">
        <v>9581</v>
      </c>
      <c r="AC95" s="816"/>
      <c r="AD95" s="816"/>
      <c r="AE95" s="816"/>
      <c r="AF95" s="816"/>
      <c r="AG95" s="816"/>
      <c r="AI95" s="816"/>
      <c r="AK95" s="816"/>
      <c r="AM95" s="816"/>
    </row>
    <row r="96" spans="1:39" x14ac:dyDescent="0.25">
      <c r="A96" s="265">
        <v>43522</v>
      </c>
      <c r="B96">
        <v>2</v>
      </c>
      <c r="C96" s="816" t="s">
        <v>5</v>
      </c>
      <c r="D96">
        <v>532</v>
      </c>
      <c r="E96" s="816" t="s">
        <v>9536</v>
      </c>
      <c r="F96" s="816" t="s">
        <v>25</v>
      </c>
      <c r="G96" s="816" t="s">
        <v>9547</v>
      </c>
      <c r="H96">
        <v>8</v>
      </c>
      <c r="I96" s="816" t="s">
        <v>17</v>
      </c>
      <c r="J96" s="816" t="s">
        <v>17</v>
      </c>
      <c r="K96" s="817">
        <v>0.15836805555555555</v>
      </c>
      <c r="L96" s="817">
        <v>0.22503472222222221</v>
      </c>
      <c r="M96" s="817"/>
      <c r="N96" s="817"/>
      <c r="O96" s="817">
        <v>0.4808101851851852</v>
      </c>
      <c r="P96" s="817">
        <v>0.7365856481481482</v>
      </c>
      <c r="Q96" s="817"/>
      <c r="R96" s="816"/>
      <c r="S96" s="817"/>
      <c r="T96" s="817"/>
      <c r="U96" s="816" t="s">
        <v>9551</v>
      </c>
      <c r="V96" s="816" t="s">
        <v>9551</v>
      </c>
      <c r="W96" s="267"/>
      <c r="X96" s="816" t="s">
        <v>26</v>
      </c>
      <c r="Y96">
        <v>37.4</v>
      </c>
      <c r="Z96">
        <v>63.6</v>
      </c>
      <c r="AA96" s="816" t="s">
        <v>9573</v>
      </c>
      <c r="AB96" s="816" t="s">
        <v>9582</v>
      </c>
      <c r="AC96" s="816"/>
      <c r="AD96" s="816"/>
      <c r="AE96" s="816"/>
      <c r="AF96" s="816"/>
      <c r="AG96" s="816"/>
      <c r="AI96" s="816"/>
      <c r="AK96" s="816"/>
      <c r="AM96" s="816"/>
    </row>
    <row r="97" spans="1:39" x14ac:dyDescent="0.25">
      <c r="A97" s="265">
        <v>43523</v>
      </c>
      <c r="B97">
        <v>3</v>
      </c>
      <c r="C97" s="816" t="s">
        <v>6</v>
      </c>
      <c r="D97">
        <v>532</v>
      </c>
      <c r="E97" s="816" t="s">
        <v>9536</v>
      </c>
      <c r="F97" s="816" t="s">
        <v>25</v>
      </c>
      <c r="G97" s="816" t="s">
        <v>9547</v>
      </c>
      <c r="H97">
        <v>9</v>
      </c>
      <c r="I97" s="816" t="s">
        <v>18</v>
      </c>
      <c r="J97" s="816" t="s">
        <v>18</v>
      </c>
      <c r="K97" s="817">
        <v>0.15840277777777778</v>
      </c>
      <c r="L97" s="817">
        <v>0.22506944444444443</v>
      </c>
      <c r="M97" s="817"/>
      <c r="N97" s="817"/>
      <c r="O97" s="817">
        <v>0.48068287037037033</v>
      </c>
      <c r="P97" s="817">
        <v>0.73630787037037038</v>
      </c>
      <c r="Q97" s="817"/>
      <c r="R97" s="816"/>
      <c r="S97" s="817"/>
      <c r="T97" s="817"/>
      <c r="U97" s="816" t="s">
        <v>9551</v>
      </c>
      <c r="V97" s="816" t="s">
        <v>9551</v>
      </c>
      <c r="W97" s="267"/>
      <c r="X97" s="816" t="s">
        <v>26</v>
      </c>
      <c r="Y97">
        <v>34</v>
      </c>
      <c r="Z97">
        <v>58</v>
      </c>
      <c r="AA97" s="816" t="s">
        <v>9574</v>
      </c>
      <c r="AB97" s="816" t="s">
        <v>9583</v>
      </c>
      <c r="AC97" s="816"/>
      <c r="AD97" s="816"/>
      <c r="AE97" s="816"/>
      <c r="AF97" s="816"/>
      <c r="AG97" s="816"/>
      <c r="AI97" s="816"/>
      <c r="AK97" s="816"/>
      <c r="AM97" s="816"/>
    </row>
    <row r="98" spans="1:39" x14ac:dyDescent="0.25">
      <c r="A98" s="265">
        <v>43524</v>
      </c>
      <c r="B98">
        <v>4</v>
      </c>
      <c r="C98" s="816" t="s">
        <v>7</v>
      </c>
      <c r="D98">
        <v>532</v>
      </c>
      <c r="E98" s="816" t="s">
        <v>9536</v>
      </c>
      <c r="F98" s="816" t="s">
        <v>25</v>
      </c>
      <c r="G98" s="816" t="s">
        <v>9547</v>
      </c>
      <c r="H98">
        <v>10</v>
      </c>
      <c r="I98" s="816" t="s">
        <v>19</v>
      </c>
      <c r="J98" s="816" t="s">
        <v>19</v>
      </c>
      <c r="K98" s="817">
        <v>0.15843750000000001</v>
      </c>
      <c r="L98" s="817">
        <v>0.22510416666666666</v>
      </c>
      <c r="M98" s="817"/>
      <c r="N98" s="817"/>
      <c r="O98" s="817">
        <v>0.48056712962962966</v>
      </c>
      <c r="P98" s="817">
        <v>0.73603009259259267</v>
      </c>
      <c r="Q98" s="817"/>
      <c r="R98" s="816"/>
      <c r="S98" s="817"/>
      <c r="T98" s="817"/>
      <c r="U98" s="816" t="s">
        <v>9551</v>
      </c>
      <c r="V98" s="816" t="s">
        <v>9551</v>
      </c>
      <c r="W98" s="267"/>
      <c r="X98" s="816" t="s">
        <v>26</v>
      </c>
      <c r="Y98">
        <v>27.9</v>
      </c>
      <c r="Z98">
        <v>50.1</v>
      </c>
      <c r="AA98" s="816" t="s">
        <v>9575</v>
      </c>
      <c r="AB98" s="816" t="s">
        <v>9584</v>
      </c>
      <c r="AC98" s="816"/>
      <c r="AD98" s="816"/>
      <c r="AE98" s="816"/>
      <c r="AF98" s="816"/>
      <c r="AG98" s="816"/>
      <c r="AI98" s="816"/>
      <c r="AK98" s="816"/>
      <c r="AM98" s="816"/>
    </row>
    <row r="99" spans="1:39" x14ac:dyDescent="0.25">
      <c r="A99" s="265">
        <v>43525</v>
      </c>
      <c r="B99">
        <v>5</v>
      </c>
      <c r="C99" s="816" t="s">
        <v>1</v>
      </c>
      <c r="D99">
        <v>532</v>
      </c>
      <c r="E99" s="816" t="s">
        <v>9536</v>
      </c>
      <c r="F99" s="816" t="s">
        <v>25</v>
      </c>
      <c r="G99" s="816" t="s">
        <v>9547</v>
      </c>
      <c r="H99">
        <v>11</v>
      </c>
      <c r="I99" s="816" t="s">
        <v>9548</v>
      </c>
      <c r="J99" s="816" t="s">
        <v>20</v>
      </c>
      <c r="K99" s="817">
        <v>0.15846064814814814</v>
      </c>
      <c r="L99" s="817">
        <v>0.22512731481481482</v>
      </c>
      <c r="M99" s="817"/>
      <c r="N99" s="817"/>
      <c r="O99" s="817">
        <v>0.48042824074074075</v>
      </c>
      <c r="P99" s="817">
        <v>0.7357407407407407</v>
      </c>
      <c r="Q99" s="817"/>
      <c r="R99" s="816"/>
      <c r="S99" s="817"/>
      <c r="T99" s="817"/>
      <c r="U99" s="816" t="s">
        <v>9551</v>
      </c>
      <c r="V99" s="816" t="s">
        <v>9551</v>
      </c>
      <c r="W99" s="267"/>
      <c r="X99" s="816" t="s">
        <v>26</v>
      </c>
      <c r="Y99">
        <v>19.899999999999999</v>
      </c>
      <c r="Z99">
        <v>40.4</v>
      </c>
      <c r="AA99" s="816" t="s">
        <v>9576</v>
      </c>
      <c r="AB99" s="816" t="s">
        <v>9585</v>
      </c>
      <c r="AC99" s="816"/>
      <c r="AD99" s="816"/>
      <c r="AE99" s="816"/>
      <c r="AF99" s="816" t="s">
        <v>72</v>
      </c>
      <c r="AG99" s="816" t="s">
        <v>34</v>
      </c>
      <c r="AH99">
        <v>-1</v>
      </c>
      <c r="AI99" s="816"/>
      <c r="AK99" s="816"/>
      <c r="AM99" s="816"/>
    </row>
    <row r="100" spans="1:39" x14ac:dyDescent="0.25">
      <c r="A100" s="265">
        <v>43526</v>
      </c>
      <c r="B100">
        <v>6</v>
      </c>
      <c r="C100" s="816" t="s">
        <v>2</v>
      </c>
      <c r="D100">
        <v>532</v>
      </c>
      <c r="E100" s="816" t="s">
        <v>9536</v>
      </c>
      <c r="F100" s="816" t="s">
        <v>25</v>
      </c>
      <c r="G100" s="816" t="s">
        <v>9547</v>
      </c>
      <c r="H100">
        <v>12</v>
      </c>
      <c r="I100" s="816" t="s">
        <v>21</v>
      </c>
      <c r="J100" s="816" t="s">
        <v>21</v>
      </c>
      <c r="K100" s="817">
        <v>0.15847222222222221</v>
      </c>
      <c r="L100" s="817">
        <v>0.22513888888888889</v>
      </c>
      <c r="M100" s="817">
        <v>0.38611111111111113</v>
      </c>
      <c r="N100" s="817">
        <v>0.39513888888888887</v>
      </c>
      <c r="O100" s="817">
        <v>0.48028935185185184</v>
      </c>
      <c r="P100" s="817">
        <v>0.73545138888888895</v>
      </c>
      <c r="Q100" s="817"/>
      <c r="R100" s="816"/>
      <c r="S100" s="817"/>
      <c r="T100" s="817"/>
      <c r="U100" s="816" t="s">
        <v>9551</v>
      </c>
      <c r="V100" s="816" t="s">
        <v>9551</v>
      </c>
      <c r="W100" s="267"/>
      <c r="X100" s="816" t="s">
        <v>26</v>
      </c>
      <c r="Y100">
        <v>10.5</v>
      </c>
      <c r="Z100">
        <v>29.5</v>
      </c>
      <c r="AA100" s="816" t="s">
        <v>9577</v>
      </c>
      <c r="AB100" s="816" t="s">
        <v>9586</v>
      </c>
      <c r="AC100" s="816"/>
      <c r="AD100" s="816"/>
      <c r="AE100" s="816"/>
      <c r="AF100" s="816"/>
      <c r="AG100" s="816"/>
      <c r="AI100" s="816"/>
      <c r="AK100" s="816"/>
      <c r="AM100" s="816"/>
    </row>
    <row r="101" spans="1:39" x14ac:dyDescent="0.25">
      <c r="A101" s="265">
        <v>43527</v>
      </c>
      <c r="B101">
        <v>0</v>
      </c>
      <c r="C101" s="816" t="s">
        <v>3</v>
      </c>
      <c r="D101">
        <v>532</v>
      </c>
      <c r="E101" s="816" t="s">
        <v>9536</v>
      </c>
      <c r="F101" s="816" t="s">
        <v>25</v>
      </c>
      <c r="G101" s="816" t="s">
        <v>9547</v>
      </c>
      <c r="H101">
        <v>13</v>
      </c>
      <c r="I101" s="816" t="s">
        <v>8</v>
      </c>
      <c r="J101" s="816" t="s">
        <v>21</v>
      </c>
      <c r="K101" s="817">
        <v>0.1584837962962963</v>
      </c>
      <c r="L101" s="817">
        <v>0.22515046296296296</v>
      </c>
      <c r="M101" s="817"/>
      <c r="N101" s="817"/>
      <c r="O101" s="817">
        <v>0.48015046296296293</v>
      </c>
      <c r="P101" s="817">
        <v>0.73515046296296294</v>
      </c>
      <c r="Q101" s="817"/>
      <c r="R101" s="816"/>
      <c r="S101" s="817"/>
      <c r="T101" s="817"/>
      <c r="U101" s="816" t="s">
        <v>9551</v>
      </c>
      <c r="V101" s="816" t="s">
        <v>9551</v>
      </c>
      <c r="W101" s="267"/>
      <c r="X101" s="816" t="s">
        <v>26</v>
      </c>
      <c r="Y101">
        <v>0.5</v>
      </c>
      <c r="Z101">
        <v>18</v>
      </c>
      <c r="AA101" s="816" t="s">
        <v>9552</v>
      </c>
      <c r="AB101" s="816" t="s">
        <v>9604</v>
      </c>
      <c r="AC101" s="816"/>
      <c r="AD101" s="816"/>
      <c r="AE101" s="816"/>
      <c r="AF101" s="816"/>
      <c r="AG101" s="816"/>
      <c r="AI101" s="816"/>
      <c r="AK101" s="816"/>
      <c r="AM101" s="816"/>
    </row>
    <row r="102" spans="1:39" x14ac:dyDescent="0.25">
      <c r="A102" s="265">
        <v>43528</v>
      </c>
      <c r="B102">
        <v>1</v>
      </c>
      <c r="C102" s="816" t="s">
        <v>4</v>
      </c>
      <c r="D102">
        <v>532</v>
      </c>
      <c r="E102" s="816" t="s">
        <v>9536</v>
      </c>
      <c r="F102" s="816" t="s">
        <v>25</v>
      </c>
      <c r="G102" s="816" t="s">
        <v>9547</v>
      </c>
      <c r="H102">
        <v>13</v>
      </c>
      <c r="I102" s="816" t="s">
        <v>8</v>
      </c>
      <c r="J102" s="816" t="s">
        <v>8</v>
      </c>
      <c r="K102" s="817">
        <v>0.15849537037037037</v>
      </c>
      <c r="L102" s="817">
        <v>0.22516203703703705</v>
      </c>
      <c r="M102" s="817"/>
      <c r="N102" s="817"/>
      <c r="O102" s="817">
        <v>0.48</v>
      </c>
      <c r="P102" s="817">
        <v>0.734837962962963</v>
      </c>
      <c r="Q102" s="817"/>
      <c r="R102" s="816"/>
      <c r="S102" s="817"/>
      <c r="T102" s="817"/>
      <c r="U102" s="816" t="s">
        <v>9551</v>
      </c>
      <c r="V102" s="816" t="s">
        <v>9551</v>
      </c>
      <c r="W102" s="267"/>
      <c r="X102" s="816" t="s">
        <v>27</v>
      </c>
      <c r="Y102">
        <v>90.3</v>
      </c>
      <c r="Z102">
        <v>6.3</v>
      </c>
      <c r="AA102" s="816" t="s">
        <v>9553</v>
      </c>
      <c r="AB102" s="816" t="s">
        <v>9587</v>
      </c>
      <c r="AC102" s="816"/>
      <c r="AD102" s="816"/>
      <c r="AE102" s="816"/>
      <c r="AF102" s="816"/>
      <c r="AG102" s="816"/>
      <c r="AI102" s="816"/>
      <c r="AK102" s="816"/>
      <c r="AM102" s="816"/>
    </row>
    <row r="103" spans="1:39" x14ac:dyDescent="0.25">
      <c r="A103" s="265">
        <v>43529</v>
      </c>
      <c r="B103">
        <v>2</v>
      </c>
      <c r="C103" s="816" t="s">
        <v>5</v>
      </c>
      <c r="D103">
        <v>532</v>
      </c>
      <c r="E103" s="816" t="s">
        <v>9536</v>
      </c>
      <c r="F103" s="816" t="s">
        <v>25</v>
      </c>
      <c r="G103" s="816" t="s">
        <v>9547</v>
      </c>
      <c r="H103">
        <v>14</v>
      </c>
      <c r="I103" s="816" t="s">
        <v>9</v>
      </c>
      <c r="J103" s="816" t="s">
        <v>9</v>
      </c>
      <c r="K103" s="817">
        <v>0.15849537037037037</v>
      </c>
      <c r="L103" s="817">
        <v>0.22516203703703705</v>
      </c>
      <c r="M103" s="817"/>
      <c r="N103" s="817"/>
      <c r="O103" s="817">
        <v>0.47984953703703703</v>
      </c>
      <c r="P103" s="817">
        <v>0.73453703703703699</v>
      </c>
      <c r="Q103" s="817"/>
      <c r="R103" s="816"/>
      <c r="S103" s="817"/>
      <c r="T103" s="817"/>
      <c r="U103" s="816" t="s">
        <v>9551</v>
      </c>
      <c r="V103" s="816" t="s">
        <v>9551</v>
      </c>
      <c r="W103" s="267"/>
      <c r="X103" s="816" t="s">
        <v>26</v>
      </c>
      <c r="Y103">
        <v>80.3</v>
      </c>
      <c r="Z103">
        <v>94.9</v>
      </c>
      <c r="AA103" s="816" t="s">
        <v>9553</v>
      </c>
      <c r="AB103" s="816" t="s">
        <v>9587</v>
      </c>
      <c r="AC103" s="816"/>
      <c r="AD103" s="816"/>
      <c r="AE103" s="816"/>
      <c r="AF103" s="816"/>
      <c r="AG103" s="816"/>
      <c r="AI103" s="816"/>
      <c r="AK103" s="816"/>
      <c r="AM103" s="816"/>
    </row>
    <row r="104" spans="1:39" x14ac:dyDescent="0.25">
      <c r="A104" s="265">
        <v>43530</v>
      </c>
      <c r="B104">
        <v>3</v>
      </c>
      <c r="C104" s="816" t="s">
        <v>6</v>
      </c>
      <c r="D104">
        <v>532</v>
      </c>
      <c r="E104" s="816" t="s">
        <v>9536</v>
      </c>
      <c r="F104" s="816" t="s">
        <v>25</v>
      </c>
      <c r="G104" s="816" t="s">
        <v>9547</v>
      </c>
      <c r="H104">
        <v>15</v>
      </c>
      <c r="I104" s="816" t="s">
        <v>22</v>
      </c>
      <c r="J104" s="816" t="s">
        <v>22</v>
      </c>
      <c r="K104" s="817">
        <v>0.15849537037037037</v>
      </c>
      <c r="L104" s="817">
        <v>0.22516203703703705</v>
      </c>
      <c r="M104" s="817"/>
      <c r="N104" s="817"/>
      <c r="O104" s="817">
        <v>0.47968749999999999</v>
      </c>
      <c r="P104" s="817">
        <v>0.73421296296296301</v>
      </c>
      <c r="Q104" s="817"/>
      <c r="R104" s="816"/>
      <c r="S104" s="817"/>
      <c r="T104" s="817"/>
      <c r="U104" s="816" t="s">
        <v>9551</v>
      </c>
      <c r="V104" s="816" t="s">
        <v>9551</v>
      </c>
      <c r="W104" s="267"/>
      <c r="X104" s="816" t="s">
        <v>26</v>
      </c>
      <c r="Y104">
        <v>70.8</v>
      </c>
      <c r="Z104">
        <v>83.9</v>
      </c>
      <c r="AA104" s="816" t="s">
        <v>9554</v>
      </c>
      <c r="AB104" s="816" t="s">
        <v>9588</v>
      </c>
      <c r="AC104" s="816"/>
      <c r="AD104" s="816"/>
      <c r="AE104" s="816"/>
      <c r="AF104" s="816"/>
      <c r="AG104" s="816"/>
      <c r="AI104" s="816"/>
      <c r="AK104" s="816"/>
      <c r="AM104" s="816"/>
    </row>
    <row r="105" spans="1:39" x14ac:dyDescent="0.25">
      <c r="A105" s="265">
        <v>43531</v>
      </c>
      <c r="B105">
        <v>4</v>
      </c>
      <c r="C105" s="816" t="s">
        <v>7</v>
      </c>
      <c r="D105">
        <v>532</v>
      </c>
      <c r="E105" s="816" t="s">
        <v>9536</v>
      </c>
      <c r="F105" s="816" t="s">
        <v>24</v>
      </c>
      <c r="G105" s="816" t="s">
        <v>9546</v>
      </c>
      <c r="H105">
        <v>16</v>
      </c>
      <c r="I105" s="816" t="s">
        <v>11</v>
      </c>
      <c r="J105" s="816" t="s">
        <v>11</v>
      </c>
      <c r="K105" s="817">
        <v>0.1584837962962963</v>
      </c>
      <c r="L105" s="817">
        <v>0.22515046296296296</v>
      </c>
      <c r="M105" s="817"/>
      <c r="N105" s="817"/>
      <c r="O105" s="817">
        <v>0.479525462962963</v>
      </c>
      <c r="P105" s="817">
        <v>0.73390046296296296</v>
      </c>
      <c r="Q105" s="817"/>
      <c r="R105" s="816"/>
      <c r="S105" s="817"/>
      <c r="T105" s="817"/>
      <c r="U105" s="816" t="s">
        <v>9551</v>
      </c>
      <c r="V105" s="816" t="s">
        <v>9551</v>
      </c>
      <c r="W105" s="267"/>
      <c r="X105" s="816" t="s">
        <v>26</v>
      </c>
      <c r="Y105">
        <v>62.2</v>
      </c>
      <c r="Z105">
        <v>73.599999999999994</v>
      </c>
      <c r="AA105" s="816" t="s">
        <v>9555</v>
      </c>
      <c r="AB105" s="816" t="s">
        <v>9589</v>
      </c>
      <c r="AC105" s="816"/>
      <c r="AD105" s="816"/>
      <c r="AE105" s="816"/>
      <c r="AF105" s="816"/>
      <c r="AG105" s="816"/>
      <c r="AI105" s="816"/>
      <c r="AK105" s="816"/>
      <c r="AM105" s="816"/>
    </row>
    <row r="106" spans="1:39" x14ac:dyDescent="0.25">
      <c r="A106" s="265">
        <v>43532</v>
      </c>
      <c r="B106">
        <v>5</v>
      </c>
      <c r="C106" s="816" t="s">
        <v>1</v>
      </c>
      <c r="D106">
        <v>532</v>
      </c>
      <c r="E106" s="816" t="s">
        <v>9536</v>
      </c>
      <c r="F106" s="816" t="s">
        <v>24</v>
      </c>
      <c r="G106" s="816" t="s">
        <v>9546</v>
      </c>
      <c r="H106">
        <v>17</v>
      </c>
      <c r="I106" s="816" t="s">
        <v>12</v>
      </c>
      <c r="J106" s="816" t="s">
        <v>12</v>
      </c>
      <c r="K106" s="817">
        <v>0.15847222222222221</v>
      </c>
      <c r="L106" s="817">
        <v>0.22513888888888889</v>
      </c>
      <c r="M106" s="817"/>
      <c r="N106" s="817"/>
      <c r="O106" s="817">
        <v>0.4793634259259259</v>
      </c>
      <c r="P106" s="817">
        <v>0.73357638888888888</v>
      </c>
      <c r="Q106" s="817"/>
      <c r="R106" s="816"/>
      <c r="S106" s="817"/>
      <c r="T106" s="817"/>
      <c r="U106" s="816" t="s">
        <v>9551</v>
      </c>
      <c r="V106" s="816" t="s">
        <v>9551</v>
      </c>
      <c r="W106" s="267"/>
      <c r="X106" s="816" t="s">
        <v>26</v>
      </c>
      <c r="Y106">
        <v>54.6</v>
      </c>
      <c r="Z106">
        <v>64.3</v>
      </c>
      <c r="AA106" s="816" t="s">
        <v>9556</v>
      </c>
      <c r="AB106" s="816" t="s">
        <v>9590</v>
      </c>
      <c r="AC106" s="816"/>
      <c r="AD106" s="816"/>
      <c r="AE106" s="816"/>
      <c r="AF106" s="816"/>
      <c r="AG106" s="816"/>
      <c r="AI106" s="816"/>
      <c r="AK106" s="816"/>
      <c r="AM106" s="816"/>
    </row>
    <row r="107" spans="1:39" x14ac:dyDescent="0.25">
      <c r="A107" s="265">
        <v>43533</v>
      </c>
      <c r="B107">
        <v>6</v>
      </c>
      <c r="C107" s="816" t="s">
        <v>2</v>
      </c>
      <c r="D107">
        <v>532</v>
      </c>
      <c r="E107" s="816" t="s">
        <v>9536</v>
      </c>
      <c r="F107" s="816" t="s">
        <v>24</v>
      </c>
      <c r="G107" s="816" t="s">
        <v>9546</v>
      </c>
      <c r="H107">
        <v>18</v>
      </c>
      <c r="I107" s="816" t="s">
        <v>23</v>
      </c>
      <c r="J107" s="816" t="s">
        <v>23</v>
      </c>
      <c r="K107" s="817">
        <v>0.15846064814814814</v>
      </c>
      <c r="L107" s="817">
        <v>0.22512731481481482</v>
      </c>
      <c r="M107" s="817"/>
      <c r="N107" s="817"/>
      <c r="O107" s="817">
        <v>0.47918981481481482</v>
      </c>
      <c r="P107" s="817">
        <v>0.73324074074074075</v>
      </c>
      <c r="Q107" s="817"/>
      <c r="R107" s="816"/>
      <c r="S107" s="817"/>
      <c r="T107" s="817"/>
      <c r="U107" s="816" t="s">
        <v>9551</v>
      </c>
      <c r="V107" s="816" t="s">
        <v>9551</v>
      </c>
      <c r="W107" s="267"/>
      <c r="X107" s="816" t="s">
        <v>26</v>
      </c>
      <c r="Y107">
        <v>48.1</v>
      </c>
      <c r="Z107">
        <v>56</v>
      </c>
      <c r="AA107" s="816" t="s">
        <v>9557</v>
      </c>
      <c r="AB107" s="816" t="s">
        <v>9591</v>
      </c>
      <c r="AC107" s="816"/>
      <c r="AD107" s="816"/>
      <c r="AE107" s="816"/>
      <c r="AF107" s="816"/>
      <c r="AG107" s="816"/>
      <c r="AI107" s="816"/>
      <c r="AK107" s="816"/>
      <c r="AM107" s="816"/>
    </row>
    <row r="108" spans="1:39" x14ac:dyDescent="0.25">
      <c r="A108" s="265">
        <v>43534</v>
      </c>
      <c r="B108">
        <v>0</v>
      </c>
      <c r="C108" s="816" t="s">
        <v>3</v>
      </c>
      <c r="D108">
        <v>532</v>
      </c>
      <c r="E108" s="816" t="s">
        <v>9536</v>
      </c>
      <c r="F108" s="816" t="s">
        <v>24</v>
      </c>
      <c r="G108" s="816" t="s">
        <v>9546</v>
      </c>
      <c r="H108">
        <v>19</v>
      </c>
      <c r="I108" s="816" t="s">
        <v>13</v>
      </c>
      <c r="J108" s="816" t="s">
        <v>13</v>
      </c>
      <c r="K108" s="817">
        <v>0.15843750000000001</v>
      </c>
      <c r="L108" s="817">
        <v>0.22510416666666666</v>
      </c>
      <c r="M108" s="817"/>
      <c r="N108" s="817"/>
      <c r="O108" s="817">
        <v>0.47900462962962959</v>
      </c>
      <c r="P108" s="817">
        <v>0.73290509259259251</v>
      </c>
      <c r="Q108" s="817"/>
      <c r="R108" s="816"/>
      <c r="S108" s="817"/>
      <c r="T108" s="817"/>
      <c r="U108" s="816" t="s">
        <v>9551</v>
      </c>
      <c r="V108" s="816" t="s">
        <v>9551</v>
      </c>
      <c r="W108" s="267"/>
      <c r="X108" s="816" t="s">
        <v>26</v>
      </c>
      <c r="Y108">
        <v>43</v>
      </c>
      <c r="Z108">
        <v>48.9</v>
      </c>
      <c r="AA108" s="816" t="s">
        <v>9558</v>
      </c>
      <c r="AB108" s="816" t="s">
        <v>9605</v>
      </c>
      <c r="AC108" s="816"/>
      <c r="AD108" s="816"/>
      <c r="AE108" s="816"/>
      <c r="AF108" s="816"/>
      <c r="AG108" s="816"/>
      <c r="AI108" s="816"/>
      <c r="AK108" s="816"/>
      <c r="AM108" s="816"/>
    </row>
    <row r="109" spans="1:39" x14ac:dyDescent="0.25">
      <c r="A109" s="265">
        <v>43535</v>
      </c>
      <c r="B109">
        <v>1</v>
      </c>
      <c r="C109" s="816" t="s">
        <v>4</v>
      </c>
      <c r="D109">
        <v>532</v>
      </c>
      <c r="E109" s="816" t="s">
        <v>9536</v>
      </c>
      <c r="F109" s="816" t="s">
        <v>24</v>
      </c>
      <c r="G109" s="816" t="s">
        <v>9546</v>
      </c>
      <c r="H109">
        <v>20</v>
      </c>
      <c r="I109" s="816" t="s">
        <v>14</v>
      </c>
      <c r="J109" s="816" t="s">
        <v>14</v>
      </c>
      <c r="K109" s="817">
        <v>0.15841435185185185</v>
      </c>
      <c r="L109" s="817">
        <v>0.2250810185185185</v>
      </c>
      <c r="M109" s="817"/>
      <c r="N109" s="817"/>
      <c r="O109" s="817">
        <v>0.4788310185185185</v>
      </c>
      <c r="P109" s="817">
        <v>0.7325694444444445</v>
      </c>
      <c r="Q109" s="817"/>
      <c r="R109" s="816"/>
      <c r="S109" s="817"/>
      <c r="T109" s="817"/>
      <c r="U109" s="816" t="s">
        <v>9551</v>
      </c>
      <c r="V109" s="816" t="s">
        <v>9551</v>
      </c>
      <c r="W109" s="267"/>
      <c r="X109" s="816" t="s">
        <v>26</v>
      </c>
      <c r="Y109">
        <v>39.5</v>
      </c>
      <c r="Z109">
        <v>43.1</v>
      </c>
      <c r="AA109" s="816" t="s">
        <v>9578</v>
      </c>
      <c r="AB109" s="816" t="s">
        <v>9592</v>
      </c>
      <c r="AC109" s="816"/>
      <c r="AD109" s="816"/>
      <c r="AE109" s="816"/>
      <c r="AF109" s="816"/>
      <c r="AG109" s="816"/>
      <c r="AI109" s="816"/>
      <c r="AK109" s="816"/>
      <c r="AM109" s="816"/>
    </row>
    <row r="110" spans="1:39" x14ac:dyDescent="0.25">
      <c r="A110" s="265">
        <v>43536</v>
      </c>
      <c r="B110">
        <v>2</v>
      </c>
      <c r="C110" s="816" t="s">
        <v>5</v>
      </c>
      <c r="D110">
        <v>532</v>
      </c>
      <c r="E110" s="816" t="s">
        <v>9536</v>
      </c>
      <c r="F110" s="816" t="s">
        <v>24</v>
      </c>
      <c r="G110" s="816" t="s">
        <v>9546</v>
      </c>
      <c r="H110">
        <v>21</v>
      </c>
      <c r="I110" s="816" t="s">
        <v>15</v>
      </c>
      <c r="J110" s="816" t="s">
        <v>15</v>
      </c>
      <c r="K110" s="817">
        <v>0.15839120370370371</v>
      </c>
      <c r="L110" s="817">
        <v>0.22505787037037037</v>
      </c>
      <c r="M110" s="817"/>
      <c r="N110" s="817"/>
      <c r="O110" s="817">
        <v>0.47864583333333338</v>
      </c>
      <c r="P110" s="817">
        <v>0.73223379629629637</v>
      </c>
      <c r="Q110" s="817"/>
      <c r="R110" s="816"/>
      <c r="S110" s="817"/>
      <c r="T110" s="817"/>
      <c r="U110" s="816" t="s">
        <v>9551</v>
      </c>
      <c r="V110" s="816" t="s">
        <v>9551</v>
      </c>
      <c r="W110" s="267"/>
      <c r="X110" s="816" t="s">
        <v>26</v>
      </c>
      <c r="Y110">
        <v>37.700000000000003</v>
      </c>
      <c r="Z110">
        <v>39.1</v>
      </c>
      <c r="AA110" s="816" t="s">
        <v>9559</v>
      </c>
      <c r="AB110" s="816" t="s">
        <v>9593</v>
      </c>
      <c r="AC110" s="816"/>
      <c r="AD110" s="816"/>
      <c r="AE110" s="816"/>
      <c r="AF110" s="816"/>
      <c r="AG110" s="816"/>
      <c r="AI110" s="816"/>
      <c r="AK110" s="816"/>
      <c r="AM110" s="816"/>
    </row>
    <row r="111" spans="1:39" x14ac:dyDescent="0.25">
      <c r="A111" s="265">
        <v>43537</v>
      </c>
      <c r="B111">
        <v>3</v>
      </c>
      <c r="C111" s="816" t="s">
        <v>6</v>
      </c>
      <c r="D111">
        <v>532</v>
      </c>
      <c r="E111" s="816" t="s">
        <v>9536</v>
      </c>
      <c r="F111" s="816" t="s">
        <v>24</v>
      </c>
      <c r="G111" s="816" t="s">
        <v>9546</v>
      </c>
      <c r="H111">
        <v>22</v>
      </c>
      <c r="I111" s="816" t="s">
        <v>16</v>
      </c>
      <c r="J111" s="816" t="s">
        <v>16</v>
      </c>
      <c r="K111" s="817">
        <v>0.15836805555555555</v>
      </c>
      <c r="L111" s="817">
        <v>0.22503472222222221</v>
      </c>
      <c r="M111" s="817"/>
      <c r="N111" s="817"/>
      <c r="O111" s="817">
        <v>0.47846064814814815</v>
      </c>
      <c r="P111" s="817">
        <v>0.73188657407407398</v>
      </c>
      <c r="Q111" s="817"/>
      <c r="R111" s="816"/>
      <c r="S111" s="817"/>
      <c r="T111" s="817"/>
      <c r="U111" s="816" t="s">
        <v>9551</v>
      </c>
      <c r="V111" s="816" t="s">
        <v>9551</v>
      </c>
      <c r="W111" s="267"/>
      <c r="X111" s="816" t="s">
        <v>26</v>
      </c>
      <c r="Y111">
        <v>38.1</v>
      </c>
      <c r="Z111">
        <v>36.9</v>
      </c>
      <c r="AA111" s="816" t="s">
        <v>9560</v>
      </c>
      <c r="AB111" s="816" t="s">
        <v>9594</v>
      </c>
      <c r="AC111" s="816"/>
      <c r="AD111" s="816"/>
      <c r="AE111" s="816"/>
      <c r="AF111" s="816"/>
      <c r="AG111" s="816"/>
      <c r="AI111" s="816"/>
      <c r="AK111" s="816"/>
      <c r="AM111" s="816"/>
    </row>
    <row r="112" spans="1:39" x14ac:dyDescent="0.25">
      <c r="A112" s="265">
        <v>43538</v>
      </c>
      <c r="B112">
        <v>4</v>
      </c>
      <c r="C112" s="816" t="s">
        <v>7</v>
      </c>
      <c r="D112">
        <v>532</v>
      </c>
      <c r="E112" s="816" t="s">
        <v>9536</v>
      </c>
      <c r="F112" s="816" t="s">
        <v>24</v>
      </c>
      <c r="G112" s="816" t="s">
        <v>9546</v>
      </c>
      <c r="H112">
        <v>23</v>
      </c>
      <c r="I112" s="816" t="s">
        <v>17</v>
      </c>
      <c r="J112" s="816" t="s">
        <v>17</v>
      </c>
      <c r="K112" s="817">
        <v>0.15833333333333333</v>
      </c>
      <c r="L112" s="817">
        <v>0.22500000000000001</v>
      </c>
      <c r="M112" s="817"/>
      <c r="N112" s="817"/>
      <c r="O112" s="817">
        <v>0.47826388888888888</v>
      </c>
      <c r="P112" s="817">
        <v>0.73153935185185182</v>
      </c>
      <c r="Q112" s="817"/>
      <c r="R112" s="816"/>
      <c r="S112" s="817"/>
      <c r="T112" s="817"/>
      <c r="U112" s="816" t="s">
        <v>9551</v>
      </c>
      <c r="V112" s="816" t="s">
        <v>9551</v>
      </c>
      <c r="W112" s="267"/>
      <c r="X112" s="816" t="s">
        <v>26</v>
      </c>
      <c r="Y112">
        <v>41</v>
      </c>
      <c r="Z112">
        <v>37</v>
      </c>
      <c r="AA112" s="816" t="s">
        <v>9561</v>
      </c>
      <c r="AB112" s="816" t="s">
        <v>9596</v>
      </c>
      <c r="AC112" s="816"/>
      <c r="AD112" s="816"/>
      <c r="AE112" s="816"/>
      <c r="AF112" s="816"/>
      <c r="AG112" s="816"/>
      <c r="AI112" s="816"/>
      <c r="AK112" s="816"/>
      <c r="AM112" s="816"/>
    </row>
    <row r="113" spans="1:39" x14ac:dyDescent="0.25">
      <c r="A113" s="265">
        <v>43539</v>
      </c>
      <c r="B113">
        <v>5</v>
      </c>
      <c r="C113" s="816" t="s">
        <v>1</v>
      </c>
      <c r="D113">
        <v>532</v>
      </c>
      <c r="E113" s="816" t="s">
        <v>9536</v>
      </c>
      <c r="F113" s="816" t="s">
        <v>24</v>
      </c>
      <c r="G113" s="816" t="s">
        <v>9546</v>
      </c>
      <c r="H113">
        <v>24</v>
      </c>
      <c r="I113" s="816" t="s">
        <v>18</v>
      </c>
      <c r="J113" s="816" t="s">
        <v>18</v>
      </c>
      <c r="K113" s="817">
        <v>0.15829861111111113</v>
      </c>
      <c r="L113" s="817">
        <v>0.22496527777777778</v>
      </c>
      <c r="M113" s="817"/>
      <c r="N113" s="817"/>
      <c r="O113" s="817">
        <v>0.4780787037037037</v>
      </c>
      <c r="P113" s="817">
        <v>0.73119212962962965</v>
      </c>
      <c r="Q113" s="817">
        <v>0.88072916666666667</v>
      </c>
      <c r="R113" s="816" t="s">
        <v>76</v>
      </c>
      <c r="S113" s="817"/>
      <c r="T113" s="817"/>
      <c r="U113" s="816" t="s">
        <v>9551</v>
      </c>
      <c r="V113" s="816" t="s">
        <v>9551</v>
      </c>
      <c r="W113" s="267"/>
      <c r="X113" s="816" t="s">
        <v>26</v>
      </c>
      <c r="Y113">
        <v>46.7</v>
      </c>
      <c r="Z113">
        <v>39.6</v>
      </c>
      <c r="AA113" s="816" t="s">
        <v>9562</v>
      </c>
      <c r="AB113" s="816" t="s">
        <v>9597</v>
      </c>
      <c r="AC113" s="816"/>
      <c r="AD113" s="816"/>
      <c r="AE113" s="816"/>
      <c r="AF113" s="816"/>
      <c r="AG113" s="816"/>
      <c r="AI113" s="816"/>
      <c r="AK113" s="816"/>
      <c r="AM113" s="816"/>
    </row>
    <row r="114" spans="1:39" x14ac:dyDescent="0.25">
      <c r="A114" s="265">
        <v>43540</v>
      </c>
      <c r="B114">
        <v>6</v>
      </c>
      <c r="C114" s="816" t="s">
        <v>2</v>
      </c>
      <c r="D114">
        <v>532</v>
      </c>
      <c r="E114" s="816" t="s">
        <v>9536</v>
      </c>
      <c r="F114" s="816" t="s">
        <v>24</v>
      </c>
      <c r="G114" s="816" t="s">
        <v>9546</v>
      </c>
      <c r="H114">
        <v>25</v>
      </c>
      <c r="I114" s="816" t="s">
        <v>19</v>
      </c>
      <c r="J114" s="816" t="s">
        <v>19</v>
      </c>
      <c r="K114" s="817">
        <v>0.1582523148148148</v>
      </c>
      <c r="L114" s="817">
        <v>0.22491898148148148</v>
      </c>
      <c r="M114" s="817"/>
      <c r="N114" s="817"/>
      <c r="O114" s="817">
        <v>0.47788194444444443</v>
      </c>
      <c r="P114" s="817">
        <v>0.73083333333333333</v>
      </c>
      <c r="Q114" s="817"/>
      <c r="R114" s="816"/>
      <c r="S114" s="817"/>
      <c r="T114" s="817"/>
      <c r="U114" s="816" t="s">
        <v>9551</v>
      </c>
      <c r="V114" s="816" t="s">
        <v>9551</v>
      </c>
      <c r="W114" s="267"/>
      <c r="X114" s="816" t="s">
        <v>26</v>
      </c>
      <c r="Y114">
        <v>55.3</v>
      </c>
      <c r="Z114">
        <v>44.8</v>
      </c>
      <c r="AA114" s="816" t="s">
        <v>9563</v>
      </c>
      <c r="AB114" s="816" t="s">
        <v>9598</v>
      </c>
      <c r="AC114" s="816"/>
      <c r="AD114" s="816"/>
      <c r="AE114" s="816"/>
      <c r="AF114" s="816"/>
      <c r="AG114" s="816"/>
      <c r="AI114" s="816"/>
      <c r="AK114" s="816"/>
      <c r="AM114" s="816"/>
    </row>
    <row r="115" spans="1:39" x14ac:dyDescent="0.25">
      <c r="A115" s="265">
        <v>43541</v>
      </c>
      <c r="B115">
        <v>0</v>
      </c>
      <c r="C115" s="816" t="s">
        <v>3</v>
      </c>
      <c r="D115">
        <v>532</v>
      </c>
      <c r="E115" s="816" t="s">
        <v>9536</v>
      </c>
      <c r="F115" s="816" t="s">
        <v>24</v>
      </c>
      <c r="G115" s="816" t="s">
        <v>9546</v>
      </c>
      <c r="H115">
        <v>26</v>
      </c>
      <c r="I115" s="816" t="s">
        <v>9548</v>
      </c>
      <c r="J115" s="816" t="s">
        <v>20</v>
      </c>
      <c r="K115" s="817">
        <v>0.1582175925925926</v>
      </c>
      <c r="L115" s="817">
        <v>0.22488425925925926</v>
      </c>
      <c r="M115" s="817"/>
      <c r="N115" s="817"/>
      <c r="O115" s="817">
        <v>0.47768518518518516</v>
      </c>
      <c r="P115" s="817">
        <v>0.73048611111111106</v>
      </c>
      <c r="Q115" s="817"/>
      <c r="R115" s="816"/>
      <c r="S115" s="817"/>
      <c r="T115" s="817"/>
      <c r="U115" s="816" t="s">
        <v>9551</v>
      </c>
      <c r="V115" s="816" t="s">
        <v>9551</v>
      </c>
      <c r="W115" s="267"/>
      <c r="X115" s="816" t="s">
        <v>26</v>
      </c>
      <c r="Y115">
        <v>67</v>
      </c>
      <c r="Z115">
        <v>52.8</v>
      </c>
      <c r="AA115" s="816" t="s">
        <v>9564</v>
      </c>
      <c r="AB115" s="816" t="s">
        <v>9599</v>
      </c>
      <c r="AC115" s="816"/>
      <c r="AD115" s="816"/>
      <c r="AE115" s="816"/>
      <c r="AF115" s="816" t="s">
        <v>72</v>
      </c>
      <c r="AG115" s="816" t="s">
        <v>35</v>
      </c>
      <c r="AH115">
        <v>-1</v>
      </c>
      <c r="AI115" s="816"/>
      <c r="AK115" s="816"/>
      <c r="AM115" s="816"/>
    </row>
    <row r="116" spans="1:39" x14ac:dyDescent="0.25">
      <c r="A116" s="265">
        <v>43542</v>
      </c>
      <c r="B116">
        <v>1</v>
      </c>
      <c r="C116" s="816" t="s">
        <v>4</v>
      </c>
      <c r="D116">
        <v>532</v>
      </c>
      <c r="E116" s="816" t="s">
        <v>9536</v>
      </c>
      <c r="F116" s="816" t="s">
        <v>24</v>
      </c>
      <c r="G116" s="816" t="s">
        <v>9546</v>
      </c>
      <c r="H116">
        <v>27</v>
      </c>
      <c r="I116" s="816" t="s">
        <v>21</v>
      </c>
      <c r="J116" s="816" t="s">
        <v>21</v>
      </c>
      <c r="K116" s="817">
        <v>0.15817129629629631</v>
      </c>
      <c r="L116" s="817">
        <v>0.22483796296296296</v>
      </c>
      <c r="M116" s="817">
        <v>0.22430555555555556</v>
      </c>
      <c r="N116" s="817">
        <v>0.38541666666666669</v>
      </c>
      <c r="O116" s="817">
        <v>0.4774768518518519</v>
      </c>
      <c r="P116" s="817">
        <v>0.73012731481481474</v>
      </c>
      <c r="Q116" s="817"/>
      <c r="R116" s="816"/>
      <c r="S116" s="817"/>
      <c r="T116" s="817"/>
      <c r="U116" s="816" t="s">
        <v>9551</v>
      </c>
      <c r="V116" s="816" t="s">
        <v>9551</v>
      </c>
      <c r="W116" s="267"/>
      <c r="X116" s="816" t="s">
        <v>26</v>
      </c>
      <c r="Y116">
        <v>81.400000000000006</v>
      </c>
      <c r="Z116">
        <v>63.2</v>
      </c>
      <c r="AA116" s="816" t="s">
        <v>9565</v>
      </c>
      <c r="AB116" s="816" t="s">
        <v>9600</v>
      </c>
      <c r="AC116" s="816"/>
      <c r="AD116" s="816"/>
      <c r="AE116" s="816"/>
      <c r="AF116" s="816"/>
      <c r="AG116" s="816"/>
      <c r="AI116" s="816"/>
      <c r="AK116" s="816"/>
      <c r="AM116" s="816"/>
    </row>
    <row r="117" spans="1:39" x14ac:dyDescent="0.25">
      <c r="A117" s="265">
        <v>43543</v>
      </c>
      <c r="B117">
        <v>2</v>
      </c>
      <c r="C117" s="816" t="s">
        <v>5</v>
      </c>
      <c r="D117">
        <v>532</v>
      </c>
      <c r="E117" s="816" t="s">
        <v>9536</v>
      </c>
      <c r="F117" s="816" t="s">
        <v>24</v>
      </c>
      <c r="G117" s="816" t="s">
        <v>9546</v>
      </c>
      <c r="H117">
        <v>28</v>
      </c>
      <c r="I117" s="816" t="s">
        <v>8</v>
      </c>
      <c r="J117" s="816" t="s">
        <v>8</v>
      </c>
      <c r="K117" s="817">
        <v>0.15812499999999999</v>
      </c>
      <c r="L117" s="817">
        <v>0.22479166666666664</v>
      </c>
      <c r="M117" s="817"/>
      <c r="N117" s="817"/>
      <c r="O117" s="817">
        <v>0.47728009259259263</v>
      </c>
      <c r="P117" s="817">
        <v>0.72976851851851843</v>
      </c>
      <c r="Q117" s="817"/>
      <c r="R117" s="816"/>
      <c r="S117" s="817"/>
      <c r="T117" s="817"/>
      <c r="U117" s="816" t="s">
        <v>9551</v>
      </c>
      <c r="V117" s="816" t="s">
        <v>9551</v>
      </c>
      <c r="W117" s="267"/>
      <c r="X117" s="816" t="s">
        <v>26</v>
      </c>
      <c r="Y117">
        <v>97.9</v>
      </c>
      <c r="Z117">
        <v>75.5</v>
      </c>
      <c r="AA117" s="816" t="s">
        <v>9566</v>
      </c>
      <c r="AB117" s="816" t="s">
        <v>9601</v>
      </c>
      <c r="AC117" s="816"/>
      <c r="AD117" s="816"/>
      <c r="AE117" s="816"/>
      <c r="AF117" s="816"/>
      <c r="AG117" s="816"/>
      <c r="AI117" s="816"/>
      <c r="AK117" s="816"/>
      <c r="AM117" s="816"/>
    </row>
    <row r="118" spans="1:39" x14ac:dyDescent="0.25">
      <c r="A118" s="265">
        <v>43544</v>
      </c>
      <c r="B118">
        <v>3</v>
      </c>
      <c r="C118" s="816" t="s">
        <v>6</v>
      </c>
      <c r="D118">
        <v>532</v>
      </c>
      <c r="E118" s="816" t="s">
        <v>9536</v>
      </c>
      <c r="F118" s="816" t="s">
        <v>24</v>
      </c>
      <c r="G118" s="816" t="s">
        <v>9546</v>
      </c>
      <c r="H118">
        <v>30</v>
      </c>
      <c r="I118" s="816" t="s">
        <v>10</v>
      </c>
      <c r="J118" s="816" t="s">
        <v>10</v>
      </c>
      <c r="K118" s="817">
        <v>0.15807870370370369</v>
      </c>
      <c r="L118" s="817">
        <v>0.22474537037037037</v>
      </c>
      <c r="M118" s="817"/>
      <c r="N118" s="817"/>
      <c r="O118" s="817">
        <v>0.47707175925925926</v>
      </c>
      <c r="P118" s="817">
        <v>0.72940972222222233</v>
      </c>
      <c r="Q118" s="817"/>
      <c r="R118" s="816"/>
      <c r="S118" s="817">
        <v>0.24236111111111111</v>
      </c>
      <c r="T118" s="817">
        <v>9.4444444444444442E-2</v>
      </c>
      <c r="U118" s="816" t="s">
        <v>9551</v>
      </c>
      <c r="V118" s="816" t="s">
        <v>9551</v>
      </c>
      <c r="W118" s="267"/>
      <c r="X118" s="816" t="s">
        <v>26</v>
      </c>
      <c r="Y118">
        <v>15.3</v>
      </c>
      <c r="Z118">
        <v>88.6</v>
      </c>
      <c r="AA118" s="816" t="s">
        <v>9567</v>
      </c>
      <c r="AB118" s="816" t="s">
        <v>9603</v>
      </c>
      <c r="AC118" s="816"/>
      <c r="AD118" s="816"/>
      <c r="AE118" s="816"/>
      <c r="AF118" s="816"/>
      <c r="AG118" s="816" t="s">
        <v>36</v>
      </c>
      <c r="AH118">
        <v>0</v>
      </c>
      <c r="AI118" s="816" t="s">
        <v>37</v>
      </c>
      <c r="AJ118">
        <v>-1</v>
      </c>
      <c r="AK118" s="816"/>
      <c r="AM118" s="816"/>
    </row>
    <row r="119" spans="1:39" x14ac:dyDescent="0.25">
      <c r="A119" s="265">
        <v>43545</v>
      </c>
      <c r="B119">
        <v>4</v>
      </c>
      <c r="C119" s="816" t="s">
        <v>7</v>
      </c>
      <c r="D119">
        <v>533</v>
      </c>
      <c r="E119" s="816" t="s">
        <v>9537</v>
      </c>
      <c r="F119" s="816" t="s">
        <v>25</v>
      </c>
      <c r="G119" s="816" t="s">
        <v>9547</v>
      </c>
      <c r="H119">
        <v>1</v>
      </c>
      <c r="I119" s="816" t="s">
        <v>11</v>
      </c>
      <c r="J119" s="816" t="s">
        <v>11</v>
      </c>
      <c r="K119" s="817">
        <v>0.15802083333333333</v>
      </c>
      <c r="L119" s="817">
        <v>0.22468750000000001</v>
      </c>
      <c r="M119" s="817"/>
      <c r="N119" s="817"/>
      <c r="O119" s="817">
        <v>0.4768634259259259</v>
      </c>
      <c r="P119" s="817">
        <v>0.72905092592592602</v>
      </c>
      <c r="Q119" s="817"/>
      <c r="R119" s="816"/>
      <c r="S119" s="817"/>
      <c r="T119" s="817"/>
      <c r="U119" s="816" t="s">
        <v>9551</v>
      </c>
      <c r="V119" s="816" t="s">
        <v>9551</v>
      </c>
      <c r="W119" s="267"/>
      <c r="X119" s="816" t="s">
        <v>26</v>
      </c>
      <c r="Y119">
        <v>32.4</v>
      </c>
      <c r="Z119">
        <v>1.5</v>
      </c>
      <c r="AA119" s="816" t="s">
        <v>9569</v>
      </c>
      <c r="AB119" s="816" t="s">
        <v>9579</v>
      </c>
      <c r="AC119" s="816"/>
      <c r="AD119" s="816"/>
      <c r="AE119" s="816"/>
      <c r="AF119" s="816"/>
      <c r="AG119" s="816" t="s">
        <v>38</v>
      </c>
      <c r="AH119">
        <v>1</v>
      </c>
      <c r="AI119" s="816"/>
      <c r="AK119" s="816"/>
      <c r="AM119" s="816"/>
    </row>
    <row r="120" spans="1:39" x14ac:dyDescent="0.25">
      <c r="A120" s="265">
        <v>43546</v>
      </c>
      <c r="B120">
        <v>5</v>
      </c>
      <c r="C120" s="816" t="s">
        <v>1</v>
      </c>
      <c r="D120">
        <v>533</v>
      </c>
      <c r="E120" s="816" t="s">
        <v>9537</v>
      </c>
      <c r="F120" s="816" t="s">
        <v>25</v>
      </c>
      <c r="G120" s="816" t="s">
        <v>9547</v>
      </c>
      <c r="H120">
        <v>2</v>
      </c>
      <c r="I120" s="816" t="s">
        <v>12</v>
      </c>
      <c r="J120" s="816" t="s">
        <v>12</v>
      </c>
      <c r="K120" s="817">
        <v>0.15797453703703704</v>
      </c>
      <c r="L120" s="817">
        <v>0.22464120370370369</v>
      </c>
      <c r="M120" s="817"/>
      <c r="N120" s="817"/>
      <c r="O120" s="817">
        <v>0.47666666666666663</v>
      </c>
      <c r="P120" s="817">
        <v>0.72868055555555555</v>
      </c>
      <c r="Q120" s="817"/>
      <c r="R120" s="816"/>
      <c r="S120" s="817"/>
      <c r="T120" s="817"/>
      <c r="U120" s="816" t="s">
        <v>9551</v>
      </c>
      <c r="V120" s="816" t="s">
        <v>9551</v>
      </c>
      <c r="W120" s="267"/>
      <c r="X120" s="816" t="s">
        <v>26</v>
      </c>
      <c r="Y120">
        <v>47.7</v>
      </c>
      <c r="Z120">
        <v>12.7</v>
      </c>
      <c r="AA120" s="816" t="s">
        <v>9570</v>
      </c>
      <c r="AB120" s="816" t="s">
        <v>9580</v>
      </c>
      <c r="AC120" s="816"/>
      <c r="AD120" s="816"/>
      <c r="AE120" s="816"/>
      <c r="AF120" s="816"/>
      <c r="AG120" s="816"/>
      <c r="AI120" s="816"/>
      <c r="AK120" s="816"/>
      <c r="AM120" s="816"/>
    </row>
    <row r="121" spans="1:39" x14ac:dyDescent="0.25">
      <c r="A121" s="265">
        <v>43547</v>
      </c>
      <c r="B121">
        <v>6</v>
      </c>
      <c r="C121" s="816" t="s">
        <v>2</v>
      </c>
      <c r="D121">
        <v>533</v>
      </c>
      <c r="E121" s="816" t="s">
        <v>9537</v>
      </c>
      <c r="F121" s="816" t="s">
        <v>25</v>
      </c>
      <c r="G121" s="816" t="s">
        <v>9547</v>
      </c>
      <c r="H121">
        <v>3</v>
      </c>
      <c r="I121" s="816" t="s">
        <v>23</v>
      </c>
      <c r="J121" s="816" t="s">
        <v>23</v>
      </c>
      <c r="K121" s="817">
        <v>0.15791666666666668</v>
      </c>
      <c r="L121" s="817">
        <v>0.22458333333333333</v>
      </c>
      <c r="M121" s="817"/>
      <c r="N121" s="817"/>
      <c r="O121" s="817">
        <v>0.47645833333333337</v>
      </c>
      <c r="P121" s="817">
        <v>0.72832175925925924</v>
      </c>
      <c r="Q121" s="817"/>
      <c r="R121" s="816"/>
      <c r="S121" s="817"/>
      <c r="T121" s="817"/>
      <c r="U121" s="816" t="s">
        <v>9551</v>
      </c>
      <c r="V121" s="816" t="s">
        <v>9551</v>
      </c>
      <c r="W121" s="267"/>
      <c r="X121" s="816" t="s">
        <v>26</v>
      </c>
      <c r="Y121">
        <v>60.2</v>
      </c>
      <c r="Z121">
        <v>21.4</v>
      </c>
      <c r="AA121" s="816" t="s">
        <v>9571</v>
      </c>
      <c r="AB121" s="816" t="s">
        <v>9581</v>
      </c>
      <c r="AC121" s="816"/>
      <c r="AD121" s="816"/>
      <c r="AE121" s="816"/>
      <c r="AF121" s="816"/>
      <c r="AG121" s="816"/>
      <c r="AI121" s="816"/>
      <c r="AK121" s="816"/>
      <c r="AM121" s="816"/>
    </row>
    <row r="122" spans="1:39" x14ac:dyDescent="0.25">
      <c r="A122" s="265">
        <v>43548</v>
      </c>
      <c r="B122">
        <v>0</v>
      </c>
      <c r="C122" s="816" t="s">
        <v>3</v>
      </c>
      <c r="D122">
        <v>533</v>
      </c>
      <c r="E122" s="816" t="s">
        <v>9537</v>
      </c>
      <c r="F122" s="816" t="s">
        <v>25</v>
      </c>
      <c r="G122" s="816" t="s">
        <v>9547</v>
      </c>
      <c r="H122">
        <v>4</v>
      </c>
      <c r="I122" s="816" t="s">
        <v>13</v>
      </c>
      <c r="J122" s="816" t="s">
        <v>13</v>
      </c>
      <c r="K122" s="817">
        <v>0.15787037037037036</v>
      </c>
      <c r="L122" s="817">
        <v>0.22453703703703706</v>
      </c>
      <c r="M122" s="817"/>
      <c r="N122" s="817"/>
      <c r="O122" s="817">
        <v>0.47625000000000001</v>
      </c>
      <c r="P122" s="817">
        <v>0.72796296296296292</v>
      </c>
      <c r="Q122" s="817"/>
      <c r="R122" s="816"/>
      <c r="S122" s="817"/>
      <c r="T122" s="817"/>
      <c r="U122" s="816" t="s">
        <v>9551</v>
      </c>
      <c r="V122" s="816" t="s">
        <v>9551</v>
      </c>
      <c r="W122" s="267"/>
      <c r="X122" s="816" t="s">
        <v>26</v>
      </c>
      <c r="Y122">
        <v>69</v>
      </c>
      <c r="Z122">
        <v>26.8</v>
      </c>
      <c r="AA122" s="816" t="s">
        <v>9572</v>
      </c>
      <c r="AB122" s="816" t="s">
        <v>9582</v>
      </c>
      <c r="AC122" s="816"/>
      <c r="AD122" s="816"/>
      <c r="AE122" s="816"/>
      <c r="AF122" s="816"/>
      <c r="AG122" s="816"/>
      <c r="AI122" s="816"/>
      <c r="AK122" s="816"/>
      <c r="AM122" s="816"/>
    </row>
    <row r="123" spans="1:39" x14ac:dyDescent="0.25">
      <c r="A123" s="265">
        <v>43549</v>
      </c>
      <c r="B123">
        <v>1</v>
      </c>
      <c r="C123" s="816" t="s">
        <v>4</v>
      </c>
      <c r="D123">
        <v>533</v>
      </c>
      <c r="E123" s="816" t="s">
        <v>9537</v>
      </c>
      <c r="F123" s="816" t="s">
        <v>25</v>
      </c>
      <c r="G123" s="816" t="s">
        <v>9547</v>
      </c>
      <c r="H123">
        <v>5</v>
      </c>
      <c r="I123" s="816" t="s">
        <v>14</v>
      </c>
      <c r="J123" s="816" t="s">
        <v>14</v>
      </c>
      <c r="K123" s="817">
        <v>0.15781249999999999</v>
      </c>
      <c r="L123" s="817">
        <v>0.22447916666666667</v>
      </c>
      <c r="M123" s="817"/>
      <c r="N123" s="817"/>
      <c r="O123" s="817">
        <v>0.4760300925925926</v>
      </c>
      <c r="P123" s="817">
        <v>0.72759259259259268</v>
      </c>
      <c r="Q123" s="817"/>
      <c r="R123" s="816"/>
      <c r="S123" s="817"/>
      <c r="T123" s="817"/>
      <c r="U123" s="816" t="s">
        <v>9551</v>
      </c>
      <c r="V123" s="816" t="s">
        <v>9551</v>
      </c>
      <c r="W123" s="267"/>
      <c r="X123" s="816" t="s">
        <v>26</v>
      </c>
      <c r="Y123">
        <v>73.8</v>
      </c>
      <c r="Z123">
        <v>28.5</v>
      </c>
      <c r="AA123" s="816" t="s">
        <v>9573</v>
      </c>
      <c r="AB123" s="816" t="s">
        <v>9583</v>
      </c>
      <c r="AC123" s="816"/>
      <c r="AD123" s="816"/>
      <c r="AE123" s="816"/>
      <c r="AF123" s="816"/>
      <c r="AG123" s="816"/>
      <c r="AI123" s="816"/>
      <c r="AK123" s="816"/>
      <c r="AM123" s="816"/>
    </row>
    <row r="124" spans="1:39" x14ac:dyDescent="0.25">
      <c r="A124" s="265">
        <v>43550</v>
      </c>
      <c r="B124">
        <v>2</v>
      </c>
      <c r="C124" s="816" t="s">
        <v>5</v>
      </c>
      <c r="D124">
        <v>533</v>
      </c>
      <c r="E124" s="816" t="s">
        <v>9537</v>
      </c>
      <c r="F124" s="816" t="s">
        <v>25</v>
      </c>
      <c r="G124" s="816" t="s">
        <v>9547</v>
      </c>
      <c r="H124">
        <v>6</v>
      </c>
      <c r="I124" s="816" t="s">
        <v>15</v>
      </c>
      <c r="J124" s="816" t="s">
        <v>15</v>
      </c>
      <c r="K124" s="817">
        <v>0.15775462962962963</v>
      </c>
      <c r="L124" s="817">
        <v>0.22442129629629629</v>
      </c>
      <c r="M124" s="817"/>
      <c r="N124" s="817"/>
      <c r="O124" s="817">
        <v>0.47582175925925929</v>
      </c>
      <c r="P124" s="817">
        <v>0.72723379629629636</v>
      </c>
      <c r="Q124" s="817"/>
      <c r="R124" s="816"/>
      <c r="S124" s="817"/>
      <c r="T124" s="817"/>
      <c r="U124" s="816" t="s">
        <v>9551</v>
      </c>
      <c r="V124" s="816" t="s">
        <v>9551</v>
      </c>
      <c r="W124" s="267"/>
      <c r="X124" s="816" t="s">
        <v>26</v>
      </c>
      <c r="Y124">
        <v>74.599999999999994</v>
      </c>
      <c r="Z124">
        <v>26.7</v>
      </c>
      <c r="AA124" s="816" t="s">
        <v>9574</v>
      </c>
      <c r="AB124" s="816" t="s">
        <v>9584</v>
      </c>
      <c r="AC124" s="816"/>
      <c r="AD124" s="816"/>
      <c r="AE124" s="816"/>
      <c r="AF124" s="816"/>
      <c r="AG124" s="816"/>
      <c r="AI124" s="816"/>
      <c r="AK124" s="816"/>
      <c r="AM124" s="816"/>
    </row>
    <row r="125" spans="1:39" x14ac:dyDescent="0.25">
      <c r="A125" s="265">
        <v>43551</v>
      </c>
      <c r="B125">
        <v>3</v>
      </c>
      <c r="C125" s="816" t="s">
        <v>6</v>
      </c>
      <c r="D125">
        <v>533</v>
      </c>
      <c r="E125" s="816" t="s">
        <v>9537</v>
      </c>
      <c r="F125" s="816" t="s">
        <v>25</v>
      </c>
      <c r="G125" s="816" t="s">
        <v>9547</v>
      </c>
      <c r="H125">
        <v>7</v>
      </c>
      <c r="I125" s="816" t="s">
        <v>16</v>
      </c>
      <c r="J125" s="816" t="s">
        <v>16</v>
      </c>
      <c r="K125" s="817">
        <v>0.15769675925925927</v>
      </c>
      <c r="L125" s="817">
        <v>0.22436342592592592</v>
      </c>
      <c r="M125" s="817"/>
      <c r="N125" s="817"/>
      <c r="O125" s="817">
        <v>0.47561342592592593</v>
      </c>
      <c r="P125" s="817">
        <v>0.7268634259259259</v>
      </c>
      <c r="Q125" s="817"/>
      <c r="R125" s="816"/>
      <c r="S125" s="817"/>
      <c r="T125" s="817"/>
      <c r="U125" s="816" t="s">
        <v>9551</v>
      </c>
      <c r="V125" s="816" t="s">
        <v>9551</v>
      </c>
      <c r="W125" s="267"/>
      <c r="X125" s="816" t="s">
        <v>26</v>
      </c>
      <c r="Y125">
        <v>71.900000000000006</v>
      </c>
      <c r="Z125">
        <v>21.7</v>
      </c>
      <c r="AA125" s="816" t="s">
        <v>9575</v>
      </c>
      <c r="AB125" s="816" t="s">
        <v>9585</v>
      </c>
      <c r="AC125" s="816"/>
      <c r="AD125" s="816"/>
      <c r="AE125" s="816"/>
      <c r="AF125" s="816"/>
      <c r="AG125" s="816"/>
      <c r="AI125" s="816"/>
      <c r="AK125" s="816"/>
      <c r="AM125" s="816"/>
    </row>
    <row r="126" spans="1:39" x14ac:dyDescent="0.25">
      <c r="A126" s="265">
        <v>43552</v>
      </c>
      <c r="B126">
        <v>4</v>
      </c>
      <c r="C126" s="816" t="s">
        <v>7</v>
      </c>
      <c r="D126">
        <v>533</v>
      </c>
      <c r="E126" s="816" t="s">
        <v>9537</v>
      </c>
      <c r="F126" s="816" t="s">
        <v>25</v>
      </c>
      <c r="G126" s="816" t="s">
        <v>9547</v>
      </c>
      <c r="H126">
        <v>8</v>
      </c>
      <c r="I126" s="816" t="s">
        <v>17</v>
      </c>
      <c r="J126" s="816" t="s">
        <v>17</v>
      </c>
      <c r="K126" s="817">
        <v>0.15763888888888888</v>
      </c>
      <c r="L126" s="817">
        <v>0.22430555555555556</v>
      </c>
      <c r="M126" s="817"/>
      <c r="N126" s="817"/>
      <c r="O126" s="817">
        <v>0.47540509259259256</v>
      </c>
      <c r="P126" s="817">
        <v>0.72650462962962958</v>
      </c>
      <c r="Q126" s="817"/>
      <c r="R126" s="816"/>
      <c r="S126" s="817"/>
      <c r="T126" s="817"/>
      <c r="U126" s="816" t="s">
        <v>9551</v>
      </c>
      <c r="V126" s="816" t="s">
        <v>9551</v>
      </c>
      <c r="W126" s="267"/>
      <c r="X126" s="816" t="s">
        <v>26</v>
      </c>
      <c r="Y126">
        <v>66.3</v>
      </c>
      <c r="Z126">
        <v>14.1</v>
      </c>
      <c r="AA126" s="816" t="s">
        <v>9576</v>
      </c>
      <c r="AB126" s="816" t="s">
        <v>9586</v>
      </c>
      <c r="AC126" s="816"/>
      <c r="AD126" s="816"/>
      <c r="AE126" s="816"/>
      <c r="AF126" s="816"/>
      <c r="AG126" s="816"/>
      <c r="AI126" s="816"/>
      <c r="AK126" s="816"/>
      <c r="AM126" s="816"/>
    </row>
    <row r="127" spans="1:39" x14ac:dyDescent="0.25">
      <c r="A127" s="265">
        <v>43553</v>
      </c>
      <c r="B127">
        <v>5</v>
      </c>
      <c r="C127" s="816" t="s">
        <v>1</v>
      </c>
      <c r="D127">
        <v>533</v>
      </c>
      <c r="E127" s="816" t="s">
        <v>9537</v>
      </c>
      <c r="F127" s="816" t="s">
        <v>25</v>
      </c>
      <c r="G127" s="816" t="s">
        <v>9547</v>
      </c>
      <c r="H127">
        <v>9</v>
      </c>
      <c r="I127" s="816" t="s">
        <v>18</v>
      </c>
      <c r="J127" s="816" t="s">
        <v>18</v>
      </c>
      <c r="K127" s="817">
        <v>0.15758101851851852</v>
      </c>
      <c r="L127" s="817">
        <v>0.2242476851851852</v>
      </c>
      <c r="M127" s="817"/>
      <c r="N127" s="817"/>
      <c r="O127" s="817">
        <v>0.47519675925925925</v>
      </c>
      <c r="P127" s="817">
        <v>0.72614583333333327</v>
      </c>
      <c r="Q127" s="817"/>
      <c r="R127" s="816"/>
      <c r="S127" s="817"/>
      <c r="T127" s="817"/>
      <c r="U127" s="816" t="s">
        <v>9551</v>
      </c>
      <c r="V127" s="816" t="s">
        <v>9551</v>
      </c>
      <c r="W127" s="267"/>
      <c r="X127" s="816" t="s">
        <v>26</v>
      </c>
      <c r="Y127">
        <v>58.5</v>
      </c>
      <c r="Z127">
        <v>4.4000000000000004</v>
      </c>
      <c r="AA127" s="816" t="s">
        <v>9577</v>
      </c>
      <c r="AB127" s="816" t="s">
        <v>9604</v>
      </c>
      <c r="AC127" s="816"/>
      <c r="AD127" s="816"/>
      <c r="AE127" s="816"/>
      <c r="AF127" s="816"/>
      <c r="AG127" s="816"/>
      <c r="AI127" s="816"/>
      <c r="AK127" s="816"/>
      <c r="AM127" s="816"/>
    </row>
    <row r="128" spans="1:39" x14ac:dyDescent="0.25">
      <c r="A128" s="265">
        <v>43554</v>
      </c>
      <c r="B128">
        <v>6</v>
      </c>
      <c r="C128" s="816" t="s">
        <v>2</v>
      </c>
      <c r="D128">
        <v>533</v>
      </c>
      <c r="E128" s="816" t="s">
        <v>9537</v>
      </c>
      <c r="F128" s="816" t="s">
        <v>25</v>
      </c>
      <c r="G128" s="816" t="s">
        <v>9547</v>
      </c>
      <c r="H128">
        <v>10</v>
      </c>
      <c r="I128" s="816" t="s">
        <v>19</v>
      </c>
      <c r="J128" s="816" t="s">
        <v>19</v>
      </c>
      <c r="K128" s="817">
        <v>0.15753472222222223</v>
      </c>
      <c r="L128" s="817">
        <v>0.22420138888888888</v>
      </c>
      <c r="M128" s="817"/>
      <c r="N128" s="817"/>
      <c r="O128" s="817">
        <v>0.47498842592592588</v>
      </c>
      <c r="P128" s="817">
        <v>0.72578703703703706</v>
      </c>
      <c r="Q128" s="817"/>
      <c r="R128" s="816"/>
      <c r="S128" s="817"/>
      <c r="T128" s="817"/>
      <c r="U128" s="816" t="s">
        <v>9551</v>
      </c>
      <c r="V128" s="816" t="s">
        <v>9551</v>
      </c>
      <c r="W128" s="267"/>
      <c r="X128" s="816" t="s">
        <v>26</v>
      </c>
      <c r="Y128">
        <v>49.2</v>
      </c>
      <c r="Z128">
        <v>93.5</v>
      </c>
      <c r="AA128" s="816" t="s">
        <v>9577</v>
      </c>
      <c r="AB128" s="816" t="s">
        <v>9587</v>
      </c>
      <c r="AC128" s="816"/>
      <c r="AD128" s="816"/>
      <c r="AE128" s="816"/>
      <c r="AF128" s="816"/>
      <c r="AG128" s="816"/>
      <c r="AI128" s="816"/>
      <c r="AK128" s="816"/>
      <c r="AM128" s="816"/>
    </row>
    <row r="129" spans="1:39" x14ac:dyDescent="0.25">
      <c r="A129" s="265">
        <v>43555</v>
      </c>
      <c r="B129">
        <v>0</v>
      </c>
      <c r="C129" s="816" t="s">
        <v>3</v>
      </c>
      <c r="D129">
        <v>533</v>
      </c>
      <c r="E129" s="816" t="s">
        <v>9537</v>
      </c>
      <c r="F129" s="816" t="s">
        <v>25</v>
      </c>
      <c r="G129" s="816" t="s">
        <v>9547</v>
      </c>
      <c r="H129">
        <v>11</v>
      </c>
      <c r="I129" s="816" t="s">
        <v>9549</v>
      </c>
      <c r="J129" s="816" t="s">
        <v>20</v>
      </c>
      <c r="K129" s="817">
        <v>0.15747685185185187</v>
      </c>
      <c r="L129" s="817">
        <v>0.22414351851851852</v>
      </c>
      <c r="M129" s="817"/>
      <c r="N129" s="817"/>
      <c r="O129" s="817">
        <v>0.47478009259259263</v>
      </c>
      <c r="P129" s="817">
        <v>0.72541666666666671</v>
      </c>
      <c r="Q129" s="817"/>
      <c r="R129" s="816"/>
      <c r="S129" s="817"/>
      <c r="T129" s="817"/>
      <c r="U129" s="816" t="s">
        <v>9551</v>
      </c>
      <c r="V129" s="816" t="s">
        <v>9551</v>
      </c>
      <c r="W129" s="267"/>
      <c r="X129" s="816" t="s">
        <v>26</v>
      </c>
      <c r="Y129">
        <v>39.200000000000003</v>
      </c>
      <c r="Z129">
        <v>81.900000000000006</v>
      </c>
      <c r="AA129" s="816" t="s">
        <v>9552</v>
      </c>
      <c r="AB129" s="816" t="s">
        <v>9588</v>
      </c>
      <c r="AC129" s="816"/>
      <c r="AD129" s="816"/>
      <c r="AE129" s="816"/>
      <c r="AF129" s="816"/>
      <c r="AG129" s="816"/>
      <c r="AI129" s="816"/>
      <c r="AK129" s="816"/>
      <c r="AM129" s="816"/>
    </row>
    <row r="130" spans="1:39" x14ac:dyDescent="0.25">
      <c r="A130" s="265">
        <v>43556</v>
      </c>
      <c r="B130">
        <v>1</v>
      </c>
      <c r="C130" s="816" t="s">
        <v>4</v>
      </c>
      <c r="D130">
        <v>533</v>
      </c>
      <c r="E130" s="816" t="s">
        <v>9537</v>
      </c>
      <c r="F130" s="816" t="s">
        <v>25</v>
      </c>
      <c r="G130" s="816" t="s">
        <v>9547</v>
      </c>
      <c r="H130">
        <v>12</v>
      </c>
      <c r="I130" s="816" t="s">
        <v>9550</v>
      </c>
      <c r="J130" s="816" t="s">
        <v>21</v>
      </c>
      <c r="K130" s="817">
        <v>0.15741898148148148</v>
      </c>
      <c r="L130" s="817">
        <v>0.22408564814814813</v>
      </c>
      <c r="M130" s="817"/>
      <c r="N130" s="817"/>
      <c r="O130" s="817">
        <v>0.47457175925925926</v>
      </c>
      <c r="P130" s="817">
        <v>0.72506944444444443</v>
      </c>
      <c r="Q130" s="817"/>
      <c r="R130" s="816"/>
      <c r="S130" s="817"/>
      <c r="T130" s="817"/>
      <c r="U130" s="816" t="s">
        <v>9551</v>
      </c>
      <c r="V130" s="816" t="s">
        <v>9551</v>
      </c>
      <c r="W130" s="267"/>
      <c r="X130" s="816" t="s">
        <v>26</v>
      </c>
      <c r="Y130">
        <v>29.2</v>
      </c>
      <c r="Z130">
        <v>70.3</v>
      </c>
      <c r="AA130" s="816" t="s">
        <v>9553</v>
      </c>
      <c r="AB130" s="816" t="s">
        <v>9589</v>
      </c>
      <c r="AC130" s="816"/>
      <c r="AD130" s="816"/>
      <c r="AE130" s="816"/>
      <c r="AF130" s="816" t="s">
        <v>72</v>
      </c>
      <c r="AG130" s="816" t="s">
        <v>9713</v>
      </c>
      <c r="AH130">
        <v>-1</v>
      </c>
      <c r="AI130" s="816" t="s">
        <v>39</v>
      </c>
      <c r="AJ130">
        <v>-1</v>
      </c>
      <c r="AK130" s="816"/>
      <c r="AM130" s="816"/>
    </row>
    <row r="131" spans="1:39" x14ac:dyDescent="0.25">
      <c r="A131" s="265">
        <v>43557</v>
      </c>
      <c r="B131">
        <v>2</v>
      </c>
      <c r="C131" s="816" t="s">
        <v>5</v>
      </c>
      <c r="D131">
        <v>533</v>
      </c>
      <c r="E131" s="816" t="s">
        <v>9537</v>
      </c>
      <c r="F131" s="816" t="s">
        <v>25</v>
      </c>
      <c r="G131" s="816" t="s">
        <v>9547</v>
      </c>
      <c r="H131">
        <v>13</v>
      </c>
      <c r="I131" s="816" t="s">
        <v>8</v>
      </c>
      <c r="J131" s="816" t="s">
        <v>8</v>
      </c>
      <c r="K131" s="817">
        <v>0.15736111111111112</v>
      </c>
      <c r="L131" s="817">
        <v>0.2240277777777778</v>
      </c>
      <c r="M131" s="817">
        <v>0.22361111111111109</v>
      </c>
      <c r="N131" s="817">
        <v>0.39027777777777778</v>
      </c>
      <c r="O131" s="817">
        <v>0.47436342592592595</v>
      </c>
      <c r="P131" s="817">
        <v>0.72471064814814812</v>
      </c>
      <c r="Q131" s="817"/>
      <c r="R131" s="816"/>
      <c r="S131" s="817"/>
      <c r="T131" s="817"/>
      <c r="U131" s="816" t="s">
        <v>9551</v>
      </c>
      <c r="V131" s="816" t="s">
        <v>9551</v>
      </c>
      <c r="W131" s="267"/>
      <c r="X131" s="816" t="s">
        <v>26</v>
      </c>
      <c r="Y131">
        <v>19.7</v>
      </c>
      <c r="Z131">
        <v>59.1</v>
      </c>
      <c r="AA131" s="816" t="s">
        <v>9554</v>
      </c>
      <c r="AB131" s="816" t="s">
        <v>9590</v>
      </c>
      <c r="AC131" s="816"/>
      <c r="AD131" s="816"/>
      <c r="AE131" s="816"/>
      <c r="AF131" s="816"/>
      <c r="AG131" s="816"/>
      <c r="AI131" s="816"/>
      <c r="AK131" s="816"/>
      <c r="AM131" s="816"/>
    </row>
    <row r="132" spans="1:39" x14ac:dyDescent="0.25">
      <c r="A132" s="265">
        <v>43558</v>
      </c>
      <c r="B132">
        <v>3</v>
      </c>
      <c r="C132" s="816" t="s">
        <v>6</v>
      </c>
      <c r="D132">
        <v>533</v>
      </c>
      <c r="E132" s="816" t="s">
        <v>9537</v>
      </c>
      <c r="F132" s="816" t="s">
        <v>25</v>
      </c>
      <c r="G132" s="816" t="s">
        <v>9547</v>
      </c>
      <c r="H132">
        <v>14</v>
      </c>
      <c r="I132" s="816" t="s">
        <v>9</v>
      </c>
      <c r="J132" s="816" t="s">
        <v>9</v>
      </c>
      <c r="K132" s="817">
        <v>0.15731481481481482</v>
      </c>
      <c r="L132" s="817">
        <v>0.22398148148148148</v>
      </c>
      <c r="M132" s="817"/>
      <c r="N132" s="817"/>
      <c r="O132" s="817">
        <v>0.47416666666666668</v>
      </c>
      <c r="P132" s="817">
        <v>0.7243518518518518</v>
      </c>
      <c r="Q132" s="817"/>
      <c r="R132" s="816"/>
      <c r="S132" s="817"/>
      <c r="T132" s="817"/>
      <c r="U132" s="816" t="s">
        <v>9551</v>
      </c>
      <c r="V132" s="816" t="s">
        <v>9551</v>
      </c>
      <c r="W132" s="267"/>
      <c r="X132" s="816" t="s">
        <v>26</v>
      </c>
      <c r="Y132">
        <v>11.1</v>
      </c>
      <c r="Z132">
        <v>48.9</v>
      </c>
      <c r="AA132" s="816" t="s">
        <v>9555</v>
      </c>
      <c r="AB132" s="816" t="s">
        <v>9591</v>
      </c>
      <c r="AC132" s="816"/>
      <c r="AD132" s="816"/>
      <c r="AE132" s="816"/>
      <c r="AF132" s="816"/>
      <c r="AG132" s="816"/>
      <c r="AI132" s="816"/>
      <c r="AK132" s="816"/>
      <c r="AM132" s="816"/>
    </row>
    <row r="133" spans="1:39" x14ac:dyDescent="0.25">
      <c r="A133" s="265">
        <v>43559</v>
      </c>
      <c r="B133">
        <v>4</v>
      </c>
      <c r="C133" s="816" t="s">
        <v>7</v>
      </c>
      <c r="D133">
        <v>533</v>
      </c>
      <c r="E133" s="816" t="s">
        <v>9537</v>
      </c>
      <c r="F133" s="816" t="s">
        <v>25</v>
      </c>
      <c r="G133" s="816" t="s">
        <v>9547</v>
      </c>
      <c r="H133">
        <v>15</v>
      </c>
      <c r="I133" s="816" t="s">
        <v>22</v>
      </c>
      <c r="J133" s="816" t="s">
        <v>9</v>
      </c>
      <c r="K133" s="817">
        <v>0.15725694444444446</v>
      </c>
      <c r="L133" s="817">
        <v>0.22392361111111111</v>
      </c>
      <c r="M133" s="817"/>
      <c r="N133" s="817"/>
      <c r="O133" s="817">
        <v>0.47395833333333331</v>
      </c>
      <c r="P133" s="817">
        <v>0.72400462962962964</v>
      </c>
      <c r="Q133" s="817"/>
      <c r="R133" s="816"/>
      <c r="S133" s="817"/>
      <c r="T133" s="817"/>
      <c r="U133" s="816" t="s">
        <v>9551</v>
      </c>
      <c r="V133" s="816" t="s">
        <v>9551</v>
      </c>
      <c r="W133" s="267"/>
      <c r="X133" s="816" t="s">
        <v>26</v>
      </c>
      <c r="Y133">
        <v>3.9</v>
      </c>
      <c r="Z133">
        <v>39.700000000000003</v>
      </c>
      <c r="AA133" s="816" t="s">
        <v>9556</v>
      </c>
      <c r="AB133" s="816" t="s">
        <v>9605</v>
      </c>
      <c r="AC133" s="816"/>
      <c r="AD133" s="816"/>
      <c r="AE133" s="816"/>
      <c r="AF133" s="816"/>
      <c r="AG133" s="816"/>
      <c r="AI133" s="816"/>
      <c r="AK133" s="816"/>
      <c r="AM133" s="816"/>
    </row>
    <row r="134" spans="1:39" x14ac:dyDescent="0.25">
      <c r="A134" s="265">
        <v>43560</v>
      </c>
      <c r="B134">
        <v>5</v>
      </c>
      <c r="C134" s="816" t="s">
        <v>1</v>
      </c>
      <c r="D134">
        <v>533</v>
      </c>
      <c r="E134" s="816" t="s">
        <v>9537</v>
      </c>
      <c r="F134" s="816" t="s">
        <v>25</v>
      </c>
      <c r="G134" s="816" t="s">
        <v>9547</v>
      </c>
      <c r="H134">
        <v>15</v>
      </c>
      <c r="I134" s="816" t="s">
        <v>22</v>
      </c>
      <c r="J134" s="816" t="s">
        <v>22</v>
      </c>
      <c r="K134" s="817">
        <v>0.15721064814814814</v>
      </c>
      <c r="L134" s="817">
        <v>0.22387731481481479</v>
      </c>
      <c r="M134" s="817"/>
      <c r="N134" s="817"/>
      <c r="O134" s="817">
        <v>0.4737615740740741</v>
      </c>
      <c r="P134" s="817">
        <v>0.72365740740740747</v>
      </c>
      <c r="Q134" s="817"/>
      <c r="R134" s="816"/>
      <c r="S134" s="817"/>
      <c r="T134" s="817"/>
      <c r="U134" s="816" t="s">
        <v>9551</v>
      </c>
      <c r="V134" s="816" t="s">
        <v>9551</v>
      </c>
      <c r="W134" s="267"/>
      <c r="X134" s="816" t="s">
        <v>27</v>
      </c>
      <c r="Y134">
        <v>98</v>
      </c>
      <c r="Z134">
        <v>31.9</v>
      </c>
      <c r="AA134" s="816" t="s">
        <v>9557</v>
      </c>
      <c r="AB134" s="816" t="s">
        <v>9592</v>
      </c>
      <c r="AC134" s="816"/>
      <c r="AD134" s="816"/>
      <c r="AE134" s="816"/>
      <c r="AF134" s="816"/>
      <c r="AG134" s="816"/>
      <c r="AI134" s="816"/>
      <c r="AK134" s="816"/>
      <c r="AM134" s="816"/>
    </row>
    <row r="135" spans="1:39" x14ac:dyDescent="0.25">
      <c r="A135" s="265">
        <v>43561</v>
      </c>
      <c r="B135">
        <v>6</v>
      </c>
      <c r="C135" s="816" t="s">
        <v>2</v>
      </c>
      <c r="D135">
        <v>533</v>
      </c>
      <c r="E135" s="816" t="s">
        <v>9537</v>
      </c>
      <c r="F135" s="816" t="s">
        <v>24</v>
      </c>
      <c r="G135" s="816" t="s">
        <v>9546</v>
      </c>
      <c r="H135">
        <v>16</v>
      </c>
      <c r="I135" s="816" t="s">
        <v>11</v>
      </c>
      <c r="J135" s="816" t="s">
        <v>11</v>
      </c>
      <c r="K135" s="817">
        <v>0.15715277777777778</v>
      </c>
      <c r="L135" s="817">
        <v>0.22381944444444446</v>
      </c>
      <c r="M135" s="817"/>
      <c r="N135" s="817"/>
      <c r="O135" s="817">
        <v>0.47356481481481483</v>
      </c>
      <c r="P135" s="817">
        <v>0.72331018518518519</v>
      </c>
      <c r="Q135" s="817"/>
      <c r="R135" s="816"/>
      <c r="S135" s="817"/>
      <c r="T135" s="817"/>
      <c r="U135" s="816" t="s">
        <v>9551</v>
      </c>
      <c r="V135" s="816" t="s">
        <v>9551</v>
      </c>
      <c r="W135" s="267"/>
      <c r="X135" s="816" t="s">
        <v>26</v>
      </c>
      <c r="Y135">
        <v>93.8</v>
      </c>
      <c r="Z135">
        <v>25.4</v>
      </c>
      <c r="AA135" s="816" t="s">
        <v>9558</v>
      </c>
      <c r="AB135" s="816" t="s">
        <v>9593</v>
      </c>
      <c r="AC135" s="816"/>
      <c r="AD135" s="816"/>
      <c r="AE135" s="816"/>
      <c r="AF135" s="816"/>
      <c r="AG135" s="816"/>
      <c r="AI135" s="816"/>
      <c r="AK135" s="816"/>
      <c r="AM135" s="816"/>
    </row>
    <row r="136" spans="1:39" x14ac:dyDescent="0.25">
      <c r="A136" s="265">
        <v>43562</v>
      </c>
      <c r="B136">
        <v>0</v>
      </c>
      <c r="C136" s="816" t="s">
        <v>3</v>
      </c>
      <c r="D136">
        <v>533</v>
      </c>
      <c r="E136" s="816" t="s">
        <v>9537</v>
      </c>
      <c r="F136" s="816" t="s">
        <v>24</v>
      </c>
      <c r="G136" s="816" t="s">
        <v>9546</v>
      </c>
      <c r="H136">
        <v>17</v>
      </c>
      <c r="I136" s="816" t="s">
        <v>12</v>
      </c>
      <c r="J136" s="816" t="s">
        <v>12</v>
      </c>
      <c r="K136" s="817">
        <v>0.15710648148148149</v>
      </c>
      <c r="L136" s="817">
        <v>0.22377314814814817</v>
      </c>
      <c r="M136" s="817"/>
      <c r="N136" s="817"/>
      <c r="O136" s="817">
        <v>0.47336805555555556</v>
      </c>
      <c r="P136" s="817">
        <v>0.72296296296296303</v>
      </c>
      <c r="Q136" s="817"/>
      <c r="R136" s="816"/>
      <c r="S136" s="817"/>
      <c r="T136" s="817"/>
      <c r="U136" s="816" t="s">
        <v>9551</v>
      </c>
      <c r="V136" s="816" t="s">
        <v>9551</v>
      </c>
      <c r="W136" s="267"/>
      <c r="X136" s="816" t="s">
        <v>26</v>
      </c>
      <c r="Y136">
        <v>91.1</v>
      </c>
      <c r="Z136">
        <v>20.399999999999999</v>
      </c>
      <c r="AA136" s="816" t="s">
        <v>9578</v>
      </c>
      <c r="AB136" s="816" t="s">
        <v>9594</v>
      </c>
      <c r="AC136" s="816"/>
      <c r="AD136" s="816"/>
      <c r="AE136" s="816"/>
      <c r="AF136" s="816"/>
      <c r="AG136" s="816"/>
      <c r="AI136" s="816"/>
      <c r="AK136" s="816"/>
      <c r="AM136" s="816"/>
    </row>
    <row r="137" spans="1:39" x14ac:dyDescent="0.25">
      <c r="A137" s="265">
        <v>43563</v>
      </c>
      <c r="B137">
        <v>1</v>
      </c>
      <c r="C137" s="816" t="s">
        <v>4</v>
      </c>
      <c r="D137">
        <v>533</v>
      </c>
      <c r="E137" s="816" t="s">
        <v>9537</v>
      </c>
      <c r="F137" s="816" t="s">
        <v>24</v>
      </c>
      <c r="G137" s="816" t="s">
        <v>9546</v>
      </c>
      <c r="H137">
        <v>18</v>
      </c>
      <c r="I137" s="816" t="s">
        <v>23</v>
      </c>
      <c r="J137" s="816" t="s">
        <v>23</v>
      </c>
      <c r="K137" s="817">
        <v>0.15706018518518519</v>
      </c>
      <c r="L137" s="817">
        <v>0.22372685185185184</v>
      </c>
      <c r="M137" s="817"/>
      <c r="N137" s="817"/>
      <c r="O137" s="817">
        <v>0.47317129629629634</v>
      </c>
      <c r="P137" s="817">
        <v>0.72262731481481479</v>
      </c>
      <c r="Q137" s="817"/>
      <c r="R137" s="816"/>
      <c r="S137" s="817"/>
      <c r="T137" s="817"/>
      <c r="U137" s="816" t="s">
        <v>9551</v>
      </c>
      <c r="V137" s="816" t="s">
        <v>9551</v>
      </c>
      <c r="W137" s="267"/>
      <c r="X137" s="816" t="s">
        <v>26</v>
      </c>
      <c r="Y137">
        <v>89.9</v>
      </c>
      <c r="Z137">
        <v>16.7</v>
      </c>
      <c r="AA137" s="816" t="s">
        <v>9559</v>
      </c>
      <c r="AB137" s="816" t="s">
        <v>9595</v>
      </c>
      <c r="AC137" s="816"/>
      <c r="AD137" s="816"/>
      <c r="AE137" s="816"/>
      <c r="AF137" s="816"/>
      <c r="AG137" s="816"/>
      <c r="AI137" s="816"/>
      <c r="AK137" s="816"/>
      <c r="AM137" s="816"/>
    </row>
    <row r="138" spans="1:39" x14ac:dyDescent="0.25">
      <c r="A138" s="265">
        <v>43564</v>
      </c>
      <c r="B138">
        <v>2</v>
      </c>
      <c r="C138" s="816" t="s">
        <v>5</v>
      </c>
      <c r="D138">
        <v>533</v>
      </c>
      <c r="E138" s="816" t="s">
        <v>9537</v>
      </c>
      <c r="F138" s="816" t="s">
        <v>24</v>
      </c>
      <c r="G138" s="816" t="s">
        <v>9546</v>
      </c>
      <c r="H138">
        <v>19</v>
      </c>
      <c r="I138" s="816" t="s">
        <v>13</v>
      </c>
      <c r="J138" s="816" t="s">
        <v>13</v>
      </c>
      <c r="K138" s="817">
        <v>0.1570138888888889</v>
      </c>
      <c r="L138" s="817">
        <v>0.22368055555555555</v>
      </c>
      <c r="M138" s="817"/>
      <c r="N138" s="817"/>
      <c r="O138" s="817">
        <v>0.47298611111111111</v>
      </c>
      <c r="P138" s="817">
        <v>0.72229166666666667</v>
      </c>
      <c r="Q138" s="817"/>
      <c r="R138" s="816"/>
      <c r="S138" s="817"/>
      <c r="T138" s="817"/>
      <c r="U138" s="816" t="s">
        <v>9551</v>
      </c>
      <c r="V138" s="816" t="s">
        <v>9551</v>
      </c>
      <c r="W138" s="267"/>
      <c r="X138" s="816" t="s">
        <v>26</v>
      </c>
      <c r="Y138">
        <v>90.4</v>
      </c>
      <c r="Z138">
        <v>14.5</v>
      </c>
      <c r="AA138" s="816" t="s">
        <v>9560</v>
      </c>
      <c r="AB138" s="816" t="s">
        <v>9596</v>
      </c>
      <c r="AC138" s="816"/>
      <c r="AD138" s="816"/>
      <c r="AE138" s="816"/>
      <c r="AF138" s="816"/>
      <c r="AG138" s="816"/>
      <c r="AI138" s="816"/>
      <c r="AK138" s="816"/>
      <c r="AM138" s="816"/>
    </row>
    <row r="139" spans="1:39" x14ac:dyDescent="0.25">
      <c r="A139" s="265">
        <v>43565</v>
      </c>
      <c r="B139">
        <v>3</v>
      </c>
      <c r="C139" s="816" t="s">
        <v>6</v>
      </c>
      <c r="D139">
        <v>533</v>
      </c>
      <c r="E139" s="816" t="s">
        <v>9537</v>
      </c>
      <c r="F139" s="816" t="s">
        <v>24</v>
      </c>
      <c r="G139" s="816" t="s">
        <v>9546</v>
      </c>
      <c r="H139">
        <v>20</v>
      </c>
      <c r="I139" s="816" t="s">
        <v>14</v>
      </c>
      <c r="J139" s="816" t="s">
        <v>14</v>
      </c>
      <c r="K139" s="817">
        <v>0.15697916666666667</v>
      </c>
      <c r="L139" s="817">
        <v>0.22364583333333332</v>
      </c>
      <c r="M139" s="817"/>
      <c r="N139" s="817"/>
      <c r="O139" s="817">
        <v>0.47280092592592587</v>
      </c>
      <c r="P139" s="817">
        <v>0.72195601851851843</v>
      </c>
      <c r="Q139" s="817"/>
      <c r="R139" s="816"/>
      <c r="S139" s="817"/>
      <c r="T139" s="817"/>
      <c r="U139" s="816" t="s">
        <v>9551</v>
      </c>
      <c r="V139" s="816" t="s">
        <v>9551</v>
      </c>
      <c r="W139" s="267"/>
      <c r="X139" s="816" t="s">
        <v>26</v>
      </c>
      <c r="Y139">
        <v>92.5</v>
      </c>
      <c r="Z139">
        <v>13.7</v>
      </c>
      <c r="AA139" s="816" t="s">
        <v>9561</v>
      </c>
      <c r="AB139" s="816" t="s">
        <v>9597</v>
      </c>
      <c r="AC139" s="816"/>
      <c r="AD139" s="816"/>
      <c r="AE139" s="816"/>
      <c r="AF139" s="816"/>
      <c r="AG139" s="816"/>
      <c r="AI139" s="816"/>
      <c r="AK139" s="816"/>
      <c r="AM139" s="816"/>
    </row>
    <row r="140" spans="1:39" x14ac:dyDescent="0.25">
      <c r="A140" s="265">
        <v>43566</v>
      </c>
      <c r="B140">
        <v>4</v>
      </c>
      <c r="C140" s="816" t="s">
        <v>7</v>
      </c>
      <c r="D140">
        <v>533</v>
      </c>
      <c r="E140" s="816" t="s">
        <v>9537</v>
      </c>
      <c r="F140" s="816" t="s">
        <v>24</v>
      </c>
      <c r="G140" s="816" t="s">
        <v>9546</v>
      </c>
      <c r="H140">
        <v>21</v>
      </c>
      <c r="I140" s="816" t="s">
        <v>15</v>
      </c>
      <c r="J140" s="816" t="s">
        <v>15</v>
      </c>
      <c r="K140" s="817">
        <v>0.15693287037037038</v>
      </c>
      <c r="L140" s="817">
        <v>0.22359953703703705</v>
      </c>
      <c r="M140" s="817"/>
      <c r="N140" s="817"/>
      <c r="O140" s="817">
        <v>0.47261574074074075</v>
      </c>
      <c r="P140" s="817">
        <v>0.72162037037037041</v>
      </c>
      <c r="Q140" s="817"/>
      <c r="R140" s="816"/>
      <c r="S140" s="817"/>
      <c r="T140" s="817"/>
      <c r="U140" s="816" t="s">
        <v>9551</v>
      </c>
      <c r="V140" s="816" t="s">
        <v>9551</v>
      </c>
      <c r="W140" s="267"/>
      <c r="X140" s="816" t="s">
        <v>26</v>
      </c>
      <c r="Y140">
        <v>96.3</v>
      </c>
      <c r="Z140">
        <v>14.5</v>
      </c>
      <c r="AA140" s="816" t="s">
        <v>9562</v>
      </c>
      <c r="AB140" s="816" t="s">
        <v>9598</v>
      </c>
      <c r="AC140" s="816"/>
      <c r="AD140" s="816"/>
      <c r="AE140" s="816"/>
      <c r="AF140" s="816"/>
      <c r="AG140" s="816"/>
      <c r="AI140" s="816"/>
      <c r="AK140" s="816"/>
      <c r="AM140" s="816"/>
    </row>
    <row r="141" spans="1:39" x14ac:dyDescent="0.25">
      <c r="A141" s="265">
        <v>43567</v>
      </c>
      <c r="B141">
        <v>5</v>
      </c>
      <c r="C141" s="816" t="s">
        <v>1</v>
      </c>
      <c r="D141">
        <v>533</v>
      </c>
      <c r="E141" s="816" t="s">
        <v>9537</v>
      </c>
      <c r="F141" s="816" t="s">
        <v>24</v>
      </c>
      <c r="G141" s="816" t="s">
        <v>9546</v>
      </c>
      <c r="H141">
        <v>23</v>
      </c>
      <c r="I141" s="816" t="s">
        <v>17</v>
      </c>
      <c r="J141" s="816" t="s">
        <v>16</v>
      </c>
      <c r="K141" s="817">
        <v>0.15689814814814815</v>
      </c>
      <c r="L141" s="817">
        <v>0.22356481481481483</v>
      </c>
      <c r="M141" s="817"/>
      <c r="N141" s="817"/>
      <c r="O141" s="817">
        <v>0.47243055555555552</v>
      </c>
      <c r="P141" s="817">
        <v>0.72129629629629621</v>
      </c>
      <c r="Q141" s="817"/>
      <c r="R141" s="816"/>
      <c r="S141" s="817">
        <v>0.2590277777777778</v>
      </c>
      <c r="T141" s="817">
        <v>0.20486111111111113</v>
      </c>
      <c r="U141" s="816" t="s">
        <v>9551</v>
      </c>
      <c r="V141" s="816" t="s">
        <v>9551</v>
      </c>
      <c r="W141" s="267"/>
      <c r="X141" s="816" t="s">
        <v>26</v>
      </c>
      <c r="Y141">
        <v>2</v>
      </c>
      <c r="Z141">
        <v>17</v>
      </c>
      <c r="AA141" s="816" t="s">
        <v>9563</v>
      </c>
      <c r="AB141" s="816" t="s">
        <v>9600</v>
      </c>
      <c r="AC141" s="816"/>
      <c r="AD141" s="816"/>
      <c r="AE141" s="816"/>
      <c r="AF141" s="816"/>
      <c r="AG141" s="816"/>
      <c r="AI141" s="816"/>
      <c r="AK141" s="816"/>
      <c r="AM141" s="816"/>
    </row>
    <row r="142" spans="1:39" x14ac:dyDescent="0.25">
      <c r="A142" s="265">
        <v>43568</v>
      </c>
      <c r="B142">
        <v>6</v>
      </c>
      <c r="C142" s="816" t="s">
        <v>2</v>
      </c>
      <c r="D142">
        <v>533</v>
      </c>
      <c r="E142" s="816" t="s">
        <v>9537</v>
      </c>
      <c r="F142" s="816" t="s">
        <v>24</v>
      </c>
      <c r="G142" s="816" t="s">
        <v>9546</v>
      </c>
      <c r="H142">
        <v>24</v>
      </c>
      <c r="I142" s="816" t="s">
        <v>18</v>
      </c>
      <c r="J142" s="816" t="s">
        <v>18</v>
      </c>
      <c r="K142" s="817">
        <v>0.15686342592592592</v>
      </c>
      <c r="L142" s="817">
        <v>0.2235300925925926</v>
      </c>
      <c r="M142" s="817"/>
      <c r="N142" s="817"/>
      <c r="O142" s="817">
        <v>0.47225694444444444</v>
      </c>
      <c r="P142" s="817">
        <v>0.72098379629629628</v>
      </c>
      <c r="Q142" s="817"/>
      <c r="R142" s="816"/>
      <c r="S142" s="817"/>
      <c r="T142" s="817"/>
      <c r="U142" s="816" t="s">
        <v>9551</v>
      </c>
      <c r="V142" s="816" t="s">
        <v>9551</v>
      </c>
      <c r="W142" s="267"/>
      <c r="X142" s="816" t="s">
        <v>26</v>
      </c>
      <c r="Y142">
        <v>9.6999999999999993</v>
      </c>
      <c r="Z142">
        <v>21.3</v>
      </c>
      <c r="AA142" s="816" t="s">
        <v>9564</v>
      </c>
      <c r="AB142" s="816" t="s">
        <v>9601</v>
      </c>
      <c r="AC142" s="816"/>
      <c r="AD142" s="816"/>
      <c r="AE142" s="816"/>
      <c r="AF142" s="816"/>
      <c r="AG142" s="816" t="s">
        <v>40</v>
      </c>
      <c r="AH142">
        <v>0</v>
      </c>
      <c r="AI142" s="816" t="s">
        <v>37</v>
      </c>
      <c r="AJ142">
        <v>-1</v>
      </c>
      <c r="AK142" s="816"/>
      <c r="AM142" s="816"/>
    </row>
    <row r="143" spans="1:39" x14ac:dyDescent="0.25">
      <c r="A143" s="265">
        <v>43569</v>
      </c>
      <c r="B143">
        <v>0</v>
      </c>
      <c r="C143" s="816" t="s">
        <v>3</v>
      </c>
      <c r="D143">
        <v>533</v>
      </c>
      <c r="E143" s="816" t="s">
        <v>9537</v>
      </c>
      <c r="F143" s="816" t="s">
        <v>24</v>
      </c>
      <c r="G143" s="816" t="s">
        <v>9546</v>
      </c>
      <c r="H143">
        <v>25</v>
      </c>
      <c r="I143" s="816" t="s">
        <v>19</v>
      </c>
      <c r="J143" s="816" t="s">
        <v>19</v>
      </c>
      <c r="K143" s="817">
        <v>0.15682870370370369</v>
      </c>
      <c r="L143" s="817">
        <v>0.22349537037037037</v>
      </c>
      <c r="M143" s="817"/>
      <c r="N143" s="817"/>
      <c r="O143" s="817">
        <v>0.47208333333333335</v>
      </c>
      <c r="P143" s="817">
        <v>0.7206597222222223</v>
      </c>
      <c r="Q143" s="817">
        <v>0.23393518518518519</v>
      </c>
      <c r="R143" s="816" t="s">
        <v>77</v>
      </c>
      <c r="S143" s="817"/>
      <c r="T143" s="817"/>
      <c r="U143" s="816" t="s">
        <v>9551</v>
      </c>
      <c r="V143" s="816" t="s">
        <v>9551</v>
      </c>
      <c r="W143" s="267"/>
      <c r="X143" s="816" t="s">
        <v>26</v>
      </c>
      <c r="Y143">
        <v>19.600000000000001</v>
      </c>
      <c r="Z143">
        <v>27.5</v>
      </c>
      <c r="AA143" s="816" t="s">
        <v>9565</v>
      </c>
      <c r="AB143" s="816" t="s">
        <v>9602</v>
      </c>
      <c r="AC143" s="816"/>
      <c r="AD143" s="816"/>
      <c r="AE143" s="816"/>
      <c r="AF143" s="816"/>
      <c r="AG143" s="816" t="s">
        <v>42</v>
      </c>
      <c r="AH143">
        <v>5</v>
      </c>
      <c r="AI143" s="816"/>
      <c r="AK143" s="816"/>
      <c r="AM143" s="816"/>
    </row>
    <row r="144" spans="1:39" x14ac:dyDescent="0.25">
      <c r="A144" s="265">
        <v>43570</v>
      </c>
      <c r="B144">
        <v>1</v>
      </c>
      <c r="C144" s="816" t="s">
        <v>4</v>
      </c>
      <c r="D144">
        <v>533</v>
      </c>
      <c r="E144" s="816" t="s">
        <v>9537</v>
      </c>
      <c r="F144" s="816" t="s">
        <v>24</v>
      </c>
      <c r="G144" s="816" t="s">
        <v>9546</v>
      </c>
      <c r="H144">
        <v>26</v>
      </c>
      <c r="I144" s="816" t="s">
        <v>9548</v>
      </c>
      <c r="J144" s="816" t="s">
        <v>20</v>
      </c>
      <c r="K144" s="817">
        <v>0.15680555555555556</v>
      </c>
      <c r="L144" s="817">
        <v>0.22347222222222221</v>
      </c>
      <c r="M144" s="817"/>
      <c r="N144" s="817"/>
      <c r="O144" s="817">
        <v>0.47190972222222222</v>
      </c>
      <c r="P144" s="817">
        <v>0.72034722222222225</v>
      </c>
      <c r="Q144" s="817"/>
      <c r="R144" s="816"/>
      <c r="S144" s="817"/>
      <c r="T144" s="817"/>
      <c r="U144" s="816" t="s">
        <v>9551</v>
      </c>
      <c r="V144" s="816" t="s">
        <v>9551</v>
      </c>
      <c r="W144" s="267"/>
      <c r="X144" s="816" t="s">
        <v>26</v>
      </c>
      <c r="Y144">
        <v>31.4</v>
      </c>
      <c r="Z144">
        <v>35.5</v>
      </c>
      <c r="AA144" s="816" t="s">
        <v>9566</v>
      </c>
      <c r="AB144" s="816" t="s">
        <v>9603</v>
      </c>
      <c r="AC144" s="816"/>
      <c r="AD144" s="816"/>
      <c r="AE144" s="816"/>
      <c r="AF144" s="816" t="s">
        <v>72</v>
      </c>
      <c r="AG144" s="816" t="s">
        <v>41</v>
      </c>
      <c r="AH144">
        <v>-1</v>
      </c>
      <c r="AI144" s="816"/>
      <c r="AK144" s="816"/>
      <c r="AM144" s="816"/>
    </row>
    <row r="145" spans="1:39" x14ac:dyDescent="0.25">
      <c r="A145" s="265">
        <v>43571</v>
      </c>
      <c r="B145">
        <v>2</v>
      </c>
      <c r="C145" s="816" t="s">
        <v>5</v>
      </c>
      <c r="D145">
        <v>533</v>
      </c>
      <c r="E145" s="816" t="s">
        <v>9537</v>
      </c>
      <c r="F145" s="816" t="s">
        <v>24</v>
      </c>
      <c r="G145" s="816" t="s">
        <v>9546</v>
      </c>
      <c r="H145">
        <v>27</v>
      </c>
      <c r="I145" s="816" t="s">
        <v>21</v>
      </c>
      <c r="J145" s="816" t="s">
        <v>21</v>
      </c>
      <c r="K145" s="817">
        <v>0.15678240740740743</v>
      </c>
      <c r="L145" s="817">
        <v>0.22344907407407408</v>
      </c>
      <c r="M145" s="817">
        <v>0.22291666666666665</v>
      </c>
      <c r="N145" s="817">
        <v>0.3888888888888889</v>
      </c>
      <c r="O145" s="817">
        <v>0.47174768518518517</v>
      </c>
      <c r="P145" s="817">
        <v>0.72004629629629635</v>
      </c>
      <c r="Q145" s="817"/>
      <c r="R145" s="816"/>
      <c r="S145" s="817"/>
      <c r="T145" s="817"/>
      <c r="U145" s="816" t="s">
        <v>9551</v>
      </c>
      <c r="V145" s="816" t="s">
        <v>9551</v>
      </c>
      <c r="W145" s="267"/>
      <c r="X145" s="816" t="s">
        <v>26</v>
      </c>
      <c r="Y145">
        <v>44.8</v>
      </c>
      <c r="Z145">
        <v>44.9</v>
      </c>
      <c r="AA145" s="816" t="s">
        <v>9567</v>
      </c>
      <c r="AB145" s="816" t="s">
        <v>9579</v>
      </c>
      <c r="AC145" s="816"/>
      <c r="AD145" s="816"/>
      <c r="AE145" s="816"/>
      <c r="AF145" s="816"/>
      <c r="AG145" s="816"/>
      <c r="AI145" s="816"/>
      <c r="AK145" s="816"/>
      <c r="AM145" s="816"/>
    </row>
    <row r="146" spans="1:39" x14ac:dyDescent="0.25">
      <c r="A146" s="265">
        <v>43572</v>
      </c>
      <c r="B146">
        <v>3</v>
      </c>
      <c r="C146" s="816" t="s">
        <v>6</v>
      </c>
      <c r="D146">
        <v>533</v>
      </c>
      <c r="E146" s="816" t="s">
        <v>9537</v>
      </c>
      <c r="F146" s="816" t="s">
        <v>24</v>
      </c>
      <c r="G146" s="816" t="s">
        <v>9546</v>
      </c>
      <c r="H146">
        <v>28</v>
      </c>
      <c r="I146" s="816" t="s">
        <v>8</v>
      </c>
      <c r="J146" s="816" t="s">
        <v>8</v>
      </c>
      <c r="K146" s="817">
        <v>0.15675925925925926</v>
      </c>
      <c r="L146" s="817">
        <v>0.22342592592592592</v>
      </c>
      <c r="M146" s="817"/>
      <c r="N146" s="817"/>
      <c r="O146" s="817">
        <v>0.47158564814814818</v>
      </c>
      <c r="P146" s="817">
        <v>0.71974537037037034</v>
      </c>
      <c r="Q146" s="817"/>
      <c r="R146" s="816"/>
      <c r="S146" s="817"/>
      <c r="T146" s="817"/>
      <c r="U146" s="816" t="s">
        <v>9551</v>
      </c>
      <c r="V146" s="816" t="s">
        <v>9551</v>
      </c>
      <c r="W146" s="267"/>
      <c r="X146" s="816" t="s">
        <v>26</v>
      </c>
      <c r="Y146">
        <v>59.1</v>
      </c>
      <c r="Z146">
        <v>55.2</v>
      </c>
      <c r="AA146" s="816" t="s">
        <v>9568</v>
      </c>
      <c r="AB146" s="816" t="s">
        <v>9580</v>
      </c>
      <c r="AC146" s="816"/>
      <c r="AD146" s="816"/>
      <c r="AE146" s="816"/>
      <c r="AF146" s="816"/>
      <c r="AG146" s="816"/>
      <c r="AI146" s="816"/>
      <c r="AK146" s="816"/>
      <c r="AM146" s="816"/>
    </row>
    <row r="147" spans="1:39" x14ac:dyDescent="0.25">
      <c r="A147" s="265">
        <v>43573</v>
      </c>
      <c r="B147">
        <v>4</v>
      </c>
      <c r="C147" s="816" t="s">
        <v>7</v>
      </c>
      <c r="D147">
        <v>533</v>
      </c>
      <c r="E147" s="816" t="s">
        <v>9537</v>
      </c>
      <c r="F147" s="816" t="s">
        <v>24</v>
      </c>
      <c r="G147" s="816" t="s">
        <v>9546</v>
      </c>
      <c r="H147">
        <v>29</v>
      </c>
      <c r="I147" s="816" t="s">
        <v>9</v>
      </c>
      <c r="J147" s="816" t="s">
        <v>9</v>
      </c>
      <c r="K147" s="817">
        <v>0.1567361111111111</v>
      </c>
      <c r="L147" s="817">
        <v>0.22340277777777776</v>
      </c>
      <c r="M147" s="817"/>
      <c r="N147" s="817"/>
      <c r="O147" s="817">
        <v>0.47142361111111114</v>
      </c>
      <c r="P147" s="817">
        <v>0.71944444444444444</v>
      </c>
      <c r="Q147" s="817"/>
      <c r="R147" s="816"/>
      <c r="S147" s="817"/>
      <c r="T147" s="817"/>
      <c r="U147" s="816" t="s">
        <v>9551</v>
      </c>
      <c r="V147" s="816" t="s">
        <v>9551</v>
      </c>
      <c r="W147" s="267"/>
      <c r="X147" s="816" t="s">
        <v>26</v>
      </c>
      <c r="Y147">
        <v>73.400000000000006</v>
      </c>
      <c r="Z147">
        <v>65.400000000000006</v>
      </c>
      <c r="AA147" s="816" t="s">
        <v>9569</v>
      </c>
      <c r="AB147" s="816" t="s">
        <v>9581</v>
      </c>
      <c r="AC147" s="816"/>
      <c r="AD147" s="816"/>
      <c r="AE147" s="816"/>
      <c r="AF147" s="816"/>
      <c r="AG147" s="816"/>
      <c r="AI147" s="816"/>
      <c r="AK147" s="816"/>
      <c r="AM147" s="816"/>
    </row>
    <row r="148" spans="1:39" x14ac:dyDescent="0.25">
      <c r="A148" s="265">
        <v>43574</v>
      </c>
      <c r="B148">
        <v>5</v>
      </c>
      <c r="C148" s="816" t="s">
        <v>1</v>
      </c>
      <c r="D148">
        <v>533</v>
      </c>
      <c r="E148" s="816" t="s">
        <v>9537</v>
      </c>
      <c r="F148" s="816" t="s">
        <v>24</v>
      </c>
      <c r="G148" s="816" t="s">
        <v>9546</v>
      </c>
      <c r="H148">
        <v>30</v>
      </c>
      <c r="I148" s="816" t="s">
        <v>10</v>
      </c>
      <c r="J148" s="816" t="s">
        <v>10</v>
      </c>
      <c r="K148" s="817">
        <v>0.15672453703703704</v>
      </c>
      <c r="L148" s="817">
        <v>0.22339120370370369</v>
      </c>
      <c r="M148" s="817"/>
      <c r="N148" s="817"/>
      <c r="O148" s="817">
        <v>0.47127314814814819</v>
      </c>
      <c r="P148" s="817">
        <v>0.71915509259259258</v>
      </c>
      <c r="Q148" s="817"/>
      <c r="R148" s="816"/>
      <c r="S148" s="817"/>
      <c r="T148" s="817"/>
      <c r="U148" s="816" t="s">
        <v>9551</v>
      </c>
      <c r="V148" s="816" t="s">
        <v>9551</v>
      </c>
      <c r="W148" s="267"/>
      <c r="X148" s="816" t="s">
        <v>26</v>
      </c>
      <c r="Y148">
        <v>86.6</v>
      </c>
      <c r="Z148">
        <v>74.599999999999994</v>
      </c>
      <c r="AA148" s="816" t="s">
        <v>9570</v>
      </c>
      <c r="AB148" s="816" t="s">
        <v>9583</v>
      </c>
      <c r="AC148" s="816"/>
      <c r="AD148" s="816"/>
      <c r="AE148" s="816"/>
      <c r="AF148" s="816"/>
      <c r="AG148" s="816"/>
      <c r="AI148" s="816"/>
      <c r="AK148" s="816"/>
      <c r="AM148" s="816"/>
    </row>
    <row r="149" spans="1:39" x14ac:dyDescent="0.25">
      <c r="A149" s="265">
        <v>43575</v>
      </c>
      <c r="B149">
        <v>6</v>
      </c>
      <c r="C149" s="816" t="s">
        <v>2</v>
      </c>
      <c r="D149">
        <v>533</v>
      </c>
      <c r="E149" s="816" t="s">
        <v>9538</v>
      </c>
      <c r="F149" s="816" t="s">
        <v>25</v>
      </c>
      <c r="G149" s="816" t="s">
        <v>9547</v>
      </c>
      <c r="H149">
        <v>1</v>
      </c>
      <c r="I149" s="816" t="s">
        <v>11</v>
      </c>
      <c r="J149" s="816" t="s">
        <v>11</v>
      </c>
      <c r="K149" s="817">
        <v>0.15671296296296297</v>
      </c>
      <c r="L149" s="817">
        <v>0.22337962962962962</v>
      </c>
      <c r="M149" s="817"/>
      <c r="N149" s="817"/>
      <c r="O149" s="817">
        <v>0.47112268518518513</v>
      </c>
      <c r="P149" s="817">
        <v>0.71887731481481476</v>
      </c>
      <c r="Q149" s="817"/>
      <c r="R149" s="816"/>
      <c r="S149" s="817"/>
      <c r="T149" s="817"/>
      <c r="U149" s="816" t="s">
        <v>9551</v>
      </c>
      <c r="V149" s="816" t="s">
        <v>9551</v>
      </c>
      <c r="W149" s="267"/>
      <c r="X149" s="816" t="s">
        <v>26</v>
      </c>
      <c r="Y149">
        <v>97.6</v>
      </c>
      <c r="Z149">
        <v>81.8</v>
      </c>
      <c r="AA149" s="816" t="s">
        <v>9571</v>
      </c>
      <c r="AB149" s="816" t="s">
        <v>9584</v>
      </c>
      <c r="AC149" s="816"/>
      <c r="AD149" s="816"/>
      <c r="AE149" s="816"/>
      <c r="AF149" s="816"/>
      <c r="AG149" s="816"/>
      <c r="AI149" s="816"/>
      <c r="AK149" s="816"/>
      <c r="AM149" s="816"/>
    </row>
    <row r="150" spans="1:39" x14ac:dyDescent="0.25">
      <c r="A150" s="265">
        <v>43576</v>
      </c>
      <c r="B150">
        <v>0</v>
      </c>
      <c r="C150" s="816" t="s">
        <v>3</v>
      </c>
      <c r="D150">
        <v>533</v>
      </c>
      <c r="E150" s="816" t="s">
        <v>9538</v>
      </c>
      <c r="F150" s="816" t="s">
        <v>25</v>
      </c>
      <c r="G150" s="816" t="s">
        <v>9547</v>
      </c>
      <c r="H150">
        <v>3</v>
      </c>
      <c r="I150" s="816" t="s">
        <v>23</v>
      </c>
      <c r="J150" s="816" t="s">
        <v>12</v>
      </c>
      <c r="K150" s="817">
        <v>0.15671296296296297</v>
      </c>
      <c r="L150" s="817">
        <v>0.22337962962962962</v>
      </c>
      <c r="M150" s="817"/>
      <c r="N150" s="817"/>
      <c r="O150" s="817">
        <v>0.47098379629629633</v>
      </c>
      <c r="P150" s="817">
        <v>0.71859953703703694</v>
      </c>
      <c r="Q150" s="817"/>
      <c r="R150" s="816"/>
      <c r="S150" s="817">
        <v>0.24444444444444446</v>
      </c>
      <c r="T150" s="817">
        <v>0.16944444444444443</v>
      </c>
      <c r="U150" s="816" t="s">
        <v>9551</v>
      </c>
      <c r="V150" s="816" t="s">
        <v>9551</v>
      </c>
      <c r="W150" s="267"/>
      <c r="X150" s="816" t="s">
        <v>26</v>
      </c>
      <c r="Y150">
        <v>5.7</v>
      </c>
      <c r="Z150">
        <v>86.4</v>
      </c>
      <c r="AA150" s="816" t="s">
        <v>9572</v>
      </c>
      <c r="AB150" s="816" t="s">
        <v>9585</v>
      </c>
      <c r="AC150" s="816"/>
      <c r="AD150" s="816"/>
      <c r="AE150" s="816"/>
      <c r="AF150" s="816"/>
      <c r="AG150" s="816"/>
      <c r="AI150" s="816"/>
      <c r="AK150" s="816"/>
      <c r="AM150" s="816"/>
    </row>
    <row r="151" spans="1:39" x14ac:dyDescent="0.25">
      <c r="A151" s="265">
        <v>43577</v>
      </c>
      <c r="B151">
        <v>1</v>
      </c>
      <c r="C151" s="816" t="s">
        <v>4</v>
      </c>
      <c r="D151">
        <v>533</v>
      </c>
      <c r="E151" s="816" t="s">
        <v>9538</v>
      </c>
      <c r="F151" s="816" t="s">
        <v>25</v>
      </c>
      <c r="G151" s="816" t="s">
        <v>9547</v>
      </c>
      <c r="H151">
        <v>4</v>
      </c>
      <c r="I151" s="816" t="s">
        <v>13</v>
      </c>
      <c r="J151" s="816" t="s">
        <v>13</v>
      </c>
      <c r="K151" s="817">
        <v>0.15670138888888888</v>
      </c>
      <c r="L151" s="817">
        <v>0.22336805555555553</v>
      </c>
      <c r="M151" s="817"/>
      <c r="N151" s="817"/>
      <c r="O151" s="817">
        <v>0.47084490740740742</v>
      </c>
      <c r="P151" s="817">
        <v>0.71832175925925934</v>
      </c>
      <c r="Q151" s="817"/>
      <c r="R151" s="816"/>
      <c r="S151" s="817"/>
      <c r="T151" s="817"/>
      <c r="U151" s="816" t="s">
        <v>9551</v>
      </c>
      <c r="V151" s="816" t="s">
        <v>9551</v>
      </c>
      <c r="W151" s="267"/>
      <c r="X151" s="816" t="s">
        <v>26</v>
      </c>
      <c r="Y151">
        <v>10.4</v>
      </c>
      <c r="Z151">
        <v>87.9</v>
      </c>
      <c r="AA151" s="816" t="s">
        <v>9573</v>
      </c>
      <c r="AB151" s="816" t="s">
        <v>9586</v>
      </c>
      <c r="AC151" s="816"/>
      <c r="AD151" s="816"/>
      <c r="AE151" s="816"/>
      <c r="AF151" s="816"/>
      <c r="AG151" s="816"/>
      <c r="AI151" s="816"/>
      <c r="AK151" s="816"/>
      <c r="AM151" s="816"/>
    </row>
    <row r="152" spans="1:39" x14ac:dyDescent="0.25">
      <c r="A152" s="265">
        <v>43578</v>
      </c>
      <c r="B152">
        <v>2</v>
      </c>
      <c r="C152" s="816" t="s">
        <v>5</v>
      </c>
      <c r="D152">
        <v>533</v>
      </c>
      <c r="E152" s="816" t="s">
        <v>9538</v>
      </c>
      <c r="F152" s="816" t="s">
        <v>25</v>
      </c>
      <c r="G152" s="816" t="s">
        <v>9547</v>
      </c>
      <c r="H152">
        <v>5</v>
      </c>
      <c r="I152" s="816" t="s">
        <v>14</v>
      </c>
      <c r="J152" s="816" t="s">
        <v>14</v>
      </c>
      <c r="K152" s="817">
        <v>0.15670138888888888</v>
      </c>
      <c r="L152" s="817">
        <v>0.22336805555555553</v>
      </c>
      <c r="M152" s="817"/>
      <c r="N152" s="817"/>
      <c r="O152" s="817">
        <v>0.4707175925925926</v>
      </c>
      <c r="P152" s="817">
        <v>0.71805555555555556</v>
      </c>
      <c r="Q152" s="817"/>
      <c r="R152" s="816"/>
      <c r="S152" s="817"/>
      <c r="T152" s="817"/>
      <c r="U152" s="816" t="s">
        <v>9551</v>
      </c>
      <c r="V152" s="816" t="s">
        <v>9551</v>
      </c>
      <c r="W152" s="267"/>
      <c r="X152" s="816" t="s">
        <v>26</v>
      </c>
      <c r="Y152">
        <v>11.4</v>
      </c>
      <c r="Z152">
        <v>86.2</v>
      </c>
      <c r="AA152" s="816" t="s">
        <v>9574</v>
      </c>
      <c r="AB152" s="816" t="s">
        <v>9604</v>
      </c>
      <c r="AC152" s="816"/>
      <c r="AD152" s="816"/>
      <c r="AE152" s="816"/>
      <c r="AF152" s="816"/>
      <c r="AG152" s="816"/>
      <c r="AI152" s="816"/>
      <c r="AK152" s="816"/>
      <c r="AM152" s="816"/>
    </row>
    <row r="153" spans="1:39" x14ac:dyDescent="0.25">
      <c r="A153" s="265">
        <v>43579</v>
      </c>
      <c r="B153">
        <v>3</v>
      </c>
      <c r="C153" s="816" t="s">
        <v>6</v>
      </c>
      <c r="D153">
        <v>533</v>
      </c>
      <c r="E153" s="816" t="s">
        <v>9538</v>
      </c>
      <c r="F153" s="816" t="s">
        <v>25</v>
      </c>
      <c r="G153" s="816" t="s">
        <v>9547</v>
      </c>
      <c r="H153">
        <v>6</v>
      </c>
      <c r="I153" s="816" t="s">
        <v>15</v>
      </c>
      <c r="J153" s="816" t="s">
        <v>15</v>
      </c>
      <c r="K153" s="817">
        <v>0.15671296296296297</v>
      </c>
      <c r="L153" s="817">
        <v>0.22337962962962962</v>
      </c>
      <c r="M153" s="817"/>
      <c r="N153" s="817"/>
      <c r="O153" s="817">
        <v>0.47059027777777779</v>
      </c>
      <c r="P153" s="817">
        <v>0.71780092592592604</v>
      </c>
      <c r="Q153" s="817"/>
      <c r="R153" s="816"/>
      <c r="S153" s="817"/>
      <c r="T153" s="817"/>
      <c r="U153" s="816" t="s">
        <v>9551</v>
      </c>
      <c r="V153" s="816" t="s">
        <v>9551</v>
      </c>
      <c r="W153" s="267"/>
      <c r="X153" s="816" t="s">
        <v>26</v>
      </c>
      <c r="Y153">
        <v>9.1999999999999993</v>
      </c>
      <c r="Z153">
        <v>81.5</v>
      </c>
      <c r="AA153" s="816" t="s">
        <v>9575</v>
      </c>
      <c r="AB153" s="816" t="s">
        <v>9587</v>
      </c>
      <c r="AC153" s="816"/>
      <c r="AD153" s="816"/>
      <c r="AE153" s="816"/>
      <c r="AF153" s="816"/>
      <c r="AG153" s="816"/>
      <c r="AI153" s="816"/>
      <c r="AK153" s="816"/>
      <c r="AM153" s="816"/>
    </row>
    <row r="154" spans="1:39" x14ac:dyDescent="0.25">
      <c r="A154" s="265">
        <v>43580</v>
      </c>
      <c r="B154">
        <v>4</v>
      </c>
      <c r="C154" s="816" t="s">
        <v>7</v>
      </c>
      <c r="D154">
        <v>533</v>
      </c>
      <c r="E154" s="816" t="s">
        <v>9538</v>
      </c>
      <c r="F154" s="816" t="s">
        <v>25</v>
      </c>
      <c r="G154" s="816" t="s">
        <v>9547</v>
      </c>
      <c r="H154">
        <v>7</v>
      </c>
      <c r="I154" s="816" t="s">
        <v>16</v>
      </c>
      <c r="J154" s="816" t="s">
        <v>15</v>
      </c>
      <c r="K154" s="817">
        <v>0.15672453703703704</v>
      </c>
      <c r="L154" s="817">
        <v>0.22339120370370369</v>
      </c>
      <c r="M154" s="817"/>
      <c r="N154" s="817"/>
      <c r="O154" s="817">
        <v>0.47046296296296292</v>
      </c>
      <c r="P154" s="817">
        <v>0.71754629629629629</v>
      </c>
      <c r="Q154" s="817"/>
      <c r="R154" s="816"/>
      <c r="S154" s="817"/>
      <c r="T154" s="817"/>
      <c r="U154" s="816" t="s">
        <v>9551</v>
      </c>
      <c r="V154" s="816" t="s">
        <v>9551</v>
      </c>
      <c r="W154" s="267"/>
      <c r="X154" s="816" t="s">
        <v>26</v>
      </c>
      <c r="Y154">
        <v>4.0999999999999996</v>
      </c>
      <c r="Z154">
        <v>74.2</v>
      </c>
      <c r="AA154" s="816" t="s">
        <v>9576</v>
      </c>
      <c r="AB154" s="816" t="s">
        <v>9588</v>
      </c>
      <c r="AC154" s="816"/>
      <c r="AD154" s="816"/>
      <c r="AE154" s="816"/>
      <c r="AF154" s="816"/>
      <c r="AG154" s="816"/>
      <c r="AI154" s="816"/>
      <c r="AK154" s="816"/>
      <c r="AM154" s="816"/>
    </row>
    <row r="155" spans="1:39" x14ac:dyDescent="0.25">
      <c r="A155" s="265">
        <v>43581</v>
      </c>
      <c r="B155">
        <v>5</v>
      </c>
      <c r="C155" s="816" t="s">
        <v>1</v>
      </c>
      <c r="D155">
        <v>533</v>
      </c>
      <c r="E155" s="816" t="s">
        <v>9538</v>
      </c>
      <c r="F155" s="816" t="s">
        <v>25</v>
      </c>
      <c r="G155" s="816" t="s">
        <v>9547</v>
      </c>
      <c r="H155">
        <v>7</v>
      </c>
      <c r="I155" s="816" t="s">
        <v>16</v>
      </c>
      <c r="J155" s="816" t="s">
        <v>16</v>
      </c>
      <c r="K155" s="817">
        <v>0.1567361111111111</v>
      </c>
      <c r="L155" s="817">
        <v>0.22340277777777776</v>
      </c>
      <c r="M155" s="817"/>
      <c r="N155" s="817"/>
      <c r="O155" s="817">
        <v>0.47034722222222225</v>
      </c>
      <c r="P155" s="817">
        <v>0.71730324074074081</v>
      </c>
      <c r="Q155" s="817"/>
      <c r="R155" s="816"/>
      <c r="S155" s="817"/>
      <c r="T155" s="817"/>
      <c r="U155" s="816" t="s">
        <v>9551</v>
      </c>
      <c r="V155" s="816" t="s">
        <v>9551</v>
      </c>
      <c r="W155" s="267"/>
      <c r="X155" s="816" t="s">
        <v>27</v>
      </c>
      <c r="Y155">
        <v>96.8</v>
      </c>
      <c r="Z155">
        <v>64.900000000000006</v>
      </c>
      <c r="AA155" s="816" t="s">
        <v>9577</v>
      </c>
      <c r="AB155" s="816" t="s">
        <v>9589</v>
      </c>
      <c r="AC155" s="816"/>
      <c r="AD155" s="816"/>
      <c r="AE155" s="816"/>
      <c r="AF155" s="816"/>
      <c r="AG155" s="816"/>
      <c r="AI155" s="816"/>
      <c r="AK155" s="816"/>
      <c r="AM155" s="816"/>
    </row>
    <row r="156" spans="1:39" x14ac:dyDescent="0.25">
      <c r="A156" s="265">
        <v>43582</v>
      </c>
      <c r="B156">
        <v>6</v>
      </c>
      <c r="C156" s="816" t="s">
        <v>2</v>
      </c>
      <c r="D156">
        <v>533</v>
      </c>
      <c r="E156" s="816" t="s">
        <v>9538</v>
      </c>
      <c r="F156" s="816" t="s">
        <v>25</v>
      </c>
      <c r="G156" s="816" t="s">
        <v>9547</v>
      </c>
      <c r="H156">
        <v>8</v>
      </c>
      <c r="I156" s="816" t="s">
        <v>17</v>
      </c>
      <c r="J156" s="816" t="s">
        <v>17</v>
      </c>
      <c r="K156" s="817">
        <v>0.1567476851851852</v>
      </c>
      <c r="L156" s="817">
        <v>0.22341435185185185</v>
      </c>
      <c r="M156" s="817"/>
      <c r="N156" s="817"/>
      <c r="O156" s="817">
        <v>0.47024305555555551</v>
      </c>
      <c r="P156" s="817">
        <v>0.71706018518518511</v>
      </c>
      <c r="Q156" s="817"/>
      <c r="R156" s="816"/>
      <c r="S156" s="817"/>
      <c r="T156" s="817"/>
      <c r="U156" s="816" t="s">
        <v>9551</v>
      </c>
      <c r="V156" s="816" t="s">
        <v>9551</v>
      </c>
      <c r="W156" s="267"/>
      <c r="X156" s="816" t="s">
        <v>26</v>
      </c>
      <c r="Y156">
        <v>88</v>
      </c>
      <c r="Z156">
        <v>54.3</v>
      </c>
      <c r="AA156" s="816" t="s">
        <v>9552</v>
      </c>
      <c r="AB156" s="816" t="s">
        <v>9590</v>
      </c>
      <c r="AC156" s="816"/>
      <c r="AD156" s="816"/>
      <c r="AE156" s="816"/>
      <c r="AF156" s="816"/>
      <c r="AG156" s="816"/>
      <c r="AI156" s="816"/>
      <c r="AK156" s="816"/>
      <c r="AM156" s="816"/>
    </row>
    <row r="157" spans="1:39" x14ac:dyDescent="0.25">
      <c r="A157" s="265">
        <v>43583</v>
      </c>
      <c r="B157">
        <v>0</v>
      </c>
      <c r="C157" s="816" t="s">
        <v>3</v>
      </c>
      <c r="D157">
        <v>533</v>
      </c>
      <c r="E157" s="816" t="s">
        <v>9538</v>
      </c>
      <c r="F157" s="816" t="s">
        <v>25</v>
      </c>
      <c r="G157" s="816" t="s">
        <v>9547</v>
      </c>
      <c r="H157">
        <v>9</v>
      </c>
      <c r="I157" s="816" t="s">
        <v>18</v>
      </c>
      <c r="J157" s="816" t="s">
        <v>18</v>
      </c>
      <c r="K157" s="817">
        <v>0.15677083333333333</v>
      </c>
      <c r="L157" s="817">
        <v>0.22343749999999998</v>
      </c>
      <c r="M157" s="817"/>
      <c r="N157" s="817"/>
      <c r="O157" s="817">
        <v>0.47013888888888888</v>
      </c>
      <c r="P157" s="817">
        <v>0.71682870370370377</v>
      </c>
      <c r="Q157" s="817"/>
      <c r="R157" s="816"/>
      <c r="S157" s="817"/>
      <c r="T157" s="817"/>
      <c r="U157" s="816" t="s">
        <v>9551</v>
      </c>
      <c r="V157" s="816" t="s">
        <v>9551</v>
      </c>
      <c r="W157" s="267"/>
      <c r="X157" s="816" t="s">
        <v>26</v>
      </c>
      <c r="Y157">
        <v>78.400000000000006</v>
      </c>
      <c r="Z157">
        <v>43</v>
      </c>
      <c r="AA157" s="816" t="s">
        <v>9553</v>
      </c>
      <c r="AB157" s="816" t="s">
        <v>9591</v>
      </c>
      <c r="AC157" s="816"/>
      <c r="AD157" s="816"/>
      <c r="AE157" s="816"/>
      <c r="AF157" s="816"/>
      <c r="AG157" s="816"/>
      <c r="AI157" s="816"/>
      <c r="AK157" s="816"/>
      <c r="AM157" s="816"/>
    </row>
    <row r="158" spans="1:39" x14ac:dyDescent="0.25">
      <c r="A158" s="265">
        <v>43584</v>
      </c>
      <c r="B158">
        <v>1</v>
      </c>
      <c r="C158" s="816" t="s">
        <v>4</v>
      </c>
      <c r="D158">
        <v>533</v>
      </c>
      <c r="E158" s="816" t="s">
        <v>9538</v>
      </c>
      <c r="F158" s="816" t="s">
        <v>25</v>
      </c>
      <c r="G158" s="816" t="s">
        <v>9547</v>
      </c>
      <c r="H158">
        <v>10</v>
      </c>
      <c r="I158" s="816" t="s">
        <v>19</v>
      </c>
      <c r="J158" s="816" t="s">
        <v>19</v>
      </c>
      <c r="K158" s="817">
        <v>0.15680555555555556</v>
      </c>
      <c r="L158" s="817">
        <v>0.22347222222222221</v>
      </c>
      <c r="M158" s="817"/>
      <c r="N158" s="817"/>
      <c r="O158" s="817">
        <v>0.47003472222222226</v>
      </c>
      <c r="P158" s="817">
        <v>0.71660879629629637</v>
      </c>
      <c r="Q158" s="817"/>
      <c r="R158" s="816"/>
      <c r="S158" s="817"/>
      <c r="T158" s="817"/>
      <c r="U158" s="816" t="s">
        <v>9551</v>
      </c>
      <c r="V158" s="816" t="s">
        <v>9551</v>
      </c>
      <c r="W158" s="267"/>
      <c r="X158" s="816" t="s">
        <v>26</v>
      </c>
      <c r="Y158">
        <v>68.8</v>
      </c>
      <c r="Z158">
        <v>31.6</v>
      </c>
      <c r="AA158" s="816" t="s">
        <v>9554</v>
      </c>
      <c r="AB158" s="816" t="s">
        <v>9605</v>
      </c>
      <c r="AC158" s="816"/>
      <c r="AD158" s="816"/>
      <c r="AE158" s="816"/>
      <c r="AF158" s="816"/>
      <c r="AG158" s="816"/>
      <c r="AI158" s="816"/>
      <c r="AK158" s="816"/>
      <c r="AM158" s="816"/>
    </row>
    <row r="159" spans="1:39" x14ac:dyDescent="0.25">
      <c r="A159" s="265">
        <v>43585</v>
      </c>
      <c r="B159">
        <v>2</v>
      </c>
      <c r="C159" s="816" t="s">
        <v>5</v>
      </c>
      <c r="D159">
        <v>533</v>
      </c>
      <c r="E159" s="816" t="s">
        <v>9538</v>
      </c>
      <c r="F159" s="816" t="s">
        <v>25</v>
      </c>
      <c r="G159" s="816" t="s">
        <v>9547</v>
      </c>
      <c r="H159">
        <v>11</v>
      </c>
      <c r="I159" s="816" t="s">
        <v>9548</v>
      </c>
      <c r="J159" s="816" t="s">
        <v>20</v>
      </c>
      <c r="K159" s="817">
        <v>0.15684027777777779</v>
      </c>
      <c r="L159" s="817">
        <v>0.22350694444444444</v>
      </c>
      <c r="M159" s="817"/>
      <c r="N159" s="817"/>
      <c r="O159" s="817">
        <v>0.46994212962962961</v>
      </c>
      <c r="P159" s="817">
        <v>0.71638888888888885</v>
      </c>
      <c r="Q159" s="817"/>
      <c r="R159" s="816"/>
      <c r="S159" s="817"/>
      <c r="T159" s="817"/>
      <c r="U159" s="816" t="s">
        <v>9551</v>
      </c>
      <c r="V159" s="816" t="s">
        <v>9551</v>
      </c>
      <c r="W159" s="267"/>
      <c r="X159" s="816" t="s">
        <v>26</v>
      </c>
      <c r="Y159">
        <v>59.9</v>
      </c>
      <c r="Z159">
        <v>20.9</v>
      </c>
      <c r="AA159" s="816" t="s">
        <v>9555</v>
      </c>
      <c r="AB159" s="816" t="s">
        <v>9592</v>
      </c>
      <c r="AC159" s="816"/>
      <c r="AD159" s="816"/>
      <c r="AE159" s="816"/>
      <c r="AF159" s="816" t="s">
        <v>72</v>
      </c>
      <c r="AG159" s="816" t="s">
        <v>9607</v>
      </c>
      <c r="AH159">
        <v>-1</v>
      </c>
      <c r="AI159" s="816"/>
      <c r="AK159" s="816"/>
      <c r="AM159" s="816"/>
    </row>
    <row r="160" spans="1:39" x14ac:dyDescent="0.25">
      <c r="A160" s="265">
        <v>43586</v>
      </c>
      <c r="B160">
        <v>3</v>
      </c>
      <c r="C160" s="816" t="s">
        <v>6</v>
      </c>
      <c r="D160">
        <v>533</v>
      </c>
      <c r="E160" s="816" t="s">
        <v>9538</v>
      </c>
      <c r="F160" s="816" t="s">
        <v>25</v>
      </c>
      <c r="G160" s="816" t="s">
        <v>9547</v>
      </c>
      <c r="H160">
        <v>12</v>
      </c>
      <c r="I160" s="816" t="s">
        <v>21</v>
      </c>
      <c r="J160" s="816" t="s">
        <v>21</v>
      </c>
      <c r="K160" s="817">
        <v>0.15687500000000001</v>
      </c>
      <c r="L160" s="817">
        <v>0.22354166666666667</v>
      </c>
      <c r="M160" s="817">
        <v>0.22291666666666665</v>
      </c>
      <c r="N160" s="817">
        <v>0.38750000000000001</v>
      </c>
      <c r="O160" s="817">
        <v>0.46986111111111112</v>
      </c>
      <c r="P160" s="817">
        <v>0.71618055555555549</v>
      </c>
      <c r="Q160" s="817"/>
      <c r="R160" s="816"/>
      <c r="S160" s="817"/>
      <c r="T160" s="817"/>
      <c r="U160" s="816" t="s">
        <v>9551</v>
      </c>
      <c r="V160" s="816" t="s">
        <v>9551</v>
      </c>
      <c r="W160" s="267"/>
      <c r="X160" s="816" t="s">
        <v>26</v>
      </c>
      <c r="Y160">
        <v>52.3</v>
      </c>
      <c r="Z160">
        <v>11.3</v>
      </c>
      <c r="AA160" s="816" t="s">
        <v>9556</v>
      </c>
      <c r="AB160" s="816" t="s">
        <v>9593</v>
      </c>
      <c r="AC160" s="816"/>
      <c r="AD160" s="816"/>
      <c r="AE160" s="816"/>
      <c r="AF160" s="816"/>
      <c r="AG160" s="816"/>
      <c r="AI160" s="816"/>
      <c r="AK160" s="816"/>
      <c r="AM160" s="816"/>
    </row>
    <row r="161" spans="1:39" x14ac:dyDescent="0.25">
      <c r="A161" s="265">
        <v>43587</v>
      </c>
      <c r="B161">
        <v>4</v>
      </c>
      <c r="C161" s="816" t="s">
        <v>7</v>
      </c>
      <c r="D161">
        <v>533</v>
      </c>
      <c r="E161" s="816" t="s">
        <v>9538</v>
      </c>
      <c r="F161" s="816" t="s">
        <v>25</v>
      </c>
      <c r="G161" s="816" t="s">
        <v>9547</v>
      </c>
      <c r="H161">
        <v>13</v>
      </c>
      <c r="I161" s="816" t="s">
        <v>8</v>
      </c>
      <c r="J161" s="816" t="s">
        <v>8</v>
      </c>
      <c r="K161" s="817">
        <v>0.15690972222222221</v>
      </c>
      <c r="L161" s="817">
        <v>0.22357638888888889</v>
      </c>
      <c r="M161" s="817"/>
      <c r="N161" s="817"/>
      <c r="O161" s="817">
        <v>0.46978009259259257</v>
      </c>
      <c r="P161" s="817">
        <v>0.71598379629629638</v>
      </c>
      <c r="Q161" s="817"/>
      <c r="R161" s="816"/>
      <c r="S161" s="817"/>
      <c r="T161" s="817"/>
      <c r="U161" s="816" t="s">
        <v>9551</v>
      </c>
      <c r="V161" s="816" t="s">
        <v>9551</v>
      </c>
      <c r="W161" s="267"/>
      <c r="X161" s="816" t="s">
        <v>26</v>
      </c>
      <c r="Y161">
        <v>46.2</v>
      </c>
      <c r="Z161">
        <v>3.2</v>
      </c>
      <c r="AA161" s="816" t="s">
        <v>9557</v>
      </c>
      <c r="AB161" s="816" t="s">
        <v>9594</v>
      </c>
      <c r="AC161" s="816"/>
      <c r="AD161" s="816"/>
      <c r="AE161" s="816"/>
      <c r="AF161" s="816"/>
      <c r="AG161" s="816"/>
      <c r="AI161" s="816"/>
      <c r="AK161" s="816"/>
      <c r="AM161" s="816"/>
    </row>
    <row r="162" spans="1:39" x14ac:dyDescent="0.25">
      <c r="A162" s="265">
        <v>43588</v>
      </c>
      <c r="B162">
        <v>5</v>
      </c>
      <c r="C162" s="816" t="s">
        <v>1</v>
      </c>
      <c r="D162">
        <v>533</v>
      </c>
      <c r="E162" s="816" t="s">
        <v>9538</v>
      </c>
      <c r="F162" s="816" t="s">
        <v>25</v>
      </c>
      <c r="G162" s="816" t="s">
        <v>9547</v>
      </c>
      <c r="H162">
        <v>14</v>
      </c>
      <c r="I162" s="816" t="s">
        <v>9</v>
      </c>
      <c r="J162" s="816" t="s">
        <v>9</v>
      </c>
      <c r="K162" s="817">
        <v>0.15695601851851851</v>
      </c>
      <c r="L162" s="817">
        <v>0.22362268518518516</v>
      </c>
      <c r="M162" s="817"/>
      <c r="N162" s="817"/>
      <c r="O162" s="817">
        <v>0.46971064814814811</v>
      </c>
      <c r="P162" s="817">
        <v>0.71578703703703705</v>
      </c>
      <c r="Q162" s="817"/>
      <c r="R162" s="816"/>
      <c r="S162" s="817"/>
      <c r="T162" s="817"/>
      <c r="U162" s="816" t="s">
        <v>9551</v>
      </c>
      <c r="V162" s="816" t="s">
        <v>9551</v>
      </c>
      <c r="W162" s="267"/>
      <c r="X162" s="816" t="s">
        <v>26</v>
      </c>
      <c r="Y162">
        <v>42.2</v>
      </c>
      <c r="Z162">
        <v>96.8</v>
      </c>
      <c r="AA162" s="816" t="s">
        <v>9557</v>
      </c>
      <c r="AB162" s="816" t="s">
        <v>9595</v>
      </c>
      <c r="AC162" s="816"/>
      <c r="AD162" s="816"/>
      <c r="AE162" s="816"/>
      <c r="AF162" s="816"/>
      <c r="AG162" s="816"/>
      <c r="AI162" s="816"/>
      <c r="AK162" s="816"/>
      <c r="AM162" s="816"/>
    </row>
    <row r="163" spans="1:39" x14ac:dyDescent="0.25">
      <c r="A163" s="265">
        <v>43589</v>
      </c>
      <c r="B163">
        <v>6</v>
      </c>
      <c r="C163" s="816" t="s">
        <v>2</v>
      </c>
      <c r="D163">
        <v>533</v>
      </c>
      <c r="E163" s="816" t="s">
        <v>9538</v>
      </c>
      <c r="F163" s="816" t="s">
        <v>25</v>
      </c>
      <c r="G163" s="816" t="s">
        <v>9547</v>
      </c>
      <c r="H163">
        <v>15</v>
      </c>
      <c r="I163" s="816" t="s">
        <v>22</v>
      </c>
      <c r="J163" s="816" t="s">
        <v>22</v>
      </c>
      <c r="K163" s="817">
        <v>0.1570138888888889</v>
      </c>
      <c r="L163" s="817">
        <v>0.22368055555555555</v>
      </c>
      <c r="M163" s="817"/>
      <c r="N163" s="817"/>
      <c r="O163" s="817">
        <v>0.46964120370370371</v>
      </c>
      <c r="P163" s="817">
        <v>0.71560185185185177</v>
      </c>
      <c r="Q163" s="817"/>
      <c r="R163" s="816"/>
      <c r="S163" s="817"/>
      <c r="T163" s="817"/>
      <c r="U163" s="816" t="s">
        <v>9551</v>
      </c>
      <c r="V163" s="816" t="s">
        <v>9551</v>
      </c>
      <c r="W163" s="267"/>
      <c r="X163" s="816" t="s">
        <v>26</v>
      </c>
      <c r="Y163">
        <v>40.200000000000003</v>
      </c>
      <c r="Z163">
        <v>92.2</v>
      </c>
      <c r="AA163" s="816" t="s">
        <v>9558</v>
      </c>
      <c r="AB163" s="816" t="s">
        <v>9596</v>
      </c>
      <c r="AC163" s="816"/>
      <c r="AD163" s="816"/>
      <c r="AE163" s="816"/>
      <c r="AF163" s="816"/>
      <c r="AG163" s="816"/>
      <c r="AI163" s="816"/>
      <c r="AK163" s="816"/>
      <c r="AM163" s="816"/>
    </row>
    <row r="164" spans="1:39" x14ac:dyDescent="0.25">
      <c r="A164" s="265">
        <v>43590</v>
      </c>
      <c r="B164">
        <v>0</v>
      </c>
      <c r="C164" s="816" t="s">
        <v>3</v>
      </c>
      <c r="D164">
        <v>533</v>
      </c>
      <c r="E164" s="816" t="s">
        <v>9538</v>
      </c>
      <c r="F164" s="816" t="s">
        <v>24</v>
      </c>
      <c r="G164" s="816" t="s">
        <v>9546</v>
      </c>
      <c r="H164">
        <v>16</v>
      </c>
      <c r="I164" s="816" t="s">
        <v>11</v>
      </c>
      <c r="J164" s="816" t="s">
        <v>11</v>
      </c>
      <c r="K164" s="817">
        <v>0.15707175925925926</v>
      </c>
      <c r="L164" s="817">
        <v>0.22373842592592594</v>
      </c>
      <c r="M164" s="817"/>
      <c r="N164" s="817"/>
      <c r="O164" s="817">
        <v>0.4695833333333333</v>
      </c>
      <c r="P164" s="817">
        <v>0.7154166666666667</v>
      </c>
      <c r="Q164" s="817"/>
      <c r="R164" s="816"/>
      <c r="S164" s="817"/>
      <c r="T164" s="817"/>
      <c r="U164" s="816" t="s">
        <v>9551</v>
      </c>
      <c r="V164" s="816" t="s">
        <v>9551</v>
      </c>
      <c r="W164" s="267"/>
      <c r="X164" s="816" t="s">
        <v>26</v>
      </c>
      <c r="Y164">
        <v>40.200000000000003</v>
      </c>
      <c r="Z164">
        <v>89.5</v>
      </c>
      <c r="AA164" s="816" t="s">
        <v>9578</v>
      </c>
      <c r="AB164" s="816" t="s">
        <v>9597</v>
      </c>
      <c r="AC164" s="816"/>
      <c r="AD164" s="816"/>
      <c r="AE164" s="816"/>
      <c r="AF164" s="816"/>
      <c r="AG164" s="816"/>
      <c r="AI164" s="816"/>
      <c r="AK164" s="816"/>
      <c r="AM164" s="816"/>
    </row>
    <row r="165" spans="1:39" x14ac:dyDescent="0.25">
      <c r="A165" s="265">
        <v>43591</v>
      </c>
      <c r="B165">
        <v>1</v>
      </c>
      <c r="C165" s="816" t="s">
        <v>4</v>
      </c>
      <c r="D165">
        <v>533</v>
      </c>
      <c r="E165" s="816" t="s">
        <v>9538</v>
      </c>
      <c r="F165" s="816" t="s">
        <v>24</v>
      </c>
      <c r="G165" s="816" t="s">
        <v>9546</v>
      </c>
      <c r="H165">
        <v>17</v>
      </c>
      <c r="I165" s="816" t="s">
        <v>12</v>
      </c>
      <c r="J165" s="816" t="s">
        <v>12</v>
      </c>
      <c r="K165" s="817">
        <v>0.15712962962962962</v>
      </c>
      <c r="L165" s="817">
        <v>0.2237962962962963</v>
      </c>
      <c r="M165" s="817"/>
      <c r="N165" s="817"/>
      <c r="O165" s="817">
        <v>0.46952546296296299</v>
      </c>
      <c r="P165" s="817">
        <v>0.7152546296296296</v>
      </c>
      <c r="Q165" s="817"/>
      <c r="R165" s="816"/>
      <c r="S165" s="817"/>
      <c r="T165" s="817"/>
      <c r="U165" s="816" t="s">
        <v>9551</v>
      </c>
      <c r="V165" s="816" t="s">
        <v>9551</v>
      </c>
      <c r="W165" s="267"/>
      <c r="X165" s="816" t="s">
        <v>26</v>
      </c>
      <c r="Y165">
        <v>42.1</v>
      </c>
      <c r="Z165">
        <v>88.5</v>
      </c>
      <c r="AA165" s="816" t="s">
        <v>9559</v>
      </c>
      <c r="AB165" s="816" t="s">
        <v>9598</v>
      </c>
      <c r="AC165" s="816"/>
      <c r="AD165" s="816"/>
      <c r="AE165" s="816"/>
      <c r="AF165" s="816"/>
      <c r="AG165" s="816"/>
      <c r="AI165" s="816"/>
      <c r="AK165" s="816"/>
      <c r="AM165" s="816"/>
    </row>
    <row r="166" spans="1:39" x14ac:dyDescent="0.25">
      <c r="A166" s="265">
        <v>43592</v>
      </c>
      <c r="B166">
        <v>2</v>
      </c>
      <c r="C166" s="816" t="s">
        <v>5</v>
      </c>
      <c r="D166">
        <v>533</v>
      </c>
      <c r="E166" s="816" t="s">
        <v>9538</v>
      </c>
      <c r="F166" s="816" t="s">
        <v>24</v>
      </c>
      <c r="G166" s="816" t="s">
        <v>9546</v>
      </c>
      <c r="H166">
        <v>18</v>
      </c>
      <c r="I166" s="816" t="s">
        <v>23</v>
      </c>
      <c r="J166" s="816" t="s">
        <v>23</v>
      </c>
      <c r="K166" s="817">
        <v>0.15719907407407407</v>
      </c>
      <c r="L166" s="817">
        <v>0.22386574074074073</v>
      </c>
      <c r="M166" s="817"/>
      <c r="N166" s="817"/>
      <c r="O166" s="817">
        <v>0.46947916666666667</v>
      </c>
      <c r="P166" s="817">
        <v>0.71509259259259261</v>
      </c>
      <c r="Q166" s="817"/>
      <c r="R166" s="816"/>
      <c r="S166" s="817"/>
      <c r="T166" s="817"/>
      <c r="U166" s="816" t="s">
        <v>9551</v>
      </c>
      <c r="V166" s="816" t="s">
        <v>9551</v>
      </c>
      <c r="W166" s="267"/>
      <c r="X166" s="816" t="s">
        <v>26</v>
      </c>
      <c r="Y166">
        <v>45.7</v>
      </c>
      <c r="Z166">
        <v>89</v>
      </c>
      <c r="AA166" s="816" t="s">
        <v>9560</v>
      </c>
      <c r="AB166" s="816" t="s">
        <v>9599</v>
      </c>
      <c r="AC166" s="816"/>
      <c r="AD166" s="816"/>
      <c r="AE166" s="816"/>
      <c r="AF166" s="816"/>
      <c r="AG166" s="816"/>
      <c r="AI166" s="816"/>
      <c r="AK166" s="816"/>
      <c r="AM166" s="816"/>
    </row>
    <row r="167" spans="1:39" x14ac:dyDescent="0.25">
      <c r="A167" s="265">
        <v>43593</v>
      </c>
      <c r="B167">
        <v>3</v>
      </c>
      <c r="C167" s="816" t="s">
        <v>6</v>
      </c>
      <c r="D167">
        <v>533</v>
      </c>
      <c r="E167" s="816" t="s">
        <v>9538</v>
      </c>
      <c r="F167" s="816" t="s">
        <v>24</v>
      </c>
      <c r="G167" s="816" t="s">
        <v>9546</v>
      </c>
      <c r="H167">
        <v>19</v>
      </c>
      <c r="I167" s="816" t="s">
        <v>13</v>
      </c>
      <c r="J167" s="816" t="s">
        <v>13</v>
      </c>
      <c r="K167" s="817">
        <v>0.15726851851851853</v>
      </c>
      <c r="L167" s="817">
        <v>0.22393518518518518</v>
      </c>
      <c r="M167" s="817"/>
      <c r="N167" s="817"/>
      <c r="O167" s="817">
        <v>0.46943287037037035</v>
      </c>
      <c r="P167" s="817">
        <v>0.71493055555555562</v>
      </c>
      <c r="Q167" s="817"/>
      <c r="R167" s="816"/>
      <c r="S167" s="817"/>
      <c r="T167" s="817"/>
      <c r="U167" s="816" t="s">
        <v>9551</v>
      </c>
      <c r="V167" s="816" t="s">
        <v>9551</v>
      </c>
      <c r="W167" s="267"/>
      <c r="X167" s="816" t="s">
        <v>26</v>
      </c>
      <c r="Y167">
        <v>50.8</v>
      </c>
      <c r="Z167">
        <v>90.9</v>
      </c>
      <c r="AA167" s="816" t="s">
        <v>9561</v>
      </c>
      <c r="AB167" s="816" t="s">
        <v>9600</v>
      </c>
      <c r="AC167" s="816"/>
      <c r="AD167" s="816"/>
      <c r="AE167" s="816"/>
      <c r="AF167" s="816"/>
      <c r="AG167" s="816"/>
      <c r="AI167" s="816"/>
      <c r="AK167" s="816"/>
      <c r="AM167" s="816"/>
    </row>
    <row r="168" spans="1:39" x14ac:dyDescent="0.25">
      <c r="A168" s="265">
        <v>43594</v>
      </c>
      <c r="B168">
        <v>4</v>
      </c>
      <c r="C168" s="816" t="s">
        <v>7</v>
      </c>
      <c r="D168">
        <v>533</v>
      </c>
      <c r="E168" s="816" t="s">
        <v>9538</v>
      </c>
      <c r="F168" s="816" t="s">
        <v>24</v>
      </c>
      <c r="G168" s="816" t="s">
        <v>9546</v>
      </c>
      <c r="H168">
        <v>20</v>
      </c>
      <c r="I168" s="816" t="s">
        <v>14</v>
      </c>
      <c r="J168" s="816" t="s">
        <v>14</v>
      </c>
      <c r="K168" s="817">
        <v>0.15733796296296296</v>
      </c>
      <c r="L168" s="817">
        <v>0.22400462962962964</v>
      </c>
      <c r="M168" s="817"/>
      <c r="N168" s="817"/>
      <c r="O168" s="817">
        <v>0.46939814814814818</v>
      </c>
      <c r="P168" s="817">
        <v>0.71479166666666671</v>
      </c>
      <c r="Q168" s="817"/>
      <c r="R168" s="816"/>
      <c r="S168" s="817"/>
      <c r="T168" s="817"/>
      <c r="U168" s="816" t="s">
        <v>9551</v>
      </c>
      <c r="V168" s="816" t="s">
        <v>9551</v>
      </c>
      <c r="W168" s="267"/>
      <c r="X168" s="816" t="s">
        <v>26</v>
      </c>
      <c r="Y168">
        <v>57.1</v>
      </c>
      <c r="Z168">
        <v>93.8</v>
      </c>
      <c r="AA168" s="816" t="s">
        <v>9562</v>
      </c>
      <c r="AB168" s="816" t="s">
        <v>9601</v>
      </c>
      <c r="AC168" s="816"/>
      <c r="AD168" s="816"/>
      <c r="AE168" s="816"/>
      <c r="AF168" s="816"/>
      <c r="AG168" s="816"/>
      <c r="AI168" s="816"/>
      <c r="AK168" s="816"/>
      <c r="AM168" s="816"/>
    </row>
    <row r="169" spans="1:39" x14ac:dyDescent="0.25">
      <c r="A169" s="265">
        <v>43595</v>
      </c>
      <c r="B169">
        <v>5</v>
      </c>
      <c r="C169" s="816" t="s">
        <v>1</v>
      </c>
      <c r="D169">
        <v>533</v>
      </c>
      <c r="E169" s="816" t="s">
        <v>9538</v>
      </c>
      <c r="F169" s="816" t="s">
        <v>24</v>
      </c>
      <c r="G169" s="816" t="s">
        <v>9546</v>
      </c>
      <c r="H169">
        <v>21</v>
      </c>
      <c r="I169" s="816" t="s">
        <v>15</v>
      </c>
      <c r="J169" s="816" t="s">
        <v>15</v>
      </c>
      <c r="K169" s="817">
        <v>0.15741898148148148</v>
      </c>
      <c r="L169" s="817">
        <v>0.22408564814814813</v>
      </c>
      <c r="M169" s="817"/>
      <c r="N169" s="817"/>
      <c r="O169" s="817">
        <v>0.46937500000000004</v>
      </c>
      <c r="P169" s="817">
        <v>0.7146527777777778</v>
      </c>
      <c r="Q169" s="817"/>
      <c r="R169" s="816"/>
      <c r="S169" s="817"/>
      <c r="T169" s="817"/>
      <c r="U169" s="816" t="s">
        <v>9551</v>
      </c>
      <c r="V169" s="816" t="s">
        <v>9551</v>
      </c>
      <c r="W169" s="267"/>
      <c r="X169" s="816" t="s">
        <v>26</v>
      </c>
      <c r="Y169">
        <v>64.7</v>
      </c>
      <c r="Z169">
        <v>97.9</v>
      </c>
      <c r="AA169" s="816" t="s">
        <v>9563</v>
      </c>
      <c r="AB169" s="816" t="s">
        <v>9602</v>
      </c>
      <c r="AC169" s="816"/>
      <c r="AD169" s="816"/>
      <c r="AE169" s="816"/>
      <c r="AF169" s="816"/>
      <c r="AG169" s="816"/>
      <c r="AI169" s="816"/>
      <c r="AK169" s="816"/>
      <c r="AM169" s="816"/>
    </row>
    <row r="170" spans="1:39" x14ac:dyDescent="0.25">
      <c r="A170" s="265">
        <v>43596</v>
      </c>
      <c r="B170">
        <v>6</v>
      </c>
      <c r="C170" s="816" t="s">
        <v>2</v>
      </c>
      <c r="D170">
        <v>533</v>
      </c>
      <c r="E170" s="816" t="s">
        <v>9538</v>
      </c>
      <c r="F170" s="816" t="s">
        <v>24</v>
      </c>
      <c r="G170" s="816" t="s">
        <v>9546</v>
      </c>
      <c r="H170">
        <v>22</v>
      </c>
      <c r="I170" s="816" t="s">
        <v>16</v>
      </c>
      <c r="J170" s="816" t="s">
        <v>16</v>
      </c>
      <c r="K170" s="817">
        <v>0.1575115740740741</v>
      </c>
      <c r="L170" s="817">
        <v>0.22417824074074075</v>
      </c>
      <c r="M170" s="817"/>
      <c r="N170" s="817"/>
      <c r="O170" s="817">
        <v>0.46935185185185185</v>
      </c>
      <c r="P170" s="817">
        <v>0.71452546296296304</v>
      </c>
      <c r="Q170" s="817"/>
      <c r="R170" s="816"/>
      <c r="S170" s="817"/>
      <c r="T170" s="817"/>
      <c r="U170" s="816" t="s">
        <v>9551</v>
      </c>
      <c r="V170" s="816" t="s">
        <v>9551</v>
      </c>
      <c r="W170" s="267"/>
      <c r="X170" s="816" t="s">
        <v>26</v>
      </c>
      <c r="Y170">
        <v>73.2</v>
      </c>
      <c r="Z170">
        <v>2.8</v>
      </c>
      <c r="AA170" s="816" t="s">
        <v>9565</v>
      </c>
      <c r="AB170" s="816" t="s">
        <v>9603</v>
      </c>
      <c r="AC170" s="816"/>
      <c r="AD170" s="816"/>
      <c r="AE170" s="816"/>
      <c r="AF170" s="816"/>
      <c r="AG170" s="816"/>
      <c r="AI170" s="816"/>
      <c r="AK170" s="816"/>
      <c r="AM170" s="816"/>
    </row>
    <row r="171" spans="1:39" x14ac:dyDescent="0.25">
      <c r="A171" s="265">
        <v>43597</v>
      </c>
      <c r="B171">
        <v>0</v>
      </c>
      <c r="C171" s="816" t="s">
        <v>3</v>
      </c>
      <c r="D171">
        <v>533</v>
      </c>
      <c r="E171" s="816" t="s">
        <v>9538</v>
      </c>
      <c r="F171" s="816" t="s">
        <v>24</v>
      </c>
      <c r="G171" s="816" t="s">
        <v>9546</v>
      </c>
      <c r="H171">
        <v>23</v>
      </c>
      <c r="I171" s="816" t="s">
        <v>17</v>
      </c>
      <c r="J171" s="816" t="s">
        <v>17</v>
      </c>
      <c r="K171" s="817">
        <v>0.15760416666666668</v>
      </c>
      <c r="L171" s="817">
        <v>0.22427083333333334</v>
      </c>
      <c r="M171" s="817"/>
      <c r="N171" s="817"/>
      <c r="O171" s="817">
        <v>0.46934027777777776</v>
      </c>
      <c r="P171" s="817">
        <v>0.71440972222222221</v>
      </c>
      <c r="Q171" s="817"/>
      <c r="R171" s="816"/>
      <c r="S171" s="817"/>
      <c r="T171" s="817"/>
      <c r="U171" s="816" t="s">
        <v>9551</v>
      </c>
      <c r="V171" s="816" t="s">
        <v>9551</v>
      </c>
      <c r="W171" s="267"/>
      <c r="X171" s="816" t="s">
        <v>26</v>
      </c>
      <c r="Y171">
        <v>82.8</v>
      </c>
      <c r="Z171">
        <v>8.6</v>
      </c>
      <c r="AA171" s="816" t="s">
        <v>9566</v>
      </c>
      <c r="AB171" s="816" t="s">
        <v>9580</v>
      </c>
      <c r="AC171" s="816"/>
      <c r="AD171" s="816"/>
      <c r="AE171" s="816"/>
      <c r="AF171" s="816"/>
      <c r="AG171" s="816"/>
      <c r="AI171" s="816"/>
      <c r="AK171" s="816"/>
      <c r="AM171" s="816"/>
    </row>
    <row r="172" spans="1:39" x14ac:dyDescent="0.25">
      <c r="A172" s="265">
        <v>43598</v>
      </c>
      <c r="B172">
        <v>1</v>
      </c>
      <c r="C172" s="816" t="s">
        <v>4</v>
      </c>
      <c r="D172">
        <v>533</v>
      </c>
      <c r="E172" s="816" t="s">
        <v>9538</v>
      </c>
      <c r="F172" s="816" t="s">
        <v>24</v>
      </c>
      <c r="G172" s="816" t="s">
        <v>9546</v>
      </c>
      <c r="H172">
        <v>24</v>
      </c>
      <c r="I172" s="816" t="s">
        <v>18</v>
      </c>
      <c r="J172" s="816" t="s">
        <v>18</v>
      </c>
      <c r="K172" s="817">
        <v>0.15769675925925927</v>
      </c>
      <c r="L172" s="817">
        <v>0.22436342592592592</v>
      </c>
      <c r="M172" s="817"/>
      <c r="N172" s="817"/>
      <c r="O172" s="817">
        <v>0.46932870370370372</v>
      </c>
      <c r="P172" s="817">
        <v>0.71429398148148149</v>
      </c>
      <c r="Q172" s="817"/>
      <c r="R172" s="816"/>
      <c r="S172" s="817"/>
      <c r="T172" s="817"/>
      <c r="U172" s="816" t="s">
        <v>9551</v>
      </c>
      <c r="V172" s="816" t="s">
        <v>9551</v>
      </c>
      <c r="W172" s="267"/>
      <c r="X172" s="816" t="s">
        <v>26</v>
      </c>
      <c r="Y172">
        <v>93.1</v>
      </c>
      <c r="Z172">
        <v>15.2</v>
      </c>
      <c r="AA172" s="816" t="s">
        <v>9567</v>
      </c>
      <c r="AB172" s="816" t="s">
        <v>9581</v>
      </c>
      <c r="AC172" s="816"/>
      <c r="AD172" s="816"/>
      <c r="AE172" s="816"/>
      <c r="AF172" s="816"/>
      <c r="AG172" s="816"/>
      <c r="AI172" s="816"/>
      <c r="AK172" s="816"/>
      <c r="AM172" s="816"/>
    </row>
    <row r="173" spans="1:39" x14ac:dyDescent="0.25">
      <c r="A173" s="265">
        <v>43599</v>
      </c>
      <c r="B173">
        <v>2</v>
      </c>
      <c r="C173" s="816" t="s">
        <v>5</v>
      </c>
      <c r="D173">
        <v>533</v>
      </c>
      <c r="E173" s="816" t="s">
        <v>9538</v>
      </c>
      <c r="F173" s="816" t="s">
        <v>24</v>
      </c>
      <c r="G173" s="816" t="s">
        <v>9546</v>
      </c>
      <c r="H173">
        <v>26</v>
      </c>
      <c r="I173" s="816" t="s">
        <v>9549</v>
      </c>
      <c r="J173" s="816" t="s">
        <v>19</v>
      </c>
      <c r="K173" s="817">
        <v>0.15778935185185186</v>
      </c>
      <c r="L173" s="817">
        <v>0.22445601851851851</v>
      </c>
      <c r="M173" s="817"/>
      <c r="N173" s="817"/>
      <c r="O173" s="817">
        <v>0.46932870370370372</v>
      </c>
      <c r="P173" s="817">
        <v>0.71418981481481481</v>
      </c>
      <c r="Q173" s="817"/>
      <c r="R173" s="816"/>
      <c r="S173" s="817">
        <v>0.28611111111111115</v>
      </c>
      <c r="T173" s="817">
        <v>0.1875</v>
      </c>
      <c r="U173" s="816" t="s">
        <v>9551</v>
      </c>
      <c r="V173" s="816" t="s">
        <v>9551</v>
      </c>
      <c r="W173" s="267"/>
      <c r="X173" s="816" t="s">
        <v>26</v>
      </c>
      <c r="Y173">
        <v>4</v>
      </c>
      <c r="Z173">
        <v>22.3</v>
      </c>
      <c r="AA173" s="816" t="s">
        <v>9568</v>
      </c>
      <c r="AB173" s="816" t="s">
        <v>9582</v>
      </c>
      <c r="AC173" s="816"/>
      <c r="AD173" s="816"/>
      <c r="AE173" s="816"/>
      <c r="AF173" s="816"/>
      <c r="AG173" s="816" t="s">
        <v>45</v>
      </c>
      <c r="AH173">
        <v>5</v>
      </c>
      <c r="AI173" s="816"/>
      <c r="AK173" s="816"/>
      <c r="AM173" s="816"/>
    </row>
    <row r="174" spans="1:39" x14ac:dyDescent="0.25">
      <c r="A174" s="265">
        <v>43600</v>
      </c>
      <c r="B174">
        <v>3</v>
      </c>
      <c r="C174" s="816" t="s">
        <v>6</v>
      </c>
      <c r="D174">
        <v>533</v>
      </c>
      <c r="E174" s="816" t="s">
        <v>9538</v>
      </c>
      <c r="F174" s="816" t="s">
        <v>24</v>
      </c>
      <c r="G174" s="816" t="s">
        <v>9546</v>
      </c>
      <c r="H174">
        <v>27</v>
      </c>
      <c r="I174" s="816" t="s">
        <v>9550</v>
      </c>
      <c r="J174" s="816" t="s">
        <v>21</v>
      </c>
      <c r="K174" s="817">
        <v>0.15789351851851852</v>
      </c>
      <c r="L174" s="817">
        <v>0.22456018518518517</v>
      </c>
      <c r="M174" s="817"/>
      <c r="N174" s="817"/>
      <c r="O174" s="817">
        <v>0.46932870370370372</v>
      </c>
      <c r="P174" s="817">
        <v>0.71409722222222216</v>
      </c>
      <c r="Q174" s="817">
        <v>0.10336805555555556</v>
      </c>
      <c r="R174" s="816" t="s">
        <v>78</v>
      </c>
      <c r="S174" s="817"/>
      <c r="T174" s="817"/>
      <c r="U174" s="816" t="s">
        <v>9551</v>
      </c>
      <c r="V174" s="816" t="s">
        <v>9551</v>
      </c>
      <c r="W174" s="267"/>
      <c r="X174" s="816" t="s">
        <v>26</v>
      </c>
      <c r="Y174">
        <v>15.1</v>
      </c>
      <c r="Z174">
        <v>29.5</v>
      </c>
      <c r="AA174" s="816" t="s">
        <v>9569</v>
      </c>
      <c r="AB174" s="816" t="s">
        <v>9583</v>
      </c>
      <c r="AC174" s="816"/>
      <c r="AD174" s="816"/>
      <c r="AE174" s="816"/>
      <c r="AF174" s="816" t="s">
        <v>72</v>
      </c>
      <c r="AG174" s="816" t="s">
        <v>43</v>
      </c>
      <c r="AH174">
        <v>-1</v>
      </c>
      <c r="AI174" s="816"/>
      <c r="AK174" s="816"/>
      <c r="AM174" s="816"/>
    </row>
    <row r="175" spans="1:39" x14ac:dyDescent="0.25">
      <c r="A175" s="265">
        <v>43601</v>
      </c>
      <c r="B175">
        <v>4</v>
      </c>
      <c r="C175" s="816" t="s">
        <v>7</v>
      </c>
      <c r="D175">
        <v>533</v>
      </c>
      <c r="E175" s="816" t="s">
        <v>9538</v>
      </c>
      <c r="F175" s="816" t="s">
        <v>24</v>
      </c>
      <c r="G175" s="816" t="s">
        <v>9546</v>
      </c>
      <c r="H175">
        <v>28</v>
      </c>
      <c r="I175" s="816" t="s">
        <v>8</v>
      </c>
      <c r="J175" s="816" t="s">
        <v>8</v>
      </c>
      <c r="K175" s="817">
        <v>0.15800925925925927</v>
      </c>
      <c r="L175" s="817">
        <v>0.22467592592592592</v>
      </c>
      <c r="M175" s="817">
        <v>0.22430555555555556</v>
      </c>
      <c r="N175" s="817">
        <v>0.38750000000000001</v>
      </c>
      <c r="O175" s="817">
        <v>0.46934027777777776</v>
      </c>
      <c r="P175" s="817">
        <v>0.71401620370370367</v>
      </c>
      <c r="Q175" s="817"/>
      <c r="R175" s="816"/>
      <c r="S175" s="817"/>
      <c r="T175" s="817"/>
      <c r="U175" s="816" t="s">
        <v>9551</v>
      </c>
      <c r="V175" s="816" t="s">
        <v>9551</v>
      </c>
      <c r="W175" s="267"/>
      <c r="X175" s="816" t="s">
        <v>26</v>
      </c>
      <c r="Y175">
        <v>25.8</v>
      </c>
      <c r="Z175">
        <v>36.299999999999997</v>
      </c>
      <c r="AA175" s="816" t="s">
        <v>9570</v>
      </c>
      <c r="AB175" s="816" t="s">
        <v>9584</v>
      </c>
      <c r="AC175" s="816"/>
      <c r="AD175" s="816"/>
      <c r="AE175" s="816"/>
      <c r="AF175" s="816"/>
      <c r="AG175" s="816"/>
      <c r="AI175" s="816"/>
      <c r="AK175" s="816"/>
      <c r="AM175" s="816"/>
    </row>
    <row r="176" spans="1:39" x14ac:dyDescent="0.25">
      <c r="A176" s="265">
        <v>43602</v>
      </c>
      <c r="B176">
        <v>5</v>
      </c>
      <c r="C176" s="816" t="s">
        <v>1</v>
      </c>
      <c r="D176">
        <v>533</v>
      </c>
      <c r="E176" s="816" t="s">
        <v>9538</v>
      </c>
      <c r="F176" s="816" t="s">
        <v>24</v>
      </c>
      <c r="G176" s="816" t="s">
        <v>9546</v>
      </c>
      <c r="H176">
        <v>29</v>
      </c>
      <c r="I176" s="816" t="s">
        <v>9</v>
      </c>
      <c r="J176" s="816" t="s">
        <v>9</v>
      </c>
      <c r="K176" s="817">
        <v>0.15812499999999999</v>
      </c>
      <c r="L176" s="817">
        <v>0.22479166666666664</v>
      </c>
      <c r="M176" s="817"/>
      <c r="N176" s="817"/>
      <c r="O176" s="817">
        <v>0.46936342592592589</v>
      </c>
      <c r="P176" s="817">
        <v>0.71393518518518517</v>
      </c>
      <c r="Q176" s="817"/>
      <c r="R176" s="816"/>
      <c r="S176" s="817"/>
      <c r="T176" s="817"/>
      <c r="U176" s="816" t="s">
        <v>9551</v>
      </c>
      <c r="V176" s="816" t="s">
        <v>9551</v>
      </c>
      <c r="W176" s="267"/>
      <c r="X176" s="816" t="s">
        <v>26</v>
      </c>
      <c r="Y176">
        <v>35.4</v>
      </c>
      <c r="Z176">
        <v>42.2</v>
      </c>
      <c r="AA176" s="816" t="s">
        <v>9571</v>
      </c>
      <c r="AB176" s="816" t="s">
        <v>9585</v>
      </c>
      <c r="AC176" s="816"/>
      <c r="AD176" s="816"/>
      <c r="AE176" s="816"/>
      <c r="AF176" s="816"/>
      <c r="AG176" s="816"/>
      <c r="AI176" s="816"/>
      <c r="AK176" s="816"/>
      <c r="AM176" s="816"/>
    </row>
    <row r="177" spans="1:39" x14ac:dyDescent="0.25">
      <c r="A177" s="265">
        <v>43603</v>
      </c>
      <c r="B177">
        <v>6</v>
      </c>
      <c r="C177" s="816" t="s">
        <v>2</v>
      </c>
      <c r="D177">
        <v>533</v>
      </c>
      <c r="E177" s="816" t="s">
        <v>9538</v>
      </c>
      <c r="F177" s="816" t="s">
        <v>24</v>
      </c>
      <c r="G177" s="816" t="s">
        <v>9546</v>
      </c>
      <c r="H177">
        <v>30</v>
      </c>
      <c r="I177" s="816" t="s">
        <v>10</v>
      </c>
      <c r="J177" s="816" t="s">
        <v>10</v>
      </c>
      <c r="K177" s="817">
        <v>0.15824074074074074</v>
      </c>
      <c r="L177" s="817">
        <v>0.22490740740740742</v>
      </c>
      <c r="M177" s="817"/>
      <c r="N177" s="817"/>
      <c r="O177" s="817">
        <v>0.46938657407407408</v>
      </c>
      <c r="P177" s="817">
        <v>0.71386574074074083</v>
      </c>
      <c r="Q177" s="817"/>
      <c r="R177" s="816"/>
      <c r="S177" s="817"/>
      <c r="T177" s="817"/>
      <c r="U177" s="816" t="s">
        <v>9551</v>
      </c>
      <c r="V177" s="816" t="s">
        <v>9551</v>
      </c>
      <c r="W177" s="267"/>
      <c r="X177" s="816" t="s">
        <v>26</v>
      </c>
      <c r="Y177">
        <v>43.3</v>
      </c>
      <c r="Z177">
        <v>46.5</v>
      </c>
      <c r="AA177" s="816" t="s">
        <v>9572</v>
      </c>
      <c r="AB177" s="816" t="s">
        <v>9586</v>
      </c>
      <c r="AC177" s="816"/>
      <c r="AD177" s="816"/>
      <c r="AE177" s="816"/>
      <c r="AF177" s="816"/>
      <c r="AG177" s="816"/>
      <c r="AI177" s="816"/>
      <c r="AK177" s="816"/>
      <c r="AM177" s="816"/>
    </row>
    <row r="178" spans="1:39" x14ac:dyDescent="0.25">
      <c r="A178" s="265">
        <v>43604</v>
      </c>
      <c r="B178">
        <v>0</v>
      </c>
      <c r="C178" s="816" t="s">
        <v>3</v>
      </c>
      <c r="D178">
        <v>533</v>
      </c>
      <c r="E178" s="816" t="s">
        <v>9539</v>
      </c>
      <c r="F178" s="816" t="s">
        <v>25</v>
      </c>
      <c r="G178" s="816" t="s">
        <v>9547</v>
      </c>
      <c r="H178">
        <v>1</v>
      </c>
      <c r="I178" s="816" t="s">
        <v>11</v>
      </c>
      <c r="J178" s="816" t="s">
        <v>11</v>
      </c>
      <c r="K178" s="817">
        <v>0.15835648148148149</v>
      </c>
      <c r="L178" s="817">
        <v>0.22502314814814817</v>
      </c>
      <c r="M178" s="817"/>
      <c r="N178" s="817"/>
      <c r="O178" s="817">
        <v>0.46942129629629631</v>
      </c>
      <c r="P178" s="817">
        <v>0.71380787037037041</v>
      </c>
      <c r="Q178" s="817"/>
      <c r="R178" s="816"/>
      <c r="S178" s="817"/>
      <c r="T178" s="817"/>
      <c r="U178" s="816" t="s">
        <v>9551</v>
      </c>
      <c r="V178" s="816" t="s">
        <v>9551</v>
      </c>
      <c r="W178" s="267"/>
      <c r="X178" s="816" t="s">
        <v>26</v>
      </c>
      <c r="Y178">
        <v>48.9</v>
      </c>
      <c r="Z178">
        <v>48.8</v>
      </c>
      <c r="AA178" s="816" t="s">
        <v>9573</v>
      </c>
      <c r="AB178" s="816" t="s">
        <v>9587</v>
      </c>
      <c r="AC178" s="816"/>
      <c r="AD178" s="816"/>
      <c r="AE178" s="816"/>
      <c r="AF178" s="816"/>
      <c r="AG178" s="816"/>
      <c r="AI178" s="816"/>
      <c r="AK178" s="816"/>
      <c r="AM178" s="816"/>
    </row>
    <row r="179" spans="1:39" x14ac:dyDescent="0.25">
      <c r="A179" s="265">
        <v>43605</v>
      </c>
      <c r="B179">
        <v>1</v>
      </c>
      <c r="C179" s="816" t="s">
        <v>4</v>
      </c>
      <c r="D179">
        <v>533</v>
      </c>
      <c r="E179" s="816" t="s">
        <v>9539</v>
      </c>
      <c r="F179" s="816" t="s">
        <v>25</v>
      </c>
      <c r="G179" s="816" t="s">
        <v>9547</v>
      </c>
      <c r="H179">
        <v>2</v>
      </c>
      <c r="I179" s="816" t="s">
        <v>12</v>
      </c>
      <c r="J179" s="816" t="s">
        <v>12</v>
      </c>
      <c r="K179" s="817">
        <v>0.1584837962962963</v>
      </c>
      <c r="L179" s="817">
        <v>0.22515046296296296</v>
      </c>
      <c r="M179" s="817"/>
      <c r="N179" s="817"/>
      <c r="O179" s="817">
        <v>0.46945601851851854</v>
      </c>
      <c r="P179" s="817">
        <v>0.71375</v>
      </c>
      <c r="Q179" s="817"/>
      <c r="R179" s="816"/>
      <c r="S179" s="817"/>
      <c r="T179" s="817"/>
      <c r="U179" s="816" t="s">
        <v>9551</v>
      </c>
      <c r="V179" s="816" t="s">
        <v>9551</v>
      </c>
      <c r="W179" s="267"/>
      <c r="X179" s="816" t="s">
        <v>26</v>
      </c>
      <c r="Y179">
        <v>51.8</v>
      </c>
      <c r="Z179">
        <v>48.6</v>
      </c>
      <c r="AA179" s="816" t="s">
        <v>9574</v>
      </c>
      <c r="AB179" s="816" t="s">
        <v>9588</v>
      </c>
      <c r="AC179" s="816"/>
      <c r="AD179" s="816"/>
      <c r="AE179" s="816"/>
      <c r="AF179" s="816"/>
      <c r="AG179" s="816"/>
      <c r="AI179" s="816"/>
      <c r="AK179" s="816"/>
      <c r="AM179" s="816"/>
    </row>
    <row r="180" spans="1:39" x14ac:dyDescent="0.25">
      <c r="A180" s="265">
        <v>43606</v>
      </c>
      <c r="B180">
        <v>2</v>
      </c>
      <c r="C180" s="816" t="s">
        <v>5</v>
      </c>
      <c r="D180">
        <v>533</v>
      </c>
      <c r="E180" s="816" t="s">
        <v>9539</v>
      </c>
      <c r="F180" s="816" t="s">
        <v>25</v>
      </c>
      <c r="G180" s="816" t="s">
        <v>9547</v>
      </c>
      <c r="H180">
        <v>3</v>
      </c>
      <c r="I180" s="816" t="s">
        <v>23</v>
      </c>
      <c r="J180" s="816" t="s">
        <v>23</v>
      </c>
      <c r="K180" s="817">
        <v>0.15862268518518519</v>
      </c>
      <c r="L180" s="817">
        <v>0.22528935185185184</v>
      </c>
      <c r="M180" s="817"/>
      <c r="N180" s="817"/>
      <c r="O180" s="817">
        <v>0.4695023148148148</v>
      </c>
      <c r="P180" s="817">
        <v>0.71371527777777777</v>
      </c>
      <c r="Q180" s="817"/>
      <c r="R180" s="816"/>
      <c r="S180" s="817"/>
      <c r="T180" s="817"/>
      <c r="U180" s="816" t="s">
        <v>9551</v>
      </c>
      <c r="V180" s="816" t="s">
        <v>9551</v>
      </c>
      <c r="W180" s="267"/>
      <c r="X180" s="816" t="s">
        <v>26</v>
      </c>
      <c r="Y180">
        <v>51.8</v>
      </c>
      <c r="Z180">
        <v>45.9</v>
      </c>
      <c r="AA180" s="816" t="s">
        <v>9575</v>
      </c>
      <c r="AB180" s="816" t="s">
        <v>9589</v>
      </c>
      <c r="AC180" s="816"/>
      <c r="AD180" s="816"/>
      <c r="AE180" s="816"/>
      <c r="AF180" s="816"/>
      <c r="AG180" s="816"/>
      <c r="AI180" s="816"/>
      <c r="AK180" s="816"/>
      <c r="AM180" s="816"/>
    </row>
    <row r="181" spans="1:39" x14ac:dyDescent="0.25">
      <c r="A181" s="265">
        <v>43607</v>
      </c>
      <c r="B181">
        <v>3</v>
      </c>
      <c r="C181" s="816" t="s">
        <v>6</v>
      </c>
      <c r="D181">
        <v>533</v>
      </c>
      <c r="E181" s="816" t="s">
        <v>9539</v>
      </c>
      <c r="F181" s="816" t="s">
        <v>25</v>
      </c>
      <c r="G181" s="816" t="s">
        <v>9547</v>
      </c>
      <c r="H181">
        <v>4</v>
      </c>
      <c r="I181" s="816" t="s">
        <v>13</v>
      </c>
      <c r="J181" s="816" t="s">
        <v>13</v>
      </c>
      <c r="K181" s="817">
        <v>0.15875</v>
      </c>
      <c r="L181" s="817">
        <v>0.22541666666666668</v>
      </c>
      <c r="M181" s="817"/>
      <c r="N181" s="817"/>
      <c r="O181" s="817">
        <v>0.46954861111111112</v>
      </c>
      <c r="P181" s="817">
        <v>0.71368055555555554</v>
      </c>
      <c r="Q181" s="817"/>
      <c r="R181" s="816"/>
      <c r="S181" s="817"/>
      <c r="T181" s="817"/>
      <c r="U181" s="816" t="s">
        <v>9551</v>
      </c>
      <c r="V181" s="816" t="s">
        <v>9551</v>
      </c>
      <c r="W181" s="267"/>
      <c r="X181" s="816" t="s">
        <v>26</v>
      </c>
      <c r="Y181">
        <v>49.1</v>
      </c>
      <c r="Z181">
        <v>40.700000000000003</v>
      </c>
      <c r="AA181" s="816" t="s">
        <v>9576</v>
      </c>
      <c r="AB181" s="816" t="s">
        <v>9590</v>
      </c>
      <c r="AC181" s="816"/>
      <c r="AD181" s="816"/>
      <c r="AE181" s="816"/>
      <c r="AF181" s="816"/>
      <c r="AG181" s="816"/>
      <c r="AI181" s="816"/>
      <c r="AK181" s="816"/>
      <c r="AM181" s="816"/>
    </row>
    <row r="182" spans="1:39" x14ac:dyDescent="0.25">
      <c r="A182" s="265">
        <v>43608</v>
      </c>
      <c r="B182">
        <v>4</v>
      </c>
      <c r="C182" s="816" t="s">
        <v>7</v>
      </c>
      <c r="D182">
        <v>533</v>
      </c>
      <c r="E182" s="816" t="s">
        <v>9539</v>
      </c>
      <c r="F182" s="816" t="s">
        <v>25</v>
      </c>
      <c r="G182" s="816" t="s">
        <v>9547</v>
      </c>
      <c r="H182">
        <v>5</v>
      </c>
      <c r="I182" s="816" t="s">
        <v>14</v>
      </c>
      <c r="J182" s="816" t="s">
        <v>14</v>
      </c>
      <c r="K182" s="817">
        <v>0.15888888888888889</v>
      </c>
      <c r="L182" s="817">
        <v>0.22555555555555554</v>
      </c>
      <c r="M182" s="817"/>
      <c r="N182" s="817"/>
      <c r="O182" s="817">
        <v>0.46960648148148149</v>
      </c>
      <c r="P182" s="817">
        <v>0.71364583333333342</v>
      </c>
      <c r="Q182" s="817"/>
      <c r="R182" s="816"/>
      <c r="S182" s="817"/>
      <c r="T182" s="817"/>
      <c r="U182" s="816" t="s">
        <v>9551</v>
      </c>
      <c r="V182" s="816" t="s">
        <v>9551</v>
      </c>
      <c r="W182" s="267"/>
      <c r="X182" s="816" t="s">
        <v>26</v>
      </c>
      <c r="Y182">
        <v>44</v>
      </c>
      <c r="Z182">
        <v>33.200000000000003</v>
      </c>
      <c r="AA182" s="816" t="s">
        <v>9577</v>
      </c>
      <c r="AB182" s="816" t="s">
        <v>9591</v>
      </c>
      <c r="AC182" s="816"/>
      <c r="AD182" s="816"/>
      <c r="AE182" s="816"/>
      <c r="AF182" s="816"/>
      <c r="AG182" s="816"/>
      <c r="AI182" s="816"/>
      <c r="AK182" s="816"/>
      <c r="AM182" s="816"/>
    </row>
    <row r="183" spans="1:39" x14ac:dyDescent="0.25">
      <c r="A183" s="265">
        <v>43609</v>
      </c>
      <c r="B183">
        <v>5</v>
      </c>
      <c r="C183" s="816" t="s">
        <v>1</v>
      </c>
      <c r="D183">
        <v>533</v>
      </c>
      <c r="E183" s="816" t="s">
        <v>9539</v>
      </c>
      <c r="F183" s="816" t="s">
        <v>25</v>
      </c>
      <c r="G183" s="816" t="s">
        <v>9547</v>
      </c>
      <c r="H183">
        <v>6</v>
      </c>
      <c r="I183" s="816" t="s">
        <v>15</v>
      </c>
      <c r="J183" s="816" t="s">
        <v>15</v>
      </c>
      <c r="K183" s="817">
        <v>0.15902777777777777</v>
      </c>
      <c r="L183" s="817">
        <v>0.22569444444444445</v>
      </c>
      <c r="M183" s="817"/>
      <c r="N183" s="817"/>
      <c r="O183" s="817">
        <v>0.4696643518518519</v>
      </c>
      <c r="P183" s="817">
        <v>0.71363425925925927</v>
      </c>
      <c r="Q183" s="817"/>
      <c r="R183" s="816"/>
      <c r="S183" s="817"/>
      <c r="T183" s="817"/>
      <c r="U183" s="816" t="s">
        <v>9551</v>
      </c>
      <c r="V183" s="816" t="s">
        <v>9551</v>
      </c>
      <c r="W183" s="267"/>
      <c r="X183" s="816" t="s">
        <v>26</v>
      </c>
      <c r="Y183">
        <v>36.799999999999997</v>
      </c>
      <c r="Z183">
        <v>24</v>
      </c>
      <c r="AA183" s="816" t="s">
        <v>9552</v>
      </c>
      <c r="AB183" s="816" t="s">
        <v>9605</v>
      </c>
      <c r="AC183" s="816"/>
      <c r="AD183" s="816"/>
      <c r="AE183" s="816"/>
      <c r="AF183" s="816"/>
      <c r="AG183" s="816"/>
      <c r="AI183" s="816"/>
      <c r="AK183" s="816"/>
      <c r="AM183" s="816"/>
    </row>
    <row r="184" spans="1:39" x14ac:dyDescent="0.25">
      <c r="A184" s="265">
        <v>43610</v>
      </c>
      <c r="B184">
        <v>6</v>
      </c>
      <c r="C184" s="816" t="s">
        <v>2</v>
      </c>
      <c r="D184">
        <v>533</v>
      </c>
      <c r="E184" s="816" t="s">
        <v>9539</v>
      </c>
      <c r="F184" s="816" t="s">
        <v>25</v>
      </c>
      <c r="G184" s="816" t="s">
        <v>9547</v>
      </c>
      <c r="H184">
        <v>7</v>
      </c>
      <c r="I184" s="816" t="s">
        <v>16</v>
      </c>
      <c r="J184" s="816" t="s">
        <v>16</v>
      </c>
      <c r="K184" s="817">
        <v>0.15917824074074075</v>
      </c>
      <c r="L184" s="817">
        <v>0.2258449074074074</v>
      </c>
      <c r="M184" s="817"/>
      <c r="N184" s="817"/>
      <c r="O184" s="817">
        <v>0.46973379629629625</v>
      </c>
      <c r="P184" s="817">
        <v>0.71362268518518512</v>
      </c>
      <c r="Q184" s="817"/>
      <c r="R184" s="816"/>
      <c r="S184" s="817"/>
      <c r="T184" s="817"/>
      <c r="U184" s="816" t="s">
        <v>9551</v>
      </c>
      <c r="V184" s="816" t="s">
        <v>9551</v>
      </c>
      <c r="W184" s="267"/>
      <c r="X184" s="816" t="s">
        <v>26</v>
      </c>
      <c r="Y184">
        <v>28.3</v>
      </c>
      <c r="Z184">
        <v>13.6</v>
      </c>
      <c r="AA184" s="816" t="s">
        <v>9553</v>
      </c>
      <c r="AB184" s="816" t="s">
        <v>9592</v>
      </c>
      <c r="AC184" s="816"/>
      <c r="AD184" s="816"/>
      <c r="AE184" s="816"/>
      <c r="AF184" s="816"/>
      <c r="AG184" s="816"/>
      <c r="AI184" s="816"/>
      <c r="AK184" s="816"/>
      <c r="AM184" s="816"/>
    </row>
    <row r="185" spans="1:39" x14ac:dyDescent="0.25">
      <c r="A185" s="265">
        <v>43611</v>
      </c>
      <c r="B185">
        <v>0</v>
      </c>
      <c r="C185" s="816" t="s">
        <v>3</v>
      </c>
      <c r="D185">
        <v>533</v>
      </c>
      <c r="E185" s="816" t="s">
        <v>9539</v>
      </c>
      <c r="F185" s="816" t="s">
        <v>25</v>
      </c>
      <c r="G185" s="816" t="s">
        <v>9547</v>
      </c>
      <c r="H185">
        <v>8</v>
      </c>
      <c r="I185" s="816" t="s">
        <v>17</v>
      </c>
      <c r="J185" s="816" t="s">
        <v>17</v>
      </c>
      <c r="K185" s="817">
        <v>0.15932870370370369</v>
      </c>
      <c r="L185" s="817">
        <v>0.22599537037037035</v>
      </c>
      <c r="M185" s="817"/>
      <c r="N185" s="817"/>
      <c r="O185" s="817">
        <v>0.4698032407407407</v>
      </c>
      <c r="P185" s="817">
        <v>0.71362268518518512</v>
      </c>
      <c r="Q185" s="817"/>
      <c r="R185" s="816"/>
      <c r="S185" s="817"/>
      <c r="T185" s="817"/>
      <c r="U185" s="816" t="s">
        <v>9551</v>
      </c>
      <c r="V185" s="816" t="s">
        <v>9551</v>
      </c>
      <c r="W185" s="267"/>
      <c r="X185" s="816" t="s">
        <v>26</v>
      </c>
      <c r="Y185">
        <v>19.100000000000001</v>
      </c>
      <c r="Z185">
        <v>2.5</v>
      </c>
      <c r="AA185" s="816" t="s">
        <v>9554</v>
      </c>
      <c r="AB185" s="816" t="s">
        <v>9593</v>
      </c>
      <c r="AC185" s="816"/>
      <c r="AD185" s="816"/>
      <c r="AE185" s="816"/>
      <c r="AF185" s="816"/>
      <c r="AG185" s="816"/>
      <c r="AI185" s="816"/>
      <c r="AK185" s="816"/>
      <c r="AM185" s="816"/>
    </row>
    <row r="186" spans="1:39" x14ac:dyDescent="0.25">
      <c r="A186" s="265">
        <v>43612</v>
      </c>
      <c r="B186">
        <v>1</v>
      </c>
      <c r="C186" s="816" t="s">
        <v>4</v>
      </c>
      <c r="D186">
        <v>533</v>
      </c>
      <c r="E186" s="816" t="s">
        <v>9539</v>
      </c>
      <c r="F186" s="816" t="s">
        <v>25</v>
      </c>
      <c r="G186" s="816" t="s">
        <v>9547</v>
      </c>
      <c r="H186">
        <v>9</v>
      </c>
      <c r="I186" s="816" t="s">
        <v>18</v>
      </c>
      <c r="J186" s="816" t="s">
        <v>18</v>
      </c>
      <c r="K186" s="817">
        <v>0.15947916666666667</v>
      </c>
      <c r="L186" s="817">
        <v>0.22614583333333335</v>
      </c>
      <c r="M186" s="817"/>
      <c r="N186" s="817"/>
      <c r="O186" s="817">
        <v>0.46988425925925931</v>
      </c>
      <c r="P186" s="817">
        <v>0.71362268518518512</v>
      </c>
      <c r="Q186" s="817"/>
      <c r="R186" s="816"/>
      <c r="S186" s="817"/>
      <c r="T186" s="817"/>
      <c r="U186" s="816" t="s">
        <v>9551</v>
      </c>
      <c r="V186" s="816" t="s">
        <v>9551</v>
      </c>
      <c r="W186" s="267"/>
      <c r="X186" s="816" t="s">
        <v>26</v>
      </c>
      <c r="Y186">
        <v>9.9</v>
      </c>
      <c r="Z186">
        <v>91.4</v>
      </c>
      <c r="AA186" s="816" t="s">
        <v>9554</v>
      </c>
      <c r="AB186" s="816" t="s">
        <v>9594</v>
      </c>
      <c r="AC186" s="816"/>
      <c r="AD186" s="816"/>
      <c r="AE186" s="816"/>
      <c r="AF186" s="816"/>
      <c r="AG186" s="816"/>
      <c r="AI186" s="816"/>
      <c r="AK186" s="816"/>
      <c r="AM186" s="816"/>
    </row>
    <row r="187" spans="1:39" x14ac:dyDescent="0.25">
      <c r="A187" s="265">
        <v>43613</v>
      </c>
      <c r="B187">
        <v>2</v>
      </c>
      <c r="C187" s="816" t="s">
        <v>5</v>
      </c>
      <c r="D187">
        <v>533</v>
      </c>
      <c r="E187" s="816" t="s">
        <v>9539</v>
      </c>
      <c r="F187" s="816" t="s">
        <v>25</v>
      </c>
      <c r="G187" s="816" t="s">
        <v>9547</v>
      </c>
      <c r="H187">
        <v>10</v>
      </c>
      <c r="I187" s="816" t="s">
        <v>19</v>
      </c>
      <c r="J187" s="816" t="s">
        <v>18</v>
      </c>
      <c r="K187" s="817">
        <v>0.15962962962962965</v>
      </c>
      <c r="L187" s="817">
        <v>0.2262962962962963</v>
      </c>
      <c r="M187" s="817"/>
      <c r="N187" s="817"/>
      <c r="O187" s="817">
        <v>0.4699652777777778</v>
      </c>
      <c r="P187" s="817">
        <v>0.71364583333333342</v>
      </c>
      <c r="Q187" s="817"/>
      <c r="R187" s="816"/>
      <c r="S187" s="817"/>
      <c r="T187" s="817"/>
      <c r="U187" s="816" t="s">
        <v>9551</v>
      </c>
      <c r="V187" s="816" t="s">
        <v>9551</v>
      </c>
      <c r="W187" s="267"/>
      <c r="X187" s="816" t="s">
        <v>26</v>
      </c>
      <c r="Y187">
        <v>1.5</v>
      </c>
      <c r="Z187">
        <v>81</v>
      </c>
      <c r="AA187" s="816" t="s">
        <v>9555</v>
      </c>
      <c r="AB187" s="816" t="s">
        <v>9595</v>
      </c>
      <c r="AC187" s="816"/>
      <c r="AD187" s="816"/>
      <c r="AE187" s="816"/>
      <c r="AF187" s="816"/>
      <c r="AG187" s="816"/>
      <c r="AI187" s="816"/>
      <c r="AK187" s="816"/>
      <c r="AM187" s="816"/>
    </row>
    <row r="188" spans="1:39" x14ac:dyDescent="0.25">
      <c r="A188" s="265">
        <v>43614</v>
      </c>
      <c r="B188">
        <v>3</v>
      </c>
      <c r="C188" s="816" t="s">
        <v>6</v>
      </c>
      <c r="D188">
        <v>533</v>
      </c>
      <c r="E188" s="816" t="s">
        <v>9539</v>
      </c>
      <c r="F188" s="816" t="s">
        <v>25</v>
      </c>
      <c r="G188" s="816" t="s">
        <v>9547</v>
      </c>
      <c r="H188">
        <v>10</v>
      </c>
      <c r="I188" s="816" t="s">
        <v>19</v>
      </c>
      <c r="J188" s="816" t="s">
        <v>19</v>
      </c>
      <c r="K188" s="817">
        <v>0.15979166666666667</v>
      </c>
      <c r="L188" s="817">
        <v>0.22645833333333332</v>
      </c>
      <c r="M188" s="817"/>
      <c r="N188" s="817"/>
      <c r="O188" s="817">
        <v>0.47005787037037039</v>
      </c>
      <c r="P188" s="817">
        <v>0.71365740740740735</v>
      </c>
      <c r="Q188" s="817"/>
      <c r="R188" s="816"/>
      <c r="S188" s="817"/>
      <c r="T188" s="817"/>
      <c r="U188" s="816" t="s">
        <v>9551</v>
      </c>
      <c r="V188" s="816" t="s">
        <v>9551</v>
      </c>
      <c r="W188" s="267"/>
      <c r="X188" s="816" t="s">
        <v>27</v>
      </c>
      <c r="Y188">
        <v>94.3</v>
      </c>
      <c r="Z188">
        <v>71.8</v>
      </c>
      <c r="AA188" s="816" t="s">
        <v>9556</v>
      </c>
      <c r="AB188" s="816" t="s">
        <v>9595</v>
      </c>
      <c r="AC188" s="816"/>
      <c r="AD188" s="816"/>
      <c r="AE188" s="816"/>
      <c r="AF188" s="816"/>
      <c r="AG188" s="816"/>
      <c r="AI188" s="816"/>
      <c r="AK188" s="816"/>
      <c r="AM188" s="816"/>
    </row>
    <row r="189" spans="1:39" x14ac:dyDescent="0.25">
      <c r="A189" s="265">
        <v>43615</v>
      </c>
      <c r="B189">
        <v>4</v>
      </c>
      <c r="C189" s="816" t="s">
        <v>7</v>
      </c>
      <c r="D189">
        <v>533</v>
      </c>
      <c r="E189" s="816" t="s">
        <v>9539</v>
      </c>
      <c r="F189" s="816" t="s">
        <v>25</v>
      </c>
      <c r="G189" s="816" t="s">
        <v>9547</v>
      </c>
      <c r="H189">
        <v>11</v>
      </c>
      <c r="I189" s="816" t="s">
        <v>9548</v>
      </c>
      <c r="J189" s="816" t="s">
        <v>20</v>
      </c>
      <c r="K189" s="817">
        <v>0.15995370370370371</v>
      </c>
      <c r="L189" s="817">
        <v>0.22662037037037039</v>
      </c>
      <c r="M189" s="817"/>
      <c r="N189" s="817"/>
      <c r="O189" s="817">
        <v>0.47015046296296298</v>
      </c>
      <c r="P189" s="817">
        <v>0.71369212962962969</v>
      </c>
      <c r="Q189" s="817"/>
      <c r="R189" s="816"/>
      <c r="S189" s="817"/>
      <c r="T189" s="817"/>
      <c r="U189" s="816" t="s">
        <v>9551</v>
      </c>
      <c r="V189" s="816" t="s">
        <v>9551</v>
      </c>
      <c r="W189" s="267"/>
      <c r="X189" s="816" t="s">
        <v>26</v>
      </c>
      <c r="Y189">
        <v>89.1</v>
      </c>
      <c r="Z189">
        <v>64.3</v>
      </c>
      <c r="AA189" s="816" t="s">
        <v>9557</v>
      </c>
      <c r="AB189" s="816" t="s">
        <v>9596</v>
      </c>
      <c r="AC189" s="816"/>
      <c r="AD189" s="816"/>
      <c r="AE189" s="816"/>
      <c r="AF189" s="816" t="s">
        <v>72</v>
      </c>
      <c r="AG189" s="816" t="s">
        <v>44</v>
      </c>
      <c r="AH189">
        <v>-1</v>
      </c>
      <c r="AI189" s="816"/>
      <c r="AK189" s="816"/>
      <c r="AM189" s="816"/>
    </row>
    <row r="190" spans="1:39" x14ac:dyDescent="0.25">
      <c r="A190" s="265">
        <v>43616</v>
      </c>
      <c r="B190">
        <v>5</v>
      </c>
      <c r="C190" s="816" t="s">
        <v>1</v>
      </c>
      <c r="D190">
        <v>533</v>
      </c>
      <c r="E190" s="816" t="s">
        <v>9539</v>
      </c>
      <c r="F190" s="816" t="s">
        <v>25</v>
      </c>
      <c r="G190" s="816" t="s">
        <v>9547</v>
      </c>
      <c r="H190">
        <v>12</v>
      </c>
      <c r="I190" s="816" t="s">
        <v>21</v>
      </c>
      <c r="J190" s="816" t="s">
        <v>21</v>
      </c>
      <c r="K190" s="817">
        <v>0.16011574074074075</v>
      </c>
      <c r="L190" s="817">
        <v>0.2267824074074074</v>
      </c>
      <c r="M190" s="817">
        <v>0.22638888888888889</v>
      </c>
      <c r="N190" s="817">
        <v>0.3666666666666667</v>
      </c>
      <c r="O190" s="817">
        <v>0.47025462962962966</v>
      </c>
      <c r="P190" s="817">
        <v>0.71372685185185192</v>
      </c>
      <c r="Q190" s="817"/>
      <c r="R190" s="816"/>
      <c r="S190" s="817"/>
      <c r="T190" s="817"/>
      <c r="U190" s="816" t="s">
        <v>9551</v>
      </c>
      <c r="V190" s="816" t="s">
        <v>9551</v>
      </c>
      <c r="W190" s="267"/>
      <c r="X190" s="816" t="s">
        <v>26</v>
      </c>
      <c r="Y190">
        <v>86.2</v>
      </c>
      <c r="Z190">
        <v>58.8</v>
      </c>
      <c r="AA190" s="816" t="s">
        <v>9558</v>
      </c>
      <c r="AB190" s="816" t="s">
        <v>9598</v>
      </c>
      <c r="AC190" s="816"/>
      <c r="AD190" s="816"/>
      <c r="AE190" s="816"/>
      <c r="AF190" s="816"/>
      <c r="AG190" s="816"/>
      <c r="AI190" s="816"/>
      <c r="AK190" s="816"/>
      <c r="AM190" s="816"/>
    </row>
    <row r="191" spans="1:39" x14ac:dyDescent="0.25">
      <c r="A191" s="265">
        <v>43617</v>
      </c>
      <c r="B191">
        <v>6</v>
      </c>
      <c r="C191" s="816" t="s">
        <v>2</v>
      </c>
      <c r="D191">
        <v>533</v>
      </c>
      <c r="E191" s="816" t="s">
        <v>9539</v>
      </c>
      <c r="F191" s="816" t="s">
        <v>25</v>
      </c>
      <c r="G191" s="816" t="s">
        <v>9547</v>
      </c>
      <c r="H191">
        <v>13</v>
      </c>
      <c r="I191" s="816" t="s">
        <v>8</v>
      </c>
      <c r="J191" s="816" t="s">
        <v>8</v>
      </c>
      <c r="K191" s="817">
        <v>0.16027777777777777</v>
      </c>
      <c r="L191" s="817">
        <v>0.22694444444444442</v>
      </c>
      <c r="M191" s="817"/>
      <c r="N191" s="817"/>
      <c r="O191" s="817">
        <v>0.47035879629629629</v>
      </c>
      <c r="P191" s="817">
        <v>0.71377314814814818</v>
      </c>
      <c r="Q191" s="817"/>
      <c r="R191" s="816"/>
      <c r="S191" s="817"/>
      <c r="T191" s="817"/>
      <c r="U191" s="816" t="s">
        <v>9551</v>
      </c>
      <c r="V191" s="816" t="s">
        <v>9551</v>
      </c>
      <c r="W191" s="267"/>
      <c r="X191" s="816" t="s">
        <v>26</v>
      </c>
      <c r="Y191">
        <v>85.8</v>
      </c>
      <c r="Z191">
        <v>55.7</v>
      </c>
      <c r="AA191" s="816" t="s">
        <v>9578</v>
      </c>
      <c r="AB191" s="816" t="s">
        <v>9599</v>
      </c>
      <c r="AC191" s="816"/>
      <c r="AD191" s="816"/>
      <c r="AE191" s="816"/>
      <c r="AF191" s="816"/>
      <c r="AG191" s="816"/>
      <c r="AI191" s="816"/>
      <c r="AK191" s="816"/>
      <c r="AM191" s="816"/>
    </row>
    <row r="192" spans="1:39" x14ac:dyDescent="0.25">
      <c r="A192" s="265">
        <v>43618</v>
      </c>
      <c r="B192">
        <v>0</v>
      </c>
      <c r="C192" s="816" t="s">
        <v>3</v>
      </c>
      <c r="D192">
        <v>533</v>
      </c>
      <c r="E192" s="816" t="s">
        <v>9539</v>
      </c>
      <c r="F192" s="816" t="s">
        <v>25</v>
      </c>
      <c r="G192" s="816" t="s">
        <v>9547</v>
      </c>
      <c r="H192">
        <v>14</v>
      </c>
      <c r="I192" s="816" t="s">
        <v>9</v>
      </c>
      <c r="J192" s="816" t="s">
        <v>9</v>
      </c>
      <c r="K192" s="817">
        <v>0.16043981481481481</v>
      </c>
      <c r="L192" s="817">
        <v>0.22710648148148149</v>
      </c>
      <c r="M192" s="817"/>
      <c r="N192" s="817"/>
      <c r="O192" s="817">
        <v>0.47046296296296292</v>
      </c>
      <c r="P192" s="817">
        <v>0.71383101851851849</v>
      </c>
      <c r="Q192" s="817"/>
      <c r="R192" s="816"/>
      <c r="S192" s="817"/>
      <c r="T192" s="817"/>
      <c r="U192" s="816" t="s">
        <v>9551</v>
      </c>
      <c r="V192" s="816" t="s">
        <v>9551</v>
      </c>
      <c r="W192" s="267"/>
      <c r="X192" s="816" t="s">
        <v>26</v>
      </c>
      <c r="Y192">
        <v>88.1</v>
      </c>
      <c r="Z192">
        <v>55</v>
      </c>
      <c r="AA192" s="816" t="s">
        <v>9559</v>
      </c>
      <c r="AB192" s="816" t="s">
        <v>9600</v>
      </c>
      <c r="AC192" s="816"/>
      <c r="AD192" s="816"/>
      <c r="AE192" s="816"/>
      <c r="AF192" s="816"/>
      <c r="AG192" s="816"/>
      <c r="AI192" s="816"/>
      <c r="AK192" s="816"/>
      <c r="AM192" s="816"/>
    </row>
    <row r="193" spans="1:39" x14ac:dyDescent="0.25">
      <c r="A193" s="265">
        <v>43619</v>
      </c>
      <c r="B193">
        <v>1</v>
      </c>
      <c r="C193" s="816" t="s">
        <v>4</v>
      </c>
      <c r="D193">
        <v>533</v>
      </c>
      <c r="E193" s="816" t="s">
        <v>9539</v>
      </c>
      <c r="F193" s="816" t="s">
        <v>25</v>
      </c>
      <c r="G193" s="816" t="s">
        <v>9547</v>
      </c>
      <c r="H193">
        <v>15</v>
      </c>
      <c r="I193" s="816" t="s">
        <v>22</v>
      </c>
      <c r="J193" s="816" t="s">
        <v>22</v>
      </c>
      <c r="K193" s="817">
        <v>0.16061342592592592</v>
      </c>
      <c r="L193" s="817">
        <v>0.2272800925925926</v>
      </c>
      <c r="M193" s="817"/>
      <c r="N193" s="817"/>
      <c r="O193" s="817">
        <v>0.47057870370370369</v>
      </c>
      <c r="P193" s="817">
        <v>0.71388888888888891</v>
      </c>
      <c r="Q193" s="817"/>
      <c r="R193" s="816"/>
      <c r="S193" s="817"/>
      <c r="T193" s="817"/>
      <c r="U193" s="816" t="s">
        <v>9551</v>
      </c>
      <c r="V193" s="816" t="s">
        <v>9551</v>
      </c>
      <c r="W193" s="267"/>
      <c r="X193" s="816" t="s">
        <v>26</v>
      </c>
      <c r="Y193">
        <v>92.9</v>
      </c>
      <c r="Z193">
        <v>56.5</v>
      </c>
      <c r="AA193" s="816" t="s">
        <v>9560</v>
      </c>
      <c r="AB193" s="816" t="s">
        <v>9601</v>
      </c>
      <c r="AC193" s="816"/>
      <c r="AD193" s="816"/>
      <c r="AE193" s="816"/>
      <c r="AF193" s="816"/>
      <c r="AG193" s="816"/>
      <c r="AI193" s="816"/>
      <c r="AK193" s="816"/>
      <c r="AM193" s="816"/>
    </row>
    <row r="194" spans="1:39" x14ac:dyDescent="0.25">
      <c r="A194" s="265">
        <v>43620</v>
      </c>
      <c r="B194">
        <v>2</v>
      </c>
      <c r="C194" s="816" t="s">
        <v>5</v>
      </c>
      <c r="D194">
        <v>533</v>
      </c>
      <c r="E194" s="816" t="s">
        <v>9539</v>
      </c>
      <c r="F194" s="816" t="s">
        <v>24</v>
      </c>
      <c r="G194" s="816" t="s">
        <v>9546</v>
      </c>
      <c r="H194">
        <v>16</v>
      </c>
      <c r="I194" s="816" t="s">
        <v>11</v>
      </c>
      <c r="J194" s="816" t="s">
        <v>11</v>
      </c>
      <c r="K194" s="817">
        <v>0.16077546296296297</v>
      </c>
      <c r="L194" s="817">
        <v>0.22744212962962962</v>
      </c>
      <c r="M194" s="817"/>
      <c r="N194" s="817"/>
      <c r="O194" s="817">
        <v>0.47069444444444447</v>
      </c>
      <c r="P194" s="817">
        <v>0.71394675925925932</v>
      </c>
      <c r="Q194" s="817"/>
      <c r="R194" s="816"/>
      <c r="S194" s="817"/>
      <c r="T194" s="817"/>
      <c r="U194" s="816" t="s">
        <v>9551</v>
      </c>
      <c r="V194" s="816" t="s">
        <v>9551</v>
      </c>
      <c r="W194" s="267"/>
      <c r="X194" s="816" t="s">
        <v>26</v>
      </c>
      <c r="Y194">
        <v>99.9</v>
      </c>
      <c r="Z194">
        <v>59.9</v>
      </c>
      <c r="AA194" s="816" t="s">
        <v>9561</v>
      </c>
      <c r="AB194" s="816" t="s">
        <v>9602</v>
      </c>
      <c r="AC194" s="816"/>
      <c r="AD194" s="816"/>
      <c r="AE194" s="816"/>
      <c r="AF194" s="816"/>
      <c r="AG194" s="816"/>
      <c r="AI194" s="816"/>
      <c r="AK194" s="816"/>
      <c r="AM194" s="816"/>
    </row>
    <row r="195" spans="1:39" x14ac:dyDescent="0.25">
      <c r="A195" s="265">
        <v>43621</v>
      </c>
      <c r="B195">
        <v>3</v>
      </c>
      <c r="C195" s="816" t="s">
        <v>6</v>
      </c>
      <c r="D195">
        <v>533</v>
      </c>
      <c r="E195" s="816" t="s">
        <v>9539</v>
      </c>
      <c r="F195" s="816" t="s">
        <v>24</v>
      </c>
      <c r="G195" s="816" t="s">
        <v>9546</v>
      </c>
      <c r="H195">
        <v>18</v>
      </c>
      <c r="I195" s="816" t="s">
        <v>23</v>
      </c>
      <c r="J195" s="816" t="s">
        <v>23</v>
      </c>
      <c r="K195" s="817">
        <v>0.16094907407407408</v>
      </c>
      <c r="L195" s="817">
        <v>0.22761574074074076</v>
      </c>
      <c r="M195" s="817"/>
      <c r="N195" s="817"/>
      <c r="O195" s="817">
        <v>0.47082175925925923</v>
      </c>
      <c r="P195" s="817">
        <v>0.71402777777777782</v>
      </c>
      <c r="Q195" s="817"/>
      <c r="R195" s="816"/>
      <c r="S195" s="817">
        <v>0.22847222222222222</v>
      </c>
      <c r="T195" s="817">
        <v>0.14930555555555555</v>
      </c>
      <c r="U195" s="816" t="s">
        <v>9551</v>
      </c>
      <c r="V195" s="816" t="s">
        <v>9551</v>
      </c>
      <c r="W195" s="267"/>
      <c r="X195" s="816" t="s">
        <v>26</v>
      </c>
      <c r="Y195">
        <v>8.6</v>
      </c>
      <c r="Z195">
        <v>64.900000000000006</v>
      </c>
      <c r="AA195" s="816" t="s">
        <v>9562</v>
      </c>
      <c r="AB195" s="816" t="s">
        <v>9603</v>
      </c>
      <c r="AC195" s="816"/>
      <c r="AD195" s="816"/>
      <c r="AE195" s="816"/>
      <c r="AF195" s="816"/>
      <c r="AG195" s="816"/>
      <c r="AI195" s="816"/>
      <c r="AK195" s="816"/>
      <c r="AM195" s="816"/>
    </row>
    <row r="196" spans="1:39" x14ac:dyDescent="0.25">
      <c r="A196" s="265">
        <v>43622</v>
      </c>
      <c r="B196">
        <v>4</v>
      </c>
      <c r="C196" s="816" t="s">
        <v>7</v>
      </c>
      <c r="D196">
        <v>533</v>
      </c>
      <c r="E196" s="816" t="s">
        <v>9539</v>
      </c>
      <c r="F196" s="816" t="s">
        <v>24</v>
      </c>
      <c r="G196" s="816" t="s">
        <v>9546</v>
      </c>
      <c r="H196">
        <v>19</v>
      </c>
      <c r="I196" s="816" t="s">
        <v>13</v>
      </c>
      <c r="J196" s="816" t="s">
        <v>13</v>
      </c>
      <c r="K196" s="817">
        <v>0.16112268518518519</v>
      </c>
      <c r="L196" s="817">
        <v>0.22778935185185187</v>
      </c>
      <c r="M196" s="817"/>
      <c r="N196" s="817"/>
      <c r="O196" s="817">
        <v>0.47094907407407405</v>
      </c>
      <c r="P196" s="817">
        <v>0.71410879629629631</v>
      </c>
      <c r="Q196" s="817"/>
      <c r="R196" s="816"/>
      <c r="S196" s="817"/>
      <c r="T196" s="817"/>
      <c r="U196" s="816" t="s">
        <v>9551</v>
      </c>
      <c r="V196" s="816" t="s">
        <v>9551</v>
      </c>
      <c r="W196" s="267"/>
      <c r="X196" s="816" t="s">
        <v>26</v>
      </c>
      <c r="Y196">
        <v>18.5</v>
      </c>
      <c r="Z196">
        <v>71</v>
      </c>
      <c r="AA196" s="816" t="s">
        <v>9563</v>
      </c>
      <c r="AB196" s="816" t="s">
        <v>9579</v>
      </c>
      <c r="AC196" s="816"/>
      <c r="AD196" s="816"/>
      <c r="AE196" s="816"/>
      <c r="AF196" s="816"/>
      <c r="AG196" s="816"/>
      <c r="AI196" s="816"/>
      <c r="AK196" s="816"/>
      <c r="AM196" s="816"/>
    </row>
    <row r="197" spans="1:39" x14ac:dyDescent="0.25">
      <c r="A197" s="265">
        <v>43623</v>
      </c>
      <c r="B197">
        <v>5</v>
      </c>
      <c r="C197" s="816" t="s">
        <v>1</v>
      </c>
      <c r="D197">
        <v>533</v>
      </c>
      <c r="E197" s="816" t="s">
        <v>9539</v>
      </c>
      <c r="F197" s="816" t="s">
        <v>24</v>
      </c>
      <c r="G197" s="816" t="s">
        <v>9546</v>
      </c>
      <c r="H197">
        <v>20</v>
      </c>
      <c r="I197" s="816" t="s">
        <v>14</v>
      </c>
      <c r="J197" s="816" t="s">
        <v>14</v>
      </c>
      <c r="K197" s="817">
        <v>0.1612962962962963</v>
      </c>
      <c r="L197" s="817">
        <v>0.22796296296296295</v>
      </c>
      <c r="M197" s="817"/>
      <c r="N197" s="817"/>
      <c r="O197" s="817">
        <v>0.47107638888888892</v>
      </c>
      <c r="P197" s="817">
        <v>0.71418981481481481</v>
      </c>
      <c r="Q197" s="817"/>
      <c r="R197" s="816"/>
      <c r="S197" s="817"/>
      <c r="T197" s="817"/>
      <c r="U197" s="816" t="s">
        <v>9551</v>
      </c>
      <c r="V197" s="816" t="s">
        <v>9551</v>
      </c>
      <c r="W197" s="267"/>
      <c r="X197" s="816" t="s">
        <v>26</v>
      </c>
      <c r="Y197">
        <v>29.1</v>
      </c>
      <c r="Z197">
        <v>77.8</v>
      </c>
      <c r="AA197" s="816" t="s">
        <v>9564</v>
      </c>
      <c r="AB197" s="816" t="s">
        <v>9580</v>
      </c>
      <c r="AC197" s="816"/>
      <c r="AD197" s="816"/>
      <c r="AE197" s="816"/>
      <c r="AF197" s="816"/>
      <c r="AG197" s="816"/>
      <c r="AI197" s="816"/>
      <c r="AK197" s="816"/>
      <c r="AM197" s="816"/>
    </row>
    <row r="198" spans="1:39" x14ac:dyDescent="0.25">
      <c r="A198" s="265">
        <v>43624</v>
      </c>
      <c r="B198">
        <v>6</v>
      </c>
      <c r="C198" s="816" t="s">
        <v>2</v>
      </c>
      <c r="D198">
        <v>533</v>
      </c>
      <c r="E198" s="816" t="s">
        <v>9539</v>
      </c>
      <c r="F198" s="816" t="s">
        <v>24</v>
      </c>
      <c r="G198" s="816" t="s">
        <v>9546</v>
      </c>
      <c r="H198">
        <v>21</v>
      </c>
      <c r="I198" s="816" t="s">
        <v>15</v>
      </c>
      <c r="J198" s="816" t="s">
        <v>15</v>
      </c>
      <c r="K198" s="817">
        <v>0.16146990740740741</v>
      </c>
      <c r="L198" s="817">
        <v>0.22813657407407406</v>
      </c>
      <c r="M198" s="817"/>
      <c r="N198" s="817"/>
      <c r="O198" s="817">
        <v>0.47120370370370374</v>
      </c>
      <c r="P198" s="817">
        <v>0.71428240740740734</v>
      </c>
      <c r="Q198" s="817"/>
      <c r="R198" s="816"/>
      <c r="S198" s="817"/>
      <c r="T198" s="817"/>
      <c r="U198" s="816" t="s">
        <v>9551</v>
      </c>
      <c r="V198" s="816" t="s">
        <v>9551</v>
      </c>
      <c r="W198" s="267"/>
      <c r="X198" s="816" t="s">
        <v>26</v>
      </c>
      <c r="Y198">
        <v>40.1</v>
      </c>
      <c r="Z198">
        <v>84.8</v>
      </c>
      <c r="AA198" s="816" t="s">
        <v>9565</v>
      </c>
      <c r="AB198" s="816" t="s">
        <v>9581</v>
      </c>
      <c r="AC198" s="816"/>
      <c r="AD198" s="816"/>
      <c r="AE198" s="816"/>
      <c r="AF198" s="816"/>
      <c r="AG198" s="816"/>
      <c r="AI198" s="816"/>
      <c r="AK198" s="816"/>
      <c r="AM198" s="816"/>
    </row>
    <row r="199" spans="1:39" x14ac:dyDescent="0.25">
      <c r="A199" s="265">
        <v>43625</v>
      </c>
      <c r="B199">
        <v>0</v>
      </c>
      <c r="C199" s="816" t="s">
        <v>3</v>
      </c>
      <c r="D199">
        <v>533</v>
      </c>
      <c r="E199" s="816" t="s">
        <v>9539</v>
      </c>
      <c r="F199" s="816" t="s">
        <v>24</v>
      </c>
      <c r="G199" s="816" t="s">
        <v>9546</v>
      </c>
      <c r="H199">
        <v>22</v>
      </c>
      <c r="I199" s="816" t="s">
        <v>16</v>
      </c>
      <c r="J199" s="816" t="s">
        <v>16</v>
      </c>
      <c r="K199" s="817">
        <v>0.16163194444444443</v>
      </c>
      <c r="L199" s="817">
        <v>0.22829861111111113</v>
      </c>
      <c r="M199" s="817"/>
      <c r="N199" s="817"/>
      <c r="O199" s="817">
        <v>0.47134259259259265</v>
      </c>
      <c r="P199" s="817">
        <v>0.71437499999999998</v>
      </c>
      <c r="Q199" s="817"/>
      <c r="R199" s="816"/>
      <c r="S199" s="817"/>
      <c r="T199" s="817"/>
      <c r="U199" s="816" t="s">
        <v>9551</v>
      </c>
      <c r="V199" s="816" t="s">
        <v>9551</v>
      </c>
      <c r="W199" s="267"/>
      <c r="X199" s="816" t="s">
        <v>26</v>
      </c>
      <c r="Y199">
        <v>50.9</v>
      </c>
      <c r="Z199">
        <v>91.7</v>
      </c>
      <c r="AA199" s="816" t="s">
        <v>9566</v>
      </c>
      <c r="AB199" s="816" t="s">
        <v>9582</v>
      </c>
      <c r="AC199" s="816"/>
      <c r="AD199" s="816"/>
      <c r="AE199" s="816"/>
      <c r="AF199" s="816"/>
      <c r="AG199" s="816"/>
      <c r="AI199" s="816"/>
      <c r="AK199" s="816"/>
      <c r="AM199" s="816"/>
    </row>
    <row r="200" spans="1:39" x14ac:dyDescent="0.25">
      <c r="A200" s="265">
        <v>43626</v>
      </c>
      <c r="B200">
        <v>1</v>
      </c>
      <c r="C200" s="816" t="s">
        <v>4</v>
      </c>
      <c r="D200">
        <v>533</v>
      </c>
      <c r="E200" s="816" t="s">
        <v>9539</v>
      </c>
      <c r="F200" s="816" t="s">
        <v>24</v>
      </c>
      <c r="G200" s="816" t="s">
        <v>9546</v>
      </c>
      <c r="H200">
        <v>23</v>
      </c>
      <c r="I200" s="816" t="s">
        <v>17</v>
      </c>
      <c r="J200" s="816" t="s">
        <v>17</v>
      </c>
      <c r="K200" s="817">
        <v>0.16180555555555556</v>
      </c>
      <c r="L200" s="817">
        <v>0.22847222222222222</v>
      </c>
      <c r="M200" s="817"/>
      <c r="N200" s="817"/>
      <c r="O200" s="817">
        <v>0.47148148148148145</v>
      </c>
      <c r="P200" s="817">
        <v>0.71447916666666667</v>
      </c>
      <c r="Q200" s="817"/>
      <c r="R200" s="816"/>
      <c r="S200" s="817"/>
      <c r="T200" s="817"/>
      <c r="U200" s="816" t="s">
        <v>9551</v>
      </c>
      <c r="V200" s="816" t="s">
        <v>9551</v>
      </c>
      <c r="W200" s="267"/>
      <c r="X200" s="816" t="s">
        <v>26</v>
      </c>
      <c r="Y200">
        <v>61.3</v>
      </c>
      <c r="Z200">
        <v>98.3</v>
      </c>
      <c r="AA200" s="816" t="s">
        <v>9567</v>
      </c>
      <c r="AB200" s="816" t="s">
        <v>9584</v>
      </c>
      <c r="AC200" s="816"/>
      <c r="AD200" s="816"/>
      <c r="AE200" s="816"/>
      <c r="AF200" s="816"/>
      <c r="AG200" s="816"/>
      <c r="AI200" s="816"/>
      <c r="AK200" s="816"/>
      <c r="AM200" s="816"/>
    </row>
    <row r="201" spans="1:39" x14ac:dyDescent="0.25">
      <c r="A201" s="265">
        <v>43627</v>
      </c>
      <c r="B201">
        <v>2</v>
      </c>
      <c r="C201" s="816" t="s">
        <v>5</v>
      </c>
      <c r="D201">
        <v>533</v>
      </c>
      <c r="E201" s="816" t="s">
        <v>9539</v>
      </c>
      <c r="F201" s="816" t="s">
        <v>24</v>
      </c>
      <c r="G201" s="816" t="s">
        <v>9546</v>
      </c>
      <c r="H201">
        <v>24</v>
      </c>
      <c r="I201" s="816" t="s">
        <v>18</v>
      </c>
      <c r="J201" s="816" t="s">
        <v>18</v>
      </c>
      <c r="K201" s="817">
        <v>0.16197916666666667</v>
      </c>
      <c r="L201" s="817">
        <v>0.22864583333333333</v>
      </c>
      <c r="M201" s="817"/>
      <c r="N201" s="817"/>
      <c r="O201" s="817">
        <v>0.47162037037037036</v>
      </c>
      <c r="P201" s="817">
        <v>0.71459490740740739</v>
      </c>
      <c r="Q201" s="817"/>
      <c r="R201" s="816"/>
      <c r="S201" s="817"/>
      <c r="T201" s="817"/>
      <c r="U201" s="816" t="s">
        <v>9551</v>
      </c>
      <c r="V201" s="816" t="s">
        <v>9551</v>
      </c>
      <c r="W201" s="267"/>
      <c r="X201" s="816" t="s">
        <v>26</v>
      </c>
      <c r="Y201">
        <v>71.099999999999994</v>
      </c>
      <c r="Z201">
        <v>4.2</v>
      </c>
      <c r="AA201" s="816" t="s">
        <v>9569</v>
      </c>
      <c r="AB201" s="816" t="s">
        <v>9585</v>
      </c>
      <c r="AC201" s="816"/>
      <c r="AD201" s="816"/>
      <c r="AE201" s="816"/>
      <c r="AF201" s="816"/>
      <c r="AG201" s="816"/>
      <c r="AI201" s="816"/>
      <c r="AK201" s="816"/>
      <c r="AM201" s="816"/>
    </row>
    <row r="202" spans="1:39" x14ac:dyDescent="0.25">
      <c r="A202" s="265">
        <v>43628</v>
      </c>
      <c r="B202">
        <v>3</v>
      </c>
      <c r="C202" s="816" t="s">
        <v>6</v>
      </c>
      <c r="D202">
        <v>533</v>
      </c>
      <c r="E202" s="816" t="s">
        <v>9539</v>
      </c>
      <c r="F202" s="816" t="s">
        <v>24</v>
      </c>
      <c r="G202" s="816" t="s">
        <v>9546</v>
      </c>
      <c r="H202">
        <v>25</v>
      </c>
      <c r="I202" s="816" t="s">
        <v>19</v>
      </c>
      <c r="J202" s="816" t="s">
        <v>19</v>
      </c>
      <c r="K202" s="817">
        <v>0.16215277777777778</v>
      </c>
      <c r="L202" s="817">
        <v>0.22881944444444444</v>
      </c>
      <c r="M202" s="817"/>
      <c r="N202" s="817"/>
      <c r="O202" s="817">
        <v>0.47175925925925927</v>
      </c>
      <c r="P202" s="817">
        <v>0.71471064814814822</v>
      </c>
      <c r="Q202" s="817"/>
      <c r="R202" s="816"/>
      <c r="S202" s="817"/>
      <c r="T202" s="817"/>
      <c r="U202" s="816" t="s">
        <v>9551</v>
      </c>
      <c r="V202" s="816" t="s">
        <v>9551</v>
      </c>
      <c r="W202" s="267"/>
      <c r="X202" s="816" t="s">
        <v>26</v>
      </c>
      <c r="Y202">
        <v>79.8</v>
      </c>
      <c r="Z202">
        <v>9.1999999999999993</v>
      </c>
      <c r="AA202" s="816" t="s">
        <v>9570</v>
      </c>
      <c r="AB202" s="816" t="s">
        <v>9586</v>
      </c>
      <c r="AC202" s="816"/>
      <c r="AD202" s="816"/>
      <c r="AE202" s="816"/>
      <c r="AF202" s="816"/>
      <c r="AG202" s="816"/>
      <c r="AI202" s="816"/>
      <c r="AK202" s="816"/>
      <c r="AM202" s="816"/>
    </row>
    <row r="203" spans="1:39" x14ac:dyDescent="0.25">
      <c r="A203" s="265">
        <v>43629</v>
      </c>
      <c r="B203">
        <v>4</v>
      </c>
      <c r="C203" s="816" t="s">
        <v>7</v>
      </c>
      <c r="D203">
        <v>533</v>
      </c>
      <c r="E203" s="816" t="s">
        <v>9539</v>
      </c>
      <c r="F203" s="816" t="s">
        <v>24</v>
      </c>
      <c r="G203" s="816" t="s">
        <v>9546</v>
      </c>
      <c r="H203">
        <v>26</v>
      </c>
      <c r="I203" s="816" t="s">
        <v>9548</v>
      </c>
      <c r="J203" s="816" t="s">
        <v>20</v>
      </c>
      <c r="K203" s="817">
        <v>0.1623263888888889</v>
      </c>
      <c r="L203" s="817">
        <v>0.22899305555555557</v>
      </c>
      <c r="M203" s="817"/>
      <c r="N203" s="817"/>
      <c r="O203" s="817">
        <v>0.47190972222222222</v>
      </c>
      <c r="P203" s="817">
        <v>0.71482638888888894</v>
      </c>
      <c r="Q203" s="817"/>
      <c r="R203" s="816"/>
      <c r="S203" s="817"/>
      <c r="T203" s="817"/>
      <c r="U203" s="816" t="s">
        <v>9551</v>
      </c>
      <c r="V203" s="816" t="s">
        <v>9551</v>
      </c>
      <c r="W203" s="267"/>
      <c r="X203" s="816" t="s">
        <v>26</v>
      </c>
      <c r="Y203">
        <v>87.3</v>
      </c>
      <c r="Z203">
        <v>13.2</v>
      </c>
      <c r="AA203" s="816" t="s">
        <v>9571</v>
      </c>
      <c r="AB203" s="816" t="s">
        <v>9604</v>
      </c>
      <c r="AC203" s="816"/>
      <c r="AD203" s="816"/>
      <c r="AE203" s="816"/>
      <c r="AF203" s="816" t="s">
        <v>72</v>
      </c>
      <c r="AG203" s="816" t="s">
        <v>48</v>
      </c>
      <c r="AH203">
        <v>-1</v>
      </c>
      <c r="AI203" s="816" t="s">
        <v>49</v>
      </c>
      <c r="AJ203">
        <v>-1</v>
      </c>
      <c r="AK203" s="816"/>
      <c r="AM203" s="816"/>
    </row>
    <row r="204" spans="1:39" x14ac:dyDescent="0.25">
      <c r="A204" s="265">
        <v>43630</v>
      </c>
      <c r="B204">
        <v>5</v>
      </c>
      <c r="C204" s="816" t="s">
        <v>1</v>
      </c>
      <c r="D204">
        <v>533</v>
      </c>
      <c r="E204" s="816" t="s">
        <v>9539</v>
      </c>
      <c r="F204" s="816" t="s">
        <v>24</v>
      </c>
      <c r="G204" s="816" t="s">
        <v>9546</v>
      </c>
      <c r="H204">
        <v>27</v>
      </c>
      <c r="I204" s="816" t="s">
        <v>21</v>
      </c>
      <c r="J204" s="816" t="s">
        <v>21</v>
      </c>
      <c r="K204" s="817">
        <v>0.16250000000000001</v>
      </c>
      <c r="L204" s="817">
        <v>0.22916666666666666</v>
      </c>
      <c r="M204" s="817">
        <v>0.22916666666666666</v>
      </c>
      <c r="N204" s="817">
        <v>0.29236111111111113</v>
      </c>
      <c r="O204" s="817">
        <v>0.47206018518518517</v>
      </c>
      <c r="P204" s="817">
        <v>0.7149537037037037</v>
      </c>
      <c r="Q204" s="817"/>
      <c r="R204" s="816"/>
      <c r="S204" s="817"/>
      <c r="T204" s="817"/>
      <c r="U204" s="816" t="s">
        <v>9551</v>
      </c>
      <c r="V204" s="816" t="s">
        <v>9551</v>
      </c>
      <c r="W204" s="267"/>
      <c r="X204" s="816" t="s">
        <v>26</v>
      </c>
      <c r="Y204">
        <v>93.3</v>
      </c>
      <c r="Z204">
        <v>15.7</v>
      </c>
      <c r="AA204" s="816" t="s">
        <v>9572</v>
      </c>
      <c r="AB204" s="816" t="s">
        <v>9587</v>
      </c>
      <c r="AC204" s="816"/>
      <c r="AD204" s="816"/>
      <c r="AE204" s="816"/>
      <c r="AF204" s="816"/>
      <c r="AG204" s="816"/>
      <c r="AI204" s="816"/>
      <c r="AK204" s="816"/>
      <c r="AM204" s="816"/>
    </row>
    <row r="205" spans="1:39" x14ac:dyDescent="0.25">
      <c r="A205" s="265">
        <v>43631</v>
      </c>
      <c r="B205">
        <v>6</v>
      </c>
      <c r="C205" s="816" t="s">
        <v>2</v>
      </c>
      <c r="D205">
        <v>533</v>
      </c>
      <c r="E205" s="816" t="s">
        <v>9539</v>
      </c>
      <c r="F205" s="816" t="s">
        <v>24</v>
      </c>
      <c r="G205" s="816" t="s">
        <v>9546</v>
      </c>
      <c r="H205">
        <v>28</v>
      </c>
      <c r="I205" s="816" t="s">
        <v>8</v>
      </c>
      <c r="J205" s="816" t="s">
        <v>8</v>
      </c>
      <c r="K205" s="817">
        <v>0.16266203703703705</v>
      </c>
      <c r="L205" s="817">
        <v>0.2293287037037037</v>
      </c>
      <c r="M205" s="817"/>
      <c r="N205" s="817"/>
      <c r="O205" s="817">
        <v>0.47219907407407408</v>
      </c>
      <c r="P205" s="817">
        <v>0.71508101851851846</v>
      </c>
      <c r="Q205" s="817">
        <v>0.3784837962962963</v>
      </c>
      <c r="R205" s="816" t="s">
        <v>79</v>
      </c>
      <c r="S205" s="817"/>
      <c r="T205" s="817"/>
      <c r="U205" s="816" t="s">
        <v>9551</v>
      </c>
      <c r="V205" s="816" t="s">
        <v>9551</v>
      </c>
      <c r="W205" s="267"/>
      <c r="X205" s="816" t="s">
        <v>26</v>
      </c>
      <c r="Y205">
        <v>97.5</v>
      </c>
      <c r="Z205">
        <v>16.7</v>
      </c>
      <c r="AA205" s="816" t="s">
        <v>9573</v>
      </c>
      <c r="AB205" s="816" t="s">
        <v>9588</v>
      </c>
      <c r="AC205" s="816"/>
      <c r="AD205" s="816"/>
      <c r="AE205" s="816"/>
      <c r="AF205" s="816"/>
      <c r="AG205" s="816"/>
      <c r="AI205" s="816"/>
      <c r="AK205" s="816"/>
      <c r="AM205" s="816"/>
    </row>
    <row r="206" spans="1:39" x14ac:dyDescent="0.25">
      <c r="A206" s="265">
        <v>43632</v>
      </c>
      <c r="B206">
        <v>0</v>
      </c>
      <c r="C206" s="816" t="s">
        <v>3</v>
      </c>
      <c r="D206">
        <v>533</v>
      </c>
      <c r="E206" s="816" t="s">
        <v>9539</v>
      </c>
      <c r="F206" s="816" t="s">
        <v>24</v>
      </c>
      <c r="G206" s="816" t="s">
        <v>9546</v>
      </c>
      <c r="H206">
        <v>29</v>
      </c>
      <c r="I206" s="816" t="s">
        <v>9</v>
      </c>
      <c r="J206" s="816" t="s">
        <v>9</v>
      </c>
      <c r="K206" s="817">
        <v>0.16283564814814813</v>
      </c>
      <c r="L206" s="817">
        <v>0.22950231481481484</v>
      </c>
      <c r="M206" s="817"/>
      <c r="N206" s="817"/>
      <c r="O206" s="817">
        <v>0.47234953703703703</v>
      </c>
      <c r="P206" s="817">
        <v>0.71520833333333333</v>
      </c>
      <c r="Q206" s="817"/>
      <c r="R206" s="816"/>
      <c r="S206" s="817"/>
      <c r="T206" s="817"/>
      <c r="U206" s="816" t="s">
        <v>9551</v>
      </c>
      <c r="V206" s="816" t="s">
        <v>9551</v>
      </c>
      <c r="W206" s="267"/>
      <c r="X206" s="816" t="s">
        <v>26</v>
      </c>
      <c r="Y206">
        <v>99.8</v>
      </c>
      <c r="Z206">
        <v>15.9</v>
      </c>
      <c r="AA206" s="816" t="s">
        <v>9574</v>
      </c>
      <c r="AB206" s="816" t="s">
        <v>9589</v>
      </c>
      <c r="AC206" s="816"/>
      <c r="AD206" s="816"/>
      <c r="AE206" s="816"/>
      <c r="AF206" s="816"/>
      <c r="AG206" s="816"/>
      <c r="AI206" s="816"/>
      <c r="AK206" s="816"/>
      <c r="AM206" s="816"/>
    </row>
    <row r="207" spans="1:39" x14ac:dyDescent="0.25">
      <c r="A207" s="265">
        <v>43633</v>
      </c>
      <c r="B207">
        <v>1</v>
      </c>
      <c r="C207" s="816" t="s">
        <v>4</v>
      </c>
      <c r="D207">
        <v>533</v>
      </c>
      <c r="E207" s="816" t="s">
        <v>9539</v>
      </c>
      <c r="F207" s="816" t="s">
        <v>24</v>
      </c>
      <c r="G207" s="816" t="s">
        <v>9546</v>
      </c>
      <c r="H207">
        <v>30</v>
      </c>
      <c r="I207" s="816" t="s">
        <v>10</v>
      </c>
      <c r="J207" s="816" t="s">
        <v>10</v>
      </c>
      <c r="K207" s="817">
        <v>0.16299768518518518</v>
      </c>
      <c r="L207" s="817">
        <v>0.22966435185185186</v>
      </c>
      <c r="M207" s="817"/>
      <c r="N207" s="817"/>
      <c r="O207" s="817">
        <v>0.47249999999999998</v>
      </c>
      <c r="P207" s="817">
        <v>0.71534722222222225</v>
      </c>
      <c r="Q207" s="817"/>
      <c r="R207" s="816"/>
      <c r="S207" s="817"/>
      <c r="T207" s="817"/>
      <c r="U207" s="816" t="s">
        <v>9551</v>
      </c>
      <c r="V207" s="816" t="s">
        <v>9551</v>
      </c>
      <c r="W207" s="267"/>
      <c r="X207" s="816" t="s">
        <v>26</v>
      </c>
      <c r="Y207">
        <v>99.9</v>
      </c>
      <c r="Z207">
        <v>13.2</v>
      </c>
      <c r="AA207" s="816" t="s">
        <v>9575</v>
      </c>
      <c r="AB207" s="816" t="s">
        <v>9590</v>
      </c>
      <c r="AC207" s="816"/>
      <c r="AD207" s="816"/>
      <c r="AE207" s="816"/>
      <c r="AF207" s="816"/>
      <c r="AG207" s="816"/>
      <c r="AI207" s="816"/>
      <c r="AK207" s="816"/>
      <c r="AM207" s="816"/>
    </row>
    <row r="208" spans="1:39" x14ac:dyDescent="0.25">
      <c r="A208" s="265">
        <v>43634</v>
      </c>
      <c r="B208">
        <v>2</v>
      </c>
      <c r="C208" s="816" t="s">
        <v>5</v>
      </c>
      <c r="D208">
        <v>533</v>
      </c>
      <c r="E208" s="816" t="s">
        <v>9541</v>
      </c>
      <c r="F208" s="816" t="s">
        <v>25</v>
      </c>
      <c r="G208" s="816" t="s">
        <v>9547</v>
      </c>
      <c r="H208">
        <v>1</v>
      </c>
      <c r="I208" s="816" t="s">
        <v>11</v>
      </c>
      <c r="J208" s="816" t="s">
        <v>11</v>
      </c>
      <c r="K208" s="817">
        <v>0.16315972222222222</v>
      </c>
      <c r="L208" s="817">
        <v>0.22982638888888887</v>
      </c>
      <c r="M208" s="817"/>
      <c r="N208" s="817"/>
      <c r="O208" s="817">
        <v>0.47266203703703707</v>
      </c>
      <c r="P208" s="817">
        <v>0.71548611111111116</v>
      </c>
      <c r="Q208" s="817"/>
      <c r="R208" s="816"/>
      <c r="S208" s="817"/>
      <c r="T208" s="817"/>
      <c r="U208" s="816" t="s">
        <v>9551</v>
      </c>
      <c r="V208" s="816" t="s">
        <v>9551</v>
      </c>
      <c r="W208" s="267"/>
      <c r="X208" s="816" t="s">
        <v>26</v>
      </c>
      <c r="Y208">
        <v>97.9</v>
      </c>
      <c r="Z208">
        <v>8.5</v>
      </c>
      <c r="AA208" s="816" t="s">
        <v>9576</v>
      </c>
      <c r="AB208" s="816" t="s">
        <v>9591</v>
      </c>
      <c r="AC208" s="816"/>
      <c r="AD208" s="816"/>
      <c r="AE208" s="816"/>
      <c r="AF208" s="816"/>
      <c r="AG208" s="816"/>
      <c r="AI208" s="816"/>
      <c r="AK208" s="816"/>
      <c r="AM208" s="816"/>
    </row>
    <row r="209" spans="1:39" x14ac:dyDescent="0.25">
      <c r="A209" s="265">
        <v>43635</v>
      </c>
      <c r="B209">
        <v>3</v>
      </c>
      <c r="C209" s="816" t="s">
        <v>6</v>
      </c>
      <c r="D209">
        <v>533</v>
      </c>
      <c r="E209" s="816" t="s">
        <v>9541</v>
      </c>
      <c r="F209" s="816" t="s">
        <v>25</v>
      </c>
      <c r="G209" s="816" t="s">
        <v>9547</v>
      </c>
      <c r="H209">
        <v>2</v>
      </c>
      <c r="I209" s="816" t="s">
        <v>12</v>
      </c>
      <c r="J209" s="816" t="s">
        <v>12</v>
      </c>
      <c r="K209" s="817">
        <v>0.16332175925925926</v>
      </c>
      <c r="L209" s="817">
        <v>0.22998842592592594</v>
      </c>
      <c r="M209" s="817"/>
      <c r="N209" s="817"/>
      <c r="O209" s="817">
        <v>0.47281250000000002</v>
      </c>
      <c r="P209" s="817">
        <v>0.71563657407407411</v>
      </c>
      <c r="Q209" s="817"/>
      <c r="R209" s="816"/>
      <c r="S209" s="817"/>
      <c r="T209" s="817"/>
      <c r="U209" s="816" t="s">
        <v>9551</v>
      </c>
      <c r="V209" s="816" t="s">
        <v>9551</v>
      </c>
      <c r="W209" s="267"/>
      <c r="X209" s="816" t="s">
        <v>26</v>
      </c>
      <c r="Y209">
        <v>93.8</v>
      </c>
      <c r="Z209">
        <v>2</v>
      </c>
      <c r="AA209" s="816" t="s">
        <v>9577</v>
      </c>
      <c r="AB209" s="816" t="s">
        <v>9605</v>
      </c>
      <c r="AC209" s="816"/>
      <c r="AD209" s="816"/>
      <c r="AE209" s="816"/>
      <c r="AF209" s="816"/>
      <c r="AG209" s="816"/>
      <c r="AI209" s="816"/>
      <c r="AK209" s="816"/>
      <c r="AM209" s="816"/>
    </row>
    <row r="210" spans="1:39" x14ac:dyDescent="0.25">
      <c r="A210" s="265">
        <v>43636</v>
      </c>
      <c r="B210">
        <v>4</v>
      </c>
      <c r="C210" s="816" t="s">
        <v>7</v>
      </c>
      <c r="D210">
        <v>533</v>
      </c>
      <c r="E210" s="816" t="s">
        <v>9541</v>
      </c>
      <c r="F210" s="816" t="s">
        <v>25</v>
      </c>
      <c r="G210" s="816" t="s">
        <v>9547</v>
      </c>
      <c r="H210">
        <v>3</v>
      </c>
      <c r="I210" s="816" t="s">
        <v>23</v>
      </c>
      <c r="J210" s="816" t="s">
        <v>23</v>
      </c>
      <c r="K210" s="817">
        <v>0.16347222222222221</v>
      </c>
      <c r="L210" s="817">
        <v>0.23013888888888889</v>
      </c>
      <c r="M210" s="817"/>
      <c r="N210" s="817"/>
      <c r="O210" s="817">
        <v>0.47296296296296297</v>
      </c>
      <c r="P210" s="817">
        <v>0.71577546296296291</v>
      </c>
      <c r="Q210" s="817"/>
      <c r="R210" s="816"/>
      <c r="S210" s="817"/>
      <c r="T210" s="817"/>
      <c r="U210" s="816" t="s">
        <v>9551</v>
      </c>
      <c r="V210" s="816" t="s">
        <v>9551</v>
      </c>
      <c r="W210" s="267"/>
      <c r="X210" s="816" t="s">
        <v>26</v>
      </c>
      <c r="Y210">
        <v>87.8</v>
      </c>
      <c r="Z210">
        <v>93.8</v>
      </c>
      <c r="AA210" s="816" t="s">
        <v>9577</v>
      </c>
      <c r="AB210" s="816" t="s">
        <v>9592</v>
      </c>
      <c r="AC210" s="816"/>
      <c r="AD210" s="816"/>
      <c r="AE210" s="816"/>
      <c r="AF210" s="816"/>
      <c r="AG210" s="816"/>
      <c r="AI210" s="816"/>
      <c r="AK210" s="816"/>
      <c r="AM210" s="816"/>
    </row>
    <row r="211" spans="1:39" x14ac:dyDescent="0.25">
      <c r="A211" s="265">
        <v>43637</v>
      </c>
      <c r="B211">
        <v>5</v>
      </c>
      <c r="C211" s="816" t="s">
        <v>1</v>
      </c>
      <c r="D211">
        <v>533</v>
      </c>
      <c r="E211" s="816" t="s">
        <v>9541</v>
      </c>
      <c r="F211" s="816" t="s">
        <v>25</v>
      </c>
      <c r="G211" s="816" t="s">
        <v>9547</v>
      </c>
      <c r="H211">
        <v>4</v>
      </c>
      <c r="I211" s="816" t="s">
        <v>13</v>
      </c>
      <c r="J211" s="816" t="s">
        <v>13</v>
      </c>
      <c r="K211" s="817">
        <v>0.16362268518518519</v>
      </c>
      <c r="L211" s="817">
        <v>0.23028935185185184</v>
      </c>
      <c r="M211" s="817"/>
      <c r="N211" s="817"/>
      <c r="O211" s="817">
        <v>0.47311342592592592</v>
      </c>
      <c r="P211" s="817">
        <v>0.71592592592592597</v>
      </c>
      <c r="Q211" s="817"/>
      <c r="R211" s="816"/>
      <c r="S211" s="817"/>
      <c r="T211" s="817"/>
      <c r="U211" s="816" t="s">
        <v>9551</v>
      </c>
      <c r="V211" s="816" t="s">
        <v>9551</v>
      </c>
      <c r="W211" s="267"/>
      <c r="X211" s="816" t="s">
        <v>26</v>
      </c>
      <c r="Y211">
        <v>80.3</v>
      </c>
      <c r="Z211">
        <v>84.2</v>
      </c>
      <c r="AA211" s="816" t="s">
        <v>9552</v>
      </c>
      <c r="AB211" s="816" t="s">
        <v>9593</v>
      </c>
      <c r="AC211" s="816"/>
      <c r="AD211" s="816"/>
      <c r="AE211" s="816"/>
      <c r="AF211" s="816"/>
      <c r="AG211" s="816"/>
      <c r="AI211" s="816"/>
      <c r="AK211" s="816"/>
      <c r="AM211" s="816"/>
    </row>
    <row r="212" spans="1:39" x14ac:dyDescent="0.25">
      <c r="A212" s="265">
        <v>43638</v>
      </c>
      <c r="B212">
        <v>6</v>
      </c>
      <c r="C212" s="816" t="s">
        <v>2</v>
      </c>
      <c r="D212">
        <v>533</v>
      </c>
      <c r="E212" s="816" t="s">
        <v>9541</v>
      </c>
      <c r="F212" s="816" t="s">
        <v>25</v>
      </c>
      <c r="G212" s="816" t="s">
        <v>9547</v>
      </c>
      <c r="H212">
        <v>5</v>
      </c>
      <c r="I212" s="816" t="s">
        <v>14</v>
      </c>
      <c r="J212" s="816" t="s">
        <v>14</v>
      </c>
      <c r="K212" s="817">
        <v>0.16377314814814814</v>
      </c>
      <c r="L212" s="817">
        <v>0.23043981481481482</v>
      </c>
      <c r="M212" s="817"/>
      <c r="N212" s="817"/>
      <c r="O212" s="817">
        <v>0.47326388888888887</v>
      </c>
      <c r="P212" s="817">
        <v>0.71608796296296295</v>
      </c>
      <c r="Q212" s="817"/>
      <c r="R212" s="816"/>
      <c r="S212" s="817"/>
      <c r="T212" s="817"/>
      <c r="U212" s="816" t="s">
        <v>9551</v>
      </c>
      <c r="V212" s="816" t="s">
        <v>9551</v>
      </c>
      <c r="W212" s="267"/>
      <c r="X212" s="816" t="s">
        <v>26</v>
      </c>
      <c r="Y212">
        <v>71.7</v>
      </c>
      <c r="Z212">
        <v>73.599999999999994</v>
      </c>
      <c r="AA212" s="816" t="s">
        <v>9553</v>
      </c>
      <c r="AB212" s="816" t="s">
        <v>9594</v>
      </c>
      <c r="AC212" s="816"/>
      <c r="AD212" s="816"/>
      <c r="AE212" s="816"/>
      <c r="AF212" s="816"/>
      <c r="AG212" s="816"/>
      <c r="AI212" s="816"/>
      <c r="AK212" s="816"/>
      <c r="AM212" s="816"/>
    </row>
    <row r="213" spans="1:39" x14ac:dyDescent="0.25">
      <c r="A213" s="265">
        <v>43639</v>
      </c>
      <c r="B213">
        <v>0</v>
      </c>
      <c r="C213" s="816" t="s">
        <v>3</v>
      </c>
      <c r="D213">
        <v>533</v>
      </c>
      <c r="E213" s="816" t="s">
        <v>9541</v>
      </c>
      <c r="F213" s="816" t="s">
        <v>25</v>
      </c>
      <c r="G213" s="816" t="s">
        <v>9547</v>
      </c>
      <c r="H213">
        <v>6</v>
      </c>
      <c r="I213" s="816" t="s">
        <v>15</v>
      </c>
      <c r="J213" s="816" t="s">
        <v>15</v>
      </c>
      <c r="K213" s="817">
        <v>0.16392361111111112</v>
      </c>
      <c r="L213" s="817">
        <v>0.23059027777777777</v>
      </c>
      <c r="M213" s="817"/>
      <c r="N213" s="817"/>
      <c r="O213" s="817">
        <v>0.47341435185185188</v>
      </c>
      <c r="P213" s="817">
        <v>0.7162384259259259</v>
      </c>
      <c r="Q213" s="817"/>
      <c r="R213" s="816"/>
      <c r="S213" s="817"/>
      <c r="T213" s="817"/>
      <c r="U213" s="816" t="s">
        <v>9551</v>
      </c>
      <c r="V213" s="816" t="s">
        <v>9551</v>
      </c>
      <c r="W213" s="267"/>
      <c r="X213" s="816" t="s">
        <v>26</v>
      </c>
      <c r="Y213">
        <v>62.6</v>
      </c>
      <c r="Z213">
        <v>62.6</v>
      </c>
      <c r="AA213" s="816" t="s">
        <v>9554</v>
      </c>
      <c r="AB213" s="816" t="s">
        <v>9595</v>
      </c>
      <c r="AC213" s="816"/>
      <c r="AD213" s="816"/>
      <c r="AE213" s="816"/>
      <c r="AF213" s="816"/>
      <c r="AG213" s="816"/>
      <c r="AI213" s="816"/>
      <c r="AK213" s="816"/>
      <c r="AM213" s="816"/>
    </row>
    <row r="214" spans="1:39" x14ac:dyDescent="0.25">
      <c r="A214" s="265">
        <v>43640</v>
      </c>
      <c r="B214">
        <v>1</v>
      </c>
      <c r="C214" s="816" t="s">
        <v>4</v>
      </c>
      <c r="D214">
        <v>533</v>
      </c>
      <c r="E214" s="816" t="s">
        <v>9541</v>
      </c>
      <c r="F214" s="816" t="s">
        <v>25</v>
      </c>
      <c r="G214" s="816" t="s">
        <v>9547</v>
      </c>
      <c r="H214">
        <v>7</v>
      </c>
      <c r="I214" s="816" t="s">
        <v>16</v>
      </c>
      <c r="J214" s="816" t="s">
        <v>16</v>
      </c>
      <c r="K214" s="817">
        <v>0.16407407407407407</v>
      </c>
      <c r="L214" s="817">
        <v>0.23074074074074072</v>
      </c>
      <c r="M214" s="817"/>
      <c r="N214" s="817"/>
      <c r="O214" s="817">
        <v>0.47356481481481483</v>
      </c>
      <c r="P214" s="817">
        <v>0.71640046296296289</v>
      </c>
      <c r="Q214" s="817"/>
      <c r="R214" s="816"/>
      <c r="S214" s="817"/>
      <c r="T214" s="817"/>
      <c r="U214" s="816" t="s">
        <v>9551</v>
      </c>
      <c r="V214" s="816" t="s">
        <v>9551</v>
      </c>
      <c r="W214" s="267"/>
      <c r="X214" s="816" t="s">
        <v>26</v>
      </c>
      <c r="Y214">
        <v>53.5</v>
      </c>
      <c r="Z214">
        <v>51.6</v>
      </c>
      <c r="AA214" s="816" t="s">
        <v>9555</v>
      </c>
      <c r="AB214" s="816" t="s">
        <v>9596</v>
      </c>
      <c r="AC214" s="816"/>
      <c r="AD214" s="816"/>
      <c r="AE214" s="816"/>
      <c r="AF214" s="816"/>
      <c r="AG214" s="816"/>
      <c r="AI214" s="816"/>
      <c r="AK214" s="816"/>
      <c r="AM214" s="816"/>
    </row>
    <row r="215" spans="1:39" x14ac:dyDescent="0.25">
      <c r="A215" s="265">
        <v>43641</v>
      </c>
      <c r="B215">
        <v>2</v>
      </c>
      <c r="C215" s="816" t="s">
        <v>5</v>
      </c>
      <c r="D215">
        <v>533</v>
      </c>
      <c r="E215" s="816" t="s">
        <v>9541</v>
      </c>
      <c r="F215" s="816" t="s">
        <v>25</v>
      </c>
      <c r="G215" s="816" t="s">
        <v>9547</v>
      </c>
      <c r="H215">
        <v>8</v>
      </c>
      <c r="I215" s="816" t="s">
        <v>17</v>
      </c>
      <c r="J215" s="816" t="s">
        <v>17</v>
      </c>
      <c r="K215" s="817">
        <v>0.16420138888888888</v>
      </c>
      <c r="L215" s="817">
        <v>0.23086805555555556</v>
      </c>
      <c r="M215" s="817"/>
      <c r="N215" s="817"/>
      <c r="O215" s="817">
        <v>0.47371527777777778</v>
      </c>
      <c r="P215" s="817">
        <v>0.71655092592592595</v>
      </c>
      <c r="Q215" s="817"/>
      <c r="R215" s="816"/>
      <c r="S215" s="817"/>
      <c r="T215" s="817"/>
      <c r="U215" s="816" t="s">
        <v>9551</v>
      </c>
      <c r="V215" s="816" t="s">
        <v>9551</v>
      </c>
      <c r="W215" s="267"/>
      <c r="X215" s="816" t="s">
        <v>26</v>
      </c>
      <c r="Y215">
        <v>45.1</v>
      </c>
      <c r="Z215">
        <v>41.2</v>
      </c>
      <c r="AA215" s="816" t="s">
        <v>9556</v>
      </c>
      <c r="AB215" s="816" t="s">
        <v>9597</v>
      </c>
      <c r="AC215" s="816"/>
      <c r="AD215" s="816"/>
      <c r="AE215" s="816"/>
      <c r="AF215" s="816"/>
      <c r="AG215" s="816"/>
      <c r="AI215" s="816"/>
      <c r="AK215" s="816"/>
      <c r="AM215" s="816"/>
    </row>
    <row r="216" spans="1:39" x14ac:dyDescent="0.25">
      <c r="A216" s="265">
        <v>43642</v>
      </c>
      <c r="B216">
        <v>3</v>
      </c>
      <c r="C216" s="816" t="s">
        <v>6</v>
      </c>
      <c r="D216">
        <v>533</v>
      </c>
      <c r="E216" s="816" t="s">
        <v>9541</v>
      </c>
      <c r="F216" s="816" t="s">
        <v>25</v>
      </c>
      <c r="G216" s="816" t="s">
        <v>9547</v>
      </c>
      <c r="H216">
        <v>9</v>
      </c>
      <c r="I216" s="816" t="s">
        <v>18</v>
      </c>
      <c r="J216" s="816" t="s">
        <v>18</v>
      </c>
      <c r="K216" s="817">
        <v>0.16434027777777779</v>
      </c>
      <c r="L216" s="817">
        <v>0.23100694444444445</v>
      </c>
      <c r="M216" s="817"/>
      <c r="N216" s="817"/>
      <c r="O216" s="817">
        <v>0.47386574074074073</v>
      </c>
      <c r="P216" s="817">
        <v>0.71671296296296294</v>
      </c>
      <c r="Q216" s="817"/>
      <c r="R216" s="816"/>
      <c r="S216" s="817"/>
      <c r="T216" s="817"/>
      <c r="U216" s="816" t="s">
        <v>9551</v>
      </c>
      <c r="V216" s="816" t="s">
        <v>9551</v>
      </c>
      <c r="W216" s="267"/>
      <c r="X216" s="816" t="s">
        <v>26</v>
      </c>
      <c r="Y216">
        <v>38.1</v>
      </c>
      <c r="Z216">
        <v>32</v>
      </c>
      <c r="AA216" s="816" t="s">
        <v>9557</v>
      </c>
      <c r="AB216" s="816" t="s">
        <v>9598</v>
      </c>
      <c r="AC216" s="816"/>
      <c r="AD216" s="816"/>
      <c r="AE216" s="816"/>
      <c r="AF216" s="816"/>
      <c r="AG216" s="816"/>
      <c r="AI216" s="816"/>
      <c r="AK216" s="816"/>
      <c r="AM216" s="816"/>
    </row>
    <row r="217" spans="1:39" x14ac:dyDescent="0.25">
      <c r="A217" s="265">
        <v>43643</v>
      </c>
      <c r="B217">
        <v>4</v>
      </c>
      <c r="C217" s="816" t="s">
        <v>7</v>
      </c>
      <c r="D217">
        <v>533</v>
      </c>
      <c r="E217" s="816" t="s">
        <v>9541</v>
      </c>
      <c r="F217" s="816" t="s">
        <v>25</v>
      </c>
      <c r="G217" s="816" t="s">
        <v>9547</v>
      </c>
      <c r="H217">
        <v>10</v>
      </c>
      <c r="I217" s="816" t="s">
        <v>19</v>
      </c>
      <c r="J217" s="816" t="s">
        <v>19</v>
      </c>
      <c r="K217" s="817">
        <v>0.16446759259259261</v>
      </c>
      <c r="L217" s="817">
        <v>0.23113425925925926</v>
      </c>
      <c r="M217" s="817"/>
      <c r="N217" s="817"/>
      <c r="O217" s="817">
        <v>0.47400462962962964</v>
      </c>
      <c r="P217" s="817">
        <v>0.71687499999999993</v>
      </c>
      <c r="Q217" s="817"/>
      <c r="R217" s="816"/>
      <c r="S217" s="817"/>
      <c r="T217" s="817"/>
      <c r="U217" s="816" t="s">
        <v>9551</v>
      </c>
      <c r="V217" s="816" t="s">
        <v>9551</v>
      </c>
      <c r="W217" s="267"/>
      <c r="X217" s="816" t="s">
        <v>26</v>
      </c>
      <c r="Y217">
        <v>33</v>
      </c>
      <c r="Z217">
        <v>24.5</v>
      </c>
      <c r="AA217" s="816" t="s">
        <v>9558</v>
      </c>
      <c r="AB217" s="816" t="s">
        <v>9599</v>
      </c>
      <c r="AC217" s="816"/>
      <c r="AD217" s="816"/>
      <c r="AE217" s="816"/>
      <c r="AF217" s="816"/>
      <c r="AG217" s="816"/>
      <c r="AI217" s="816"/>
      <c r="AK217" s="816"/>
      <c r="AM217" s="816"/>
    </row>
    <row r="218" spans="1:39" x14ac:dyDescent="0.25">
      <c r="A218" s="265">
        <v>43644</v>
      </c>
      <c r="B218">
        <v>5</v>
      </c>
      <c r="C218" s="816" t="s">
        <v>1</v>
      </c>
      <c r="D218">
        <v>533</v>
      </c>
      <c r="E218" s="816" t="s">
        <v>9541</v>
      </c>
      <c r="F218" s="816" t="s">
        <v>25</v>
      </c>
      <c r="G218" s="816" t="s">
        <v>9547</v>
      </c>
      <c r="H218">
        <v>11</v>
      </c>
      <c r="I218" s="816" t="s">
        <v>9548</v>
      </c>
      <c r="J218" s="816" t="s">
        <v>20</v>
      </c>
      <c r="K218" s="817">
        <v>0.16459490740740743</v>
      </c>
      <c r="L218" s="817">
        <v>0.23126157407407408</v>
      </c>
      <c r="M218" s="817"/>
      <c r="N218" s="817"/>
      <c r="O218" s="817">
        <v>0.47415509259259259</v>
      </c>
      <c r="P218" s="817">
        <v>0.71703703703703703</v>
      </c>
      <c r="Q218" s="817"/>
      <c r="R218" s="816"/>
      <c r="S218" s="817"/>
      <c r="T218" s="817"/>
      <c r="U218" s="816" t="s">
        <v>9551</v>
      </c>
      <c r="V218" s="816" t="s">
        <v>9551</v>
      </c>
      <c r="W218" s="267"/>
      <c r="X218" s="816" t="s">
        <v>26</v>
      </c>
      <c r="Y218">
        <v>30.4</v>
      </c>
      <c r="Z218">
        <v>19.3</v>
      </c>
      <c r="AA218" s="816" t="s">
        <v>9578</v>
      </c>
      <c r="AB218" s="816" t="s">
        <v>9600</v>
      </c>
      <c r="AC218" s="816"/>
      <c r="AD218" s="816"/>
      <c r="AE218" s="816"/>
      <c r="AF218" s="816" t="s">
        <v>72</v>
      </c>
      <c r="AG218" s="816" t="s">
        <v>50</v>
      </c>
      <c r="AH218">
        <v>-1</v>
      </c>
      <c r="AI218" s="816"/>
      <c r="AK218" s="816"/>
      <c r="AM218" s="816"/>
    </row>
    <row r="219" spans="1:39" x14ac:dyDescent="0.25">
      <c r="A219" s="265">
        <v>43645</v>
      </c>
      <c r="B219">
        <v>6</v>
      </c>
      <c r="C219" s="816" t="s">
        <v>2</v>
      </c>
      <c r="D219">
        <v>533</v>
      </c>
      <c r="E219" s="816" t="s">
        <v>9541</v>
      </c>
      <c r="F219" s="816" t="s">
        <v>25</v>
      </c>
      <c r="G219" s="816" t="s">
        <v>9547</v>
      </c>
      <c r="H219">
        <v>12</v>
      </c>
      <c r="I219" s="816" t="s">
        <v>21</v>
      </c>
      <c r="J219" s="816" t="s">
        <v>21</v>
      </c>
      <c r="K219" s="817">
        <v>0.16471064814814815</v>
      </c>
      <c r="L219" s="817">
        <v>0.23137731481481483</v>
      </c>
      <c r="M219" s="817">
        <v>0.23124999999999998</v>
      </c>
      <c r="N219" s="817">
        <v>0.39305555555555555</v>
      </c>
      <c r="O219" s="817">
        <v>0.4742939814814815</v>
      </c>
      <c r="P219" s="817">
        <v>0.71721064814814817</v>
      </c>
      <c r="Q219" s="817"/>
      <c r="R219" s="816"/>
      <c r="S219" s="817"/>
      <c r="T219" s="817"/>
      <c r="U219" s="816" t="s">
        <v>9551</v>
      </c>
      <c r="V219" s="816" t="s">
        <v>9551</v>
      </c>
      <c r="W219" s="267"/>
      <c r="X219" s="816" t="s">
        <v>26</v>
      </c>
      <c r="Y219">
        <v>30.7</v>
      </c>
      <c r="Z219">
        <v>16.7</v>
      </c>
      <c r="AA219" s="816" t="s">
        <v>9559</v>
      </c>
      <c r="AB219" s="816" t="s">
        <v>9601</v>
      </c>
      <c r="AC219" s="816"/>
      <c r="AD219" s="816"/>
      <c r="AE219" s="816"/>
      <c r="AF219" s="816"/>
      <c r="AG219" s="816"/>
      <c r="AI219" s="816"/>
      <c r="AK219" s="816"/>
      <c r="AM219" s="816"/>
    </row>
    <row r="220" spans="1:39" x14ac:dyDescent="0.25">
      <c r="A220" s="265">
        <v>43646</v>
      </c>
      <c r="B220">
        <v>0</v>
      </c>
      <c r="C220" s="816" t="s">
        <v>3</v>
      </c>
      <c r="D220">
        <v>533</v>
      </c>
      <c r="E220" s="816" t="s">
        <v>9541</v>
      </c>
      <c r="F220" s="816" t="s">
        <v>25</v>
      </c>
      <c r="G220" s="816" t="s">
        <v>9547</v>
      </c>
      <c r="H220">
        <v>13</v>
      </c>
      <c r="I220" s="816" t="s">
        <v>8</v>
      </c>
      <c r="J220" s="816" t="s">
        <v>8</v>
      </c>
      <c r="K220" s="817">
        <v>0.1648263888888889</v>
      </c>
      <c r="L220" s="817">
        <v>0.23149305555555555</v>
      </c>
      <c r="M220" s="817"/>
      <c r="N220" s="817"/>
      <c r="O220" s="817">
        <v>0.47443287037037035</v>
      </c>
      <c r="P220" s="817">
        <v>0.71737268518518515</v>
      </c>
      <c r="Q220" s="817"/>
      <c r="R220" s="816"/>
      <c r="S220" s="817"/>
      <c r="T220" s="817"/>
      <c r="U220" s="816" t="s">
        <v>9551</v>
      </c>
      <c r="V220" s="816" t="s">
        <v>9551</v>
      </c>
      <c r="W220" s="267"/>
      <c r="X220" s="816" t="s">
        <v>26</v>
      </c>
      <c r="Y220">
        <v>34.1</v>
      </c>
      <c r="Z220">
        <v>17</v>
      </c>
      <c r="AA220" s="816" t="s">
        <v>9560</v>
      </c>
      <c r="AB220" s="816" t="s">
        <v>9602</v>
      </c>
      <c r="AC220" s="816"/>
      <c r="AD220" s="816"/>
      <c r="AE220" s="816"/>
      <c r="AF220" s="816"/>
      <c r="AG220" s="816"/>
      <c r="AI220" s="816"/>
      <c r="AK220" s="816"/>
      <c r="AM220" s="816"/>
    </row>
    <row r="221" spans="1:39" x14ac:dyDescent="0.25">
      <c r="A221" s="265">
        <v>43647</v>
      </c>
      <c r="B221">
        <v>1</v>
      </c>
      <c r="C221" s="816" t="s">
        <v>4</v>
      </c>
      <c r="D221">
        <v>533</v>
      </c>
      <c r="E221" s="816" t="s">
        <v>9541</v>
      </c>
      <c r="F221" s="816" t="s">
        <v>25</v>
      </c>
      <c r="G221" s="816" t="s">
        <v>9547</v>
      </c>
      <c r="H221">
        <v>14</v>
      </c>
      <c r="I221" s="816" t="s">
        <v>9</v>
      </c>
      <c r="J221" s="816" t="s">
        <v>9</v>
      </c>
      <c r="K221" s="817">
        <v>0.16494212962962962</v>
      </c>
      <c r="L221" s="817">
        <v>0.2316087962962963</v>
      </c>
      <c r="M221" s="817"/>
      <c r="N221" s="817"/>
      <c r="O221" s="817">
        <v>0.47457175925925926</v>
      </c>
      <c r="P221" s="817">
        <v>0.71753472222222225</v>
      </c>
      <c r="Q221" s="817"/>
      <c r="R221" s="816"/>
      <c r="S221" s="817"/>
      <c r="T221" s="817"/>
      <c r="U221" s="816" t="s">
        <v>9551</v>
      </c>
      <c r="V221" s="816" t="s">
        <v>9551</v>
      </c>
      <c r="W221" s="267"/>
      <c r="X221" s="816" t="s">
        <v>26</v>
      </c>
      <c r="Y221">
        <v>40.700000000000003</v>
      </c>
      <c r="Z221">
        <v>20.100000000000001</v>
      </c>
      <c r="AA221" s="816" t="s">
        <v>9561</v>
      </c>
      <c r="AB221" s="816" t="s">
        <v>9603</v>
      </c>
      <c r="AC221" s="816"/>
      <c r="AD221" s="816"/>
      <c r="AE221" s="816"/>
      <c r="AF221" s="816"/>
      <c r="AG221" s="816"/>
      <c r="AI221" s="816"/>
      <c r="AK221" s="816"/>
      <c r="AM221" s="816"/>
    </row>
    <row r="222" spans="1:39" x14ac:dyDescent="0.25">
      <c r="A222" s="265">
        <v>43648</v>
      </c>
      <c r="B222">
        <v>2</v>
      </c>
      <c r="C222" s="816" t="s">
        <v>5</v>
      </c>
      <c r="D222">
        <v>533</v>
      </c>
      <c r="E222" s="816" t="s">
        <v>9541</v>
      </c>
      <c r="F222" s="816" t="s">
        <v>25</v>
      </c>
      <c r="G222" s="816" t="s">
        <v>9547</v>
      </c>
      <c r="H222">
        <v>15</v>
      </c>
      <c r="I222" s="816" t="s">
        <v>22</v>
      </c>
      <c r="J222" s="816" t="s">
        <v>22</v>
      </c>
      <c r="K222" s="817">
        <v>0.16503472222222224</v>
      </c>
      <c r="L222" s="817">
        <v>0.23170138888888889</v>
      </c>
      <c r="M222" s="817"/>
      <c r="N222" s="817"/>
      <c r="O222" s="817">
        <v>0.47469907407407402</v>
      </c>
      <c r="P222" s="817">
        <v>0.71769675925925924</v>
      </c>
      <c r="Q222" s="817"/>
      <c r="R222" s="816"/>
      <c r="S222" s="817"/>
      <c r="T222" s="817"/>
      <c r="U222" s="816" t="s">
        <v>9551</v>
      </c>
      <c r="V222" s="816" t="s">
        <v>9551</v>
      </c>
      <c r="W222" s="267"/>
      <c r="X222" s="816" t="s">
        <v>26</v>
      </c>
      <c r="Y222">
        <v>50.2</v>
      </c>
      <c r="Z222">
        <v>25.8</v>
      </c>
      <c r="AA222" s="816" t="s">
        <v>9562</v>
      </c>
      <c r="AB222" s="816" t="s">
        <v>9579</v>
      </c>
      <c r="AC222" s="816"/>
      <c r="AD222" s="816"/>
      <c r="AE222" s="816"/>
      <c r="AF222" s="816"/>
      <c r="AG222" s="816"/>
      <c r="AI222" s="816"/>
      <c r="AK222" s="816"/>
      <c r="AM222" s="816"/>
    </row>
    <row r="223" spans="1:39" x14ac:dyDescent="0.25">
      <c r="A223" s="265">
        <v>43649</v>
      </c>
      <c r="B223">
        <v>3</v>
      </c>
      <c r="C223" s="816" t="s">
        <v>6</v>
      </c>
      <c r="D223">
        <v>533</v>
      </c>
      <c r="E223" s="816" t="s">
        <v>9541</v>
      </c>
      <c r="F223" s="816" t="s">
        <v>24</v>
      </c>
      <c r="G223" s="816" t="s">
        <v>9546</v>
      </c>
      <c r="H223">
        <v>16</v>
      </c>
      <c r="I223" s="816" t="s">
        <v>11</v>
      </c>
      <c r="J223" s="816" t="s">
        <v>11</v>
      </c>
      <c r="K223" s="817">
        <v>0.16513888888888889</v>
      </c>
      <c r="L223" s="817">
        <v>0.23180555555555557</v>
      </c>
      <c r="M223" s="817"/>
      <c r="N223" s="817"/>
      <c r="O223" s="817">
        <v>0.47483796296296293</v>
      </c>
      <c r="P223" s="817">
        <v>0.71785879629629623</v>
      </c>
      <c r="Q223" s="817"/>
      <c r="R223" s="816"/>
      <c r="S223" s="817"/>
      <c r="T223" s="817"/>
      <c r="U223" s="816" t="s">
        <v>9551</v>
      </c>
      <c r="V223" s="816" t="s">
        <v>9551</v>
      </c>
      <c r="W223" s="267"/>
      <c r="X223" s="816" t="s">
        <v>26</v>
      </c>
      <c r="Y223">
        <v>62.1</v>
      </c>
      <c r="Z223">
        <v>33.6</v>
      </c>
      <c r="AA223" s="816" t="s">
        <v>9563</v>
      </c>
      <c r="AB223" s="816" t="s">
        <v>9581</v>
      </c>
      <c r="AC223" s="816"/>
      <c r="AD223" s="816"/>
      <c r="AE223" s="816"/>
      <c r="AF223" s="816"/>
      <c r="AG223" s="816" t="s">
        <v>51</v>
      </c>
      <c r="AH223">
        <v>1</v>
      </c>
      <c r="AI223" s="816"/>
      <c r="AK223" s="816"/>
      <c r="AM223" s="816"/>
    </row>
    <row r="224" spans="1:39" x14ac:dyDescent="0.25">
      <c r="A224" s="265">
        <v>43650</v>
      </c>
      <c r="B224">
        <v>4</v>
      </c>
      <c r="C224" s="816" t="s">
        <v>7</v>
      </c>
      <c r="D224">
        <v>533</v>
      </c>
      <c r="E224" s="816" t="s">
        <v>9541</v>
      </c>
      <c r="F224" s="816" t="s">
        <v>24</v>
      </c>
      <c r="G224" s="816" t="s">
        <v>9546</v>
      </c>
      <c r="H224">
        <v>17</v>
      </c>
      <c r="I224" s="816" t="s">
        <v>12</v>
      </c>
      <c r="J224" s="816" t="s">
        <v>12</v>
      </c>
      <c r="K224" s="817">
        <v>0.16521990740740741</v>
      </c>
      <c r="L224" s="817">
        <v>0.23188657407407409</v>
      </c>
      <c r="M224" s="817"/>
      <c r="N224" s="817"/>
      <c r="O224" s="817">
        <v>0.47495370370370371</v>
      </c>
      <c r="P224" s="817">
        <v>0.71802083333333344</v>
      </c>
      <c r="Q224" s="817"/>
      <c r="R224" s="816"/>
      <c r="S224" s="817"/>
      <c r="T224" s="817"/>
      <c r="U224" s="816" t="s">
        <v>9551</v>
      </c>
      <c r="V224" s="816" t="s">
        <v>9551</v>
      </c>
      <c r="W224" s="267"/>
      <c r="X224" s="816" t="s">
        <v>26</v>
      </c>
      <c r="Y224">
        <v>75.599999999999994</v>
      </c>
      <c r="Z224">
        <v>42.9</v>
      </c>
      <c r="AA224" s="816" t="s">
        <v>9564</v>
      </c>
      <c r="AB224" s="816" t="s">
        <v>9582</v>
      </c>
      <c r="AC224" s="816"/>
      <c r="AD224" s="816"/>
      <c r="AE224" s="816"/>
      <c r="AF224" s="816"/>
      <c r="AG224" s="816" t="s">
        <v>52</v>
      </c>
      <c r="AH224">
        <v>1</v>
      </c>
      <c r="AI224" s="816"/>
      <c r="AK224" s="816"/>
      <c r="AM224" s="816"/>
    </row>
    <row r="225" spans="1:39" x14ac:dyDescent="0.25">
      <c r="A225" s="265">
        <v>43651</v>
      </c>
      <c r="B225">
        <v>5</v>
      </c>
      <c r="C225" s="816" t="s">
        <v>1</v>
      </c>
      <c r="D225">
        <v>533</v>
      </c>
      <c r="E225" s="816" t="s">
        <v>9541</v>
      </c>
      <c r="F225" s="816" t="s">
        <v>24</v>
      </c>
      <c r="G225" s="816" t="s">
        <v>9546</v>
      </c>
      <c r="H225">
        <v>18</v>
      </c>
      <c r="I225" s="816" t="s">
        <v>23</v>
      </c>
      <c r="J225" s="816" t="s">
        <v>23</v>
      </c>
      <c r="K225" s="817">
        <v>0.1653125</v>
      </c>
      <c r="L225" s="817">
        <v>0.23197916666666665</v>
      </c>
      <c r="M225" s="817"/>
      <c r="N225" s="817"/>
      <c r="O225" s="817">
        <v>0.47508101851851853</v>
      </c>
      <c r="P225" s="817">
        <v>0.71819444444444447</v>
      </c>
      <c r="Q225" s="817"/>
      <c r="R225" s="816"/>
      <c r="S225" s="817"/>
      <c r="T225" s="817"/>
      <c r="U225" s="816" t="s">
        <v>9551</v>
      </c>
      <c r="V225" s="816" t="s">
        <v>9551</v>
      </c>
      <c r="W225" s="267"/>
      <c r="X225" s="816" t="s">
        <v>26</v>
      </c>
      <c r="Y225">
        <v>89.9</v>
      </c>
      <c r="Z225">
        <v>53</v>
      </c>
      <c r="AA225" s="816" t="s">
        <v>9565</v>
      </c>
      <c r="AB225" s="816" t="s">
        <v>9583</v>
      </c>
      <c r="AC225" s="816"/>
      <c r="AD225" s="816"/>
      <c r="AE225" s="816"/>
      <c r="AF225" s="816"/>
      <c r="AG225" s="816"/>
      <c r="AI225" s="816"/>
      <c r="AK225" s="816"/>
      <c r="AM225" s="816"/>
    </row>
    <row r="226" spans="1:39" x14ac:dyDescent="0.25">
      <c r="A226" s="265">
        <v>43652</v>
      </c>
      <c r="B226">
        <v>6</v>
      </c>
      <c r="C226" s="816" t="s">
        <v>2</v>
      </c>
      <c r="D226">
        <v>533</v>
      </c>
      <c r="E226" s="816" t="s">
        <v>9541</v>
      </c>
      <c r="F226" s="816" t="s">
        <v>24</v>
      </c>
      <c r="G226" s="816" t="s">
        <v>9546</v>
      </c>
      <c r="H226">
        <v>20</v>
      </c>
      <c r="I226" s="816" t="s">
        <v>14</v>
      </c>
      <c r="J226" s="816" t="s">
        <v>13</v>
      </c>
      <c r="K226" s="817">
        <v>0.16538194444444446</v>
      </c>
      <c r="L226" s="817">
        <v>0.23204861111111111</v>
      </c>
      <c r="M226" s="817"/>
      <c r="N226" s="817"/>
      <c r="O226" s="817">
        <v>0.47519675925925925</v>
      </c>
      <c r="P226" s="817">
        <v>0.71834490740740742</v>
      </c>
      <c r="Q226" s="817"/>
      <c r="R226" s="816"/>
      <c r="S226" s="817">
        <v>0.31944444444444448</v>
      </c>
      <c r="T226" s="817">
        <v>0.19513888888888889</v>
      </c>
      <c r="U226" s="816" t="s">
        <v>9551</v>
      </c>
      <c r="V226" s="816" t="s">
        <v>9551</v>
      </c>
      <c r="W226" s="267"/>
      <c r="X226" s="816" t="s">
        <v>26</v>
      </c>
      <c r="Y226">
        <v>4.2</v>
      </c>
      <c r="Z226">
        <v>62.9</v>
      </c>
      <c r="AA226" s="816" t="s">
        <v>9566</v>
      </c>
      <c r="AB226" s="816" t="s">
        <v>9584</v>
      </c>
      <c r="AC226" s="816"/>
      <c r="AD226" s="816"/>
      <c r="AE226" s="816"/>
      <c r="AF226" s="816"/>
      <c r="AG226" s="816"/>
      <c r="AI226" s="816"/>
      <c r="AK226" s="816"/>
      <c r="AM226" s="816"/>
    </row>
    <row r="227" spans="1:39" x14ac:dyDescent="0.25">
      <c r="A227" s="265">
        <v>43653</v>
      </c>
      <c r="B227">
        <v>0</v>
      </c>
      <c r="C227" s="816" t="s">
        <v>3</v>
      </c>
      <c r="D227">
        <v>533</v>
      </c>
      <c r="E227" s="816" t="s">
        <v>9541</v>
      </c>
      <c r="F227" s="816" t="s">
        <v>24</v>
      </c>
      <c r="G227" s="816" t="s">
        <v>9546</v>
      </c>
      <c r="H227">
        <v>21</v>
      </c>
      <c r="I227" s="816" t="s">
        <v>15</v>
      </c>
      <c r="J227" s="816" t="s">
        <v>15</v>
      </c>
      <c r="K227" s="817">
        <v>0.16545138888888888</v>
      </c>
      <c r="L227" s="817">
        <v>0.23211805555555554</v>
      </c>
      <c r="M227" s="817"/>
      <c r="N227" s="817"/>
      <c r="O227" s="817">
        <v>0.47531250000000003</v>
      </c>
      <c r="P227" s="817">
        <v>0.71850694444444452</v>
      </c>
      <c r="Q227" s="817"/>
      <c r="R227" s="816"/>
      <c r="S227" s="817"/>
      <c r="T227" s="817"/>
      <c r="U227" s="816" t="s">
        <v>9551</v>
      </c>
      <c r="V227" s="816" t="s">
        <v>9551</v>
      </c>
      <c r="W227" s="267"/>
      <c r="X227" s="816" t="s">
        <v>26</v>
      </c>
      <c r="Y227">
        <v>17.5</v>
      </c>
      <c r="Z227">
        <v>72.099999999999994</v>
      </c>
      <c r="AA227" s="816" t="s">
        <v>9567</v>
      </c>
      <c r="AB227" s="816" t="s">
        <v>9585</v>
      </c>
      <c r="AC227" s="816"/>
      <c r="AD227" s="816"/>
      <c r="AE227" s="816"/>
      <c r="AF227" s="816"/>
      <c r="AG227" s="816"/>
      <c r="AI227" s="816"/>
      <c r="AK227" s="816"/>
      <c r="AM227" s="816"/>
    </row>
    <row r="228" spans="1:39" x14ac:dyDescent="0.25">
      <c r="A228" s="265">
        <v>43654</v>
      </c>
      <c r="B228">
        <v>1</v>
      </c>
      <c r="C228" s="816" t="s">
        <v>4</v>
      </c>
      <c r="D228">
        <v>533</v>
      </c>
      <c r="E228" s="816" t="s">
        <v>9541</v>
      </c>
      <c r="F228" s="816" t="s">
        <v>24</v>
      </c>
      <c r="G228" s="816" t="s">
        <v>9546</v>
      </c>
      <c r="H228">
        <v>22</v>
      </c>
      <c r="I228" s="816" t="s">
        <v>16</v>
      </c>
      <c r="J228" s="816" t="s">
        <v>16</v>
      </c>
      <c r="K228" s="817">
        <v>0.16552083333333334</v>
      </c>
      <c r="L228" s="817">
        <v>0.23218749999999999</v>
      </c>
      <c r="M228" s="817"/>
      <c r="N228" s="817"/>
      <c r="O228" s="817">
        <v>0.47542824074074069</v>
      </c>
      <c r="P228" s="817">
        <v>0.71866898148148151</v>
      </c>
      <c r="Q228" s="817"/>
      <c r="R228" s="816"/>
      <c r="S228" s="817"/>
      <c r="T228" s="817"/>
      <c r="U228" s="816" t="s">
        <v>9551</v>
      </c>
      <c r="V228" s="816" t="s">
        <v>9551</v>
      </c>
      <c r="W228" s="267"/>
      <c r="X228" s="816" t="s">
        <v>26</v>
      </c>
      <c r="Y228">
        <v>29.4</v>
      </c>
      <c r="Z228">
        <v>79.900000000000006</v>
      </c>
      <c r="AA228" s="816" t="s">
        <v>9568</v>
      </c>
      <c r="AB228" s="816" t="s">
        <v>9586</v>
      </c>
      <c r="AC228" s="816"/>
      <c r="AD228" s="816"/>
      <c r="AE228" s="816"/>
      <c r="AF228" s="816"/>
      <c r="AG228" s="816" t="s">
        <v>53</v>
      </c>
      <c r="AH228">
        <v>1</v>
      </c>
      <c r="AI228" s="816"/>
      <c r="AK228" s="816"/>
      <c r="AM228" s="816"/>
    </row>
    <row r="229" spans="1:39" x14ac:dyDescent="0.25">
      <c r="A229" s="265">
        <v>43655</v>
      </c>
      <c r="B229">
        <v>2</v>
      </c>
      <c r="C229" s="816" t="s">
        <v>5</v>
      </c>
      <c r="D229">
        <v>533</v>
      </c>
      <c r="E229" s="816" t="s">
        <v>9541</v>
      </c>
      <c r="F229" s="816" t="s">
        <v>24</v>
      </c>
      <c r="G229" s="816" t="s">
        <v>9546</v>
      </c>
      <c r="H229">
        <v>23</v>
      </c>
      <c r="I229" s="816" t="s">
        <v>17</v>
      </c>
      <c r="J229" s="816" t="s">
        <v>17</v>
      </c>
      <c r="K229" s="817">
        <v>0.16556712962962963</v>
      </c>
      <c r="L229" s="817">
        <v>0.23223379629629629</v>
      </c>
      <c r="M229" s="817"/>
      <c r="N229" s="817"/>
      <c r="O229" s="817">
        <v>0.47553240740740743</v>
      </c>
      <c r="P229" s="817">
        <v>0.71881944444444434</v>
      </c>
      <c r="Q229" s="817"/>
      <c r="R229" s="816"/>
      <c r="S229" s="817"/>
      <c r="T229" s="817"/>
      <c r="U229" s="816" t="s">
        <v>9551</v>
      </c>
      <c r="V229" s="816" t="s">
        <v>9551</v>
      </c>
      <c r="W229" s="267"/>
      <c r="X229" s="816" t="s">
        <v>26</v>
      </c>
      <c r="Y229">
        <v>39.299999999999997</v>
      </c>
      <c r="Z229">
        <v>86</v>
      </c>
      <c r="AA229" s="816" t="s">
        <v>9569</v>
      </c>
      <c r="AB229" s="816" t="s">
        <v>9587</v>
      </c>
      <c r="AC229" s="816"/>
      <c r="AD229" s="816"/>
      <c r="AE229" s="816"/>
      <c r="AF229" s="816"/>
      <c r="AG229" s="816"/>
      <c r="AI229" s="816"/>
      <c r="AK229" s="816"/>
      <c r="AM229" s="816"/>
    </row>
    <row r="230" spans="1:39" x14ac:dyDescent="0.25">
      <c r="A230" s="265">
        <v>43656</v>
      </c>
      <c r="B230">
        <v>3</v>
      </c>
      <c r="C230" s="816" t="s">
        <v>6</v>
      </c>
      <c r="D230">
        <v>533</v>
      </c>
      <c r="E230" s="816" t="s">
        <v>9541</v>
      </c>
      <c r="F230" s="816" t="s">
        <v>24</v>
      </c>
      <c r="G230" s="816" t="s">
        <v>9546</v>
      </c>
      <c r="H230">
        <v>24</v>
      </c>
      <c r="I230" s="816" t="s">
        <v>18</v>
      </c>
      <c r="J230" s="816" t="s">
        <v>18</v>
      </c>
      <c r="K230" s="817">
        <v>0.16561342592592593</v>
      </c>
      <c r="L230" s="817">
        <v>0.23228009259259261</v>
      </c>
      <c r="M230" s="817"/>
      <c r="N230" s="817"/>
      <c r="O230" s="817">
        <v>0.47563657407407406</v>
      </c>
      <c r="P230" s="817">
        <v>0.71898148148148155</v>
      </c>
      <c r="Q230" s="817"/>
      <c r="R230" s="816"/>
      <c r="S230" s="817"/>
      <c r="T230" s="817"/>
      <c r="U230" s="816" t="s">
        <v>9551</v>
      </c>
      <c r="V230" s="816" t="s">
        <v>9551</v>
      </c>
      <c r="W230" s="267"/>
      <c r="X230" s="816" t="s">
        <v>26</v>
      </c>
      <c r="Y230">
        <v>47</v>
      </c>
      <c r="Z230">
        <v>90.1</v>
      </c>
      <c r="AA230" s="816" t="s">
        <v>9570</v>
      </c>
      <c r="AB230" s="816" t="s">
        <v>9588</v>
      </c>
      <c r="AC230" s="816"/>
      <c r="AD230" s="816"/>
      <c r="AE230" s="816"/>
      <c r="AF230" s="816"/>
      <c r="AG230" s="816"/>
      <c r="AI230" s="816"/>
      <c r="AK230" s="816"/>
      <c r="AM230" s="816"/>
    </row>
    <row r="231" spans="1:39" x14ac:dyDescent="0.25">
      <c r="A231" s="265">
        <v>43657</v>
      </c>
      <c r="B231">
        <v>4</v>
      </c>
      <c r="C231" s="816" t="s">
        <v>7</v>
      </c>
      <c r="D231">
        <v>533</v>
      </c>
      <c r="E231" s="816" t="s">
        <v>9541</v>
      </c>
      <c r="F231" s="816" t="s">
        <v>24</v>
      </c>
      <c r="G231" s="816" t="s">
        <v>9546</v>
      </c>
      <c r="H231">
        <v>25</v>
      </c>
      <c r="I231" s="816" t="s">
        <v>19</v>
      </c>
      <c r="J231" s="816" t="s">
        <v>19</v>
      </c>
      <c r="K231" s="817">
        <v>0.16565972222222222</v>
      </c>
      <c r="L231" s="817">
        <v>0.2323263888888889</v>
      </c>
      <c r="M231" s="817"/>
      <c r="N231" s="817"/>
      <c r="O231" s="817">
        <v>0.4757291666666667</v>
      </c>
      <c r="P231" s="817">
        <v>0.71913194444444439</v>
      </c>
      <c r="Q231" s="817"/>
      <c r="R231" s="816"/>
      <c r="S231" s="817"/>
      <c r="T231" s="817"/>
      <c r="U231" s="816" t="s">
        <v>9551</v>
      </c>
      <c r="V231" s="816" t="s">
        <v>9551</v>
      </c>
      <c r="W231" s="267"/>
      <c r="X231" s="816" t="s">
        <v>26</v>
      </c>
      <c r="Y231">
        <v>52.4</v>
      </c>
      <c r="Z231">
        <v>92.2</v>
      </c>
      <c r="AA231" s="816" t="s">
        <v>9571</v>
      </c>
      <c r="AB231" s="816" t="s">
        <v>9589</v>
      </c>
      <c r="AC231" s="816"/>
      <c r="AD231" s="816"/>
      <c r="AE231" s="816"/>
      <c r="AF231" s="816"/>
      <c r="AG231" s="816"/>
      <c r="AI231" s="816"/>
      <c r="AK231" s="816"/>
      <c r="AM231" s="816"/>
    </row>
    <row r="232" spans="1:39" x14ac:dyDescent="0.25">
      <c r="A232" s="265">
        <v>43658</v>
      </c>
      <c r="B232">
        <v>5</v>
      </c>
      <c r="C232" s="816" t="s">
        <v>1</v>
      </c>
      <c r="D232">
        <v>533</v>
      </c>
      <c r="E232" s="816" t="s">
        <v>9541</v>
      </c>
      <c r="F232" s="816" t="s">
        <v>24</v>
      </c>
      <c r="G232" s="816" t="s">
        <v>9546</v>
      </c>
      <c r="H232">
        <v>26</v>
      </c>
      <c r="I232" s="816" t="s">
        <v>9548</v>
      </c>
      <c r="J232" s="816" t="s">
        <v>20</v>
      </c>
      <c r="K232" s="817">
        <v>0.16569444444444445</v>
      </c>
      <c r="L232" s="817">
        <v>0.2323611111111111</v>
      </c>
      <c r="M232" s="817"/>
      <c r="N232" s="817"/>
      <c r="O232" s="817">
        <v>0.47582175925925929</v>
      </c>
      <c r="P232" s="817">
        <v>0.71928240740740745</v>
      </c>
      <c r="Q232" s="817"/>
      <c r="R232" s="816"/>
      <c r="S232" s="817"/>
      <c r="T232" s="817"/>
      <c r="U232" s="816" t="s">
        <v>9551</v>
      </c>
      <c r="V232" s="816" t="s">
        <v>9551</v>
      </c>
      <c r="W232" s="267"/>
      <c r="X232" s="816" t="s">
        <v>26</v>
      </c>
      <c r="Y232">
        <v>55.7</v>
      </c>
      <c r="Z232">
        <v>92.2</v>
      </c>
      <c r="AA232" s="816" t="s">
        <v>9572</v>
      </c>
      <c r="AB232" s="816" t="s">
        <v>9590</v>
      </c>
      <c r="AC232" s="816" t="s">
        <v>9624</v>
      </c>
      <c r="AD232" s="816"/>
      <c r="AE232" s="816"/>
      <c r="AF232" s="816" t="s">
        <v>72</v>
      </c>
      <c r="AG232" s="816" t="s">
        <v>55</v>
      </c>
      <c r="AH232">
        <v>-1</v>
      </c>
      <c r="AI232" s="816" t="s">
        <v>54</v>
      </c>
      <c r="AJ232">
        <v>1</v>
      </c>
      <c r="AK232" s="816"/>
      <c r="AM232" s="816"/>
    </row>
    <row r="233" spans="1:39" x14ac:dyDescent="0.25">
      <c r="A233" s="265">
        <v>43659</v>
      </c>
      <c r="B233">
        <v>6</v>
      </c>
      <c r="C233" s="816" t="s">
        <v>2</v>
      </c>
      <c r="D233">
        <v>533</v>
      </c>
      <c r="E233" s="816" t="s">
        <v>9541</v>
      </c>
      <c r="F233" s="816" t="s">
        <v>24</v>
      </c>
      <c r="G233" s="816" t="s">
        <v>9546</v>
      </c>
      <c r="H233">
        <v>27</v>
      </c>
      <c r="I233" s="816" t="s">
        <v>21</v>
      </c>
      <c r="J233" s="816" t="s">
        <v>21</v>
      </c>
      <c r="K233" s="817">
        <v>0.16571759259259258</v>
      </c>
      <c r="L233" s="817">
        <v>0.23238425925925923</v>
      </c>
      <c r="M233" s="817">
        <v>0.23194444444444443</v>
      </c>
      <c r="N233" s="817">
        <v>0.39444444444444443</v>
      </c>
      <c r="O233" s="817">
        <v>0.47590277777777779</v>
      </c>
      <c r="P233" s="817">
        <v>0.7194328703703704</v>
      </c>
      <c r="Q233" s="817"/>
      <c r="R233" s="816"/>
      <c r="S233" s="817"/>
      <c r="T233" s="817"/>
      <c r="U233" s="816" t="s">
        <v>9551</v>
      </c>
      <c r="V233" s="816" t="s">
        <v>9551</v>
      </c>
      <c r="W233" s="267"/>
      <c r="X233" s="816" t="s">
        <v>26</v>
      </c>
      <c r="Y233">
        <v>56.7</v>
      </c>
      <c r="Z233">
        <v>90.3</v>
      </c>
      <c r="AA233" s="816" t="s">
        <v>9573</v>
      </c>
      <c r="AB233" s="816" t="s">
        <v>9591</v>
      </c>
      <c r="AC233" s="816"/>
      <c r="AD233" s="816"/>
      <c r="AE233" s="816"/>
      <c r="AF233" s="816"/>
      <c r="AG233" s="816"/>
      <c r="AI233" s="816"/>
      <c r="AK233" s="816"/>
      <c r="AM233" s="816"/>
    </row>
    <row r="234" spans="1:39" x14ac:dyDescent="0.25">
      <c r="A234" s="265">
        <v>43660</v>
      </c>
      <c r="B234">
        <v>0</v>
      </c>
      <c r="C234" s="816" t="s">
        <v>3</v>
      </c>
      <c r="D234">
        <v>533</v>
      </c>
      <c r="E234" s="816" t="s">
        <v>9541</v>
      </c>
      <c r="F234" s="816" t="s">
        <v>24</v>
      </c>
      <c r="G234" s="816" t="s">
        <v>9546</v>
      </c>
      <c r="H234">
        <v>28</v>
      </c>
      <c r="I234" s="816" t="s">
        <v>8</v>
      </c>
      <c r="J234" s="816" t="s">
        <v>8</v>
      </c>
      <c r="K234" s="817">
        <v>0.16572916666666668</v>
      </c>
      <c r="L234" s="817">
        <v>0.23239583333333333</v>
      </c>
      <c r="M234" s="817"/>
      <c r="N234" s="817"/>
      <c r="O234" s="817">
        <v>0.47598379629629628</v>
      </c>
      <c r="P234" s="817">
        <v>0.7195717592592592</v>
      </c>
      <c r="Q234" s="817"/>
      <c r="R234" s="816"/>
      <c r="S234" s="817"/>
      <c r="T234" s="817"/>
      <c r="U234" s="816" t="s">
        <v>9551</v>
      </c>
      <c r="V234" s="816" t="s">
        <v>9551</v>
      </c>
      <c r="W234" s="267"/>
      <c r="X234" s="816" t="s">
        <v>26</v>
      </c>
      <c r="Y234">
        <v>55.8</v>
      </c>
      <c r="Z234">
        <v>86.6</v>
      </c>
      <c r="AA234" s="816" t="s">
        <v>9574</v>
      </c>
      <c r="AB234" s="816" t="s">
        <v>9605</v>
      </c>
      <c r="AC234" s="816"/>
      <c r="AD234" s="816"/>
      <c r="AE234" s="816"/>
      <c r="AF234" s="816"/>
      <c r="AG234" s="816"/>
      <c r="AI234" s="816"/>
      <c r="AK234" s="816"/>
      <c r="AM234" s="816"/>
    </row>
    <row r="235" spans="1:39" x14ac:dyDescent="0.25">
      <c r="A235" s="265">
        <v>43661</v>
      </c>
      <c r="B235">
        <v>1</v>
      </c>
      <c r="C235" s="816" t="s">
        <v>4</v>
      </c>
      <c r="D235">
        <v>533</v>
      </c>
      <c r="E235" s="816" t="s">
        <v>9541</v>
      </c>
      <c r="F235" s="816" t="s">
        <v>24</v>
      </c>
      <c r="G235" s="816" t="s">
        <v>9546</v>
      </c>
      <c r="H235">
        <v>29</v>
      </c>
      <c r="I235" s="816" t="s">
        <v>9</v>
      </c>
      <c r="J235" s="816" t="s">
        <v>9</v>
      </c>
      <c r="K235" s="817">
        <v>0.16574074074074074</v>
      </c>
      <c r="L235" s="817">
        <v>0.2324074074074074</v>
      </c>
      <c r="M235" s="817"/>
      <c r="N235" s="817"/>
      <c r="O235" s="817">
        <v>0.47605324074074074</v>
      </c>
      <c r="P235" s="817">
        <v>0.71971064814814811</v>
      </c>
      <c r="Q235" s="817"/>
      <c r="R235" s="816"/>
      <c r="S235" s="817"/>
      <c r="T235" s="817"/>
      <c r="U235" s="816" t="s">
        <v>9551</v>
      </c>
      <c r="V235" s="816" t="s">
        <v>9551</v>
      </c>
      <c r="W235" s="267"/>
      <c r="X235" s="816" t="s">
        <v>26</v>
      </c>
      <c r="Y235">
        <v>53</v>
      </c>
      <c r="Z235">
        <v>81.3</v>
      </c>
      <c r="AA235" s="816" t="s">
        <v>9575</v>
      </c>
      <c r="AB235" s="816" t="s">
        <v>9592</v>
      </c>
      <c r="AC235" s="816"/>
      <c r="AD235" s="816"/>
      <c r="AE235" s="816"/>
      <c r="AF235" s="816"/>
      <c r="AG235" s="816"/>
      <c r="AI235" s="816"/>
      <c r="AK235" s="816"/>
      <c r="AM235" s="816"/>
    </row>
    <row r="236" spans="1:39" x14ac:dyDescent="0.25">
      <c r="A236" s="265">
        <v>43662</v>
      </c>
      <c r="B236">
        <v>2</v>
      </c>
      <c r="C236" s="816" t="s">
        <v>5</v>
      </c>
      <c r="D236">
        <v>533</v>
      </c>
      <c r="E236" s="816" t="s">
        <v>9541</v>
      </c>
      <c r="F236" s="816" t="s">
        <v>24</v>
      </c>
      <c r="G236" s="816" t="s">
        <v>9546</v>
      </c>
      <c r="H236">
        <v>30</v>
      </c>
      <c r="I236" s="816" t="s">
        <v>10</v>
      </c>
      <c r="J236" s="816" t="s">
        <v>10</v>
      </c>
      <c r="K236" s="817">
        <v>0.16574074074074074</v>
      </c>
      <c r="L236" s="817">
        <v>0.2324074074074074</v>
      </c>
      <c r="M236" s="817"/>
      <c r="N236" s="817"/>
      <c r="O236" s="817">
        <v>0.47612268518518519</v>
      </c>
      <c r="P236" s="817">
        <v>0.71984953703703702</v>
      </c>
      <c r="Q236" s="817"/>
      <c r="R236" s="816"/>
      <c r="S236" s="817"/>
      <c r="T236" s="817"/>
      <c r="U236" s="816" t="s">
        <v>9551</v>
      </c>
      <c r="V236" s="816" t="s">
        <v>9551</v>
      </c>
      <c r="W236" s="267"/>
      <c r="X236" s="816" t="s">
        <v>26</v>
      </c>
      <c r="Y236">
        <v>48.5</v>
      </c>
      <c r="Z236">
        <v>74.400000000000006</v>
      </c>
      <c r="AA236" s="816" t="s">
        <v>9576</v>
      </c>
      <c r="AB236" s="816" t="s">
        <v>9593</v>
      </c>
      <c r="AC236" s="816" t="s">
        <v>9625</v>
      </c>
      <c r="AD236" s="816"/>
      <c r="AE236" s="816"/>
      <c r="AF236" s="816"/>
      <c r="AG236" s="816"/>
      <c r="AI236" s="816"/>
      <c r="AK236" s="816"/>
      <c r="AM236" s="816"/>
    </row>
    <row r="237" spans="1:39" x14ac:dyDescent="0.25">
      <c r="A237" s="265">
        <v>43663</v>
      </c>
      <c r="B237">
        <v>3</v>
      </c>
      <c r="C237" s="816" t="s">
        <v>6</v>
      </c>
      <c r="D237">
        <v>533</v>
      </c>
      <c r="E237" s="816" t="s">
        <v>9542</v>
      </c>
      <c r="F237" s="816" t="s">
        <v>25</v>
      </c>
      <c r="G237" s="816" t="s">
        <v>9547</v>
      </c>
      <c r="H237">
        <v>1</v>
      </c>
      <c r="I237" s="816" t="s">
        <v>11</v>
      </c>
      <c r="J237" s="816" t="s">
        <v>11</v>
      </c>
      <c r="K237" s="817">
        <v>0.16572916666666668</v>
      </c>
      <c r="L237" s="817">
        <v>0.23239583333333333</v>
      </c>
      <c r="M237" s="817"/>
      <c r="N237" s="817"/>
      <c r="O237" s="817">
        <v>0.47619212962962965</v>
      </c>
      <c r="P237" s="817">
        <v>0.71997685185185178</v>
      </c>
      <c r="Q237" s="817">
        <v>0.83152777777777775</v>
      </c>
      <c r="R237" s="816" t="s">
        <v>80</v>
      </c>
      <c r="S237" s="817"/>
      <c r="T237" s="817"/>
      <c r="U237" s="816" t="s">
        <v>9551</v>
      </c>
      <c r="V237" s="816" t="s">
        <v>9551</v>
      </c>
      <c r="W237" s="267"/>
      <c r="X237" s="816" t="s">
        <v>26</v>
      </c>
      <c r="Y237">
        <v>42.6</v>
      </c>
      <c r="Z237">
        <v>66.2</v>
      </c>
      <c r="AA237" s="816" t="s">
        <v>9577</v>
      </c>
      <c r="AB237" s="816" t="s">
        <v>9594</v>
      </c>
      <c r="AC237" s="816" t="s">
        <v>9626</v>
      </c>
      <c r="AD237" s="816"/>
      <c r="AE237" s="816"/>
      <c r="AF237" s="816"/>
      <c r="AG237" s="816"/>
      <c r="AI237" s="816"/>
      <c r="AK237" s="816"/>
      <c r="AM237" s="816"/>
    </row>
    <row r="238" spans="1:39" x14ac:dyDescent="0.25">
      <c r="A238" s="265">
        <v>43664</v>
      </c>
      <c r="B238">
        <v>4</v>
      </c>
      <c r="C238" s="816" t="s">
        <v>7</v>
      </c>
      <c r="D238">
        <v>533</v>
      </c>
      <c r="E238" s="816" t="s">
        <v>9542</v>
      </c>
      <c r="F238" s="816" t="s">
        <v>25</v>
      </c>
      <c r="G238" s="816" t="s">
        <v>9547</v>
      </c>
      <c r="H238">
        <v>2</v>
      </c>
      <c r="I238" s="816" t="s">
        <v>12</v>
      </c>
      <c r="J238" s="816" t="s">
        <v>12</v>
      </c>
      <c r="K238" s="817">
        <v>0.16570601851851852</v>
      </c>
      <c r="L238" s="817">
        <v>0.2323726851851852</v>
      </c>
      <c r="M238" s="817"/>
      <c r="N238" s="817"/>
      <c r="O238" s="817">
        <v>0.47623842592592597</v>
      </c>
      <c r="P238" s="817">
        <v>0.7201157407407407</v>
      </c>
      <c r="Q238" s="817"/>
      <c r="R238" s="816"/>
      <c r="S238" s="817"/>
      <c r="T238" s="817"/>
      <c r="U238" s="816" t="s">
        <v>9551</v>
      </c>
      <c r="V238" s="816" t="s">
        <v>9551</v>
      </c>
      <c r="W238" s="267"/>
      <c r="X238" s="816" t="s">
        <v>26</v>
      </c>
      <c r="Y238">
        <v>35.4</v>
      </c>
      <c r="Z238">
        <v>56.9</v>
      </c>
      <c r="AA238" s="816" t="s">
        <v>9552</v>
      </c>
      <c r="AB238" s="816" t="s">
        <v>9595</v>
      </c>
      <c r="AC238" s="816"/>
      <c r="AD238" s="816"/>
      <c r="AE238" s="816"/>
      <c r="AF238" s="816"/>
      <c r="AG238" s="816"/>
      <c r="AI238" s="816"/>
      <c r="AK238" s="816"/>
      <c r="AM238" s="816"/>
    </row>
    <row r="239" spans="1:39" x14ac:dyDescent="0.25">
      <c r="A239" s="265">
        <v>43665</v>
      </c>
      <c r="B239">
        <v>5</v>
      </c>
      <c r="C239" s="816" t="s">
        <v>1</v>
      </c>
      <c r="D239">
        <v>533</v>
      </c>
      <c r="E239" s="816" t="s">
        <v>9542</v>
      </c>
      <c r="F239" s="816" t="s">
        <v>25</v>
      </c>
      <c r="G239" s="816" t="s">
        <v>9547</v>
      </c>
      <c r="H239">
        <v>3</v>
      </c>
      <c r="I239" s="816" t="s">
        <v>23</v>
      </c>
      <c r="J239" s="816" t="s">
        <v>23</v>
      </c>
      <c r="K239" s="817">
        <v>0.16568287037037036</v>
      </c>
      <c r="L239" s="817">
        <v>0.23234953703703706</v>
      </c>
      <c r="M239" s="817"/>
      <c r="N239" s="817"/>
      <c r="O239" s="817">
        <v>0.47629629629629627</v>
      </c>
      <c r="P239" s="817">
        <v>0.72024305555555557</v>
      </c>
      <c r="Q239" s="817"/>
      <c r="R239" s="816"/>
      <c r="S239" s="817"/>
      <c r="T239" s="817"/>
      <c r="U239" s="816" t="s">
        <v>9551</v>
      </c>
      <c r="V239" s="816" t="s">
        <v>9551</v>
      </c>
      <c r="W239" s="267"/>
      <c r="X239" s="816" t="s">
        <v>26</v>
      </c>
      <c r="Y239">
        <v>27.1</v>
      </c>
      <c r="Z239">
        <v>46.6</v>
      </c>
      <c r="AA239" s="816" t="s">
        <v>9553</v>
      </c>
      <c r="AB239" s="816" t="s">
        <v>9596</v>
      </c>
      <c r="AC239" s="816"/>
      <c r="AD239" s="816"/>
      <c r="AE239" s="816"/>
      <c r="AF239" s="816"/>
      <c r="AG239" s="816"/>
      <c r="AI239" s="816"/>
      <c r="AK239" s="816"/>
      <c r="AM239" s="816"/>
    </row>
    <row r="240" spans="1:39" x14ac:dyDescent="0.25">
      <c r="A240" s="265">
        <v>43666</v>
      </c>
      <c r="B240">
        <v>6</v>
      </c>
      <c r="C240" s="816" t="s">
        <v>2</v>
      </c>
      <c r="D240">
        <v>533</v>
      </c>
      <c r="E240" s="816" t="s">
        <v>9542</v>
      </c>
      <c r="F240" s="816" t="s">
        <v>25</v>
      </c>
      <c r="G240" s="816" t="s">
        <v>9547</v>
      </c>
      <c r="H240">
        <v>4</v>
      </c>
      <c r="I240" s="816" t="s">
        <v>13</v>
      </c>
      <c r="J240" s="816" t="s">
        <v>13</v>
      </c>
      <c r="K240" s="817">
        <v>0.16564814814814813</v>
      </c>
      <c r="L240" s="817">
        <v>0.23231481481481484</v>
      </c>
      <c r="M240" s="817"/>
      <c r="N240" s="817"/>
      <c r="O240" s="817">
        <v>0.4763425925925926</v>
      </c>
      <c r="P240" s="817">
        <v>0.7203587962962964</v>
      </c>
      <c r="Q240" s="817"/>
      <c r="R240" s="816"/>
      <c r="S240" s="817"/>
      <c r="T240" s="817"/>
      <c r="U240" s="816" t="s">
        <v>9551</v>
      </c>
      <c r="V240" s="816" t="s">
        <v>9551</v>
      </c>
      <c r="W240" s="267"/>
      <c r="X240" s="816" t="s">
        <v>26</v>
      </c>
      <c r="Y240">
        <v>18.2</v>
      </c>
      <c r="Z240">
        <v>35.700000000000003</v>
      </c>
      <c r="AA240" s="816" t="s">
        <v>9554</v>
      </c>
      <c r="AB240" s="816" t="s">
        <v>9597</v>
      </c>
      <c r="AC240" s="816"/>
      <c r="AD240" s="816"/>
      <c r="AE240" s="816"/>
      <c r="AF240" s="816"/>
      <c r="AG240" s="816"/>
      <c r="AI240" s="816"/>
      <c r="AK240" s="816"/>
      <c r="AM240" s="816"/>
    </row>
    <row r="241" spans="1:39" x14ac:dyDescent="0.25">
      <c r="A241" s="265">
        <v>43667</v>
      </c>
      <c r="B241">
        <v>0</v>
      </c>
      <c r="C241" s="816" t="s">
        <v>3</v>
      </c>
      <c r="D241">
        <v>533</v>
      </c>
      <c r="E241" s="816" t="s">
        <v>9542</v>
      </c>
      <c r="F241" s="816" t="s">
        <v>25</v>
      </c>
      <c r="G241" s="816" t="s">
        <v>9547</v>
      </c>
      <c r="H241">
        <v>5</v>
      </c>
      <c r="I241" s="816" t="s">
        <v>14</v>
      </c>
      <c r="J241" s="816" t="s">
        <v>14</v>
      </c>
      <c r="K241" s="817">
        <v>0.16560185185185186</v>
      </c>
      <c r="L241" s="817">
        <v>0.23226851851851851</v>
      </c>
      <c r="M241" s="817"/>
      <c r="N241" s="817"/>
      <c r="O241" s="817">
        <v>0.47637731481481477</v>
      </c>
      <c r="P241" s="817">
        <v>0.72047453703703701</v>
      </c>
      <c r="Q241" s="817"/>
      <c r="R241" s="816"/>
      <c r="S241" s="817"/>
      <c r="T241" s="817"/>
      <c r="U241" s="816" t="s">
        <v>9551</v>
      </c>
      <c r="V241" s="816" t="s">
        <v>9551</v>
      </c>
      <c r="W241" s="267"/>
      <c r="X241" s="816" t="s">
        <v>26</v>
      </c>
      <c r="Y241">
        <v>9</v>
      </c>
      <c r="Z241">
        <v>24.6</v>
      </c>
      <c r="AA241" s="816" t="s">
        <v>9555</v>
      </c>
      <c r="AB241" s="816" t="s">
        <v>9598</v>
      </c>
      <c r="AC241" s="816"/>
      <c r="AD241" s="816"/>
      <c r="AE241" s="816"/>
      <c r="AF241" s="816"/>
      <c r="AG241" s="816"/>
      <c r="AI241" s="816"/>
      <c r="AK241" s="816"/>
      <c r="AM241" s="816"/>
    </row>
    <row r="242" spans="1:39" x14ac:dyDescent="0.25">
      <c r="A242" s="265">
        <v>43668</v>
      </c>
      <c r="B242">
        <v>1</v>
      </c>
      <c r="C242" s="816" t="s">
        <v>4</v>
      </c>
      <c r="D242">
        <v>533</v>
      </c>
      <c r="E242" s="816" t="s">
        <v>9542</v>
      </c>
      <c r="F242" s="816" t="s">
        <v>25</v>
      </c>
      <c r="G242" s="816" t="s">
        <v>9547</v>
      </c>
      <c r="H242">
        <v>5</v>
      </c>
      <c r="I242" s="816" t="s">
        <v>14</v>
      </c>
      <c r="J242" s="816" t="s">
        <v>14</v>
      </c>
      <c r="K242" s="817">
        <v>0.16555555555555554</v>
      </c>
      <c r="L242" s="817">
        <v>0.23222222222222222</v>
      </c>
      <c r="M242" s="817"/>
      <c r="N242" s="817"/>
      <c r="O242" s="817">
        <v>0.47640046296296296</v>
      </c>
      <c r="P242" s="817">
        <v>0.72059027777777773</v>
      </c>
      <c r="Q242" s="817"/>
      <c r="R242" s="816"/>
      <c r="S242" s="817"/>
      <c r="T242" s="817"/>
      <c r="U242" s="816" t="s">
        <v>9551</v>
      </c>
      <c r="V242" s="816" t="s">
        <v>9551</v>
      </c>
      <c r="W242" s="267"/>
      <c r="X242" s="816" t="s">
        <v>27</v>
      </c>
      <c r="Y242">
        <v>99.9</v>
      </c>
      <c r="Z242">
        <v>13.6</v>
      </c>
      <c r="AA242" s="816" t="s">
        <v>9556</v>
      </c>
      <c r="AB242" s="816" t="s">
        <v>9599</v>
      </c>
      <c r="AC242" s="816"/>
      <c r="AD242" s="816"/>
      <c r="AE242" s="816"/>
      <c r="AF242" s="816"/>
      <c r="AG242" s="816"/>
      <c r="AI242" s="816"/>
      <c r="AK242" s="816"/>
      <c r="AM242" s="816"/>
    </row>
    <row r="243" spans="1:39" x14ac:dyDescent="0.25">
      <c r="A243" s="265">
        <v>43669</v>
      </c>
      <c r="B243">
        <v>2</v>
      </c>
      <c r="C243" s="816" t="s">
        <v>5</v>
      </c>
      <c r="D243">
        <v>533</v>
      </c>
      <c r="E243" s="816" t="s">
        <v>9542</v>
      </c>
      <c r="F243" s="816" t="s">
        <v>25</v>
      </c>
      <c r="G243" s="816" t="s">
        <v>9547</v>
      </c>
      <c r="H243">
        <v>6</v>
      </c>
      <c r="I243" s="816" t="s">
        <v>15</v>
      </c>
      <c r="J243" s="816" t="s">
        <v>15</v>
      </c>
      <c r="K243" s="817">
        <v>0.16548611111111111</v>
      </c>
      <c r="L243" s="817">
        <v>0.23215277777777776</v>
      </c>
      <c r="M243" s="817"/>
      <c r="N243" s="817"/>
      <c r="O243" s="817">
        <v>0.47642361111111109</v>
      </c>
      <c r="P243" s="817">
        <v>0.72069444444444442</v>
      </c>
      <c r="Q243" s="817"/>
      <c r="R243" s="816"/>
      <c r="S243" s="817"/>
      <c r="T243" s="817"/>
      <c r="U243" s="816" t="s">
        <v>9551</v>
      </c>
      <c r="V243" s="816" t="s">
        <v>9551</v>
      </c>
      <c r="W243" s="267"/>
      <c r="X243" s="816" t="s">
        <v>26</v>
      </c>
      <c r="Y243">
        <v>91.4</v>
      </c>
      <c r="Z243">
        <v>3.1</v>
      </c>
      <c r="AA243" s="816" t="s">
        <v>9557</v>
      </c>
      <c r="AB243" s="816" t="s">
        <v>9600</v>
      </c>
      <c r="AC243" s="816"/>
      <c r="AD243" s="816"/>
      <c r="AE243" s="816"/>
      <c r="AF243" s="816"/>
      <c r="AG243" s="816"/>
      <c r="AI243" s="816"/>
      <c r="AK243" s="816"/>
      <c r="AM243" s="816"/>
    </row>
    <row r="244" spans="1:39" x14ac:dyDescent="0.25">
      <c r="A244" s="265">
        <v>43670</v>
      </c>
      <c r="B244">
        <v>3</v>
      </c>
      <c r="C244" s="816" t="s">
        <v>6</v>
      </c>
      <c r="D244">
        <v>533</v>
      </c>
      <c r="E244" s="816" t="s">
        <v>9542</v>
      </c>
      <c r="F244" s="816" t="s">
        <v>25</v>
      </c>
      <c r="G244" s="816" t="s">
        <v>9547</v>
      </c>
      <c r="H244">
        <v>7</v>
      </c>
      <c r="I244" s="816" t="s">
        <v>16</v>
      </c>
      <c r="J244" s="816" t="s">
        <v>16</v>
      </c>
      <c r="K244" s="817">
        <v>0.16541666666666668</v>
      </c>
      <c r="L244" s="817">
        <v>0.23208333333333334</v>
      </c>
      <c r="M244" s="817"/>
      <c r="N244" s="817"/>
      <c r="O244" s="817">
        <v>0.47644675925925922</v>
      </c>
      <c r="P244" s="817">
        <v>0.72081018518518514</v>
      </c>
      <c r="Q244" s="817"/>
      <c r="R244" s="816"/>
      <c r="S244" s="817"/>
      <c r="T244" s="817"/>
      <c r="U244" s="816" t="s">
        <v>9551</v>
      </c>
      <c r="V244" s="816" t="s">
        <v>9551</v>
      </c>
      <c r="W244" s="267"/>
      <c r="X244" s="816" t="s">
        <v>26</v>
      </c>
      <c r="Y244">
        <v>84.2</v>
      </c>
      <c r="Z244">
        <v>93.7</v>
      </c>
      <c r="AA244" s="816" t="s">
        <v>9557</v>
      </c>
      <c r="AB244" s="816" t="s">
        <v>9601</v>
      </c>
      <c r="AC244" s="816"/>
      <c r="AD244" s="816"/>
      <c r="AE244" s="816"/>
      <c r="AF244" s="816"/>
      <c r="AG244" s="816"/>
      <c r="AI244" s="816"/>
      <c r="AK244" s="816"/>
      <c r="AM244" s="816"/>
    </row>
    <row r="245" spans="1:39" x14ac:dyDescent="0.25">
      <c r="A245" s="265">
        <v>43671</v>
      </c>
      <c r="B245">
        <v>4</v>
      </c>
      <c r="C245" s="816" t="s">
        <v>7</v>
      </c>
      <c r="D245">
        <v>533</v>
      </c>
      <c r="E245" s="816" t="s">
        <v>9542</v>
      </c>
      <c r="F245" s="816" t="s">
        <v>25</v>
      </c>
      <c r="G245" s="816" t="s">
        <v>9547</v>
      </c>
      <c r="H245">
        <v>8</v>
      </c>
      <c r="I245" s="816" t="s">
        <v>17</v>
      </c>
      <c r="J245" s="816" t="s">
        <v>17</v>
      </c>
      <c r="K245" s="817">
        <v>0.16533564814814813</v>
      </c>
      <c r="L245" s="817">
        <v>0.23200231481481481</v>
      </c>
      <c r="M245" s="817"/>
      <c r="N245" s="817"/>
      <c r="O245" s="817">
        <v>0.47645833333333337</v>
      </c>
      <c r="P245" s="817">
        <v>0.72090277777777778</v>
      </c>
      <c r="Q245" s="817"/>
      <c r="R245" s="816"/>
      <c r="S245" s="817"/>
      <c r="T245" s="817"/>
      <c r="U245" s="816" t="s">
        <v>9551</v>
      </c>
      <c r="V245" s="816" t="s">
        <v>9551</v>
      </c>
      <c r="W245" s="267"/>
      <c r="X245" s="816" t="s">
        <v>26</v>
      </c>
      <c r="Y245">
        <v>78.7</v>
      </c>
      <c r="Z245">
        <v>86</v>
      </c>
      <c r="AA245" s="816" t="s">
        <v>9558</v>
      </c>
      <c r="AB245" s="816" t="s">
        <v>9602</v>
      </c>
      <c r="AC245" s="816"/>
      <c r="AD245" s="816"/>
      <c r="AE245" s="816"/>
      <c r="AF245" s="816"/>
      <c r="AG245" s="816"/>
      <c r="AI245" s="816"/>
      <c r="AK245" s="816"/>
      <c r="AM245" s="816"/>
    </row>
    <row r="246" spans="1:39" x14ac:dyDescent="0.25">
      <c r="A246" s="265">
        <v>43672</v>
      </c>
      <c r="B246">
        <v>5</v>
      </c>
      <c r="C246" s="816" t="s">
        <v>1</v>
      </c>
      <c r="D246">
        <v>533</v>
      </c>
      <c r="E246" s="816" t="s">
        <v>9542</v>
      </c>
      <c r="F246" s="816" t="s">
        <v>25</v>
      </c>
      <c r="G246" s="816" t="s">
        <v>9547</v>
      </c>
      <c r="H246">
        <v>9</v>
      </c>
      <c r="I246" s="816" t="s">
        <v>18</v>
      </c>
      <c r="J246" s="816" t="s">
        <v>18</v>
      </c>
      <c r="K246" s="817">
        <v>0.16525462962962964</v>
      </c>
      <c r="L246" s="817">
        <v>0.23192129629629629</v>
      </c>
      <c r="M246" s="817"/>
      <c r="N246" s="817"/>
      <c r="O246" s="817">
        <v>0.47645833333333337</v>
      </c>
      <c r="P246" s="817">
        <v>0.72099537037037031</v>
      </c>
      <c r="Q246" s="817"/>
      <c r="R246" s="816"/>
      <c r="S246" s="817"/>
      <c r="T246" s="817"/>
      <c r="U246" s="816" t="s">
        <v>9551</v>
      </c>
      <c r="V246" s="816" t="s">
        <v>9551</v>
      </c>
      <c r="W246" s="267"/>
      <c r="X246" s="816" t="s">
        <v>26</v>
      </c>
      <c r="Y246">
        <v>75.7</v>
      </c>
      <c r="Z246">
        <v>80.400000000000006</v>
      </c>
      <c r="AA246" s="816" t="s">
        <v>9578</v>
      </c>
      <c r="AB246" s="816" t="s">
        <v>9603</v>
      </c>
      <c r="AC246" s="816"/>
      <c r="AD246" s="816"/>
      <c r="AE246" s="816"/>
      <c r="AF246" s="816"/>
      <c r="AG246" s="816"/>
      <c r="AI246" s="816"/>
      <c r="AK246" s="816"/>
      <c r="AM246" s="816"/>
    </row>
    <row r="247" spans="1:39" x14ac:dyDescent="0.25">
      <c r="A247" s="265">
        <v>43673</v>
      </c>
      <c r="B247">
        <v>6</v>
      </c>
      <c r="C247" s="816" t="s">
        <v>2</v>
      </c>
      <c r="D247">
        <v>533</v>
      </c>
      <c r="E247" s="816" t="s">
        <v>9542</v>
      </c>
      <c r="F247" s="816" t="s">
        <v>25</v>
      </c>
      <c r="G247" s="816" t="s">
        <v>9547</v>
      </c>
      <c r="H247">
        <v>10</v>
      </c>
      <c r="I247" s="816" t="s">
        <v>19</v>
      </c>
      <c r="J247" s="816" t="s">
        <v>19</v>
      </c>
      <c r="K247" s="817">
        <v>0.16515046296296296</v>
      </c>
      <c r="L247" s="817">
        <v>0.23181712962962964</v>
      </c>
      <c r="M247" s="817"/>
      <c r="N247" s="817"/>
      <c r="O247" s="817">
        <v>0.47645833333333337</v>
      </c>
      <c r="P247" s="817">
        <v>0.72108796296296296</v>
      </c>
      <c r="Q247" s="817"/>
      <c r="R247" s="816"/>
      <c r="S247" s="817"/>
      <c r="T247" s="817"/>
      <c r="U247" s="816" t="s">
        <v>9551</v>
      </c>
      <c r="V247" s="816" t="s">
        <v>9551</v>
      </c>
      <c r="W247" s="267"/>
      <c r="X247" s="816" t="s">
        <v>26</v>
      </c>
      <c r="Y247">
        <v>75.599999999999994</v>
      </c>
      <c r="Z247">
        <v>77.5</v>
      </c>
      <c r="AA247" s="816" t="s">
        <v>9559</v>
      </c>
      <c r="AB247" s="816" t="s">
        <v>9579</v>
      </c>
      <c r="AC247" s="816"/>
      <c r="AD247" s="816"/>
      <c r="AE247" s="816"/>
      <c r="AF247" s="816"/>
      <c r="AG247" s="816"/>
      <c r="AI247" s="816"/>
      <c r="AK247" s="816"/>
      <c r="AM247" s="816"/>
    </row>
    <row r="248" spans="1:39" x14ac:dyDescent="0.25">
      <c r="A248" s="265">
        <v>43674</v>
      </c>
      <c r="B248">
        <v>0</v>
      </c>
      <c r="C248" s="816" t="s">
        <v>3</v>
      </c>
      <c r="D248">
        <v>533</v>
      </c>
      <c r="E248" s="816" t="s">
        <v>9542</v>
      </c>
      <c r="F248" s="816" t="s">
        <v>25</v>
      </c>
      <c r="G248" s="816" t="s">
        <v>9547</v>
      </c>
      <c r="H248">
        <v>11</v>
      </c>
      <c r="I248" s="816" t="s">
        <v>9548</v>
      </c>
      <c r="J248" s="816" t="s">
        <v>20</v>
      </c>
      <c r="K248" s="817">
        <v>0.1650462962962963</v>
      </c>
      <c r="L248" s="817">
        <v>0.23171296296296295</v>
      </c>
      <c r="M248" s="817"/>
      <c r="N248" s="817"/>
      <c r="O248" s="817">
        <v>0.47644675925925922</v>
      </c>
      <c r="P248" s="817">
        <v>0.72116898148148145</v>
      </c>
      <c r="Q248" s="817"/>
      <c r="R248" s="816"/>
      <c r="S248" s="817"/>
      <c r="T248" s="817"/>
      <c r="U248" s="816" t="s">
        <v>9551</v>
      </c>
      <c r="V248" s="816" t="s">
        <v>9551</v>
      </c>
      <c r="W248" s="267"/>
      <c r="X248" s="816" t="s">
        <v>26</v>
      </c>
      <c r="Y248">
        <v>78.900000000000006</v>
      </c>
      <c r="Z248">
        <v>77.599999999999994</v>
      </c>
      <c r="AA248" s="816" t="s">
        <v>9560</v>
      </c>
      <c r="AB248" s="816" t="s">
        <v>9580</v>
      </c>
      <c r="AC248" s="816"/>
      <c r="AD248" s="816"/>
      <c r="AE248" s="816"/>
      <c r="AF248" s="816" t="s">
        <v>72</v>
      </c>
      <c r="AG248" s="816" t="s">
        <v>56</v>
      </c>
      <c r="AH248">
        <v>-1</v>
      </c>
      <c r="AI248" s="816"/>
      <c r="AK248" s="816"/>
      <c r="AM248" s="816"/>
    </row>
    <row r="249" spans="1:39" x14ac:dyDescent="0.25">
      <c r="A249" s="265">
        <v>43675</v>
      </c>
      <c r="B249">
        <v>1</v>
      </c>
      <c r="C249" s="816" t="s">
        <v>4</v>
      </c>
      <c r="D249">
        <v>533</v>
      </c>
      <c r="E249" s="816" t="s">
        <v>9542</v>
      </c>
      <c r="F249" s="816" t="s">
        <v>25</v>
      </c>
      <c r="G249" s="816" t="s">
        <v>9547</v>
      </c>
      <c r="H249">
        <v>12</v>
      </c>
      <c r="I249" s="816" t="s">
        <v>21</v>
      </c>
      <c r="J249" s="816" t="s">
        <v>21</v>
      </c>
      <c r="K249" s="817">
        <v>0.16493055555555555</v>
      </c>
      <c r="L249" s="817">
        <v>0.23159722222222223</v>
      </c>
      <c r="M249" s="817">
        <v>0.23124999999999998</v>
      </c>
      <c r="N249" s="817">
        <v>0.36180555555555555</v>
      </c>
      <c r="O249" s="817">
        <v>0.47642361111111109</v>
      </c>
      <c r="P249" s="817">
        <v>0.72124999999999995</v>
      </c>
      <c r="Q249" s="817"/>
      <c r="R249" s="816"/>
      <c r="S249" s="817"/>
      <c r="T249" s="817"/>
      <c r="U249" s="816" t="s">
        <v>9551</v>
      </c>
      <c r="V249" s="816" t="s">
        <v>9551</v>
      </c>
      <c r="W249" s="267"/>
      <c r="X249" s="816" t="s">
        <v>26</v>
      </c>
      <c r="Y249">
        <v>85.8</v>
      </c>
      <c r="Z249">
        <v>81</v>
      </c>
      <c r="AA249" s="816" t="s">
        <v>9561</v>
      </c>
      <c r="AB249" s="816" t="s">
        <v>9581</v>
      </c>
      <c r="AC249" s="816"/>
      <c r="AD249" s="816"/>
      <c r="AE249" s="816"/>
      <c r="AF249" s="816"/>
      <c r="AG249" s="816"/>
      <c r="AI249" s="816"/>
      <c r="AK249" s="816"/>
      <c r="AM249" s="816"/>
    </row>
    <row r="250" spans="1:39" x14ac:dyDescent="0.25">
      <c r="A250" s="265">
        <v>43676</v>
      </c>
      <c r="B250">
        <v>2</v>
      </c>
      <c r="C250" s="816" t="s">
        <v>5</v>
      </c>
      <c r="D250">
        <v>533</v>
      </c>
      <c r="E250" s="816" t="s">
        <v>9542</v>
      </c>
      <c r="F250" s="816" t="s">
        <v>25</v>
      </c>
      <c r="G250" s="816" t="s">
        <v>9547</v>
      </c>
      <c r="H250">
        <v>13</v>
      </c>
      <c r="I250" s="816" t="s">
        <v>8</v>
      </c>
      <c r="J250" s="816" t="s">
        <v>8</v>
      </c>
      <c r="K250" s="817">
        <v>0.16480324074074074</v>
      </c>
      <c r="L250" s="817">
        <v>0.23146990740740739</v>
      </c>
      <c r="M250" s="817"/>
      <c r="N250" s="817"/>
      <c r="O250" s="817">
        <v>0.47640046296296296</v>
      </c>
      <c r="P250" s="817">
        <v>0.72133101851851855</v>
      </c>
      <c r="Q250" s="817"/>
      <c r="R250" s="816"/>
      <c r="S250" s="817"/>
      <c r="T250" s="817"/>
      <c r="U250" s="816" t="s">
        <v>9551</v>
      </c>
      <c r="V250" s="816" t="s">
        <v>9551</v>
      </c>
      <c r="W250" s="267"/>
      <c r="X250" s="816" t="s">
        <v>26</v>
      </c>
      <c r="Y250">
        <v>96.3</v>
      </c>
      <c r="Z250">
        <v>87.6</v>
      </c>
      <c r="AA250" s="816" t="s">
        <v>9562</v>
      </c>
      <c r="AB250" s="816" t="s">
        <v>9582</v>
      </c>
      <c r="AC250" s="816"/>
      <c r="AD250" s="816"/>
      <c r="AE250" s="816"/>
      <c r="AF250" s="816"/>
      <c r="AG250" s="816"/>
      <c r="AI250" s="816"/>
      <c r="AK250" s="816"/>
      <c r="AM250" s="816"/>
    </row>
    <row r="251" spans="1:39" x14ac:dyDescent="0.25">
      <c r="A251" s="265">
        <v>43677</v>
      </c>
      <c r="B251">
        <v>3</v>
      </c>
      <c r="C251" s="816" t="s">
        <v>6</v>
      </c>
      <c r="D251">
        <v>533</v>
      </c>
      <c r="E251" s="816" t="s">
        <v>9542</v>
      </c>
      <c r="F251" s="816" t="s">
        <v>25</v>
      </c>
      <c r="G251" s="816" t="s">
        <v>9547</v>
      </c>
      <c r="H251">
        <v>15</v>
      </c>
      <c r="I251" s="816" t="s">
        <v>22</v>
      </c>
      <c r="J251" s="816" t="s">
        <v>22</v>
      </c>
      <c r="K251" s="817">
        <v>0.16467592592592592</v>
      </c>
      <c r="L251" s="817">
        <v>0.2313425925925926</v>
      </c>
      <c r="M251" s="817"/>
      <c r="N251" s="817"/>
      <c r="O251" s="817">
        <v>0.47636574074074073</v>
      </c>
      <c r="P251" s="817">
        <v>0.72140046296296301</v>
      </c>
      <c r="Q251" s="817"/>
      <c r="R251" s="816"/>
      <c r="S251" s="817">
        <v>0.26458333333333334</v>
      </c>
      <c r="T251" s="817">
        <v>0.1451388888888889</v>
      </c>
      <c r="U251" s="816" t="s">
        <v>9551</v>
      </c>
      <c r="V251" s="816" t="s">
        <v>9551</v>
      </c>
      <c r="W251" s="267"/>
      <c r="X251" s="816" t="s">
        <v>26</v>
      </c>
      <c r="Y251">
        <v>9.9</v>
      </c>
      <c r="Z251">
        <v>97</v>
      </c>
      <c r="AA251" s="816" t="s">
        <v>9563</v>
      </c>
      <c r="AB251" s="816" t="s">
        <v>9583</v>
      </c>
      <c r="AC251" s="816"/>
      <c r="AD251" s="816"/>
      <c r="AE251" s="816"/>
      <c r="AF251" s="816"/>
      <c r="AG251" s="816"/>
      <c r="AI251" s="816"/>
      <c r="AK251" s="816"/>
      <c r="AM251" s="816"/>
    </row>
    <row r="252" spans="1:39" x14ac:dyDescent="0.25">
      <c r="A252" s="265">
        <v>43678</v>
      </c>
      <c r="B252">
        <v>4</v>
      </c>
      <c r="C252" s="816" t="s">
        <v>7</v>
      </c>
      <c r="D252">
        <v>533</v>
      </c>
      <c r="E252" s="816" t="s">
        <v>9542</v>
      </c>
      <c r="F252" s="816" t="s">
        <v>24</v>
      </c>
      <c r="G252" s="816" t="s">
        <v>9546</v>
      </c>
      <c r="H252">
        <v>16</v>
      </c>
      <c r="I252" s="816" t="s">
        <v>11</v>
      </c>
      <c r="J252" s="816" t="s">
        <v>11</v>
      </c>
      <c r="K252" s="817">
        <v>0.16452546296296297</v>
      </c>
      <c r="L252" s="817">
        <v>0.23119212962962962</v>
      </c>
      <c r="M252" s="817"/>
      <c r="N252" s="817"/>
      <c r="O252" s="817">
        <v>0.4763310185185185</v>
      </c>
      <c r="P252" s="817">
        <v>0.72145833333333342</v>
      </c>
      <c r="Q252" s="817"/>
      <c r="R252" s="816"/>
      <c r="S252" s="817"/>
      <c r="T252" s="817"/>
      <c r="U252" s="816" t="s">
        <v>9551</v>
      </c>
      <c r="V252" s="816" t="s">
        <v>9551</v>
      </c>
      <c r="W252" s="267"/>
      <c r="X252" s="816" t="s">
        <v>26</v>
      </c>
      <c r="Y252">
        <v>25.9</v>
      </c>
      <c r="Z252">
        <v>8.6</v>
      </c>
      <c r="AA252" s="816" t="s">
        <v>9565</v>
      </c>
      <c r="AB252" s="816" t="s">
        <v>9584</v>
      </c>
      <c r="AC252" s="816"/>
      <c r="AD252" s="816"/>
      <c r="AE252" s="816"/>
      <c r="AF252" s="816"/>
      <c r="AG252" s="816"/>
      <c r="AI252" s="816"/>
      <c r="AK252" s="816"/>
      <c r="AM252" s="816"/>
    </row>
    <row r="253" spans="1:39" x14ac:dyDescent="0.25">
      <c r="A253" s="265">
        <v>43679</v>
      </c>
      <c r="B253">
        <v>5</v>
      </c>
      <c r="C253" s="816" t="s">
        <v>1</v>
      </c>
      <c r="D253">
        <v>533</v>
      </c>
      <c r="E253" s="816" t="s">
        <v>9542</v>
      </c>
      <c r="F253" s="816" t="s">
        <v>24</v>
      </c>
      <c r="G253" s="816" t="s">
        <v>9546</v>
      </c>
      <c r="H253">
        <v>17</v>
      </c>
      <c r="I253" s="816" t="s">
        <v>12</v>
      </c>
      <c r="J253" s="816" t="s">
        <v>12</v>
      </c>
      <c r="K253" s="817">
        <v>0.16437500000000002</v>
      </c>
      <c r="L253" s="817">
        <v>0.23104166666666667</v>
      </c>
      <c r="M253" s="817"/>
      <c r="N253" s="817"/>
      <c r="O253" s="817">
        <v>0.47628472222222223</v>
      </c>
      <c r="P253" s="817">
        <v>0.72152777777777777</v>
      </c>
      <c r="Q253" s="817"/>
      <c r="R253" s="816"/>
      <c r="S253" s="817"/>
      <c r="T253" s="817"/>
      <c r="U253" s="816" t="s">
        <v>9551</v>
      </c>
      <c r="V253" s="816" t="s">
        <v>9551</v>
      </c>
      <c r="W253" s="267"/>
      <c r="X253" s="816" t="s">
        <v>26</v>
      </c>
      <c r="Y253">
        <v>43.2</v>
      </c>
      <c r="Z253">
        <v>21.4</v>
      </c>
      <c r="AA253" s="816" t="s">
        <v>9566</v>
      </c>
      <c r="AB253" s="816" t="s">
        <v>9586</v>
      </c>
      <c r="AC253" s="816"/>
      <c r="AD253" s="816"/>
      <c r="AE253" s="816"/>
      <c r="AF253" s="816"/>
      <c r="AG253" s="816"/>
      <c r="AI253" s="816"/>
      <c r="AK253" s="816"/>
      <c r="AM253" s="816"/>
    </row>
    <row r="254" spans="1:39" x14ac:dyDescent="0.25">
      <c r="A254" s="265">
        <v>43680</v>
      </c>
      <c r="B254">
        <v>6</v>
      </c>
      <c r="C254" s="816" t="s">
        <v>2</v>
      </c>
      <c r="D254">
        <v>533</v>
      </c>
      <c r="E254" s="816" t="s">
        <v>9542</v>
      </c>
      <c r="F254" s="816" t="s">
        <v>24</v>
      </c>
      <c r="G254" s="816" t="s">
        <v>9546</v>
      </c>
      <c r="H254">
        <v>18</v>
      </c>
      <c r="I254" s="816" t="s">
        <v>23</v>
      </c>
      <c r="J254" s="816" t="s">
        <v>23</v>
      </c>
      <c r="K254" s="817">
        <v>0.16421296296296298</v>
      </c>
      <c r="L254" s="817">
        <v>0.23087962962962963</v>
      </c>
      <c r="M254" s="817"/>
      <c r="N254" s="817"/>
      <c r="O254" s="817">
        <v>0.47622685185185182</v>
      </c>
      <c r="P254" s="817">
        <v>0.72157407407407403</v>
      </c>
      <c r="Q254" s="817"/>
      <c r="R254" s="816"/>
      <c r="S254" s="817"/>
      <c r="T254" s="817"/>
      <c r="U254" s="816" t="s">
        <v>9551</v>
      </c>
      <c r="V254" s="816" t="s">
        <v>9551</v>
      </c>
      <c r="W254" s="267"/>
      <c r="X254" s="816" t="s">
        <v>26</v>
      </c>
      <c r="Y254">
        <v>60.6</v>
      </c>
      <c r="Z254">
        <v>34.200000000000003</v>
      </c>
      <c r="AA254" s="816" t="s">
        <v>9567</v>
      </c>
      <c r="AB254" s="816" t="s">
        <v>9604</v>
      </c>
      <c r="AC254" s="816"/>
      <c r="AD254" s="816"/>
      <c r="AE254" s="816"/>
      <c r="AF254" s="816"/>
      <c r="AG254" s="816"/>
      <c r="AI254" s="816"/>
      <c r="AK254" s="816"/>
      <c r="AM254" s="816"/>
    </row>
    <row r="255" spans="1:39" x14ac:dyDescent="0.25">
      <c r="A255" s="265">
        <v>43681</v>
      </c>
      <c r="B255">
        <v>0</v>
      </c>
      <c r="C255" s="816" t="s">
        <v>3</v>
      </c>
      <c r="D255">
        <v>533</v>
      </c>
      <c r="E255" s="816" t="s">
        <v>9542</v>
      </c>
      <c r="F255" s="816" t="s">
        <v>24</v>
      </c>
      <c r="G255" s="816" t="s">
        <v>9546</v>
      </c>
      <c r="H255">
        <v>19</v>
      </c>
      <c r="I255" s="816" t="s">
        <v>13</v>
      </c>
      <c r="J255" s="816" t="s">
        <v>13</v>
      </c>
      <c r="K255" s="817">
        <v>0.16405092592592593</v>
      </c>
      <c r="L255" s="817">
        <v>0.23071759259259261</v>
      </c>
      <c r="M255" s="817"/>
      <c r="N255" s="817"/>
      <c r="O255" s="817">
        <v>0.47616898148148151</v>
      </c>
      <c r="P255" s="817">
        <v>0.72162037037037041</v>
      </c>
      <c r="Q255" s="817"/>
      <c r="R255" s="816"/>
      <c r="S255" s="817"/>
      <c r="T255" s="817"/>
      <c r="U255" s="816" t="s">
        <v>9551</v>
      </c>
      <c r="V255" s="816" t="s">
        <v>9551</v>
      </c>
      <c r="W255" s="267"/>
      <c r="X255" s="816" t="s">
        <v>26</v>
      </c>
      <c r="Y255">
        <v>76.900000000000006</v>
      </c>
      <c r="Z255">
        <v>46.1</v>
      </c>
      <c r="AA255" s="816" t="s">
        <v>9568</v>
      </c>
      <c r="AB255" s="816" t="s">
        <v>9587</v>
      </c>
      <c r="AC255" s="816"/>
      <c r="AD255" s="816"/>
      <c r="AE255" s="816"/>
      <c r="AF255" s="816"/>
      <c r="AG255" s="816"/>
      <c r="AI255" s="816"/>
      <c r="AK255" s="816"/>
      <c r="AM255" s="816"/>
    </row>
    <row r="256" spans="1:39" x14ac:dyDescent="0.25">
      <c r="A256" s="265">
        <v>43682</v>
      </c>
      <c r="B256">
        <v>1</v>
      </c>
      <c r="C256" s="816" t="s">
        <v>4</v>
      </c>
      <c r="D256">
        <v>533</v>
      </c>
      <c r="E256" s="816" t="s">
        <v>9542</v>
      </c>
      <c r="F256" s="816" t="s">
        <v>24</v>
      </c>
      <c r="G256" s="816" t="s">
        <v>9546</v>
      </c>
      <c r="H256">
        <v>20</v>
      </c>
      <c r="I256" s="816" t="s">
        <v>14</v>
      </c>
      <c r="J256" s="816" t="s">
        <v>14</v>
      </c>
      <c r="K256" s="817">
        <v>0.16387731481481482</v>
      </c>
      <c r="L256" s="817">
        <v>0.23054398148148147</v>
      </c>
      <c r="M256" s="817"/>
      <c r="N256" s="817"/>
      <c r="O256" s="817">
        <v>0.47609953703703706</v>
      </c>
      <c r="P256" s="817">
        <v>0.72166666666666668</v>
      </c>
      <c r="Q256" s="817"/>
      <c r="R256" s="816"/>
      <c r="S256" s="817"/>
      <c r="T256" s="817"/>
      <c r="U256" s="816" t="s">
        <v>9551</v>
      </c>
      <c r="V256" s="816" t="s">
        <v>9551</v>
      </c>
      <c r="W256" s="267"/>
      <c r="X256" s="816" t="s">
        <v>26</v>
      </c>
      <c r="Y256">
        <v>91</v>
      </c>
      <c r="Z256">
        <v>55.9</v>
      </c>
      <c r="AA256" s="816" t="s">
        <v>9569</v>
      </c>
      <c r="AB256" s="816" t="s">
        <v>9588</v>
      </c>
      <c r="AC256" s="816"/>
      <c r="AD256" s="816"/>
      <c r="AE256" s="816"/>
      <c r="AF256" s="816"/>
      <c r="AG256" s="816"/>
      <c r="AI256" s="816"/>
      <c r="AK256" s="816"/>
      <c r="AM256" s="816"/>
    </row>
    <row r="257" spans="1:39" x14ac:dyDescent="0.25">
      <c r="A257" s="265">
        <v>43683</v>
      </c>
      <c r="B257">
        <v>2</v>
      </c>
      <c r="C257" s="816" t="s">
        <v>5</v>
      </c>
      <c r="D257">
        <v>533</v>
      </c>
      <c r="E257" s="816" t="s">
        <v>9542</v>
      </c>
      <c r="F257" s="816" t="s">
        <v>24</v>
      </c>
      <c r="G257" s="816" t="s">
        <v>9546</v>
      </c>
      <c r="H257">
        <v>22</v>
      </c>
      <c r="I257" s="816" t="s">
        <v>16</v>
      </c>
      <c r="J257" s="816" t="s">
        <v>15</v>
      </c>
      <c r="K257" s="817">
        <v>0.16368055555555555</v>
      </c>
      <c r="L257" s="817">
        <v>0.23034722222222223</v>
      </c>
      <c r="M257" s="817"/>
      <c r="N257" s="817"/>
      <c r="O257" s="817">
        <v>0.4760300925925926</v>
      </c>
      <c r="P257" s="817">
        <v>0.72170138888888891</v>
      </c>
      <c r="Q257" s="817"/>
      <c r="R257" s="816"/>
      <c r="S257" s="817">
        <v>0.30972222222222223</v>
      </c>
      <c r="T257" s="817">
        <v>0.20902777777777778</v>
      </c>
      <c r="U257" s="816" t="s">
        <v>9551</v>
      </c>
      <c r="V257" s="816" t="s">
        <v>9551</v>
      </c>
      <c r="W257" s="267"/>
      <c r="X257" s="816" t="s">
        <v>26</v>
      </c>
      <c r="Y257">
        <v>2.2999999999999998</v>
      </c>
      <c r="Z257">
        <v>63.2</v>
      </c>
      <c r="AA257" s="816" t="s">
        <v>9570</v>
      </c>
      <c r="AB257" s="816" t="s">
        <v>9589</v>
      </c>
      <c r="AC257" s="816"/>
      <c r="AD257" s="816"/>
      <c r="AE257" s="816"/>
      <c r="AF257" s="816"/>
      <c r="AG257" s="816"/>
      <c r="AI257" s="816"/>
      <c r="AK257" s="816"/>
      <c r="AM257" s="816"/>
    </row>
    <row r="258" spans="1:39" x14ac:dyDescent="0.25">
      <c r="A258" s="265">
        <v>43684</v>
      </c>
      <c r="B258">
        <v>3</v>
      </c>
      <c r="C258" s="816" t="s">
        <v>6</v>
      </c>
      <c r="D258">
        <v>533</v>
      </c>
      <c r="E258" s="816" t="s">
        <v>9542</v>
      </c>
      <c r="F258" s="816" t="s">
        <v>24</v>
      </c>
      <c r="G258" s="816" t="s">
        <v>9546</v>
      </c>
      <c r="H258">
        <v>23</v>
      </c>
      <c r="I258" s="816" t="s">
        <v>17</v>
      </c>
      <c r="J258" s="816" t="s">
        <v>17</v>
      </c>
      <c r="K258" s="817">
        <v>0.16349537037037037</v>
      </c>
      <c r="L258" s="817">
        <v>0.23016203703703705</v>
      </c>
      <c r="M258" s="817"/>
      <c r="N258" s="817"/>
      <c r="O258" s="817">
        <v>0.47594907407407411</v>
      </c>
      <c r="P258" s="817">
        <v>0.72173611111111102</v>
      </c>
      <c r="Q258" s="817"/>
      <c r="R258" s="816"/>
      <c r="S258" s="817"/>
      <c r="T258" s="817"/>
      <c r="U258" s="816" t="s">
        <v>9551</v>
      </c>
      <c r="V258" s="816" t="s">
        <v>9551</v>
      </c>
      <c r="W258" s="267"/>
      <c r="X258" s="816" t="s">
        <v>26</v>
      </c>
      <c r="Y258">
        <v>10.3</v>
      </c>
      <c r="Z258">
        <v>67.599999999999994</v>
      </c>
      <c r="AA258" s="816" t="s">
        <v>9571</v>
      </c>
      <c r="AB258" s="816" t="s">
        <v>9590</v>
      </c>
      <c r="AC258" s="816"/>
      <c r="AD258" s="816"/>
      <c r="AE258" s="816"/>
      <c r="AF258" s="816"/>
      <c r="AG258" s="816"/>
      <c r="AI258" s="816"/>
      <c r="AK258" s="816"/>
      <c r="AM258" s="816"/>
    </row>
    <row r="259" spans="1:39" x14ac:dyDescent="0.25">
      <c r="A259" s="265">
        <v>43685</v>
      </c>
      <c r="B259">
        <v>4</v>
      </c>
      <c r="C259" s="816" t="s">
        <v>7</v>
      </c>
      <c r="D259">
        <v>533</v>
      </c>
      <c r="E259" s="816" t="s">
        <v>9542</v>
      </c>
      <c r="F259" s="816" t="s">
        <v>24</v>
      </c>
      <c r="G259" s="816" t="s">
        <v>9546</v>
      </c>
      <c r="H259">
        <v>24</v>
      </c>
      <c r="I259" s="816" t="s">
        <v>18</v>
      </c>
      <c r="J259" s="816" t="s">
        <v>18</v>
      </c>
      <c r="K259" s="817">
        <v>0.16328703703703704</v>
      </c>
      <c r="L259" s="817">
        <v>0.22995370370370372</v>
      </c>
      <c r="M259" s="817"/>
      <c r="N259" s="817"/>
      <c r="O259" s="817">
        <v>0.47585648148148146</v>
      </c>
      <c r="P259" s="817">
        <v>0.72177083333333336</v>
      </c>
      <c r="Q259" s="817"/>
      <c r="R259" s="816"/>
      <c r="S259" s="817"/>
      <c r="T259" s="817"/>
      <c r="U259" s="816" t="s">
        <v>9551</v>
      </c>
      <c r="V259" s="816" t="s">
        <v>9551</v>
      </c>
      <c r="W259" s="267"/>
      <c r="X259" s="816" t="s">
        <v>26</v>
      </c>
      <c r="Y259">
        <v>15</v>
      </c>
      <c r="Z259">
        <v>69</v>
      </c>
      <c r="AA259" s="816" t="s">
        <v>9572</v>
      </c>
      <c r="AB259" s="816" t="s">
        <v>9605</v>
      </c>
      <c r="AC259" s="816"/>
      <c r="AD259" s="816"/>
      <c r="AE259" s="816"/>
      <c r="AF259" s="816"/>
      <c r="AG259" s="816"/>
      <c r="AI259" s="816"/>
      <c r="AK259" s="816"/>
      <c r="AM259" s="816"/>
    </row>
    <row r="260" spans="1:39" x14ac:dyDescent="0.25">
      <c r="A260" s="265">
        <v>43686</v>
      </c>
      <c r="B260">
        <v>5</v>
      </c>
      <c r="C260" s="816" t="s">
        <v>1</v>
      </c>
      <c r="D260">
        <v>533</v>
      </c>
      <c r="E260" s="816" t="s">
        <v>9542</v>
      </c>
      <c r="F260" s="816" t="s">
        <v>24</v>
      </c>
      <c r="G260" s="816" t="s">
        <v>9546</v>
      </c>
      <c r="H260">
        <v>25</v>
      </c>
      <c r="I260" s="816" t="s">
        <v>19</v>
      </c>
      <c r="J260" s="816" t="s">
        <v>19</v>
      </c>
      <c r="K260" s="817">
        <v>0.1630787037037037</v>
      </c>
      <c r="L260" s="817">
        <v>0.22974537037037038</v>
      </c>
      <c r="M260" s="817"/>
      <c r="N260" s="817"/>
      <c r="O260" s="817">
        <v>0.47576388888888888</v>
      </c>
      <c r="P260" s="817">
        <v>0.72179398148148144</v>
      </c>
      <c r="Q260" s="817"/>
      <c r="R260" s="816"/>
      <c r="S260" s="817"/>
      <c r="T260" s="817"/>
      <c r="U260" s="816" t="s">
        <v>9551</v>
      </c>
      <c r="V260" s="816" t="s">
        <v>9551</v>
      </c>
      <c r="W260" s="267"/>
      <c r="X260" s="816" t="s">
        <v>26</v>
      </c>
      <c r="Y260">
        <v>16.7</v>
      </c>
      <c r="Z260">
        <v>67.7</v>
      </c>
      <c r="AA260" s="816" t="s">
        <v>9573</v>
      </c>
      <c r="AB260" s="816" t="s">
        <v>9592</v>
      </c>
      <c r="AC260" s="816" t="s">
        <v>9627</v>
      </c>
      <c r="AD260" s="816"/>
      <c r="AE260" s="816"/>
      <c r="AF260" s="816"/>
      <c r="AG260" s="816"/>
      <c r="AI260" s="816"/>
      <c r="AK260" s="816"/>
      <c r="AM260" s="816"/>
    </row>
    <row r="261" spans="1:39" x14ac:dyDescent="0.25">
      <c r="A261" s="265">
        <v>43687</v>
      </c>
      <c r="B261">
        <v>6</v>
      </c>
      <c r="C261" s="816" t="s">
        <v>2</v>
      </c>
      <c r="D261">
        <v>533</v>
      </c>
      <c r="E261" s="816" t="s">
        <v>9542</v>
      </c>
      <c r="F261" s="816" t="s">
        <v>24</v>
      </c>
      <c r="G261" s="816" t="s">
        <v>9546</v>
      </c>
      <c r="H261">
        <v>26</v>
      </c>
      <c r="I261" s="816" t="s">
        <v>9548</v>
      </c>
      <c r="J261" s="816" t="s">
        <v>20</v>
      </c>
      <c r="K261" s="817">
        <v>0.16285879629629629</v>
      </c>
      <c r="L261" s="817">
        <v>0.22952546296296297</v>
      </c>
      <c r="M261" s="817"/>
      <c r="N261" s="817"/>
      <c r="O261" s="817">
        <v>0.47567129629629629</v>
      </c>
      <c r="P261" s="817">
        <v>0.72180555555555559</v>
      </c>
      <c r="Q261" s="817"/>
      <c r="R261" s="816"/>
      <c r="S261" s="817"/>
      <c r="T261" s="817"/>
      <c r="U261" s="816" t="s">
        <v>9551</v>
      </c>
      <c r="V261" s="816" t="s">
        <v>9551</v>
      </c>
      <c r="W261" s="267"/>
      <c r="X261" s="816" t="s">
        <v>26</v>
      </c>
      <c r="Y261">
        <v>15.7</v>
      </c>
      <c r="Z261">
        <v>64</v>
      </c>
      <c r="AA261" s="816" t="s">
        <v>9574</v>
      </c>
      <c r="AB261" s="816" t="s">
        <v>9593</v>
      </c>
      <c r="AC261" s="816" t="s">
        <v>9628</v>
      </c>
      <c r="AD261" s="816"/>
      <c r="AE261" s="816"/>
      <c r="AF261" s="816" t="s">
        <v>72</v>
      </c>
      <c r="AG261" s="816" t="s">
        <v>57</v>
      </c>
      <c r="AH261">
        <v>-1</v>
      </c>
      <c r="AI261" s="816"/>
      <c r="AK261" s="816"/>
      <c r="AM261" s="816"/>
    </row>
    <row r="262" spans="1:39" x14ac:dyDescent="0.25">
      <c r="A262" s="265">
        <v>43688</v>
      </c>
      <c r="B262">
        <v>0</v>
      </c>
      <c r="C262" s="816" t="s">
        <v>3</v>
      </c>
      <c r="D262">
        <v>533</v>
      </c>
      <c r="E262" s="816" t="s">
        <v>9542</v>
      </c>
      <c r="F262" s="816" t="s">
        <v>24</v>
      </c>
      <c r="G262" s="816" t="s">
        <v>9546</v>
      </c>
      <c r="H262">
        <v>27</v>
      </c>
      <c r="I262" s="816" t="s">
        <v>21</v>
      </c>
      <c r="J262" s="816" t="s">
        <v>21</v>
      </c>
      <c r="K262" s="817">
        <v>0.16262731481481482</v>
      </c>
      <c r="L262" s="817">
        <v>0.22929398148148147</v>
      </c>
      <c r="M262" s="817">
        <v>0.36249999999999999</v>
      </c>
      <c r="N262" s="817">
        <v>0.39305555555555555</v>
      </c>
      <c r="O262" s="817">
        <v>0.47555555555555556</v>
      </c>
      <c r="P262" s="817">
        <v>0.72181712962962974</v>
      </c>
      <c r="Q262" s="817"/>
      <c r="R262" s="816"/>
      <c r="S262" s="817"/>
      <c r="T262" s="817"/>
      <c r="U262" s="816" t="s">
        <v>9551</v>
      </c>
      <c r="V262" s="816" t="s">
        <v>9551</v>
      </c>
      <c r="W262" s="267"/>
      <c r="X262" s="816" t="s">
        <v>26</v>
      </c>
      <c r="Y262">
        <v>12.4</v>
      </c>
      <c r="Z262">
        <v>58.3</v>
      </c>
      <c r="AA262" s="816" t="s">
        <v>9575</v>
      </c>
      <c r="AB262" s="816" t="s">
        <v>9594</v>
      </c>
      <c r="AC262" s="816"/>
      <c r="AD262" s="816"/>
      <c r="AE262" s="816"/>
      <c r="AF262" s="816"/>
      <c r="AG262" s="816"/>
      <c r="AI262" s="816"/>
      <c r="AK262" s="816"/>
      <c r="AM262" s="816"/>
    </row>
    <row r="263" spans="1:39" x14ac:dyDescent="0.25">
      <c r="A263" s="265">
        <v>43689</v>
      </c>
      <c r="B263">
        <v>1</v>
      </c>
      <c r="C263" s="816" t="s">
        <v>4</v>
      </c>
      <c r="D263">
        <v>533</v>
      </c>
      <c r="E263" s="816" t="s">
        <v>9542</v>
      </c>
      <c r="F263" s="816" t="s">
        <v>24</v>
      </c>
      <c r="G263" s="816" t="s">
        <v>9546</v>
      </c>
      <c r="H263">
        <v>28</v>
      </c>
      <c r="I263" s="816" t="s">
        <v>8</v>
      </c>
      <c r="J263" s="816" t="s">
        <v>8</v>
      </c>
      <c r="K263" s="817">
        <v>0.16239583333333332</v>
      </c>
      <c r="L263" s="817">
        <v>0.22906249999999997</v>
      </c>
      <c r="M263" s="817"/>
      <c r="N263" s="817"/>
      <c r="O263" s="817">
        <v>0.47543981481481484</v>
      </c>
      <c r="P263" s="817">
        <v>0.72182870370370367</v>
      </c>
      <c r="Q263" s="817"/>
      <c r="R263" s="816"/>
      <c r="S263" s="817"/>
      <c r="T263" s="817"/>
      <c r="U263" s="816" t="s">
        <v>9551</v>
      </c>
      <c r="V263" s="816" t="s">
        <v>9551</v>
      </c>
      <c r="W263" s="267"/>
      <c r="X263" s="816" t="s">
        <v>26</v>
      </c>
      <c r="Y263">
        <v>7.3</v>
      </c>
      <c r="Z263">
        <v>50.9</v>
      </c>
      <c r="AA263" s="816" t="s">
        <v>9576</v>
      </c>
      <c r="AB263" s="816" t="s">
        <v>9595</v>
      </c>
      <c r="AC263" s="816"/>
      <c r="AD263" s="816"/>
      <c r="AE263" s="816"/>
      <c r="AF263" s="816"/>
      <c r="AG263" s="816"/>
      <c r="AI263" s="816"/>
      <c r="AK263" s="816"/>
      <c r="AM263" s="816"/>
    </row>
    <row r="264" spans="1:39" x14ac:dyDescent="0.25">
      <c r="A264" s="265">
        <v>43690</v>
      </c>
      <c r="B264">
        <v>2</v>
      </c>
      <c r="C264" s="816" t="s">
        <v>5</v>
      </c>
      <c r="D264">
        <v>533</v>
      </c>
      <c r="E264" s="816" t="s">
        <v>9542</v>
      </c>
      <c r="F264" s="816" t="s">
        <v>24</v>
      </c>
      <c r="G264" s="816" t="s">
        <v>9546</v>
      </c>
      <c r="H264">
        <v>29</v>
      </c>
      <c r="I264" s="816" t="s">
        <v>9</v>
      </c>
      <c r="J264" s="816" t="s">
        <v>8</v>
      </c>
      <c r="K264" s="817">
        <v>0.16215277777777778</v>
      </c>
      <c r="L264" s="817">
        <v>0.22881944444444444</v>
      </c>
      <c r="M264" s="817"/>
      <c r="N264" s="817"/>
      <c r="O264" s="817">
        <v>0.47532407407407407</v>
      </c>
      <c r="P264" s="817">
        <v>0.72182870370370367</v>
      </c>
      <c r="Q264" s="817"/>
      <c r="R264" s="816"/>
      <c r="S264" s="817"/>
      <c r="T264" s="817"/>
      <c r="U264" s="816" t="s">
        <v>9551</v>
      </c>
      <c r="V264" s="816" t="s">
        <v>9551</v>
      </c>
      <c r="W264" s="267"/>
      <c r="X264" s="816" t="s">
        <v>26</v>
      </c>
      <c r="Y264">
        <v>0.7</v>
      </c>
      <c r="Z264">
        <v>42.2</v>
      </c>
      <c r="AA264" s="816" t="s">
        <v>9577</v>
      </c>
      <c r="AB264" s="816" t="s">
        <v>9596</v>
      </c>
      <c r="AC264" s="816"/>
      <c r="AD264" s="816"/>
      <c r="AE264" s="816"/>
      <c r="AF264" s="816"/>
      <c r="AG264" s="816"/>
      <c r="AI264" s="816"/>
      <c r="AK264" s="816"/>
      <c r="AM264" s="816"/>
    </row>
    <row r="265" spans="1:39" x14ac:dyDescent="0.25">
      <c r="A265" s="265">
        <v>43691</v>
      </c>
      <c r="B265">
        <v>3</v>
      </c>
      <c r="C265" s="816" t="s">
        <v>6</v>
      </c>
      <c r="D265">
        <v>533</v>
      </c>
      <c r="E265" s="816" t="s">
        <v>9542</v>
      </c>
      <c r="F265" s="816" t="s">
        <v>24</v>
      </c>
      <c r="G265" s="816" t="s">
        <v>9546</v>
      </c>
      <c r="H265">
        <v>29</v>
      </c>
      <c r="I265" s="816" t="s">
        <v>9</v>
      </c>
      <c r="J265" s="816" t="s">
        <v>9</v>
      </c>
      <c r="K265" s="817">
        <v>0.16189814814814815</v>
      </c>
      <c r="L265" s="817">
        <v>0.22856481481481483</v>
      </c>
      <c r="M265" s="817"/>
      <c r="N265" s="817"/>
      <c r="O265" s="817">
        <v>0.47519675925925925</v>
      </c>
      <c r="P265" s="817">
        <v>0.72182870370370367</v>
      </c>
      <c r="Q265" s="817"/>
      <c r="R265" s="816"/>
      <c r="S265" s="817"/>
      <c r="T265" s="817"/>
      <c r="U265" s="816" t="s">
        <v>9551</v>
      </c>
      <c r="V265" s="816" t="s">
        <v>9551</v>
      </c>
      <c r="W265" s="267"/>
      <c r="X265" s="816" t="s">
        <v>27</v>
      </c>
      <c r="Y265">
        <v>93.1</v>
      </c>
      <c r="Z265">
        <v>32.5</v>
      </c>
      <c r="AA265" s="816" t="s">
        <v>9552</v>
      </c>
      <c r="AB265" s="816" t="s">
        <v>9597</v>
      </c>
      <c r="AC265" s="816" t="s">
        <v>9629</v>
      </c>
      <c r="AD265" s="816"/>
      <c r="AE265" s="816"/>
      <c r="AF265" s="816"/>
      <c r="AG265" s="816"/>
      <c r="AI265" s="816"/>
      <c r="AK265" s="816"/>
      <c r="AM265" s="816"/>
    </row>
    <row r="266" spans="1:39" x14ac:dyDescent="0.25">
      <c r="A266" s="265">
        <v>43692</v>
      </c>
      <c r="B266">
        <v>4</v>
      </c>
      <c r="C266" s="816" t="s">
        <v>7</v>
      </c>
      <c r="D266">
        <v>533</v>
      </c>
      <c r="E266" s="816" t="s">
        <v>9542</v>
      </c>
      <c r="F266" s="816" t="s">
        <v>24</v>
      </c>
      <c r="G266" s="816" t="s">
        <v>9546</v>
      </c>
      <c r="H266">
        <v>30</v>
      </c>
      <c r="I266" s="816" t="s">
        <v>10</v>
      </c>
      <c r="J266" s="816" t="s">
        <v>10</v>
      </c>
      <c r="K266" s="817">
        <v>0.16164351851851852</v>
      </c>
      <c r="L266" s="817">
        <v>0.2283101851851852</v>
      </c>
      <c r="M266" s="817"/>
      <c r="N266" s="817"/>
      <c r="O266" s="817">
        <v>0.47505787037037034</v>
      </c>
      <c r="P266" s="817">
        <v>0.72181712962962974</v>
      </c>
      <c r="Q266" s="817"/>
      <c r="R266" s="816"/>
      <c r="S266" s="817"/>
      <c r="T266" s="817"/>
      <c r="U266" s="816" t="s">
        <v>9551</v>
      </c>
      <c r="V266" s="816" t="s">
        <v>9551</v>
      </c>
      <c r="W266" s="267"/>
      <c r="X266" s="816" t="s">
        <v>26</v>
      </c>
      <c r="Y266">
        <v>84.6</v>
      </c>
      <c r="Z266">
        <v>22.1</v>
      </c>
      <c r="AA266" s="816" t="s">
        <v>9553</v>
      </c>
      <c r="AB266" s="816" t="s">
        <v>9598</v>
      </c>
      <c r="AC266" s="816" t="s">
        <v>9630</v>
      </c>
      <c r="AD266" s="816" t="s">
        <v>9645</v>
      </c>
      <c r="AE266" s="816"/>
      <c r="AF266" s="816"/>
      <c r="AG266" s="816"/>
      <c r="AI266" s="816"/>
      <c r="AK266" s="816"/>
      <c r="AM266" s="816"/>
    </row>
    <row r="267" spans="1:39" x14ac:dyDescent="0.25">
      <c r="A267" s="265">
        <v>43693</v>
      </c>
      <c r="B267">
        <v>5</v>
      </c>
      <c r="C267" s="816" t="s">
        <v>1</v>
      </c>
      <c r="D267">
        <v>533</v>
      </c>
      <c r="E267" s="816" t="s">
        <v>9543</v>
      </c>
      <c r="F267" s="816" t="s">
        <v>25</v>
      </c>
      <c r="G267" s="816" t="s">
        <v>9547</v>
      </c>
      <c r="H267">
        <v>1</v>
      </c>
      <c r="I267" s="816" t="s">
        <v>11</v>
      </c>
      <c r="J267" s="816" t="s">
        <v>11</v>
      </c>
      <c r="K267" s="817">
        <v>0.16137731481481482</v>
      </c>
      <c r="L267" s="817">
        <v>0.2280439814814815</v>
      </c>
      <c r="M267" s="817"/>
      <c r="N267" s="817"/>
      <c r="O267" s="817">
        <v>0.47491898148148143</v>
      </c>
      <c r="P267" s="817">
        <v>0.72180555555555559</v>
      </c>
      <c r="Q267" s="817"/>
      <c r="R267" s="816"/>
      <c r="S267" s="817"/>
      <c r="T267" s="817"/>
      <c r="U267" s="816" t="s">
        <v>9551</v>
      </c>
      <c r="V267" s="816" t="s">
        <v>9551</v>
      </c>
      <c r="W267" s="267"/>
      <c r="X267" s="816" t="s">
        <v>26</v>
      </c>
      <c r="Y267">
        <v>75.7</v>
      </c>
      <c r="Z267">
        <v>11.2</v>
      </c>
      <c r="AA267" s="816" t="s">
        <v>9554</v>
      </c>
      <c r="AB267" s="816" t="s">
        <v>9599</v>
      </c>
      <c r="AC267" s="816" t="s">
        <v>9631</v>
      </c>
      <c r="AD267" s="816"/>
      <c r="AE267" s="816"/>
      <c r="AF267" s="816"/>
      <c r="AG267" s="816"/>
      <c r="AI267" s="816"/>
      <c r="AK267" s="816"/>
      <c r="AM267" s="816"/>
    </row>
    <row r="268" spans="1:39" x14ac:dyDescent="0.25">
      <c r="A268" s="265">
        <v>43694</v>
      </c>
      <c r="B268">
        <v>6</v>
      </c>
      <c r="C268" s="816" t="s">
        <v>2</v>
      </c>
      <c r="D268">
        <v>533</v>
      </c>
      <c r="E268" s="816" t="s">
        <v>9543</v>
      </c>
      <c r="F268" s="816" t="s">
        <v>25</v>
      </c>
      <c r="G268" s="816" t="s">
        <v>9547</v>
      </c>
      <c r="H268">
        <v>2</v>
      </c>
      <c r="I268" s="816" t="s">
        <v>12</v>
      </c>
      <c r="J268" s="816" t="s">
        <v>12</v>
      </c>
      <c r="K268" s="817">
        <v>0.16109953703703703</v>
      </c>
      <c r="L268" s="817">
        <v>0.22776620370370371</v>
      </c>
      <c r="M268" s="817"/>
      <c r="N268" s="817"/>
      <c r="O268" s="817">
        <v>0.47478009259259263</v>
      </c>
      <c r="P268" s="817">
        <v>0.7217824074074074</v>
      </c>
      <c r="Q268" s="817">
        <v>0.18190972222222224</v>
      </c>
      <c r="R268" s="816" t="s">
        <v>81</v>
      </c>
      <c r="S268" s="817"/>
      <c r="T268" s="817"/>
      <c r="U268" s="816" t="s">
        <v>9551</v>
      </c>
      <c r="V268" s="816" t="s">
        <v>9551</v>
      </c>
      <c r="W268" s="267"/>
      <c r="X268" s="816" t="s">
        <v>26</v>
      </c>
      <c r="Y268">
        <v>66.400000000000006</v>
      </c>
      <c r="Z268">
        <v>0.1</v>
      </c>
      <c r="AA268" s="816" t="s">
        <v>9555</v>
      </c>
      <c r="AB268" s="816" t="s">
        <v>9600</v>
      </c>
      <c r="AC268" s="816"/>
      <c r="AD268" s="816"/>
      <c r="AE268" s="816"/>
      <c r="AF268" s="816"/>
      <c r="AG268" s="816"/>
      <c r="AI268" s="816"/>
      <c r="AK268" s="816"/>
      <c r="AM268" s="816"/>
    </row>
    <row r="269" spans="1:39" x14ac:dyDescent="0.25">
      <c r="A269" s="265">
        <v>43695</v>
      </c>
      <c r="B269">
        <v>0</v>
      </c>
      <c r="C269" s="816" t="s">
        <v>3</v>
      </c>
      <c r="D269">
        <v>533</v>
      </c>
      <c r="E269" s="816" t="s">
        <v>9543</v>
      </c>
      <c r="F269" s="816" t="s">
        <v>25</v>
      </c>
      <c r="G269" s="816" t="s">
        <v>9547</v>
      </c>
      <c r="H269">
        <v>3</v>
      </c>
      <c r="I269" s="816" t="s">
        <v>23</v>
      </c>
      <c r="J269" s="816" t="s">
        <v>23</v>
      </c>
      <c r="K269" s="817">
        <v>0.16082175925925926</v>
      </c>
      <c r="L269" s="817">
        <v>0.22748842592592591</v>
      </c>
      <c r="M269" s="817"/>
      <c r="N269" s="817"/>
      <c r="O269" s="817">
        <v>0.47462962962962968</v>
      </c>
      <c r="P269" s="817">
        <v>0.72175925925925932</v>
      </c>
      <c r="Q269" s="817"/>
      <c r="R269" s="816"/>
      <c r="S269" s="817"/>
      <c r="T269" s="817"/>
      <c r="U269" s="816" t="s">
        <v>9551</v>
      </c>
      <c r="V269" s="816" t="s">
        <v>9551</v>
      </c>
      <c r="W269" s="267"/>
      <c r="X269" s="816" t="s">
        <v>26</v>
      </c>
      <c r="Y269">
        <v>57.2</v>
      </c>
      <c r="Z269">
        <v>89</v>
      </c>
      <c r="AA269" s="816" t="s">
        <v>9555</v>
      </c>
      <c r="AB269" s="816" t="s">
        <v>9600</v>
      </c>
      <c r="AC269" s="816"/>
      <c r="AD269" s="816"/>
      <c r="AE269" s="816"/>
      <c r="AF269" s="816"/>
      <c r="AG269" s="816"/>
      <c r="AI269" s="816"/>
      <c r="AK269" s="816"/>
      <c r="AM269" s="816"/>
    </row>
    <row r="270" spans="1:39" x14ac:dyDescent="0.25">
      <c r="A270" s="265">
        <v>43696</v>
      </c>
      <c r="B270">
        <v>1</v>
      </c>
      <c r="C270" s="816" t="s">
        <v>4</v>
      </c>
      <c r="D270">
        <v>533</v>
      </c>
      <c r="E270" s="816" t="s">
        <v>9543</v>
      </c>
      <c r="F270" s="816" t="s">
        <v>25</v>
      </c>
      <c r="G270" s="816" t="s">
        <v>9547</v>
      </c>
      <c r="H270">
        <v>4</v>
      </c>
      <c r="I270" s="816" t="s">
        <v>13</v>
      </c>
      <c r="J270" s="816" t="s">
        <v>13</v>
      </c>
      <c r="K270" s="817">
        <v>0.1605324074074074</v>
      </c>
      <c r="L270" s="817">
        <v>0.22719907407407405</v>
      </c>
      <c r="M270" s="817"/>
      <c r="N270" s="817"/>
      <c r="O270" s="817">
        <v>0.47446759259259258</v>
      </c>
      <c r="P270" s="817">
        <v>0.72173611111111102</v>
      </c>
      <c r="Q270" s="817"/>
      <c r="R270" s="816"/>
      <c r="S270" s="817"/>
      <c r="T270" s="817"/>
      <c r="U270" s="816" t="s">
        <v>9551</v>
      </c>
      <c r="V270" s="816" t="s">
        <v>9551</v>
      </c>
      <c r="W270" s="267"/>
      <c r="X270" s="816" t="s">
        <v>26</v>
      </c>
      <c r="Y270">
        <v>48.2</v>
      </c>
      <c r="Z270">
        <v>78.099999999999994</v>
      </c>
      <c r="AA270" s="816" t="s">
        <v>9556</v>
      </c>
      <c r="AB270" s="816" t="s">
        <v>9601</v>
      </c>
      <c r="AC270" s="816"/>
      <c r="AD270" s="816"/>
      <c r="AE270" s="816"/>
      <c r="AF270" s="816"/>
      <c r="AG270" s="816"/>
      <c r="AI270" s="816"/>
      <c r="AK270" s="816"/>
      <c r="AM270" s="816"/>
    </row>
    <row r="271" spans="1:39" x14ac:dyDescent="0.25">
      <c r="A271" s="265">
        <v>43697</v>
      </c>
      <c r="B271">
        <v>2</v>
      </c>
      <c r="C271" s="816" t="s">
        <v>5</v>
      </c>
      <c r="D271">
        <v>533</v>
      </c>
      <c r="E271" s="816" t="s">
        <v>9543</v>
      </c>
      <c r="F271" s="816" t="s">
        <v>25</v>
      </c>
      <c r="G271" s="816" t="s">
        <v>9547</v>
      </c>
      <c r="H271">
        <v>5</v>
      </c>
      <c r="I271" s="816" t="s">
        <v>14</v>
      </c>
      <c r="J271" s="816" t="s">
        <v>14</v>
      </c>
      <c r="K271" s="817">
        <v>0.16024305555555554</v>
      </c>
      <c r="L271" s="817">
        <v>0.22690972222222225</v>
      </c>
      <c r="M271" s="817"/>
      <c r="N271" s="817"/>
      <c r="O271" s="817">
        <v>0.47430555555555554</v>
      </c>
      <c r="P271" s="817">
        <v>0.72170138888888891</v>
      </c>
      <c r="Q271" s="817"/>
      <c r="R271" s="816"/>
      <c r="S271" s="817"/>
      <c r="T271" s="817"/>
      <c r="U271" s="816" t="s">
        <v>9551</v>
      </c>
      <c r="V271" s="816" t="s">
        <v>9551</v>
      </c>
      <c r="W271" s="267"/>
      <c r="X271" s="816" t="s">
        <v>26</v>
      </c>
      <c r="Y271">
        <v>39.9</v>
      </c>
      <c r="Z271">
        <v>67.8</v>
      </c>
      <c r="AA271" s="816" t="s">
        <v>9557</v>
      </c>
      <c r="AB271" s="816" t="s">
        <v>9602</v>
      </c>
      <c r="AC271" s="816"/>
      <c r="AD271" s="816"/>
      <c r="AE271" s="816"/>
      <c r="AF271" s="816"/>
      <c r="AG271" s="816"/>
      <c r="AI271" s="816"/>
      <c r="AK271" s="816"/>
      <c r="AM271" s="816"/>
    </row>
    <row r="272" spans="1:39" x14ac:dyDescent="0.25">
      <c r="A272" s="265">
        <v>43698</v>
      </c>
      <c r="B272">
        <v>3</v>
      </c>
      <c r="C272" s="816" t="s">
        <v>6</v>
      </c>
      <c r="D272">
        <v>533</v>
      </c>
      <c r="E272" s="816" t="s">
        <v>9543</v>
      </c>
      <c r="F272" s="816" t="s">
        <v>25</v>
      </c>
      <c r="G272" s="816" t="s">
        <v>9547</v>
      </c>
      <c r="H272">
        <v>6</v>
      </c>
      <c r="I272" s="816" t="s">
        <v>15</v>
      </c>
      <c r="J272" s="816" t="s">
        <v>15</v>
      </c>
      <c r="K272" s="817">
        <v>0.15994212962962964</v>
      </c>
      <c r="L272" s="817">
        <v>0.22660879629629629</v>
      </c>
      <c r="M272" s="817"/>
      <c r="N272" s="817"/>
      <c r="O272" s="817">
        <v>0.47413194444444445</v>
      </c>
      <c r="P272" s="817">
        <v>0.72166666666666668</v>
      </c>
      <c r="Q272" s="817"/>
      <c r="R272" s="816"/>
      <c r="S272" s="817"/>
      <c r="T272" s="817"/>
      <c r="U272" s="816" t="s">
        <v>9551</v>
      </c>
      <c r="V272" s="816" t="s">
        <v>9551</v>
      </c>
      <c r="W272" s="267"/>
      <c r="X272" s="816" t="s">
        <v>26</v>
      </c>
      <c r="Y272">
        <v>32.6</v>
      </c>
      <c r="Z272">
        <v>58.5</v>
      </c>
      <c r="AA272" s="816" t="s">
        <v>9558</v>
      </c>
      <c r="AB272" s="816" t="s">
        <v>9603</v>
      </c>
      <c r="AC272" s="816"/>
      <c r="AD272" s="816"/>
      <c r="AE272" s="816"/>
      <c r="AF272" s="816"/>
      <c r="AG272" s="816"/>
      <c r="AI272" s="816"/>
      <c r="AK272" s="816"/>
      <c r="AM272" s="816"/>
    </row>
    <row r="273" spans="1:39" x14ac:dyDescent="0.25">
      <c r="A273" s="265">
        <v>43699</v>
      </c>
      <c r="B273">
        <v>4</v>
      </c>
      <c r="C273" s="816" t="s">
        <v>7</v>
      </c>
      <c r="D273">
        <v>533</v>
      </c>
      <c r="E273" s="816" t="s">
        <v>9543</v>
      </c>
      <c r="F273" s="816" t="s">
        <v>25</v>
      </c>
      <c r="G273" s="816" t="s">
        <v>9547</v>
      </c>
      <c r="H273">
        <v>7</v>
      </c>
      <c r="I273" s="816" t="s">
        <v>16</v>
      </c>
      <c r="J273" s="816" t="s">
        <v>16</v>
      </c>
      <c r="K273" s="817">
        <v>0.15962962962962965</v>
      </c>
      <c r="L273" s="817">
        <v>0.2262962962962963</v>
      </c>
      <c r="M273" s="817"/>
      <c r="N273" s="817"/>
      <c r="O273" s="817">
        <v>0.47395833333333331</v>
      </c>
      <c r="P273" s="817">
        <v>0.72162037037037041</v>
      </c>
      <c r="Q273" s="817"/>
      <c r="R273" s="816"/>
      <c r="S273" s="817"/>
      <c r="T273" s="817"/>
      <c r="U273" s="816" t="s">
        <v>9551</v>
      </c>
      <c r="V273" s="816" t="s">
        <v>9551</v>
      </c>
      <c r="W273" s="267"/>
      <c r="X273" s="816" t="s">
        <v>26</v>
      </c>
      <c r="Y273">
        <v>26.9</v>
      </c>
      <c r="Z273">
        <v>50.6</v>
      </c>
      <c r="AA273" s="816" t="s">
        <v>9578</v>
      </c>
      <c r="AB273" s="816" t="s">
        <v>9579</v>
      </c>
      <c r="AC273" s="816"/>
      <c r="AD273" s="816"/>
      <c r="AE273" s="816"/>
      <c r="AF273" s="816"/>
      <c r="AG273" s="816"/>
      <c r="AI273" s="816"/>
      <c r="AK273" s="816"/>
      <c r="AM273" s="816"/>
    </row>
    <row r="274" spans="1:39" x14ac:dyDescent="0.25">
      <c r="A274" s="265">
        <v>43700</v>
      </c>
      <c r="B274">
        <v>5</v>
      </c>
      <c r="C274" s="816" t="s">
        <v>1</v>
      </c>
      <c r="D274">
        <v>533</v>
      </c>
      <c r="E274" s="816" t="s">
        <v>9543</v>
      </c>
      <c r="F274" s="816" t="s">
        <v>25</v>
      </c>
      <c r="G274" s="816" t="s">
        <v>9547</v>
      </c>
      <c r="H274">
        <v>8</v>
      </c>
      <c r="I274" s="816" t="s">
        <v>17</v>
      </c>
      <c r="J274" s="816" t="s">
        <v>17</v>
      </c>
      <c r="K274" s="817">
        <v>0.15931712962962963</v>
      </c>
      <c r="L274" s="817">
        <v>0.22598379629629628</v>
      </c>
      <c r="M274" s="817"/>
      <c r="N274" s="817"/>
      <c r="O274" s="817">
        <v>0.47378472222222223</v>
      </c>
      <c r="P274" s="817">
        <v>0.72157407407407403</v>
      </c>
      <c r="Q274" s="817"/>
      <c r="R274" s="816"/>
      <c r="S274" s="817"/>
      <c r="T274" s="817"/>
      <c r="U274" s="816" t="s">
        <v>9551</v>
      </c>
      <c r="V274" s="816" t="s">
        <v>9551</v>
      </c>
      <c r="W274" s="267"/>
      <c r="X274" s="816" t="s">
        <v>26</v>
      </c>
      <c r="Y274">
        <v>23.2</v>
      </c>
      <c r="Z274">
        <v>44.5</v>
      </c>
      <c r="AA274" s="816" t="s">
        <v>9559</v>
      </c>
      <c r="AB274" s="816" t="s">
        <v>9580</v>
      </c>
      <c r="AC274" s="816"/>
      <c r="AD274" s="816"/>
      <c r="AE274" s="816"/>
      <c r="AF274" s="816"/>
      <c r="AG274" s="816" t="s">
        <v>58</v>
      </c>
      <c r="AH274">
        <v>0</v>
      </c>
      <c r="AI274" s="816" t="s">
        <v>37</v>
      </c>
      <c r="AJ274">
        <v>-1</v>
      </c>
      <c r="AK274" s="816"/>
      <c r="AM274" s="816"/>
    </row>
    <row r="275" spans="1:39" x14ac:dyDescent="0.25">
      <c r="A275" s="265">
        <v>43701</v>
      </c>
      <c r="B275">
        <v>6</v>
      </c>
      <c r="C275" s="816" t="s">
        <v>2</v>
      </c>
      <c r="D275">
        <v>533</v>
      </c>
      <c r="E275" s="816" t="s">
        <v>9543</v>
      </c>
      <c r="F275" s="816" t="s">
        <v>25</v>
      </c>
      <c r="G275" s="816" t="s">
        <v>9547</v>
      </c>
      <c r="H275">
        <v>9</v>
      </c>
      <c r="I275" s="816" t="s">
        <v>18</v>
      </c>
      <c r="J275" s="816" t="s">
        <v>18</v>
      </c>
      <c r="K275" s="817">
        <v>0.15900462962962963</v>
      </c>
      <c r="L275" s="817">
        <v>0.22567129629629631</v>
      </c>
      <c r="M275" s="817"/>
      <c r="N275" s="817"/>
      <c r="O275" s="817">
        <v>0.473599537037037</v>
      </c>
      <c r="P275" s="817">
        <v>0.72152777777777777</v>
      </c>
      <c r="Q275" s="817"/>
      <c r="R275" s="816"/>
      <c r="S275" s="817"/>
      <c r="T275" s="817"/>
      <c r="U275" s="816" t="s">
        <v>9551</v>
      </c>
      <c r="V275" s="816" t="s">
        <v>9551</v>
      </c>
      <c r="W275" s="267"/>
      <c r="X275" s="816" t="s">
        <v>26</v>
      </c>
      <c r="Y275">
        <v>22.3</v>
      </c>
      <c r="Z275">
        <v>40.9</v>
      </c>
      <c r="AA275" s="816" t="s">
        <v>9560</v>
      </c>
      <c r="AB275" s="816" t="s">
        <v>9581</v>
      </c>
      <c r="AC275" s="816"/>
      <c r="AD275" s="816"/>
      <c r="AE275" s="816"/>
      <c r="AF275" s="816"/>
      <c r="AG275" s="816" t="s">
        <v>59</v>
      </c>
      <c r="AH275">
        <v>1</v>
      </c>
      <c r="AI275" s="816" t="s">
        <v>60</v>
      </c>
      <c r="AJ275">
        <v>2</v>
      </c>
      <c r="AK275" s="816"/>
      <c r="AM275" s="816"/>
    </row>
    <row r="276" spans="1:39" x14ac:dyDescent="0.25">
      <c r="A276" s="265">
        <v>43702</v>
      </c>
      <c r="B276">
        <v>0</v>
      </c>
      <c r="C276" s="816" t="s">
        <v>3</v>
      </c>
      <c r="D276">
        <v>533</v>
      </c>
      <c r="E276" s="816" t="s">
        <v>9543</v>
      </c>
      <c r="F276" s="816" t="s">
        <v>25</v>
      </c>
      <c r="G276" s="816" t="s">
        <v>9547</v>
      </c>
      <c r="H276">
        <v>10</v>
      </c>
      <c r="I276" s="816" t="s">
        <v>19</v>
      </c>
      <c r="J276" s="816" t="s">
        <v>19</v>
      </c>
      <c r="K276" s="817">
        <v>0.15868055555555557</v>
      </c>
      <c r="L276" s="817">
        <v>0.22534722222222223</v>
      </c>
      <c r="M276" s="817"/>
      <c r="N276" s="817"/>
      <c r="O276" s="817">
        <v>0.47341435185185188</v>
      </c>
      <c r="P276" s="817">
        <v>0.7214814814814815</v>
      </c>
      <c r="Q276" s="817"/>
      <c r="R276" s="816"/>
      <c r="S276" s="817"/>
      <c r="T276" s="817"/>
      <c r="U276" s="816" t="s">
        <v>9551</v>
      </c>
      <c r="V276" s="816" t="s">
        <v>9551</v>
      </c>
      <c r="W276" s="267"/>
      <c r="X276" s="816" t="s">
        <v>26</v>
      </c>
      <c r="Y276">
        <v>24.6</v>
      </c>
      <c r="Z276">
        <v>40.200000000000003</v>
      </c>
      <c r="AA276" s="816" t="s">
        <v>9561</v>
      </c>
      <c r="AB276" s="816" t="s">
        <v>9582</v>
      </c>
      <c r="AC276" s="816"/>
      <c r="AD276" s="816"/>
      <c r="AE276" s="816"/>
      <c r="AF276" s="816"/>
      <c r="AG276" s="816"/>
      <c r="AI276" s="816"/>
      <c r="AK276" s="816"/>
      <c r="AM276" s="816"/>
    </row>
    <row r="277" spans="1:39" x14ac:dyDescent="0.25">
      <c r="A277" s="265">
        <v>43703</v>
      </c>
      <c r="B277">
        <v>1</v>
      </c>
      <c r="C277" s="816" t="s">
        <v>4</v>
      </c>
      <c r="D277">
        <v>533</v>
      </c>
      <c r="E277" s="816" t="s">
        <v>9543</v>
      </c>
      <c r="F277" s="816" t="s">
        <v>25</v>
      </c>
      <c r="G277" s="816" t="s">
        <v>9547</v>
      </c>
      <c r="H277">
        <v>11</v>
      </c>
      <c r="I277" s="816" t="s">
        <v>9548</v>
      </c>
      <c r="J277" s="816" t="s">
        <v>20</v>
      </c>
      <c r="K277" s="817">
        <v>0.15834490740740739</v>
      </c>
      <c r="L277" s="817">
        <v>0.2250115740740741</v>
      </c>
      <c r="M277" s="817"/>
      <c r="N277" s="817"/>
      <c r="O277" s="817">
        <v>0.47321759259259261</v>
      </c>
      <c r="P277" s="817">
        <v>0.72142361111111108</v>
      </c>
      <c r="Q277" s="817"/>
      <c r="R277" s="816"/>
      <c r="S277" s="817"/>
      <c r="T277" s="817"/>
      <c r="U277" s="816" t="s">
        <v>9551</v>
      </c>
      <c r="V277" s="816" t="s">
        <v>9551</v>
      </c>
      <c r="W277" s="267"/>
      <c r="X277" s="816" t="s">
        <v>26</v>
      </c>
      <c r="Y277">
        <v>30.5</v>
      </c>
      <c r="Z277">
        <v>42.7</v>
      </c>
      <c r="AA277" s="816" t="s">
        <v>9562</v>
      </c>
      <c r="AB277" s="816" t="s">
        <v>9584</v>
      </c>
      <c r="AC277" s="816"/>
      <c r="AD277" s="816"/>
      <c r="AE277" s="816"/>
      <c r="AF277" s="816" t="s">
        <v>72</v>
      </c>
      <c r="AG277" s="816" t="s">
        <v>61</v>
      </c>
      <c r="AH277">
        <v>-1</v>
      </c>
      <c r="AI277" s="816"/>
      <c r="AK277" s="816"/>
      <c r="AM277" s="816"/>
    </row>
    <row r="278" spans="1:39" x14ac:dyDescent="0.25">
      <c r="A278" s="265">
        <v>43704</v>
      </c>
      <c r="B278">
        <v>2</v>
      </c>
      <c r="C278" s="816" t="s">
        <v>5</v>
      </c>
      <c r="D278">
        <v>533</v>
      </c>
      <c r="E278" s="816" t="s">
        <v>9543</v>
      </c>
      <c r="F278" s="816" t="s">
        <v>25</v>
      </c>
      <c r="G278" s="816" t="s">
        <v>9547</v>
      </c>
      <c r="H278">
        <v>12</v>
      </c>
      <c r="I278" s="816" t="s">
        <v>21</v>
      </c>
      <c r="J278" s="816" t="s">
        <v>21</v>
      </c>
      <c r="K278" s="817">
        <v>0.15800925925925927</v>
      </c>
      <c r="L278" s="817">
        <v>0.22467592592592592</v>
      </c>
      <c r="M278" s="817">
        <v>0.22430555555555556</v>
      </c>
      <c r="N278" s="817">
        <v>0.38958333333333334</v>
      </c>
      <c r="O278" s="817">
        <v>0.47302083333333328</v>
      </c>
      <c r="P278" s="817">
        <v>0.72135416666666663</v>
      </c>
      <c r="Q278" s="817"/>
      <c r="R278" s="816"/>
      <c r="S278" s="817"/>
      <c r="T278" s="817"/>
      <c r="U278" s="816" t="s">
        <v>9551</v>
      </c>
      <c r="V278" s="816" t="s">
        <v>9551</v>
      </c>
      <c r="W278" s="267"/>
      <c r="X278" s="816" t="s">
        <v>26</v>
      </c>
      <c r="Y278">
        <v>40.200000000000003</v>
      </c>
      <c r="Z278">
        <v>48.7</v>
      </c>
      <c r="AA278" s="816" t="s">
        <v>9563</v>
      </c>
      <c r="AB278" s="816" t="s">
        <v>9585</v>
      </c>
      <c r="AC278" s="816"/>
      <c r="AD278" s="816"/>
      <c r="AE278" s="816"/>
      <c r="AF278" s="816"/>
      <c r="AG278" s="816"/>
      <c r="AI278" s="816"/>
      <c r="AK278" s="816"/>
      <c r="AM278" s="816"/>
    </row>
    <row r="279" spans="1:39" x14ac:dyDescent="0.25">
      <c r="A279" s="265">
        <v>43705</v>
      </c>
      <c r="B279">
        <v>3</v>
      </c>
      <c r="C279" s="816" t="s">
        <v>6</v>
      </c>
      <c r="D279">
        <v>533</v>
      </c>
      <c r="E279" s="816" t="s">
        <v>9543</v>
      </c>
      <c r="F279" s="816" t="s">
        <v>25</v>
      </c>
      <c r="G279" s="816" t="s">
        <v>9547</v>
      </c>
      <c r="H279">
        <v>13</v>
      </c>
      <c r="I279" s="816" t="s">
        <v>8</v>
      </c>
      <c r="J279" s="816" t="s">
        <v>8</v>
      </c>
      <c r="K279" s="817">
        <v>0.15767361111111111</v>
      </c>
      <c r="L279" s="817">
        <v>0.22434027777777776</v>
      </c>
      <c r="M279" s="817"/>
      <c r="N279" s="817"/>
      <c r="O279" s="817">
        <v>0.47281250000000002</v>
      </c>
      <c r="P279" s="817">
        <v>0.72129629629629621</v>
      </c>
      <c r="Q279" s="817"/>
      <c r="R279" s="816"/>
      <c r="S279" s="817"/>
      <c r="T279" s="817"/>
      <c r="U279" s="816" t="s">
        <v>9551</v>
      </c>
      <c r="V279" s="816" t="s">
        <v>9551</v>
      </c>
      <c r="W279" s="267"/>
      <c r="X279" s="816" t="s">
        <v>26</v>
      </c>
      <c r="Y279">
        <v>53.6</v>
      </c>
      <c r="Z279">
        <v>58</v>
      </c>
      <c r="AA279" s="816" t="s">
        <v>9564</v>
      </c>
      <c r="AB279" s="816" t="s">
        <v>9586</v>
      </c>
      <c r="AC279" s="816"/>
      <c r="AD279" s="816"/>
      <c r="AE279" s="816"/>
      <c r="AF279" s="816"/>
      <c r="AG279" s="816"/>
      <c r="AI279" s="816"/>
      <c r="AK279" s="816"/>
      <c r="AM279" s="816"/>
    </row>
    <row r="280" spans="1:39" x14ac:dyDescent="0.25">
      <c r="A280" s="265">
        <v>43706</v>
      </c>
      <c r="B280">
        <v>4</v>
      </c>
      <c r="C280" s="816" t="s">
        <v>7</v>
      </c>
      <c r="D280">
        <v>533</v>
      </c>
      <c r="E280" s="816" t="s">
        <v>9543</v>
      </c>
      <c r="F280" s="816" t="s">
        <v>25</v>
      </c>
      <c r="G280" s="816" t="s">
        <v>9547</v>
      </c>
      <c r="H280">
        <v>14</v>
      </c>
      <c r="I280" s="816" t="s">
        <v>9</v>
      </c>
      <c r="J280" s="816" t="s">
        <v>9</v>
      </c>
      <c r="K280" s="817">
        <v>0.15732638888888889</v>
      </c>
      <c r="L280" s="817">
        <v>0.22399305555555557</v>
      </c>
      <c r="M280" s="817"/>
      <c r="N280" s="817"/>
      <c r="O280" s="817">
        <v>0.47260416666666666</v>
      </c>
      <c r="P280" s="817">
        <v>0.72122685185185187</v>
      </c>
      <c r="Q280" s="817"/>
      <c r="R280" s="816"/>
      <c r="S280" s="817"/>
      <c r="T280" s="817"/>
      <c r="U280" s="816" t="s">
        <v>9551</v>
      </c>
      <c r="V280" s="816" t="s">
        <v>9551</v>
      </c>
      <c r="W280" s="267"/>
      <c r="X280" s="816" t="s">
        <v>26</v>
      </c>
      <c r="Y280">
        <v>70.099999999999994</v>
      </c>
      <c r="Z280">
        <v>70.099999999999994</v>
      </c>
      <c r="AA280" s="816" t="s">
        <v>9565</v>
      </c>
      <c r="AB280" s="816" t="s">
        <v>9604</v>
      </c>
      <c r="AC280" s="816"/>
      <c r="AD280" s="816"/>
      <c r="AE280" s="816"/>
      <c r="AF280" s="816"/>
      <c r="AG280" s="816"/>
      <c r="AI280" s="816"/>
      <c r="AK280" s="816"/>
      <c r="AM280" s="816"/>
    </row>
    <row r="281" spans="1:39" x14ac:dyDescent="0.25">
      <c r="A281" s="265">
        <v>43707</v>
      </c>
      <c r="B281">
        <v>5</v>
      </c>
      <c r="C281" s="816" t="s">
        <v>1</v>
      </c>
      <c r="D281">
        <v>533</v>
      </c>
      <c r="E281" s="816" t="s">
        <v>9543</v>
      </c>
      <c r="F281" s="816" t="s">
        <v>25</v>
      </c>
      <c r="G281" s="816" t="s">
        <v>9547</v>
      </c>
      <c r="H281">
        <v>15</v>
      </c>
      <c r="I281" s="816" t="s">
        <v>22</v>
      </c>
      <c r="J281" s="816" t="s">
        <v>22</v>
      </c>
      <c r="K281" s="817">
        <v>0.1569675925925926</v>
      </c>
      <c r="L281" s="817">
        <v>0.22363425925925925</v>
      </c>
      <c r="M281" s="817"/>
      <c r="N281" s="817"/>
      <c r="O281" s="817">
        <v>0.47239583333333335</v>
      </c>
      <c r="P281" s="817">
        <v>0.7211574074074073</v>
      </c>
      <c r="Q281" s="817"/>
      <c r="R281" s="816"/>
      <c r="S281" s="817"/>
      <c r="T281" s="817"/>
      <c r="U281" s="816" t="s">
        <v>9551</v>
      </c>
      <c r="V281" s="816" t="s">
        <v>9551</v>
      </c>
      <c r="W281" s="267"/>
      <c r="X281" s="816" t="s">
        <v>26</v>
      </c>
      <c r="Y281">
        <v>88.6</v>
      </c>
      <c r="Z281">
        <v>84</v>
      </c>
      <c r="AA281" s="816" t="s">
        <v>9566</v>
      </c>
      <c r="AB281" s="816" t="s">
        <v>9587</v>
      </c>
      <c r="AC281" s="816"/>
      <c r="AD281" s="816"/>
      <c r="AE281" s="816"/>
      <c r="AF281" s="816"/>
      <c r="AG281" s="816"/>
      <c r="AI281" s="816"/>
      <c r="AK281" s="816"/>
      <c r="AM281" s="816"/>
    </row>
    <row r="282" spans="1:39" x14ac:dyDescent="0.25">
      <c r="A282" s="265">
        <v>43708</v>
      </c>
      <c r="B282">
        <v>6</v>
      </c>
      <c r="C282" s="816" t="s">
        <v>2</v>
      </c>
      <c r="D282">
        <v>533</v>
      </c>
      <c r="E282" s="816" t="s">
        <v>9543</v>
      </c>
      <c r="F282" s="816" t="s">
        <v>24</v>
      </c>
      <c r="G282" s="816" t="s">
        <v>9546</v>
      </c>
      <c r="H282">
        <v>17</v>
      </c>
      <c r="I282" s="816" t="s">
        <v>12</v>
      </c>
      <c r="J282" s="816" t="s">
        <v>11</v>
      </c>
      <c r="K282" s="817">
        <v>0.15660879629629629</v>
      </c>
      <c r="L282" s="817">
        <v>0.22327546296296297</v>
      </c>
      <c r="M282" s="817"/>
      <c r="N282" s="817"/>
      <c r="O282" s="817">
        <v>0.47218749999999998</v>
      </c>
      <c r="P282" s="817">
        <v>0.72108796296296296</v>
      </c>
      <c r="Q282" s="817"/>
      <c r="R282" s="816"/>
      <c r="S282" s="817">
        <v>0.31875000000000003</v>
      </c>
      <c r="T282" s="817">
        <v>0.15625</v>
      </c>
      <c r="U282" s="816" t="s">
        <v>9551</v>
      </c>
      <c r="V282" s="816" t="s">
        <v>9551</v>
      </c>
      <c r="W282" s="267"/>
      <c r="X282" s="816" t="s">
        <v>26</v>
      </c>
      <c r="Y282">
        <v>7.9</v>
      </c>
      <c r="Z282">
        <v>98.6</v>
      </c>
      <c r="AA282" s="816" t="s">
        <v>9567</v>
      </c>
      <c r="AB282" s="816" t="s">
        <v>9589</v>
      </c>
      <c r="AC282" s="816"/>
      <c r="AD282" s="816"/>
      <c r="AE282" s="816"/>
      <c r="AF282" s="816"/>
      <c r="AG282" s="816"/>
      <c r="AI282" s="816"/>
      <c r="AK282" s="816"/>
      <c r="AM282" s="816"/>
    </row>
    <row r="283" spans="1:39" x14ac:dyDescent="0.25">
      <c r="A283" s="265">
        <v>43709</v>
      </c>
      <c r="B283">
        <v>0</v>
      </c>
      <c r="C283" s="816" t="s">
        <v>3</v>
      </c>
      <c r="D283">
        <v>533</v>
      </c>
      <c r="E283" s="816" t="s">
        <v>9543</v>
      </c>
      <c r="F283" s="816" t="s">
        <v>24</v>
      </c>
      <c r="G283" s="816" t="s">
        <v>9546</v>
      </c>
      <c r="H283">
        <v>18</v>
      </c>
      <c r="I283" s="816" t="s">
        <v>23</v>
      </c>
      <c r="J283" s="816" t="s">
        <v>23</v>
      </c>
      <c r="K283" s="817">
        <v>0.15625</v>
      </c>
      <c r="L283" s="817">
        <v>0.22291666666666665</v>
      </c>
      <c r="M283" s="817"/>
      <c r="N283" s="817"/>
      <c r="O283" s="817">
        <v>0.47196759259259258</v>
      </c>
      <c r="P283" s="817">
        <v>0.72100694444444446</v>
      </c>
      <c r="Q283" s="817"/>
      <c r="R283" s="816"/>
      <c r="S283" s="817"/>
      <c r="T283" s="817"/>
      <c r="U283" s="816" t="s">
        <v>9551</v>
      </c>
      <c r="V283" s="816" t="s">
        <v>9551</v>
      </c>
      <c r="W283" s="267"/>
      <c r="X283" s="816" t="s">
        <v>26</v>
      </c>
      <c r="Y283">
        <v>26.4</v>
      </c>
      <c r="Z283">
        <v>12.5</v>
      </c>
      <c r="AA283" s="816" t="s">
        <v>9569</v>
      </c>
      <c r="AB283" s="816" t="s">
        <v>9590</v>
      </c>
      <c r="AC283" s="816"/>
      <c r="AD283" s="816"/>
      <c r="AE283" s="816"/>
      <c r="AF283" s="816"/>
      <c r="AG283" s="816"/>
      <c r="AI283" s="816"/>
      <c r="AK283" s="816"/>
      <c r="AM283" s="816"/>
    </row>
    <row r="284" spans="1:39" x14ac:dyDescent="0.25">
      <c r="A284" s="265">
        <v>43710</v>
      </c>
      <c r="B284">
        <v>1</v>
      </c>
      <c r="C284" s="816" t="s">
        <v>4</v>
      </c>
      <c r="D284">
        <v>533</v>
      </c>
      <c r="E284" s="816" t="s">
        <v>9543</v>
      </c>
      <c r="F284" s="816" t="s">
        <v>24</v>
      </c>
      <c r="G284" s="816" t="s">
        <v>9546</v>
      </c>
      <c r="H284">
        <v>19</v>
      </c>
      <c r="I284" s="816" t="s">
        <v>13</v>
      </c>
      <c r="J284" s="816" t="s">
        <v>13</v>
      </c>
      <c r="K284" s="817">
        <v>0.15589120370370371</v>
      </c>
      <c r="L284" s="817">
        <v>0.22255787037037036</v>
      </c>
      <c r="M284" s="817"/>
      <c r="N284" s="817"/>
      <c r="O284" s="817">
        <v>0.47174768518518517</v>
      </c>
      <c r="P284" s="817">
        <v>0.72092592592592597</v>
      </c>
      <c r="Q284" s="817"/>
      <c r="R284" s="816"/>
      <c r="S284" s="817"/>
      <c r="T284" s="817"/>
      <c r="U284" s="816" t="s">
        <v>9551</v>
      </c>
      <c r="V284" s="816" t="s">
        <v>9551</v>
      </c>
      <c r="W284" s="267"/>
      <c r="X284" s="816" t="s">
        <v>26</v>
      </c>
      <c r="Y284">
        <v>42.6</v>
      </c>
      <c r="Z284">
        <v>24.4</v>
      </c>
      <c r="AA284" s="816" t="s">
        <v>9570</v>
      </c>
      <c r="AB284" s="816" t="s">
        <v>9591</v>
      </c>
      <c r="AC284" s="816"/>
      <c r="AD284" s="816"/>
      <c r="AE284" s="816"/>
      <c r="AF284" s="816"/>
      <c r="AG284" s="816"/>
      <c r="AI284" s="816"/>
      <c r="AK284" s="816"/>
      <c r="AM284" s="816"/>
    </row>
    <row r="285" spans="1:39" x14ac:dyDescent="0.25">
      <c r="A285" s="265">
        <v>43711</v>
      </c>
      <c r="B285">
        <v>2</v>
      </c>
      <c r="C285" s="816" t="s">
        <v>5</v>
      </c>
      <c r="D285">
        <v>533</v>
      </c>
      <c r="E285" s="816" t="s">
        <v>9543</v>
      </c>
      <c r="F285" s="816" t="s">
        <v>24</v>
      </c>
      <c r="G285" s="816" t="s">
        <v>9546</v>
      </c>
      <c r="H285">
        <v>20</v>
      </c>
      <c r="I285" s="816" t="s">
        <v>14</v>
      </c>
      <c r="J285" s="816" t="s">
        <v>14</v>
      </c>
      <c r="K285" s="817">
        <v>0.15552083333333333</v>
      </c>
      <c r="L285" s="817">
        <v>0.22218749999999998</v>
      </c>
      <c r="M285" s="817"/>
      <c r="N285" s="817"/>
      <c r="O285" s="817">
        <v>0.47151620370370373</v>
      </c>
      <c r="P285" s="817">
        <v>0.72084490740740748</v>
      </c>
      <c r="Q285" s="817"/>
      <c r="R285" s="816"/>
      <c r="S285" s="817"/>
      <c r="T285" s="817"/>
      <c r="U285" s="816" t="s">
        <v>9551</v>
      </c>
      <c r="V285" s="816" t="s">
        <v>9551</v>
      </c>
      <c r="W285" s="267"/>
      <c r="X285" s="816" t="s">
        <v>26</v>
      </c>
      <c r="Y285">
        <v>55.6</v>
      </c>
      <c r="Z285">
        <v>33.299999999999997</v>
      </c>
      <c r="AA285" s="816" t="s">
        <v>9571</v>
      </c>
      <c r="AB285" s="816" t="s">
        <v>9605</v>
      </c>
      <c r="AC285" s="816"/>
      <c r="AD285" s="816"/>
      <c r="AE285" s="816"/>
      <c r="AF285" s="816"/>
      <c r="AG285" s="816"/>
      <c r="AI285" s="816"/>
      <c r="AK285" s="816"/>
      <c r="AM285" s="816"/>
    </row>
    <row r="286" spans="1:39" x14ac:dyDescent="0.25">
      <c r="A286" s="265">
        <v>43712</v>
      </c>
      <c r="B286">
        <v>3</v>
      </c>
      <c r="C286" s="816" t="s">
        <v>6</v>
      </c>
      <c r="D286">
        <v>533</v>
      </c>
      <c r="E286" s="816" t="s">
        <v>9543</v>
      </c>
      <c r="F286" s="816" t="s">
        <v>24</v>
      </c>
      <c r="G286" s="816" t="s">
        <v>9546</v>
      </c>
      <c r="H286">
        <v>21</v>
      </c>
      <c r="I286" s="816" t="s">
        <v>15</v>
      </c>
      <c r="J286" s="816" t="s">
        <v>15</v>
      </c>
      <c r="K286" s="817">
        <v>0.15515046296296295</v>
      </c>
      <c r="L286" s="817">
        <v>0.22181712962962963</v>
      </c>
      <c r="M286" s="817"/>
      <c r="N286" s="817"/>
      <c r="O286" s="817">
        <v>0.47128472222222223</v>
      </c>
      <c r="P286" s="817">
        <v>0.72076388888888887</v>
      </c>
      <c r="Q286" s="817"/>
      <c r="R286" s="816"/>
      <c r="S286" s="817"/>
      <c r="T286" s="817"/>
      <c r="U286" s="816" t="s">
        <v>9551</v>
      </c>
      <c r="V286" s="816" t="s">
        <v>9551</v>
      </c>
      <c r="W286" s="267"/>
      <c r="X286" s="816" t="s">
        <v>26</v>
      </c>
      <c r="Y286">
        <v>64.7</v>
      </c>
      <c r="Z286">
        <v>38.799999999999997</v>
      </c>
      <c r="AA286" s="816" t="s">
        <v>9572</v>
      </c>
      <c r="AB286" s="816" t="s">
        <v>9592</v>
      </c>
      <c r="AC286" s="816"/>
      <c r="AD286" s="816"/>
      <c r="AE286" s="816"/>
      <c r="AF286" s="816"/>
      <c r="AG286" s="816"/>
      <c r="AI286" s="816"/>
      <c r="AK286" s="816"/>
      <c r="AM286" s="816"/>
    </row>
    <row r="287" spans="1:39" x14ac:dyDescent="0.25">
      <c r="A287" s="265">
        <v>43713</v>
      </c>
      <c r="B287">
        <v>4</v>
      </c>
      <c r="C287" s="816" t="s">
        <v>7</v>
      </c>
      <c r="D287">
        <v>533</v>
      </c>
      <c r="E287" s="816" t="s">
        <v>9543</v>
      </c>
      <c r="F287" s="816" t="s">
        <v>24</v>
      </c>
      <c r="G287" s="816" t="s">
        <v>9546</v>
      </c>
      <c r="H287">
        <v>22</v>
      </c>
      <c r="I287" s="816" t="s">
        <v>16</v>
      </c>
      <c r="J287" s="816" t="s">
        <v>16</v>
      </c>
      <c r="K287" s="817">
        <v>0.1547685185185185</v>
      </c>
      <c r="L287" s="817">
        <v>0.22143518518518521</v>
      </c>
      <c r="M287" s="817"/>
      <c r="N287" s="817"/>
      <c r="O287" s="817">
        <v>0.47105324074074079</v>
      </c>
      <c r="P287" s="817">
        <v>0.72068287037037038</v>
      </c>
      <c r="Q287" s="817"/>
      <c r="R287" s="816"/>
      <c r="S287" s="817"/>
      <c r="T287" s="817"/>
      <c r="U287" s="816" t="s">
        <v>9551</v>
      </c>
      <c r="V287" s="816" t="s">
        <v>9551</v>
      </c>
      <c r="W287" s="267"/>
      <c r="X287" s="816" t="s">
        <v>26</v>
      </c>
      <c r="Y287">
        <v>69.900000000000006</v>
      </c>
      <c r="Z287">
        <v>40.700000000000003</v>
      </c>
      <c r="AA287" s="816" t="s">
        <v>9573</v>
      </c>
      <c r="AB287" s="816" t="s">
        <v>9593</v>
      </c>
      <c r="AC287" s="816"/>
      <c r="AD287" s="816"/>
      <c r="AE287" s="816"/>
      <c r="AF287" s="816"/>
      <c r="AG287" s="816"/>
      <c r="AI287" s="816"/>
      <c r="AK287" s="816"/>
      <c r="AM287" s="816"/>
    </row>
    <row r="288" spans="1:39" x14ac:dyDescent="0.25">
      <c r="A288" s="265">
        <v>43714</v>
      </c>
      <c r="B288">
        <v>5</v>
      </c>
      <c r="C288" s="816" t="s">
        <v>1</v>
      </c>
      <c r="D288">
        <v>533</v>
      </c>
      <c r="E288" s="816" t="s">
        <v>9543</v>
      </c>
      <c r="F288" s="816" t="s">
        <v>24</v>
      </c>
      <c r="G288" s="816" t="s">
        <v>9546</v>
      </c>
      <c r="H288">
        <v>23</v>
      </c>
      <c r="I288" s="816" t="s">
        <v>17</v>
      </c>
      <c r="J288" s="816" t="s">
        <v>17</v>
      </c>
      <c r="K288" s="817">
        <v>0.15439814814814815</v>
      </c>
      <c r="L288" s="817">
        <v>0.2210648148148148</v>
      </c>
      <c r="M288" s="817"/>
      <c r="N288" s="817"/>
      <c r="O288" s="817">
        <v>0.47082175925925923</v>
      </c>
      <c r="P288" s="817">
        <v>0.72059027777777773</v>
      </c>
      <c r="Q288" s="817"/>
      <c r="R288" s="816"/>
      <c r="S288" s="817"/>
      <c r="T288" s="817"/>
      <c r="U288" s="816" t="s">
        <v>9551</v>
      </c>
      <c r="V288" s="816" t="s">
        <v>9551</v>
      </c>
      <c r="W288" s="267"/>
      <c r="X288" s="816" t="s">
        <v>26</v>
      </c>
      <c r="Y288">
        <v>71.3</v>
      </c>
      <c r="Z288">
        <v>39.200000000000003</v>
      </c>
      <c r="AA288" s="816" t="s">
        <v>9574</v>
      </c>
      <c r="AB288" s="816" t="s">
        <v>9594</v>
      </c>
      <c r="AC288" s="816"/>
      <c r="AD288" s="816"/>
      <c r="AE288" s="816"/>
      <c r="AF288" s="816"/>
      <c r="AG288" s="816"/>
      <c r="AI288" s="816"/>
      <c r="AK288" s="816"/>
      <c r="AM288" s="816"/>
    </row>
    <row r="289" spans="1:39" x14ac:dyDescent="0.25">
      <c r="A289" s="265">
        <v>43715</v>
      </c>
      <c r="B289">
        <v>6</v>
      </c>
      <c r="C289" s="816" t="s">
        <v>2</v>
      </c>
      <c r="D289">
        <v>533</v>
      </c>
      <c r="E289" s="816" t="s">
        <v>9543</v>
      </c>
      <c r="F289" s="816" t="s">
        <v>24</v>
      </c>
      <c r="G289" s="816" t="s">
        <v>9546</v>
      </c>
      <c r="H289">
        <v>24</v>
      </c>
      <c r="I289" s="816" t="s">
        <v>18</v>
      </c>
      <c r="J289" s="816" t="s">
        <v>18</v>
      </c>
      <c r="K289" s="817">
        <v>0.1540162037037037</v>
      </c>
      <c r="L289" s="817">
        <v>0.22068287037037038</v>
      </c>
      <c r="M289" s="817"/>
      <c r="N289" s="817"/>
      <c r="O289" s="817">
        <v>0.47059027777777779</v>
      </c>
      <c r="P289" s="817">
        <v>0.72049768518518509</v>
      </c>
      <c r="Q289" s="817"/>
      <c r="R289" s="816"/>
      <c r="S289" s="817"/>
      <c r="T289" s="817"/>
      <c r="U289" s="816" t="s">
        <v>9551</v>
      </c>
      <c r="V289" s="816" t="s">
        <v>9551</v>
      </c>
      <c r="W289" s="267"/>
      <c r="X289" s="816" t="s">
        <v>26</v>
      </c>
      <c r="Y289">
        <v>69.400000000000006</v>
      </c>
      <c r="Z289">
        <v>34.799999999999997</v>
      </c>
      <c r="AA289" s="816" t="s">
        <v>9575</v>
      </c>
      <c r="AB289" s="816" t="s">
        <v>9595</v>
      </c>
      <c r="AC289" s="816"/>
      <c r="AD289" s="816"/>
      <c r="AE289" s="816"/>
      <c r="AF289" s="816"/>
      <c r="AG289" s="816"/>
      <c r="AI289" s="816"/>
      <c r="AK289" s="816"/>
      <c r="AM289" s="816"/>
    </row>
    <row r="290" spans="1:39" x14ac:dyDescent="0.25">
      <c r="A290" s="265">
        <v>43716</v>
      </c>
      <c r="B290">
        <v>0</v>
      </c>
      <c r="C290" s="816" t="s">
        <v>3</v>
      </c>
      <c r="D290">
        <v>533</v>
      </c>
      <c r="E290" s="816" t="s">
        <v>9543</v>
      </c>
      <c r="F290" s="816" t="s">
        <v>24</v>
      </c>
      <c r="G290" s="816" t="s">
        <v>9546</v>
      </c>
      <c r="H290">
        <v>25</v>
      </c>
      <c r="I290" s="816" t="s">
        <v>19</v>
      </c>
      <c r="J290" s="816" t="s">
        <v>19</v>
      </c>
      <c r="K290" s="817">
        <v>0.15362268518518518</v>
      </c>
      <c r="L290" s="817">
        <v>0.22028935185185183</v>
      </c>
      <c r="M290" s="817"/>
      <c r="N290" s="817"/>
      <c r="O290" s="817">
        <v>0.47034722222222225</v>
      </c>
      <c r="P290" s="817">
        <v>0.72040509259259267</v>
      </c>
      <c r="Q290" s="817"/>
      <c r="R290" s="816"/>
      <c r="S290" s="817"/>
      <c r="T290" s="817"/>
      <c r="U290" s="816" t="s">
        <v>9551</v>
      </c>
      <c r="V290" s="816" t="s">
        <v>9551</v>
      </c>
      <c r="W290" s="267"/>
      <c r="X290" s="816" t="s">
        <v>26</v>
      </c>
      <c r="Y290">
        <v>65</v>
      </c>
      <c r="Z290">
        <v>28.1</v>
      </c>
      <c r="AA290" s="816" t="s">
        <v>9576</v>
      </c>
      <c r="AB290" s="816" t="s">
        <v>9596</v>
      </c>
      <c r="AC290" s="816"/>
      <c r="AD290" s="816"/>
      <c r="AE290" s="816"/>
      <c r="AF290" s="816"/>
      <c r="AG290" s="816"/>
      <c r="AI290" s="816"/>
      <c r="AK290" s="816"/>
      <c r="AM290" s="816"/>
    </row>
    <row r="291" spans="1:39" x14ac:dyDescent="0.25">
      <c r="A291" s="265">
        <v>43717</v>
      </c>
      <c r="B291">
        <v>1</v>
      </c>
      <c r="C291" s="816" t="s">
        <v>4</v>
      </c>
      <c r="D291">
        <v>533</v>
      </c>
      <c r="E291" s="816" t="s">
        <v>9543</v>
      </c>
      <c r="F291" s="816" t="s">
        <v>24</v>
      </c>
      <c r="G291" s="816" t="s">
        <v>9546</v>
      </c>
      <c r="H291">
        <v>26</v>
      </c>
      <c r="I291" s="816" t="s">
        <v>9549</v>
      </c>
      <c r="J291" s="816" t="s">
        <v>20</v>
      </c>
      <c r="K291" s="817">
        <v>0.15324074074074073</v>
      </c>
      <c r="L291" s="817">
        <v>0.21990740740740741</v>
      </c>
      <c r="M291" s="817"/>
      <c r="N291" s="817"/>
      <c r="O291" s="817">
        <v>0.47011574074074075</v>
      </c>
      <c r="P291" s="817">
        <v>0.72031250000000002</v>
      </c>
      <c r="Q291" s="817"/>
      <c r="R291" s="816"/>
      <c r="S291" s="817"/>
      <c r="T291" s="817"/>
      <c r="U291" s="816" t="s">
        <v>9551</v>
      </c>
      <c r="V291" s="816" t="s">
        <v>9551</v>
      </c>
      <c r="W291" s="267"/>
      <c r="X291" s="816" t="s">
        <v>26</v>
      </c>
      <c r="Y291">
        <v>58.5</v>
      </c>
      <c r="Z291">
        <v>19.5</v>
      </c>
      <c r="AA291" s="816" t="s">
        <v>9577</v>
      </c>
      <c r="AB291" s="816" t="s">
        <v>9597</v>
      </c>
      <c r="AC291" s="816" t="s">
        <v>9632</v>
      </c>
      <c r="AD291" s="816"/>
      <c r="AE291" s="816"/>
      <c r="AF291" s="816"/>
      <c r="AG291" s="816"/>
      <c r="AI291" s="816"/>
      <c r="AK291" s="816"/>
      <c r="AM291" s="816"/>
    </row>
    <row r="292" spans="1:39" x14ac:dyDescent="0.25">
      <c r="A292" s="265">
        <v>43718</v>
      </c>
      <c r="B292">
        <v>2</v>
      </c>
      <c r="C292" s="816" t="s">
        <v>5</v>
      </c>
      <c r="D292">
        <v>533</v>
      </c>
      <c r="E292" s="816" t="s">
        <v>9543</v>
      </c>
      <c r="F292" s="816" t="s">
        <v>24</v>
      </c>
      <c r="G292" s="816" t="s">
        <v>9546</v>
      </c>
      <c r="H292">
        <v>27</v>
      </c>
      <c r="I292" s="816" t="s">
        <v>9550</v>
      </c>
      <c r="J292" s="816" t="s">
        <v>21</v>
      </c>
      <c r="K292" s="817">
        <v>0.15284722222222222</v>
      </c>
      <c r="L292" s="817">
        <v>0.2195138888888889</v>
      </c>
      <c r="M292" s="817"/>
      <c r="N292" s="817"/>
      <c r="O292" s="817">
        <v>0.46987268518518516</v>
      </c>
      <c r="P292" s="817">
        <v>0.72021990740740749</v>
      </c>
      <c r="Q292" s="817"/>
      <c r="R292" s="816"/>
      <c r="S292" s="817"/>
      <c r="T292" s="817"/>
      <c r="U292" s="816" t="s">
        <v>9551</v>
      </c>
      <c r="V292" s="816" t="s">
        <v>9551</v>
      </c>
      <c r="W292" s="267"/>
      <c r="X292" s="816" t="s">
        <v>26</v>
      </c>
      <c r="Y292">
        <v>50.6</v>
      </c>
      <c r="Z292">
        <v>9.6999999999999993</v>
      </c>
      <c r="AA292" s="816" t="s">
        <v>9552</v>
      </c>
      <c r="AB292" s="816" t="s">
        <v>9598</v>
      </c>
      <c r="AC292" s="816" t="s">
        <v>9633</v>
      </c>
      <c r="AD292" s="816"/>
      <c r="AE292" s="816"/>
      <c r="AF292" s="816" t="s">
        <v>72</v>
      </c>
      <c r="AG292" s="816" t="s">
        <v>9714</v>
      </c>
      <c r="AH292">
        <v>-1</v>
      </c>
      <c r="AI292" s="816" t="s">
        <v>62</v>
      </c>
      <c r="AJ292">
        <v>-1</v>
      </c>
      <c r="AK292" s="816"/>
      <c r="AM292" s="816"/>
    </row>
    <row r="293" spans="1:39" x14ac:dyDescent="0.25">
      <c r="A293" s="265">
        <v>43719</v>
      </c>
      <c r="B293">
        <v>3</v>
      </c>
      <c r="C293" s="816" t="s">
        <v>6</v>
      </c>
      <c r="D293">
        <v>533</v>
      </c>
      <c r="E293" s="816" t="s">
        <v>9543</v>
      </c>
      <c r="F293" s="816" t="s">
        <v>24</v>
      </c>
      <c r="G293" s="816" t="s">
        <v>9546</v>
      </c>
      <c r="H293">
        <v>28</v>
      </c>
      <c r="I293" s="816" t="s">
        <v>8</v>
      </c>
      <c r="J293" s="816" t="s">
        <v>8</v>
      </c>
      <c r="K293" s="817">
        <v>0.1524537037037037</v>
      </c>
      <c r="L293" s="817">
        <v>0.21912037037037035</v>
      </c>
      <c r="M293" s="817">
        <v>0.21875</v>
      </c>
      <c r="N293" s="817">
        <v>0.22916666666666666</v>
      </c>
      <c r="O293" s="817">
        <v>0.46962962962962962</v>
      </c>
      <c r="P293" s="817">
        <v>0.72012731481481485</v>
      </c>
      <c r="Q293" s="817"/>
      <c r="R293" s="816"/>
      <c r="S293" s="817"/>
      <c r="T293" s="817"/>
      <c r="U293" s="816" t="s">
        <v>9551</v>
      </c>
      <c r="V293" s="816" t="s">
        <v>9551</v>
      </c>
      <c r="W293" s="267"/>
      <c r="X293" s="816" t="s">
        <v>26</v>
      </c>
      <c r="Y293">
        <v>41.8</v>
      </c>
      <c r="Z293">
        <v>99.1</v>
      </c>
      <c r="AA293" s="816" t="s">
        <v>9552</v>
      </c>
      <c r="AB293" s="816" t="s">
        <v>9599</v>
      </c>
      <c r="AC293" s="816"/>
      <c r="AD293" s="816"/>
      <c r="AE293" s="816"/>
      <c r="AF293" s="816"/>
      <c r="AG293" s="816"/>
      <c r="AI293" s="816"/>
      <c r="AK293" s="816"/>
      <c r="AM293" s="816"/>
    </row>
    <row r="294" spans="1:39" x14ac:dyDescent="0.25">
      <c r="A294" s="265">
        <v>43720</v>
      </c>
      <c r="B294">
        <v>4</v>
      </c>
      <c r="C294" s="816" t="s">
        <v>7</v>
      </c>
      <c r="D294">
        <v>533</v>
      </c>
      <c r="E294" s="816" t="s">
        <v>9543</v>
      </c>
      <c r="F294" s="816" t="s">
        <v>24</v>
      </c>
      <c r="G294" s="816" t="s">
        <v>9546</v>
      </c>
      <c r="H294">
        <v>29</v>
      </c>
      <c r="I294" s="816" t="s">
        <v>9</v>
      </c>
      <c r="J294" s="816" t="s">
        <v>9</v>
      </c>
      <c r="K294" s="817">
        <v>0.15206018518518519</v>
      </c>
      <c r="L294" s="817">
        <v>0.21872685185185184</v>
      </c>
      <c r="M294" s="817"/>
      <c r="N294" s="817"/>
      <c r="O294" s="817">
        <v>0.46937500000000004</v>
      </c>
      <c r="P294" s="817">
        <v>0.7200347222222222</v>
      </c>
      <c r="Q294" s="817"/>
      <c r="R294" s="816"/>
      <c r="S294" s="817"/>
      <c r="T294" s="817"/>
      <c r="U294" s="816" t="s">
        <v>9551</v>
      </c>
      <c r="V294" s="816" t="s">
        <v>9551</v>
      </c>
      <c r="W294" s="267"/>
      <c r="X294" s="816" t="s">
        <v>26</v>
      </c>
      <c r="Y294">
        <v>32.5</v>
      </c>
      <c r="Z294">
        <v>88</v>
      </c>
      <c r="AA294" s="816" t="s">
        <v>9553</v>
      </c>
      <c r="AB294" s="816" t="s">
        <v>9600</v>
      </c>
      <c r="AC294" s="816" t="s">
        <v>9634</v>
      </c>
      <c r="AD294" s="816"/>
      <c r="AE294" s="816"/>
      <c r="AF294" s="816"/>
      <c r="AG294" s="816"/>
      <c r="AI294" s="816"/>
      <c r="AK294" s="816"/>
      <c r="AM294" s="816"/>
    </row>
    <row r="295" spans="1:39" x14ac:dyDescent="0.25">
      <c r="A295" s="265">
        <v>43721</v>
      </c>
      <c r="B295">
        <v>5</v>
      </c>
      <c r="C295" s="816" t="s">
        <v>1</v>
      </c>
      <c r="D295">
        <v>533</v>
      </c>
      <c r="E295" s="816" t="s">
        <v>9543</v>
      </c>
      <c r="F295" s="816" t="s">
        <v>24</v>
      </c>
      <c r="G295" s="816" t="s">
        <v>9546</v>
      </c>
      <c r="H295">
        <v>30</v>
      </c>
      <c r="I295" s="816" t="s">
        <v>10</v>
      </c>
      <c r="J295" s="816" t="s">
        <v>10</v>
      </c>
      <c r="K295" s="817">
        <v>0.15166666666666667</v>
      </c>
      <c r="L295" s="817">
        <v>0.21833333333333335</v>
      </c>
      <c r="M295" s="817"/>
      <c r="N295" s="817"/>
      <c r="O295" s="817">
        <v>0.46913194444444445</v>
      </c>
      <c r="P295" s="817">
        <v>0.71993055555555552</v>
      </c>
      <c r="Q295" s="817"/>
      <c r="R295" s="816"/>
      <c r="S295" s="817"/>
      <c r="T295" s="817"/>
      <c r="U295" s="816" t="s">
        <v>9551</v>
      </c>
      <c r="V295" s="816" t="s">
        <v>9551</v>
      </c>
      <c r="W295" s="267"/>
      <c r="X295" s="816" t="s">
        <v>26</v>
      </c>
      <c r="Y295">
        <v>23.1</v>
      </c>
      <c r="Z295">
        <v>76.8</v>
      </c>
      <c r="AA295" s="816" t="s">
        <v>9554</v>
      </c>
      <c r="AB295" s="816" t="s">
        <v>9601</v>
      </c>
      <c r="AC295" s="816" t="s">
        <v>9635</v>
      </c>
      <c r="AD295" s="816" t="s">
        <v>9646</v>
      </c>
      <c r="AE295" s="816"/>
      <c r="AF295" s="816"/>
      <c r="AG295" s="816"/>
      <c r="AI295" s="816"/>
      <c r="AK295" s="816"/>
      <c r="AM295" s="816"/>
    </row>
    <row r="296" spans="1:39" x14ac:dyDescent="0.25">
      <c r="A296" s="265">
        <v>43722</v>
      </c>
      <c r="B296">
        <v>6</v>
      </c>
      <c r="C296" s="816" t="s">
        <v>2</v>
      </c>
      <c r="D296">
        <v>533</v>
      </c>
      <c r="E296" s="816" t="s">
        <v>9544</v>
      </c>
      <c r="F296" s="816" t="s">
        <v>25</v>
      </c>
      <c r="G296" s="816" t="s">
        <v>9547</v>
      </c>
      <c r="H296">
        <v>1</v>
      </c>
      <c r="I296" s="816" t="s">
        <v>11</v>
      </c>
      <c r="J296" s="816" t="s">
        <v>11</v>
      </c>
      <c r="K296" s="817">
        <v>0.15127314814814816</v>
      </c>
      <c r="L296" s="817">
        <v>0.21793981481481481</v>
      </c>
      <c r="M296" s="817"/>
      <c r="N296" s="817"/>
      <c r="O296" s="817">
        <v>0.46888888888888891</v>
      </c>
      <c r="P296" s="817">
        <v>0.71983796296296287</v>
      </c>
      <c r="Q296" s="817"/>
      <c r="R296" s="816"/>
      <c r="S296" s="817"/>
      <c r="T296" s="817"/>
      <c r="U296" s="816" t="s">
        <v>9551</v>
      </c>
      <c r="V296" s="816" t="s">
        <v>9551</v>
      </c>
      <c r="W296" s="267"/>
      <c r="X296" s="816" t="s">
        <v>26</v>
      </c>
      <c r="Y296">
        <v>13.8</v>
      </c>
      <c r="Z296">
        <v>65.8</v>
      </c>
      <c r="AA296" s="816" t="s">
        <v>9555</v>
      </c>
      <c r="AB296" s="816" t="s">
        <v>9602</v>
      </c>
      <c r="AC296" s="816" t="s">
        <v>9636</v>
      </c>
      <c r="AD296" s="816"/>
      <c r="AE296" s="816"/>
      <c r="AF296" s="816"/>
      <c r="AG296" s="816"/>
      <c r="AI296" s="816"/>
      <c r="AK296" s="816"/>
      <c r="AM296" s="816"/>
    </row>
    <row r="297" spans="1:39" x14ac:dyDescent="0.25">
      <c r="A297" s="265">
        <v>43723</v>
      </c>
      <c r="B297">
        <v>0</v>
      </c>
      <c r="C297" s="816" t="s">
        <v>3</v>
      </c>
      <c r="D297">
        <v>533</v>
      </c>
      <c r="E297" s="816" t="s">
        <v>9544</v>
      </c>
      <c r="F297" s="816" t="s">
        <v>25</v>
      </c>
      <c r="G297" s="816" t="s">
        <v>9547</v>
      </c>
      <c r="H297">
        <v>2</v>
      </c>
      <c r="I297" s="816" t="s">
        <v>12</v>
      </c>
      <c r="J297" s="816" t="s">
        <v>11</v>
      </c>
      <c r="K297" s="817">
        <v>0.15086805555555557</v>
      </c>
      <c r="L297" s="817">
        <v>0.21753472222222223</v>
      </c>
      <c r="M297" s="817"/>
      <c r="N297" s="817"/>
      <c r="O297" s="817">
        <v>0.46863425925925922</v>
      </c>
      <c r="P297" s="817">
        <v>0.71974537037037034</v>
      </c>
      <c r="Q297" s="817"/>
      <c r="R297" s="816"/>
      <c r="S297" s="817"/>
      <c r="T297" s="817"/>
      <c r="U297" s="816" t="s">
        <v>9551</v>
      </c>
      <c r="V297" s="816" t="s">
        <v>9551</v>
      </c>
      <c r="W297" s="267"/>
      <c r="X297" s="816" t="s">
        <v>26</v>
      </c>
      <c r="Y297">
        <v>4.9000000000000004</v>
      </c>
      <c r="Z297">
        <v>55</v>
      </c>
      <c r="AA297" s="816" t="s">
        <v>9556</v>
      </c>
      <c r="AB297" s="816" t="s">
        <v>9603</v>
      </c>
      <c r="AC297" s="816"/>
      <c r="AD297" s="816"/>
      <c r="AE297" s="816"/>
      <c r="AF297" s="816"/>
      <c r="AG297" s="816"/>
      <c r="AI297" s="816"/>
      <c r="AK297" s="816"/>
      <c r="AM297" s="816"/>
    </row>
    <row r="298" spans="1:39" x14ac:dyDescent="0.25">
      <c r="A298" s="265">
        <v>43724</v>
      </c>
      <c r="B298">
        <v>1</v>
      </c>
      <c r="C298" s="816" t="s">
        <v>4</v>
      </c>
      <c r="D298">
        <v>533</v>
      </c>
      <c r="E298" s="816" t="s">
        <v>9544</v>
      </c>
      <c r="F298" s="816" t="s">
        <v>25</v>
      </c>
      <c r="G298" s="816" t="s">
        <v>9547</v>
      </c>
      <c r="H298">
        <v>2</v>
      </c>
      <c r="I298" s="816" t="s">
        <v>12</v>
      </c>
      <c r="J298" s="816" t="s">
        <v>12</v>
      </c>
      <c r="K298" s="817">
        <v>0.15047453703703703</v>
      </c>
      <c r="L298" s="817">
        <v>0.21714120370370371</v>
      </c>
      <c r="M298" s="817"/>
      <c r="N298" s="817"/>
      <c r="O298" s="817">
        <v>0.46839120370370368</v>
      </c>
      <c r="P298" s="817">
        <v>0.71964120370370377</v>
      </c>
      <c r="Q298" s="817"/>
      <c r="R298" s="816"/>
      <c r="S298" s="817"/>
      <c r="T298" s="817"/>
      <c r="U298" s="816" t="s">
        <v>9551</v>
      </c>
      <c r="V298" s="816" t="s">
        <v>9551</v>
      </c>
      <c r="W298" s="267"/>
      <c r="X298" s="816" t="s">
        <v>27</v>
      </c>
      <c r="Y298">
        <v>96.5</v>
      </c>
      <c r="Z298">
        <v>44.8</v>
      </c>
      <c r="AA298" s="816" t="s">
        <v>9557</v>
      </c>
      <c r="AB298" s="816" t="s">
        <v>9579</v>
      </c>
      <c r="AC298" s="816"/>
      <c r="AD298" s="816"/>
      <c r="AE298" s="816"/>
      <c r="AF298" s="816"/>
      <c r="AG298" s="816"/>
      <c r="AI298" s="816"/>
      <c r="AK298" s="816"/>
      <c r="AM298" s="816"/>
    </row>
    <row r="299" spans="1:39" x14ac:dyDescent="0.25">
      <c r="A299" s="265">
        <v>43725</v>
      </c>
      <c r="B299">
        <v>2</v>
      </c>
      <c r="C299" s="816" t="s">
        <v>5</v>
      </c>
      <c r="D299">
        <v>533</v>
      </c>
      <c r="E299" s="816" t="s">
        <v>9544</v>
      </c>
      <c r="F299" s="816" t="s">
        <v>25</v>
      </c>
      <c r="G299" s="816" t="s">
        <v>9547</v>
      </c>
      <c r="H299">
        <v>3</v>
      </c>
      <c r="I299" s="816" t="s">
        <v>23</v>
      </c>
      <c r="J299" s="816" t="s">
        <v>23</v>
      </c>
      <c r="K299" s="817">
        <v>0.15006944444444445</v>
      </c>
      <c r="L299" s="817">
        <v>0.2167361111111111</v>
      </c>
      <c r="M299" s="817"/>
      <c r="N299" s="817"/>
      <c r="O299" s="817">
        <v>0.46814814814814815</v>
      </c>
      <c r="P299" s="817">
        <v>0.71954861111111112</v>
      </c>
      <c r="Q299" s="817">
        <v>0.18031249999999999</v>
      </c>
      <c r="R299" s="816" t="s">
        <v>82</v>
      </c>
      <c r="S299" s="817"/>
      <c r="T299" s="817"/>
      <c r="U299" s="816" t="s">
        <v>9551</v>
      </c>
      <c r="V299" s="816" t="s">
        <v>9551</v>
      </c>
      <c r="W299" s="267"/>
      <c r="X299" s="816" t="s">
        <v>26</v>
      </c>
      <c r="Y299">
        <v>88.8</v>
      </c>
      <c r="Z299">
        <v>35.200000000000003</v>
      </c>
      <c r="AA299" s="816" t="s">
        <v>9558</v>
      </c>
      <c r="AB299" s="816" t="s">
        <v>9580</v>
      </c>
      <c r="AC299" s="816"/>
      <c r="AD299" s="816"/>
      <c r="AE299" s="816"/>
      <c r="AF299" s="816"/>
      <c r="AG299" s="816"/>
      <c r="AI299" s="816"/>
      <c r="AK299" s="816"/>
      <c r="AM299" s="816"/>
    </row>
    <row r="300" spans="1:39" x14ac:dyDescent="0.25">
      <c r="A300" s="265">
        <v>43726</v>
      </c>
      <c r="B300">
        <v>3</v>
      </c>
      <c r="C300" s="816" t="s">
        <v>6</v>
      </c>
      <c r="D300">
        <v>533</v>
      </c>
      <c r="E300" s="816" t="s">
        <v>9544</v>
      </c>
      <c r="F300" s="816" t="s">
        <v>25</v>
      </c>
      <c r="G300" s="816" t="s">
        <v>9547</v>
      </c>
      <c r="H300">
        <v>4</v>
      </c>
      <c r="I300" s="816" t="s">
        <v>13</v>
      </c>
      <c r="J300" s="816" t="s">
        <v>13</v>
      </c>
      <c r="K300" s="817">
        <v>0.14967592592592593</v>
      </c>
      <c r="L300" s="817">
        <v>0.21634259259259259</v>
      </c>
      <c r="M300" s="817"/>
      <c r="N300" s="817"/>
      <c r="O300" s="817">
        <v>0.46789351851851851</v>
      </c>
      <c r="P300" s="817">
        <v>0.71945601851851848</v>
      </c>
      <c r="Q300" s="817"/>
      <c r="R300" s="816"/>
      <c r="S300" s="817"/>
      <c r="T300" s="817"/>
      <c r="U300" s="816" t="s">
        <v>9551</v>
      </c>
      <c r="V300" s="816" t="s">
        <v>9551</v>
      </c>
      <c r="W300" s="267"/>
      <c r="X300" s="816" t="s">
        <v>26</v>
      </c>
      <c r="Y300">
        <v>82.2</v>
      </c>
      <c r="Z300">
        <v>26.5</v>
      </c>
      <c r="AA300" s="816" t="s">
        <v>9578</v>
      </c>
      <c r="AB300" s="816" t="s">
        <v>9581</v>
      </c>
      <c r="AC300" s="816"/>
      <c r="AD300" s="816"/>
      <c r="AE300" s="816"/>
      <c r="AF300" s="816"/>
      <c r="AG300" s="816"/>
      <c r="AI300" s="816"/>
      <c r="AK300" s="816"/>
      <c r="AM300" s="816"/>
    </row>
    <row r="301" spans="1:39" x14ac:dyDescent="0.25">
      <c r="A301" s="265">
        <v>43727</v>
      </c>
      <c r="B301">
        <v>4</v>
      </c>
      <c r="C301" s="816" t="s">
        <v>7</v>
      </c>
      <c r="D301">
        <v>533</v>
      </c>
      <c r="E301" s="816" t="s">
        <v>9544</v>
      </c>
      <c r="F301" s="816" t="s">
        <v>25</v>
      </c>
      <c r="G301" s="816" t="s">
        <v>9547</v>
      </c>
      <c r="H301">
        <v>5</v>
      </c>
      <c r="I301" s="816" t="s">
        <v>14</v>
      </c>
      <c r="J301" s="816" t="s">
        <v>14</v>
      </c>
      <c r="K301" s="817">
        <v>0.14927083333333332</v>
      </c>
      <c r="L301" s="817">
        <v>0.2159375</v>
      </c>
      <c r="M301" s="817"/>
      <c r="N301" s="817"/>
      <c r="O301" s="817">
        <v>0.46765046296296298</v>
      </c>
      <c r="P301" s="817">
        <v>0.7193518518518518</v>
      </c>
      <c r="Q301" s="817"/>
      <c r="R301" s="816"/>
      <c r="S301" s="817"/>
      <c r="T301" s="817"/>
      <c r="U301" s="816" t="s">
        <v>9551</v>
      </c>
      <c r="V301" s="816" t="s">
        <v>9551</v>
      </c>
      <c r="W301" s="267"/>
      <c r="X301" s="816" t="s">
        <v>26</v>
      </c>
      <c r="Y301">
        <v>76.900000000000006</v>
      </c>
      <c r="Z301">
        <v>19.100000000000001</v>
      </c>
      <c r="AA301" s="816" t="s">
        <v>9559</v>
      </c>
      <c r="AB301" s="816" t="s">
        <v>9582</v>
      </c>
      <c r="AC301" s="816"/>
      <c r="AD301" s="816"/>
      <c r="AE301" s="816"/>
      <c r="AF301" s="816"/>
      <c r="AG301" s="816"/>
      <c r="AI301" s="816"/>
      <c r="AK301" s="816"/>
      <c r="AM301" s="816"/>
    </row>
    <row r="302" spans="1:39" x14ac:dyDescent="0.25">
      <c r="A302" s="265">
        <v>43728</v>
      </c>
      <c r="B302">
        <v>5</v>
      </c>
      <c r="C302" s="816" t="s">
        <v>1</v>
      </c>
      <c r="D302">
        <v>533</v>
      </c>
      <c r="E302" s="816" t="s">
        <v>9544</v>
      </c>
      <c r="F302" s="816" t="s">
        <v>25</v>
      </c>
      <c r="G302" s="816" t="s">
        <v>9547</v>
      </c>
      <c r="H302">
        <v>6</v>
      </c>
      <c r="I302" s="816" t="s">
        <v>15</v>
      </c>
      <c r="J302" s="816" t="s">
        <v>15</v>
      </c>
      <c r="K302" s="817">
        <v>0.14887731481481481</v>
      </c>
      <c r="L302" s="817">
        <v>0.21554398148148149</v>
      </c>
      <c r="M302" s="817"/>
      <c r="N302" s="817"/>
      <c r="O302" s="817">
        <v>0.46739583333333329</v>
      </c>
      <c r="P302" s="817">
        <v>0.71925925925925915</v>
      </c>
      <c r="Q302" s="817"/>
      <c r="R302" s="816"/>
      <c r="S302" s="817"/>
      <c r="T302" s="817"/>
      <c r="U302" s="816" t="s">
        <v>9551</v>
      </c>
      <c r="V302" s="816" t="s">
        <v>9551</v>
      </c>
      <c r="W302" s="267"/>
      <c r="X302" s="816" t="s">
        <v>26</v>
      </c>
      <c r="Y302">
        <v>73.3</v>
      </c>
      <c r="Z302">
        <v>13.2</v>
      </c>
      <c r="AA302" s="816" t="s">
        <v>9560</v>
      </c>
      <c r="AB302" s="816" t="s">
        <v>9583</v>
      </c>
      <c r="AC302" s="816"/>
      <c r="AD302" s="816"/>
      <c r="AE302" s="816"/>
      <c r="AF302" s="816"/>
      <c r="AG302" s="816"/>
      <c r="AI302" s="816"/>
      <c r="AK302" s="816"/>
      <c r="AM302" s="816"/>
    </row>
    <row r="303" spans="1:39" x14ac:dyDescent="0.25">
      <c r="A303" s="265">
        <v>43729</v>
      </c>
      <c r="B303">
        <v>6</v>
      </c>
      <c r="C303" s="816" t="s">
        <v>2</v>
      </c>
      <c r="D303">
        <v>533</v>
      </c>
      <c r="E303" s="816" t="s">
        <v>9544</v>
      </c>
      <c r="F303" s="816" t="s">
        <v>25</v>
      </c>
      <c r="G303" s="816" t="s">
        <v>9547</v>
      </c>
      <c r="H303">
        <v>7</v>
      </c>
      <c r="I303" s="816" t="s">
        <v>16</v>
      </c>
      <c r="J303" s="816" t="s">
        <v>16</v>
      </c>
      <c r="K303" s="817">
        <v>0.14847222222222223</v>
      </c>
      <c r="L303" s="817">
        <v>0.21513888888888888</v>
      </c>
      <c r="M303" s="817"/>
      <c r="N303" s="817"/>
      <c r="O303" s="817">
        <v>0.46715277777777775</v>
      </c>
      <c r="P303" s="817">
        <v>0.71916666666666673</v>
      </c>
      <c r="Q303" s="817"/>
      <c r="R303" s="816"/>
      <c r="S303" s="817"/>
      <c r="T303" s="817"/>
      <c r="U303" s="816" t="s">
        <v>9551</v>
      </c>
      <c r="V303" s="816" t="s">
        <v>9551</v>
      </c>
      <c r="W303" s="267"/>
      <c r="X303" s="816" t="s">
        <v>26</v>
      </c>
      <c r="Y303">
        <v>71.900000000000006</v>
      </c>
      <c r="Z303">
        <v>9.1999999999999993</v>
      </c>
      <c r="AA303" s="816" t="s">
        <v>9561</v>
      </c>
      <c r="AB303" s="816" t="s">
        <v>9584</v>
      </c>
      <c r="AC303" s="816"/>
      <c r="AD303" s="816"/>
      <c r="AE303" s="816"/>
      <c r="AF303" s="816"/>
      <c r="AG303" s="816"/>
      <c r="AI303" s="816"/>
      <c r="AK303" s="816"/>
      <c r="AM303" s="816"/>
    </row>
    <row r="304" spans="1:39" x14ac:dyDescent="0.25">
      <c r="A304" s="265">
        <v>43730</v>
      </c>
      <c r="B304">
        <v>0</v>
      </c>
      <c r="C304" s="816" t="s">
        <v>3</v>
      </c>
      <c r="D304">
        <v>533</v>
      </c>
      <c r="E304" s="816" t="s">
        <v>9544</v>
      </c>
      <c r="F304" s="816" t="s">
        <v>25</v>
      </c>
      <c r="G304" s="816" t="s">
        <v>9547</v>
      </c>
      <c r="H304">
        <v>8</v>
      </c>
      <c r="I304" s="816" t="s">
        <v>17</v>
      </c>
      <c r="J304" s="816" t="s">
        <v>17</v>
      </c>
      <c r="K304" s="817">
        <v>0.14807870370370371</v>
      </c>
      <c r="L304" s="817">
        <v>0.21474537037037036</v>
      </c>
      <c r="M304" s="817"/>
      <c r="N304" s="817"/>
      <c r="O304" s="817">
        <v>0.46690972222222221</v>
      </c>
      <c r="P304" s="817">
        <v>0.71907407407407409</v>
      </c>
      <c r="Q304" s="817"/>
      <c r="R304" s="816"/>
      <c r="S304" s="817"/>
      <c r="T304" s="817"/>
      <c r="U304" s="816" t="s">
        <v>9551</v>
      </c>
      <c r="V304" s="816" t="s">
        <v>9551</v>
      </c>
      <c r="W304" s="267"/>
      <c r="X304" s="816" t="s">
        <v>26</v>
      </c>
      <c r="Y304">
        <v>73.2</v>
      </c>
      <c r="Z304">
        <v>7.8</v>
      </c>
      <c r="AA304" s="816" t="s">
        <v>9562</v>
      </c>
      <c r="AB304" s="816" t="s">
        <v>9585</v>
      </c>
      <c r="AC304" s="816"/>
      <c r="AD304" s="816"/>
      <c r="AE304" s="816"/>
      <c r="AF304" s="816"/>
      <c r="AG304" s="816"/>
      <c r="AI304" s="816"/>
      <c r="AK304" s="816"/>
      <c r="AM304" s="816"/>
    </row>
    <row r="305" spans="1:39" x14ac:dyDescent="0.25">
      <c r="A305" s="265">
        <v>43731</v>
      </c>
      <c r="B305">
        <v>1</v>
      </c>
      <c r="C305" s="816" t="s">
        <v>4</v>
      </c>
      <c r="D305">
        <v>533</v>
      </c>
      <c r="E305" s="816" t="s">
        <v>9544</v>
      </c>
      <c r="F305" s="816" t="s">
        <v>25</v>
      </c>
      <c r="G305" s="816" t="s">
        <v>9547</v>
      </c>
      <c r="H305">
        <v>9</v>
      </c>
      <c r="I305" s="816" t="s">
        <v>18</v>
      </c>
      <c r="J305" s="816" t="s">
        <v>18</v>
      </c>
      <c r="K305" s="817">
        <v>0.14768518518518517</v>
      </c>
      <c r="L305" s="817">
        <v>0.21435185185185188</v>
      </c>
      <c r="M305" s="817"/>
      <c r="N305" s="817"/>
      <c r="O305" s="817">
        <v>0.46666666666666662</v>
      </c>
      <c r="P305" s="817">
        <v>0.71898148148148155</v>
      </c>
      <c r="Q305" s="817"/>
      <c r="R305" s="816"/>
      <c r="S305" s="817"/>
      <c r="T305" s="817"/>
      <c r="U305" s="816" t="s">
        <v>9551</v>
      </c>
      <c r="V305" s="816" t="s">
        <v>9551</v>
      </c>
      <c r="W305" s="267"/>
      <c r="X305" s="816" t="s">
        <v>26</v>
      </c>
      <c r="Y305">
        <v>77.7</v>
      </c>
      <c r="Z305">
        <v>9.1</v>
      </c>
      <c r="AA305" s="816" t="s">
        <v>9563</v>
      </c>
      <c r="AB305" s="816" t="s">
        <v>9586</v>
      </c>
      <c r="AC305" s="816"/>
      <c r="AD305" s="816"/>
      <c r="AE305" s="816"/>
      <c r="AF305" s="816"/>
      <c r="AG305" s="816"/>
      <c r="AI305" s="816"/>
      <c r="AK305" s="816"/>
      <c r="AM305" s="816"/>
    </row>
    <row r="306" spans="1:39" x14ac:dyDescent="0.25">
      <c r="A306" s="265">
        <v>43732</v>
      </c>
      <c r="B306">
        <v>2</v>
      </c>
      <c r="C306" s="816" t="s">
        <v>5</v>
      </c>
      <c r="D306">
        <v>533</v>
      </c>
      <c r="E306" s="816" t="s">
        <v>9544</v>
      </c>
      <c r="F306" s="816" t="s">
        <v>25</v>
      </c>
      <c r="G306" s="816" t="s">
        <v>9547</v>
      </c>
      <c r="H306">
        <v>10</v>
      </c>
      <c r="I306" s="816" t="s">
        <v>19</v>
      </c>
      <c r="J306" s="816" t="s">
        <v>19</v>
      </c>
      <c r="K306" s="817">
        <v>0.14728009259259259</v>
      </c>
      <c r="L306" s="817">
        <v>0.21394675925925924</v>
      </c>
      <c r="M306" s="817"/>
      <c r="N306" s="817"/>
      <c r="O306" s="817">
        <v>0.46642361111111108</v>
      </c>
      <c r="P306" s="817">
        <v>0.71888888888888891</v>
      </c>
      <c r="Q306" s="817"/>
      <c r="R306" s="816"/>
      <c r="S306" s="817"/>
      <c r="T306" s="817"/>
      <c r="U306" s="816" t="s">
        <v>9551</v>
      </c>
      <c r="V306" s="816" t="s">
        <v>9551</v>
      </c>
      <c r="W306" s="267"/>
      <c r="X306" s="816" t="s">
        <v>26</v>
      </c>
      <c r="Y306">
        <v>85.7</v>
      </c>
      <c r="Z306">
        <v>13.7</v>
      </c>
      <c r="AA306" s="816" t="s">
        <v>9564</v>
      </c>
      <c r="AB306" s="816" t="s">
        <v>9604</v>
      </c>
      <c r="AC306" s="816"/>
      <c r="AD306" s="816"/>
      <c r="AE306" s="816"/>
      <c r="AF306" s="816"/>
      <c r="AG306" s="816"/>
      <c r="AI306" s="816"/>
      <c r="AK306" s="816"/>
      <c r="AM306" s="816"/>
    </row>
    <row r="307" spans="1:39" x14ac:dyDescent="0.25">
      <c r="A307" s="265">
        <v>43733</v>
      </c>
      <c r="B307">
        <v>3</v>
      </c>
      <c r="C307" s="816" t="s">
        <v>6</v>
      </c>
      <c r="D307">
        <v>533</v>
      </c>
      <c r="E307" s="816" t="s">
        <v>9544</v>
      </c>
      <c r="F307" s="816" t="s">
        <v>25</v>
      </c>
      <c r="G307" s="816" t="s">
        <v>9547</v>
      </c>
      <c r="H307">
        <v>11</v>
      </c>
      <c r="I307" s="816" t="s">
        <v>9548</v>
      </c>
      <c r="J307" s="816" t="s">
        <v>20</v>
      </c>
      <c r="K307" s="817">
        <v>0.14688657407407407</v>
      </c>
      <c r="L307" s="817">
        <v>0.21355324074074075</v>
      </c>
      <c r="M307" s="817"/>
      <c r="N307" s="817"/>
      <c r="O307" s="817">
        <v>0.46618055555555554</v>
      </c>
      <c r="P307" s="817">
        <v>0.71880787037037042</v>
      </c>
      <c r="Q307" s="817"/>
      <c r="R307" s="816"/>
      <c r="S307" s="817"/>
      <c r="T307" s="817"/>
      <c r="U307" s="816" t="s">
        <v>9551</v>
      </c>
      <c r="V307" s="816" t="s">
        <v>9551</v>
      </c>
      <c r="W307" s="267"/>
      <c r="X307" s="816" t="s">
        <v>26</v>
      </c>
      <c r="Y307">
        <v>97.3</v>
      </c>
      <c r="Z307">
        <v>21.5</v>
      </c>
      <c r="AA307" s="816" t="s">
        <v>9565</v>
      </c>
      <c r="AB307" s="816" t="s">
        <v>9588</v>
      </c>
      <c r="AC307" s="816"/>
      <c r="AD307" s="816"/>
      <c r="AE307" s="816"/>
      <c r="AF307" s="816" t="s">
        <v>72</v>
      </c>
      <c r="AG307" s="816" t="s">
        <v>9608</v>
      </c>
      <c r="AH307">
        <v>-1</v>
      </c>
      <c r="AI307" s="816" t="s">
        <v>63</v>
      </c>
      <c r="AJ307">
        <v>-1</v>
      </c>
      <c r="AK307" s="816"/>
      <c r="AM307" s="816"/>
    </row>
    <row r="308" spans="1:39" x14ac:dyDescent="0.25">
      <c r="A308" s="265">
        <v>43734</v>
      </c>
      <c r="B308">
        <v>4</v>
      </c>
      <c r="C308" s="816" t="s">
        <v>7</v>
      </c>
      <c r="D308">
        <v>533</v>
      </c>
      <c r="E308" s="816" t="s">
        <v>9544</v>
      </c>
      <c r="F308" s="816" t="s">
        <v>25</v>
      </c>
      <c r="G308" s="816" t="s">
        <v>9547</v>
      </c>
      <c r="H308">
        <v>13</v>
      </c>
      <c r="I308" s="816" t="s">
        <v>8</v>
      </c>
      <c r="J308" s="816" t="s">
        <v>8</v>
      </c>
      <c r="K308" s="817">
        <v>0.14649305555555556</v>
      </c>
      <c r="L308" s="817">
        <v>0.21315972222222224</v>
      </c>
      <c r="M308" s="817">
        <v>0.21249999999999999</v>
      </c>
      <c r="N308" s="817">
        <v>0.38125000000000003</v>
      </c>
      <c r="O308" s="817">
        <v>0.46593749999999995</v>
      </c>
      <c r="P308" s="817">
        <v>0.71871527777777777</v>
      </c>
      <c r="Q308" s="817"/>
      <c r="R308" s="816"/>
      <c r="S308" s="817">
        <v>0.23680555555555557</v>
      </c>
      <c r="T308" s="817">
        <v>0.1076388888888889</v>
      </c>
      <c r="U308" s="816" t="s">
        <v>9551</v>
      </c>
      <c r="V308" s="816" t="s">
        <v>9551</v>
      </c>
      <c r="W308" s="267"/>
      <c r="X308" s="816" t="s">
        <v>26</v>
      </c>
      <c r="Y308">
        <v>12.3</v>
      </c>
      <c r="Z308">
        <v>32.299999999999997</v>
      </c>
      <c r="AA308" s="816" t="s">
        <v>9566</v>
      </c>
      <c r="AB308" s="816" t="s">
        <v>9589</v>
      </c>
      <c r="AC308" s="816"/>
      <c r="AD308" s="816"/>
      <c r="AE308" s="816"/>
      <c r="AF308" s="816"/>
      <c r="AG308" s="816"/>
      <c r="AI308" s="816"/>
      <c r="AK308" s="816"/>
      <c r="AM308" s="816"/>
    </row>
    <row r="309" spans="1:39" x14ac:dyDescent="0.25">
      <c r="A309" s="265">
        <v>43735</v>
      </c>
      <c r="B309">
        <v>5</v>
      </c>
      <c r="C309" s="816" t="s">
        <v>1</v>
      </c>
      <c r="D309">
        <v>533</v>
      </c>
      <c r="E309" s="816" t="s">
        <v>9544</v>
      </c>
      <c r="F309" s="816" t="s">
        <v>25</v>
      </c>
      <c r="G309" s="816" t="s">
        <v>9547</v>
      </c>
      <c r="H309">
        <v>14</v>
      </c>
      <c r="I309" s="816" t="s">
        <v>9</v>
      </c>
      <c r="J309" s="816" t="s">
        <v>9</v>
      </c>
      <c r="K309" s="817">
        <v>0.14609953703703704</v>
      </c>
      <c r="L309" s="817">
        <v>0.21276620370370369</v>
      </c>
      <c r="M309" s="817"/>
      <c r="N309" s="817"/>
      <c r="O309" s="817">
        <v>0.46570601851851851</v>
      </c>
      <c r="P309" s="817">
        <v>0.71863425925925928</v>
      </c>
      <c r="Q309" s="817"/>
      <c r="R309" s="816"/>
      <c r="S309" s="817"/>
      <c r="T309" s="817"/>
      <c r="U309" s="816" t="s">
        <v>9551</v>
      </c>
      <c r="V309" s="816" t="s">
        <v>9551</v>
      </c>
      <c r="W309" s="267"/>
      <c r="X309" s="816" t="s">
        <v>26</v>
      </c>
      <c r="Y309">
        <v>29.7</v>
      </c>
      <c r="Z309">
        <v>45.3</v>
      </c>
      <c r="AA309" s="816" t="s">
        <v>9567</v>
      </c>
      <c r="AB309" s="816" t="s">
        <v>9590</v>
      </c>
      <c r="AC309" s="816"/>
      <c r="AD309" s="816"/>
      <c r="AE309" s="816"/>
      <c r="AF309" s="816"/>
      <c r="AG309" s="816"/>
      <c r="AI309" s="816"/>
      <c r="AK309" s="816"/>
      <c r="AM309" s="816"/>
    </row>
    <row r="310" spans="1:39" x14ac:dyDescent="0.25">
      <c r="A310" s="265">
        <v>43736</v>
      </c>
      <c r="B310">
        <v>6</v>
      </c>
      <c r="C310" s="816" t="s">
        <v>2</v>
      </c>
      <c r="D310">
        <v>533</v>
      </c>
      <c r="E310" s="816" t="s">
        <v>9544</v>
      </c>
      <c r="F310" s="816" t="s">
        <v>25</v>
      </c>
      <c r="G310" s="816" t="s">
        <v>9547</v>
      </c>
      <c r="H310">
        <v>15</v>
      </c>
      <c r="I310" s="816" t="s">
        <v>22</v>
      </c>
      <c r="J310" s="816" t="s">
        <v>22</v>
      </c>
      <c r="K310" s="817">
        <v>0.14571759259259259</v>
      </c>
      <c r="L310" s="817">
        <v>0.21238425925925927</v>
      </c>
      <c r="M310" s="817"/>
      <c r="N310" s="817"/>
      <c r="O310" s="817">
        <v>0.46547453703703701</v>
      </c>
      <c r="P310" s="817">
        <v>0.71855324074074067</v>
      </c>
      <c r="Q310" s="817"/>
      <c r="R310" s="816"/>
      <c r="S310" s="817"/>
      <c r="T310" s="817"/>
      <c r="U310" s="816" t="s">
        <v>9551</v>
      </c>
      <c r="V310" s="816" t="s">
        <v>9551</v>
      </c>
      <c r="W310" s="267"/>
      <c r="X310" s="816" t="s">
        <v>26</v>
      </c>
      <c r="Y310">
        <v>48.5</v>
      </c>
      <c r="Z310">
        <v>59.6</v>
      </c>
      <c r="AA310" s="816" t="s">
        <v>9568</v>
      </c>
      <c r="AB310" s="816" t="s">
        <v>9591</v>
      </c>
      <c r="AC310" s="816"/>
      <c r="AD310" s="816"/>
      <c r="AE310" s="816"/>
      <c r="AF310" s="816"/>
      <c r="AG310" s="816"/>
      <c r="AI310" s="816"/>
      <c r="AK310" s="816"/>
      <c r="AM310" s="816"/>
    </row>
    <row r="311" spans="1:39" x14ac:dyDescent="0.25">
      <c r="A311" s="265">
        <v>43737</v>
      </c>
      <c r="B311">
        <v>0</v>
      </c>
      <c r="C311" s="816" t="s">
        <v>3</v>
      </c>
      <c r="D311">
        <v>533</v>
      </c>
      <c r="E311" s="816" t="s">
        <v>9544</v>
      </c>
      <c r="F311" s="816" t="s">
        <v>24</v>
      </c>
      <c r="G311" s="816" t="s">
        <v>9546</v>
      </c>
      <c r="H311">
        <v>16</v>
      </c>
      <c r="I311" s="816" t="s">
        <v>11</v>
      </c>
      <c r="J311" s="816" t="s">
        <v>11</v>
      </c>
      <c r="K311" s="817">
        <v>0.14532407407407408</v>
      </c>
      <c r="L311" s="817">
        <v>0.21199074074074076</v>
      </c>
      <c r="M311" s="817"/>
      <c r="N311" s="817"/>
      <c r="O311" s="817">
        <v>0.46524305555555556</v>
      </c>
      <c r="P311" s="817">
        <v>0.71848379629629633</v>
      </c>
      <c r="Q311" s="817"/>
      <c r="R311" s="816"/>
      <c r="S311" s="817"/>
      <c r="T311" s="817"/>
      <c r="U311" s="816" t="s">
        <v>9551</v>
      </c>
      <c r="V311" s="816" t="s">
        <v>9551</v>
      </c>
      <c r="W311" s="267"/>
      <c r="X311" s="816" t="s">
        <v>26</v>
      </c>
      <c r="Y311">
        <v>67.2</v>
      </c>
      <c r="Z311">
        <v>73.8</v>
      </c>
      <c r="AA311" s="816" t="s">
        <v>9569</v>
      </c>
      <c r="AB311" s="816" t="s">
        <v>9605</v>
      </c>
      <c r="AC311" s="816"/>
      <c r="AD311" s="816"/>
      <c r="AE311" s="816"/>
      <c r="AF311" s="816"/>
      <c r="AG311" s="816"/>
      <c r="AI311" s="816"/>
      <c r="AK311" s="816"/>
      <c r="AM311" s="816"/>
    </row>
    <row r="312" spans="1:39" x14ac:dyDescent="0.25">
      <c r="A312" s="265">
        <v>43738</v>
      </c>
      <c r="B312">
        <v>1</v>
      </c>
      <c r="C312" s="816" t="s">
        <v>4</v>
      </c>
      <c r="D312">
        <v>533</v>
      </c>
      <c r="E312" s="816" t="s">
        <v>9544</v>
      </c>
      <c r="F312" s="816" t="s">
        <v>24</v>
      </c>
      <c r="G312" s="816" t="s">
        <v>9546</v>
      </c>
      <c r="H312">
        <v>17</v>
      </c>
      <c r="I312" s="816" t="s">
        <v>12</v>
      </c>
      <c r="J312" s="816" t="s">
        <v>12</v>
      </c>
      <c r="K312" s="817">
        <v>0.14494212962962963</v>
      </c>
      <c r="L312" s="817">
        <v>0.21160879629629628</v>
      </c>
      <c r="M312" s="817"/>
      <c r="N312" s="817"/>
      <c r="O312" s="817">
        <v>0.46501157407407406</v>
      </c>
      <c r="P312" s="817">
        <v>0.71840277777777783</v>
      </c>
      <c r="Q312" s="817"/>
      <c r="R312" s="816"/>
      <c r="S312" s="817"/>
      <c r="T312" s="817"/>
      <c r="U312" s="816" t="s">
        <v>9551</v>
      </c>
      <c r="V312" s="816" t="s">
        <v>9551</v>
      </c>
      <c r="W312" s="267"/>
      <c r="X312" s="816" t="s">
        <v>26</v>
      </c>
      <c r="Y312">
        <v>84.2</v>
      </c>
      <c r="Z312">
        <v>86.4</v>
      </c>
      <c r="AA312" s="816" t="s">
        <v>9570</v>
      </c>
      <c r="AB312" s="816" t="s">
        <v>9593</v>
      </c>
      <c r="AC312" s="816"/>
      <c r="AD312" s="816"/>
      <c r="AE312" s="816"/>
      <c r="AF312" s="816"/>
      <c r="AG312" s="816"/>
      <c r="AI312" s="816"/>
      <c r="AK312" s="816"/>
      <c r="AM312" s="816"/>
    </row>
    <row r="313" spans="1:39" x14ac:dyDescent="0.25">
      <c r="A313" s="265">
        <v>43739</v>
      </c>
      <c r="B313">
        <v>2</v>
      </c>
      <c r="C313" s="816" t="s">
        <v>5</v>
      </c>
      <c r="D313">
        <v>533</v>
      </c>
      <c r="E313" s="816" t="s">
        <v>9544</v>
      </c>
      <c r="F313" s="816" t="s">
        <v>24</v>
      </c>
      <c r="G313" s="816" t="s">
        <v>9546</v>
      </c>
      <c r="H313">
        <v>18</v>
      </c>
      <c r="I313" s="816" t="s">
        <v>23</v>
      </c>
      <c r="J313" s="816" t="s">
        <v>23</v>
      </c>
      <c r="K313" s="817">
        <v>0.14456018518518518</v>
      </c>
      <c r="L313" s="817">
        <v>0.21122685185185186</v>
      </c>
      <c r="M313" s="817"/>
      <c r="N313" s="817"/>
      <c r="O313" s="817">
        <v>0.46478009259259262</v>
      </c>
      <c r="P313" s="817">
        <v>0.71833333333333327</v>
      </c>
      <c r="Q313" s="817"/>
      <c r="R313" s="816"/>
      <c r="S313" s="817"/>
      <c r="T313" s="817"/>
      <c r="U313" s="816" t="s">
        <v>9551</v>
      </c>
      <c r="V313" s="816" t="s">
        <v>9551</v>
      </c>
      <c r="W313" s="267"/>
      <c r="X313" s="816" t="s">
        <v>26</v>
      </c>
      <c r="Y313">
        <v>98.2</v>
      </c>
      <c r="Z313">
        <v>96.4</v>
      </c>
      <c r="AA313" s="816" t="s">
        <v>9571</v>
      </c>
      <c r="AB313" s="816" t="s">
        <v>9594</v>
      </c>
      <c r="AC313" s="816"/>
      <c r="AD313" s="816"/>
      <c r="AE313" s="816"/>
      <c r="AF313" s="816"/>
      <c r="AG313" s="816"/>
      <c r="AI313" s="816"/>
      <c r="AK313" s="816"/>
      <c r="AM313" s="816"/>
    </row>
    <row r="314" spans="1:39" x14ac:dyDescent="0.25">
      <c r="A314" s="265">
        <v>43740</v>
      </c>
      <c r="B314">
        <v>3</v>
      </c>
      <c r="C314" s="816" t="s">
        <v>6</v>
      </c>
      <c r="D314">
        <v>533</v>
      </c>
      <c r="E314" s="816" t="s">
        <v>9544</v>
      </c>
      <c r="F314" s="816" t="s">
        <v>24</v>
      </c>
      <c r="G314" s="816" t="s">
        <v>9546</v>
      </c>
      <c r="H314">
        <v>20</v>
      </c>
      <c r="I314" s="816" t="s">
        <v>14</v>
      </c>
      <c r="J314" s="816" t="s">
        <v>14</v>
      </c>
      <c r="K314" s="817">
        <v>0.14418981481481483</v>
      </c>
      <c r="L314" s="817">
        <v>0.21085648148148148</v>
      </c>
      <c r="M314" s="817"/>
      <c r="N314" s="817"/>
      <c r="O314" s="817">
        <v>0.46456018518518521</v>
      </c>
      <c r="P314" s="817">
        <v>0.71826388888888892</v>
      </c>
      <c r="Q314" s="817"/>
      <c r="R314" s="816"/>
      <c r="S314" s="817">
        <v>0.22708333333333333</v>
      </c>
      <c r="T314" s="817">
        <v>0.13333333333333333</v>
      </c>
      <c r="U314" s="816" t="s">
        <v>9551</v>
      </c>
      <c r="V314" s="816" t="s">
        <v>9551</v>
      </c>
      <c r="W314" s="267"/>
      <c r="X314" s="816" t="s">
        <v>26</v>
      </c>
      <c r="Y314">
        <v>8.4</v>
      </c>
      <c r="Z314">
        <v>2.9</v>
      </c>
      <c r="AA314" s="816" t="s">
        <v>9573</v>
      </c>
      <c r="AB314" s="816" t="s">
        <v>9595</v>
      </c>
      <c r="AC314" s="816"/>
      <c r="AD314" s="816"/>
      <c r="AE314" s="816"/>
      <c r="AF314" s="816"/>
      <c r="AG314" s="816"/>
      <c r="AI314" s="816"/>
      <c r="AK314" s="816"/>
      <c r="AM314" s="816"/>
    </row>
    <row r="315" spans="1:39" x14ac:dyDescent="0.25">
      <c r="A315" s="265">
        <v>43741</v>
      </c>
      <c r="B315">
        <v>4</v>
      </c>
      <c r="C315" s="816" t="s">
        <v>7</v>
      </c>
      <c r="D315">
        <v>533</v>
      </c>
      <c r="E315" s="816" t="s">
        <v>9544</v>
      </c>
      <c r="F315" s="816" t="s">
        <v>24</v>
      </c>
      <c r="G315" s="816" t="s">
        <v>9546</v>
      </c>
      <c r="H315">
        <v>21</v>
      </c>
      <c r="I315" s="816" t="s">
        <v>15</v>
      </c>
      <c r="J315" s="816" t="s">
        <v>15</v>
      </c>
      <c r="K315" s="817">
        <v>0.14381944444444444</v>
      </c>
      <c r="L315" s="817">
        <v>0.21048611111111112</v>
      </c>
      <c r="M315" s="817"/>
      <c r="N315" s="817"/>
      <c r="O315" s="817">
        <v>0.46434027777777781</v>
      </c>
      <c r="P315" s="817">
        <v>0.71820601851851851</v>
      </c>
      <c r="Q315" s="817"/>
      <c r="R315" s="816"/>
      <c r="S315" s="817"/>
      <c r="T315" s="817"/>
      <c r="U315" s="816" t="s">
        <v>9551</v>
      </c>
      <c r="V315" s="816" t="s">
        <v>9551</v>
      </c>
      <c r="W315" s="267"/>
      <c r="X315" s="816" t="s">
        <v>26</v>
      </c>
      <c r="Y315">
        <v>14.4</v>
      </c>
      <c r="Z315">
        <v>5.7</v>
      </c>
      <c r="AA315" s="816" t="s">
        <v>9574</v>
      </c>
      <c r="AB315" s="816" t="s">
        <v>9596</v>
      </c>
      <c r="AC315" s="816"/>
      <c r="AD315" s="816"/>
      <c r="AE315" s="816"/>
      <c r="AF315" s="816"/>
      <c r="AG315" s="816"/>
      <c r="AI315" s="816"/>
      <c r="AK315" s="816"/>
      <c r="AM315" s="816"/>
    </row>
    <row r="316" spans="1:39" x14ac:dyDescent="0.25">
      <c r="A316" s="265">
        <v>43742</v>
      </c>
      <c r="B316">
        <v>5</v>
      </c>
      <c r="C316" s="816" t="s">
        <v>1</v>
      </c>
      <c r="D316">
        <v>533</v>
      </c>
      <c r="E316" s="816" t="s">
        <v>9544</v>
      </c>
      <c r="F316" s="816" t="s">
        <v>24</v>
      </c>
      <c r="G316" s="816" t="s">
        <v>9546</v>
      </c>
      <c r="H316">
        <v>22</v>
      </c>
      <c r="I316" s="816" t="s">
        <v>16</v>
      </c>
      <c r="J316" s="816" t="s">
        <v>16</v>
      </c>
      <c r="K316" s="817">
        <v>0.14344907407407406</v>
      </c>
      <c r="L316" s="817">
        <v>0.21011574074074071</v>
      </c>
      <c r="M316" s="817"/>
      <c r="N316" s="817"/>
      <c r="O316" s="817">
        <v>0.46412037037037041</v>
      </c>
      <c r="P316" s="817">
        <v>0.71813657407407405</v>
      </c>
      <c r="Q316" s="817"/>
      <c r="R316" s="816"/>
      <c r="S316" s="817"/>
      <c r="T316" s="817"/>
      <c r="U316" s="816" t="s">
        <v>9551</v>
      </c>
      <c r="V316" s="816" t="s">
        <v>9551</v>
      </c>
      <c r="W316" s="267"/>
      <c r="X316" s="816" t="s">
        <v>26</v>
      </c>
      <c r="Y316">
        <v>16.399999999999999</v>
      </c>
      <c r="Z316">
        <v>4.9000000000000004</v>
      </c>
      <c r="AA316" s="816" t="s">
        <v>9575</v>
      </c>
      <c r="AB316" s="816" t="s">
        <v>9597</v>
      </c>
      <c r="AC316" s="816"/>
      <c r="AD316" s="816"/>
      <c r="AE316" s="816"/>
      <c r="AF316" s="816"/>
      <c r="AG316" s="816"/>
      <c r="AI316" s="816"/>
      <c r="AK316" s="816"/>
      <c r="AM316" s="816"/>
    </row>
    <row r="317" spans="1:39" x14ac:dyDescent="0.25">
      <c r="A317" s="265">
        <v>43743</v>
      </c>
      <c r="B317">
        <v>6</v>
      </c>
      <c r="C317" s="816" t="s">
        <v>2</v>
      </c>
      <c r="D317">
        <v>533</v>
      </c>
      <c r="E317" s="816" t="s">
        <v>9544</v>
      </c>
      <c r="F317" s="816" t="s">
        <v>24</v>
      </c>
      <c r="G317" s="816" t="s">
        <v>9546</v>
      </c>
      <c r="H317">
        <v>23</v>
      </c>
      <c r="I317" s="816" t="s">
        <v>17</v>
      </c>
      <c r="J317" s="816" t="s">
        <v>17</v>
      </c>
      <c r="K317" s="817">
        <v>0.14307870370370371</v>
      </c>
      <c r="L317" s="817">
        <v>0.20974537037037036</v>
      </c>
      <c r="M317" s="817"/>
      <c r="N317" s="817"/>
      <c r="O317" s="817">
        <v>0.46391203703703704</v>
      </c>
      <c r="P317" s="817">
        <v>0.71807870370370364</v>
      </c>
      <c r="Q317" s="817"/>
      <c r="R317" s="816"/>
      <c r="S317" s="817"/>
      <c r="T317" s="817"/>
      <c r="U317" s="816" t="s">
        <v>9551</v>
      </c>
      <c r="V317" s="816" t="s">
        <v>9551</v>
      </c>
      <c r="W317" s="267"/>
      <c r="X317" s="816" t="s">
        <v>26</v>
      </c>
      <c r="Y317">
        <v>14.7</v>
      </c>
      <c r="Z317">
        <v>0.8</v>
      </c>
      <c r="AA317" s="816" t="s">
        <v>9576</v>
      </c>
      <c r="AB317" s="816" t="s">
        <v>9598</v>
      </c>
      <c r="AC317" s="816"/>
      <c r="AD317" s="816"/>
      <c r="AE317" s="816"/>
      <c r="AF317" s="816"/>
      <c r="AG317" s="816"/>
      <c r="AI317" s="816"/>
      <c r="AK317" s="816"/>
      <c r="AM317" s="816"/>
    </row>
    <row r="318" spans="1:39" x14ac:dyDescent="0.25">
      <c r="A318" s="265">
        <v>43744</v>
      </c>
      <c r="B318">
        <v>0</v>
      </c>
      <c r="C318" s="816" t="s">
        <v>3</v>
      </c>
      <c r="D318">
        <v>533</v>
      </c>
      <c r="E318" s="816" t="s">
        <v>9544</v>
      </c>
      <c r="F318" s="816" t="s">
        <v>24</v>
      </c>
      <c r="G318" s="816" t="s">
        <v>9546</v>
      </c>
      <c r="H318">
        <v>24</v>
      </c>
      <c r="I318" s="816" t="s">
        <v>18</v>
      </c>
      <c r="J318" s="816" t="s">
        <v>18</v>
      </c>
      <c r="K318" s="817">
        <v>0.14271990740740739</v>
      </c>
      <c r="L318" s="817">
        <v>0.2093865740740741</v>
      </c>
      <c r="M318" s="817"/>
      <c r="N318" s="817"/>
      <c r="O318" s="817">
        <v>0.46370370370370373</v>
      </c>
      <c r="P318" s="817">
        <v>0.71803240740740737</v>
      </c>
      <c r="Q318" s="817"/>
      <c r="R318" s="816"/>
      <c r="S318" s="817"/>
      <c r="T318" s="817"/>
      <c r="U318" s="816" t="s">
        <v>9551</v>
      </c>
      <c r="V318" s="816" t="s">
        <v>9551</v>
      </c>
      <c r="W318" s="267"/>
      <c r="X318" s="816" t="s">
        <v>26</v>
      </c>
      <c r="Y318">
        <v>10.1</v>
      </c>
      <c r="Z318">
        <v>94</v>
      </c>
      <c r="AA318" s="816" t="s">
        <v>9576</v>
      </c>
      <c r="AB318" s="816" t="s">
        <v>9599</v>
      </c>
      <c r="AC318" s="816"/>
      <c r="AD318" s="816"/>
      <c r="AE318" s="816"/>
      <c r="AF318" s="816"/>
      <c r="AG318" s="816"/>
      <c r="AI318" s="816"/>
      <c r="AK318" s="816"/>
      <c r="AM318" s="816"/>
    </row>
    <row r="319" spans="1:39" x14ac:dyDescent="0.25">
      <c r="A319" s="265">
        <v>43745</v>
      </c>
      <c r="B319">
        <v>1</v>
      </c>
      <c r="C319" s="816" t="s">
        <v>4</v>
      </c>
      <c r="D319">
        <v>533</v>
      </c>
      <c r="E319" s="816" t="s">
        <v>9544</v>
      </c>
      <c r="F319" s="816" t="s">
        <v>24</v>
      </c>
      <c r="G319" s="816" t="s">
        <v>9546</v>
      </c>
      <c r="H319">
        <v>25</v>
      </c>
      <c r="I319" s="816" t="s">
        <v>19</v>
      </c>
      <c r="J319" s="816" t="s">
        <v>18</v>
      </c>
      <c r="K319" s="817">
        <v>0.1423611111111111</v>
      </c>
      <c r="L319" s="817">
        <v>0.20902777777777778</v>
      </c>
      <c r="M319" s="817"/>
      <c r="N319" s="817"/>
      <c r="O319" s="817">
        <v>0.46350694444444446</v>
      </c>
      <c r="P319" s="817">
        <v>0.7179861111111111</v>
      </c>
      <c r="Q319" s="817"/>
      <c r="R319" s="816"/>
      <c r="S319" s="817"/>
      <c r="T319" s="817"/>
      <c r="U319" s="816" t="s">
        <v>9551</v>
      </c>
      <c r="V319" s="816" t="s">
        <v>9551</v>
      </c>
      <c r="W319" s="267"/>
      <c r="X319" s="816" t="s">
        <v>26</v>
      </c>
      <c r="Y319">
        <v>3.2</v>
      </c>
      <c r="Z319">
        <v>85.2</v>
      </c>
      <c r="AA319" s="816" t="s">
        <v>9577</v>
      </c>
      <c r="AB319" s="816" t="s">
        <v>9600</v>
      </c>
      <c r="AC319" s="816"/>
      <c r="AD319" s="816"/>
      <c r="AE319" s="816"/>
      <c r="AF319" s="816"/>
      <c r="AG319" s="816"/>
      <c r="AI319" s="816"/>
      <c r="AK319" s="816"/>
      <c r="AM319" s="816"/>
    </row>
    <row r="320" spans="1:39" x14ac:dyDescent="0.25">
      <c r="A320" s="265">
        <v>43746</v>
      </c>
      <c r="B320">
        <v>2</v>
      </c>
      <c r="C320" s="816" t="s">
        <v>5</v>
      </c>
      <c r="D320">
        <v>533</v>
      </c>
      <c r="E320" s="816" t="s">
        <v>9544</v>
      </c>
      <c r="F320" s="816" t="s">
        <v>24</v>
      </c>
      <c r="G320" s="816" t="s">
        <v>9546</v>
      </c>
      <c r="H320">
        <v>25</v>
      </c>
      <c r="I320" s="816" t="s">
        <v>19</v>
      </c>
      <c r="J320" s="816" t="s">
        <v>19</v>
      </c>
      <c r="K320" s="817">
        <v>0.14200231481481482</v>
      </c>
      <c r="L320" s="817">
        <v>0.2086689814814815</v>
      </c>
      <c r="M320" s="817"/>
      <c r="N320" s="817"/>
      <c r="O320" s="817">
        <v>0.46331018518518513</v>
      </c>
      <c r="P320" s="817">
        <v>0.71793981481481473</v>
      </c>
      <c r="Q320" s="817"/>
      <c r="R320" s="816"/>
      <c r="S320" s="817"/>
      <c r="T320" s="817"/>
      <c r="U320" s="816" t="s">
        <v>9551</v>
      </c>
      <c r="V320" s="816" t="s">
        <v>9551</v>
      </c>
      <c r="W320" s="267"/>
      <c r="X320" s="816" t="s">
        <v>27</v>
      </c>
      <c r="Y320">
        <v>94.8</v>
      </c>
      <c r="Z320">
        <v>75</v>
      </c>
      <c r="AA320" s="816" t="s">
        <v>9552</v>
      </c>
      <c r="AB320" s="816" t="s">
        <v>9601</v>
      </c>
      <c r="AC320" s="816" t="s">
        <v>9637</v>
      </c>
      <c r="AD320" s="816"/>
      <c r="AE320" s="816"/>
      <c r="AF320" s="816"/>
      <c r="AG320" s="816"/>
      <c r="AI320" s="816"/>
      <c r="AK320" s="816"/>
      <c r="AM320" s="816"/>
    </row>
    <row r="321" spans="1:39" x14ac:dyDescent="0.25">
      <c r="A321" s="265">
        <v>43747</v>
      </c>
      <c r="B321">
        <v>3</v>
      </c>
      <c r="C321" s="816" t="s">
        <v>6</v>
      </c>
      <c r="D321">
        <v>533</v>
      </c>
      <c r="E321" s="816" t="s">
        <v>9544</v>
      </c>
      <c r="F321" s="816" t="s">
        <v>24</v>
      </c>
      <c r="G321" s="816" t="s">
        <v>9546</v>
      </c>
      <c r="H321">
        <v>26</v>
      </c>
      <c r="I321" s="816" t="s">
        <v>9548</v>
      </c>
      <c r="J321" s="816" t="s">
        <v>20</v>
      </c>
      <c r="K321" s="817">
        <v>0.1416550925925926</v>
      </c>
      <c r="L321" s="817">
        <v>0.20832175925925925</v>
      </c>
      <c r="M321" s="817"/>
      <c r="N321" s="817"/>
      <c r="O321" s="817">
        <v>0.46311342592592591</v>
      </c>
      <c r="P321" s="817">
        <v>0.71790509259259261</v>
      </c>
      <c r="Q321" s="817"/>
      <c r="R321" s="816"/>
      <c r="S321" s="817"/>
      <c r="T321" s="817"/>
      <c r="U321" s="816" t="s">
        <v>9551</v>
      </c>
      <c r="V321" s="816" t="s">
        <v>9551</v>
      </c>
      <c r="W321" s="267"/>
      <c r="X321" s="816" t="s">
        <v>26</v>
      </c>
      <c r="Y321">
        <v>85.5</v>
      </c>
      <c r="Z321">
        <v>64.099999999999994</v>
      </c>
      <c r="AA321" s="816" t="s">
        <v>9553</v>
      </c>
      <c r="AB321" s="816" t="s">
        <v>9602</v>
      </c>
      <c r="AC321" s="816" t="s">
        <v>9638</v>
      </c>
      <c r="AD321" s="816"/>
      <c r="AE321" s="816"/>
      <c r="AF321" s="816" t="s">
        <v>72</v>
      </c>
      <c r="AG321" s="816" t="s">
        <v>64</v>
      </c>
      <c r="AH321">
        <v>-1</v>
      </c>
      <c r="AI321" s="816"/>
      <c r="AK321" s="816"/>
      <c r="AM321" s="816"/>
    </row>
    <row r="322" spans="1:39" x14ac:dyDescent="0.25">
      <c r="A322" s="265">
        <v>43748</v>
      </c>
      <c r="B322">
        <v>4</v>
      </c>
      <c r="C322" s="816" t="s">
        <v>7</v>
      </c>
      <c r="D322">
        <v>533</v>
      </c>
      <c r="E322" s="816" t="s">
        <v>9544</v>
      </c>
      <c r="F322" s="816" t="s">
        <v>24</v>
      </c>
      <c r="G322" s="816" t="s">
        <v>9546</v>
      </c>
      <c r="H322">
        <v>27</v>
      </c>
      <c r="I322" s="816" t="s">
        <v>21</v>
      </c>
      <c r="J322" s="816" t="s">
        <v>21</v>
      </c>
      <c r="K322" s="817">
        <v>0.14131944444444444</v>
      </c>
      <c r="L322" s="817">
        <v>0.20798611111111112</v>
      </c>
      <c r="M322" s="817">
        <v>0.2076388888888889</v>
      </c>
      <c r="N322" s="817">
        <v>0.37777777777777777</v>
      </c>
      <c r="O322" s="817">
        <v>0.46292824074074074</v>
      </c>
      <c r="P322" s="817">
        <v>0.71787037037037038</v>
      </c>
      <c r="Q322" s="817"/>
      <c r="R322" s="816"/>
      <c r="S322" s="817"/>
      <c r="T322" s="817"/>
      <c r="U322" s="816" t="s">
        <v>9551</v>
      </c>
      <c r="V322" s="816" t="s">
        <v>9551</v>
      </c>
      <c r="W322" s="267"/>
      <c r="X322" s="816" t="s">
        <v>26</v>
      </c>
      <c r="Y322">
        <v>75.8</v>
      </c>
      <c r="Z322">
        <v>52.8</v>
      </c>
      <c r="AA322" s="816" t="s">
        <v>9554</v>
      </c>
      <c r="AB322" s="816" t="s">
        <v>9603</v>
      </c>
      <c r="AC322" s="816"/>
      <c r="AD322" s="816"/>
      <c r="AE322" s="816"/>
      <c r="AF322" s="816"/>
      <c r="AG322" s="816"/>
      <c r="AI322" s="816"/>
      <c r="AK322" s="816"/>
      <c r="AM322" s="816"/>
    </row>
    <row r="323" spans="1:39" x14ac:dyDescent="0.25">
      <c r="A323" s="265">
        <v>43749</v>
      </c>
      <c r="B323">
        <v>5</v>
      </c>
      <c r="C323" s="816" t="s">
        <v>1</v>
      </c>
      <c r="D323">
        <v>533</v>
      </c>
      <c r="E323" s="816" t="s">
        <v>9544</v>
      </c>
      <c r="F323" s="816" t="s">
        <v>24</v>
      </c>
      <c r="G323" s="816" t="s">
        <v>9546</v>
      </c>
      <c r="H323">
        <v>28</v>
      </c>
      <c r="I323" s="816" t="s">
        <v>8</v>
      </c>
      <c r="J323" s="816" t="s">
        <v>8</v>
      </c>
      <c r="K323" s="817">
        <v>0.14098379629629629</v>
      </c>
      <c r="L323" s="817">
        <v>0.20765046296296297</v>
      </c>
      <c r="M323" s="817"/>
      <c r="N323" s="817"/>
      <c r="O323" s="817">
        <v>0.46274305555555556</v>
      </c>
      <c r="P323" s="817">
        <v>0.71783564814814815</v>
      </c>
      <c r="Q323" s="817"/>
      <c r="R323" s="816"/>
      <c r="S323" s="817"/>
      <c r="T323" s="817"/>
      <c r="U323" s="816" t="s">
        <v>9551</v>
      </c>
      <c r="V323" s="816" t="s">
        <v>9551</v>
      </c>
      <c r="W323" s="267"/>
      <c r="X323" s="816" t="s">
        <v>26</v>
      </c>
      <c r="Y323">
        <v>66.400000000000006</v>
      </c>
      <c r="Z323">
        <v>41.6</v>
      </c>
      <c r="AA323" s="816" t="s">
        <v>9555</v>
      </c>
      <c r="AB323" s="816" t="s">
        <v>9579</v>
      </c>
      <c r="AC323" s="816"/>
      <c r="AD323" s="816"/>
      <c r="AE323" s="816"/>
      <c r="AF323" s="816"/>
      <c r="AG323" s="816"/>
      <c r="AI323" s="816"/>
      <c r="AK323" s="816"/>
      <c r="AM323" s="816"/>
    </row>
    <row r="324" spans="1:39" x14ac:dyDescent="0.25">
      <c r="A324" s="265">
        <v>43750</v>
      </c>
      <c r="B324">
        <v>6</v>
      </c>
      <c r="C324" s="816" t="s">
        <v>2</v>
      </c>
      <c r="D324">
        <v>533</v>
      </c>
      <c r="E324" s="816" t="s">
        <v>9544</v>
      </c>
      <c r="F324" s="816" t="s">
        <v>24</v>
      </c>
      <c r="G324" s="816" t="s">
        <v>9546</v>
      </c>
      <c r="H324">
        <v>29</v>
      </c>
      <c r="I324" s="816" t="s">
        <v>9</v>
      </c>
      <c r="J324" s="816" t="s">
        <v>9</v>
      </c>
      <c r="K324" s="817">
        <v>0.14064814814814816</v>
      </c>
      <c r="L324" s="817">
        <v>0.20731481481481481</v>
      </c>
      <c r="M324" s="817"/>
      <c r="N324" s="817"/>
      <c r="O324" s="817">
        <v>0.46256944444444442</v>
      </c>
      <c r="P324" s="817">
        <v>0.71781249999999996</v>
      </c>
      <c r="Q324" s="817"/>
      <c r="R324" s="816"/>
      <c r="S324" s="817"/>
      <c r="T324" s="817"/>
      <c r="U324" s="816" t="s">
        <v>9551</v>
      </c>
      <c r="V324" s="816" t="s">
        <v>9551</v>
      </c>
      <c r="W324" s="267"/>
      <c r="X324" s="816" t="s">
        <v>26</v>
      </c>
      <c r="Y324">
        <v>57.4</v>
      </c>
      <c r="Z324">
        <v>31</v>
      </c>
      <c r="AA324" s="816" t="s">
        <v>9556</v>
      </c>
      <c r="AB324" s="816" t="s">
        <v>9580</v>
      </c>
      <c r="AC324" s="816" t="s">
        <v>9639</v>
      </c>
      <c r="AD324" s="816"/>
      <c r="AE324" s="816"/>
      <c r="AF324" s="816"/>
      <c r="AG324" s="816"/>
      <c r="AI324" s="816"/>
      <c r="AK324" s="816"/>
      <c r="AM324" s="816"/>
    </row>
    <row r="325" spans="1:39" x14ac:dyDescent="0.25">
      <c r="A325" s="265">
        <v>43751</v>
      </c>
      <c r="B325">
        <v>0</v>
      </c>
      <c r="C325" s="816" t="s">
        <v>3</v>
      </c>
      <c r="D325">
        <v>533</v>
      </c>
      <c r="E325" s="816" t="s">
        <v>9544</v>
      </c>
      <c r="F325" s="816" t="s">
        <v>24</v>
      </c>
      <c r="G325" s="816" t="s">
        <v>9546</v>
      </c>
      <c r="H325">
        <v>30</v>
      </c>
      <c r="I325" s="816" t="s">
        <v>10</v>
      </c>
      <c r="J325" s="816" t="s">
        <v>10</v>
      </c>
      <c r="K325" s="817">
        <v>0.14032407407407407</v>
      </c>
      <c r="L325" s="817">
        <v>0.20699074074074075</v>
      </c>
      <c r="M325" s="817"/>
      <c r="N325" s="817"/>
      <c r="O325" s="817">
        <v>0.46239583333333334</v>
      </c>
      <c r="P325" s="817">
        <v>0.71780092592592604</v>
      </c>
      <c r="Q325" s="817"/>
      <c r="R325" s="816"/>
      <c r="S325" s="817"/>
      <c r="T325" s="817"/>
      <c r="U325" s="816" t="s">
        <v>9551</v>
      </c>
      <c r="V325" s="816" t="s">
        <v>9551</v>
      </c>
      <c r="W325" s="267"/>
      <c r="X325" s="816" t="s">
        <v>26</v>
      </c>
      <c r="Y325">
        <v>49.1</v>
      </c>
      <c r="Z325">
        <v>21</v>
      </c>
      <c r="AA325" s="816" t="s">
        <v>9557</v>
      </c>
      <c r="AB325" s="816" t="s">
        <v>9581</v>
      </c>
      <c r="AC325" s="816" t="s">
        <v>9640</v>
      </c>
      <c r="AD325" s="816" t="s">
        <v>9647</v>
      </c>
      <c r="AE325" s="816"/>
      <c r="AF325" s="816"/>
      <c r="AG325" s="816"/>
      <c r="AI325" s="816"/>
      <c r="AK325" s="816"/>
      <c r="AM325" s="816"/>
    </row>
    <row r="326" spans="1:39" x14ac:dyDescent="0.25">
      <c r="A326" s="265">
        <v>43752</v>
      </c>
      <c r="B326">
        <v>1</v>
      </c>
      <c r="C326" s="816" t="s">
        <v>4</v>
      </c>
      <c r="D326">
        <v>533</v>
      </c>
      <c r="E326" s="816" t="s">
        <v>9545</v>
      </c>
      <c r="F326" s="816" t="s">
        <v>25</v>
      </c>
      <c r="G326" s="816" t="s">
        <v>9547</v>
      </c>
      <c r="H326">
        <v>1</v>
      </c>
      <c r="I326" s="816" t="s">
        <v>11</v>
      </c>
      <c r="J326" s="816" t="s">
        <v>11</v>
      </c>
      <c r="K326" s="817">
        <v>0.14001157407407408</v>
      </c>
      <c r="L326" s="817">
        <v>0.20667824074074073</v>
      </c>
      <c r="M326" s="817"/>
      <c r="N326" s="817"/>
      <c r="O326" s="817">
        <v>0.4622337962962963</v>
      </c>
      <c r="P326" s="817">
        <v>0.71778935185185189</v>
      </c>
      <c r="Q326" s="817"/>
      <c r="R326" s="816"/>
      <c r="S326" s="817"/>
      <c r="T326" s="817"/>
      <c r="U326" s="816" t="s">
        <v>9551</v>
      </c>
      <c r="V326" s="816" t="s">
        <v>9551</v>
      </c>
      <c r="W326" s="267"/>
      <c r="X326" s="816" t="s">
        <v>26</v>
      </c>
      <c r="Y326">
        <v>41.8</v>
      </c>
      <c r="Z326">
        <v>11.8</v>
      </c>
      <c r="AA326" s="816" t="s">
        <v>9558</v>
      </c>
      <c r="AB326" s="816" t="s">
        <v>9582</v>
      </c>
      <c r="AC326" s="816" t="s">
        <v>9641</v>
      </c>
      <c r="AD326" s="816"/>
      <c r="AE326" s="816"/>
      <c r="AF326" s="816"/>
      <c r="AG326" s="816"/>
      <c r="AI326" s="816"/>
      <c r="AK326" s="816"/>
      <c r="AM326" s="816"/>
    </row>
    <row r="327" spans="1:39" x14ac:dyDescent="0.25">
      <c r="A327" s="265">
        <v>43753</v>
      </c>
      <c r="B327">
        <v>2</v>
      </c>
      <c r="C327" s="816" t="s">
        <v>5</v>
      </c>
      <c r="D327">
        <v>533</v>
      </c>
      <c r="E327" s="816" t="s">
        <v>9545</v>
      </c>
      <c r="F327" s="816" t="s">
        <v>25</v>
      </c>
      <c r="G327" s="816" t="s">
        <v>9547</v>
      </c>
      <c r="H327">
        <v>2</v>
      </c>
      <c r="I327" s="816" t="s">
        <v>12</v>
      </c>
      <c r="J327" s="816" t="s">
        <v>12</v>
      </c>
      <c r="K327" s="817">
        <v>0.13969907407407409</v>
      </c>
      <c r="L327" s="817">
        <v>0.20636574074074074</v>
      </c>
      <c r="M327" s="817"/>
      <c r="N327" s="817"/>
      <c r="O327" s="817">
        <v>0.46207175925925931</v>
      </c>
      <c r="P327" s="817">
        <v>0.71777777777777774</v>
      </c>
      <c r="Q327" s="817"/>
      <c r="R327" s="816"/>
      <c r="S327" s="817"/>
      <c r="T327" s="817"/>
      <c r="U327" s="816" t="s">
        <v>9551</v>
      </c>
      <c r="V327" s="816" t="s">
        <v>9551</v>
      </c>
      <c r="W327" s="267"/>
      <c r="X327" s="816" t="s">
        <v>26</v>
      </c>
      <c r="Y327">
        <v>35.5</v>
      </c>
      <c r="Z327">
        <v>3.6</v>
      </c>
      <c r="AA327" s="816" t="s">
        <v>9578</v>
      </c>
      <c r="AB327" s="816" t="s">
        <v>9583</v>
      </c>
      <c r="AC327" s="816"/>
      <c r="AD327" s="816"/>
      <c r="AE327" s="816"/>
      <c r="AF327" s="816"/>
      <c r="AG327" s="816"/>
      <c r="AI327" s="816"/>
      <c r="AK327" s="816"/>
      <c r="AM327" s="816"/>
    </row>
    <row r="328" spans="1:39" x14ac:dyDescent="0.25">
      <c r="A328" s="265">
        <v>43754</v>
      </c>
      <c r="B328">
        <v>3</v>
      </c>
      <c r="C328" s="816" t="s">
        <v>6</v>
      </c>
      <c r="D328">
        <v>533</v>
      </c>
      <c r="E328" s="816" t="s">
        <v>9545</v>
      </c>
      <c r="F328" s="816" t="s">
        <v>25</v>
      </c>
      <c r="G328" s="816" t="s">
        <v>9547</v>
      </c>
      <c r="H328">
        <v>3</v>
      </c>
      <c r="I328" s="816" t="s">
        <v>23</v>
      </c>
      <c r="J328" s="816" t="s">
        <v>23</v>
      </c>
      <c r="K328" s="817">
        <v>0.13939814814814813</v>
      </c>
      <c r="L328" s="817">
        <v>0.20606481481481484</v>
      </c>
      <c r="M328" s="817"/>
      <c r="N328" s="817"/>
      <c r="O328" s="817">
        <v>0.46192129629629625</v>
      </c>
      <c r="P328" s="817">
        <v>0.71777777777777774</v>
      </c>
      <c r="Q328" s="817"/>
      <c r="R328" s="816"/>
      <c r="S328" s="817"/>
      <c r="T328" s="817"/>
      <c r="U328" s="816" t="s">
        <v>9551</v>
      </c>
      <c r="V328" s="816" t="s">
        <v>9551</v>
      </c>
      <c r="W328" s="267"/>
      <c r="X328" s="816" t="s">
        <v>26</v>
      </c>
      <c r="Y328">
        <v>30.4</v>
      </c>
      <c r="Z328">
        <v>96.4</v>
      </c>
      <c r="AA328" s="816" t="s">
        <v>9578</v>
      </c>
      <c r="AB328" s="816" t="s">
        <v>9584</v>
      </c>
      <c r="AC328" s="816"/>
      <c r="AD328" s="816"/>
      <c r="AE328" s="816"/>
      <c r="AF328" s="816"/>
      <c r="AG328" s="816"/>
      <c r="AI328" s="816"/>
      <c r="AK328" s="816"/>
      <c r="AM328" s="816"/>
    </row>
    <row r="329" spans="1:39" x14ac:dyDescent="0.25">
      <c r="A329" s="265">
        <v>43755</v>
      </c>
      <c r="B329">
        <v>4</v>
      </c>
      <c r="C329" s="816" t="s">
        <v>7</v>
      </c>
      <c r="D329">
        <v>533</v>
      </c>
      <c r="E329" s="816" t="s">
        <v>9545</v>
      </c>
      <c r="F329" s="816" t="s">
        <v>25</v>
      </c>
      <c r="G329" s="816" t="s">
        <v>9547</v>
      </c>
      <c r="H329">
        <v>4</v>
      </c>
      <c r="I329" s="816" t="s">
        <v>13</v>
      </c>
      <c r="J329" s="816" t="s">
        <v>13</v>
      </c>
      <c r="K329" s="817">
        <v>0.13909722222222223</v>
      </c>
      <c r="L329" s="817">
        <v>0.20576388888888889</v>
      </c>
      <c r="M329" s="817"/>
      <c r="N329" s="817"/>
      <c r="O329" s="817">
        <v>0.4617708333333333</v>
      </c>
      <c r="P329" s="817">
        <v>0.71778935185185189</v>
      </c>
      <c r="Q329" s="817"/>
      <c r="R329" s="816"/>
      <c r="S329" s="817"/>
      <c r="T329" s="817"/>
      <c r="U329" s="816" t="s">
        <v>9551</v>
      </c>
      <c r="V329" s="816" t="s">
        <v>9551</v>
      </c>
      <c r="W329" s="267"/>
      <c r="X329" s="816" t="s">
        <v>26</v>
      </c>
      <c r="Y329">
        <v>26.5</v>
      </c>
      <c r="Z329">
        <v>90.4</v>
      </c>
      <c r="AA329" s="816" t="s">
        <v>9559</v>
      </c>
      <c r="AB329" s="816" t="s">
        <v>9585</v>
      </c>
      <c r="AC329" s="816"/>
      <c r="AD329" s="816"/>
      <c r="AE329" s="816"/>
      <c r="AF329" s="816"/>
      <c r="AG329" s="816"/>
      <c r="AI329" s="816"/>
      <c r="AK329" s="816"/>
      <c r="AM329" s="816"/>
    </row>
    <row r="330" spans="1:39" x14ac:dyDescent="0.25">
      <c r="A330" s="265">
        <v>43756</v>
      </c>
      <c r="B330">
        <v>5</v>
      </c>
      <c r="C330" s="816" t="s">
        <v>1</v>
      </c>
      <c r="D330">
        <v>533</v>
      </c>
      <c r="E330" s="816" t="s">
        <v>9545</v>
      </c>
      <c r="F330" s="816" t="s">
        <v>25</v>
      </c>
      <c r="G330" s="816" t="s">
        <v>9547</v>
      </c>
      <c r="H330">
        <v>5</v>
      </c>
      <c r="I330" s="816" t="s">
        <v>14</v>
      </c>
      <c r="J330" s="816" t="s">
        <v>14</v>
      </c>
      <c r="K330" s="817">
        <v>0.13880787037037037</v>
      </c>
      <c r="L330" s="817">
        <v>0.20547453703703702</v>
      </c>
      <c r="M330" s="817"/>
      <c r="N330" s="817"/>
      <c r="O330" s="817">
        <v>0.46164351851851854</v>
      </c>
      <c r="P330" s="817">
        <v>0.71780092592592604</v>
      </c>
      <c r="Q330" s="817">
        <v>0.67936342592592591</v>
      </c>
      <c r="R330" s="816" t="s">
        <v>83</v>
      </c>
      <c r="S330" s="817"/>
      <c r="T330" s="817"/>
      <c r="U330" s="816" t="s">
        <v>9551</v>
      </c>
      <c r="V330" s="816" t="s">
        <v>9551</v>
      </c>
      <c r="W330" s="267"/>
      <c r="X330" s="816" t="s">
        <v>26</v>
      </c>
      <c r="Y330">
        <v>24.2</v>
      </c>
      <c r="Z330">
        <v>85.7</v>
      </c>
      <c r="AA330" s="816" t="s">
        <v>9560</v>
      </c>
      <c r="AB330" s="816" t="s">
        <v>9586</v>
      </c>
      <c r="AC330" s="816"/>
      <c r="AD330" s="816"/>
      <c r="AE330" s="816"/>
      <c r="AF330" s="816"/>
      <c r="AG330" s="816"/>
      <c r="AI330" s="816"/>
      <c r="AK330" s="816"/>
      <c r="AM330" s="816"/>
    </row>
    <row r="331" spans="1:39" x14ac:dyDescent="0.25">
      <c r="A331" s="265">
        <v>43757</v>
      </c>
      <c r="B331">
        <v>6</v>
      </c>
      <c r="C331" s="816" t="s">
        <v>2</v>
      </c>
      <c r="D331">
        <v>533</v>
      </c>
      <c r="E331" s="816" t="s">
        <v>9545</v>
      </c>
      <c r="F331" s="816" t="s">
        <v>25</v>
      </c>
      <c r="G331" s="816" t="s">
        <v>9547</v>
      </c>
      <c r="H331">
        <v>6</v>
      </c>
      <c r="I331" s="816" t="s">
        <v>15</v>
      </c>
      <c r="J331" s="816" t="s">
        <v>15</v>
      </c>
      <c r="K331" s="817">
        <v>0.13853009259259261</v>
      </c>
      <c r="L331" s="817">
        <v>0.20519675925925926</v>
      </c>
      <c r="M331" s="817"/>
      <c r="N331" s="817"/>
      <c r="O331" s="817">
        <v>0.46150462962962963</v>
      </c>
      <c r="P331" s="817">
        <v>0.71782407407407411</v>
      </c>
      <c r="Q331" s="817"/>
      <c r="R331" s="816"/>
      <c r="S331" s="817"/>
      <c r="T331" s="817"/>
      <c r="U331" s="816" t="s">
        <v>9551</v>
      </c>
      <c r="V331" s="816" t="s">
        <v>9551</v>
      </c>
      <c r="W331" s="267"/>
      <c r="X331" s="816" t="s">
        <v>26</v>
      </c>
      <c r="Y331">
        <v>23.6</v>
      </c>
      <c r="Z331">
        <v>82.6</v>
      </c>
      <c r="AA331" s="816" t="s">
        <v>9561</v>
      </c>
      <c r="AB331" s="816" t="s">
        <v>9604</v>
      </c>
      <c r="AC331" s="816"/>
      <c r="AD331" s="816"/>
      <c r="AE331" s="816"/>
      <c r="AF331" s="816"/>
      <c r="AG331" s="816"/>
      <c r="AI331" s="816"/>
      <c r="AK331" s="816"/>
      <c r="AM331" s="816"/>
    </row>
    <row r="332" spans="1:39" x14ac:dyDescent="0.25">
      <c r="A332" s="265">
        <v>43758</v>
      </c>
      <c r="B332">
        <v>0</v>
      </c>
      <c r="C332" s="816" t="s">
        <v>3</v>
      </c>
      <c r="D332">
        <v>533</v>
      </c>
      <c r="E332" s="816" t="s">
        <v>9545</v>
      </c>
      <c r="F332" s="816" t="s">
        <v>25</v>
      </c>
      <c r="G332" s="816" t="s">
        <v>9547</v>
      </c>
      <c r="H332">
        <v>7</v>
      </c>
      <c r="I332" s="816" t="s">
        <v>16</v>
      </c>
      <c r="J332" s="816" t="s">
        <v>16</v>
      </c>
      <c r="K332" s="817">
        <v>0.13825231481481481</v>
      </c>
      <c r="L332" s="817">
        <v>0.20491898148148149</v>
      </c>
      <c r="M332" s="817"/>
      <c r="N332" s="817"/>
      <c r="O332" s="817">
        <v>0.46137731481481481</v>
      </c>
      <c r="P332" s="817">
        <v>0.71784722222222219</v>
      </c>
      <c r="Q332" s="817"/>
      <c r="R332" s="816"/>
      <c r="S332" s="817"/>
      <c r="T332" s="817"/>
      <c r="U332" s="816" t="s">
        <v>9551</v>
      </c>
      <c r="V332" s="816" t="s">
        <v>9551</v>
      </c>
      <c r="W332" s="267"/>
      <c r="X332" s="816" t="s">
        <v>26</v>
      </c>
      <c r="Y332">
        <v>25</v>
      </c>
      <c r="Z332">
        <v>81.400000000000006</v>
      </c>
      <c r="AA332" s="816" t="s">
        <v>9562</v>
      </c>
      <c r="AB332" s="816" t="s">
        <v>9587</v>
      </c>
      <c r="AC332" s="816"/>
      <c r="AD332" s="816"/>
      <c r="AE332" s="816"/>
      <c r="AF332" s="816"/>
      <c r="AG332" s="816"/>
      <c r="AI332" s="816"/>
      <c r="AK332" s="816"/>
      <c r="AM332" s="816"/>
    </row>
    <row r="333" spans="1:39" x14ac:dyDescent="0.25">
      <c r="A333" s="265">
        <v>43759</v>
      </c>
      <c r="B333">
        <v>1</v>
      </c>
      <c r="C333" s="816" t="s">
        <v>4</v>
      </c>
      <c r="D333">
        <v>533</v>
      </c>
      <c r="E333" s="816" t="s">
        <v>9545</v>
      </c>
      <c r="F333" s="816" t="s">
        <v>25</v>
      </c>
      <c r="G333" s="816" t="s">
        <v>9547</v>
      </c>
      <c r="H333">
        <v>8</v>
      </c>
      <c r="I333" s="816" t="s">
        <v>17</v>
      </c>
      <c r="J333" s="816" t="s">
        <v>17</v>
      </c>
      <c r="K333" s="817">
        <v>0.13798611111111111</v>
      </c>
      <c r="L333" s="817">
        <v>0.20465277777777779</v>
      </c>
      <c r="M333" s="817"/>
      <c r="N333" s="817"/>
      <c r="O333" s="817">
        <v>0.46126157407407403</v>
      </c>
      <c r="P333" s="817">
        <v>0.71788194444444453</v>
      </c>
      <c r="Q333" s="817"/>
      <c r="R333" s="816"/>
      <c r="S333" s="817"/>
      <c r="T333" s="817"/>
      <c r="U333" s="816" t="s">
        <v>9551</v>
      </c>
      <c r="V333" s="816" t="s">
        <v>9551</v>
      </c>
      <c r="W333" s="267"/>
      <c r="X333" s="816" t="s">
        <v>26</v>
      </c>
      <c r="Y333">
        <v>28.9</v>
      </c>
      <c r="Z333">
        <v>82.3</v>
      </c>
      <c r="AA333" s="816" t="s">
        <v>9563</v>
      </c>
      <c r="AB333" s="816" t="s">
        <v>9588</v>
      </c>
      <c r="AC333" s="816"/>
      <c r="AD333" s="816"/>
      <c r="AE333" s="816"/>
      <c r="AF333" s="816"/>
      <c r="AG333" s="816"/>
      <c r="AI333" s="816"/>
      <c r="AK333" s="816"/>
      <c r="AM333" s="816"/>
    </row>
    <row r="334" spans="1:39" x14ac:dyDescent="0.25">
      <c r="A334" s="265">
        <v>43760</v>
      </c>
      <c r="B334">
        <v>2</v>
      </c>
      <c r="C334" s="816" t="s">
        <v>5</v>
      </c>
      <c r="D334">
        <v>533</v>
      </c>
      <c r="E334" s="816" t="s">
        <v>9545</v>
      </c>
      <c r="F334" s="816" t="s">
        <v>25</v>
      </c>
      <c r="G334" s="816" t="s">
        <v>9547</v>
      </c>
      <c r="H334">
        <v>9</v>
      </c>
      <c r="I334" s="816" t="s">
        <v>18</v>
      </c>
      <c r="J334" s="816" t="s">
        <v>18</v>
      </c>
      <c r="K334" s="817">
        <v>0.13771990740740739</v>
      </c>
      <c r="L334" s="817">
        <v>0.2043865740740741</v>
      </c>
      <c r="M334" s="817"/>
      <c r="N334" s="817"/>
      <c r="O334" s="817">
        <v>0.4611574074074074</v>
      </c>
      <c r="P334" s="817">
        <v>0.71791666666666665</v>
      </c>
      <c r="Q334" s="817"/>
      <c r="R334" s="816"/>
      <c r="S334" s="817"/>
      <c r="T334" s="817"/>
      <c r="U334" s="816" t="s">
        <v>9551</v>
      </c>
      <c r="V334" s="816" t="s">
        <v>9551</v>
      </c>
      <c r="W334" s="267"/>
      <c r="X334" s="816" t="s">
        <v>26</v>
      </c>
      <c r="Y334">
        <v>35.6</v>
      </c>
      <c r="Z334">
        <v>85.7</v>
      </c>
      <c r="AA334" s="816" t="s">
        <v>9564</v>
      </c>
      <c r="AB334" s="816" t="s">
        <v>9589</v>
      </c>
      <c r="AC334" s="816"/>
      <c r="AD334" s="816"/>
      <c r="AE334" s="816"/>
      <c r="AF334" s="816"/>
      <c r="AG334" s="816"/>
      <c r="AI334" s="816"/>
      <c r="AK334" s="816"/>
      <c r="AM334" s="816"/>
    </row>
    <row r="335" spans="1:39" x14ac:dyDescent="0.25">
      <c r="A335" s="265">
        <v>43761</v>
      </c>
      <c r="B335">
        <v>3</v>
      </c>
      <c r="C335" s="816" t="s">
        <v>6</v>
      </c>
      <c r="D335">
        <v>533</v>
      </c>
      <c r="E335" s="816" t="s">
        <v>9545</v>
      </c>
      <c r="F335" s="816" t="s">
        <v>25</v>
      </c>
      <c r="G335" s="816" t="s">
        <v>9547</v>
      </c>
      <c r="H335">
        <v>10</v>
      </c>
      <c r="I335" s="816" t="s">
        <v>19</v>
      </c>
      <c r="J335" s="816" t="s">
        <v>19</v>
      </c>
      <c r="K335" s="817">
        <v>0.13747685185185185</v>
      </c>
      <c r="L335" s="817">
        <v>0.20414351851851853</v>
      </c>
      <c r="M335" s="817"/>
      <c r="N335" s="817"/>
      <c r="O335" s="817">
        <v>0.46105324074074078</v>
      </c>
      <c r="P335" s="817">
        <v>0.71797453703703706</v>
      </c>
      <c r="Q335" s="817"/>
      <c r="R335" s="816"/>
      <c r="S335" s="817"/>
      <c r="T335" s="817"/>
      <c r="U335" s="816" t="s">
        <v>9551</v>
      </c>
      <c r="V335" s="816" t="s">
        <v>9551</v>
      </c>
      <c r="W335" s="267"/>
      <c r="X335" s="816" t="s">
        <v>26</v>
      </c>
      <c r="Y335">
        <v>45.1</v>
      </c>
      <c r="Z335">
        <v>91.8</v>
      </c>
      <c r="AA335" s="816" t="s">
        <v>9565</v>
      </c>
      <c r="AB335" s="816" t="s">
        <v>9590</v>
      </c>
      <c r="AC335" s="816"/>
      <c r="AD335" s="816"/>
      <c r="AE335" s="816"/>
      <c r="AF335" s="816"/>
      <c r="AG335" s="816"/>
      <c r="AI335" s="816"/>
      <c r="AK335" s="816"/>
      <c r="AM335" s="816"/>
    </row>
    <row r="336" spans="1:39" x14ac:dyDescent="0.25">
      <c r="A336" s="265">
        <v>43762</v>
      </c>
      <c r="B336">
        <v>4</v>
      </c>
      <c r="C336" s="816" t="s">
        <v>7</v>
      </c>
      <c r="D336">
        <v>533</v>
      </c>
      <c r="E336" s="816" t="s">
        <v>9545</v>
      </c>
      <c r="F336" s="816" t="s">
        <v>25</v>
      </c>
      <c r="G336" s="816" t="s">
        <v>9547</v>
      </c>
      <c r="H336">
        <v>11</v>
      </c>
      <c r="I336" s="816" t="s">
        <v>9548</v>
      </c>
      <c r="J336" s="816" t="s">
        <v>20</v>
      </c>
      <c r="K336" s="817">
        <v>0.13723379629629631</v>
      </c>
      <c r="L336" s="817">
        <v>0.20390046296296296</v>
      </c>
      <c r="M336" s="817"/>
      <c r="N336" s="817"/>
      <c r="O336" s="817">
        <v>0.46096064814814813</v>
      </c>
      <c r="P336" s="817">
        <v>0.71802083333333344</v>
      </c>
      <c r="Q336" s="817"/>
      <c r="R336" s="816"/>
      <c r="S336" s="817"/>
      <c r="T336" s="817"/>
      <c r="U336" s="816" t="s">
        <v>9551</v>
      </c>
      <c r="V336" s="816" t="s">
        <v>9551</v>
      </c>
      <c r="W336" s="267"/>
      <c r="X336" s="816" t="s">
        <v>26</v>
      </c>
      <c r="Y336">
        <v>57.4</v>
      </c>
      <c r="Z336">
        <v>0.3</v>
      </c>
      <c r="AA336" s="816" t="s">
        <v>9567</v>
      </c>
      <c r="AB336" s="816" t="s">
        <v>9591</v>
      </c>
      <c r="AC336" s="816"/>
      <c r="AD336" s="816"/>
      <c r="AE336" s="816"/>
      <c r="AF336" s="816" t="s">
        <v>72</v>
      </c>
      <c r="AG336" s="816" t="s">
        <v>65</v>
      </c>
      <c r="AH336">
        <v>-1</v>
      </c>
      <c r="AI336" s="816"/>
      <c r="AK336" s="816"/>
      <c r="AM336" s="816"/>
    </row>
    <row r="337" spans="1:39" x14ac:dyDescent="0.25">
      <c r="A337" s="265">
        <v>43763</v>
      </c>
      <c r="B337">
        <v>5</v>
      </c>
      <c r="C337" s="816" t="s">
        <v>1</v>
      </c>
      <c r="D337">
        <v>533</v>
      </c>
      <c r="E337" s="816" t="s">
        <v>9545</v>
      </c>
      <c r="F337" s="816" t="s">
        <v>25</v>
      </c>
      <c r="G337" s="816" t="s">
        <v>9547</v>
      </c>
      <c r="H337">
        <v>12</v>
      </c>
      <c r="I337" s="816" t="s">
        <v>21</v>
      </c>
      <c r="J337" s="816" t="s">
        <v>21</v>
      </c>
      <c r="K337" s="817">
        <v>0.13700231481481481</v>
      </c>
      <c r="L337" s="817">
        <v>0.20366898148148149</v>
      </c>
      <c r="M337" s="817">
        <v>0.20347222222222219</v>
      </c>
      <c r="N337" s="817">
        <v>0.375</v>
      </c>
      <c r="O337" s="817">
        <v>0.46087962962962964</v>
      </c>
      <c r="P337" s="817">
        <v>0.71809027777777779</v>
      </c>
      <c r="Q337" s="817"/>
      <c r="R337" s="816"/>
      <c r="S337" s="817"/>
      <c r="T337" s="817"/>
      <c r="U337" s="816" t="s">
        <v>9551</v>
      </c>
      <c r="V337" s="816" t="s">
        <v>9551</v>
      </c>
      <c r="W337" s="267"/>
      <c r="X337" s="816" t="s">
        <v>26</v>
      </c>
      <c r="Y337">
        <v>72.099999999999994</v>
      </c>
      <c r="Z337">
        <v>11</v>
      </c>
      <c r="AA337" s="816" t="s">
        <v>9568</v>
      </c>
      <c r="AB337" s="816" t="s">
        <v>9592</v>
      </c>
      <c r="AC337" s="816"/>
      <c r="AD337" s="816"/>
      <c r="AE337" s="816"/>
      <c r="AF337" s="816"/>
      <c r="AG337" s="816"/>
      <c r="AI337" s="816"/>
      <c r="AK337" s="816"/>
      <c r="AM337" s="816"/>
    </row>
    <row r="338" spans="1:39" x14ac:dyDescent="0.25">
      <c r="A338" s="265">
        <v>43764</v>
      </c>
      <c r="B338">
        <v>6</v>
      </c>
      <c r="C338" s="816" t="s">
        <v>2</v>
      </c>
      <c r="D338">
        <v>533</v>
      </c>
      <c r="E338" s="816" t="s">
        <v>9545</v>
      </c>
      <c r="F338" s="816" t="s">
        <v>25</v>
      </c>
      <c r="G338" s="816" t="s">
        <v>9547</v>
      </c>
      <c r="H338">
        <v>13</v>
      </c>
      <c r="I338" s="816" t="s">
        <v>8</v>
      </c>
      <c r="J338" s="816" t="s">
        <v>8</v>
      </c>
      <c r="K338" s="817">
        <v>0.13678240740740741</v>
      </c>
      <c r="L338" s="817">
        <v>0.20344907407407409</v>
      </c>
      <c r="M338" s="817"/>
      <c r="N338" s="817"/>
      <c r="O338" s="817">
        <v>0.46079861111111109</v>
      </c>
      <c r="P338" s="817">
        <v>0.71815972222222213</v>
      </c>
      <c r="Q338" s="817"/>
      <c r="R338" s="816"/>
      <c r="S338" s="817"/>
      <c r="T338" s="817"/>
      <c r="U338" s="816" t="s">
        <v>9551</v>
      </c>
      <c r="V338" s="816" t="s">
        <v>9551</v>
      </c>
      <c r="W338" s="267"/>
      <c r="X338" s="816" t="s">
        <v>26</v>
      </c>
      <c r="Y338">
        <v>88.2</v>
      </c>
      <c r="Z338">
        <v>22.9</v>
      </c>
      <c r="AA338" s="816" t="s">
        <v>9569</v>
      </c>
      <c r="AB338" s="816" t="s">
        <v>9593</v>
      </c>
      <c r="AC338" s="816"/>
      <c r="AD338" s="816"/>
      <c r="AE338" s="816"/>
      <c r="AF338" s="816"/>
      <c r="AG338" s="816"/>
      <c r="AI338" s="816"/>
      <c r="AK338" s="816"/>
      <c r="AM338" s="816"/>
    </row>
    <row r="339" spans="1:39" x14ac:dyDescent="0.25">
      <c r="A339" s="265">
        <v>43765</v>
      </c>
      <c r="B339">
        <v>0</v>
      </c>
      <c r="C339" s="816" t="s">
        <v>3</v>
      </c>
      <c r="D339">
        <v>533</v>
      </c>
      <c r="E339" s="816" t="s">
        <v>9545</v>
      </c>
      <c r="F339" s="816" t="s">
        <v>25</v>
      </c>
      <c r="G339" s="816" t="s">
        <v>9547</v>
      </c>
      <c r="H339">
        <v>15</v>
      </c>
      <c r="I339" s="816" t="s">
        <v>22</v>
      </c>
      <c r="J339" s="816" t="s">
        <v>9</v>
      </c>
      <c r="K339" s="817">
        <v>0.1365625</v>
      </c>
      <c r="L339" s="817">
        <v>0.20322916666666666</v>
      </c>
      <c r="M339" s="817"/>
      <c r="N339" s="817"/>
      <c r="O339" s="817">
        <v>0.46072916666666663</v>
      </c>
      <c r="P339" s="817">
        <v>0.7182291666666667</v>
      </c>
      <c r="Q339" s="817"/>
      <c r="R339" s="816"/>
      <c r="S339" s="817">
        <v>0.30486111111111108</v>
      </c>
      <c r="T339" s="817">
        <v>0.16319444444444445</v>
      </c>
      <c r="U339" s="816" t="s">
        <v>9705</v>
      </c>
      <c r="V339" s="816" t="s">
        <v>9709</v>
      </c>
      <c r="W339" s="267"/>
      <c r="X339" s="816" t="s">
        <v>26</v>
      </c>
      <c r="Y339">
        <v>4.5999999999999996</v>
      </c>
      <c r="Z339">
        <v>35.200000000000003</v>
      </c>
      <c r="AA339" s="816" t="s">
        <v>9570</v>
      </c>
      <c r="AB339" s="816" t="s">
        <v>9594</v>
      </c>
      <c r="AC339" s="816"/>
      <c r="AD339" s="816"/>
      <c r="AE339" s="816"/>
      <c r="AF339" s="816"/>
      <c r="AG339" s="816"/>
      <c r="AI339" s="816"/>
      <c r="AK339" s="816"/>
      <c r="AM339" s="816"/>
    </row>
    <row r="340" spans="1:39" x14ac:dyDescent="0.25">
      <c r="A340" s="265">
        <v>43766</v>
      </c>
      <c r="B340">
        <v>1</v>
      </c>
      <c r="C340" s="816" t="s">
        <v>4</v>
      </c>
      <c r="D340">
        <v>533</v>
      </c>
      <c r="E340" s="816" t="s">
        <v>9545</v>
      </c>
      <c r="F340" s="816" t="s">
        <v>24</v>
      </c>
      <c r="G340" s="816" t="s">
        <v>9546</v>
      </c>
      <c r="H340">
        <v>16</v>
      </c>
      <c r="I340" s="816" t="s">
        <v>11</v>
      </c>
      <c r="J340" s="816" t="s">
        <v>11</v>
      </c>
      <c r="K340" s="817">
        <v>0.13635416666666667</v>
      </c>
      <c r="L340" s="817">
        <v>0.20302083333333334</v>
      </c>
      <c r="M340" s="817"/>
      <c r="N340" s="817"/>
      <c r="O340" s="817">
        <v>0.46067129629629627</v>
      </c>
      <c r="P340" s="817">
        <v>0.71832175925925934</v>
      </c>
      <c r="Q340" s="817"/>
      <c r="R340" s="816"/>
      <c r="S340" s="817"/>
      <c r="T340" s="817"/>
      <c r="U340" s="816" t="s">
        <v>9706</v>
      </c>
      <c r="V340" s="816" t="s">
        <v>9710</v>
      </c>
      <c r="W340" s="267"/>
      <c r="X340" s="816" t="s">
        <v>26</v>
      </c>
      <c r="Y340">
        <v>20</v>
      </c>
      <c r="Z340">
        <v>46.6</v>
      </c>
      <c r="AA340" s="816" t="s">
        <v>9571</v>
      </c>
      <c r="AB340" s="816" t="s">
        <v>9595</v>
      </c>
      <c r="AC340" s="816"/>
      <c r="AD340" s="816"/>
      <c r="AE340" s="816"/>
      <c r="AF340" s="816"/>
      <c r="AG340" s="816" t="s">
        <v>66</v>
      </c>
      <c r="AH340">
        <v>1</v>
      </c>
      <c r="AI340" s="816"/>
      <c r="AK340" s="816"/>
      <c r="AM340" s="816"/>
    </row>
    <row r="341" spans="1:39" x14ac:dyDescent="0.25">
      <c r="A341" s="265">
        <v>43767</v>
      </c>
      <c r="B341">
        <v>2</v>
      </c>
      <c r="C341" s="816" t="s">
        <v>5</v>
      </c>
      <c r="D341">
        <v>533</v>
      </c>
      <c r="E341" s="816" t="s">
        <v>9545</v>
      </c>
      <c r="F341" s="816" t="s">
        <v>24</v>
      </c>
      <c r="G341" s="816" t="s">
        <v>9546</v>
      </c>
      <c r="H341">
        <v>17</v>
      </c>
      <c r="I341" s="816" t="s">
        <v>12</v>
      </c>
      <c r="J341" s="816" t="s">
        <v>12</v>
      </c>
      <c r="K341" s="817">
        <v>0.13616898148148149</v>
      </c>
      <c r="L341" s="817">
        <v>0.20283564814814814</v>
      </c>
      <c r="M341" s="817"/>
      <c r="N341" s="817"/>
      <c r="O341" s="817">
        <v>0.46062500000000001</v>
      </c>
      <c r="P341" s="817">
        <v>0.71841435185185187</v>
      </c>
      <c r="Q341" s="817"/>
      <c r="R341" s="816"/>
      <c r="S341" s="817"/>
      <c r="T341" s="817"/>
      <c r="U341" s="816" t="s">
        <v>9551</v>
      </c>
      <c r="V341" s="816" t="s">
        <v>9551</v>
      </c>
      <c r="W341" s="267"/>
      <c r="X341" s="816" t="s">
        <v>26</v>
      </c>
      <c r="Y341">
        <v>33.200000000000003</v>
      </c>
      <c r="Z341">
        <v>55.9</v>
      </c>
      <c r="AA341" s="816" t="s">
        <v>9572</v>
      </c>
      <c r="AB341" s="816" t="s">
        <v>9596</v>
      </c>
      <c r="AC341" s="816"/>
      <c r="AD341" s="816"/>
      <c r="AE341" s="816"/>
      <c r="AF341" s="816"/>
      <c r="AG341" s="816"/>
      <c r="AI341" s="816"/>
      <c r="AK341" s="816"/>
      <c r="AM341" s="816"/>
    </row>
    <row r="342" spans="1:39" x14ac:dyDescent="0.25">
      <c r="A342" s="265">
        <v>43768</v>
      </c>
      <c r="B342">
        <v>3</v>
      </c>
      <c r="C342" s="816" t="s">
        <v>6</v>
      </c>
      <c r="D342">
        <v>533</v>
      </c>
      <c r="E342" s="816" t="s">
        <v>9545</v>
      </c>
      <c r="F342" s="816" t="s">
        <v>24</v>
      </c>
      <c r="G342" s="816" t="s">
        <v>9546</v>
      </c>
      <c r="H342">
        <v>18</v>
      </c>
      <c r="I342" s="816" t="s">
        <v>23</v>
      </c>
      <c r="J342" s="816" t="s">
        <v>23</v>
      </c>
      <c r="K342" s="817">
        <v>0.13598379629629628</v>
      </c>
      <c r="L342" s="817">
        <v>0.20265046296296296</v>
      </c>
      <c r="M342" s="817"/>
      <c r="N342" s="817"/>
      <c r="O342" s="817">
        <v>0.46057870370370368</v>
      </c>
      <c r="P342" s="817">
        <v>0.71851851851851845</v>
      </c>
      <c r="Q342" s="817"/>
      <c r="R342" s="816"/>
      <c r="S342" s="817"/>
      <c r="T342" s="817"/>
      <c r="U342" s="816" t="s">
        <v>9551</v>
      </c>
      <c r="V342" s="816" t="s">
        <v>9551</v>
      </c>
      <c r="W342" s="267"/>
      <c r="X342" s="816" t="s">
        <v>26</v>
      </c>
      <c r="Y342">
        <v>43.2</v>
      </c>
      <c r="Z342">
        <v>62.4</v>
      </c>
      <c r="AA342" s="816" t="s">
        <v>9573</v>
      </c>
      <c r="AB342" s="816" t="s">
        <v>9598</v>
      </c>
      <c r="AC342" s="816"/>
      <c r="AD342" s="816"/>
      <c r="AE342" s="816"/>
      <c r="AF342" s="816"/>
      <c r="AG342" s="816"/>
      <c r="AI342" s="816"/>
      <c r="AK342" s="816"/>
      <c r="AM342" s="816"/>
    </row>
    <row r="343" spans="1:39" x14ac:dyDescent="0.25">
      <c r="A343" s="265">
        <v>43769</v>
      </c>
      <c r="B343">
        <v>4</v>
      </c>
      <c r="C343" s="816" t="s">
        <v>7</v>
      </c>
      <c r="D343">
        <v>533</v>
      </c>
      <c r="E343" s="816" t="s">
        <v>9545</v>
      </c>
      <c r="F343" s="816" t="s">
        <v>24</v>
      </c>
      <c r="G343" s="816" t="s">
        <v>9546</v>
      </c>
      <c r="H343">
        <v>19</v>
      </c>
      <c r="I343" s="816" t="s">
        <v>13</v>
      </c>
      <c r="J343" s="816" t="s">
        <v>13</v>
      </c>
      <c r="K343" s="817">
        <v>0.1358101851851852</v>
      </c>
      <c r="L343" s="817">
        <v>0.20247685185185185</v>
      </c>
      <c r="M343" s="817"/>
      <c r="N343" s="817"/>
      <c r="O343" s="817">
        <v>0.46054398148148151</v>
      </c>
      <c r="P343" s="817">
        <v>0.71862268518518524</v>
      </c>
      <c r="Q343" s="817"/>
      <c r="R343" s="816"/>
      <c r="S343" s="817"/>
      <c r="T343" s="817"/>
      <c r="U343" s="816" t="s">
        <v>9551</v>
      </c>
      <c r="V343" s="816" t="s">
        <v>9551</v>
      </c>
      <c r="W343" s="267"/>
      <c r="X343" s="816" t="s">
        <v>26</v>
      </c>
      <c r="Y343">
        <v>49.6</v>
      </c>
      <c r="Z343">
        <v>65.599999999999994</v>
      </c>
      <c r="AA343" s="816" t="s">
        <v>9574</v>
      </c>
      <c r="AB343" s="816" t="s">
        <v>9599</v>
      </c>
      <c r="AC343" s="816"/>
      <c r="AD343" s="816"/>
      <c r="AE343" s="816"/>
      <c r="AF343" s="816"/>
      <c r="AG343" s="816"/>
      <c r="AI343" s="816"/>
      <c r="AK343" s="816"/>
      <c r="AM343" s="816"/>
    </row>
    <row r="344" spans="1:39" x14ac:dyDescent="0.25">
      <c r="A344" s="265">
        <v>43770</v>
      </c>
      <c r="B344">
        <v>5</v>
      </c>
      <c r="C344" s="816" t="s">
        <v>1</v>
      </c>
      <c r="D344">
        <v>533</v>
      </c>
      <c r="E344" s="816" t="s">
        <v>9545</v>
      </c>
      <c r="F344" s="816" t="s">
        <v>24</v>
      </c>
      <c r="G344" s="816" t="s">
        <v>9546</v>
      </c>
      <c r="H344">
        <v>20</v>
      </c>
      <c r="I344" s="816" t="s">
        <v>14</v>
      </c>
      <c r="J344" s="816" t="s">
        <v>14</v>
      </c>
      <c r="K344" s="817">
        <v>0.13563657407407406</v>
      </c>
      <c r="L344" s="817">
        <v>0.20230324074074071</v>
      </c>
      <c r="M344" s="817"/>
      <c r="N344" s="817"/>
      <c r="O344" s="817">
        <v>0.46052083333333332</v>
      </c>
      <c r="P344" s="817">
        <v>0.71873842592592585</v>
      </c>
      <c r="Q344" s="817"/>
      <c r="R344" s="816"/>
      <c r="S344" s="817"/>
      <c r="T344" s="817"/>
      <c r="U344" s="816" t="s">
        <v>9551</v>
      </c>
      <c r="V344" s="816" t="s">
        <v>9551</v>
      </c>
      <c r="W344" s="267"/>
      <c r="X344" s="816" t="s">
        <v>26</v>
      </c>
      <c r="Y344">
        <v>52</v>
      </c>
      <c r="Z344">
        <v>65.3</v>
      </c>
      <c r="AA344" s="816" t="s">
        <v>9575</v>
      </c>
      <c r="AB344" s="816" t="s">
        <v>9600</v>
      </c>
      <c r="AC344" s="816"/>
      <c r="AD344" s="816"/>
      <c r="AE344" s="816"/>
      <c r="AF344" s="816"/>
      <c r="AG344" s="816"/>
      <c r="AI344" s="816"/>
      <c r="AK344" s="816"/>
      <c r="AM344" s="816"/>
    </row>
    <row r="345" spans="1:39" x14ac:dyDescent="0.25">
      <c r="A345" s="265">
        <v>43771</v>
      </c>
      <c r="B345">
        <v>6</v>
      </c>
      <c r="C345" s="816" t="s">
        <v>2</v>
      </c>
      <c r="D345">
        <v>533</v>
      </c>
      <c r="E345" s="816" t="s">
        <v>9545</v>
      </c>
      <c r="F345" s="816" t="s">
        <v>24</v>
      </c>
      <c r="G345" s="816" t="s">
        <v>9546</v>
      </c>
      <c r="H345">
        <v>21</v>
      </c>
      <c r="I345" s="816" t="s">
        <v>15</v>
      </c>
      <c r="J345" s="816" t="s">
        <v>15</v>
      </c>
      <c r="K345" s="817">
        <v>0.13548611111111111</v>
      </c>
      <c r="L345" s="817">
        <v>0.20215277777777776</v>
      </c>
      <c r="M345" s="817"/>
      <c r="N345" s="817"/>
      <c r="O345" s="817">
        <v>0.46050925925925923</v>
      </c>
      <c r="P345" s="817">
        <v>0.71886574074074072</v>
      </c>
      <c r="Q345" s="817"/>
      <c r="R345" s="816"/>
      <c r="S345" s="817"/>
      <c r="T345" s="817"/>
      <c r="U345" s="816" t="s">
        <v>9551</v>
      </c>
      <c r="V345" s="816" t="s">
        <v>9551</v>
      </c>
      <c r="W345" s="267"/>
      <c r="X345" s="816" t="s">
        <v>26</v>
      </c>
      <c r="Y345">
        <v>50.9</v>
      </c>
      <c r="Z345">
        <v>61.8</v>
      </c>
      <c r="AA345" s="816" t="s">
        <v>9576</v>
      </c>
      <c r="AB345" s="816" t="s">
        <v>9601</v>
      </c>
      <c r="AC345" s="816"/>
      <c r="AD345" s="816"/>
      <c r="AE345" s="816"/>
      <c r="AF345" s="816"/>
      <c r="AG345" s="816"/>
      <c r="AI345" s="816"/>
      <c r="AK345" s="816"/>
      <c r="AM345" s="816"/>
    </row>
    <row r="346" spans="1:39" x14ac:dyDescent="0.25">
      <c r="A346" s="265">
        <v>43772</v>
      </c>
      <c r="B346">
        <v>0</v>
      </c>
      <c r="C346" s="816" t="s">
        <v>3</v>
      </c>
      <c r="D346">
        <v>533</v>
      </c>
      <c r="E346" s="816" t="s">
        <v>9545</v>
      </c>
      <c r="F346" s="816" t="s">
        <v>24</v>
      </c>
      <c r="G346" s="816" t="s">
        <v>9546</v>
      </c>
      <c r="H346">
        <v>22</v>
      </c>
      <c r="I346" s="816" t="s">
        <v>16</v>
      </c>
      <c r="J346" s="816" t="s">
        <v>16</v>
      </c>
      <c r="K346" s="817">
        <v>0.13534722222222223</v>
      </c>
      <c r="L346" s="817">
        <v>0.20201388888888891</v>
      </c>
      <c r="M346" s="817"/>
      <c r="N346" s="817"/>
      <c r="O346" s="817">
        <v>0.46049768518518519</v>
      </c>
      <c r="P346" s="817">
        <v>0.71899305555555548</v>
      </c>
      <c r="Q346" s="817"/>
      <c r="R346" s="816"/>
      <c r="S346" s="817"/>
      <c r="T346" s="817"/>
      <c r="U346" s="816" t="s">
        <v>9551</v>
      </c>
      <c r="V346" s="816" t="s">
        <v>9551</v>
      </c>
      <c r="W346" s="267"/>
      <c r="X346" s="816" t="s">
        <v>26</v>
      </c>
      <c r="Y346">
        <v>46.7</v>
      </c>
      <c r="Z346">
        <v>55.6</v>
      </c>
      <c r="AA346" s="816" t="s">
        <v>9577</v>
      </c>
      <c r="AB346" s="816" t="s">
        <v>9602</v>
      </c>
      <c r="AC346" s="816"/>
      <c r="AD346" s="816"/>
      <c r="AE346" s="816"/>
      <c r="AF346" s="816"/>
      <c r="AG346" s="816"/>
      <c r="AI346" s="816"/>
      <c r="AK346" s="816"/>
      <c r="AM346" s="816"/>
    </row>
    <row r="347" spans="1:39" x14ac:dyDescent="0.25">
      <c r="A347" s="265">
        <v>43773</v>
      </c>
      <c r="B347">
        <v>1</v>
      </c>
      <c r="C347" s="816" t="s">
        <v>4</v>
      </c>
      <c r="D347">
        <v>533</v>
      </c>
      <c r="E347" s="816" t="s">
        <v>9545</v>
      </c>
      <c r="F347" s="816" t="s">
        <v>24</v>
      </c>
      <c r="G347" s="816" t="s">
        <v>9546</v>
      </c>
      <c r="H347">
        <v>23</v>
      </c>
      <c r="I347" s="816" t="s">
        <v>17</v>
      </c>
      <c r="J347" s="816" t="s">
        <v>17</v>
      </c>
      <c r="K347" s="817">
        <v>0.13520833333333335</v>
      </c>
      <c r="L347" s="817">
        <v>0.201875</v>
      </c>
      <c r="M347" s="817"/>
      <c r="N347" s="817"/>
      <c r="O347" s="817">
        <v>0.46050925925925923</v>
      </c>
      <c r="P347" s="817">
        <v>0.71913194444444439</v>
      </c>
      <c r="Q347" s="817"/>
      <c r="R347" s="816"/>
      <c r="S347" s="817"/>
      <c r="T347" s="817"/>
      <c r="U347" s="816" t="s">
        <v>9551</v>
      </c>
      <c r="V347" s="816" t="s">
        <v>9551</v>
      </c>
      <c r="W347" s="267"/>
      <c r="X347" s="816" t="s">
        <v>26</v>
      </c>
      <c r="Y347">
        <v>40.1</v>
      </c>
      <c r="Z347">
        <v>47.1</v>
      </c>
      <c r="AA347" s="816" t="s">
        <v>9552</v>
      </c>
      <c r="AB347" s="816" t="s">
        <v>9603</v>
      </c>
      <c r="AC347" s="816"/>
      <c r="AD347" s="816"/>
      <c r="AE347" s="816"/>
      <c r="AF347" s="816"/>
      <c r="AG347" s="816"/>
      <c r="AI347" s="816"/>
      <c r="AK347" s="816"/>
      <c r="AM347" s="816"/>
    </row>
    <row r="348" spans="1:39" x14ac:dyDescent="0.25">
      <c r="A348" s="265">
        <v>43774</v>
      </c>
      <c r="B348">
        <v>2</v>
      </c>
      <c r="C348" s="816" t="s">
        <v>5</v>
      </c>
      <c r="D348">
        <v>533</v>
      </c>
      <c r="E348" s="816" t="s">
        <v>9545</v>
      </c>
      <c r="F348" s="816" t="s">
        <v>24</v>
      </c>
      <c r="G348" s="816" t="s">
        <v>9546</v>
      </c>
      <c r="H348">
        <v>24</v>
      </c>
      <c r="I348" s="816" t="s">
        <v>18</v>
      </c>
      <c r="J348" s="816" t="s">
        <v>18</v>
      </c>
      <c r="K348" s="817">
        <v>0.13508101851851853</v>
      </c>
      <c r="L348" s="817">
        <v>0.20174768518518518</v>
      </c>
      <c r="M348" s="817"/>
      <c r="N348" s="817"/>
      <c r="O348" s="817">
        <v>0.46052083333333332</v>
      </c>
      <c r="P348" s="817">
        <v>0.71928240740740745</v>
      </c>
      <c r="Q348" s="817"/>
      <c r="R348" s="816"/>
      <c r="S348" s="817"/>
      <c r="T348" s="817"/>
      <c r="U348" s="816" t="s">
        <v>9551</v>
      </c>
      <c r="V348" s="816" t="s">
        <v>9551</v>
      </c>
      <c r="W348" s="267"/>
      <c r="X348" s="816" t="s">
        <v>26</v>
      </c>
      <c r="Y348">
        <v>31.7</v>
      </c>
      <c r="Z348">
        <v>37.1</v>
      </c>
      <c r="AA348" s="816" t="s">
        <v>9553</v>
      </c>
      <c r="AB348" s="816" t="s">
        <v>9579</v>
      </c>
      <c r="AC348" s="816"/>
      <c r="AD348" s="816"/>
      <c r="AE348" s="816"/>
      <c r="AF348" s="816"/>
      <c r="AG348" s="816"/>
      <c r="AI348" s="816"/>
      <c r="AK348" s="816"/>
      <c r="AM348" s="816"/>
    </row>
    <row r="349" spans="1:39" x14ac:dyDescent="0.25">
      <c r="A349" s="265">
        <v>43775</v>
      </c>
      <c r="B349">
        <v>3</v>
      </c>
      <c r="C349" s="816" t="s">
        <v>6</v>
      </c>
      <c r="D349">
        <v>533</v>
      </c>
      <c r="E349" s="816" t="s">
        <v>9545</v>
      </c>
      <c r="F349" s="816" t="s">
        <v>24</v>
      </c>
      <c r="G349" s="816" t="s">
        <v>9546</v>
      </c>
      <c r="H349">
        <v>25</v>
      </c>
      <c r="I349" s="816" t="s">
        <v>19</v>
      </c>
      <c r="J349" s="816" t="s">
        <v>19</v>
      </c>
      <c r="K349" s="817">
        <v>0.13497685185185185</v>
      </c>
      <c r="L349" s="817">
        <v>0.2016435185185185</v>
      </c>
      <c r="M349" s="817"/>
      <c r="N349" s="817"/>
      <c r="O349" s="817">
        <v>0.46054398148148151</v>
      </c>
      <c r="P349" s="817">
        <v>0.71944444444444444</v>
      </c>
      <c r="Q349" s="817"/>
      <c r="R349" s="816"/>
      <c r="S349" s="817"/>
      <c r="T349" s="817"/>
      <c r="U349" s="816" t="s">
        <v>9551</v>
      </c>
      <c r="V349" s="816" t="s">
        <v>9551</v>
      </c>
      <c r="W349" s="267"/>
      <c r="X349" s="816" t="s">
        <v>26</v>
      </c>
      <c r="Y349">
        <v>22.4</v>
      </c>
      <c r="Z349">
        <v>26.2</v>
      </c>
      <c r="AA349" s="816" t="s">
        <v>9554</v>
      </c>
      <c r="AB349" s="816" t="s">
        <v>9580</v>
      </c>
      <c r="AC349" s="816"/>
      <c r="AD349" s="816"/>
      <c r="AE349" s="816"/>
      <c r="AF349" s="816"/>
      <c r="AG349" s="816"/>
      <c r="AI349" s="816"/>
      <c r="AK349" s="816"/>
      <c r="AM349" s="816"/>
    </row>
    <row r="350" spans="1:39" x14ac:dyDescent="0.25">
      <c r="A350" s="265">
        <v>43776</v>
      </c>
      <c r="B350">
        <v>4</v>
      </c>
      <c r="C350" s="816" t="s">
        <v>7</v>
      </c>
      <c r="D350">
        <v>533</v>
      </c>
      <c r="E350" s="816" t="s">
        <v>9545</v>
      </c>
      <c r="F350" s="816" t="s">
        <v>24</v>
      </c>
      <c r="G350" s="816" t="s">
        <v>9546</v>
      </c>
      <c r="H350">
        <v>26</v>
      </c>
      <c r="I350" s="816" t="s">
        <v>9549</v>
      </c>
      <c r="J350" s="816" t="s">
        <v>20</v>
      </c>
      <c r="K350" s="817">
        <v>0.13487268518518519</v>
      </c>
      <c r="L350" s="817">
        <v>0.20153935185185187</v>
      </c>
      <c r="M350" s="817"/>
      <c r="N350" s="817"/>
      <c r="O350" s="817">
        <v>0.46057870370370368</v>
      </c>
      <c r="P350" s="817">
        <v>0.71960648148148154</v>
      </c>
      <c r="Q350" s="817"/>
      <c r="R350" s="816"/>
      <c r="S350" s="817"/>
      <c r="T350" s="817"/>
      <c r="U350" s="816" t="s">
        <v>9551</v>
      </c>
      <c r="V350" s="816" t="s">
        <v>9551</v>
      </c>
      <c r="W350" s="267"/>
      <c r="X350" s="816" t="s">
        <v>26</v>
      </c>
      <c r="Y350">
        <v>12.7</v>
      </c>
      <c r="Z350">
        <v>15</v>
      </c>
      <c r="AA350" s="816" t="s">
        <v>9555</v>
      </c>
      <c r="AB350" s="816" t="s">
        <v>9581</v>
      </c>
      <c r="AC350" s="816" t="s">
        <v>9642</v>
      </c>
      <c r="AD350" s="816"/>
      <c r="AE350" s="816"/>
      <c r="AF350" s="816"/>
      <c r="AG350" s="816"/>
      <c r="AI350" s="816"/>
      <c r="AK350" s="816"/>
      <c r="AM350" s="816"/>
    </row>
    <row r="351" spans="1:39" x14ac:dyDescent="0.25">
      <c r="A351" s="265">
        <v>43777</v>
      </c>
      <c r="B351">
        <v>5</v>
      </c>
      <c r="C351" s="816" t="s">
        <v>1</v>
      </c>
      <c r="D351">
        <v>533</v>
      </c>
      <c r="E351" s="816" t="s">
        <v>9545</v>
      </c>
      <c r="F351" s="816" t="s">
        <v>24</v>
      </c>
      <c r="G351" s="816" t="s">
        <v>9546</v>
      </c>
      <c r="H351">
        <v>27</v>
      </c>
      <c r="I351" s="816" t="s">
        <v>9550</v>
      </c>
      <c r="J351" s="816" t="s">
        <v>20</v>
      </c>
      <c r="K351" s="817">
        <v>0.13479166666666667</v>
      </c>
      <c r="L351" s="817">
        <v>0.20145833333333332</v>
      </c>
      <c r="M351" s="817"/>
      <c r="N351" s="817"/>
      <c r="O351" s="817">
        <v>0.46061342592592597</v>
      </c>
      <c r="P351" s="817">
        <v>0.71978009259259268</v>
      </c>
      <c r="Q351" s="817"/>
      <c r="R351" s="816"/>
      <c r="S351" s="817"/>
      <c r="T351" s="817"/>
      <c r="U351" s="816" t="s">
        <v>9551</v>
      </c>
      <c r="V351" s="816" t="s">
        <v>9551</v>
      </c>
      <c r="W351" s="267"/>
      <c r="X351" s="816" t="s">
        <v>26</v>
      </c>
      <c r="Y351">
        <v>3.4</v>
      </c>
      <c r="Z351">
        <v>4.0999999999999996</v>
      </c>
      <c r="AA351" s="816" t="s">
        <v>9556</v>
      </c>
      <c r="AB351" s="816" t="s">
        <v>9582</v>
      </c>
      <c r="AC351" s="816"/>
      <c r="AD351" s="816"/>
      <c r="AE351" s="816"/>
      <c r="AF351" s="816" t="s">
        <v>72</v>
      </c>
      <c r="AG351" s="816" t="s">
        <v>9606</v>
      </c>
      <c r="AH351">
        <v>-1</v>
      </c>
      <c r="AI351" s="816" t="s">
        <v>67</v>
      </c>
      <c r="AJ351">
        <v>-1</v>
      </c>
      <c r="AK351" s="816" t="s">
        <v>68</v>
      </c>
      <c r="AL351">
        <v>-1</v>
      </c>
      <c r="AM351" s="816"/>
    </row>
    <row r="352" spans="1:39" x14ac:dyDescent="0.25">
      <c r="A352" s="265">
        <v>43778</v>
      </c>
      <c r="B352">
        <v>6</v>
      </c>
      <c r="C352" s="816" t="s">
        <v>2</v>
      </c>
      <c r="D352">
        <v>533</v>
      </c>
      <c r="E352" s="816" t="s">
        <v>9545</v>
      </c>
      <c r="F352" s="816" t="s">
        <v>24</v>
      </c>
      <c r="G352" s="816" t="s">
        <v>9546</v>
      </c>
      <c r="H352">
        <v>27</v>
      </c>
      <c r="I352" s="816" t="s">
        <v>21</v>
      </c>
      <c r="J352" s="816" t="s">
        <v>21</v>
      </c>
      <c r="K352" s="817">
        <v>0.13471064814814815</v>
      </c>
      <c r="L352" s="817">
        <v>0.2013773148148148</v>
      </c>
      <c r="M352" s="817">
        <v>0.20069444444444443</v>
      </c>
      <c r="N352" s="817">
        <v>0.25833333333333336</v>
      </c>
      <c r="O352" s="817">
        <v>0.46067129629629627</v>
      </c>
      <c r="P352" s="817">
        <v>0.71996527777777775</v>
      </c>
      <c r="Q352" s="817"/>
      <c r="R352" s="816"/>
      <c r="S352" s="817"/>
      <c r="T352" s="817"/>
      <c r="U352" s="816" t="s">
        <v>9551</v>
      </c>
      <c r="V352" s="816" t="s">
        <v>9551</v>
      </c>
      <c r="W352" s="267"/>
      <c r="X352" s="816" t="s">
        <v>27</v>
      </c>
      <c r="Y352">
        <v>94.8</v>
      </c>
      <c r="Z352">
        <v>93.9</v>
      </c>
      <c r="AA352" s="816" t="s">
        <v>9556</v>
      </c>
      <c r="AB352" s="816" t="s">
        <v>9583</v>
      </c>
      <c r="AC352" s="816"/>
      <c r="AD352" s="816"/>
      <c r="AE352" s="816"/>
      <c r="AF352" s="816"/>
      <c r="AG352" s="816"/>
      <c r="AI352" s="816"/>
      <c r="AK352" s="816"/>
      <c r="AM352" s="816"/>
    </row>
    <row r="353" spans="1:39" x14ac:dyDescent="0.25">
      <c r="A353" s="265">
        <v>43779</v>
      </c>
      <c r="B353">
        <v>0</v>
      </c>
      <c r="C353" s="816" t="s">
        <v>3</v>
      </c>
      <c r="D353">
        <v>533</v>
      </c>
      <c r="E353" s="816" t="s">
        <v>9545</v>
      </c>
      <c r="F353" s="816" t="s">
        <v>24</v>
      </c>
      <c r="G353" s="816" t="s">
        <v>9546</v>
      </c>
      <c r="H353">
        <v>28</v>
      </c>
      <c r="I353" s="816" t="s">
        <v>8</v>
      </c>
      <c r="J353" s="816" t="s">
        <v>8</v>
      </c>
      <c r="K353" s="817">
        <v>0.13464120370370372</v>
      </c>
      <c r="L353" s="817">
        <v>0.20130787037037037</v>
      </c>
      <c r="M353" s="817"/>
      <c r="N353" s="817"/>
      <c r="O353" s="817">
        <v>0.46072916666666663</v>
      </c>
      <c r="P353" s="817">
        <v>0.72015046296296292</v>
      </c>
      <c r="Q353" s="817"/>
      <c r="R353" s="816"/>
      <c r="S353" s="817"/>
      <c r="T353" s="817"/>
      <c r="U353" s="816" t="s">
        <v>9551</v>
      </c>
      <c r="V353" s="816" t="s">
        <v>9551</v>
      </c>
      <c r="W353" s="267"/>
      <c r="X353" s="816" t="s">
        <v>26</v>
      </c>
      <c r="Y353">
        <v>87.3</v>
      </c>
      <c r="Z353">
        <v>84.8</v>
      </c>
      <c r="AA353" s="816" t="s">
        <v>9557</v>
      </c>
      <c r="AB353" s="816" t="s">
        <v>9584</v>
      </c>
      <c r="AC353" s="816"/>
      <c r="AD353" s="816"/>
      <c r="AE353" s="816"/>
      <c r="AF353" s="816"/>
      <c r="AG353" s="816"/>
      <c r="AI353" s="816"/>
      <c r="AK353" s="816"/>
      <c r="AM353" s="816"/>
    </row>
    <row r="354" spans="1:39" x14ac:dyDescent="0.25">
      <c r="A354" s="265">
        <v>43780</v>
      </c>
      <c r="B354">
        <v>1</v>
      </c>
      <c r="C354" s="816" t="s">
        <v>4</v>
      </c>
      <c r="D354">
        <v>533</v>
      </c>
      <c r="E354" s="816" t="s">
        <v>9545</v>
      </c>
      <c r="F354" s="816" t="s">
        <v>24</v>
      </c>
      <c r="G354" s="816" t="s">
        <v>9546</v>
      </c>
      <c r="H354">
        <v>29</v>
      </c>
      <c r="I354" s="816" t="s">
        <v>9</v>
      </c>
      <c r="J354" s="816" t="s">
        <v>9</v>
      </c>
      <c r="K354" s="817">
        <v>0.13458333333333333</v>
      </c>
      <c r="L354" s="817">
        <v>0.20125000000000001</v>
      </c>
      <c r="M354" s="817"/>
      <c r="N354" s="817"/>
      <c r="O354" s="817">
        <v>0.46079861111111109</v>
      </c>
      <c r="P354" s="817">
        <v>0.7203587962962964</v>
      </c>
      <c r="Q354" s="817"/>
      <c r="R354" s="816"/>
      <c r="S354" s="817"/>
      <c r="T354" s="817"/>
      <c r="U354" s="816" t="s">
        <v>9551</v>
      </c>
      <c r="V354" s="816" t="s">
        <v>9551</v>
      </c>
      <c r="W354" s="267"/>
      <c r="X354" s="816" t="s">
        <v>26</v>
      </c>
      <c r="Y354">
        <v>81.3</v>
      </c>
      <c r="Z354">
        <v>76.8</v>
      </c>
      <c r="AA354" s="816" t="s">
        <v>9558</v>
      </c>
      <c r="AB354" s="816" t="s">
        <v>9585</v>
      </c>
      <c r="AC354" s="816" t="s">
        <v>9643</v>
      </c>
      <c r="AD354" s="816"/>
      <c r="AE354" s="816"/>
      <c r="AF354" s="816"/>
      <c r="AG354" s="816"/>
      <c r="AI354" s="816"/>
      <c r="AK354" s="816"/>
      <c r="AM354" s="816"/>
    </row>
    <row r="355" spans="1:39" x14ac:dyDescent="0.25">
      <c r="A355" s="265">
        <v>43781</v>
      </c>
      <c r="B355">
        <v>2</v>
      </c>
      <c r="C355" s="816" t="s">
        <v>5</v>
      </c>
      <c r="D355">
        <v>533</v>
      </c>
      <c r="E355" s="816" t="s">
        <v>9545</v>
      </c>
      <c r="F355" s="816" t="s">
        <v>24</v>
      </c>
      <c r="G355" s="816" t="s">
        <v>9546</v>
      </c>
      <c r="H355">
        <v>30</v>
      </c>
      <c r="I355" s="816" t="s">
        <v>10</v>
      </c>
      <c r="J355" s="816" t="s">
        <v>10</v>
      </c>
      <c r="K355" s="817">
        <v>0.1345486111111111</v>
      </c>
      <c r="L355" s="817">
        <v>0.20121527777777778</v>
      </c>
      <c r="M355" s="817"/>
      <c r="N355" s="817"/>
      <c r="O355" s="817">
        <v>0.46089120370370368</v>
      </c>
      <c r="P355" s="817">
        <v>0.7205555555555555</v>
      </c>
      <c r="Q355" s="817"/>
      <c r="R355" s="816"/>
      <c r="S355" s="817"/>
      <c r="T355" s="817"/>
      <c r="U355" s="816" t="s">
        <v>9551</v>
      </c>
      <c r="V355" s="816" t="s">
        <v>9551</v>
      </c>
      <c r="W355" s="267"/>
      <c r="X355" s="816" t="s">
        <v>26</v>
      </c>
      <c r="Y355">
        <v>76.7</v>
      </c>
      <c r="Z355">
        <v>70.3</v>
      </c>
      <c r="AA355" s="816" t="s">
        <v>9578</v>
      </c>
      <c r="AB355" s="816" t="s">
        <v>9586</v>
      </c>
      <c r="AC355" s="816" t="s">
        <v>9644</v>
      </c>
      <c r="AD355" s="816"/>
      <c r="AE355" s="816"/>
      <c r="AF355" s="816"/>
      <c r="AG355" s="816" t="s">
        <v>69</v>
      </c>
      <c r="AH355">
        <v>-1</v>
      </c>
      <c r="AI355" s="816"/>
      <c r="AK355" s="816"/>
      <c r="AM355" s="816"/>
    </row>
    <row r="356" spans="1:39" x14ac:dyDescent="0.25">
      <c r="A356" s="265">
        <v>43782</v>
      </c>
      <c r="B356">
        <v>3</v>
      </c>
      <c r="C356" s="816" t="s">
        <v>6</v>
      </c>
      <c r="D356">
        <v>533</v>
      </c>
      <c r="E356" s="816" t="s">
        <v>9533</v>
      </c>
      <c r="F356" s="816" t="s">
        <v>25</v>
      </c>
      <c r="G356" s="816" t="s">
        <v>9547</v>
      </c>
      <c r="H356">
        <v>1</v>
      </c>
      <c r="I356" s="816" t="s">
        <v>11</v>
      </c>
      <c r="J356" s="816" t="s">
        <v>11</v>
      </c>
      <c r="K356" s="817">
        <v>0.13451388888888891</v>
      </c>
      <c r="L356" s="817">
        <v>0.20118055555555556</v>
      </c>
      <c r="M356" s="817"/>
      <c r="N356" s="817"/>
      <c r="O356" s="817">
        <v>0.46097222222222217</v>
      </c>
      <c r="P356" s="817">
        <v>0.72077546296296291</v>
      </c>
      <c r="Q356" s="817"/>
      <c r="R356" s="816"/>
      <c r="S356" s="817"/>
      <c r="T356" s="817"/>
      <c r="U356" s="816" t="s">
        <v>9551</v>
      </c>
      <c r="V356" s="816" t="s">
        <v>9551</v>
      </c>
      <c r="W356" s="267"/>
      <c r="X356" s="816" t="s">
        <v>26</v>
      </c>
      <c r="Y356">
        <v>73.8</v>
      </c>
      <c r="Z356">
        <v>65.2</v>
      </c>
      <c r="AA356" s="816" t="s">
        <v>9559</v>
      </c>
      <c r="AB356" s="816" t="s">
        <v>9604</v>
      </c>
      <c r="AC356" s="816"/>
      <c r="AD356" s="816"/>
      <c r="AE356" s="816"/>
      <c r="AF356" s="816"/>
      <c r="AG356" s="816"/>
      <c r="AI356" s="816"/>
      <c r="AK356" s="816"/>
      <c r="AM356" s="816"/>
    </row>
    <row r="357" spans="1:39" x14ac:dyDescent="0.25">
      <c r="A357" s="265">
        <v>43783</v>
      </c>
      <c r="B357">
        <v>4</v>
      </c>
      <c r="C357" s="816" t="s">
        <v>7</v>
      </c>
      <c r="D357">
        <v>533</v>
      </c>
      <c r="E357" s="816" t="s">
        <v>9533</v>
      </c>
      <c r="F357" s="816" t="s">
        <v>25</v>
      </c>
      <c r="G357" s="816" t="s">
        <v>9547</v>
      </c>
      <c r="H357">
        <v>2</v>
      </c>
      <c r="I357" s="816" t="s">
        <v>12</v>
      </c>
      <c r="J357" s="816" t="s">
        <v>12</v>
      </c>
      <c r="K357" s="817">
        <v>0.13449074074074074</v>
      </c>
      <c r="L357" s="817">
        <v>0.2011574074074074</v>
      </c>
      <c r="M357" s="817"/>
      <c r="N357" s="817"/>
      <c r="O357" s="817">
        <v>0.46107638888888891</v>
      </c>
      <c r="P357" s="817">
        <v>0.72099537037037031</v>
      </c>
      <c r="Q357" s="817"/>
      <c r="R357" s="816"/>
      <c r="S357" s="817"/>
      <c r="T357" s="817"/>
      <c r="U357" s="816" t="s">
        <v>9551</v>
      </c>
      <c r="V357" s="816" t="s">
        <v>9551</v>
      </c>
      <c r="W357" s="267"/>
      <c r="X357" s="816" t="s">
        <v>26</v>
      </c>
      <c r="Y357">
        <v>72.5</v>
      </c>
      <c r="Z357">
        <v>61.6</v>
      </c>
      <c r="AA357" s="816" t="s">
        <v>9560</v>
      </c>
      <c r="AB357" s="816" t="s">
        <v>9587</v>
      </c>
      <c r="AC357" s="816"/>
      <c r="AD357" s="816"/>
      <c r="AE357" s="816"/>
      <c r="AF357" s="816"/>
      <c r="AG357" s="816"/>
      <c r="AI357" s="816"/>
      <c r="AK357" s="816"/>
      <c r="AM357" s="816"/>
    </row>
    <row r="358" spans="1:39" x14ac:dyDescent="0.25">
      <c r="A358" s="265">
        <v>43784</v>
      </c>
      <c r="B358">
        <v>5</v>
      </c>
      <c r="C358" s="816" t="s">
        <v>1</v>
      </c>
      <c r="D358">
        <v>533</v>
      </c>
      <c r="E358" s="816" t="s">
        <v>9533</v>
      </c>
      <c r="F358" s="816" t="s">
        <v>25</v>
      </c>
      <c r="G358" s="816" t="s">
        <v>9547</v>
      </c>
      <c r="H358">
        <v>3</v>
      </c>
      <c r="I358" s="816" t="s">
        <v>23</v>
      </c>
      <c r="J358" s="816" t="s">
        <v>23</v>
      </c>
      <c r="K358" s="817">
        <v>0.13449074074074074</v>
      </c>
      <c r="L358" s="817">
        <v>0.2011574074074074</v>
      </c>
      <c r="M358" s="817"/>
      <c r="N358" s="817"/>
      <c r="O358" s="817">
        <v>0.46119212962962958</v>
      </c>
      <c r="P358" s="817">
        <v>0.72122685185185187</v>
      </c>
      <c r="Q358" s="817"/>
      <c r="R358" s="816"/>
      <c r="S358" s="817"/>
      <c r="T358" s="817"/>
      <c r="U358" s="816" t="s">
        <v>9551</v>
      </c>
      <c r="V358" s="816" t="s">
        <v>9551</v>
      </c>
      <c r="W358" s="267"/>
      <c r="X358" s="816" t="s">
        <v>26</v>
      </c>
      <c r="Y358">
        <v>72.7</v>
      </c>
      <c r="Z358">
        <v>59.3</v>
      </c>
      <c r="AA358" s="816" t="s">
        <v>9561</v>
      </c>
      <c r="AB358" s="816" t="s">
        <v>9588</v>
      </c>
      <c r="AC358" s="816"/>
      <c r="AD358" s="816"/>
      <c r="AE358" s="816"/>
      <c r="AF358" s="816"/>
      <c r="AG358" s="816"/>
      <c r="AI358" s="816"/>
      <c r="AK358" s="816"/>
      <c r="AM358" s="816"/>
    </row>
    <row r="359" spans="1:39" x14ac:dyDescent="0.25">
      <c r="A359" s="265">
        <v>43785</v>
      </c>
      <c r="B359">
        <v>6</v>
      </c>
      <c r="C359" s="816" t="s">
        <v>2</v>
      </c>
      <c r="D359">
        <v>533</v>
      </c>
      <c r="E359" s="816" t="s">
        <v>9533</v>
      </c>
      <c r="F359" s="816" t="s">
        <v>25</v>
      </c>
      <c r="G359" s="816" t="s">
        <v>9547</v>
      </c>
      <c r="H359">
        <v>4</v>
      </c>
      <c r="I359" s="816" t="s">
        <v>13</v>
      </c>
      <c r="J359" s="816" t="s">
        <v>13</v>
      </c>
      <c r="K359" s="817">
        <v>0.13449074074074074</v>
      </c>
      <c r="L359" s="817">
        <v>0.2011574074074074</v>
      </c>
      <c r="M359" s="817"/>
      <c r="N359" s="817"/>
      <c r="O359" s="817">
        <v>0.46130787037037035</v>
      </c>
      <c r="P359" s="817">
        <v>0.72145833333333342</v>
      </c>
      <c r="Q359" s="817"/>
      <c r="R359" s="816"/>
      <c r="S359" s="817"/>
      <c r="T359" s="817"/>
      <c r="U359" s="816" t="s">
        <v>9551</v>
      </c>
      <c r="V359" s="816" t="s">
        <v>9551</v>
      </c>
      <c r="W359" s="267"/>
      <c r="X359" s="816" t="s">
        <v>26</v>
      </c>
      <c r="Y359">
        <v>74.400000000000006</v>
      </c>
      <c r="Z359">
        <v>58.5</v>
      </c>
      <c r="AA359" s="816" t="s">
        <v>9562</v>
      </c>
      <c r="AB359" s="816" t="s">
        <v>9589</v>
      </c>
      <c r="AC359" s="816"/>
      <c r="AD359" s="816"/>
      <c r="AE359" s="816"/>
      <c r="AF359" s="816"/>
      <c r="AG359" s="816"/>
      <c r="AI359" s="816"/>
      <c r="AK359" s="816"/>
      <c r="AM359" s="816"/>
    </row>
    <row r="360" spans="1:39" x14ac:dyDescent="0.25">
      <c r="A360" s="265">
        <v>43786</v>
      </c>
      <c r="B360">
        <v>0</v>
      </c>
      <c r="C360" s="816" t="s">
        <v>3</v>
      </c>
      <c r="D360">
        <v>533</v>
      </c>
      <c r="E360" s="816" t="s">
        <v>9533</v>
      </c>
      <c r="F360" s="816" t="s">
        <v>25</v>
      </c>
      <c r="G360" s="816" t="s">
        <v>9547</v>
      </c>
      <c r="H360">
        <v>5</v>
      </c>
      <c r="I360" s="816" t="s">
        <v>14</v>
      </c>
      <c r="J360" s="816" t="s">
        <v>14</v>
      </c>
      <c r="K360" s="817">
        <v>0.13450231481481481</v>
      </c>
      <c r="L360" s="817">
        <v>0.20116898148148146</v>
      </c>
      <c r="M360" s="817"/>
      <c r="N360" s="817"/>
      <c r="O360" s="817">
        <v>0.46143518518518517</v>
      </c>
      <c r="P360" s="817">
        <v>0.72171296296296295</v>
      </c>
      <c r="Q360" s="817">
        <v>0.6702662037037036</v>
      </c>
      <c r="R360" s="816" t="s">
        <v>84</v>
      </c>
      <c r="S360" s="817"/>
      <c r="T360" s="817"/>
      <c r="U360" s="816" t="s">
        <v>9551</v>
      </c>
      <c r="V360" s="816" t="s">
        <v>9551</v>
      </c>
      <c r="W360" s="267"/>
      <c r="X360" s="816" t="s">
        <v>26</v>
      </c>
      <c r="Y360">
        <v>77.8</v>
      </c>
      <c r="Z360">
        <v>59</v>
      </c>
      <c r="AA360" s="816" t="s">
        <v>9563</v>
      </c>
      <c r="AB360" s="816" t="s">
        <v>9590</v>
      </c>
      <c r="AC360" s="816"/>
      <c r="AD360" s="816"/>
      <c r="AE360" s="816"/>
      <c r="AF360" s="816"/>
      <c r="AG360" s="816"/>
      <c r="AI360" s="816"/>
      <c r="AK360" s="816"/>
      <c r="AM360" s="816"/>
    </row>
    <row r="361" spans="1:39" x14ac:dyDescent="0.25">
      <c r="A361" s="265">
        <v>43787</v>
      </c>
      <c r="B361">
        <v>1</v>
      </c>
      <c r="C361" s="816" t="s">
        <v>4</v>
      </c>
      <c r="D361">
        <v>533</v>
      </c>
      <c r="E361" s="816" t="s">
        <v>9533</v>
      </c>
      <c r="F361" s="816" t="s">
        <v>25</v>
      </c>
      <c r="G361" s="816" t="s">
        <v>9547</v>
      </c>
      <c r="H361">
        <v>6</v>
      </c>
      <c r="I361" s="816" t="s">
        <v>15</v>
      </c>
      <c r="J361" s="816" t="s">
        <v>15</v>
      </c>
      <c r="K361" s="817">
        <v>0.13453703703703704</v>
      </c>
      <c r="L361" s="817">
        <v>0.20120370370370369</v>
      </c>
      <c r="M361" s="817"/>
      <c r="N361" s="817"/>
      <c r="O361" s="817">
        <v>0.46158564814814818</v>
      </c>
      <c r="P361" s="817">
        <v>0.72195601851851843</v>
      </c>
      <c r="Q361" s="817"/>
      <c r="R361" s="816"/>
      <c r="S361" s="817"/>
      <c r="T361" s="817"/>
      <c r="U361" s="816" t="s">
        <v>9551</v>
      </c>
      <c r="V361" s="816" t="s">
        <v>9551</v>
      </c>
      <c r="W361" s="267"/>
      <c r="X361" s="816" t="s">
        <v>26</v>
      </c>
      <c r="Y361">
        <v>82.9</v>
      </c>
      <c r="Z361">
        <v>61.1</v>
      </c>
      <c r="AA361" s="816" t="s">
        <v>9564</v>
      </c>
      <c r="AB361" s="816" t="s">
        <v>9591</v>
      </c>
      <c r="AC361" s="816"/>
      <c r="AD361" s="816"/>
      <c r="AE361" s="816"/>
      <c r="AF361" s="816"/>
      <c r="AG361" s="816"/>
      <c r="AI361" s="816"/>
      <c r="AK361" s="816"/>
      <c r="AM361" s="816"/>
    </row>
    <row r="362" spans="1:39" x14ac:dyDescent="0.25">
      <c r="A362" s="265">
        <v>43788</v>
      </c>
      <c r="B362">
        <v>2</v>
      </c>
      <c r="C362" s="816" t="s">
        <v>5</v>
      </c>
      <c r="D362">
        <v>533</v>
      </c>
      <c r="E362" s="816" t="s">
        <v>9533</v>
      </c>
      <c r="F362" s="816" t="s">
        <v>25</v>
      </c>
      <c r="G362" s="816" t="s">
        <v>9547</v>
      </c>
      <c r="H362">
        <v>7</v>
      </c>
      <c r="I362" s="816" t="s">
        <v>16</v>
      </c>
      <c r="J362" s="816" t="s">
        <v>16</v>
      </c>
      <c r="K362" s="817">
        <v>0.13457175925925927</v>
      </c>
      <c r="L362" s="817">
        <v>0.20123842592592592</v>
      </c>
      <c r="M362" s="817"/>
      <c r="N362" s="817"/>
      <c r="O362" s="817">
        <v>0.46173611111111112</v>
      </c>
      <c r="P362" s="817">
        <v>0.72222222222222221</v>
      </c>
      <c r="Q362" s="817"/>
      <c r="R362" s="816"/>
      <c r="S362" s="817"/>
      <c r="T362" s="817"/>
      <c r="U362" s="816" t="s">
        <v>9551</v>
      </c>
      <c r="V362" s="816" t="s">
        <v>9551</v>
      </c>
      <c r="W362" s="267"/>
      <c r="X362" s="816" t="s">
        <v>26</v>
      </c>
      <c r="Y362">
        <v>89.6</v>
      </c>
      <c r="Z362">
        <v>64.8</v>
      </c>
      <c r="AA362" s="816" t="s">
        <v>9565</v>
      </c>
      <c r="AB362" s="816" t="s">
        <v>9605</v>
      </c>
      <c r="AC362" s="816"/>
      <c r="AD362" s="816"/>
      <c r="AE362" s="816"/>
      <c r="AF362" s="816"/>
      <c r="AG362" s="816"/>
      <c r="AI362" s="816"/>
      <c r="AK362" s="816"/>
      <c r="AM362" s="816"/>
    </row>
    <row r="363" spans="1:39" x14ac:dyDescent="0.25">
      <c r="A363" s="265">
        <v>43789</v>
      </c>
      <c r="B363">
        <v>3</v>
      </c>
      <c r="C363" s="816" t="s">
        <v>6</v>
      </c>
      <c r="D363">
        <v>533</v>
      </c>
      <c r="E363" s="816" t="s">
        <v>9533</v>
      </c>
      <c r="F363" s="816" t="s">
        <v>25</v>
      </c>
      <c r="G363" s="816" t="s">
        <v>9547</v>
      </c>
      <c r="H363">
        <v>8</v>
      </c>
      <c r="I363" s="816" t="s">
        <v>17</v>
      </c>
      <c r="J363" s="816" t="s">
        <v>17</v>
      </c>
      <c r="K363" s="817">
        <v>0.13462962962962963</v>
      </c>
      <c r="L363" s="817">
        <v>0.20129629629629631</v>
      </c>
      <c r="M363" s="817"/>
      <c r="N363" s="817"/>
      <c r="O363" s="817">
        <v>0.46188657407407407</v>
      </c>
      <c r="P363" s="817">
        <v>0.72248842592592588</v>
      </c>
      <c r="Q363" s="817"/>
      <c r="R363" s="816"/>
      <c r="S363" s="817"/>
      <c r="T363" s="817"/>
      <c r="U363" s="816" t="s">
        <v>9551</v>
      </c>
      <c r="V363" s="816" t="s">
        <v>9551</v>
      </c>
      <c r="W363" s="267"/>
      <c r="X363" s="816" t="s">
        <v>26</v>
      </c>
      <c r="Y363">
        <v>98.2</v>
      </c>
      <c r="Z363">
        <v>70.099999999999994</v>
      </c>
      <c r="AA363" s="816" t="s">
        <v>9566</v>
      </c>
      <c r="AB363" s="816" t="s">
        <v>9592</v>
      </c>
      <c r="AC363" s="816"/>
      <c r="AD363" s="816"/>
      <c r="AE363" s="816"/>
      <c r="AF363" s="816"/>
      <c r="AG363" s="816"/>
      <c r="AI363" s="816"/>
      <c r="AK363" s="816"/>
      <c r="AM363" s="816"/>
    </row>
    <row r="364" spans="1:39" x14ac:dyDescent="0.25">
      <c r="A364" s="265">
        <v>43790</v>
      </c>
      <c r="B364">
        <v>4</v>
      </c>
      <c r="C364" s="816" t="s">
        <v>7</v>
      </c>
      <c r="D364">
        <v>533</v>
      </c>
      <c r="E364" s="816" t="s">
        <v>9533</v>
      </c>
      <c r="F364" s="816" t="s">
        <v>25</v>
      </c>
      <c r="G364" s="816" t="s">
        <v>9547</v>
      </c>
      <c r="H364">
        <v>10</v>
      </c>
      <c r="I364" s="816" t="s">
        <v>19</v>
      </c>
      <c r="J364" s="816" t="s">
        <v>19</v>
      </c>
      <c r="K364" s="817">
        <v>0.13468749999999999</v>
      </c>
      <c r="L364" s="817">
        <v>0.20135416666666664</v>
      </c>
      <c r="M364" s="817"/>
      <c r="N364" s="817"/>
      <c r="O364" s="817">
        <v>0.46206018518518516</v>
      </c>
      <c r="P364" s="817">
        <v>0.7227662037037037</v>
      </c>
      <c r="Q364" s="817"/>
      <c r="R364" s="816"/>
      <c r="S364" s="817">
        <v>0.21736111111111112</v>
      </c>
      <c r="T364" s="817">
        <v>0.12569444444444444</v>
      </c>
      <c r="U364" s="816" t="s">
        <v>9551</v>
      </c>
      <c r="V364" s="816" t="s">
        <v>9551</v>
      </c>
      <c r="W364" s="267"/>
      <c r="X364" s="816" t="s">
        <v>26</v>
      </c>
      <c r="Y364">
        <v>8.4</v>
      </c>
      <c r="Z364">
        <v>76.8</v>
      </c>
      <c r="AA364" s="816" t="s">
        <v>9567</v>
      </c>
      <c r="AB364" s="816" t="s">
        <v>9593</v>
      </c>
      <c r="AC364" s="816"/>
      <c r="AD364" s="816"/>
      <c r="AE364" s="816"/>
      <c r="AF364" s="816"/>
      <c r="AG364" s="816"/>
      <c r="AI364" s="816"/>
      <c r="AK364" s="816"/>
      <c r="AM364" s="816"/>
    </row>
    <row r="365" spans="1:39" x14ac:dyDescent="0.25">
      <c r="A365" s="265">
        <v>43791</v>
      </c>
      <c r="B365">
        <v>5</v>
      </c>
      <c r="C365" s="816" t="s">
        <v>1</v>
      </c>
      <c r="D365">
        <v>533</v>
      </c>
      <c r="E365" s="816" t="s">
        <v>9533</v>
      </c>
      <c r="F365" s="816" t="s">
        <v>25</v>
      </c>
      <c r="G365" s="816" t="s">
        <v>9547</v>
      </c>
      <c r="H365">
        <v>11</v>
      </c>
      <c r="I365" s="816" t="s">
        <v>9548</v>
      </c>
      <c r="J365" s="816" t="s">
        <v>20</v>
      </c>
      <c r="K365" s="817">
        <v>0.13476851851851851</v>
      </c>
      <c r="L365" s="817">
        <v>0.20143518518518519</v>
      </c>
      <c r="M365" s="817"/>
      <c r="N365" s="817"/>
      <c r="O365" s="817">
        <v>0.4622337962962963</v>
      </c>
      <c r="P365" s="817">
        <v>0.72304398148148152</v>
      </c>
      <c r="Q365" s="817"/>
      <c r="R365" s="816"/>
      <c r="S365" s="817"/>
      <c r="T365" s="817"/>
      <c r="U365" s="816" t="s">
        <v>9551</v>
      </c>
      <c r="V365" s="816" t="s">
        <v>9551</v>
      </c>
      <c r="W365" s="267"/>
      <c r="X365" s="816" t="s">
        <v>26</v>
      </c>
      <c r="Y365">
        <v>19.899999999999999</v>
      </c>
      <c r="Z365">
        <v>84.8</v>
      </c>
      <c r="AA365" s="816" t="s">
        <v>9568</v>
      </c>
      <c r="AB365" s="816" t="s">
        <v>9595</v>
      </c>
      <c r="AC365" s="816"/>
      <c r="AD365" s="816"/>
      <c r="AE365" s="816"/>
      <c r="AF365" s="816" t="s">
        <v>72</v>
      </c>
      <c r="AG365" s="816" t="s">
        <v>70</v>
      </c>
      <c r="AH365">
        <v>-1</v>
      </c>
      <c r="AI365" s="816"/>
      <c r="AK365" s="816"/>
      <c r="AM365" s="816"/>
    </row>
    <row r="366" spans="1:39" x14ac:dyDescent="0.25">
      <c r="A366" s="265">
        <v>43792</v>
      </c>
      <c r="B366">
        <v>6</v>
      </c>
      <c r="C366" s="816" t="s">
        <v>2</v>
      </c>
      <c r="D366">
        <v>533</v>
      </c>
      <c r="E366" s="816" t="s">
        <v>9533</v>
      </c>
      <c r="F366" s="816" t="s">
        <v>25</v>
      </c>
      <c r="G366" s="816" t="s">
        <v>9547</v>
      </c>
      <c r="H366">
        <v>12</v>
      </c>
      <c r="I366" s="816" t="s">
        <v>21</v>
      </c>
      <c r="J366" s="816" t="s">
        <v>21</v>
      </c>
      <c r="K366" s="817">
        <v>0.13484953703703703</v>
      </c>
      <c r="L366" s="817">
        <v>0.20151620370370371</v>
      </c>
      <c r="M366" s="817">
        <v>0.20138888888888887</v>
      </c>
      <c r="N366" s="817">
        <v>0.375</v>
      </c>
      <c r="O366" s="817">
        <v>0.46241898148148147</v>
      </c>
      <c r="P366" s="817">
        <v>0.72333333333333327</v>
      </c>
      <c r="Q366" s="817"/>
      <c r="R366" s="816"/>
      <c r="S366" s="817"/>
      <c r="T366" s="817"/>
      <c r="U366" s="816" t="s">
        <v>9551</v>
      </c>
      <c r="V366" s="816" t="s">
        <v>9551</v>
      </c>
      <c r="W366" s="267"/>
      <c r="X366" s="816" t="s">
        <v>26</v>
      </c>
      <c r="Y366">
        <v>32.299999999999997</v>
      </c>
      <c r="Z366">
        <v>93.5</v>
      </c>
      <c r="AA366" s="816" t="s">
        <v>9569</v>
      </c>
      <c r="AB366" s="816" t="s">
        <v>9596</v>
      </c>
      <c r="AC366" s="816"/>
      <c r="AD366" s="816"/>
      <c r="AE366" s="816"/>
      <c r="AF366" s="816"/>
      <c r="AG366" s="816"/>
      <c r="AI366" s="816"/>
      <c r="AK366" s="816"/>
      <c r="AM366" s="816"/>
    </row>
    <row r="367" spans="1:39" x14ac:dyDescent="0.25">
      <c r="A367" s="265">
        <v>43793</v>
      </c>
      <c r="B367">
        <v>0</v>
      </c>
      <c r="C367" s="816" t="s">
        <v>3</v>
      </c>
      <c r="D367">
        <v>533</v>
      </c>
      <c r="E367" s="816" t="s">
        <v>9533</v>
      </c>
      <c r="F367" s="816" t="s">
        <v>25</v>
      </c>
      <c r="G367" s="816" t="s">
        <v>9547</v>
      </c>
      <c r="H367">
        <v>13</v>
      </c>
      <c r="I367" s="816" t="s">
        <v>8</v>
      </c>
      <c r="J367" s="816" t="s">
        <v>8</v>
      </c>
      <c r="K367" s="817">
        <v>0.13495370370370371</v>
      </c>
      <c r="L367" s="817">
        <v>0.20162037037037037</v>
      </c>
      <c r="M367" s="817"/>
      <c r="N367" s="817"/>
      <c r="O367" s="817">
        <v>0.46261574074074074</v>
      </c>
      <c r="P367" s="817">
        <v>0.72362268518518524</v>
      </c>
      <c r="Q367" s="817"/>
      <c r="R367" s="816"/>
      <c r="S367" s="817"/>
      <c r="T367" s="817"/>
      <c r="U367" s="816" t="s">
        <v>9551</v>
      </c>
      <c r="V367" s="816" t="s">
        <v>9551</v>
      </c>
      <c r="W367" s="267"/>
      <c r="X367" s="816" t="s">
        <v>26</v>
      </c>
      <c r="Y367">
        <v>44.9</v>
      </c>
      <c r="Z367">
        <v>2.4</v>
      </c>
      <c r="AA367" s="816" t="s">
        <v>9571</v>
      </c>
      <c r="AB367" s="816" t="s">
        <v>9597</v>
      </c>
      <c r="AC367" s="816"/>
      <c r="AD367" s="816"/>
      <c r="AE367" s="816"/>
      <c r="AF367" s="816"/>
      <c r="AG367" s="816"/>
      <c r="AI367" s="816"/>
      <c r="AK367" s="816"/>
      <c r="AM367" s="816"/>
    </row>
    <row r="368" spans="1:39" x14ac:dyDescent="0.25">
      <c r="A368" s="265">
        <v>43794</v>
      </c>
      <c r="B368">
        <v>1</v>
      </c>
      <c r="C368" s="816" t="s">
        <v>4</v>
      </c>
      <c r="D368">
        <v>533</v>
      </c>
      <c r="E368" s="816" t="s">
        <v>9533</v>
      </c>
      <c r="F368" s="816" t="s">
        <v>25</v>
      </c>
      <c r="G368" s="816" t="s">
        <v>9547</v>
      </c>
      <c r="H368">
        <v>14</v>
      </c>
      <c r="I368" s="816" t="s">
        <v>9</v>
      </c>
      <c r="J368" s="816" t="s">
        <v>9</v>
      </c>
      <c r="K368" s="817">
        <v>0.13505787037037037</v>
      </c>
      <c r="L368" s="817">
        <v>0.20172453703703705</v>
      </c>
      <c r="M368" s="817"/>
      <c r="N368" s="817"/>
      <c r="O368" s="817">
        <v>0.46282407407407411</v>
      </c>
      <c r="P368" s="817">
        <v>0.72392361111111114</v>
      </c>
      <c r="Q368" s="817"/>
      <c r="R368" s="816"/>
      <c r="S368" s="817"/>
      <c r="T368" s="817"/>
      <c r="U368" s="816" t="s">
        <v>9551</v>
      </c>
      <c r="V368" s="816" t="s">
        <v>9551</v>
      </c>
      <c r="W368" s="267"/>
      <c r="X368" s="816" t="s">
        <v>26</v>
      </c>
      <c r="Y368">
        <v>56.7</v>
      </c>
      <c r="Z368">
        <v>10.6</v>
      </c>
      <c r="AA368" s="816" t="s">
        <v>9572</v>
      </c>
      <c r="AB368" s="816" t="s">
        <v>9598</v>
      </c>
      <c r="AC368" s="816"/>
      <c r="AD368" s="816"/>
      <c r="AE368" s="816"/>
      <c r="AF368" s="816"/>
      <c r="AG368" s="816"/>
      <c r="AI368" s="816"/>
      <c r="AK368" s="816"/>
      <c r="AM368" s="816"/>
    </row>
    <row r="369" spans="1:39" x14ac:dyDescent="0.25">
      <c r="A369" s="265">
        <v>43795</v>
      </c>
      <c r="B369">
        <v>2</v>
      </c>
      <c r="C369" s="816" t="s">
        <v>5</v>
      </c>
      <c r="D369">
        <v>533</v>
      </c>
      <c r="E369" s="816" t="s">
        <v>9533</v>
      </c>
      <c r="F369" s="816" t="s">
        <v>25</v>
      </c>
      <c r="G369" s="816" t="s">
        <v>9547</v>
      </c>
      <c r="H369">
        <v>15</v>
      </c>
      <c r="I369" s="816" t="s">
        <v>22</v>
      </c>
      <c r="J369" s="816" t="s">
        <v>22</v>
      </c>
      <c r="K369" s="817">
        <v>0.13518518518518519</v>
      </c>
      <c r="L369" s="817">
        <v>0.20185185185185184</v>
      </c>
      <c r="M369" s="817"/>
      <c r="N369" s="817"/>
      <c r="O369" s="817">
        <v>0.46303240740740742</v>
      </c>
      <c r="P369" s="817">
        <v>0.72422453703703704</v>
      </c>
      <c r="Q369" s="817"/>
      <c r="R369" s="816"/>
      <c r="S369" s="817"/>
      <c r="T369" s="817"/>
      <c r="U369" s="816" t="s">
        <v>9551</v>
      </c>
      <c r="V369" s="816" t="s">
        <v>9551</v>
      </c>
      <c r="W369" s="267"/>
      <c r="X369" s="816" t="s">
        <v>26</v>
      </c>
      <c r="Y369">
        <v>66.900000000000006</v>
      </c>
      <c r="Z369">
        <v>17.399999999999999</v>
      </c>
      <c r="AA369" s="816" t="s">
        <v>9573</v>
      </c>
      <c r="AB369" s="816" t="s">
        <v>9599</v>
      </c>
      <c r="AC369" s="816"/>
      <c r="AD369" s="816"/>
      <c r="AE369" s="816"/>
      <c r="AF369" s="816"/>
      <c r="AG369" s="816"/>
      <c r="AI369" s="816"/>
      <c r="AK369" s="816"/>
      <c r="AM369" s="816"/>
    </row>
    <row r="370" spans="1:39" x14ac:dyDescent="0.25">
      <c r="A370" s="265">
        <v>43796</v>
      </c>
      <c r="B370">
        <v>3</v>
      </c>
      <c r="C370" s="816" t="s">
        <v>6</v>
      </c>
      <c r="D370">
        <v>533</v>
      </c>
      <c r="E370" s="816" t="s">
        <v>9533</v>
      </c>
      <c r="F370" s="816" t="s">
        <v>24</v>
      </c>
      <c r="G370" s="816" t="s">
        <v>9546</v>
      </c>
      <c r="H370">
        <v>16</v>
      </c>
      <c r="I370" s="816" t="s">
        <v>11</v>
      </c>
      <c r="J370" s="816" t="s">
        <v>11</v>
      </c>
      <c r="K370" s="817">
        <v>0.1353125</v>
      </c>
      <c r="L370" s="817">
        <v>0.20197916666666668</v>
      </c>
      <c r="M370" s="817"/>
      <c r="N370" s="817"/>
      <c r="O370" s="817">
        <v>0.46326388888888892</v>
      </c>
      <c r="P370" s="817">
        <v>0.72453703703703709</v>
      </c>
      <c r="Q370" s="817"/>
      <c r="R370" s="816"/>
      <c r="S370" s="817"/>
      <c r="T370" s="817"/>
      <c r="U370" s="816" t="s">
        <v>9551</v>
      </c>
      <c r="V370" s="816" t="s">
        <v>9551</v>
      </c>
      <c r="W370" s="267"/>
      <c r="X370" s="816" t="s">
        <v>26</v>
      </c>
      <c r="Y370">
        <v>74.900000000000006</v>
      </c>
      <c r="Z370">
        <v>22.1</v>
      </c>
      <c r="AA370" s="816" t="s">
        <v>9574</v>
      </c>
      <c r="AB370" s="816" t="s">
        <v>9600</v>
      </c>
      <c r="AC370" s="816"/>
      <c r="AD370" s="816"/>
      <c r="AE370" s="816"/>
      <c r="AF370" s="816"/>
      <c r="AG370" s="816"/>
      <c r="AI370" s="816"/>
      <c r="AK370" s="816"/>
      <c r="AM370" s="816"/>
    </row>
    <row r="371" spans="1:39" x14ac:dyDescent="0.25">
      <c r="A371" s="265">
        <v>43797</v>
      </c>
      <c r="B371">
        <v>4</v>
      </c>
      <c r="C371" s="816" t="s">
        <v>7</v>
      </c>
      <c r="D371">
        <v>533</v>
      </c>
      <c r="E371" s="816" t="s">
        <v>9533</v>
      </c>
      <c r="F371" s="816" t="s">
        <v>24</v>
      </c>
      <c r="G371" s="816" t="s">
        <v>9546</v>
      </c>
      <c r="H371">
        <v>17</v>
      </c>
      <c r="I371" s="816" t="s">
        <v>12</v>
      </c>
      <c r="J371" s="816" t="s">
        <v>12</v>
      </c>
      <c r="K371" s="817">
        <v>0.13545138888888889</v>
      </c>
      <c r="L371" s="817">
        <v>0.20211805555555554</v>
      </c>
      <c r="M371" s="817"/>
      <c r="N371" s="817"/>
      <c r="O371" s="817">
        <v>0.46349537037037036</v>
      </c>
      <c r="P371" s="817">
        <v>0.72486111111111118</v>
      </c>
      <c r="Q371" s="817"/>
      <c r="R371" s="816"/>
      <c r="S371" s="817"/>
      <c r="T371" s="817"/>
      <c r="U371" s="816" t="s">
        <v>9551</v>
      </c>
      <c r="V371" s="816" t="s">
        <v>9551</v>
      </c>
      <c r="W371" s="267"/>
      <c r="X371" s="816" t="s">
        <v>26</v>
      </c>
      <c r="Y371">
        <v>79.900000000000006</v>
      </c>
      <c r="Z371">
        <v>24.3</v>
      </c>
      <c r="AA371" s="816" t="s">
        <v>9575</v>
      </c>
      <c r="AB371" s="816" t="s">
        <v>9601</v>
      </c>
      <c r="AC371" s="816"/>
      <c r="AD371" s="816"/>
      <c r="AE371" s="816"/>
      <c r="AF371" s="816"/>
      <c r="AG371" s="816"/>
      <c r="AI371" s="816"/>
      <c r="AK371" s="816"/>
      <c r="AM371" s="816"/>
    </row>
    <row r="372" spans="1:39" x14ac:dyDescent="0.25">
      <c r="A372" s="265">
        <v>43798</v>
      </c>
      <c r="B372">
        <v>5</v>
      </c>
      <c r="C372" s="816" t="s">
        <v>1</v>
      </c>
      <c r="D372">
        <v>533</v>
      </c>
      <c r="E372" s="816" t="s">
        <v>9533</v>
      </c>
      <c r="F372" s="816" t="s">
        <v>24</v>
      </c>
      <c r="G372" s="816" t="s">
        <v>9546</v>
      </c>
      <c r="H372">
        <v>18</v>
      </c>
      <c r="I372" s="816" t="s">
        <v>23</v>
      </c>
      <c r="J372" s="816" t="s">
        <v>23</v>
      </c>
      <c r="K372" s="817">
        <v>0.13561342592592593</v>
      </c>
      <c r="L372" s="817">
        <v>0.20228009259259258</v>
      </c>
      <c r="M372" s="817"/>
      <c r="N372" s="817"/>
      <c r="O372" s="817">
        <v>0.46372685185185186</v>
      </c>
      <c r="P372" s="817">
        <v>0.72518518518518515</v>
      </c>
      <c r="Q372" s="817"/>
      <c r="R372" s="816"/>
      <c r="S372" s="817"/>
      <c r="T372" s="817"/>
      <c r="U372" s="816" t="s">
        <v>9551</v>
      </c>
      <c r="V372" s="816" t="s">
        <v>9551</v>
      </c>
      <c r="W372" s="267"/>
      <c r="X372" s="816" t="s">
        <v>26</v>
      </c>
      <c r="Y372">
        <v>81.900000000000006</v>
      </c>
      <c r="Z372">
        <v>23.6</v>
      </c>
      <c r="AA372" s="816" t="s">
        <v>9576</v>
      </c>
      <c r="AB372" s="816" t="s">
        <v>9602</v>
      </c>
      <c r="AC372" s="816"/>
      <c r="AD372" s="816"/>
      <c r="AE372" s="816"/>
      <c r="AF372" s="816"/>
      <c r="AG372" s="816"/>
      <c r="AI372" s="816"/>
      <c r="AK372" s="816"/>
      <c r="AM372" s="816"/>
    </row>
    <row r="373" spans="1:39" x14ac:dyDescent="0.25">
      <c r="A373" s="265">
        <v>43799</v>
      </c>
      <c r="B373">
        <v>6</v>
      </c>
      <c r="C373" s="816" t="s">
        <v>2</v>
      </c>
      <c r="D373">
        <v>533</v>
      </c>
      <c r="E373" s="816" t="s">
        <v>9533</v>
      </c>
      <c r="F373" s="816" t="s">
        <v>24</v>
      </c>
      <c r="G373" s="816" t="s">
        <v>9546</v>
      </c>
      <c r="H373">
        <v>19</v>
      </c>
      <c r="I373" s="816" t="s">
        <v>13</v>
      </c>
      <c r="J373" s="816" t="s">
        <v>13</v>
      </c>
      <c r="K373" s="817">
        <v>0.13577546296296297</v>
      </c>
      <c r="L373" s="817">
        <v>0.20244212962962962</v>
      </c>
      <c r="M373" s="817"/>
      <c r="N373" s="817"/>
      <c r="O373" s="817">
        <v>0.46398148148148149</v>
      </c>
      <c r="P373" s="817">
        <v>0.72550925925925924</v>
      </c>
      <c r="Q373" s="817"/>
      <c r="R373" s="816"/>
      <c r="S373" s="817"/>
      <c r="T373" s="817"/>
      <c r="U373" s="816" t="s">
        <v>9551</v>
      </c>
      <c r="V373" s="816" t="s">
        <v>9551</v>
      </c>
      <c r="W373" s="267"/>
      <c r="X373" s="816" t="s">
        <v>26</v>
      </c>
      <c r="Y373">
        <v>80.7</v>
      </c>
      <c r="Z373">
        <v>20.2</v>
      </c>
      <c r="AA373" s="816" t="s">
        <v>9577</v>
      </c>
      <c r="AB373" s="816" t="s">
        <v>9603</v>
      </c>
      <c r="AC373" s="816"/>
      <c r="AD373" s="816"/>
      <c r="AE373" s="816"/>
      <c r="AF373" s="816"/>
      <c r="AG373" s="816"/>
      <c r="AI373" s="816"/>
      <c r="AK373" s="816"/>
      <c r="AM373" s="816"/>
    </row>
    <row r="374" spans="1:39" x14ac:dyDescent="0.25">
      <c r="A374" s="265">
        <v>43800</v>
      </c>
      <c r="B374">
        <v>0</v>
      </c>
      <c r="C374" s="816" t="s">
        <v>3</v>
      </c>
      <c r="D374">
        <v>533</v>
      </c>
      <c r="E374" s="816" t="s">
        <v>9533</v>
      </c>
      <c r="F374" s="816" t="s">
        <v>24</v>
      </c>
      <c r="G374" s="816" t="s">
        <v>9546</v>
      </c>
      <c r="H374">
        <v>20</v>
      </c>
      <c r="I374" s="816" t="s">
        <v>14</v>
      </c>
      <c r="J374" s="816" t="s">
        <v>14</v>
      </c>
      <c r="K374" s="817">
        <v>0.13596064814814815</v>
      </c>
      <c r="L374" s="817">
        <v>0.2026273148148148</v>
      </c>
      <c r="M374" s="817"/>
      <c r="N374" s="817"/>
      <c r="O374" s="817">
        <v>0.46422453703703703</v>
      </c>
      <c r="P374" s="817">
        <v>0.72583333333333344</v>
      </c>
      <c r="Q374" s="817"/>
      <c r="R374" s="816"/>
      <c r="S374" s="817"/>
      <c r="T374" s="817"/>
      <c r="U374" s="816" t="s">
        <v>9551</v>
      </c>
      <c r="V374" s="816" t="s">
        <v>9551</v>
      </c>
      <c r="W374" s="267"/>
      <c r="X374" s="816" t="s">
        <v>26</v>
      </c>
      <c r="Y374">
        <v>76.8</v>
      </c>
      <c r="Z374">
        <v>14.3</v>
      </c>
      <c r="AA374" s="816" t="s">
        <v>9552</v>
      </c>
      <c r="AB374" s="816" t="s">
        <v>9579</v>
      </c>
      <c r="AC374" s="816"/>
      <c r="AD374" s="816"/>
      <c r="AE374" s="816"/>
      <c r="AF374" s="816"/>
      <c r="AG374" s="816"/>
      <c r="AI374" s="816"/>
      <c r="AK374" s="816"/>
      <c r="AM374" s="816"/>
    </row>
    <row r="375" spans="1:39" x14ac:dyDescent="0.25">
      <c r="A375" s="265">
        <v>43801</v>
      </c>
      <c r="B375">
        <v>1</v>
      </c>
      <c r="C375" s="816" t="s">
        <v>4</v>
      </c>
      <c r="D375">
        <v>533</v>
      </c>
      <c r="E375" s="816" t="s">
        <v>9533</v>
      </c>
      <c r="F375" s="816" t="s">
        <v>24</v>
      </c>
      <c r="G375" s="816" t="s">
        <v>9546</v>
      </c>
      <c r="H375">
        <v>21</v>
      </c>
      <c r="I375" s="816" t="s">
        <v>15</v>
      </c>
      <c r="J375" s="816" t="s">
        <v>15</v>
      </c>
      <c r="K375" s="817">
        <v>0.13614583333333333</v>
      </c>
      <c r="L375" s="817">
        <v>0.20281249999999998</v>
      </c>
      <c r="M375" s="817"/>
      <c r="N375" s="817"/>
      <c r="O375" s="817">
        <v>0.46449074074074076</v>
      </c>
      <c r="P375" s="817">
        <v>0.72616898148148146</v>
      </c>
      <c r="Q375" s="817"/>
      <c r="R375" s="816"/>
      <c r="S375" s="817"/>
      <c r="T375" s="817"/>
      <c r="U375" s="816" t="s">
        <v>9551</v>
      </c>
      <c r="V375" s="816" t="s">
        <v>9551</v>
      </c>
      <c r="W375" s="267"/>
      <c r="X375" s="816" t="s">
        <v>26</v>
      </c>
      <c r="Y375">
        <v>70.5</v>
      </c>
      <c r="Z375">
        <v>6.2</v>
      </c>
      <c r="AA375" s="816" t="s">
        <v>9553</v>
      </c>
      <c r="AB375" s="816" t="s">
        <v>9580</v>
      </c>
      <c r="AC375" s="816"/>
      <c r="AD375" s="816"/>
      <c r="AE375" s="816"/>
      <c r="AF375" s="816"/>
      <c r="AG375" s="816"/>
      <c r="AI375" s="816"/>
      <c r="AK375" s="816"/>
      <c r="AM375" s="816"/>
    </row>
    <row r="376" spans="1:39" x14ac:dyDescent="0.25">
      <c r="A376" s="265">
        <v>43802</v>
      </c>
      <c r="B376">
        <v>2</v>
      </c>
      <c r="C376" s="816" t="s">
        <v>5</v>
      </c>
      <c r="D376">
        <v>533</v>
      </c>
      <c r="E376" s="816" t="s">
        <v>9533</v>
      </c>
      <c r="F376" s="816" t="s">
        <v>24</v>
      </c>
      <c r="G376" s="816" t="s">
        <v>9546</v>
      </c>
      <c r="H376">
        <v>22</v>
      </c>
      <c r="I376" s="816" t="s">
        <v>16</v>
      </c>
      <c r="J376" s="816" t="s">
        <v>16</v>
      </c>
      <c r="K376" s="817">
        <v>0.1363425925925926</v>
      </c>
      <c r="L376" s="817">
        <v>0.20300925925925925</v>
      </c>
      <c r="M376" s="817"/>
      <c r="N376" s="817"/>
      <c r="O376" s="817">
        <v>0.46475694444444443</v>
      </c>
      <c r="P376" s="817">
        <v>0.72651620370370373</v>
      </c>
      <c r="Q376" s="817"/>
      <c r="R376" s="816"/>
      <c r="S376" s="817"/>
      <c r="T376" s="817"/>
      <c r="U376" s="816" t="s">
        <v>9551</v>
      </c>
      <c r="V376" s="816" t="s">
        <v>9551</v>
      </c>
      <c r="W376" s="267"/>
      <c r="X376" s="816" t="s">
        <v>26</v>
      </c>
      <c r="Y376">
        <v>62.4</v>
      </c>
      <c r="Z376">
        <v>96.6</v>
      </c>
      <c r="AA376" s="816" t="s">
        <v>9553</v>
      </c>
      <c r="AB376" s="816" t="s">
        <v>9581</v>
      </c>
      <c r="AC376" s="816"/>
      <c r="AD376" s="816"/>
      <c r="AE376" s="816"/>
      <c r="AF376" s="816"/>
      <c r="AG376" s="816"/>
      <c r="AI376" s="816"/>
      <c r="AK376" s="816"/>
      <c r="AM376" s="816"/>
    </row>
    <row r="377" spans="1:39" x14ac:dyDescent="0.25">
      <c r="A377" s="265">
        <v>43803</v>
      </c>
      <c r="B377">
        <v>3</v>
      </c>
      <c r="C377" s="816" t="s">
        <v>6</v>
      </c>
      <c r="D377">
        <v>533</v>
      </c>
      <c r="E377" s="816" t="s">
        <v>9533</v>
      </c>
      <c r="F377" s="816" t="s">
        <v>24</v>
      </c>
      <c r="G377" s="816" t="s">
        <v>9546</v>
      </c>
      <c r="H377">
        <v>23</v>
      </c>
      <c r="I377" s="816" t="s">
        <v>17</v>
      </c>
      <c r="J377" s="816" t="s">
        <v>17</v>
      </c>
      <c r="K377" s="817">
        <v>0.13655092592592591</v>
      </c>
      <c r="L377" s="817">
        <v>0.20321759259259262</v>
      </c>
      <c r="M377" s="817"/>
      <c r="N377" s="817"/>
      <c r="O377" s="817">
        <v>0.4650347222222222</v>
      </c>
      <c r="P377" s="817">
        <v>0.72685185185185175</v>
      </c>
      <c r="Q377" s="817"/>
      <c r="R377" s="816"/>
      <c r="S377" s="817"/>
      <c r="T377" s="817"/>
      <c r="U377" s="816" t="s">
        <v>9551</v>
      </c>
      <c r="V377" s="816" t="s">
        <v>9551</v>
      </c>
      <c r="W377" s="267"/>
      <c r="X377" s="816" t="s">
        <v>26</v>
      </c>
      <c r="Y377">
        <v>53.3</v>
      </c>
      <c r="Z377">
        <v>85.9</v>
      </c>
      <c r="AA377" s="816" t="s">
        <v>9554</v>
      </c>
      <c r="AB377" s="816" t="s">
        <v>9582</v>
      </c>
      <c r="AC377" s="816"/>
      <c r="AD377" s="816"/>
      <c r="AE377" s="816"/>
      <c r="AF377" s="816"/>
      <c r="AG377" s="816"/>
      <c r="AI377" s="816"/>
      <c r="AK377" s="816"/>
      <c r="AM377" s="816"/>
    </row>
    <row r="378" spans="1:39" x14ac:dyDescent="0.25">
      <c r="A378" s="265">
        <v>43804</v>
      </c>
      <c r="B378">
        <v>4</v>
      </c>
      <c r="C378" s="816" t="s">
        <v>7</v>
      </c>
      <c r="D378">
        <v>533</v>
      </c>
      <c r="E378" s="816" t="s">
        <v>9533</v>
      </c>
      <c r="F378" s="816" t="s">
        <v>24</v>
      </c>
      <c r="G378" s="816" t="s">
        <v>9546</v>
      </c>
      <c r="H378">
        <v>24</v>
      </c>
      <c r="I378" s="816" t="s">
        <v>18</v>
      </c>
      <c r="J378" s="816" t="s">
        <v>18</v>
      </c>
      <c r="K378" s="817">
        <v>0.13677083333333331</v>
      </c>
      <c r="L378" s="817">
        <v>0.20343750000000002</v>
      </c>
      <c r="M378" s="817"/>
      <c r="N378" s="817"/>
      <c r="O378" s="817">
        <v>0.46532407407407406</v>
      </c>
      <c r="P378" s="817">
        <v>0.72719907407407414</v>
      </c>
      <c r="Q378" s="817"/>
      <c r="R378" s="816"/>
      <c r="S378" s="817"/>
      <c r="T378" s="817"/>
      <c r="U378" s="816" t="s">
        <v>9551</v>
      </c>
      <c r="V378" s="816" t="s">
        <v>9551</v>
      </c>
      <c r="W378" s="267"/>
      <c r="X378" s="816" t="s">
        <v>26</v>
      </c>
      <c r="Y378">
        <v>43.7</v>
      </c>
      <c r="Z378">
        <v>74.900000000000006</v>
      </c>
      <c r="AA378" s="816" t="s">
        <v>9555</v>
      </c>
      <c r="AB378" s="816" t="s">
        <v>9583</v>
      </c>
      <c r="AC378" s="816"/>
      <c r="AD378" s="816"/>
      <c r="AE378" s="816"/>
      <c r="AF378" s="816"/>
      <c r="AG378" s="816"/>
      <c r="AI378" s="816"/>
      <c r="AK378" s="816"/>
      <c r="AM378" s="816"/>
    </row>
    <row r="379" spans="1:39" x14ac:dyDescent="0.25">
      <c r="A379" s="265">
        <v>43805</v>
      </c>
      <c r="B379">
        <v>5</v>
      </c>
      <c r="C379" s="816" t="s">
        <v>1</v>
      </c>
      <c r="D379">
        <v>533</v>
      </c>
      <c r="E379" s="816" t="s">
        <v>9533</v>
      </c>
      <c r="F379" s="816" t="s">
        <v>24</v>
      </c>
      <c r="G379" s="816" t="s">
        <v>9546</v>
      </c>
      <c r="H379">
        <v>25</v>
      </c>
      <c r="I379" s="816" t="s">
        <v>19</v>
      </c>
      <c r="J379" s="816" t="s">
        <v>19</v>
      </c>
      <c r="K379" s="817">
        <v>0.13700231481481481</v>
      </c>
      <c r="L379" s="817">
        <v>0.20366898148148149</v>
      </c>
      <c r="M379" s="817"/>
      <c r="N379" s="817"/>
      <c r="O379" s="817">
        <v>0.46561342592592592</v>
      </c>
      <c r="P379" s="817">
        <v>0.72755787037037034</v>
      </c>
      <c r="Q379" s="817"/>
      <c r="R379" s="816"/>
      <c r="S379" s="817"/>
      <c r="T379" s="817"/>
      <c r="U379" s="816" t="s">
        <v>9551</v>
      </c>
      <c r="V379" s="816" t="s">
        <v>9551</v>
      </c>
      <c r="W379" s="267"/>
      <c r="X379" s="816" t="s">
        <v>26</v>
      </c>
      <c r="Y379">
        <v>34.4</v>
      </c>
      <c r="Z379">
        <v>64.2</v>
      </c>
      <c r="AA379" s="816" t="s">
        <v>9556</v>
      </c>
      <c r="AB379" s="816" t="s">
        <v>9584</v>
      </c>
      <c r="AC379" s="816"/>
      <c r="AD379" s="816"/>
      <c r="AE379" s="816"/>
      <c r="AF379" s="816"/>
      <c r="AG379" s="816"/>
      <c r="AI379" s="816"/>
      <c r="AK379" s="816"/>
      <c r="AM379" s="816"/>
    </row>
    <row r="380" spans="1:39" x14ac:dyDescent="0.25">
      <c r="A380" s="265">
        <v>43806</v>
      </c>
      <c r="B380">
        <v>6</v>
      </c>
      <c r="C380" s="816" t="s">
        <v>2</v>
      </c>
      <c r="D380">
        <v>533</v>
      </c>
      <c r="E380" s="816" t="s">
        <v>9533</v>
      </c>
      <c r="F380" s="816" t="s">
        <v>24</v>
      </c>
      <c r="G380" s="816" t="s">
        <v>9546</v>
      </c>
      <c r="H380">
        <v>26</v>
      </c>
      <c r="I380" s="816" t="s">
        <v>9548</v>
      </c>
      <c r="J380" s="816" t="s">
        <v>20</v>
      </c>
      <c r="K380" s="817">
        <v>0.13723379629629631</v>
      </c>
      <c r="L380" s="817">
        <v>0.20390046296296296</v>
      </c>
      <c r="M380" s="817"/>
      <c r="N380" s="817"/>
      <c r="O380" s="817">
        <v>0.46590277777777778</v>
      </c>
      <c r="P380" s="817">
        <v>0.72790509259259262</v>
      </c>
      <c r="Q380" s="817"/>
      <c r="R380" s="816"/>
      <c r="S380" s="817"/>
      <c r="T380" s="817"/>
      <c r="U380" s="816" t="s">
        <v>9551</v>
      </c>
      <c r="V380" s="816" t="s">
        <v>9551</v>
      </c>
      <c r="W380" s="267"/>
      <c r="X380" s="816" t="s">
        <v>26</v>
      </c>
      <c r="Y380">
        <v>26</v>
      </c>
      <c r="Z380">
        <v>54.2</v>
      </c>
      <c r="AA380" s="816" t="s">
        <v>9557</v>
      </c>
      <c r="AB380" s="816" t="s">
        <v>9585</v>
      </c>
      <c r="AC380" s="816"/>
      <c r="AD380" s="816"/>
      <c r="AE380" s="816"/>
      <c r="AF380" s="816" t="s">
        <v>72</v>
      </c>
      <c r="AG380" s="816" t="s">
        <v>71</v>
      </c>
      <c r="AH380">
        <v>-1</v>
      </c>
      <c r="AI380" s="816"/>
      <c r="AK380" s="816"/>
      <c r="AM380" s="816"/>
    </row>
    <row r="381" spans="1:39" x14ac:dyDescent="0.25">
      <c r="A381" s="265">
        <v>43807</v>
      </c>
      <c r="B381">
        <v>0</v>
      </c>
      <c r="C381" s="816" t="s">
        <v>3</v>
      </c>
      <c r="D381">
        <v>533</v>
      </c>
      <c r="E381" s="816" t="s">
        <v>9533</v>
      </c>
      <c r="F381" s="816" t="s">
        <v>24</v>
      </c>
      <c r="G381" s="816" t="s">
        <v>9546</v>
      </c>
      <c r="H381">
        <v>27</v>
      </c>
      <c r="I381" s="816" t="s">
        <v>21</v>
      </c>
      <c r="J381" s="816" t="s">
        <v>21</v>
      </c>
      <c r="K381" s="817">
        <v>0.13747685185185185</v>
      </c>
      <c r="L381" s="817">
        <v>0.20414351851851853</v>
      </c>
      <c r="M381" s="817">
        <v>0.26597222222222222</v>
      </c>
      <c r="N381" s="817">
        <v>0.37847222222222227</v>
      </c>
      <c r="O381" s="817">
        <v>0.46620370370370368</v>
      </c>
      <c r="P381" s="817">
        <v>0.72826388888888882</v>
      </c>
      <c r="Q381" s="817"/>
      <c r="R381" s="816"/>
      <c r="S381" s="817"/>
      <c r="T381" s="817"/>
      <c r="U381" s="816" t="s">
        <v>9551</v>
      </c>
      <c r="V381" s="816" t="s">
        <v>9551</v>
      </c>
      <c r="W381" s="267"/>
      <c r="X381" s="816" t="s">
        <v>26</v>
      </c>
      <c r="Y381">
        <v>19</v>
      </c>
      <c r="Z381">
        <v>45.5</v>
      </c>
      <c r="AA381" s="816" t="s">
        <v>9558</v>
      </c>
      <c r="AB381" s="816" t="s">
        <v>9586</v>
      </c>
      <c r="AC381" s="816"/>
      <c r="AD381" s="816"/>
      <c r="AE381" s="816"/>
      <c r="AF381" s="816"/>
      <c r="AG381" s="816"/>
      <c r="AI381" s="816"/>
      <c r="AK381" s="816"/>
      <c r="AM381" s="816"/>
    </row>
    <row r="382" spans="1:39" x14ac:dyDescent="0.25">
      <c r="A382" s="265">
        <v>43808</v>
      </c>
      <c r="B382">
        <v>1</v>
      </c>
      <c r="C382" s="816" t="s">
        <v>4</v>
      </c>
      <c r="D382">
        <v>533</v>
      </c>
      <c r="E382" s="816" t="s">
        <v>9533</v>
      </c>
      <c r="F382" s="816" t="s">
        <v>24</v>
      </c>
      <c r="G382" s="816" t="s">
        <v>9546</v>
      </c>
      <c r="H382">
        <v>28</v>
      </c>
      <c r="I382" s="816" t="s">
        <v>8</v>
      </c>
      <c r="J382" s="816" t="s">
        <v>8</v>
      </c>
      <c r="K382" s="817">
        <v>0.13774305555555555</v>
      </c>
      <c r="L382" s="817">
        <v>0.20440972222222223</v>
      </c>
      <c r="M382" s="817"/>
      <c r="N382" s="817"/>
      <c r="O382" s="817">
        <v>0.46651620370370367</v>
      </c>
      <c r="P382" s="817">
        <v>0.72861111111111121</v>
      </c>
      <c r="Q382" s="817"/>
      <c r="R382" s="816"/>
      <c r="S382" s="817"/>
      <c r="T382" s="817"/>
      <c r="U382" s="816" t="s">
        <v>9551</v>
      </c>
      <c r="V382" s="816" t="s">
        <v>9551</v>
      </c>
      <c r="W382" s="267"/>
      <c r="X382" s="816" t="s">
        <v>26</v>
      </c>
      <c r="Y382">
        <v>13.8</v>
      </c>
      <c r="Z382">
        <v>38.5</v>
      </c>
      <c r="AA382" s="816" t="s">
        <v>9578</v>
      </c>
      <c r="AB382" s="816" t="s">
        <v>9604</v>
      </c>
      <c r="AC382" s="816"/>
      <c r="AD382" s="816"/>
      <c r="AE382" s="816"/>
      <c r="AF382" s="816"/>
      <c r="AG382" s="816"/>
      <c r="AI382" s="816"/>
      <c r="AK382" s="816"/>
      <c r="AM382" s="816"/>
    </row>
    <row r="383" spans="1:39" x14ac:dyDescent="0.25">
      <c r="A383" s="265">
        <v>43809</v>
      </c>
      <c r="B383">
        <v>2</v>
      </c>
      <c r="C383" s="816" t="s">
        <v>5</v>
      </c>
      <c r="D383">
        <v>533</v>
      </c>
      <c r="E383" s="816" t="s">
        <v>9533</v>
      </c>
      <c r="F383" s="816" t="s">
        <v>24</v>
      </c>
      <c r="G383" s="816" t="s">
        <v>9546</v>
      </c>
      <c r="H383">
        <v>29</v>
      </c>
      <c r="I383" s="816" t="s">
        <v>9</v>
      </c>
      <c r="J383" s="816" t="s">
        <v>9</v>
      </c>
      <c r="K383" s="817">
        <v>0.13799768518518518</v>
      </c>
      <c r="L383" s="817">
        <v>0.20466435185185183</v>
      </c>
      <c r="M383" s="817"/>
      <c r="N383" s="817"/>
      <c r="O383" s="817">
        <v>0.46681712962962968</v>
      </c>
      <c r="P383" s="817">
        <v>0.7289699074074073</v>
      </c>
      <c r="Q383" s="817"/>
      <c r="R383" s="816"/>
      <c r="S383" s="817"/>
      <c r="T383" s="817"/>
      <c r="U383" s="816" t="s">
        <v>9551</v>
      </c>
      <c r="V383" s="816" t="s">
        <v>9551</v>
      </c>
      <c r="W383" s="267"/>
      <c r="X383" s="816" t="s">
        <v>26</v>
      </c>
      <c r="Y383">
        <v>10.8</v>
      </c>
      <c r="Z383">
        <v>33.4</v>
      </c>
      <c r="AA383" s="816" t="s">
        <v>9559</v>
      </c>
      <c r="AB383" s="816" t="s">
        <v>9587</v>
      </c>
      <c r="AC383" s="816"/>
      <c r="AD383" s="816"/>
      <c r="AE383" s="816"/>
      <c r="AF383" s="816"/>
      <c r="AG383" s="816"/>
      <c r="AI383" s="816"/>
      <c r="AK383" s="816"/>
      <c r="AM383" s="816"/>
    </row>
    <row r="384" spans="1:39" x14ac:dyDescent="0.25">
      <c r="A384" s="265">
        <v>43810</v>
      </c>
      <c r="B384">
        <v>3</v>
      </c>
      <c r="C384" s="816" t="s">
        <v>6</v>
      </c>
      <c r="D384">
        <v>533</v>
      </c>
      <c r="E384" s="816" t="s">
        <v>9533</v>
      </c>
      <c r="F384" s="816" t="s">
        <v>24</v>
      </c>
      <c r="G384" s="816" t="s">
        <v>9546</v>
      </c>
      <c r="H384">
        <v>30</v>
      </c>
      <c r="I384" s="816" t="s">
        <v>10</v>
      </c>
      <c r="J384" s="816" t="s">
        <v>10</v>
      </c>
      <c r="K384" s="817">
        <v>0.13827546296296298</v>
      </c>
      <c r="L384" s="817">
        <v>0.20494212962962963</v>
      </c>
      <c r="M384" s="817"/>
      <c r="N384" s="817"/>
      <c r="O384" s="817">
        <v>0.46714120370370371</v>
      </c>
      <c r="P384" s="817">
        <v>0.72932870370370362</v>
      </c>
      <c r="Q384" s="817"/>
      <c r="R384" s="816"/>
      <c r="S384" s="817"/>
      <c r="T384" s="817"/>
      <c r="U384" s="816" t="s">
        <v>9551</v>
      </c>
      <c r="V384" s="816" t="s">
        <v>9551</v>
      </c>
      <c r="W384" s="267"/>
      <c r="X384" s="816" t="s">
        <v>26</v>
      </c>
      <c r="Y384">
        <v>10</v>
      </c>
      <c r="Z384">
        <v>30.3</v>
      </c>
      <c r="AA384" s="816" t="s">
        <v>9560</v>
      </c>
      <c r="AB384" s="816" t="s">
        <v>9588</v>
      </c>
      <c r="AC384" s="816"/>
      <c r="AD384" s="816"/>
      <c r="AE384" s="816"/>
      <c r="AF384" s="816"/>
      <c r="AG384" s="816"/>
      <c r="AI384" s="816"/>
      <c r="AK384" s="816"/>
      <c r="AM384" s="816"/>
    </row>
    <row r="385" spans="1:39" x14ac:dyDescent="0.25">
      <c r="A385" s="265">
        <v>43811</v>
      </c>
      <c r="B385">
        <v>4</v>
      </c>
      <c r="C385" s="816" t="s">
        <v>7</v>
      </c>
      <c r="D385">
        <v>533</v>
      </c>
      <c r="E385" s="816" t="s">
        <v>9534</v>
      </c>
      <c r="F385" s="816" t="s">
        <v>25</v>
      </c>
      <c r="G385" s="816" t="s">
        <v>9547</v>
      </c>
      <c r="H385">
        <v>1</v>
      </c>
      <c r="I385" s="816" t="s">
        <v>11</v>
      </c>
      <c r="J385" s="816" t="s">
        <v>11</v>
      </c>
      <c r="K385" s="817">
        <v>0.13855324074074074</v>
      </c>
      <c r="L385" s="817">
        <v>0.20521990740740739</v>
      </c>
      <c r="M385" s="817"/>
      <c r="N385" s="817"/>
      <c r="O385" s="817">
        <v>0.4674537037037037</v>
      </c>
      <c r="P385" s="817">
        <v>0.72968749999999993</v>
      </c>
      <c r="Q385" s="817"/>
      <c r="R385" s="816"/>
      <c r="S385" s="817"/>
      <c r="T385" s="817"/>
      <c r="U385" s="816" t="s">
        <v>9551</v>
      </c>
      <c r="V385" s="816" t="s">
        <v>9551</v>
      </c>
      <c r="W385" s="267"/>
      <c r="X385" s="816" t="s">
        <v>26</v>
      </c>
      <c r="Y385">
        <v>11.4</v>
      </c>
      <c r="Z385">
        <v>29.2</v>
      </c>
      <c r="AA385" s="816" t="s">
        <v>9561</v>
      </c>
      <c r="AB385" s="816" t="s">
        <v>9589</v>
      </c>
      <c r="AC385" s="816"/>
      <c r="AD385" s="816"/>
      <c r="AE385" s="816"/>
      <c r="AF385" s="816"/>
      <c r="AG385" s="816"/>
      <c r="AI385" s="816"/>
      <c r="AK385" s="816"/>
      <c r="AM385" s="816"/>
    </row>
    <row r="386" spans="1:39" x14ac:dyDescent="0.25">
      <c r="A386" s="265">
        <v>43812</v>
      </c>
      <c r="B386">
        <v>5</v>
      </c>
      <c r="C386" s="816" t="s">
        <v>1</v>
      </c>
      <c r="D386">
        <v>533</v>
      </c>
      <c r="E386" s="816" t="s">
        <v>9534</v>
      </c>
      <c r="F386" s="816" t="s">
        <v>25</v>
      </c>
      <c r="G386" s="816" t="s">
        <v>9547</v>
      </c>
      <c r="H386">
        <v>2</v>
      </c>
      <c r="I386" s="816" t="s">
        <v>12</v>
      </c>
      <c r="J386" s="816" t="s">
        <v>12</v>
      </c>
      <c r="K386" s="817">
        <v>0.1388425925925926</v>
      </c>
      <c r="L386" s="817">
        <v>0.20550925925925925</v>
      </c>
      <c r="M386" s="817"/>
      <c r="N386" s="817"/>
      <c r="O386" s="817">
        <v>0.46777777777777779</v>
      </c>
      <c r="P386" s="817">
        <v>0.7300578703703704</v>
      </c>
      <c r="Q386" s="817"/>
      <c r="R386" s="816"/>
      <c r="S386" s="817"/>
      <c r="T386" s="817"/>
      <c r="U386" s="816" t="s">
        <v>9551</v>
      </c>
      <c r="V386" s="816" t="s">
        <v>9551</v>
      </c>
      <c r="W386" s="267"/>
      <c r="X386" s="816" t="s">
        <v>26</v>
      </c>
      <c r="Y386">
        <v>15</v>
      </c>
      <c r="Z386">
        <v>30</v>
      </c>
      <c r="AA386" s="816" t="s">
        <v>9562</v>
      </c>
      <c r="AB386" s="816" t="s">
        <v>9591</v>
      </c>
      <c r="AC386" s="816"/>
      <c r="AD386" s="816"/>
      <c r="AE386" s="816"/>
      <c r="AF386" s="816"/>
      <c r="AG386" s="816"/>
      <c r="AI386" s="816"/>
      <c r="AK386" s="816"/>
      <c r="AM386" s="816"/>
    </row>
    <row r="387" spans="1:39" x14ac:dyDescent="0.25">
      <c r="A387" s="265">
        <v>43813</v>
      </c>
      <c r="B387">
        <v>6</v>
      </c>
      <c r="C387" s="816" t="s">
        <v>2</v>
      </c>
      <c r="D387">
        <v>533</v>
      </c>
      <c r="E387" s="816" t="s">
        <v>9534</v>
      </c>
      <c r="F387" s="816" t="s">
        <v>25</v>
      </c>
      <c r="G387" s="816" t="s">
        <v>9547</v>
      </c>
      <c r="H387">
        <v>3</v>
      </c>
      <c r="I387" s="816" t="s">
        <v>23</v>
      </c>
      <c r="J387" s="816" t="s">
        <v>23</v>
      </c>
      <c r="K387" s="817">
        <v>0.1391435185185185</v>
      </c>
      <c r="L387" s="817">
        <v>0.20581018518518521</v>
      </c>
      <c r="M387" s="817"/>
      <c r="N387" s="817"/>
      <c r="O387" s="817">
        <v>0.46811342592592592</v>
      </c>
      <c r="P387" s="817">
        <v>0.73041666666666671</v>
      </c>
      <c r="Q387" s="817"/>
      <c r="R387" s="816"/>
      <c r="S387" s="817"/>
      <c r="T387" s="817"/>
      <c r="U387" s="816" t="s">
        <v>9551</v>
      </c>
      <c r="V387" s="816" t="s">
        <v>9551</v>
      </c>
      <c r="W387" s="267"/>
      <c r="X387" s="816" t="s">
        <v>26</v>
      </c>
      <c r="Y387">
        <v>20.399999999999999</v>
      </c>
      <c r="Z387">
        <v>32.5</v>
      </c>
      <c r="AA387" s="816" t="s">
        <v>9563</v>
      </c>
      <c r="AB387" s="816" t="s">
        <v>9605</v>
      </c>
      <c r="AC387" s="816"/>
      <c r="AD387" s="816"/>
      <c r="AE387" s="816"/>
      <c r="AF387" s="816"/>
      <c r="AG387" s="816"/>
      <c r="AI387" s="816"/>
      <c r="AK387" s="816"/>
      <c r="AM387" s="816"/>
    </row>
    <row r="388" spans="1:39" x14ac:dyDescent="0.25">
      <c r="A388" s="265">
        <v>43814</v>
      </c>
      <c r="B388">
        <v>0</v>
      </c>
      <c r="C388" s="816" t="s">
        <v>3</v>
      </c>
      <c r="D388">
        <v>533</v>
      </c>
      <c r="E388" s="816" t="s">
        <v>9534</v>
      </c>
      <c r="F388" s="816" t="s">
        <v>25</v>
      </c>
      <c r="G388" s="816" t="s">
        <v>9547</v>
      </c>
      <c r="H388">
        <v>4</v>
      </c>
      <c r="I388" s="816" t="s">
        <v>13</v>
      </c>
      <c r="J388" s="816" t="s">
        <v>13</v>
      </c>
      <c r="K388" s="817">
        <v>0.13944444444444445</v>
      </c>
      <c r="L388" s="817">
        <v>0.20611111111111111</v>
      </c>
      <c r="M388" s="817"/>
      <c r="N388" s="817"/>
      <c r="O388" s="817">
        <v>0.46843750000000001</v>
      </c>
      <c r="P388" s="817">
        <v>0.73077546296296303</v>
      </c>
      <c r="Q388" s="817"/>
      <c r="R388" s="816"/>
      <c r="S388" s="817"/>
      <c r="T388" s="817"/>
      <c r="U388" s="816" t="s">
        <v>9551</v>
      </c>
      <c r="V388" s="816" t="s">
        <v>9551</v>
      </c>
      <c r="W388" s="267"/>
      <c r="X388" s="816" t="s">
        <v>26</v>
      </c>
      <c r="Y388">
        <v>27.3</v>
      </c>
      <c r="Z388">
        <v>36.4</v>
      </c>
      <c r="AA388" s="816" t="s">
        <v>9564</v>
      </c>
      <c r="AB388" s="816" t="s">
        <v>9592</v>
      </c>
      <c r="AC388" s="816"/>
      <c r="AD388" s="816"/>
      <c r="AE388" s="816"/>
      <c r="AF388" s="816"/>
      <c r="AG388" s="816"/>
      <c r="AI388" s="816"/>
      <c r="AK388" s="816"/>
      <c r="AM388" s="816"/>
    </row>
    <row r="389" spans="1:39" x14ac:dyDescent="0.25">
      <c r="A389" s="265">
        <v>43815</v>
      </c>
      <c r="B389">
        <v>1</v>
      </c>
      <c r="C389" s="816" t="s">
        <v>4</v>
      </c>
      <c r="D389">
        <v>533</v>
      </c>
      <c r="E389" s="816" t="s">
        <v>9534</v>
      </c>
      <c r="F389" s="816" t="s">
        <v>25</v>
      </c>
      <c r="G389" s="816" t="s">
        <v>9547</v>
      </c>
      <c r="H389">
        <v>5</v>
      </c>
      <c r="I389" s="816" t="s">
        <v>14</v>
      </c>
      <c r="J389" s="816" t="s">
        <v>14</v>
      </c>
      <c r="K389" s="817">
        <v>0.13975694444444445</v>
      </c>
      <c r="L389" s="817">
        <v>0.2064236111111111</v>
      </c>
      <c r="M389" s="817"/>
      <c r="N389" s="817"/>
      <c r="O389" s="817">
        <v>0.46877314814814813</v>
      </c>
      <c r="P389" s="817">
        <v>0.73113425925925923</v>
      </c>
      <c r="Q389" s="817">
        <v>0.28070601851851851</v>
      </c>
      <c r="R389" s="816" t="s">
        <v>73</v>
      </c>
      <c r="S389" s="817"/>
      <c r="T389" s="817"/>
      <c r="U389" s="816" t="s">
        <v>9551</v>
      </c>
      <c r="V389" s="816" t="s">
        <v>9551</v>
      </c>
      <c r="W389" s="267"/>
      <c r="X389" s="816" t="s">
        <v>26</v>
      </c>
      <c r="Y389">
        <v>35.4</v>
      </c>
      <c r="Z389">
        <v>41.3</v>
      </c>
      <c r="AA389" s="816" t="s">
        <v>9565</v>
      </c>
      <c r="AB389" s="816" t="s">
        <v>9593</v>
      </c>
      <c r="AC389" s="816"/>
      <c r="AD389" s="816"/>
      <c r="AE389" s="816"/>
      <c r="AF389" s="816"/>
      <c r="AG389" s="816"/>
      <c r="AI389" s="816"/>
      <c r="AK389" s="816"/>
      <c r="AM389" s="816"/>
    </row>
    <row r="390" spans="1:39" x14ac:dyDescent="0.25">
      <c r="A390" s="265">
        <v>43816</v>
      </c>
      <c r="B390">
        <v>2</v>
      </c>
      <c r="C390" s="816" t="s">
        <v>5</v>
      </c>
      <c r="D390">
        <v>533</v>
      </c>
      <c r="E390" s="816" t="s">
        <v>9534</v>
      </c>
      <c r="F390" s="816" t="s">
        <v>25</v>
      </c>
      <c r="G390" s="816" t="s">
        <v>9547</v>
      </c>
      <c r="H390">
        <v>6</v>
      </c>
      <c r="I390" s="816" t="s">
        <v>15</v>
      </c>
      <c r="J390" s="816" t="s">
        <v>15</v>
      </c>
      <c r="K390" s="817">
        <v>0.14008101851851851</v>
      </c>
      <c r="L390" s="817">
        <v>0.20674768518518519</v>
      </c>
      <c r="M390" s="817"/>
      <c r="N390" s="817"/>
      <c r="O390" s="817">
        <v>0.46912037037037035</v>
      </c>
      <c r="P390" s="817">
        <v>0.73149305555555555</v>
      </c>
      <c r="Q390" s="817"/>
      <c r="R390" s="816"/>
      <c r="S390" s="817"/>
      <c r="T390" s="817"/>
      <c r="U390" s="816" t="s">
        <v>9551</v>
      </c>
      <c r="V390" s="816" t="s">
        <v>9551</v>
      </c>
      <c r="W390" s="267"/>
      <c r="X390" s="816" t="s">
        <v>26</v>
      </c>
      <c r="Y390">
        <v>44.4</v>
      </c>
      <c r="Z390">
        <v>47</v>
      </c>
      <c r="AA390" s="816" t="s">
        <v>9566</v>
      </c>
      <c r="AB390" s="816" t="s">
        <v>9594</v>
      </c>
      <c r="AC390" s="816"/>
      <c r="AD390" s="816"/>
      <c r="AE390" s="816"/>
      <c r="AF390" s="816"/>
      <c r="AG390" s="816"/>
      <c r="AI390" s="816"/>
      <c r="AK390" s="816"/>
      <c r="AM390" s="816"/>
    </row>
    <row r="391" spans="1:39" x14ac:dyDescent="0.25">
      <c r="A391" s="265">
        <v>43817</v>
      </c>
      <c r="B391">
        <v>3</v>
      </c>
      <c r="C391" s="816" t="s">
        <v>6</v>
      </c>
      <c r="D391">
        <v>533</v>
      </c>
      <c r="E391" s="816" t="s">
        <v>9534</v>
      </c>
      <c r="F391" s="816" t="s">
        <v>25</v>
      </c>
      <c r="G391" s="816" t="s">
        <v>9547</v>
      </c>
      <c r="H391">
        <v>7</v>
      </c>
      <c r="I391" s="816" t="s">
        <v>16</v>
      </c>
      <c r="J391" s="816" t="s">
        <v>16</v>
      </c>
      <c r="K391" s="817">
        <v>0.1404050925925926</v>
      </c>
      <c r="L391" s="817">
        <v>0.20707175925925925</v>
      </c>
      <c r="M391" s="817"/>
      <c r="N391" s="817"/>
      <c r="O391" s="817">
        <v>0.46945601851851854</v>
      </c>
      <c r="P391" s="817">
        <v>0.73184027777777771</v>
      </c>
      <c r="Q391" s="817"/>
      <c r="R391" s="816"/>
      <c r="S391" s="817"/>
      <c r="T391" s="817"/>
      <c r="U391" s="816" t="s">
        <v>9551</v>
      </c>
      <c r="V391" s="816" t="s">
        <v>9551</v>
      </c>
      <c r="W391" s="267"/>
      <c r="X391" s="816" t="s">
        <v>26</v>
      </c>
      <c r="Y391">
        <v>53.9</v>
      </c>
      <c r="Z391">
        <v>53.2</v>
      </c>
      <c r="AA391" s="816" t="s">
        <v>9567</v>
      </c>
      <c r="AB391" s="816" t="s">
        <v>9595</v>
      </c>
      <c r="AC391" s="816"/>
      <c r="AD391" s="816"/>
      <c r="AE391" s="816"/>
      <c r="AF391" s="816"/>
      <c r="AG391" s="816"/>
      <c r="AI391" s="816"/>
      <c r="AK391" s="816"/>
      <c r="AM391" s="816"/>
    </row>
    <row r="392" spans="1:39" x14ac:dyDescent="0.25">
      <c r="A392" s="265">
        <v>43818</v>
      </c>
      <c r="B392">
        <v>4</v>
      </c>
      <c r="C392" s="816" t="s">
        <v>7</v>
      </c>
      <c r="D392">
        <v>533</v>
      </c>
      <c r="E392" s="816" t="s">
        <v>9534</v>
      </c>
      <c r="F392" s="816" t="s">
        <v>25</v>
      </c>
      <c r="G392" s="816" t="s">
        <v>9547</v>
      </c>
      <c r="H392">
        <v>8</v>
      </c>
      <c r="I392" s="816" t="s">
        <v>17</v>
      </c>
      <c r="J392" s="816" t="s">
        <v>17</v>
      </c>
      <c r="K392" s="817">
        <v>0.14072916666666666</v>
      </c>
      <c r="L392" s="817">
        <v>0.20739583333333333</v>
      </c>
      <c r="M392" s="817"/>
      <c r="N392" s="817"/>
      <c r="O392" s="817">
        <v>0.46979166666666666</v>
      </c>
      <c r="P392" s="817">
        <v>0.73219907407407403</v>
      </c>
      <c r="Q392" s="817"/>
      <c r="R392" s="816"/>
      <c r="S392" s="817"/>
      <c r="T392" s="817"/>
      <c r="U392" s="816" t="s">
        <v>9551</v>
      </c>
      <c r="V392" s="816" t="s">
        <v>9551</v>
      </c>
      <c r="W392" s="267"/>
      <c r="X392" s="816" t="s">
        <v>26</v>
      </c>
      <c r="Y392">
        <v>63.7</v>
      </c>
      <c r="Z392">
        <v>59.6</v>
      </c>
      <c r="AA392" s="816" t="s">
        <v>9568</v>
      </c>
      <c r="AB392" s="816" t="s">
        <v>9596</v>
      </c>
      <c r="AC392" s="816"/>
      <c r="AD392" s="816"/>
      <c r="AE392" s="816"/>
      <c r="AF392" s="816"/>
      <c r="AG392" s="816"/>
      <c r="AI392" s="816"/>
      <c r="AK392" s="816"/>
      <c r="AM392" s="816"/>
    </row>
    <row r="393" spans="1:39" x14ac:dyDescent="0.25">
      <c r="A393" s="265">
        <v>43819</v>
      </c>
      <c r="B393">
        <v>5</v>
      </c>
      <c r="C393" s="816" t="s">
        <v>1</v>
      </c>
      <c r="D393">
        <v>533</v>
      </c>
      <c r="E393" s="816" t="s">
        <v>9534</v>
      </c>
      <c r="F393" s="816" t="s">
        <v>25</v>
      </c>
      <c r="G393" s="816" t="s">
        <v>9547</v>
      </c>
      <c r="H393">
        <v>9</v>
      </c>
      <c r="I393" s="816" t="s">
        <v>18</v>
      </c>
      <c r="J393" s="816" t="s">
        <v>18</v>
      </c>
      <c r="K393" s="817">
        <v>0.14106481481481481</v>
      </c>
      <c r="L393" s="817">
        <v>0.20773148148148146</v>
      </c>
      <c r="M393" s="817"/>
      <c r="N393" s="817"/>
      <c r="O393" s="817">
        <v>0.47013888888888888</v>
      </c>
      <c r="P393" s="817">
        <v>0.7325462962962962</v>
      </c>
      <c r="Q393" s="817"/>
      <c r="R393" s="816"/>
      <c r="S393" s="817"/>
      <c r="T393" s="817"/>
      <c r="U393" s="816" t="s">
        <v>9551</v>
      </c>
      <c r="V393" s="816" t="s">
        <v>9551</v>
      </c>
      <c r="W393" s="267"/>
      <c r="X393" s="816" t="s">
        <v>26</v>
      </c>
      <c r="Y393">
        <v>73.400000000000006</v>
      </c>
      <c r="Z393">
        <v>66</v>
      </c>
      <c r="AA393" s="816" t="s">
        <v>9569</v>
      </c>
      <c r="AB393" s="816" t="s">
        <v>9597</v>
      </c>
      <c r="AC393" s="816"/>
      <c r="AD393" s="816"/>
      <c r="AE393" s="816"/>
      <c r="AF393" s="816"/>
      <c r="AG393" s="816"/>
      <c r="AI393" s="816"/>
      <c r="AK393" s="816"/>
      <c r="AM393" s="816"/>
    </row>
    <row r="394" spans="1:39" x14ac:dyDescent="0.25">
      <c r="A394" s="265">
        <v>43820</v>
      </c>
      <c r="B394">
        <v>6</v>
      </c>
      <c r="C394" s="816" t="s">
        <v>2</v>
      </c>
      <c r="D394">
        <v>533</v>
      </c>
      <c r="E394" s="816" t="s">
        <v>9534</v>
      </c>
      <c r="F394" s="816" t="s">
        <v>25</v>
      </c>
      <c r="G394" s="816" t="s">
        <v>9547</v>
      </c>
      <c r="H394">
        <v>10</v>
      </c>
      <c r="I394" s="816" t="s">
        <v>19</v>
      </c>
      <c r="J394" s="816" t="s">
        <v>19</v>
      </c>
      <c r="K394" s="817">
        <v>0.14140046296296296</v>
      </c>
      <c r="L394" s="817">
        <v>0.20806712962962962</v>
      </c>
      <c r="M394" s="817"/>
      <c r="N394" s="817"/>
      <c r="O394" s="817">
        <v>0.4704861111111111</v>
      </c>
      <c r="P394" s="817">
        <v>0.73289351851851858</v>
      </c>
      <c r="Q394" s="817"/>
      <c r="R394" s="816"/>
      <c r="S394" s="817"/>
      <c r="T394" s="817"/>
      <c r="U394" s="816" t="s">
        <v>9551</v>
      </c>
      <c r="V394" s="816" t="s">
        <v>9551</v>
      </c>
      <c r="W394" s="267"/>
      <c r="X394" s="816" t="s">
        <v>26</v>
      </c>
      <c r="Y394">
        <v>82.7</v>
      </c>
      <c r="Z394">
        <v>72.099999999999994</v>
      </c>
      <c r="AA394" s="816" t="s">
        <v>9570</v>
      </c>
      <c r="AB394" s="816" t="s">
        <v>9599</v>
      </c>
      <c r="AC394" s="816"/>
      <c r="AD394" s="816"/>
      <c r="AE394" s="816"/>
      <c r="AF394" s="816"/>
      <c r="AG394" s="816"/>
      <c r="AI394" s="816"/>
      <c r="AK394" s="816"/>
      <c r="AM394" s="816"/>
    </row>
    <row r="395" spans="1:39" x14ac:dyDescent="0.25">
      <c r="A395" s="265">
        <v>43821</v>
      </c>
      <c r="B395">
        <v>0</v>
      </c>
      <c r="C395" s="816" t="s">
        <v>3</v>
      </c>
      <c r="D395">
        <v>533</v>
      </c>
      <c r="E395" s="816" t="s">
        <v>9534</v>
      </c>
      <c r="F395" s="816" t="s">
        <v>25</v>
      </c>
      <c r="G395" s="816" t="s">
        <v>9547</v>
      </c>
      <c r="H395">
        <v>11</v>
      </c>
      <c r="I395" s="816" t="s">
        <v>9548</v>
      </c>
      <c r="J395" s="816" t="s">
        <v>20</v>
      </c>
      <c r="K395" s="817">
        <v>0.14174768518518518</v>
      </c>
      <c r="L395" s="817">
        <v>0.20841435185185186</v>
      </c>
      <c r="M395" s="817"/>
      <c r="N395" s="817"/>
      <c r="O395" s="817">
        <v>0.47082175925925923</v>
      </c>
      <c r="P395" s="817">
        <v>0.73324074074074075</v>
      </c>
      <c r="Q395" s="817"/>
      <c r="R395" s="816"/>
      <c r="S395" s="817"/>
      <c r="T395" s="817"/>
      <c r="U395" s="816" t="s">
        <v>9551</v>
      </c>
      <c r="V395" s="816" t="s">
        <v>9551</v>
      </c>
      <c r="W395" s="267"/>
      <c r="X395" s="816" t="s">
        <v>26</v>
      </c>
      <c r="Y395">
        <v>91.4</v>
      </c>
      <c r="Z395">
        <v>77.5</v>
      </c>
      <c r="AA395" s="816" t="s">
        <v>9571</v>
      </c>
      <c r="AB395" s="816" t="s">
        <v>9600</v>
      </c>
      <c r="AC395" s="816"/>
      <c r="AD395" s="816"/>
      <c r="AE395" s="816"/>
      <c r="AF395" s="816" t="s">
        <v>72</v>
      </c>
      <c r="AG395" s="816" t="s">
        <v>29</v>
      </c>
      <c r="AH395">
        <v>-1</v>
      </c>
      <c r="AI395" s="816"/>
      <c r="AK395" s="816"/>
      <c r="AM395" s="816"/>
    </row>
    <row r="396" spans="1:39" x14ac:dyDescent="0.25">
      <c r="A396" s="265">
        <v>43822</v>
      </c>
      <c r="B396">
        <v>1</v>
      </c>
      <c r="C396" s="816" t="s">
        <v>4</v>
      </c>
      <c r="D396">
        <v>533</v>
      </c>
      <c r="E396" s="816" t="s">
        <v>9534</v>
      </c>
      <c r="F396" s="816" t="s">
        <v>25</v>
      </c>
      <c r="G396" s="816" t="s">
        <v>9547</v>
      </c>
      <c r="H396">
        <v>12</v>
      </c>
      <c r="I396" s="816" t="s">
        <v>21</v>
      </c>
      <c r="J396" s="816" t="s">
        <v>21</v>
      </c>
      <c r="K396" s="817">
        <v>0.14209490740740741</v>
      </c>
      <c r="L396" s="817">
        <v>0.20876157407407406</v>
      </c>
      <c r="M396" s="817">
        <v>0.20833333333333334</v>
      </c>
      <c r="N396" s="817">
        <v>0.21805555555555556</v>
      </c>
      <c r="O396" s="817">
        <v>0.47116898148148145</v>
      </c>
      <c r="P396" s="817">
        <v>0.73357638888888888</v>
      </c>
      <c r="Q396" s="817"/>
      <c r="R396" s="816"/>
      <c r="S396" s="817"/>
      <c r="T396" s="817"/>
      <c r="U396" s="816" t="s">
        <v>9551</v>
      </c>
      <c r="V396" s="816" t="s">
        <v>9551</v>
      </c>
      <c r="W396" s="267"/>
      <c r="X396" s="816" t="s">
        <v>26</v>
      </c>
      <c r="Y396">
        <v>99</v>
      </c>
      <c r="Z396">
        <v>82</v>
      </c>
      <c r="AA396" s="816" t="s">
        <v>9572</v>
      </c>
      <c r="AB396" s="816" t="s">
        <v>9601</v>
      </c>
      <c r="AC396" s="816"/>
      <c r="AD396" s="816"/>
      <c r="AE396" s="816"/>
      <c r="AF396" s="816"/>
      <c r="AG396" s="816"/>
      <c r="AI396" s="816"/>
      <c r="AK396" s="816"/>
      <c r="AM396" s="816"/>
    </row>
    <row r="397" spans="1:39" x14ac:dyDescent="0.25">
      <c r="A397" s="265">
        <v>43823</v>
      </c>
      <c r="B397">
        <v>2</v>
      </c>
      <c r="C397" s="816" t="s">
        <v>5</v>
      </c>
      <c r="D397">
        <v>533</v>
      </c>
      <c r="E397" s="816" t="s">
        <v>9534</v>
      </c>
      <c r="F397" s="816" t="s">
        <v>25</v>
      </c>
      <c r="G397" s="816" t="s">
        <v>9547</v>
      </c>
      <c r="H397">
        <v>14</v>
      </c>
      <c r="I397" s="816" t="s">
        <v>9</v>
      </c>
      <c r="J397" s="816" t="s">
        <v>8</v>
      </c>
      <c r="K397" s="817">
        <v>0.14244212962962963</v>
      </c>
      <c r="L397" s="817">
        <v>0.20910879629629631</v>
      </c>
      <c r="M397" s="817"/>
      <c r="N397" s="817"/>
      <c r="O397" s="817">
        <v>0.47151620370370373</v>
      </c>
      <c r="P397" s="817">
        <v>0.73392361111111104</v>
      </c>
      <c r="Q397" s="817"/>
      <c r="R397" s="816"/>
      <c r="S397" s="817">
        <v>0.21805555555555556</v>
      </c>
      <c r="T397" s="817">
        <v>0.16041666666666668</v>
      </c>
      <c r="U397" s="816" t="s">
        <v>9551</v>
      </c>
      <c r="V397" s="816" t="s">
        <v>9551</v>
      </c>
      <c r="W397" s="267"/>
      <c r="X397" s="816" t="s">
        <v>26</v>
      </c>
      <c r="Y397">
        <v>5.0999999999999996</v>
      </c>
      <c r="Z397">
        <v>85.1</v>
      </c>
      <c r="AA397" s="816" t="s">
        <v>9573</v>
      </c>
      <c r="AB397" s="816" t="s">
        <v>9602</v>
      </c>
      <c r="AC397" s="816"/>
      <c r="AD397" s="816"/>
      <c r="AE397" s="816"/>
      <c r="AF397" s="816"/>
      <c r="AG397" s="816"/>
      <c r="AI397" s="816"/>
      <c r="AK397" s="816"/>
      <c r="AM397" s="816"/>
    </row>
    <row r="398" spans="1:39" x14ac:dyDescent="0.25">
      <c r="A398" s="265">
        <v>43824</v>
      </c>
      <c r="B398">
        <v>3</v>
      </c>
      <c r="C398" s="816" t="s">
        <v>6</v>
      </c>
      <c r="D398">
        <v>533</v>
      </c>
      <c r="E398" s="816" t="s">
        <v>9534</v>
      </c>
      <c r="F398" s="816" t="s">
        <v>25</v>
      </c>
      <c r="G398" s="816" t="s">
        <v>9547</v>
      </c>
      <c r="H398">
        <v>15</v>
      </c>
      <c r="I398" s="816" t="s">
        <v>22</v>
      </c>
      <c r="J398" s="816" t="s">
        <v>22</v>
      </c>
      <c r="K398" s="817">
        <v>0.14280092592592594</v>
      </c>
      <c r="L398" s="817">
        <v>0.20946759259259259</v>
      </c>
      <c r="M398" s="817"/>
      <c r="N398" s="817"/>
      <c r="O398" s="817">
        <v>0.47186342592592595</v>
      </c>
      <c r="P398" s="817">
        <v>0.73424768518518524</v>
      </c>
      <c r="Q398" s="817"/>
      <c r="R398" s="816"/>
      <c r="S398" s="817"/>
      <c r="T398" s="817"/>
      <c r="U398" s="816" t="s">
        <v>9551</v>
      </c>
      <c r="V398" s="816" t="s">
        <v>9551</v>
      </c>
      <c r="W398" s="267"/>
      <c r="X398" s="816" t="s">
        <v>26</v>
      </c>
      <c r="Y398">
        <v>9.5</v>
      </c>
      <c r="Z398">
        <v>86.7</v>
      </c>
      <c r="AA398" s="816" t="s">
        <v>9574</v>
      </c>
      <c r="AB398" s="816" t="s">
        <v>9603</v>
      </c>
      <c r="AC398" s="816"/>
      <c r="AD398" s="816"/>
      <c r="AE398" s="816"/>
      <c r="AF398" s="816"/>
      <c r="AG398" s="816"/>
      <c r="AI398" s="816"/>
      <c r="AK398" s="816"/>
      <c r="AM398" s="816"/>
    </row>
    <row r="399" spans="1:39" x14ac:dyDescent="0.25">
      <c r="A399" s="265">
        <v>43825</v>
      </c>
      <c r="B399">
        <v>4</v>
      </c>
      <c r="C399" s="816" t="s">
        <v>7</v>
      </c>
      <c r="D399">
        <v>533</v>
      </c>
      <c r="E399" s="816" t="s">
        <v>9534</v>
      </c>
      <c r="F399" s="816" t="s">
        <v>24</v>
      </c>
      <c r="G399" s="816" t="s">
        <v>9546</v>
      </c>
      <c r="H399">
        <v>16</v>
      </c>
      <c r="I399" s="816" t="s">
        <v>11</v>
      </c>
      <c r="J399" s="816" t="s">
        <v>11</v>
      </c>
      <c r="K399" s="817">
        <v>0.1431597222222222</v>
      </c>
      <c r="L399" s="817">
        <v>0.20982638888888891</v>
      </c>
      <c r="M399" s="817"/>
      <c r="N399" s="817"/>
      <c r="O399" s="817">
        <v>0.47219907407407408</v>
      </c>
      <c r="P399" s="817">
        <v>0.73458333333333325</v>
      </c>
      <c r="Q399" s="817"/>
      <c r="R399" s="816"/>
      <c r="S399" s="817"/>
      <c r="T399" s="817"/>
      <c r="U399" s="816" t="s">
        <v>9551</v>
      </c>
      <c r="V399" s="816" t="s">
        <v>9551</v>
      </c>
      <c r="W399" s="267"/>
      <c r="X399" s="816" t="s">
        <v>26</v>
      </c>
      <c r="Y399">
        <v>11.7</v>
      </c>
      <c r="Z399">
        <v>86.4</v>
      </c>
      <c r="AA399" s="816" t="s">
        <v>9575</v>
      </c>
      <c r="AB399" s="816" t="s">
        <v>9579</v>
      </c>
      <c r="AC399" s="816"/>
      <c r="AD399" s="816"/>
      <c r="AE399" s="816"/>
      <c r="AF399" s="816"/>
      <c r="AG399" s="816"/>
      <c r="AI399" s="816"/>
      <c r="AK399" s="816"/>
      <c r="AM399" s="816"/>
    </row>
    <row r="400" spans="1:39" x14ac:dyDescent="0.25">
      <c r="A400" s="265">
        <v>43826</v>
      </c>
      <c r="B400">
        <v>5</v>
      </c>
      <c r="C400" s="816" t="s">
        <v>1</v>
      </c>
      <c r="D400">
        <v>533</v>
      </c>
      <c r="E400" s="816" t="s">
        <v>9534</v>
      </c>
      <c r="F400" s="816" t="s">
        <v>24</v>
      </c>
      <c r="G400" s="816" t="s">
        <v>9546</v>
      </c>
      <c r="H400">
        <v>17</v>
      </c>
      <c r="I400" s="816" t="s">
        <v>12</v>
      </c>
      <c r="J400" s="816" t="s">
        <v>12</v>
      </c>
      <c r="K400" s="817">
        <v>0.14351851851851852</v>
      </c>
      <c r="L400" s="817">
        <v>0.21018518518518517</v>
      </c>
      <c r="M400" s="817"/>
      <c r="N400" s="817"/>
      <c r="O400" s="817">
        <v>0.4725462962962963</v>
      </c>
      <c r="P400" s="817">
        <v>0.7348958333333333</v>
      </c>
      <c r="Q400" s="817"/>
      <c r="R400" s="816"/>
      <c r="S400" s="817"/>
      <c r="T400" s="817"/>
      <c r="U400" s="816" t="s">
        <v>9551</v>
      </c>
      <c r="V400" s="816" t="s">
        <v>9551</v>
      </c>
      <c r="W400" s="267"/>
      <c r="X400" s="816" t="s">
        <v>26</v>
      </c>
      <c r="Y400">
        <v>11.7</v>
      </c>
      <c r="Z400">
        <v>84</v>
      </c>
      <c r="AA400" s="816" t="s">
        <v>9576</v>
      </c>
      <c r="AB400" s="816" t="s">
        <v>9580</v>
      </c>
      <c r="AC400" s="816"/>
      <c r="AD400" s="816"/>
      <c r="AE400" s="816"/>
      <c r="AF400" s="816"/>
      <c r="AG400" s="816"/>
      <c r="AI400" s="816"/>
      <c r="AK400" s="816"/>
      <c r="AM400" s="816"/>
    </row>
    <row r="401" spans="1:39" x14ac:dyDescent="0.25">
      <c r="A401" s="265">
        <v>43827</v>
      </c>
      <c r="B401">
        <v>6</v>
      </c>
      <c r="C401" s="816" t="s">
        <v>2</v>
      </c>
      <c r="D401">
        <v>533</v>
      </c>
      <c r="E401" s="816" t="s">
        <v>9534</v>
      </c>
      <c r="F401" s="816" t="s">
        <v>24</v>
      </c>
      <c r="G401" s="816" t="s">
        <v>9546</v>
      </c>
      <c r="H401">
        <v>18</v>
      </c>
      <c r="I401" s="816" t="s">
        <v>23</v>
      </c>
      <c r="J401" s="816" t="s">
        <v>23</v>
      </c>
      <c r="K401" s="817">
        <v>0.14388888888888887</v>
      </c>
      <c r="L401" s="817">
        <v>0.21055555555555558</v>
      </c>
      <c r="M401" s="817"/>
      <c r="N401" s="817"/>
      <c r="O401" s="817">
        <v>0.47288194444444448</v>
      </c>
      <c r="P401" s="817">
        <v>0.73521990740740739</v>
      </c>
      <c r="Q401" s="817"/>
      <c r="R401" s="816"/>
      <c r="S401" s="817"/>
      <c r="T401" s="817"/>
      <c r="U401" s="816" t="s">
        <v>9551</v>
      </c>
      <c r="V401" s="816" t="s">
        <v>9551</v>
      </c>
      <c r="W401" s="267"/>
      <c r="X401" s="816" t="s">
        <v>26</v>
      </c>
      <c r="Y401">
        <v>9.4</v>
      </c>
      <c r="Z401">
        <v>79.599999999999994</v>
      </c>
      <c r="AA401" s="816" t="s">
        <v>9577</v>
      </c>
      <c r="AB401" s="816" t="s">
        <v>9581</v>
      </c>
      <c r="AC401" s="816"/>
      <c r="AD401" s="816"/>
      <c r="AE401" s="816"/>
      <c r="AF401" s="816"/>
      <c r="AG401" s="816"/>
      <c r="AI401" s="816"/>
      <c r="AK401" s="816"/>
      <c r="AM401" s="816"/>
    </row>
    <row r="402" spans="1:39" x14ac:dyDescent="0.25">
      <c r="A402" s="265">
        <v>43828</v>
      </c>
      <c r="B402">
        <v>0</v>
      </c>
      <c r="C402" s="816" t="s">
        <v>3</v>
      </c>
      <c r="D402">
        <v>533</v>
      </c>
      <c r="E402" s="816" t="s">
        <v>9534</v>
      </c>
      <c r="F402" s="816" t="s">
        <v>24</v>
      </c>
      <c r="G402" s="816" t="s">
        <v>9546</v>
      </c>
      <c r="H402">
        <v>19</v>
      </c>
      <c r="I402" s="816" t="s">
        <v>13</v>
      </c>
      <c r="J402" s="816" t="s">
        <v>23</v>
      </c>
      <c r="K402" s="817">
        <v>0.14424768518518519</v>
      </c>
      <c r="L402" s="817">
        <v>0.21091435185185184</v>
      </c>
      <c r="M402" s="817"/>
      <c r="N402" s="817"/>
      <c r="O402" s="817">
        <v>0.47321759259259261</v>
      </c>
      <c r="P402" s="817">
        <v>0.73553240740740744</v>
      </c>
      <c r="Q402" s="817"/>
      <c r="R402" s="816"/>
      <c r="S402" s="817"/>
      <c r="T402" s="817"/>
      <c r="U402" s="816" t="s">
        <v>9551</v>
      </c>
      <c r="V402" s="816" t="s">
        <v>9551</v>
      </c>
      <c r="W402" s="267"/>
      <c r="X402" s="816" t="s">
        <v>26</v>
      </c>
      <c r="Y402">
        <v>5</v>
      </c>
      <c r="Z402">
        <v>73.2</v>
      </c>
      <c r="AA402" s="816" t="s">
        <v>9552</v>
      </c>
      <c r="AB402" s="816" t="s">
        <v>9582</v>
      </c>
      <c r="AC402" s="816"/>
      <c r="AD402" s="816"/>
      <c r="AE402" s="816"/>
      <c r="AF402" s="816"/>
      <c r="AG402" s="816"/>
      <c r="AI402" s="816"/>
      <c r="AK402" s="816"/>
      <c r="AM402" s="816"/>
    </row>
    <row r="403" spans="1:39" x14ac:dyDescent="0.25">
      <c r="A403" s="265">
        <v>43829</v>
      </c>
      <c r="B403">
        <v>1</v>
      </c>
      <c r="C403" s="816" t="s">
        <v>4</v>
      </c>
      <c r="D403">
        <v>533</v>
      </c>
      <c r="E403" s="816" t="s">
        <v>9534</v>
      </c>
      <c r="F403" s="816" t="s">
        <v>24</v>
      </c>
      <c r="G403" s="816" t="s">
        <v>9546</v>
      </c>
      <c r="H403">
        <v>19</v>
      </c>
      <c r="I403" s="816" t="s">
        <v>13</v>
      </c>
      <c r="J403" s="816" t="s">
        <v>13</v>
      </c>
      <c r="K403" s="817">
        <v>0.14461805555555554</v>
      </c>
      <c r="L403" s="817">
        <v>0.21128472222222225</v>
      </c>
      <c r="M403" s="817"/>
      <c r="N403" s="817"/>
      <c r="O403" s="817">
        <v>0.47355324074074073</v>
      </c>
      <c r="P403" s="817">
        <v>0.73583333333333334</v>
      </c>
      <c r="Q403" s="817"/>
      <c r="R403" s="816"/>
      <c r="S403" s="817"/>
      <c r="T403" s="817"/>
      <c r="U403" s="816" t="s">
        <v>9551</v>
      </c>
      <c r="V403" s="816" t="s">
        <v>9551</v>
      </c>
      <c r="W403" s="267"/>
      <c r="X403" s="816" t="s">
        <v>27</v>
      </c>
      <c r="Y403">
        <v>98.5</v>
      </c>
      <c r="Z403">
        <v>65.099999999999994</v>
      </c>
      <c r="AA403" s="816" t="s">
        <v>9553</v>
      </c>
      <c r="AB403" s="816" t="s">
        <v>9583</v>
      </c>
      <c r="AC403" s="816"/>
      <c r="AD403" s="816"/>
      <c r="AE403" s="816"/>
      <c r="AF403" s="816"/>
      <c r="AG403" s="816"/>
      <c r="AI403" s="816"/>
      <c r="AK403" s="816"/>
      <c r="AM403" s="816"/>
    </row>
    <row r="404" spans="1:39" x14ac:dyDescent="0.25">
      <c r="A404" s="265">
        <v>43830</v>
      </c>
      <c r="B404">
        <v>2</v>
      </c>
      <c r="C404" s="816" t="s">
        <v>5</v>
      </c>
      <c r="D404">
        <v>533</v>
      </c>
      <c r="E404" s="816" t="s">
        <v>9534</v>
      </c>
      <c r="F404" s="816" t="s">
        <v>24</v>
      </c>
      <c r="G404" s="816" t="s">
        <v>9546</v>
      </c>
      <c r="H404">
        <v>20</v>
      </c>
      <c r="I404" s="816" t="s">
        <v>14</v>
      </c>
      <c r="J404" s="816" t="s">
        <v>14</v>
      </c>
      <c r="K404" s="817">
        <v>0.14498842592592592</v>
      </c>
      <c r="L404" s="817">
        <v>0.2116550925925926</v>
      </c>
      <c r="M404" s="817"/>
      <c r="N404" s="817"/>
      <c r="O404" s="817">
        <v>0.47388888888888886</v>
      </c>
      <c r="P404" s="817">
        <v>0.73613425925925924</v>
      </c>
      <c r="Q404" s="817"/>
      <c r="R404" s="816"/>
      <c r="S404" s="817"/>
      <c r="T404" s="817"/>
      <c r="U404" s="816" t="s">
        <v>9551</v>
      </c>
      <c r="V404" s="816" t="s">
        <v>9551</v>
      </c>
      <c r="W404" s="267"/>
      <c r="X404" s="816" t="s">
        <v>26</v>
      </c>
      <c r="Y404">
        <v>90.6</v>
      </c>
      <c r="Z404">
        <v>55.6</v>
      </c>
      <c r="AA404" s="816" t="s">
        <v>9554</v>
      </c>
      <c r="AB404" s="816" t="s">
        <v>9584</v>
      </c>
      <c r="AC404" s="816"/>
      <c r="AD404" s="816"/>
      <c r="AE404" s="816"/>
      <c r="AF404" s="816"/>
      <c r="AG404" s="816"/>
      <c r="AI404" s="816"/>
      <c r="AK404" s="816"/>
      <c r="AM404" s="816"/>
    </row>
    <row r="405" spans="1:39" x14ac:dyDescent="0.25">
      <c r="A405" s="265">
        <v>43831</v>
      </c>
      <c r="B405">
        <v>3</v>
      </c>
      <c r="C405" s="816" t="s">
        <v>6</v>
      </c>
      <c r="D405">
        <v>533</v>
      </c>
      <c r="E405" s="816" t="s">
        <v>9534</v>
      </c>
      <c r="F405" s="816" t="s">
        <v>24</v>
      </c>
      <c r="G405" s="816" t="s">
        <v>9546</v>
      </c>
      <c r="H405">
        <v>21</v>
      </c>
      <c r="I405" s="816" t="s">
        <v>15</v>
      </c>
      <c r="J405" s="816" t="s">
        <v>15</v>
      </c>
      <c r="K405" s="817">
        <v>0.14534722222222221</v>
      </c>
      <c r="L405" s="817">
        <v>0.21201388888888886</v>
      </c>
      <c r="M405" s="817"/>
      <c r="N405" s="817"/>
      <c r="O405" s="817">
        <v>0.47422453703703704</v>
      </c>
      <c r="P405" s="817">
        <v>0.73642361111111121</v>
      </c>
      <c r="Q405" s="817"/>
      <c r="R405" s="816"/>
      <c r="S405" s="817"/>
      <c r="T405" s="817"/>
      <c r="U405" s="816" t="s">
        <v>9551</v>
      </c>
      <c r="V405" s="816" t="s">
        <v>9551</v>
      </c>
      <c r="W405" s="267"/>
      <c r="X405" s="816" t="s">
        <v>26</v>
      </c>
      <c r="Y405">
        <v>81.5</v>
      </c>
      <c r="Z405">
        <v>45.1</v>
      </c>
      <c r="AA405" s="816" t="s">
        <v>9555</v>
      </c>
      <c r="AB405" s="816" t="s">
        <v>9585</v>
      </c>
      <c r="AC405" s="816"/>
      <c r="AD405" s="816"/>
      <c r="AE405" s="816"/>
      <c r="AF405" s="816"/>
      <c r="AG405" s="816"/>
      <c r="AI405" s="816"/>
      <c r="AK405" s="816"/>
      <c r="AM405" s="816"/>
    </row>
    <row r="406" spans="1:39" x14ac:dyDescent="0.25">
      <c r="A406" s="265">
        <v>43832</v>
      </c>
      <c r="B406">
        <v>4</v>
      </c>
      <c r="C406" s="816" t="s">
        <v>7</v>
      </c>
      <c r="D406">
        <v>533</v>
      </c>
      <c r="E406" s="816" t="s">
        <v>9534</v>
      </c>
      <c r="F406" s="816" t="s">
        <v>24</v>
      </c>
      <c r="G406" s="816" t="s">
        <v>9546</v>
      </c>
      <c r="H406">
        <v>22</v>
      </c>
      <c r="I406" s="816" t="s">
        <v>16</v>
      </c>
      <c r="J406" s="816" t="s">
        <v>16</v>
      </c>
      <c r="K406" s="817">
        <v>0.14571759259259259</v>
      </c>
      <c r="L406" s="817">
        <v>0.21238425925925927</v>
      </c>
      <c r="M406" s="817"/>
      <c r="N406" s="817"/>
      <c r="O406" s="817">
        <v>0.47454861111111107</v>
      </c>
      <c r="P406" s="817">
        <v>0.73670138888888881</v>
      </c>
      <c r="Q406" s="817"/>
      <c r="R406" s="816"/>
      <c r="S406" s="817"/>
      <c r="T406" s="817"/>
      <c r="U406" s="816" t="s">
        <v>9551</v>
      </c>
      <c r="V406" s="816" t="s">
        <v>9551</v>
      </c>
      <c r="W406" s="267"/>
      <c r="X406" s="816" t="s">
        <v>26</v>
      </c>
      <c r="Y406">
        <v>72</v>
      </c>
      <c r="Z406">
        <v>34.1</v>
      </c>
      <c r="AA406" s="816" t="s">
        <v>9556</v>
      </c>
      <c r="AB406" s="816" t="s">
        <v>9586</v>
      </c>
      <c r="AC406" s="816"/>
      <c r="AD406" s="816"/>
      <c r="AE406" s="816"/>
      <c r="AF406" s="816"/>
      <c r="AG406" s="816"/>
      <c r="AI406" s="816"/>
      <c r="AK406" s="816"/>
      <c r="AM406" s="816"/>
    </row>
    <row r="407" spans="1:39" x14ac:dyDescent="0.25">
      <c r="A407" s="265">
        <v>43833</v>
      </c>
      <c r="B407">
        <v>5</v>
      </c>
      <c r="C407" s="816" t="s">
        <v>1</v>
      </c>
      <c r="D407">
        <v>533</v>
      </c>
      <c r="E407" s="816" t="s">
        <v>9534</v>
      </c>
      <c r="F407" s="816" t="s">
        <v>24</v>
      </c>
      <c r="G407" s="816" t="s">
        <v>9546</v>
      </c>
      <c r="H407">
        <v>23</v>
      </c>
      <c r="I407" s="816" t="s">
        <v>17</v>
      </c>
      <c r="J407" s="816" t="s">
        <v>17</v>
      </c>
      <c r="K407" s="817">
        <v>0.14608796296296298</v>
      </c>
      <c r="L407" s="817">
        <v>0.21275462962962963</v>
      </c>
      <c r="M407" s="817"/>
      <c r="N407" s="817"/>
      <c r="O407" s="817">
        <v>0.47487268518518522</v>
      </c>
      <c r="P407" s="817">
        <v>0.73697916666666663</v>
      </c>
      <c r="Q407" s="817"/>
      <c r="R407" s="816"/>
      <c r="S407" s="817"/>
      <c r="T407" s="817"/>
      <c r="U407" s="816" t="s">
        <v>9551</v>
      </c>
      <c r="V407" s="816" t="s">
        <v>9551</v>
      </c>
      <c r="W407" s="267"/>
      <c r="X407" s="816" t="s">
        <v>26</v>
      </c>
      <c r="Y407">
        <v>62.5</v>
      </c>
      <c r="Z407">
        <v>23.3</v>
      </c>
      <c r="AA407" s="816" t="s">
        <v>9557</v>
      </c>
      <c r="AB407" s="816" t="s">
        <v>9604</v>
      </c>
      <c r="AC407" s="816"/>
      <c r="AD407" s="816"/>
      <c r="AE407" s="816"/>
      <c r="AF407" s="816"/>
      <c r="AG407" s="816"/>
      <c r="AI407" s="816"/>
      <c r="AK407" s="816"/>
      <c r="AM407" s="816"/>
    </row>
    <row r="408" spans="1:39" x14ac:dyDescent="0.25">
      <c r="A408" s="265">
        <v>43834</v>
      </c>
      <c r="B408">
        <v>6</v>
      </c>
      <c r="C408" s="816" t="s">
        <v>2</v>
      </c>
      <c r="D408">
        <v>533</v>
      </c>
      <c r="E408" s="816" t="s">
        <v>9534</v>
      </c>
      <c r="F408" s="816" t="s">
        <v>24</v>
      </c>
      <c r="G408" s="816" t="s">
        <v>9546</v>
      </c>
      <c r="H408">
        <v>24</v>
      </c>
      <c r="I408" s="816" t="s">
        <v>18</v>
      </c>
      <c r="J408" s="816" t="s">
        <v>18</v>
      </c>
      <c r="K408" s="817">
        <v>0.14644675925925926</v>
      </c>
      <c r="L408" s="817">
        <v>0.21311342592592594</v>
      </c>
      <c r="M408" s="817"/>
      <c r="N408" s="817"/>
      <c r="O408" s="817">
        <v>0.47518518518518515</v>
      </c>
      <c r="P408" s="817">
        <v>0.73724537037037041</v>
      </c>
      <c r="Q408" s="817"/>
      <c r="R408" s="816"/>
      <c r="S408" s="817"/>
      <c r="T408" s="817"/>
      <c r="U408" s="816" t="s">
        <v>9551</v>
      </c>
      <c r="V408" s="816" t="s">
        <v>9551</v>
      </c>
      <c r="W408" s="267"/>
      <c r="X408" s="816" t="s">
        <v>26</v>
      </c>
      <c r="Y408">
        <v>54</v>
      </c>
      <c r="Z408">
        <v>13.2</v>
      </c>
      <c r="AA408" s="816" t="s">
        <v>9558</v>
      </c>
      <c r="AB408" s="816" t="s">
        <v>9587</v>
      </c>
      <c r="AC408" s="816"/>
      <c r="AD408" s="816"/>
      <c r="AE408" s="816"/>
      <c r="AF408" s="816"/>
      <c r="AG408" s="816"/>
      <c r="AI408" s="816"/>
      <c r="AK408" s="816"/>
      <c r="AM408" s="816"/>
    </row>
    <row r="409" spans="1:39" x14ac:dyDescent="0.25">
      <c r="A409" s="265">
        <v>43835</v>
      </c>
      <c r="B409">
        <v>0</v>
      </c>
      <c r="C409" s="816" t="s">
        <v>3</v>
      </c>
      <c r="D409">
        <v>533</v>
      </c>
      <c r="E409" s="816" t="s">
        <v>9534</v>
      </c>
      <c r="F409" s="816" t="s">
        <v>24</v>
      </c>
      <c r="G409" s="816" t="s">
        <v>9546</v>
      </c>
      <c r="H409">
        <v>25</v>
      </c>
      <c r="I409" s="816" t="s">
        <v>19</v>
      </c>
      <c r="J409" s="816" t="s">
        <v>19</v>
      </c>
      <c r="K409" s="817">
        <v>0.14681712962962964</v>
      </c>
      <c r="L409" s="817">
        <v>0.2134837962962963</v>
      </c>
      <c r="M409" s="817"/>
      <c r="N409" s="817"/>
      <c r="O409" s="817">
        <v>0.47549768518518515</v>
      </c>
      <c r="P409" s="817">
        <v>0.73751157407407408</v>
      </c>
      <c r="Q409" s="817"/>
      <c r="R409" s="816"/>
      <c r="S409" s="817"/>
      <c r="T409" s="817"/>
      <c r="U409" s="816" t="s">
        <v>9551</v>
      </c>
      <c r="V409" s="816" t="s">
        <v>9551</v>
      </c>
      <c r="W409" s="267"/>
      <c r="X409" s="816" t="s">
        <v>26</v>
      </c>
      <c r="Y409">
        <v>46.8</v>
      </c>
      <c r="Z409">
        <v>4.4000000000000004</v>
      </c>
      <c r="AA409" s="816" t="s">
        <v>9578</v>
      </c>
      <c r="AB409" s="816" t="s">
        <v>9588</v>
      </c>
      <c r="AC409" s="816"/>
      <c r="AD409" s="816"/>
      <c r="AE409" s="816"/>
      <c r="AF409" s="816"/>
      <c r="AG409" s="816"/>
      <c r="AI409" s="816"/>
      <c r="AK409" s="816"/>
      <c r="AM409" s="816"/>
    </row>
    <row r="410" spans="1:39" x14ac:dyDescent="0.25">
      <c r="A410" s="265">
        <v>43836</v>
      </c>
      <c r="B410">
        <v>1</v>
      </c>
      <c r="C410" s="816" t="s">
        <v>4</v>
      </c>
      <c r="D410">
        <v>533</v>
      </c>
      <c r="E410" s="816" t="s">
        <v>9534</v>
      </c>
      <c r="F410" s="816" t="s">
        <v>24</v>
      </c>
      <c r="G410" s="816" t="s">
        <v>9546</v>
      </c>
      <c r="H410">
        <v>26</v>
      </c>
      <c r="I410" s="816" t="s">
        <v>9548</v>
      </c>
      <c r="J410" s="816" t="s">
        <v>20</v>
      </c>
      <c r="K410" s="817">
        <v>0.1471875</v>
      </c>
      <c r="L410" s="817">
        <v>0.21385416666666668</v>
      </c>
      <c r="M410" s="817"/>
      <c r="N410" s="817"/>
      <c r="O410" s="817">
        <v>0.4758101851851852</v>
      </c>
      <c r="P410" s="817">
        <v>0.73775462962962957</v>
      </c>
      <c r="Q410" s="817"/>
      <c r="R410" s="816"/>
      <c r="S410" s="817"/>
      <c r="T410" s="817"/>
      <c r="U410" s="816" t="s">
        <v>9551</v>
      </c>
      <c r="V410" s="816" t="s">
        <v>9551</v>
      </c>
      <c r="W410" s="267"/>
      <c r="X410" s="816" t="s">
        <v>26</v>
      </c>
      <c r="Y410">
        <v>41.7</v>
      </c>
      <c r="Z410">
        <v>97.5</v>
      </c>
      <c r="AA410" s="816" t="s">
        <v>9578</v>
      </c>
      <c r="AB410" s="816" t="s">
        <v>9589</v>
      </c>
      <c r="AC410" s="816"/>
      <c r="AD410" s="816"/>
      <c r="AE410" s="816"/>
      <c r="AF410" s="816" t="s">
        <v>72</v>
      </c>
      <c r="AG410" s="816" t="s">
        <v>30</v>
      </c>
      <c r="AH410">
        <v>-1</v>
      </c>
      <c r="AI410" s="816"/>
      <c r="AK410" s="816"/>
      <c r="AM410" s="816"/>
    </row>
    <row r="411" spans="1:39" x14ac:dyDescent="0.25">
      <c r="A411" s="265">
        <v>43837</v>
      </c>
      <c r="B411">
        <v>2</v>
      </c>
      <c r="C411" s="816" t="s">
        <v>5</v>
      </c>
      <c r="D411">
        <v>533</v>
      </c>
      <c r="E411" s="816" t="s">
        <v>9534</v>
      </c>
      <c r="F411" s="816" t="s">
        <v>24</v>
      </c>
      <c r="G411" s="816" t="s">
        <v>9546</v>
      </c>
      <c r="H411">
        <v>27</v>
      </c>
      <c r="I411" s="816" t="s">
        <v>21</v>
      </c>
      <c r="J411" s="816" t="s">
        <v>21</v>
      </c>
      <c r="K411" s="817">
        <v>0.14754629629629631</v>
      </c>
      <c r="L411" s="817">
        <v>0.21421296296296297</v>
      </c>
      <c r="M411" s="817">
        <v>0.21388888888888891</v>
      </c>
      <c r="N411" s="817">
        <v>0.38819444444444445</v>
      </c>
      <c r="O411" s="817">
        <v>0.4761111111111111</v>
      </c>
      <c r="P411" s="817">
        <v>0.73799768518518516</v>
      </c>
      <c r="Q411" s="817"/>
      <c r="R411" s="816"/>
      <c r="S411" s="817"/>
      <c r="T411" s="817"/>
      <c r="U411" s="816" t="s">
        <v>9551</v>
      </c>
      <c r="V411" s="816" t="s">
        <v>9551</v>
      </c>
      <c r="W411" s="267"/>
      <c r="X411" s="816" t="s">
        <v>26</v>
      </c>
      <c r="Y411">
        <v>39.200000000000003</v>
      </c>
      <c r="Z411">
        <v>92.8</v>
      </c>
      <c r="AA411" s="816" t="s">
        <v>9559</v>
      </c>
      <c r="AB411" s="816" t="s">
        <v>9590</v>
      </c>
      <c r="AC411" s="816"/>
      <c r="AD411" s="816"/>
      <c r="AE411" s="816"/>
      <c r="AF411" s="816"/>
      <c r="AG411" s="816"/>
      <c r="AI411" s="816"/>
      <c r="AK411" s="816"/>
      <c r="AM411" s="816"/>
    </row>
    <row r="412" spans="1:39" x14ac:dyDescent="0.25">
      <c r="A412" s="265">
        <v>43838</v>
      </c>
      <c r="B412">
        <v>3</v>
      </c>
      <c r="C412" s="816" t="s">
        <v>6</v>
      </c>
      <c r="D412">
        <v>533</v>
      </c>
      <c r="E412" s="816" t="s">
        <v>9534</v>
      </c>
      <c r="F412" s="816" t="s">
        <v>24</v>
      </c>
      <c r="G412" s="816" t="s">
        <v>9546</v>
      </c>
      <c r="H412">
        <v>28</v>
      </c>
      <c r="I412" s="816" t="s">
        <v>8</v>
      </c>
      <c r="J412" s="816" t="s">
        <v>8</v>
      </c>
      <c r="K412" s="817">
        <v>0.14790509259259257</v>
      </c>
      <c r="L412" s="817">
        <v>0.21457175925925928</v>
      </c>
      <c r="M412" s="817"/>
      <c r="N412" s="817"/>
      <c r="O412" s="817">
        <v>0.47640046296296296</v>
      </c>
      <c r="P412" s="817">
        <v>0.73822916666666671</v>
      </c>
      <c r="Q412" s="817"/>
      <c r="R412" s="816"/>
      <c r="S412" s="817"/>
      <c r="T412" s="817"/>
      <c r="U412" s="816" t="s">
        <v>9551</v>
      </c>
      <c r="V412" s="816" t="s">
        <v>9551</v>
      </c>
      <c r="W412" s="267"/>
      <c r="X412" s="816" t="s">
        <v>26</v>
      </c>
      <c r="Y412">
        <v>39.5</v>
      </c>
      <c r="Z412">
        <v>90.8</v>
      </c>
      <c r="AA412" s="816" t="s">
        <v>9560</v>
      </c>
      <c r="AB412" s="816" t="s">
        <v>9591</v>
      </c>
      <c r="AC412" s="816"/>
      <c r="AD412" s="816"/>
      <c r="AE412" s="816"/>
      <c r="AF412" s="816"/>
      <c r="AG412" s="816"/>
      <c r="AI412" s="816"/>
      <c r="AK412" s="816"/>
      <c r="AM412" s="816"/>
    </row>
    <row r="413" spans="1:39" x14ac:dyDescent="0.25">
      <c r="A413" s="265">
        <v>43839</v>
      </c>
      <c r="B413">
        <v>4</v>
      </c>
      <c r="C413" s="816" t="s">
        <v>7</v>
      </c>
      <c r="D413">
        <v>533</v>
      </c>
      <c r="E413" s="816" t="s">
        <v>9534</v>
      </c>
      <c r="F413" s="816" t="s">
        <v>24</v>
      </c>
      <c r="G413" s="816" t="s">
        <v>9546</v>
      </c>
      <c r="H413">
        <v>29</v>
      </c>
      <c r="I413" s="816" t="s">
        <v>9</v>
      </c>
      <c r="J413" s="816" t="s">
        <v>9</v>
      </c>
      <c r="K413" s="817">
        <v>0.14826388888888889</v>
      </c>
      <c r="L413" s="817">
        <v>0.21493055555555554</v>
      </c>
      <c r="M413" s="817"/>
      <c r="N413" s="817"/>
      <c r="O413" s="817">
        <v>0.47668981481481482</v>
      </c>
      <c r="P413" s="817">
        <v>0.73846064814814805</v>
      </c>
      <c r="Q413" s="817"/>
      <c r="R413" s="816"/>
      <c r="S413" s="817"/>
      <c r="T413" s="817"/>
      <c r="U413" s="816" t="s">
        <v>9551</v>
      </c>
      <c r="V413" s="816" t="s">
        <v>9551</v>
      </c>
      <c r="W413" s="267"/>
      <c r="X413" s="816" t="s">
        <v>26</v>
      </c>
      <c r="Y413">
        <v>43</v>
      </c>
      <c r="Z413">
        <v>91.5</v>
      </c>
      <c r="AA413" s="816" t="s">
        <v>9561</v>
      </c>
      <c r="AB413" s="816" t="s">
        <v>9605</v>
      </c>
      <c r="AC413" s="816"/>
      <c r="AD413" s="816"/>
      <c r="AE413" s="816"/>
      <c r="AF413" s="816"/>
      <c r="AG413" s="816"/>
      <c r="AI413" s="816"/>
      <c r="AK413" s="816"/>
      <c r="AM413" s="816"/>
    </row>
    <row r="414" spans="1:39" x14ac:dyDescent="0.25">
      <c r="A414" s="265">
        <v>43840</v>
      </c>
      <c r="B414">
        <v>5</v>
      </c>
      <c r="C414" s="816" t="s">
        <v>1</v>
      </c>
      <c r="D414">
        <v>533</v>
      </c>
      <c r="E414" s="816" t="s">
        <v>9534</v>
      </c>
      <c r="F414" s="816" t="s">
        <v>24</v>
      </c>
      <c r="G414" s="816" t="s">
        <v>9546</v>
      </c>
      <c r="H414">
        <v>30</v>
      </c>
      <c r="I414" s="816" t="s">
        <v>10</v>
      </c>
      <c r="J414" s="816" t="s">
        <v>10</v>
      </c>
      <c r="K414" s="817">
        <v>0.14862268518518518</v>
      </c>
      <c r="L414" s="817">
        <v>0.21528935185185186</v>
      </c>
      <c r="M414" s="817"/>
      <c r="N414" s="817"/>
      <c r="O414" s="817">
        <v>0.47697916666666668</v>
      </c>
      <c r="P414" s="817">
        <v>0.73866898148148152</v>
      </c>
      <c r="Q414" s="817"/>
      <c r="R414" s="816"/>
      <c r="S414" s="817"/>
      <c r="T414" s="817"/>
      <c r="U414" s="816" t="s">
        <v>9551</v>
      </c>
      <c r="V414" s="816" t="s">
        <v>9551</v>
      </c>
      <c r="W414" s="267"/>
      <c r="X414" s="816" t="s">
        <v>26</v>
      </c>
      <c r="Y414">
        <v>49.3</v>
      </c>
      <c r="Z414">
        <v>94.9</v>
      </c>
      <c r="AA414" s="816" t="s">
        <v>9562</v>
      </c>
      <c r="AB414" s="816" t="s">
        <v>9592</v>
      </c>
      <c r="AC414" s="816"/>
      <c r="AD414" s="816"/>
      <c r="AE414" s="816"/>
      <c r="AF414" s="816"/>
      <c r="AG414" s="816"/>
      <c r="AI414" s="816"/>
      <c r="AK414" s="816"/>
      <c r="AM414" s="816"/>
    </row>
    <row r="415" spans="1:39" x14ac:dyDescent="0.25">
      <c r="A415" s="265">
        <v>43841</v>
      </c>
      <c r="B415">
        <v>6</v>
      </c>
      <c r="C415" s="816" t="s">
        <v>2</v>
      </c>
      <c r="D415">
        <v>533</v>
      </c>
      <c r="E415" s="816" t="s">
        <v>9535</v>
      </c>
      <c r="F415" s="816" t="s">
        <v>25</v>
      </c>
      <c r="G415" s="816" t="s">
        <v>9547</v>
      </c>
      <c r="H415">
        <v>1</v>
      </c>
      <c r="I415" s="816" t="s">
        <v>11</v>
      </c>
      <c r="J415" s="816" t="s">
        <v>11</v>
      </c>
      <c r="K415" s="817">
        <v>0.14896990740740743</v>
      </c>
      <c r="L415" s="817">
        <v>0.21563657407407408</v>
      </c>
      <c r="M415" s="817"/>
      <c r="N415" s="817"/>
      <c r="O415" s="817">
        <v>0.4772569444444445</v>
      </c>
      <c r="P415" s="817">
        <v>0.73887731481481478</v>
      </c>
      <c r="Q415" s="817"/>
      <c r="R415" s="816"/>
      <c r="S415" s="817"/>
      <c r="T415" s="817"/>
      <c r="U415" s="816" t="s">
        <v>9551</v>
      </c>
      <c r="V415" s="816" t="s">
        <v>9551</v>
      </c>
      <c r="W415" s="267"/>
      <c r="X415" s="816" t="s">
        <v>26</v>
      </c>
      <c r="Y415">
        <v>58.4</v>
      </c>
      <c r="Z415">
        <v>0.7</v>
      </c>
      <c r="AA415" s="816" t="s">
        <v>9564</v>
      </c>
      <c r="AB415" s="816" t="s">
        <v>9593</v>
      </c>
      <c r="AC415" s="816"/>
      <c r="AD415" s="816"/>
      <c r="AE415" s="816"/>
      <c r="AF415" s="816"/>
      <c r="AG415" s="816"/>
      <c r="AI415" s="816"/>
      <c r="AK415" s="816"/>
      <c r="AM415" s="816"/>
    </row>
    <row r="416" spans="1:39" x14ac:dyDescent="0.25">
      <c r="A416" s="265">
        <v>43842</v>
      </c>
      <c r="B416">
        <v>0</v>
      </c>
      <c r="C416" s="816" t="s">
        <v>3</v>
      </c>
      <c r="D416">
        <v>533</v>
      </c>
      <c r="E416" s="816" t="s">
        <v>9535</v>
      </c>
      <c r="F416" s="816" t="s">
        <v>25</v>
      </c>
      <c r="G416" s="816" t="s">
        <v>9547</v>
      </c>
      <c r="H416">
        <v>2</v>
      </c>
      <c r="I416" s="816" t="s">
        <v>12</v>
      </c>
      <c r="J416" s="816" t="s">
        <v>12</v>
      </c>
      <c r="K416" s="817">
        <v>0.14931712962962962</v>
      </c>
      <c r="L416" s="817">
        <v>0.2159837962962963</v>
      </c>
      <c r="M416" s="817"/>
      <c r="N416" s="817"/>
      <c r="O416" s="817">
        <v>0.47753472222222221</v>
      </c>
      <c r="P416" s="817">
        <v>0.73907407407407411</v>
      </c>
      <c r="Q416" s="817"/>
      <c r="R416" s="816"/>
      <c r="S416" s="817"/>
      <c r="T416" s="817"/>
      <c r="U416" s="816" t="s">
        <v>9551</v>
      </c>
      <c r="V416" s="816" t="s">
        <v>9551</v>
      </c>
      <c r="W416" s="267"/>
      <c r="X416" s="816" t="s">
        <v>26</v>
      </c>
      <c r="Y416">
        <v>69.400000000000006</v>
      </c>
      <c r="Z416">
        <v>8.3000000000000007</v>
      </c>
      <c r="AA416" s="816" t="s">
        <v>9565</v>
      </c>
      <c r="AB416" s="816" t="s">
        <v>9595</v>
      </c>
      <c r="AC416" s="816"/>
      <c r="AD416" s="816"/>
      <c r="AE416" s="816"/>
      <c r="AF416" s="816"/>
      <c r="AG416" s="816"/>
      <c r="AI416" s="816"/>
      <c r="AK416" s="816"/>
      <c r="AM416" s="816"/>
    </row>
    <row r="417" spans="1:39" x14ac:dyDescent="0.25">
      <c r="A417" s="265">
        <v>43843</v>
      </c>
      <c r="B417">
        <v>1</v>
      </c>
      <c r="C417" s="816" t="s">
        <v>4</v>
      </c>
      <c r="D417">
        <v>533</v>
      </c>
      <c r="E417" s="816" t="s">
        <v>9535</v>
      </c>
      <c r="F417" s="816" t="s">
        <v>25</v>
      </c>
      <c r="G417" s="816" t="s">
        <v>9547</v>
      </c>
      <c r="H417">
        <v>3</v>
      </c>
      <c r="I417" s="816" t="s">
        <v>23</v>
      </c>
      <c r="J417" s="816" t="s">
        <v>23</v>
      </c>
      <c r="K417" s="817">
        <v>0.14966435185185187</v>
      </c>
      <c r="L417" s="817">
        <v>0.21633101851851852</v>
      </c>
      <c r="M417" s="817"/>
      <c r="N417" s="817"/>
      <c r="O417" s="817">
        <v>0.47778935185185184</v>
      </c>
      <c r="P417" s="817">
        <v>0.73925925925925917</v>
      </c>
      <c r="Q417" s="817"/>
      <c r="R417" s="816"/>
      <c r="S417" s="817"/>
      <c r="T417" s="817"/>
      <c r="U417" s="816" t="s">
        <v>9551</v>
      </c>
      <c r="V417" s="816" t="s">
        <v>9551</v>
      </c>
      <c r="W417" s="267"/>
      <c r="X417" s="816" t="s">
        <v>26</v>
      </c>
      <c r="Y417">
        <v>81.8</v>
      </c>
      <c r="Z417">
        <v>17</v>
      </c>
      <c r="AA417" s="816" t="s">
        <v>9566</v>
      </c>
      <c r="AB417" s="816" t="s">
        <v>9596</v>
      </c>
      <c r="AC417" s="816"/>
      <c r="AD417" s="816"/>
      <c r="AE417" s="816"/>
      <c r="AF417" s="816"/>
      <c r="AG417" s="816"/>
      <c r="AI417" s="816"/>
      <c r="AK417" s="816"/>
      <c r="AM417" s="816"/>
    </row>
    <row r="418" spans="1:39" x14ac:dyDescent="0.25">
      <c r="A418" s="265">
        <v>43844</v>
      </c>
      <c r="B418">
        <v>2</v>
      </c>
      <c r="C418" s="816" t="s">
        <v>5</v>
      </c>
      <c r="D418">
        <v>533</v>
      </c>
      <c r="E418" s="816" t="s">
        <v>9535</v>
      </c>
      <c r="F418" s="816" t="s">
        <v>25</v>
      </c>
      <c r="G418" s="816" t="s">
        <v>9547</v>
      </c>
      <c r="H418">
        <v>4</v>
      </c>
      <c r="I418" s="816" t="s">
        <v>13</v>
      </c>
      <c r="J418" s="816" t="s">
        <v>13</v>
      </c>
      <c r="K418" s="817">
        <v>0.15</v>
      </c>
      <c r="L418" s="817">
        <v>0.21666666666666667</v>
      </c>
      <c r="M418" s="817"/>
      <c r="N418" s="817"/>
      <c r="O418" s="817">
        <v>0.47805555555555551</v>
      </c>
      <c r="P418" s="817">
        <v>0.73943287037037031</v>
      </c>
      <c r="Q418" s="817"/>
      <c r="R418" s="816"/>
      <c r="S418" s="817"/>
      <c r="T418" s="817"/>
      <c r="U418" s="816" t="s">
        <v>9551</v>
      </c>
      <c r="V418" s="816" t="s">
        <v>9551</v>
      </c>
      <c r="W418" s="267"/>
      <c r="X418" s="816" t="s">
        <v>26</v>
      </c>
      <c r="Y418">
        <v>94.5</v>
      </c>
      <c r="Z418">
        <v>26.2</v>
      </c>
      <c r="AA418" s="816" t="s">
        <v>9567</v>
      </c>
      <c r="AB418" s="816" t="s">
        <v>9597</v>
      </c>
      <c r="AC418" s="816"/>
      <c r="AD418" s="816"/>
      <c r="AE418" s="816"/>
      <c r="AF418" s="816"/>
      <c r="AG418" s="816"/>
      <c r="AI418" s="816"/>
      <c r="AK418" s="816"/>
      <c r="AM418" s="816"/>
    </row>
    <row r="419" spans="1:39" x14ac:dyDescent="0.25">
      <c r="A419" s="265">
        <v>43845</v>
      </c>
      <c r="B419">
        <v>3</v>
      </c>
      <c r="C419" s="816" t="s">
        <v>6</v>
      </c>
      <c r="D419">
        <v>533</v>
      </c>
      <c r="E419" s="816" t="s">
        <v>9535</v>
      </c>
      <c r="F419" s="816" t="s">
        <v>25</v>
      </c>
      <c r="G419" s="816" t="s">
        <v>9547</v>
      </c>
      <c r="H419">
        <v>6</v>
      </c>
      <c r="I419" s="816" t="s">
        <v>15</v>
      </c>
      <c r="J419" s="816" t="s">
        <v>14</v>
      </c>
      <c r="K419" s="817">
        <v>0.15034722222222222</v>
      </c>
      <c r="L419" s="817">
        <v>0.21701388888888887</v>
      </c>
      <c r="M419" s="817"/>
      <c r="N419" s="817"/>
      <c r="O419" s="817">
        <v>0.4782986111111111</v>
      </c>
      <c r="P419" s="817">
        <v>0.73959490740740741</v>
      </c>
      <c r="Q419" s="817">
        <v>0.72761574074074076</v>
      </c>
      <c r="R419" s="816" t="s">
        <v>74</v>
      </c>
      <c r="S419" s="817">
        <v>0.26458333333333334</v>
      </c>
      <c r="T419" s="817">
        <v>0.15486111111111112</v>
      </c>
      <c r="U419" s="816" t="s">
        <v>9551</v>
      </c>
      <c r="V419" s="816" t="s">
        <v>9551</v>
      </c>
      <c r="W419" s="267"/>
      <c r="X419" s="816" t="s">
        <v>26</v>
      </c>
      <c r="Y419">
        <v>7</v>
      </c>
      <c r="Z419">
        <v>35</v>
      </c>
      <c r="AA419" s="816" t="s">
        <v>9568</v>
      </c>
      <c r="AB419" s="816" t="s">
        <v>9598</v>
      </c>
      <c r="AC419" s="816"/>
      <c r="AD419" s="816"/>
      <c r="AE419" s="816"/>
      <c r="AF419" s="816"/>
      <c r="AG419" s="816" t="s">
        <v>32</v>
      </c>
      <c r="AH419">
        <v>5</v>
      </c>
      <c r="AI419" s="816"/>
      <c r="AK419" s="816"/>
      <c r="AM419" s="816"/>
    </row>
    <row r="420" spans="1:39" x14ac:dyDescent="0.25">
      <c r="A420" s="265">
        <v>43846</v>
      </c>
      <c r="B420">
        <v>4</v>
      </c>
      <c r="C420" s="816" t="s">
        <v>7</v>
      </c>
      <c r="D420">
        <v>533</v>
      </c>
      <c r="E420" s="816" t="s">
        <v>9535</v>
      </c>
      <c r="F420" s="816" t="s">
        <v>25</v>
      </c>
      <c r="G420" s="816" t="s">
        <v>9547</v>
      </c>
      <c r="H420">
        <v>7</v>
      </c>
      <c r="I420" s="816" t="s">
        <v>16</v>
      </c>
      <c r="J420" s="816" t="s">
        <v>16</v>
      </c>
      <c r="K420" s="817">
        <v>0.1506712962962963</v>
      </c>
      <c r="L420" s="817">
        <v>0.21733796296296296</v>
      </c>
      <c r="M420" s="817"/>
      <c r="N420" s="817"/>
      <c r="O420" s="817">
        <v>0.47854166666666664</v>
      </c>
      <c r="P420" s="817">
        <v>0.73974537037037036</v>
      </c>
      <c r="Q420" s="817"/>
      <c r="R420" s="816"/>
      <c r="S420" s="817"/>
      <c r="T420" s="817"/>
      <c r="U420" s="816" t="s">
        <v>9551</v>
      </c>
      <c r="V420" s="816" t="s">
        <v>9551</v>
      </c>
      <c r="W420" s="267"/>
      <c r="X420" s="816" t="s">
        <v>26</v>
      </c>
      <c r="Y420">
        <v>18.399999999999999</v>
      </c>
      <c r="Z420">
        <v>42.9</v>
      </c>
      <c r="AA420" s="816" t="s">
        <v>9569</v>
      </c>
      <c r="AB420" s="816" t="s">
        <v>9599</v>
      </c>
      <c r="AC420" s="816"/>
      <c r="AD420" s="816"/>
      <c r="AE420" s="816"/>
      <c r="AF420" s="816"/>
      <c r="AG420" s="816"/>
      <c r="AI420" s="816"/>
      <c r="AK420" s="816"/>
      <c r="AM420" s="816"/>
    </row>
    <row r="421" spans="1:39" x14ac:dyDescent="0.25">
      <c r="A421" s="265">
        <v>43847</v>
      </c>
      <c r="B421">
        <v>5</v>
      </c>
      <c r="C421" s="816" t="s">
        <v>1</v>
      </c>
      <c r="D421">
        <v>533</v>
      </c>
      <c r="E421" s="816" t="s">
        <v>9535</v>
      </c>
      <c r="F421" s="816" t="s">
        <v>25</v>
      </c>
      <c r="G421" s="816" t="s">
        <v>9547</v>
      </c>
      <c r="H421">
        <v>8</v>
      </c>
      <c r="I421" s="816" t="s">
        <v>17</v>
      </c>
      <c r="J421" s="816" t="s">
        <v>17</v>
      </c>
      <c r="K421" s="817">
        <v>0.15099537037037036</v>
      </c>
      <c r="L421" s="817">
        <v>0.21766203703703704</v>
      </c>
      <c r="M421" s="817"/>
      <c r="N421" s="817"/>
      <c r="O421" s="817">
        <v>0.47877314814814814</v>
      </c>
      <c r="P421" s="817">
        <v>0.73988425925925927</v>
      </c>
      <c r="Q421" s="817"/>
      <c r="R421" s="816"/>
      <c r="S421" s="817"/>
      <c r="T421" s="817"/>
      <c r="U421" s="816" t="s">
        <v>9551</v>
      </c>
      <c r="V421" s="816" t="s">
        <v>9551</v>
      </c>
      <c r="W421" s="267"/>
      <c r="X421" s="816" t="s">
        <v>26</v>
      </c>
      <c r="Y421">
        <v>28.3</v>
      </c>
      <c r="Z421">
        <v>49.5</v>
      </c>
      <c r="AA421" s="816" t="s">
        <v>9570</v>
      </c>
      <c r="AB421" s="816" t="s">
        <v>9600</v>
      </c>
      <c r="AC421" s="816"/>
      <c r="AD421" s="816"/>
      <c r="AE421" s="816"/>
      <c r="AF421" s="816"/>
      <c r="AG421" s="816"/>
      <c r="AI421" s="816"/>
      <c r="AK421" s="816"/>
      <c r="AM421" s="816"/>
    </row>
    <row r="422" spans="1:39" x14ac:dyDescent="0.25">
      <c r="A422" s="265">
        <v>43848</v>
      </c>
      <c r="B422">
        <v>6</v>
      </c>
      <c r="C422" s="816" t="s">
        <v>2</v>
      </c>
      <c r="D422">
        <v>533</v>
      </c>
      <c r="E422" s="816" t="s">
        <v>9535</v>
      </c>
      <c r="F422" s="816" t="s">
        <v>25</v>
      </c>
      <c r="G422" s="816" t="s">
        <v>9547</v>
      </c>
      <c r="H422">
        <v>9</v>
      </c>
      <c r="I422" s="816" t="s">
        <v>18</v>
      </c>
      <c r="J422" s="816" t="s">
        <v>18</v>
      </c>
      <c r="K422" s="817">
        <v>0.15131944444444445</v>
      </c>
      <c r="L422" s="817">
        <v>0.2179861111111111</v>
      </c>
      <c r="M422" s="817"/>
      <c r="N422" s="817"/>
      <c r="O422" s="817">
        <v>0.47900462962962959</v>
      </c>
      <c r="P422" s="817">
        <v>0.74001157407407403</v>
      </c>
      <c r="Q422" s="817"/>
      <c r="R422" s="816"/>
      <c r="S422" s="817"/>
      <c r="T422" s="817"/>
      <c r="U422" s="816" t="s">
        <v>9551</v>
      </c>
      <c r="V422" s="816" t="s">
        <v>9551</v>
      </c>
      <c r="W422" s="267"/>
      <c r="X422" s="816" t="s">
        <v>26</v>
      </c>
      <c r="Y422">
        <v>36.4</v>
      </c>
      <c r="Z422">
        <v>54.4</v>
      </c>
      <c r="AA422" s="816" t="s">
        <v>9571</v>
      </c>
      <c r="AB422" s="816" t="s">
        <v>9602</v>
      </c>
      <c r="AC422" s="816"/>
      <c r="AD422" s="816"/>
      <c r="AE422" s="816"/>
      <c r="AF422" s="816"/>
      <c r="AG422" s="816"/>
      <c r="AI422" s="816"/>
      <c r="AK422" s="816"/>
      <c r="AM422" s="816"/>
    </row>
    <row r="423" spans="1:39" x14ac:dyDescent="0.25">
      <c r="A423" s="265">
        <v>43849</v>
      </c>
      <c r="B423">
        <v>0</v>
      </c>
      <c r="C423" s="816" t="s">
        <v>3</v>
      </c>
      <c r="D423">
        <v>533</v>
      </c>
      <c r="E423" s="816" t="s">
        <v>9535</v>
      </c>
      <c r="F423" s="816" t="s">
        <v>25</v>
      </c>
      <c r="G423" s="816" t="s">
        <v>9547</v>
      </c>
      <c r="H423">
        <v>10</v>
      </c>
      <c r="I423" s="816" t="s">
        <v>19</v>
      </c>
      <c r="J423" s="816" t="s">
        <v>19</v>
      </c>
      <c r="K423" s="817">
        <v>0.15163194444444444</v>
      </c>
      <c r="L423" s="817">
        <v>0.21829861111111112</v>
      </c>
      <c r="M423" s="817"/>
      <c r="N423" s="817"/>
      <c r="O423" s="817">
        <v>0.47922453703703699</v>
      </c>
      <c r="P423" s="817">
        <v>0.74013888888888879</v>
      </c>
      <c r="Q423" s="817"/>
      <c r="R423" s="816"/>
      <c r="S423" s="817"/>
      <c r="T423" s="817"/>
      <c r="U423" s="816" t="s">
        <v>9551</v>
      </c>
      <c r="V423" s="816" t="s">
        <v>9551</v>
      </c>
      <c r="W423" s="267"/>
      <c r="X423" s="816" t="s">
        <v>26</v>
      </c>
      <c r="Y423">
        <v>42.6</v>
      </c>
      <c r="Z423">
        <v>57.7</v>
      </c>
      <c r="AA423" s="816" t="s">
        <v>9572</v>
      </c>
      <c r="AB423" s="816" t="s">
        <v>9603</v>
      </c>
      <c r="AC423" s="816"/>
      <c r="AD423" s="816"/>
      <c r="AE423" s="816"/>
      <c r="AF423" s="816"/>
      <c r="AG423" s="816"/>
      <c r="AI423" s="816"/>
      <c r="AK423" s="816"/>
      <c r="AM423" s="816"/>
    </row>
    <row r="424" spans="1:39" x14ac:dyDescent="0.25">
      <c r="A424" s="265">
        <v>43850</v>
      </c>
      <c r="B424">
        <v>1</v>
      </c>
      <c r="C424" s="816" t="s">
        <v>4</v>
      </c>
      <c r="D424">
        <v>533</v>
      </c>
      <c r="E424" s="816" t="s">
        <v>9535</v>
      </c>
      <c r="F424" s="816" t="s">
        <v>25</v>
      </c>
      <c r="G424" s="816" t="s">
        <v>9547</v>
      </c>
      <c r="H424">
        <v>11</v>
      </c>
      <c r="I424" s="816" t="s">
        <v>9548</v>
      </c>
      <c r="J424" s="816" t="s">
        <v>20</v>
      </c>
      <c r="K424" s="817">
        <v>0.15194444444444444</v>
      </c>
      <c r="L424" s="817">
        <v>0.21861111111111112</v>
      </c>
      <c r="M424" s="817"/>
      <c r="N424" s="817"/>
      <c r="O424" s="817">
        <v>0.47943287037037036</v>
      </c>
      <c r="P424" s="817">
        <v>0.74024305555555558</v>
      </c>
      <c r="Q424" s="817"/>
      <c r="R424" s="816"/>
      <c r="S424" s="817"/>
      <c r="T424" s="817"/>
      <c r="U424" s="816" t="s">
        <v>9551</v>
      </c>
      <c r="V424" s="816" t="s">
        <v>9551</v>
      </c>
      <c r="W424" s="267"/>
      <c r="X424" s="816" t="s">
        <v>26</v>
      </c>
      <c r="Y424">
        <v>46.9</v>
      </c>
      <c r="Z424">
        <v>59.2</v>
      </c>
      <c r="AA424" s="816" t="s">
        <v>9573</v>
      </c>
      <c r="AB424" s="816" t="s">
        <v>9579</v>
      </c>
      <c r="AC424" s="816"/>
      <c r="AD424" s="816"/>
      <c r="AE424" s="816"/>
      <c r="AF424" s="816" t="s">
        <v>72</v>
      </c>
      <c r="AG424" s="816" t="s">
        <v>31</v>
      </c>
      <c r="AH424">
        <v>-1</v>
      </c>
      <c r="AI424" s="816"/>
      <c r="AK424" s="816"/>
      <c r="AM424" s="816"/>
    </row>
    <row r="425" spans="1:39" x14ac:dyDescent="0.25">
      <c r="A425" s="265">
        <v>43851</v>
      </c>
      <c r="B425">
        <v>2</v>
      </c>
      <c r="C425" s="816" t="s">
        <v>5</v>
      </c>
      <c r="D425">
        <v>533</v>
      </c>
      <c r="E425" s="816" t="s">
        <v>9535</v>
      </c>
      <c r="F425" s="816" t="s">
        <v>25</v>
      </c>
      <c r="G425" s="816" t="s">
        <v>9547</v>
      </c>
      <c r="H425">
        <v>12</v>
      </c>
      <c r="I425" s="816" t="s">
        <v>21</v>
      </c>
      <c r="J425" s="816" t="s">
        <v>21</v>
      </c>
      <c r="K425" s="817">
        <v>0.15224537037037036</v>
      </c>
      <c r="L425" s="817">
        <v>0.21891203703703702</v>
      </c>
      <c r="M425" s="817">
        <v>0.21875</v>
      </c>
      <c r="N425" s="817">
        <v>0.3923611111111111</v>
      </c>
      <c r="O425" s="817">
        <v>0.47962962962962963</v>
      </c>
      <c r="P425" s="817">
        <v>0.74034722222222227</v>
      </c>
      <c r="Q425" s="817"/>
      <c r="R425" s="816"/>
      <c r="S425" s="817"/>
      <c r="T425" s="817"/>
      <c r="U425" s="816" t="s">
        <v>9551</v>
      </c>
      <c r="V425" s="816" t="s">
        <v>9551</v>
      </c>
      <c r="W425" s="267"/>
      <c r="X425" s="816" t="s">
        <v>26</v>
      </c>
      <c r="Y425">
        <v>49.3</v>
      </c>
      <c r="Z425">
        <v>59</v>
      </c>
      <c r="AA425" s="816" t="s">
        <v>9574</v>
      </c>
      <c r="AB425" s="816" t="s">
        <v>9580</v>
      </c>
      <c r="AC425" s="816"/>
      <c r="AD425" s="816"/>
      <c r="AE425" s="816"/>
      <c r="AF425" s="816"/>
      <c r="AG425" s="816"/>
      <c r="AI425" s="816"/>
      <c r="AK425" s="816"/>
      <c r="AM425" s="816"/>
    </row>
    <row r="426" spans="1:39" x14ac:dyDescent="0.25">
      <c r="A426" s="265">
        <v>43852</v>
      </c>
      <c r="B426">
        <v>3</v>
      </c>
      <c r="C426" s="816" t="s">
        <v>6</v>
      </c>
      <c r="D426">
        <v>533</v>
      </c>
      <c r="E426" s="816" t="s">
        <v>9535</v>
      </c>
      <c r="F426" s="816" t="s">
        <v>25</v>
      </c>
      <c r="G426" s="816" t="s">
        <v>9547</v>
      </c>
      <c r="H426">
        <v>13</v>
      </c>
      <c r="I426" s="816" t="s">
        <v>8</v>
      </c>
      <c r="J426" s="816" t="s">
        <v>8</v>
      </c>
      <c r="K426" s="817">
        <v>0.15254629629629629</v>
      </c>
      <c r="L426" s="817">
        <v>0.21921296296296297</v>
      </c>
      <c r="M426" s="817"/>
      <c r="N426" s="817"/>
      <c r="O426" s="817">
        <v>0.4798263888888889</v>
      </c>
      <c r="P426" s="817">
        <v>0.74042824074074076</v>
      </c>
      <c r="Q426" s="817"/>
      <c r="R426" s="816"/>
      <c r="S426" s="817"/>
      <c r="T426" s="817"/>
      <c r="U426" s="816" t="s">
        <v>9551</v>
      </c>
      <c r="V426" s="816" t="s">
        <v>9551</v>
      </c>
      <c r="W426" s="267"/>
      <c r="X426" s="816" t="s">
        <v>26</v>
      </c>
      <c r="Y426">
        <v>50</v>
      </c>
      <c r="Z426">
        <v>57.2</v>
      </c>
      <c r="AA426" s="816" t="s">
        <v>9575</v>
      </c>
      <c r="AB426" s="816" t="s">
        <v>9581</v>
      </c>
      <c r="AC426" s="816"/>
      <c r="AD426" s="816"/>
      <c r="AE426" s="816"/>
      <c r="AF426" s="816"/>
      <c r="AG426" s="816"/>
      <c r="AI426" s="816"/>
      <c r="AK426" s="816"/>
      <c r="AM426" s="816"/>
    </row>
    <row r="427" spans="1:39" x14ac:dyDescent="0.25">
      <c r="A427" s="265">
        <v>43853</v>
      </c>
      <c r="B427">
        <v>4</v>
      </c>
      <c r="C427" s="816" t="s">
        <v>7</v>
      </c>
      <c r="D427">
        <v>533</v>
      </c>
      <c r="E427" s="816" t="s">
        <v>9535</v>
      </c>
      <c r="F427" s="816" t="s">
        <v>25</v>
      </c>
      <c r="G427" s="816" t="s">
        <v>9547</v>
      </c>
      <c r="H427">
        <v>14</v>
      </c>
      <c r="I427" s="816" t="s">
        <v>9</v>
      </c>
      <c r="J427" s="816" t="s">
        <v>9</v>
      </c>
      <c r="K427" s="817">
        <v>0.15283564814814815</v>
      </c>
      <c r="L427" s="817">
        <v>0.21950231481481483</v>
      </c>
      <c r="M427" s="817"/>
      <c r="N427" s="817"/>
      <c r="O427" s="817">
        <v>0.48</v>
      </c>
      <c r="P427" s="817">
        <v>0.74049768518518511</v>
      </c>
      <c r="Q427" s="817"/>
      <c r="R427" s="816"/>
      <c r="S427" s="817"/>
      <c r="T427" s="817"/>
      <c r="U427" s="816" t="s">
        <v>9551</v>
      </c>
      <c r="V427" s="816" t="s">
        <v>9551</v>
      </c>
      <c r="W427" s="267"/>
      <c r="X427" s="816" t="s">
        <v>26</v>
      </c>
      <c r="Y427">
        <v>48.9</v>
      </c>
      <c r="Z427">
        <v>53.9</v>
      </c>
      <c r="AA427" s="816" t="s">
        <v>9576</v>
      </c>
      <c r="AB427" s="816" t="s">
        <v>9582</v>
      </c>
      <c r="AC427" s="816"/>
      <c r="AD427" s="816"/>
      <c r="AE427" s="816"/>
      <c r="AF427" s="816"/>
      <c r="AG427" s="816"/>
      <c r="AI427" s="816"/>
      <c r="AK427" s="816"/>
      <c r="AM427" s="816"/>
    </row>
    <row r="428" spans="1:39" x14ac:dyDescent="0.25">
      <c r="A428" s="265">
        <v>43854</v>
      </c>
      <c r="B428">
        <v>5</v>
      </c>
      <c r="C428" s="816" t="s">
        <v>1</v>
      </c>
      <c r="D428">
        <v>533</v>
      </c>
      <c r="E428" s="816" t="s">
        <v>9535</v>
      </c>
      <c r="F428" s="816" t="s">
        <v>25</v>
      </c>
      <c r="G428" s="816" t="s">
        <v>9547</v>
      </c>
      <c r="H428">
        <v>15</v>
      </c>
      <c r="I428" s="816" t="s">
        <v>22</v>
      </c>
      <c r="J428" s="816" t="s">
        <v>22</v>
      </c>
      <c r="K428" s="817">
        <v>0.15312499999999998</v>
      </c>
      <c r="L428" s="817">
        <v>0.21979166666666669</v>
      </c>
      <c r="M428" s="817"/>
      <c r="N428" s="817"/>
      <c r="O428" s="817">
        <v>0.48017361111111106</v>
      </c>
      <c r="P428" s="817">
        <v>0.74056712962962967</v>
      </c>
      <c r="Q428" s="817"/>
      <c r="R428" s="816"/>
      <c r="S428" s="817"/>
      <c r="T428" s="817"/>
      <c r="U428" s="816" t="s">
        <v>9551</v>
      </c>
      <c r="V428" s="816" t="s">
        <v>9551</v>
      </c>
      <c r="W428" s="267"/>
      <c r="X428" s="816" t="s">
        <v>26</v>
      </c>
      <c r="Y428">
        <v>46.2</v>
      </c>
      <c r="Z428">
        <v>49</v>
      </c>
      <c r="AA428" s="816" t="s">
        <v>9577</v>
      </c>
      <c r="AB428" s="816" t="s">
        <v>9583</v>
      </c>
      <c r="AC428" s="816"/>
      <c r="AD428" s="816"/>
      <c r="AE428" s="816"/>
      <c r="AF428" s="816"/>
      <c r="AG428" s="816"/>
      <c r="AI428" s="816"/>
      <c r="AK428" s="816"/>
      <c r="AM428" s="816"/>
    </row>
    <row r="429" spans="1:39" x14ac:dyDescent="0.25">
      <c r="A429" s="265">
        <v>43855</v>
      </c>
      <c r="B429">
        <v>6</v>
      </c>
      <c r="C429" s="816" t="s">
        <v>2</v>
      </c>
      <c r="D429">
        <v>533</v>
      </c>
      <c r="E429" s="816" t="s">
        <v>9535</v>
      </c>
      <c r="F429" s="816" t="s">
        <v>24</v>
      </c>
      <c r="G429" s="816" t="s">
        <v>9546</v>
      </c>
      <c r="H429">
        <v>16</v>
      </c>
      <c r="I429" s="816" t="s">
        <v>11</v>
      </c>
      <c r="J429" s="816" t="s">
        <v>11</v>
      </c>
      <c r="K429" s="817">
        <v>0.15340277777777778</v>
      </c>
      <c r="L429" s="817">
        <v>0.22006944444444443</v>
      </c>
      <c r="M429" s="817"/>
      <c r="N429" s="817"/>
      <c r="O429" s="817">
        <v>0.4803472222222222</v>
      </c>
      <c r="P429" s="817">
        <v>0.74061342592592594</v>
      </c>
      <c r="Q429" s="817"/>
      <c r="R429" s="816"/>
      <c r="S429" s="817"/>
      <c r="T429" s="817"/>
      <c r="U429" s="816" t="s">
        <v>9551</v>
      </c>
      <c r="V429" s="816" t="s">
        <v>9551</v>
      </c>
      <c r="W429" s="267"/>
      <c r="X429" s="816" t="s">
        <v>26</v>
      </c>
      <c r="Y429">
        <v>41.9</v>
      </c>
      <c r="Z429">
        <v>42.8</v>
      </c>
      <c r="AA429" s="816" t="s">
        <v>9552</v>
      </c>
      <c r="AB429" s="816" t="s">
        <v>9584</v>
      </c>
      <c r="AC429" s="816"/>
      <c r="AD429" s="816"/>
      <c r="AE429" s="816"/>
      <c r="AF429" s="816"/>
      <c r="AG429" s="816"/>
      <c r="AI429" s="816"/>
      <c r="AK429" s="816"/>
      <c r="AM429" s="816"/>
    </row>
    <row r="430" spans="1:39" x14ac:dyDescent="0.25">
      <c r="A430" s="265">
        <v>43856</v>
      </c>
      <c r="B430">
        <v>0</v>
      </c>
      <c r="C430" s="816" t="s">
        <v>3</v>
      </c>
      <c r="D430">
        <v>533</v>
      </c>
      <c r="E430" s="816" t="s">
        <v>9535</v>
      </c>
      <c r="F430" s="816" t="s">
        <v>24</v>
      </c>
      <c r="G430" s="816" t="s">
        <v>9546</v>
      </c>
      <c r="H430">
        <v>17</v>
      </c>
      <c r="I430" s="816" t="s">
        <v>12</v>
      </c>
      <c r="J430" s="816" t="s">
        <v>12</v>
      </c>
      <c r="K430" s="817">
        <v>0.15366898148148148</v>
      </c>
      <c r="L430" s="817">
        <v>0.22033564814814813</v>
      </c>
      <c r="M430" s="817"/>
      <c r="N430" s="817"/>
      <c r="O430" s="817">
        <v>0.48049768518518521</v>
      </c>
      <c r="P430" s="817">
        <v>0.74065972222222232</v>
      </c>
      <c r="Q430" s="817"/>
      <c r="R430" s="816"/>
      <c r="S430" s="817"/>
      <c r="T430" s="817"/>
      <c r="U430" s="816" t="s">
        <v>9551</v>
      </c>
      <c r="V430" s="816" t="s">
        <v>9551</v>
      </c>
      <c r="W430" s="267"/>
      <c r="X430" s="816" t="s">
        <v>26</v>
      </c>
      <c r="Y430">
        <v>36</v>
      </c>
      <c r="Z430">
        <v>35.200000000000003</v>
      </c>
      <c r="AA430" s="816" t="s">
        <v>9553</v>
      </c>
      <c r="AB430" s="816" t="s">
        <v>9585</v>
      </c>
      <c r="AC430" s="816"/>
      <c r="AD430" s="816"/>
      <c r="AE430" s="816"/>
      <c r="AF430" s="816"/>
      <c r="AG430" s="816"/>
      <c r="AI430" s="816"/>
      <c r="AK430" s="816"/>
      <c r="AM430" s="816"/>
    </row>
    <row r="431" spans="1:39" x14ac:dyDescent="0.25">
      <c r="A431" s="265">
        <v>43857</v>
      </c>
      <c r="B431">
        <v>1</v>
      </c>
      <c r="C431" s="816" t="s">
        <v>4</v>
      </c>
      <c r="D431">
        <v>533</v>
      </c>
      <c r="E431" s="816" t="s">
        <v>9535</v>
      </c>
      <c r="F431" s="816" t="s">
        <v>24</v>
      </c>
      <c r="G431" s="816" t="s">
        <v>9546</v>
      </c>
      <c r="H431">
        <v>18</v>
      </c>
      <c r="I431" s="816" t="s">
        <v>23</v>
      </c>
      <c r="J431" s="816" t="s">
        <v>23</v>
      </c>
      <c r="K431" s="817">
        <v>0.1539351851851852</v>
      </c>
      <c r="L431" s="817">
        <v>0.22060185185185185</v>
      </c>
      <c r="M431" s="817"/>
      <c r="N431" s="817"/>
      <c r="O431" s="817">
        <v>0.48064814814814816</v>
      </c>
      <c r="P431" s="817">
        <v>0.74068287037037039</v>
      </c>
      <c r="Q431" s="817"/>
      <c r="R431" s="816"/>
      <c r="S431" s="817"/>
      <c r="T431" s="817"/>
      <c r="U431" s="816" t="s">
        <v>9551</v>
      </c>
      <c r="V431" s="816" t="s">
        <v>9551</v>
      </c>
      <c r="W431" s="267"/>
      <c r="X431" s="816" t="s">
        <v>26</v>
      </c>
      <c r="Y431">
        <v>28.9</v>
      </c>
      <c r="Z431">
        <v>26.3</v>
      </c>
      <c r="AA431" s="816" t="s">
        <v>9554</v>
      </c>
      <c r="AB431" s="816" t="s">
        <v>9586</v>
      </c>
      <c r="AC431" s="816"/>
      <c r="AD431" s="816"/>
      <c r="AE431" s="816"/>
      <c r="AF431" s="816"/>
      <c r="AG431" s="816"/>
      <c r="AI431" s="816"/>
      <c r="AK431" s="816"/>
      <c r="AM431" s="816"/>
    </row>
    <row r="432" spans="1:39" x14ac:dyDescent="0.25">
      <c r="A432" s="265">
        <v>43858</v>
      </c>
      <c r="B432">
        <v>2</v>
      </c>
      <c r="C432" s="816" t="s">
        <v>5</v>
      </c>
      <c r="D432">
        <v>533</v>
      </c>
      <c r="E432" s="816" t="s">
        <v>9535</v>
      </c>
      <c r="F432" s="816" t="s">
        <v>24</v>
      </c>
      <c r="G432" s="816" t="s">
        <v>9546</v>
      </c>
      <c r="H432">
        <v>19</v>
      </c>
      <c r="I432" s="816" t="s">
        <v>13</v>
      </c>
      <c r="J432" s="816" t="s">
        <v>13</v>
      </c>
      <c r="K432" s="817">
        <v>0.15418981481481481</v>
      </c>
      <c r="L432" s="817">
        <v>0.22085648148148149</v>
      </c>
      <c r="M432" s="817"/>
      <c r="N432" s="817"/>
      <c r="O432" s="817">
        <v>0.48078703703703707</v>
      </c>
      <c r="P432" s="817">
        <v>0.74070601851851858</v>
      </c>
      <c r="Q432" s="817"/>
      <c r="R432" s="816"/>
      <c r="S432" s="817"/>
      <c r="T432" s="817"/>
      <c r="U432" s="816" t="s">
        <v>9551</v>
      </c>
      <c r="V432" s="816" t="s">
        <v>9551</v>
      </c>
      <c r="W432" s="267"/>
      <c r="X432" s="816" t="s">
        <v>26</v>
      </c>
      <c r="Y432">
        <v>20.5</v>
      </c>
      <c r="Z432">
        <v>16.5</v>
      </c>
      <c r="AA432" s="816" t="s">
        <v>9555</v>
      </c>
      <c r="AB432" s="816" t="s">
        <v>9604</v>
      </c>
      <c r="AC432" s="816"/>
      <c r="AD432" s="816"/>
      <c r="AE432" s="816"/>
      <c r="AF432" s="816"/>
      <c r="AG432" s="816"/>
      <c r="AI432" s="816"/>
      <c r="AK432" s="816"/>
      <c r="AM432" s="816"/>
    </row>
    <row r="433" spans="1:39" x14ac:dyDescent="0.25">
      <c r="A433" s="265">
        <v>43859</v>
      </c>
      <c r="B433">
        <v>3</v>
      </c>
      <c r="C433" s="816" t="s">
        <v>6</v>
      </c>
      <c r="D433">
        <v>533</v>
      </c>
      <c r="E433" s="816" t="s">
        <v>9535</v>
      </c>
      <c r="F433" s="816" t="s">
        <v>24</v>
      </c>
      <c r="G433" s="816" t="s">
        <v>9546</v>
      </c>
      <c r="H433">
        <v>20</v>
      </c>
      <c r="I433" s="816" t="s">
        <v>14</v>
      </c>
      <c r="J433" s="816" t="s">
        <v>14</v>
      </c>
      <c r="K433" s="817">
        <v>0.15444444444444444</v>
      </c>
      <c r="L433" s="817">
        <v>0.22111111111111112</v>
      </c>
      <c r="M433" s="817"/>
      <c r="N433" s="817"/>
      <c r="O433" s="817">
        <v>0.48091435185185188</v>
      </c>
      <c r="P433" s="817">
        <v>0.74070601851851858</v>
      </c>
      <c r="Q433" s="817"/>
      <c r="R433" s="816"/>
      <c r="S433" s="817"/>
      <c r="T433" s="817"/>
      <c r="U433" s="816" t="s">
        <v>9551</v>
      </c>
      <c r="V433" s="816" t="s">
        <v>9551</v>
      </c>
      <c r="W433" s="267"/>
      <c r="X433" s="816" t="s">
        <v>26</v>
      </c>
      <c r="Y433">
        <v>11.3</v>
      </c>
      <c r="Z433">
        <v>5.8</v>
      </c>
      <c r="AA433" s="816" t="s">
        <v>9556</v>
      </c>
      <c r="AB433" s="816" t="s">
        <v>9587</v>
      </c>
      <c r="AC433" s="816"/>
      <c r="AD433" s="816"/>
      <c r="AE433" s="816"/>
      <c r="AF433" s="816"/>
      <c r="AG433" s="816"/>
      <c r="AI433" s="816"/>
      <c r="AK433" s="816"/>
      <c r="AM433" s="816"/>
    </row>
    <row r="434" spans="1:39" x14ac:dyDescent="0.25">
      <c r="A434" s="265">
        <v>43860</v>
      </c>
      <c r="B434">
        <v>4</v>
      </c>
      <c r="C434" s="816" t="s">
        <v>7</v>
      </c>
      <c r="D434">
        <v>533</v>
      </c>
      <c r="E434" s="816" t="s">
        <v>9535</v>
      </c>
      <c r="F434" s="816" t="s">
        <v>24</v>
      </c>
      <c r="G434" s="816" t="s">
        <v>9546</v>
      </c>
      <c r="H434">
        <v>21</v>
      </c>
      <c r="I434" s="816" t="s">
        <v>15</v>
      </c>
      <c r="J434" s="816" t="s">
        <v>14</v>
      </c>
      <c r="K434" s="817">
        <v>0.15468750000000001</v>
      </c>
      <c r="L434" s="817">
        <v>0.22135416666666666</v>
      </c>
      <c r="M434" s="817"/>
      <c r="N434" s="817"/>
      <c r="O434" s="817">
        <v>0.48103009259259261</v>
      </c>
      <c r="P434" s="817">
        <v>0.74070601851851858</v>
      </c>
      <c r="Q434" s="817"/>
      <c r="R434" s="816"/>
      <c r="S434" s="817"/>
      <c r="T434" s="817"/>
      <c r="U434" s="816" t="s">
        <v>9551</v>
      </c>
      <c r="V434" s="816" t="s">
        <v>9551</v>
      </c>
      <c r="W434" s="267"/>
      <c r="X434" s="816" t="s">
        <v>26</v>
      </c>
      <c r="Y434">
        <v>1.7</v>
      </c>
      <c r="Z434">
        <v>94.8</v>
      </c>
      <c r="AA434" s="816" t="s">
        <v>9556</v>
      </c>
      <c r="AB434" s="816" t="s">
        <v>9588</v>
      </c>
      <c r="AC434" s="816"/>
      <c r="AD434" s="816"/>
      <c r="AE434" s="816"/>
      <c r="AF434" s="816"/>
      <c r="AG434" s="816"/>
      <c r="AI434" s="816"/>
      <c r="AK434" s="816"/>
      <c r="AM434" s="816"/>
    </row>
    <row r="435" spans="1:39" x14ac:dyDescent="0.25">
      <c r="A435" s="265">
        <v>43861</v>
      </c>
      <c r="B435">
        <v>5</v>
      </c>
      <c r="C435" s="816" t="s">
        <v>1</v>
      </c>
      <c r="D435">
        <v>533</v>
      </c>
      <c r="E435" s="816" t="s">
        <v>9535</v>
      </c>
      <c r="F435" s="816" t="s">
        <v>24</v>
      </c>
      <c r="G435" s="816" t="s">
        <v>9546</v>
      </c>
      <c r="H435">
        <v>21</v>
      </c>
      <c r="I435" s="816" t="s">
        <v>15</v>
      </c>
      <c r="J435" s="816" t="s">
        <v>15</v>
      </c>
      <c r="K435" s="817">
        <v>0.15491898148148148</v>
      </c>
      <c r="L435" s="817">
        <v>0.22158564814814816</v>
      </c>
      <c r="M435" s="817"/>
      <c r="N435" s="817"/>
      <c r="O435" s="817">
        <v>0.48113425925925929</v>
      </c>
      <c r="P435" s="817">
        <v>0.74068287037037039</v>
      </c>
      <c r="Q435" s="817"/>
      <c r="R435" s="816"/>
      <c r="S435" s="817"/>
      <c r="T435" s="817"/>
      <c r="U435" s="816" t="s">
        <v>9551</v>
      </c>
      <c r="V435" s="816" t="s">
        <v>9551</v>
      </c>
      <c r="W435" s="267"/>
      <c r="X435" s="816" t="s">
        <v>27</v>
      </c>
      <c r="Y435">
        <v>92.2</v>
      </c>
      <c r="Z435">
        <v>83.8</v>
      </c>
      <c r="AA435" s="816" t="s">
        <v>9557</v>
      </c>
      <c r="AB435" s="816" t="s">
        <v>9589</v>
      </c>
      <c r="AC435" s="816"/>
      <c r="AD435" s="816"/>
      <c r="AE435" s="816"/>
      <c r="AF435" s="816"/>
      <c r="AG435" s="816"/>
      <c r="AI435" s="816"/>
      <c r="AK435" s="816"/>
      <c r="AM435" s="816"/>
    </row>
    <row r="436" spans="1:39" x14ac:dyDescent="0.25">
      <c r="A436" s="265">
        <v>43862</v>
      </c>
      <c r="B436">
        <v>6</v>
      </c>
      <c r="C436" s="816" t="s">
        <v>2</v>
      </c>
      <c r="D436">
        <v>533</v>
      </c>
      <c r="E436" s="816" t="s">
        <v>9535</v>
      </c>
      <c r="F436" s="816" t="s">
        <v>24</v>
      </c>
      <c r="G436" s="816" t="s">
        <v>9546</v>
      </c>
      <c r="H436">
        <v>22</v>
      </c>
      <c r="I436" s="816" t="s">
        <v>16</v>
      </c>
      <c r="J436" s="816" t="s">
        <v>16</v>
      </c>
      <c r="K436" s="817">
        <v>0.15515046296296295</v>
      </c>
      <c r="L436" s="817">
        <v>0.22181712962962963</v>
      </c>
      <c r="M436" s="817"/>
      <c r="N436" s="817"/>
      <c r="O436" s="817">
        <v>0.48123842592592592</v>
      </c>
      <c r="P436" s="817">
        <v>0.74065972222222232</v>
      </c>
      <c r="Q436" s="817"/>
      <c r="R436" s="816"/>
      <c r="S436" s="817"/>
      <c r="T436" s="817"/>
      <c r="U436" s="816" t="s">
        <v>9551</v>
      </c>
      <c r="V436" s="816" t="s">
        <v>9551</v>
      </c>
      <c r="W436" s="267"/>
      <c r="X436" s="816" t="s">
        <v>26</v>
      </c>
      <c r="Y436">
        <v>83.2</v>
      </c>
      <c r="Z436">
        <v>73.400000000000006</v>
      </c>
      <c r="AA436" s="816" t="s">
        <v>9558</v>
      </c>
      <c r="AB436" s="816" t="s">
        <v>9590</v>
      </c>
      <c r="AC436" s="816"/>
      <c r="AD436" s="816"/>
      <c r="AE436" s="816"/>
      <c r="AF436" s="816"/>
      <c r="AG436" s="816"/>
      <c r="AI436" s="816"/>
      <c r="AK436" s="816"/>
      <c r="AM436" s="816"/>
    </row>
    <row r="437" spans="1:39" x14ac:dyDescent="0.25">
      <c r="A437" s="265">
        <v>43863</v>
      </c>
      <c r="B437">
        <v>0</v>
      </c>
      <c r="C437" s="816" t="s">
        <v>3</v>
      </c>
      <c r="D437">
        <v>533</v>
      </c>
      <c r="E437" s="816" t="s">
        <v>9535</v>
      </c>
      <c r="F437" s="816" t="s">
        <v>24</v>
      </c>
      <c r="G437" s="816" t="s">
        <v>9546</v>
      </c>
      <c r="H437">
        <v>23</v>
      </c>
      <c r="I437" s="816" t="s">
        <v>17</v>
      </c>
      <c r="J437" s="816" t="s">
        <v>17</v>
      </c>
      <c r="K437" s="817">
        <v>0.15537037037037038</v>
      </c>
      <c r="L437" s="817">
        <v>0.22203703703703703</v>
      </c>
      <c r="M437" s="817"/>
      <c r="N437" s="817"/>
      <c r="O437" s="817">
        <v>0.48133101851851851</v>
      </c>
      <c r="P437" s="817">
        <v>0.74062499999999998</v>
      </c>
      <c r="Q437" s="817"/>
      <c r="R437" s="816"/>
      <c r="S437" s="817"/>
      <c r="T437" s="817"/>
      <c r="U437" s="816" t="s">
        <v>9551</v>
      </c>
      <c r="V437" s="816" t="s">
        <v>9551</v>
      </c>
      <c r="W437" s="267"/>
      <c r="X437" s="816" t="s">
        <v>26</v>
      </c>
      <c r="Y437">
        <v>75.599999999999994</v>
      </c>
      <c r="Z437">
        <v>64.099999999999994</v>
      </c>
      <c r="AA437" s="816" t="s">
        <v>9578</v>
      </c>
      <c r="AB437" s="816" t="s">
        <v>9591</v>
      </c>
      <c r="AC437" s="816"/>
      <c r="AD437" s="816"/>
      <c r="AE437" s="816"/>
      <c r="AF437" s="816"/>
      <c r="AG437" s="816"/>
      <c r="AI437" s="816"/>
      <c r="AK437" s="816"/>
      <c r="AM437" s="816"/>
    </row>
    <row r="438" spans="1:39" x14ac:dyDescent="0.25">
      <c r="A438" s="265">
        <v>43864</v>
      </c>
      <c r="B438">
        <v>1</v>
      </c>
      <c r="C438" s="816" t="s">
        <v>4</v>
      </c>
      <c r="D438">
        <v>533</v>
      </c>
      <c r="E438" s="816" t="s">
        <v>9535</v>
      </c>
      <c r="F438" s="816" t="s">
        <v>24</v>
      </c>
      <c r="G438" s="816" t="s">
        <v>9546</v>
      </c>
      <c r="H438">
        <v>24</v>
      </c>
      <c r="I438" s="816" t="s">
        <v>18</v>
      </c>
      <c r="J438" s="816" t="s">
        <v>18</v>
      </c>
      <c r="K438" s="817">
        <v>0.15557870370370372</v>
      </c>
      <c r="L438" s="817">
        <v>0.22224537037037037</v>
      </c>
      <c r="M438" s="817"/>
      <c r="N438" s="817"/>
      <c r="O438" s="817">
        <v>0.481412037037037</v>
      </c>
      <c r="P438" s="817">
        <v>0.74056712962962967</v>
      </c>
      <c r="Q438" s="817"/>
      <c r="R438" s="816"/>
      <c r="S438" s="817"/>
      <c r="T438" s="817"/>
      <c r="U438" s="816" t="s">
        <v>9551</v>
      </c>
      <c r="V438" s="816" t="s">
        <v>9551</v>
      </c>
      <c r="W438" s="267"/>
      <c r="X438" s="816" t="s">
        <v>26</v>
      </c>
      <c r="Y438">
        <v>69.900000000000006</v>
      </c>
      <c r="Z438">
        <v>56.6</v>
      </c>
      <c r="AA438" s="816" t="s">
        <v>9559</v>
      </c>
      <c r="AB438" s="816" t="s">
        <v>9605</v>
      </c>
      <c r="AC438" s="816"/>
      <c r="AD438" s="816"/>
      <c r="AE438" s="816"/>
      <c r="AF438" s="816"/>
      <c r="AG438" s="816"/>
      <c r="AI438" s="816"/>
      <c r="AK438" s="816"/>
      <c r="AM438" s="816"/>
    </row>
    <row r="439" spans="1:39" x14ac:dyDescent="0.25">
      <c r="A439" s="265">
        <v>43865</v>
      </c>
      <c r="B439">
        <v>2</v>
      </c>
      <c r="C439" s="816" t="s">
        <v>5</v>
      </c>
      <c r="D439">
        <v>533</v>
      </c>
      <c r="E439" s="816" t="s">
        <v>9535</v>
      </c>
      <c r="F439" s="816" t="s">
        <v>24</v>
      </c>
      <c r="G439" s="816" t="s">
        <v>9546</v>
      </c>
      <c r="H439">
        <v>25</v>
      </c>
      <c r="I439" s="816" t="s">
        <v>19</v>
      </c>
      <c r="J439" s="816" t="s">
        <v>19</v>
      </c>
      <c r="K439" s="817">
        <v>0.15578703703703703</v>
      </c>
      <c r="L439" s="817">
        <v>0.22245370370370368</v>
      </c>
      <c r="M439" s="817"/>
      <c r="N439" s="817"/>
      <c r="O439" s="817">
        <v>0.48148148148148145</v>
      </c>
      <c r="P439" s="817">
        <v>0.74050925925925926</v>
      </c>
      <c r="Q439" s="817"/>
      <c r="R439" s="816"/>
      <c r="S439" s="817"/>
      <c r="T439" s="817"/>
      <c r="U439" s="816" t="s">
        <v>9551</v>
      </c>
      <c r="V439" s="816" t="s">
        <v>9551</v>
      </c>
      <c r="W439" s="267"/>
      <c r="X439" s="816" t="s">
        <v>26</v>
      </c>
      <c r="Y439">
        <v>66.900000000000006</v>
      </c>
      <c r="Z439">
        <v>51.5</v>
      </c>
      <c r="AA439" s="816" t="s">
        <v>9560</v>
      </c>
      <c r="AB439" s="816" t="s">
        <v>9592</v>
      </c>
      <c r="AC439" s="816"/>
      <c r="AD439" s="816"/>
      <c r="AE439" s="816"/>
      <c r="AF439" s="816"/>
      <c r="AG439" s="816"/>
      <c r="AI439" s="816"/>
      <c r="AK439" s="816"/>
      <c r="AM439" s="816"/>
    </row>
    <row r="440" spans="1:39" x14ac:dyDescent="0.25">
      <c r="A440" s="265">
        <v>43866</v>
      </c>
      <c r="B440">
        <v>3</v>
      </c>
      <c r="C440" s="816" t="s">
        <v>6</v>
      </c>
      <c r="D440">
        <v>533</v>
      </c>
      <c r="E440" s="816" t="s">
        <v>9535</v>
      </c>
      <c r="F440" s="816" t="s">
        <v>24</v>
      </c>
      <c r="G440" s="816" t="s">
        <v>9546</v>
      </c>
      <c r="H440">
        <v>26</v>
      </c>
      <c r="I440" s="816" t="s">
        <v>9548</v>
      </c>
      <c r="J440" s="816" t="s">
        <v>20</v>
      </c>
      <c r="K440" s="817">
        <v>0.1559837962962963</v>
      </c>
      <c r="L440" s="817">
        <v>0.22265046296296298</v>
      </c>
      <c r="M440" s="817"/>
      <c r="N440" s="817"/>
      <c r="O440" s="817">
        <v>0.48153935185185182</v>
      </c>
      <c r="P440" s="817">
        <v>0.74043981481481491</v>
      </c>
      <c r="Q440" s="817"/>
      <c r="R440" s="816"/>
      <c r="S440" s="817"/>
      <c r="T440" s="817"/>
      <c r="U440" s="816" t="s">
        <v>9551</v>
      </c>
      <c r="V440" s="816" t="s">
        <v>9551</v>
      </c>
      <c r="W440" s="267"/>
      <c r="X440" s="816" t="s">
        <v>26</v>
      </c>
      <c r="Y440">
        <v>67.099999999999994</v>
      </c>
      <c r="Z440">
        <v>49.3</v>
      </c>
      <c r="AA440" s="816" t="s">
        <v>9561</v>
      </c>
      <c r="AB440" s="816" t="s">
        <v>9593</v>
      </c>
      <c r="AC440" s="816"/>
      <c r="AD440" s="816"/>
      <c r="AE440" s="816"/>
      <c r="AF440" s="816" t="s">
        <v>72</v>
      </c>
      <c r="AG440" s="816" t="s">
        <v>33</v>
      </c>
      <c r="AH440">
        <v>-1</v>
      </c>
      <c r="AI440" s="816"/>
      <c r="AK440" s="816"/>
      <c r="AM440" s="816"/>
    </row>
    <row r="441" spans="1:39" x14ac:dyDescent="0.25">
      <c r="A441" s="265">
        <v>43867</v>
      </c>
      <c r="B441">
        <v>4</v>
      </c>
      <c r="C441" s="816" t="s">
        <v>7</v>
      </c>
      <c r="D441">
        <v>533</v>
      </c>
      <c r="E441" s="816" t="s">
        <v>9535</v>
      </c>
      <c r="F441" s="816" t="s">
        <v>24</v>
      </c>
      <c r="G441" s="816" t="s">
        <v>9546</v>
      </c>
      <c r="H441">
        <v>27</v>
      </c>
      <c r="I441" s="816" t="s">
        <v>21</v>
      </c>
      <c r="J441" s="816" t="s">
        <v>21</v>
      </c>
      <c r="K441" s="817">
        <v>0.15616898148148148</v>
      </c>
      <c r="L441" s="817">
        <v>0.22283564814814816</v>
      </c>
      <c r="M441" s="817">
        <v>0.22222222222222221</v>
      </c>
      <c r="N441" s="817">
        <v>0.39513888888888887</v>
      </c>
      <c r="O441" s="817">
        <v>0.48159722222222223</v>
      </c>
      <c r="P441" s="817">
        <v>0.74034722222222227</v>
      </c>
      <c r="Q441" s="817"/>
      <c r="R441" s="816"/>
      <c r="S441" s="817"/>
      <c r="T441" s="817"/>
      <c r="U441" s="816" t="s">
        <v>9551</v>
      </c>
      <c r="V441" s="816" t="s">
        <v>9551</v>
      </c>
      <c r="W441" s="267"/>
      <c r="X441" s="816" t="s">
        <v>26</v>
      </c>
      <c r="Y441">
        <v>70.900000000000006</v>
      </c>
      <c r="Z441">
        <v>50.3</v>
      </c>
      <c r="AA441" s="816" t="s">
        <v>9562</v>
      </c>
      <c r="AB441" s="816" t="s">
        <v>9594</v>
      </c>
      <c r="AC441" s="816"/>
      <c r="AD441" s="816"/>
      <c r="AE441" s="816"/>
      <c r="AF441" s="816"/>
      <c r="AG441" s="816"/>
      <c r="AI441" s="816"/>
      <c r="AK441" s="816"/>
      <c r="AM441" s="816"/>
    </row>
    <row r="442" spans="1:39" x14ac:dyDescent="0.25">
      <c r="A442" s="265">
        <v>43868</v>
      </c>
      <c r="B442">
        <v>5</v>
      </c>
      <c r="C442" s="816" t="s">
        <v>1</v>
      </c>
      <c r="D442">
        <v>533</v>
      </c>
      <c r="E442" s="816" t="s">
        <v>9535</v>
      </c>
      <c r="F442" s="816" t="s">
        <v>24</v>
      </c>
      <c r="G442" s="816" t="s">
        <v>9546</v>
      </c>
      <c r="H442">
        <v>28</v>
      </c>
      <c r="I442" s="816" t="s">
        <v>8</v>
      </c>
      <c r="J442" s="816" t="s">
        <v>8</v>
      </c>
      <c r="K442" s="817">
        <v>0.15635416666666666</v>
      </c>
      <c r="L442" s="817">
        <v>0.22302083333333333</v>
      </c>
      <c r="M442" s="817"/>
      <c r="N442" s="817"/>
      <c r="O442" s="817">
        <v>0.4816319444444444</v>
      </c>
      <c r="P442" s="817">
        <v>0.74025462962962962</v>
      </c>
      <c r="Q442" s="817"/>
      <c r="R442" s="816"/>
      <c r="S442" s="817"/>
      <c r="T442" s="817"/>
      <c r="U442" s="816" t="s">
        <v>9551</v>
      </c>
      <c r="V442" s="816" t="s">
        <v>9551</v>
      </c>
      <c r="W442" s="267"/>
      <c r="X442" s="816" t="s">
        <v>26</v>
      </c>
      <c r="Y442">
        <v>78.5</v>
      </c>
      <c r="Z442">
        <v>54.7</v>
      </c>
      <c r="AA442" s="816" t="s">
        <v>9563</v>
      </c>
      <c r="AB442" s="816" t="s">
        <v>9595</v>
      </c>
      <c r="AC442" s="816"/>
      <c r="AD442" s="816"/>
      <c r="AE442" s="816"/>
      <c r="AF442" s="816"/>
      <c r="AG442" s="816"/>
      <c r="AI442" s="816"/>
      <c r="AK442" s="816"/>
      <c r="AM442" s="816"/>
    </row>
    <row r="443" spans="1:39" x14ac:dyDescent="0.25">
      <c r="A443" s="265">
        <v>43869</v>
      </c>
      <c r="B443">
        <v>6</v>
      </c>
      <c r="C443" s="816" t="s">
        <v>2</v>
      </c>
      <c r="D443">
        <v>533</v>
      </c>
      <c r="E443" s="816" t="s">
        <v>9535</v>
      </c>
      <c r="F443" s="816" t="s">
        <v>24</v>
      </c>
      <c r="G443" s="816" t="s">
        <v>9546</v>
      </c>
      <c r="H443">
        <v>29</v>
      </c>
      <c r="I443" s="816" t="s">
        <v>9</v>
      </c>
      <c r="J443" s="816" t="s">
        <v>9</v>
      </c>
      <c r="K443" s="817">
        <v>0.15652777777777779</v>
      </c>
      <c r="L443" s="817">
        <v>0.22319444444444445</v>
      </c>
      <c r="M443" s="817"/>
      <c r="N443" s="817"/>
      <c r="O443" s="817">
        <v>0.48166666666666669</v>
      </c>
      <c r="P443" s="817">
        <v>0.74015046296296294</v>
      </c>
      <c r="Q443" s="817"/>
      <c r="R443" s="816"/>
      <c r="S443" s="817"/>
      <c r="T443" s="817"/>
      <c r="U443" s="816" t="s">
        <v>9551</v>
      </c>
      <c r="V443" s="816" t="s">
        <v>9551</v>
      </c>
      <c r="W443" s="267"/>
      <c r="X443" s="816" t="s">
        <v>26</v>
      </c>
      <c r="Y443">
        <v>89.6</v>
      </c>
      <c r="Z443">
        <v>62.4</v>
      </c>
      <c r="AA443" s="816" t="s">
        <v>9564</v>
      </c>
      <c r="AB443" s="816" t="s">
        <v>9596</v>
      </c>
      <c r="AC443" s="816"/>
      <c r="AD443" s="816"/>
      <c r="AE443" s="816"/>
      <c r="AF443" s="816"/>
      <c r="AG443" s="816"/>
      <c r="AI443" s="816"/>
      <c r="AK443" s="816"/>
      <c r="AM443" s="816"/>
    </row>
    <row r="444" spans="1:39" x14ac:dyDescent="0.25">
      <c r="A444" s="265">
        <v>43870</v>
      </c>
      <c r="B444">
        <v>0</v>
      </c>
      <c r="C444" s="816" t="s">
        <v>3</v>
      </c>
      <c r="D444">
        <v>533</v>
      </c>
      <c r="E444" s="816" t="s">
        <v>9536</v>
      </c>
      <c r="F444" s="816" t="s">
        <v>25</v>
      </c>
      <c r="G444" s="816" t="s">
        <v>9547</v>
      </c>
      <c r="H444">
        <v>1</v>
      </c>
      <c r="I444" s="816" t="s">
        <v>11</v>
      </c>
      <c r="J444" s="816" t="s">
        <v>10</v>
      </c>
      <c r="K444" s="817">
        <v>0.15668981481481481</v>
      </c>
      <c r="L444" s="817">
        <v>0.22335648148148149</v>
      </c>
      <c r="M444" s="817"/>
      <c r="N444" s="817"/>
      <c r="O444" s="817">
        <v>0.48170138888888886</v>
      </c>
      <c r="P444" s="817">
        <v>0.74003472222222222</v>
      </c>
      <c r="Q444" s="817"/>
      <c r="R444" s="816"/>
      <c r="S444" s="817">
        <v>0.31458333333333333</v>
      </c>
      <c r="T444" s="817">
        <v>0.19027777777777777</v>
      </c>
      <c r="U444" s="816" t="s">
        <v>9551</v>
      </c>
      <c r="V444" s="816" t="s">
        <v>9551</v>
      </c>
      <c r="W444" s="267"/>
      <c r="X444" s="816" t="s">
        <v>26</v>
      </c>
      <c r="Y444">
        <v>3.7</v>
      </c>
      <c r="Z444">
        <v>72.7</v>
      </c>
      <c r="AA444" s="816" t="s">
        <v>9565</v>
      </c>
      <c r="AB444" s="816" t="s">
        <v>9597</v>
      </c>
      <c r="AC444" s="816"/>
      <c r="AD444" s="816"/>
      <c r="AE444" s="816"/>
      <c r="AF444" s="816"/>
      <c r="AG444" s="816"/>
      <c r="AI444" s="816"/>
      <c r="AK444" s="816"/>
      <c r="AM444" s="816"/>
    </row>
    <row r="445" spans="1:39" x14ac:dyDescent="0.25">
      <c r="A445" s="265">
        <v>43871</v>
      </c>
      <c r="B445">
        <v>1</v>
      </c>
      <c r="C445" s="816" t="s">
        <v>4</v>
      </c>
      <c r="D445">
        <v>533</v>
      </c>
      <c r="E445" s="816" t="s">
        <v>9536</v>
      </c>
      <c r="F445" s="816" t="s">
        <v>25</v>
      </c>
      <c r="G445" s="816" t="s">
        <v>9547</v>
      </c>
      <c r="H445">
        <v>2</v>
      </c>
      <c r="I445" s="816" t="s">
        <v>12</v>
      </c>
      <c r="J445" s="816" t="s">
        <v>12</v>
      </c>
      <c r="K445" s="817">
        <v>0.15684027777777779</v>
      </c>
      <c r="L445" s="817">
        <v>0.22350694444444444</v>
      </c>
      <c r="M445" s="817"/>
      <c r="N445" s="817"/>
      <c r="O445" s="817">
        <v>0.48171296296296301</v>
      </c>
      <c r="P445" s="817">
        <v>0.73990740740740746</v>
      </c>
      <c r="Q445" s="817"/>
      <c r="R445" s="816"/>
      <c r="S445" s="817"/>
      <c r="T445" s="817"/>
      <c r="U445" s="816" t="s">
        <v>9551</v>
      </c>
      <c r="V445" s="816" t="s">
        <v>9551</v>
      </c>
      <c r="W445" s="267"/>
      <c r="X445" s="816" t="s">
        <v>26</v>
      </c>
      <c r="Y445">
        <v>19.8</v>
      </c>
      <c r="Z445">
        <v>84.8</v>
      </c>
      <c r="AA445" s="816" t="s">
        <v>9566</v>
      </c>
      <c r="AB445" s="816" t="s">
        <v>9599</v>
      </c>
      <c r="AC445" s="816"/>
      <c r="AD445" s="816"/>
      <c r="AE445" s="816"/>
      <c r="AF445" s="816"/>
      <c r="AG445" s="816"/>
      <c r="AI445" s="816"/>
      <c r="AK445" s="816"/>
      <c r="AM445" s="816"/>
    </row>
    <row r="446" spans="1:39" x14ac:dyDescent="0.25">
      <c r="A446" s="265">
        <v>43872</v>
      </c>
      <c r="B446">
        <v>2</v>
      </c>
      <c r="C446" s="816" t="s">
        <v>5</v>
      </c>
      <c r="D446">
        <v>533</v>
      </c>
      <c r="E446" s="816" t="s">
        <v>9536</v>
      </c>
      <c r="F446" s="816" t="s">
        <v>25</v>
      </c>
      <c r="G446" s="816" t="s">
        <v>9547</v>
      </c>
      <c r="H446">
        <v>3</v>
      </c>
      <c r="I446" s="816" t="s">
        <v>23</v>
      </c>
      <c r="J446" s="816" t="s">
        <v>23</v>
      </c>
      <c r="K446" s="817">
        <v>0.15699074074074074</v>
      </c>
      <c r="L446" s="817">
        <v>0.22365740740740739</v>
      </c>
      <c r="M446" s="817"/>
      <c r="N446" s="817"/>
      <c r="O446" s="817">
        <v>0.48172453703703705</v>
      </c>
      <c r="P446" s="817">
        <v>0.7397800925925927</v>
      </c>
      <c r="Q446" s="817"/>
      <c r="R446" s="816"/>
      <c r="S446" s="817"/>
      <c r="T446" s="817"/>
      <c r="U446" s="816" t="s">
        <v>9551</v>
      </c>
      <c r="V446" s="816" t="s">
        <v>9551</v>
      </c>
      <c r="W446" s="267"/>
      <c r="X446" s="816" t="s">
        <v>26</v>
      </c>
      <c r="Y446">
        <v>36.700000000000003</v>
      </c>
      <c r="Z446">
        <v>97.5</v>
      </c>
      <c r="AA446" s="816" t="s">
        <v>9567</v>
      </c>
      <c r="AB446" s="816" t="s">
        <v>9600</v>
      </c>
      <c r="AC446" s="816"/>
      <c r="AD446" s="816"/>
      <c r="AE446" s="816"/>
      <c r="AF446" s="816"/>
      <c r="AG446" s="816"/>
      <c r="AI446" s="816"/>
      <c r="AK446" s="816"/>
      <c r="AM446" s="816"/>
    </row>
    <row r="447" spans="1:39" x14ac:dyDescent="0.25">
      <c r="A447" s="265">
        <v>43873</v>
      </c>
      <c r="B447">
        <v>3</v>
      </c>
      <c r="C447" s="816" t="s">
        <v>6</v>
      </c>
      <c r="D447">
        <v>533</v>
      </c>
      <c r="E447" s="816" t="s">
        <v>9536</v>
      </c>
      <c r="F447" s="816" t="s">
        <v>25</v>
      </c>
      <c r="G447" s="816" t="s">
        <v>9547</v>
      </c>
      <c r="H447">
        <v>4</v>
      </c>
      <c r="I447" s="816" t="s">
        <v>13</v>
      </c>
      <c r="J447" s="816" t="s">
        <v>13</v>
      </c>
      <c r="K447" s="817">
        <v>0.15714120370370369</v>
      </c>
      <c r="L447" s="817">
        <v>0.22380787037037039</v>
      </c>
      <c r="M447" s="817"/>
      <c r="N447" s="817"/>
      <c r="O447" s="817">
        <v>0.48171296296296301</v>
      </c>
      <c r="P447" s="817">
        <v>0.73962962962962964</v>
      </c>
      <c r="Q447" s="817"/>
      <c r="R447" s="816"/>
      <c r="S447" s="817"/>
      <c r="T447" s="817"/>
      <c r="U447" s="816" t="s">
        <v>9551</v>
      </c>
      <c r="V447" s="816" t="s">
        <v>9551</v>
      </c>
      <c r="W447" s="267"/>
      <c r="X447" s="816" t="s">
        <v>26</v>
      </c>
      <c r="Y447">
        <v>52.9</v>
      </c>
      <c r="Z447">
        <v>9.6999999999999993</v>
      </c>
      <c r="AA447" s="816" t="s">
        <v>9569</v>
      </c>
      <c r="AB447" s="816" t="s">
        <v>9601</v>
      </c>
      <c r="AC447" s="816"/>
      <c r="AD447" s="816"/>
      <c r="AE447" s="816"/>
      <c r="AF447" s="816"/>
      <c r="AG447" s="816"/>
      <c r="AI447" s="816"/>
      <c r="AK447" s="816"/>
      <c r="AM447" s="816"/>
    </row>
    <row r="448" spans="1:39" x14ac:dyDescent="0.25">
      <c r="A448" s="265">
        <v>43874</v>
      </c>
      <c r="B448">
        <v>4</v>
      </c>
      <c r="C448" s="816" t="s">
        <v>7</v>
      </c>
      <c r="D448">
        <v>533</v>
      </c>
      <c r="E448" s="816" t="s">
        <v>9536</v>
      </c>
      <c r="F448" s="816" t="s">
        <v>25</v>
      </c>
      <c r="G448" s="816" t="s">
        <v>9547</v>
      </c>
      <c r="H448">
        <v>5</v>
      </c>
      <c r="I448" s="816" t="s">
        <v>14</v>
      </c>
      <c r="J448" s="816" t="s">
        <v>14</v>
      </c>
      <c r="K448" s="817">
        <v>0.15726851851851853</v>
      </c>
      <c r="L448" s="817">
        <v>0.22393518518518518</v>
      </c>
      <c r="M448" s="817"/>
      <c r="N448" s="817"/>
      <c r="O448" s="817">
        <v>0.48170138888888886</v>
      </c>
      <c r="P448" s="817">
        <v>0.73947916666666658</v>
      </c>
      <c r="Q448" s="817">
        <v>0.26862268518518517</v>
      </c>
      <c r="R448" s="816" t="s">
        <v>75</v>
      </c>
      <c r="S448" s="817"/>
      <c r="T448" s="817"/>
      <c r="U448" s="816" t="s">
        <v>9551</v>
      </c>
      <c r="V448" s="816" t="s">
        <v>9551</v>
      </c>
      <c r="W448" s="267"/>
      <c r="X448" s="816" t="s">
        <v>26</v>
      </c>
      <c r="Y448">
        <v>67.400000000000006</v>
      </c>
      <c r="Z448">
        <v>20.3</v>
      </c>
      <c r="AA448" s="816" t="s">
        <v>9570</v>
      </c>
      <c r="AB448" s="816" t="s">
        <v>9602</v>
      </c>
      <c r="AC448" s="816"/>
      <c r="AD448" s="816"/>
      <c r="AE448" s="816"/>
      <c r="AF448" s="816"/>
      <c r="AG448" s="816"/>
      <c r="AI448" s="816"/>
      <c r="AK448" s="816"/>
      <c r="AM448" s="816"/>
    </row>
    <row r="449" spans="1:39" x14ac:dyDescent="0.25">
      <c r="A449" s="265">
        <v>43875</v>
      </c>
      <c r="B449">
        <v>5</v>
      </c>
      <c r="C449" s="816" t="s">
        <v>1</v>
      </c>
      <c r="D449">
        <v>533</v>
      </c>
      <c r="E449" s="816" t="s">
        <v>9536</v>
      </c>
      <c r="F449" s="816" t="s">
        <v>25</v>
      </c>
      <c r="G449" s="816" t="s">
        <v>9547</v>
      </c>
      <c r="H449">
        <v>6</v>
      </c>
      <c r="I449" s="816" t="s">
        <v>15</v>
      </c>
      <c r="J449" s="816" t="s">
        <v>15</v>
      </c>
      <c r="K449" s="817">
        <v>0.15739583333333332</v>
      </c>
      <c r="L449" s="817">
        <v>0.22406250000000003</v>
      </c>
      <c r="M449" s="817"/>
      <c r="N449" s="817"/>
      <c r="O449" s="817">
        <v>0.48168981481481482</v>
      </c>
      <c r="P449" s="817">
        <v>0.73930555555555555</v>
      </c>
      <c r="Q449" s="817"/>
      <c r="R449" s="816"/>
      <c r="S449" s="817"/>
      <c r="T449" s="817"/>
      <c r="U449" s="816" t="s">
        <v>9551</v>
      </c>
      <c r="V449" s="816" t="s">
        <v>9551</v>
      </c>
      <c r="W449" s="267"/>
      <c r="X449" s="816" t="s">
        <v>26</v>
      </c>
      <c r="Y449">
        <v>79.3</v>
      </c>
      <c r="Z449">
        <v>28.6</v>
      </c>
      <c r="AA449" s="816" t="s">
        <v>9571</v>
      </c>
      <c r="AB449" s="816" t="s">
        <v>9603</v>
      </c>
      <c r="AC449" s="816"/>
      <c r="AD449" s="816"/>
      <c r="AE449" s="816"/>
      <c r="AF449" s="816"/>
      <c r="AG449" s="816"/>
      <c r="AI449" s="816"/>
      <c r="AK449" s="816"/>
      <c r="AM449" s="816"/>
    </row>
    <row r="450" spans="1:39" x14ac:dyDescent="0.25">
      <c r="A450" s="265">
        <v>43876</v>
      </c>
      <c r="B450">
        <v>6</v>
      </c>
      <c r="C450" s="816" t="s">
        <v>2</v>
      </c>
      <c r="D450">
        <v>533</v>
      </c>
      <c r="E450" s="816" t="s">
        <v>9536</v>
      </c>
      <c r="F450" s="816" t="s">
        <v>25</v>
      </c>
      <c r="G450" s="816" t="s">
        <v>9547</v>
      </c>
      <c r="H450">
        <v>7</v>
      </c>
      <c r="I450" s="816" t="s">
        <v>16</v>
      </c>
      <c r="J450" s="816" t="s">
        <v>16</v>
      </c>
      <c r="K450" s="817">
        <v>0.1575115740740741</v>
      </c>
      <c r="L450" s="817">
        <v>0.22417824074074075</v>
      </c>
      <c r="M450" s="817"/>
      <c r="N450" s="817"/>
      <c r="O450" s="817">
        <v>0.48165509259259259</v>
      </c>
      <c r="P450" s="817">
        <v>0.73913194444444441</v>
      </c>
      <c r="Q450" s="817"/>
      <c r="R450" s="816"/>
      <c r="S450" s="817"/>
      <c r="T450" s="817"/>
      <c r="U450" s="816" t="s">
        <v>9551</v>
      </c>
      <c r="V450" s="816" t="s">
        <v>9551</v>
      </c>
      <c r="W450" s="267"/>
      <c r="X450" s="816" t="s">
        <v>26</v>
      </c>
      <c r="Y450">
        <v>88.2</v>
      </c>
      <c r="Z450">
        <v>34.200000000000003</v>
      </c>
      <c r="AA450" s="816" t="s">
        <v>9572</v>
      </c>
      <c r="AB450" s="816" t="s">
        <v>9579</v>
      </c>
      <c r="AC450" s="816"/>
      <c r="AD450" s="816"/>
      <c r="AE450" s="816"/>
      <c r="AF450" s="816"/>
      <c r="AG450" s="816"/>
      <c r="AI450" s="816"/>
      <c r="AK450" s="816"/>
      <c r="AM450" s="816"/>
    </row>
    <row r="451" spans="1:39" x14ac:dyDescent="0.25">
      <c r="A451" s="265">
        <v>43877</v>
      </c>
      <c r="B451">
        <v>0</v>
      </c>
      <c r="C451" s="816" t="s">
        <v>3</v>
      </c>
      <c r="D451">
        <v>533</v>
      </c>
      <c r="E451" s="816" t="s">
        <v>9536</v>
      </c>
      <c r="F451" s="816" t="s">
        <v>25</v>
      </c>
      <c r="G451" s="816" t="s">
        <v>9547</v>
      </c>
      <c r="H451">
        <v>8</v>
      </c>
      <c r="I451" s="816" t="s">
        <v>17</v>
      </c>
      <c r="J451" s="816" t="s">
        <v>17</v>
      </c>
      <c r="K451" s="817">
        <v>0.15762731481481482</v>
      </c>
      <c r="L451" s="817">
        <v>0.2242939814814815</v>
      </c>
      <c r="M451" s="817"/>
      <c r="N451" s="817"/>
      <c r="O451" s="817">
        <v>0.48162037037037037</v>
      </c>
      <c r="P451" s="817">
        <v>0.73894675925925923</v>
      </c>
      <c r="Q451" s="817"/>
      <c r="R451" s="816"/>
      <c r="S451" s="817"/>
      <c r="T451" s="817"/>
      <c r="U451" s="816" t="s">
        <v>9551</v>
      </c>
      <c r="V451" s="816" t="s">
        <v>9551</v>
      </c>
      <c r="W451" s="267"/>
      <c r="X451" s="816" t="s">
        <v>26</v>
      </c>
      <c r="Y451">
        <v>94</v>
      </c>
      <c r="Z451">
        <v>37</v>
      </c>
      <c r="AA451" s="816" t="s">
        <v>9573</v>
      </c>
      <c r="AB451" s="816" t="s">
        <v>9581</v>
      </c>
      <c r="AC451" s="816"/>
      <c r="AD451" s="816"/>
      <c r="AE451" s="816"/>
      <c r="AF451" s="816"/>
      <c r="AG451" s="816"/>
      <c r="AI451" s="816"/>
      <c r="AK451" s="816"/>
      <c r="AM451" s="816"/>
    </row>
    <row r="452" spans="1:39" x14ac:dyDescent="0.25">
      <c r="A452" s="265">
        <v>43878</v>
      </c>
      <c r="B452">
        <v>1</v>
      </c>
      <c r="C452" s="816" t="s">
        <v>4</v>
      </c>
      <c r="D452">
        <v>533</v>
      </c>
      <c r="E452" s="816" t="s">
        <v>9536</v>
      </c>
      <c r="F452" s="816" t="s">
        <v>25</v>
      </c>
      <c r="G452" s="816" t="s">
        <v>9547</v>
      </c>
      <c r="H452">
        <v>9</v>
      </c>
      <c r="I452" s="816" t="s">
        <v>18</v>
      </c>
      <c r="J452" s="816" t="s">
        <v>18</v>
      </c>
      <c r="K452" s="817">
        <v>0.1577314814814815</v>
      </c>
      <c r="L452" s="817">
        <v>0.22439814814814815</v>
      </c>
      <c r="M452" s="817"/>
      <c r="N452" s="817"/>
      <c r="O452" s="817">
        <v>0.4815740740740741</v>
      </c>
      <c r="P452" s="817">
        <v>0.73876157407407417</v>
      </c>
      <c r="Q452" s="817"/>
      <c r="R452" s="816"/>
      <c r="S452" s="817"/>
      <c r="T452" s="817"/>
      <c r="U452" s="816" t="s">
        <v>9551</v>
      </c>
      <c r="V452" s="816" t="s">
        <v>9551</v>
      </c>
      <c r="W452" s="267"/>
      <c r="X452" s="816" t="s">
        <v>26</v>
      </c>
      <c r="Y452">
        <v>96.9</v>
      </c>
      <c r="Z452">
        <v>37.1</v>
      </c>
      <c r="AA452" s="816" t="s">
        <v>9574</v>
      </c>
      <c r="AB452" s="816" t="s">
        <v>9582</v>
      </c>
      <c r="AC452" s="816"/>
      <c r="AD452" s="816"/>
      <c r="AE452" s="816"/>
      <c r="AF452" s="816"/>
      <c r="AG452" s="816"/>
      <c r="AI452" s="816"/>
      <c r="AK452" s="816"/>
      <c r="AM452" s="816"/>
    </row>
    <row r="453" spans="1:39" x14ac:dyDescent="0.25">
      <c r="A453" s="265">
        <v>43879</v>
      </c>
      <c r="B453">
        <v>2</v>
      </c>
      <c r="C453" s="816" t="s">
        <v>5</v>
      </c>
      <c r="D453">
        <v>533</v>
      </c>
      <c r="E453" s="816" t="s">
        <v>9536</v>
      </c>
      <c r="F453" s="816" t="s">
        <v>25</v>
      </c>
      <c r="G453" s="816" t="s">
        <v>9547</v>
      </c>
      <c r="H453">
        <v>10</v>
      </c>
      <c r="I453" s="816" t="s">
        <v>19</v>
      </c>
      <c r="J453" s="816" t="s">
        <v>19</v>
      </c>
      <c r="K453" s="817">
        <v>0.15782407407407409</v>
      </c>
      <c r="L453" s="817">
        <v>0.22449074074074074</v>
      </c>
      <c r="M453" s="817"/>
      <c r="N453" s="817"/>
      <c r="O453" s="817">
        <v>0.48152777777777778</v>
      </c>
      <c r="P453" s="817">
        <v>0.73855324074074069</v>
      </c>
      <c r="Q453" s="817"/>
      <c r="R453" s="816"/>
      <c r="S453" s="817"/>
      <c r="T453" s="817"/>
      <c r="U453" s="816" t="s">
        <v>9551</v>
      </c>
      <c r="V453" s="816" t="s">
        <v>9551</v>
      </c>
      <c r="W453" s="267"/>
      <c r="X453" s="816" t="s">
        <v>26</v>
      </c>
      <c r="Y453">
        <v>97.1</v>
      </c>
      <c r="Z453">
        <v>35</v>
      </c>
      <c r="AA453" s="816" t="s">
        <v>9575</v>
      </c>
      <c r="AB453" s="816" t="s">
        <v>9583</v>
      </c>
      <c r="AC453" s="816"/>
      <c r="AD453" s="816"/>
      <c r="AE453" s="816"/>
      <c r="AF453" s="816"/>
      <c r="AG453" s="816"/>
      <c r="AI453" s="816"/>
      <c r="AK453" s="816"/>
      <c r="AM453" s="816"/>
    </row>
    <row r="454" spans="1:39" x14ac:dyDescent="0.25">
      <c r="A454" s="265">
        <v>43880</v>
      </c>
      <c r="B454">
        <v>3</v>
      </c>
      <c r="C454" s="816" t="s">
        <v>6</v>
      </c>
      <c r="D454">
        <v>533</v>
      </c>
      <c r="E454" s="816" t="s">
        <v>9536</v>
      </c>
      <c r="F454" s="816" t="s">
        <v>25</v>
      </c>
      <c r="G454" s="816" t="s">
        <v>9547</v>
      </c>
      <c r="H454">
        <v>11</v>
      </c>
      <c r="I454" s="816" t="s">
        <v>9548</v>
      </c>
      <c r="J454" s="816" t="s">
        <v>20</v>
      </c>
      <c r="K454" s="817">
        <v>0.15791666666666668</v>
      </c>
      <c r="L454" s="817">
        <v>0.22458333333333333</v>
      </c>
      <c r="M454" s="817"/>
      <c r="N454" s="817"/>
      <c r="O454" s="817">
        <v>0.48146990740740742</v>
      </c>
      <c r="P454" s="817">
        <v>0.73834490740740744</v>
      </c>
      <c r="Q454" s="817"/>
      <c r="R454" s="816"/>
      <c r="S454" s="817"/>
      <c r="T454" s="817"/>
      <c r="U454" s="816" t="s">
        <v>9551</v>
      </c>
      <c r="V454" s="816" t="s">
        <v>9551</v>
      </c>
      <c r="W454" s="267"/>
      <c r="X454" s="816" t="s">
        <v>26</v>
      </c>
      <c r="Y454">
        <v>95.2</v>
      </c>
      <c r="Z454">
        <v>30.8</v>
      </c>
      <c r="AA454" s="816" t="s">
        <v>9576</v>
      </c>
      <c r="AB454" s="816" t="s">
        <v>9584</v>
      </c>
      <c r="AC454" s="816"/>
      <c r="AD454" s="816"/>
      <c r="AE454" s="816"/>
      <c r="AF454" s="816" t="s">
        <v>72</v>
      </c>
      <c r="AG454" s="816" t="s">
        <v>34</v>
      </c>
      <c r="AH454">
        <v>-1</v>
      </c>
      <c r="AI454" s="816"/>
      <c r="AK454" s="816"/>
      <c r="AM454" s="816"/>
    </row>
    <row r="455" spans="1:39" x14ac:dyDescent="0.25">
      <c r="A455" s="265">
        <v>43881</v>
      </c>
      <c r="B455">
        <v>4</v>
      </c>
      <c r="C455" s="816" t="s">
        <v>7</v>
      </c>
      <c r="D455">
        <v>533</v>
      </c>
      <c r="E455" s="816" t="s">
        <v>9536</v>
      </c>
      <c r="F455" s="816" t="s">
        <v>25</v>
      </c>
      <c r="G455" s="816" t="s">
        <v>9547</v>
      </c>
      <c r="H455">
        <v>12</v>
      </c>
      <c r="I455" s="816" t="s">
        <v>21</v>
      </c>
      <c r="J455" s="816" t="s">
        <v>21</v>
      </c>
      <c r="K455" s="817">
        <v>0.15799768518518517</v>
      </c>
      <c r="L455" s="817">
        <v>0.22466435185185185</v>
      </c>
      <c r="M455" s="817">
        <v>0.22430555555555556</v>
      </c>
      <c r="N455" s="817">
        <v>0.31319444444444444</v>
      </c>
      <c r="O455" s="817">
        <v>0.48140046296296296</v>
      </c>
      <c r="P455" s="817">
        <v>0.73812500000000003</v>
      </c>
      <c r="Q455" s="817"/>
      <c r="R455" s="816"/>
      <c r="S455" s="817"/>
      <c r="T455" s="817"/>
      <c r="U455" s="816" t="s">
        <v>9551</v>
      </c>
      <c r="V455" s="816" t="s">
        <v>9551</v>
      </c>
      <c r="W455" s="267"/>
      <c r="X455" s="816" t="s">
        <v>26</v>
      </c>
      <c r="Y455">
        <v>91.5</v>
      </c>
      <c r="Z455">
        <v>25</v>
      </c>
      <c r="AA455" s="816" t="s">
        <v>9577</v>
      </c>
      <c r="AB455" s="816" t="s">
        <v>9585</v>
      </c>
      <c r="AC455" s="816"/>
      <c r="AD455" s="816"/>
      <c r="AE455" s="816"/>
      <c r="AF455" s="816"/>
      <c r="AG455" s="816"/>
      <c r="AI455" s="816"/>
      <c r="AK455" s="816"/>
      <c r="AM455" s="816"/>
    </row>
    <row r="456" spans="1:39" x14ac:dyDescent="0.25">
      <c r="A456" s="265">
        <v>43882</v>
      </c>
      <c r="B456">
        <v>5</v>
      </c>
      <c r="C456" s="816" t="s">
        <v>1</v>
      </c>
      <c r="D456">
        <v>533</v>
      </c>
      <c r="E456" s="816" t="s">
        <v>9536</v>
      </c>
      <c r="F456" s="816" t="s">
        <v>25</v>
      </c>
      <c r="G456" s="816" t="s">
        <v>9547</v>
      </c>
      <c r="H456">
        <v>13</v>
      </c>
      <c r="I456" s="816" t="s">
        <v>8</v>
      </c>
      <c r="J456" s="816" t="s">
        <v>8</v>
      </c>
      <c r="K456" s="817">
        <v>0.15807870370370369</v>
      </c>
      <c r="L456" s="817">
        <v>0.22474537037037037</v>
      </c>
      <c r="M456" s="817"/>
      <c r="N456" s="817"/>
      <c r="O456" s="817">
        <v>0.48131944444444441</v>
      </c>
      <c r="P456" s="817">
        <v>0.73790509259259263</v>
      </c>
      <c r="Q456" s="817"/>
      <c r="R456" s="816"/>
      <c r="S456" s="817"/>
      <c r="T456" s="817"/>
      <c r="U456" s="816" t="s">
        <v>9551</v>
      </c>
      <c r="V456" s="816" t="s">
        <v>9551</v>
      </c>
      <c r="W456" s="267"/>
      <c r="X456" s="816" t="s">
        <v>26</v>
      </c>
      <c r="Y456">
        <v>86.3</v>
      </c>
      <c r="Z456">
        <v>17.899999999999999</v>
      </c>
      <c r="AA456" s="816" t="s">
        <v>9552</v>
      </c>
      <c r="AB456" s="816" t="s">
        <v>9586</v>
      </c>
      <c r="AC456" s="816"/>
      <c r="AD456" s="816"/>
      <c r="AE456" s="816"/>
      <c r="AF456" s="816"/>
      <c r="AG456" s="816"/>
      <c r="AI456" s="816"/>
      <c r="AK456" s="816"/>
      <c r="AM456" s="816"/>
    </row>
    <row r="457" spans="1:39" x14ac:dyDescent="0.25">
      <c r="A457" s="265">
        <v>43883</v>
      </c>
      <c r="B457">
        <v>6</v>
      </c>
      <c r="C457" s="816" t="s">
        <v>2</v>
      </c>
      <c r="D457">
        <v>533</v>
      </c>
      <c r="E457" s="816" t="s">
        <v>9536</v>
      </c>
      <c r="F457" s="816" t="s">
        <v>25</v>
      </c>
      <c r="G457" s="816" t="s">
        <v>9547</v>
      </c>
      <c r="H457">
        <v>14</v>
      </c>
      <c r="I457" s="816" t="s">
        <v>9</v>
      </c>
      <c r="J457" s="816" t="s">
        <v>9</v>
      </c>
      <c r="K457" s="817">
        <v>0.15814814814814815</v>
      </c>
      <c r="L457" s="817">
        <v>0.2248148148148148</v>
      </c>
      <c r="M457" s="817"/>
      <c r="N457" s="817"/>
      <c r="O457" s="817">
        <v>0.48123842592592592</v>
      </c>
      <c r="P457" s="817">
        <v>0.73766203703703714</v>
      </c>
      <c r="Q457" s="817"/>
      <c r="R457" s="816"/>
      <c r="S457" s="817"/>
      <c r="T457" s="817"/>
      <c r="U457" s="816" t="s">
        <v>9551</v>
      </c>
      <c r="V457" s="816" t="s">
        <v>9551</v>
      </c>
      <c r="W457" s="267"/>
      <c r="X457" s="816" t="s">
        <v>26</v>
      </c>
      <c r="Y457">
        <v>79.900000000000006</v>
      </c>
      <c r="Z457">
        <v>9.6999999999999993</v>
      </c>
      <c r="AA457" s="816" t="s">
        <v>9553</v>
      </c>
      <c r="AB457" s="816" t="s">
        <v>9604</v>
      </c>
      <c r="AC457" s="816"/>
      <c r="AD457" s="816"/>
      <c r="AE457" s="816"/>
      <c r="AF457" s="816"/>
      <c r="AG457" s="816"/>
      <c r="AI457" s="816"/>
      <c r="AK457" s="816"/>
      <c r="AM457" s="816"/>
    </row>
    <row r="458" spans="1:39" x14ac:dyDescent="0.25">
      <c r="A458" s="265">
        <v>43884</v>
      </c>
      <c r="B458">
        <v>0</v>
      </c>
      <c r="C458" s="816" t="s">
        <v>3</v>
      </c>
      <c r="D458">
        <v>533</v>
      </c>
      <c r="E458" s="816" t="s">
        <v>9536</v>
      </c>
      <c r="F458" s="816" t="s">
        <v>25</v>
      </c>
      <c r="G458" s="816" t="s">
        <v>9547</v>
      </c>
      <c r="H458">
        <v>15</v>
      </c>
      <c r="I458" s="816" t="s">
        <v>22</v>
      </c>
      <c r="J458" s="816" t="s">
        <v>22</v>
      </c>
      <c r="K458" s="817">
        <v>0.15820601851851854</v>
      </c>
      <c r="L458" s="817">
        <v>0.22487268518518519</v>
      </c>
      <c r="M458" s="817"/>
      <c r="N458" s="817"/>
      <c r="O458" s="817">
        <v>0.48114583333333333</v>
      </c>
      <c r="P458" s="817">
        <v>0.73741898148148144</v>
      </c>
      <c r="Q458" s="817"/>
      <c r="R458" s="816"/>
      <c r="S458" s="817"/>
      <c r="T458" s="817"/>
      <c r="U458" s="816" t="s">
        <v>9551</v>
      </c>
      <c r="V458" s="816" t="s">
        <v>9551</v>
      </c>
      <c r="W458" s="267"/>
      <c r="X458" s="816" t="s">
        <v>26</v>
      </c>
      <c r="Y458">
        <v>72.5</v>
      </c>
      <c r="Z458">
        <v>0.6</v>
      </c>
      <c r="AA458" s="816" t="s">
        <v>9554</v>
      </c>
      <c r="AB458" s="816" t="s">
        <v>9587</v>
      </c>
      <c r="AC458" s="816"/>
      <c r="AD458" s="816"/>
      <c r="AE458" s="816"/>
      <c r="AF458" s="816"/>
      <c r="AG458" s="816"/>
      <c r="AI458" s="816"/>
      <c r="AK458" s="816"/>
      <c r="AM458" s="816"/>
    </row>
    <row r="459" spans="1:39" x14ac:dyDescent="0.25">
      <c r="A459" s="265">
        <v>43885</v>
      </c>
      <c r="B459">
        <v>1</v>
      </c>
      <c r="C459" s="816" t="s">
        <v>4</v>
      </c>
      <c r="D459">
        <v>533</v>
      </c>
      <c r="E459" s="816" t="s">
        <v>9536</v>
      </c>
      <c r="F459" s="816" t="s">
        <v>24</v>
      </c>
      <c r="G459" s="816" t="s">
        <v>9546</v>
      </c>
      <c r="H459">
        <v>16</v>
      </c>
      <c r="I459" s="816" t="s">
        <v>11</v>
      </c>
      <c r="J459" s="816" t="s">
        <v>11</v>
      </c>
      <c r="K459" s="817">
        <v>0.1582638888888889</v>
      </c>
      <c r="L459" s="817">
        <v>0.22493055555555555</v>
      </c>
      <c r="M459" s="817"/>
      <c r="N459" s="817"/>
      <c r="O459" s="817">
        <v>0.4810532407407408</v>
      </c>
      <c r="P459" s="817">
        <v>0.73717592592592596</v>
      </c>
      <c r="Q459" s="817"/>
      <c r="R459" s="816"/>
      <c r="S459" s="817"/>
      <c r="T459" s="817"/>
      <c r="U459" s="816" t="s">
        <v>9551</v>
      </c>
      <c r="V459" s="816" t="s">
        <v>9551</v>
      </c>
      <c r="W459" s="267"/>
      <c r="X459" s="816" t="s">
        <v>26</v>
      </c>
      <c r="Y459">
        <v>64.3</v>
      </c>
      <c r="Z459">
        <v>90.8</v>
      </c>
      <c r="AA459" s="816" t="s">
        <v>9554</v>
      </c>
      <c r="AB459" s="816" t="s">
        <v>9588</v>
      </c>
      <c r="AC459" s="816"/>
      <c r="AD459" s="816"/>
      <c r="AE459" s="816"/>
      <c r="AF459" s="816"/>
      <c r="AG459" s="816"/>
      <c r="AI459" s="816"/>
      <c r="AK459" s="816"/>
      <c r="AM459" s="816"/>
    </row>
    <row r="460" spans="1:39" x14ac:dyDescent="0.25">
      <c r="A460" s="265">
        <v>43886</v>
      </c>
      <c r="B460">
        <v>2</v>
      </c>
      <c r="C460" s="816" t="s">
        <v>5</v>
      </c>
      <c r="D460">
        <v>533</v>
      </c>
      <c r="E460" s="816" t="s">
        <v>9536</v>
      </c>
      <c r="F460" s="816" t="s">
        <v>24</v>
      </c>
      <c r="G460" s="816" t="s">
        <v>9546</v>
      </c>
      <c r="H460">
        <v>17</v>
      </c>
      <c r="I460" s="816" t="s">
        <v>12</v>
      </c>
      <c r="J460" s="816" t="s">
        <v>12</v>
      </c>
      <c r="K460" s="817">
        <v>0.15831018518518519</v>
      </c>
      <c r="L460" s="817">
        <v>0.22497685185185187</v>
      </c>
      <c r="M460" s="817"/>
      <c r="N460" s="817"/>
      <c r="O460" s="817">
        <v>0.48094907407407406</v>
      </c>
      <c r="P460" s="817">
        <v>0.73690972222222229</v>
      </c>
      <c r="Q460" s="817"/>
      <c r="R460" s="816"/>
      <c r="S460" s="817"/>
      <c r="T460" s="817"/>
      <c r="U460" s="816" t="s">
        <v>9551</v>
      </c>
      <c r="V460" s="816" t="s">
        <v>9551</v>
      </c>
      <c r="W460" s="267"/>
      <c r="X460" s="816" t="s">
        <v>26</v>
      </c>
      <c r="Y460">
        <v>55.4</v>
      </c>
      <c r="Z460">
        <v>80.3</v>
      </c>
      <c r="AA460" s="816" t="s">
        <v>9555</v>
      </c>
      <c r="AB460" s="816" t="s">
        <v>9589</v>
      </c>
      <c r="AC460" s="816"/>
      <c r="AD460" s="816"/>
      <c r="AE460" s="816"/>
      <c r="AF460" s="816"/>
      <c r="AG460" s="816"/>
      <c r="AI460" s="816"/>
      <c r="AK460" s="816"/>
      <c r="AM460" s="816"/>
    </row>
    <row r="461" spans="1:39" x14ac:dyDescent="0.25">
      <c r="A461" s="265">
        <v>43887</v>
      </c>
      <c r="B461">
        <v>3</v>
      </c>
      <c r="C461" s="816" t="s">
        <v>6</v>
      </c>
      <c r="D461">
        <v>533</v>
      </c>
      <c r="E461" s="816" t="s">
        <v>9536</v>
      </c>
      <c r="F461" s="816" t="s">
        <v>24</v>
      </c>
      <c r="G461" s="816" t="s">
        <v>9546</v>
      </c>
      <c r="H461">
        <v>18</v>
      </c>
      <c r="I461" s="816" t="s">
        <v>23</v>
      </c>
      <c r="J461" s="816" t="s">
        <v>23</v>
      </c>
      <c r="K461" s="817">
        <v>0.15835648148148149</v>
      </c>
      <c r="L461" s="817">
        <v>0.22502314814814817</v>
      </c>
      <c r="M461" s="817"/>
      <c r="N461" s="817"/>
      <c r="O461" s="817">
        <v>0.48083333333333328</v>
      </c>
      <c r="P461" s="817">
        <v>0.73664351851851861</v>
      </c>
      <c r="Q461" s="817"/>
      <c r="R461" s="816"/>
      <c r="S461" s="817"/>
      <c r="T461" s="817"/>
      <c r="U461" s="816" t="s">
        <v>9551</v>
      </c>
      <c r="V461" s="816" t="s">
        <v>9551</v>
      </c>
      <c r="W461" s="267"/>
      <c r="X461" s="816" t="s">
        <v>26</v>
      </c>
      <c r="Y461">
        <v>46</v>
      </c>
      <c r="Z461">
        <v>69.400000000000006</v>
      </c>
      <c r="AA461" s="816" t="s">
        <v>9556</v>
      </c>
      <c r="AB461" s="816" t="s">
        <v>9590</v>
      </c>
      <c r="AC461" s="816"/>
      <c r="AD461" s="816"/>
      <c r="AE461" s="816"/>
      <c r="AF461" s="816"/>
      <c r="AG461" s="816"/>
      <c r="AI461" s="816"/>
      <c r="AK461" s="816"/>
      <c r="AM461" s="816"/>
    </row>
    <row r="462" spans="1:39" x14ac:dyDescent="0.25">
      <c r="A462" s="265">
        <v>43888</v>
      </c>
      <c r="B462">
        <v>4</v>
      </c>
      <c r="C462" s="816" t="s">
        <v>7</v>
      </c>
      <c r="D462">
        <v>533</v>
      </c>
      <c r="E462" s="816" t="s">
        <v>9536</v>
      </c>
      <c r="F462" s="816" t="s">
        <v>24</v>
      </c>
      <c r="G462" s="816" t="s">
        <v>9546</v>
      </c>
      <c r="H462">
        <v>19</v>
      </c>
      <c r="I462" s="816" t="s">
        <v>13</v>
      </c>
      <c r="J462" s="816" t="s">
        <v>13</v>
      </c>
      <c r="K462" s="817">
        <v>0.15839120370370371</v>
      </c>
      <c r="L462" s="817">
        <v>0.22505787037037037</v>
      </c>
      <c r="M462" s="817"/>
      <c r="N462" s="817"/>
      <c r="O462" s="817">
        <v>0.48071759259259261</v>
      </c>
      <c r="P462" s="817">
        <v>0.73637731481481483</v>
      </c>
      <c r="Q462" s="817"/>
      <c r="R462" s="816"/>
      <c r="S462" s="817"/>
      <c r="T462" s="817"/>
      <c r="U462" s="816" t="s">
        <v>9551</v>
      </c>
      <c r="V462" s="816" t="s">
        <v>9551</v>
      </c>
      <c r="W462" s="267"/>
      <c r="X462" s="816" t="s">
        <v>26</v>
      </c>
      <c r="Y462">
        <v>36.4</v>
      </c>
      <c r="Z462">
        <v>58.3</v>
      </c>
      <c r="AA462" s="816" t="s">
        <v>9557</v>
      </c>
      <c r="AB462" s="816" t="s">
        <v>9591</v>
      </c>
      <c r="AC462" s="816"/>
      <c r="AD462" s="816"/>
      <c r="AE462" s="816"/>
      <c r="AF462" s="816"/>
      <c r="AG462" s="816"/>
      <c r="AI462" s="816"/>
      <c r="AK462" s="816"/>
      <c r="AM462" s="816"/>
    </row>
    <row r="463" spans="1:39" x14ac:dyDescent="0.25">
      <c r="A463" s="265">
        <v>43889</v>
      </c>
      <c r="B463">
        <v>5</v>
      </c>
      <c r="C463" s="816" t="s">
        <v>1</v>
      </c>
      <c r="D463">
        <v>533</v>
      </c>
      <c r="E463" s="816" t="s">
        <v>9536</v>
      </c>
      <c r="F463" s="816" t="s">
        <v>24</v>
      </c>
      <c r="G463" s="816" t="s">
        <v>9546</v>
      </c>
      <c r="H463">
        <v>20</v>
      </c>
      <c r="I463" s="816" t="s">
        <v>14</v>
      </c>
      <c r="J463" s="816" t="s">
        <v>14</v>
      </c>
      <c r="K463" s="817">
        <v>0.15842592592592594</v>
      </c>
      <c r="L463" s="817">
        <v>0.22509259259259259</v>
      </c>
      <c r="M463" s="817"/>
      <c r="N463" s="817"/>
      <c r="O463" s="817">
        <v>0.48059027777777774</v>
      </c>
      <c r="P463" s="817">
        <v>0.73609953703703701</v>
      </c>
      <c r="Q463" s="817"/>
      <c r="R463" s="816"/>
      <c r="S463" s="817"/>
      <c r="T463" s="817"/>
      <c r="U463" s="816" t="s">
        <v>9551</v>
      </c>
      <c r="V463" s="816" t="s">
        <v>9551</v>
      </c>
      <c r="W463" s="267"/>
      <c r="X463" s="816" t="s">
        <v>26</v>
      </c>
      <c r="Y463">
        <v>26.9</v>
      </c>
      <c r="Z463">
        <v>47.3</v>
      </c>
      <c r="AA463" s="816" t="s">
        <v>9558</v>
      </c>
      <c r="AB463" s="816" t="s">
        <v>9605</v>
      </c>
      <c r="AC463" s="816"/>
      <c r="AD463" s="816"/>
      <c r="AE463" s="816"/>
      <c r="AF463" s="816"/>
      <c r="AG463" s="816"/>
      <c r="AI463" s="816"/>
      <c r="AK463" s="816"/>
      <c r="AM463" s="816"/>
    </row>
    <row r="464" spans="1:39" x14ac:dyDescent="0.25">
      <c r="A464" s="265">
        <v>43890</v>
      </c>
      <c r="B464">
        <v>6</v>
      </c>
      <c r="C464" s="816" t="s">
        <v>2</v>
      </c>
      <c r="D464">
        <v>533</v>
      </c>
      <c r="E464" s="816" t="s">
        <v>9536</v>
      </c>
      <c r="F464" s="816" t="s">
        <v>24</v>
      </c>
      <c r="G464" s="816" t="s">
        <v>9546</v>
      </c>
      <c r="H464">
        <v>21</v>
      </c>
      <c r="I464" s="816" t="s">
        <v>15</v>
      </c>
      <c r="J464" s="816" t="s">
        <v>15</v>
      </c>
      <c r="K464" s="817">
        <v>0.15844907407407408</v>
      </c>
      <c r="L464" s="817">
        <v>0.22511574074074073</v>
      </c>
      <c r="M464" s="817"/>
      <c r="N464" s="817"/>
      <c r="O464" s="817">
        <v>0.48046296296296293</v>
      </c>
      <c r="P464" s="817">
        <v>0.73581018518518526</v>
      </c>
      <c r="Q464" s="817"/>
      <c r="R464" s="816"/>
      <c r="S464" s="817"/>
      <c r="T464" s="817"/>
      <c r="U464" s="816" t="s">
        <v>9551</v>
      </c>
      <c r="V464" s="816" t="s">
        <v>9551</v>
      </c>
      <c r="W464" s="267"/>
      <c r="X464" s="816" t="s">
        <v>26</v>
      </c>
      <c r="Y464">
        <v>18</v>
      </c>
      <c r="Z464">
        <v>36.799999999999997</v>
      </c>
      <c r="AA464" s="816" t="s">
        <v>9578</v>
      </c>
      <c r="AB464" s="816" t="s">
        <v>9592</v>
      </c>
      <c r="AC464" s="816"/>
      <c r="AD464" s="816"/>
      <c r="AE464" s="816"/>
      <c r="AF464" s="816"/>
      <c r="AG464" s="816"/>
      <c r="AI464" s="816"/>
      <c r="AK464" s="816"/>
      <c r="AM464" s="816"/>
    </row>
    <row r="465" spans="1:39" x14ac:dyDescent="0.25">
      <c r="A465" s="265">
        <v>43891</v>
      </c>
      <c r="B465">
        <v>0</v>
      </c>
      <c r="C465" s="816" t="s">
        <v>3</v>
      </c>
      <c r="D465">
        <v>533</v>
      </c>
      <c r="E465" s="816" t="s">
        <v>9536</v>
      </c>
      <c r="F465" s="816" t="s">
        <v>24</v>
      </c>
      <c r="G465" s="816" t="s">
        <v>9546</v>
      </c>
      <c r="H465">
        <v>22</v>
      </c>
      <c r="I465" s="816" t="s">
        <v>16</v>
      </c>
      <c r="J465" s="816" t="s">
        <v>16</v>
      </c>
      <c r="K465" s="817">
        <v>0.15847222222222221</v>
      </c>
      <c r="L465" s="817">
        <v>0.22513888888888889</v>
      </c>
      <c r="M465" s="817"/>
      <c r="N465" s="817"/>
      <c r="O465" s="817">
        <v>0.48032407407407413</v>
      </c>
      <c r="P465" s="817">
        <v>0.73552083333333329</v>
      </c>
      <c r="Q465" s="817"/>
      <c r="R465" s="816"/>
      <c r="S465" s="817"/>
      <c r="T465" s="817"/>
      <c r="U465" s="816" t="s">
        <v>9551</v>
      </c>
      <c r="V465" s="816" t="s">
        <v>9551</v>
      </c>
      <c r="W465" s="267"/>
      <c r="X465" s="816" t="s">
        <v>26</v>
      </c>
      <c r="Y465">
        <v>10.1</v>
      </c>
      <c r="Z465">
        <v>27.2</v>
      </c>
      <c r="AA465" s="816" t="s">
        <v>9559</v>
      </c>
      <c r="AB465" s="816" t="s">
        <v>9593</v>
      </c>
      <c r="AC465" s="816"/>
      <c r="AD465" s="816"/>
      <c r="AE465" s="816"/>
      <c r="AF465" s="816"/>
      <c r="AG465" s="816"/>
      <c r="AI465" s="816"/>
      <c r="AK465" s="816"/>
      <c r="AM465" s="816"/>
    </row>
    <row r="466" spans="1:39" x14ac:dyDescent="0.25">
      <c r="A466" s="265">
        <v>43892</v>
      </c>
      <c r="B466">
        <v>1</v>
      </c>
      <c r="C466" s="816" t="s">
        <v>4</v>
      </c>
      <c r="D466">
        <v>533</v>
      </c>
      <c r="E466" s="816" t="s">
        <v>9536</v>
      </c>
      <c r="F466" s="816" t="s">
        <v>24</v>
      </c>
      <c r="G466" s="816" t="s">
        <v>9546</v>
      </c>
      <c r="H466">
        <v>23</v>
      </c>
      <c r="I466" s="816" t="s">
        <v>17</v>
      </c>
      <c r="J466" s="816" t="s">
        <v>16</v>
      </c>
      <c r="K466" s="817">
        <v>0.1584837962962963</v>
      </c>
      <c r="L466" s="817">
        <v>0.22515046296296296</v>
      </c>
      <c r="M466" s="817"/>
      <c r="N466" s="817"/>
      <c r="O466" s="817">
        <v>0.48018518518518521</v>
      </c>
      <c r="P466" s="817">
        <v>0.73521990740740739</v>
      </c>
      <c r="Q466" s="817"/>
      <c r="R466" s="816"/>
      <c r="S466" s="817"/>
      <c r="T466" s="817"/>
      <c r="U466" s="816" t="s">
        <v>9551</v>
      </c>
      <c r="V466" s="816" t="s">
        <v>9551</v>
      </c>
      <c r="W466" s="267"/>
      <c r="X466" s="816" t="s">
        <v>26</v>
      </c>
      <c r="Y466">
        <v>3.9</v>
      </c>
      <c r="Z466">
        <v>19.2</v>
      </c>
      <c r="AA466" s="816" t="s">
        <v>9560</v>
      </c>
      <c r="AB466" s="816" t="s">
        <v>9594</v>
      </c>
      <c r="AC466" s="816"/>
      <c r="AD466" s="816"/>
      <c r="AE466" s="816"/>
      <c r="AF466" s="816"/>
      <c r="AG466" s="816"/>
      <c r="AI466" s="816"/>
      <c r="AK466" s="816"/>
      <c r="AM466" s="816"/>
    </row>
    <row r="467" spans="1:39" x14ac:dyDescent="0.25">
      <c r="A467" s="265">
        <v>43893</v>
      </c>
      <c r="B467">
        <v>2</v>
      </c>
      <c r="C467" s="816" t="s">
        <v>5</v>
      </c>
      <c r="D467">
        <v>533</v>
      </c>
      <c r="E467" s="816" t="s">
        <v>9536</v>
      </c>
      <c r="F467" s="816" t="s">
        <v>24</v>
      </c>
      <c r="G467" s="816" t="s">
        <v>9546</v>
      </c>
      <c r="H467">
        <v>24</v>
      </c>
      <c r="I467" s="816" t="s">
        <v>18</v>
      </c>
      <c r="J467" s="816" t="s">
        <v>17</v>
      </c>
      <c r="K467" s="817">
        <v>0.15849537037037037</v>
      </c>
      <c r="L467" s="817">
        <v>0.22516203703703705</v>
      </c>
      <c r="M467" s="817"/>
      <c r="N467" s="817"/>
      <c r="O467" s="817">
        <v>0.48003472222222227</v>
      </c>
      <c r="P467" s="817">
        <v>0.73491898148148149</v>
      </c>
      <c r="Q467" s="817"/>
      <c r="R467" s="816"/>
      <c r="S467" s="817"/>
      <c r="T467" s="817"/>
      <c r="U467" s="816" t="s">
        <v>9551</v>
      </c>
      <c r="V467" s="816" t="s">
        <v>9551</v>
      </c>
      <c r="W467" s="267"/>
      <c r="X467" s="816" t="s">
        <v>26</v>
      </c>
      <c r="Y467">
        <v>0.2</v>
      </c>
      <c r="Z467">
        <v>13.3</v>
      </c>
      <c r="AA467" s="816" t="s">
        <v>9561</v>
      </c>
      <c r="AB467" s="816" t="s">
        <v>9595</v>
      </c>
      <c r="AC467" s="816"/>
      <c r="AD467" s="816"/>
      <c r="AE467" s="816"/>
      <c r="AF467" s="816"/>
      <c r="AG467" s="816"/>
      <c r="AI467" s="816"/>
      <c r="AK467" s="816"/>
      <c r="AM467" s="816"/>
    </row>
    <row r="468" spans="1:39" x14ac:dyDescent="0.25">
      <c r="A468" s="265">
        <v>43894</v>
      </c>
      <c r="B468">
        <v>3</v>
      </c>
      <c r="C468" s="816" t="s">
        <v>6</v>
      </c>
      <c r="D468">
        <v>533</v>
      </c>
      <c r="E468" s="816" t="s">
        <v>9536</v>
      </c>
      <c r="F468" s="816" t="s">
        <v>24</v>
      </c>
      <c r="G468" s="816" t="s">
        <v>9546</v>
      </c>
      <c r="H468">
        <v>24</v>
      </c>
      <c r="I468" s="816" t="s">
        <v>18</v>
      </c>
      <c r="J468" s="816" t="s">
        <v>18</v>
      </c>
      <c r="K468" s="817">
        <v>0.15849537037037037</v>
      </c>
      <c r="L468" s="817">
        <v>0.22516203703703705</v>
      </c>
      <c r="M468" s="817"/>
      <c r="N468" s="817"/>
      <c r="O468" s="817">
        <v>0.47988425925925932</v>
      </c>
      <c r="P468" s="817">
        <v>0.73460648148148155</v>
      </c>
      <c r="Q468" s="817"/>
      <c r="R468" s="816"/>
      <c r="S468" s="817"/>
      <c r="T468" s="817"/>
      <c r="U468" s="816" t="s">
        <v>9551</v>
      </c>
      <c r="V468" s="816" t="s">
        <v>9551</v>
      </c>
      <c r="W468" s="267"/>
      <c r="X468" s="816" t="s">
        <v>27</v>
      </c>
      <c r="Y468">
        <v>99.5</v>
      </c>
      <c r="Z468">
        <v>10.199999999999999</v>
      </c>
      <c r="AA468" s="816" t="s">
        <v>9562</v>
      </c>
      <c r="AB468" s="816" t="s">
        <v>9596</v>
      </c>
      <c r="AC468" s="816"/>
      <c r="AD468" s="816"/>
      <c r="AE468" s="816"/>
      <c r="AF468" s="816"/>
      <c r="AG468" s="816"/>
      <c r="AI468" s="816"/>
      <c r="AK468" s="816"/>
      <c r="AM468" s="816"/>
    </row>
    <row r="469" spans="1:39" x14ac:dyDescent="0.25">
      <c r="A469" s="265">
        <v>43895</v>
      </c>
      <c r="B469">
        <v>4</v>
      </c>
      <c r="C469" s="816" t="s">
        <v>7</v>
      </c>
      <c r="D469">
        <v>533</v>
      </c>
      <c r="E469" s="816" t="s">
        <v>9536</v>
      </c>
      <c r="F469" s="816" t="s">
        <v>24</v>
      </c>
      <c r="G469" s="816" t="s">
        <v>9546</v>
      </c>
      <c r="H469">
        <v>26</v>
      </c>
      <c r="I469" s="816" t="s">
        <v>9549</v>
      </c>
      <c r="J469" s="816" t="s">
        <v>19</v>
      </c>
      <c r="K469" s="817">
        <v>0.15849537037037037</v>
      </c>
      <c r="L469" s="817">
        <v>0.22516203703703705</v>
      </c>
      <c r="M469" s="817"/>
      <c r="N469" s="817"/>
      <c r="O469" s="817">
        <v>0.47972222222222222</v>
      </c>
      <c r="P469" s="817">
        <v>0.73429398148148151</v>
      </c>
      <c r="Q469" s="817"/>
      <c r="R469" s="816"/>
      <c r="S469" s="817">
        <v>0.2298611111111111</v>
      </c>
      <c r="T469" s="817">
        <v>0.20138888888888887</v>
      </c>
      <c r="U469" s="816" t="s">
        <v>9551</v>
      </c>
      <c r="V469" s="816" t="s">
        <v>9551</v>
      </c>
      <c r="W469" s="267"/>
      <c r="X469" s="816" t="s">
        <v>26</v>
      </c>
      <c r="Y469">
        <v>2.4</v>
      </c>
      <c r="Z469">
        <v>10.4</v>
      </c>
      <c r="AA469" s="816" t="s">
        <v>9563</v>
      </c>
      <c r="AB469" s="816" t="s">
        <v>9597</v>
      </c>
      <c r="AC469" s="816"/>
      <c r="AD469" s="816"/>
      <c r="AE469" s="816"/>
      <c r="AF469" s="816"/>
      <c r="AG469" s="816"/>
      <c r="AI469" s="816"/>
      <c r="AK469" s="816"/>
      <c r="AM469" s="816"/>
    </row>
    <row r="470" spans="1:39" x14ac:dyDescent="0.25">
      <c r="A470" s="265">
        <v>43896</v>
      </c>
      <c r="B470">
        <v>5</v>
      </c>
      <c r="C470" s="816" t="s">
        <v>1</v>
      </c>
      <c r="D470">
        <v>533</v>
      </c>
      <c r="E470" s="816" t="s">
        <v>9536</v>
      </c>
      <c r="F470" s="816" t="s">
        <v>24</v>
      </c>
      <c r="G470" s="816" t="s">
        <v>9546</v>
      </c>
      <c r="H470">
        <v>27</v>
      </c>
      <c r="I470" s="816" t="s">
        <v>9550</v>
      </c>
      <c r="J470" s="816" t="s">
        <v>21</v>
      </c>
      <c r="K470" s="817">
        <v>0.15849537037037037</v>
      </c>
      <c r="L470" s="817">
        <v>0.22516203703703705</v>
      </c>
      <c r="M470" s="817"/>
      <c r="N470" s="817"/>
      <c r="O470" s="817">
        <v>0.47956018518518517</v>
      </c>
      <c r="P470" s="817">
        <v>0.73396990740740742</v>
      </c>
      <c r="Q470" s="817"/>
      <c r="R470" s="816"/>
      <c r="S470" s="817"/>
      <c r="T470" s="817"/>
      <c r="U470" s="816" t="s">
        <v>9551</v>
      </c>
      <c r="V470" s="816" t="s">
        <v>9551</v>
      </c>
      <c r="W470" s="267"/>
      <c r="X470" s="816" t="s">
        <v>26</v>
      </c>
      <c r="Y470">
        <v>9.5</v>
      </c>
      <c r="Z470">
        <v>14.2</v>
      </c>
      <c r="AA470" s="816" t="s">
        <v>9564</v>
      </c>
      <c r="AB470" s="816" t="s">
        <v>9598</v>
      </c>
      <c r="AC470" s="816"/>
      <c r="AD470" s="816"/>
      <c r="AE470" s="816"/>
      <c r="AF470" s="816" t="s">
        <v>72</v>
      </c>
      <c r="AG470" s="816" t="s">
        <v>35</v>
      </c>
      <c r="AH470">
        <v>-1</v>
      </c>
      <c r="AI470" s="816"/>
      <c r="AK470" s="816"/>
      <c r="AM470" s="816"/>
    </row>
    <row r="471" spans="1:39" x14ac:dyDescent="0.25">
      <c r="A471" s="265">
        <v>43897</v>
      </c>
      <c r="B471">
        <v>6</v>
      </c>
      <c r="C471" s="816" t="s">
        <v>2</v>
      </c>
      <c r="D471">
        <v>533</v>
      </c>
      <c r="E471" s="816" t="s">
        <v>9536</v>
      </c>
      <c r="F471" s="816" t="s">
        <v>24</v>
      </c>
      <c r="G471" s="816" t="s">
        <v>9546</v>
      </c>
      <c r="H471">
        <v>28</v>
      </c>
      <c r="I471" s="816" t="s">
        <v>8</v>
      </c>
      <c r="J471" s="816" t="s">
        <v>8</v>
      </c>
      <c r="K471" s="817">
        <v>0.1584837962962963</v>
      </c>
      <c r="L471" s="817">
        <v>0.22515046296296296</v>
      </c>
      <c r="M471" s="817">
        <v>0.22500000000000001</v>
      </c>
      <c r="N471" s="817">
        <v>0.39444444444444443</v>
      </c>
      <c r="O471" s="817">
        <v>0.47939814814814818</v>
      </c>
      <c r="P471" s="817">
        <v>0.73364583333333344</v>
      </c>
      <c r="Q471" s="817"/>
      <c r="R471" s="816"/>
      <c r="S471" s="817"/>
      <c r="T471" s="817"/>
      <c r="U471" s="816" t="s">
        <v>9551</v>
      </c>
      <c r="V471" s="816" t="s">
        <v>9551</v>
      </c>
      <c r="W471" s="267"/>
      <c r="X471" s="816" t="s">
        <v>26</v>
      </c>
      <c r="Y471">
        <v>20.6</v>
      </c>
      <c r="Z471">
        <v>21.8</v>
      </c>
      <c r="AA471" s="816" t="s">
        <v>9565</v>
      </c>
      <c r="AB471" s="816" t="s">
        <v>9599</v>
      </c>
      <c r="AC471" s="816"/>
      <c r="AD471" s="816"/>
      <c r="AE471" s="816"/>
      <c r="AF471" s="816"/>
      <c r="AG471" s="816"/>
      <c r="AI471" s="816"/>
      <c r="AK471" s="816"/>
      <c r="AM471" s="816"/>
    </row>
    <row r="472" spans="1:39" x14ac:dyDescent="0.25">
      <c r="A472" s="265">
        <v>43898</v>
      </c>
      <c r="B472">
        <v>0</v>
      </c>
      <c r="C472" s="816" t="s">
        <v>3</v>
      </c>
      <c r="D472">
        <v>533</v>
      </c>
      <c r="E472" s="816" t="s">
        <v>9536</v>
      </c>
      <c r="F472" s="816" t="s">
        <v>24</v>
      </c>
      <c r="G472" s="816" t="s">
        <v>9546</v>
      </c>
      <c r="H472">
        <v>29</v>
      </c>
      <c r="I472" s="816" t="s">
        <v>9</v>
      </c>
      <c r="J472" s="816" t="s">
        <v>9</v>
      </c>
      <c r="K472" s="817">
        <v>0.15846064814814814</v>
      </c>
      <c r="L472" s="817">
        <v>0.22512731481481482</v>
      </c>
      <c r="M472" s="817"/>
      <c r="N472" s="817"/>
      <c r="O472" s="817">
        <v>0.47922453703703699</v>
      </c>
      <c r="P472" s="817">
        <v>0.73332175925925924</v>
      </c>
      <c r="Q472" s="817"/>
      <c r="R472" s="816"/>
      <c r="S472" s="817"/>
      <c r="T472" s="817"/>
      <c r="U472" s="816" t="s">
        <v>9551</v>
      </c>
      <c r="V472" s="816" t="s">
        <v>9551</v>
      </c>
      <c r="W472" s="267"/>
      <c r="X472" s="816" t="s">
        <v>26</v>
      </c>
      <c r="Y472">
        <v>35.6</v>
      </c>
      <c r="Z472">
        <v>32.700000000000003</v>
      </c>
      <c r="AA472" s="816" t="s">
        <v>9566</v>
      </c>
      <c r="AB472" s="816" t="s">
        <v>9600</v>
      </c>
      <c r="AC472" s="816"/>
      <c r="AD472" s="816"/>
      <c r="AE472" s="816"/>
      <c r="AF472" s="816"/>
      <c r="AG472" s="816"/>
      <c r="AI472" s="816"/>
      <c r="AK472" s="816"/>
      <c r="AM472" s="816"/>
    </row>
    <row r="473" spans="1:39" x14ac:dyDescent="0.25">
      <c r="A473" s="265">
        <v>43899</v>
      </c>
      <c r="B473">
        <v>1</v>
      </c>
      <c r="C473" s="816" t="s">
        <v>4</v>
      </c>
      <c r="D473">
        <v>533</v>
      </c>
      <c r="E473" s="816" t="s">
        <v>9536</v>
      </c>
      <c r="F473" s="816" t="s">
        <v>24</v>
      </c>
      <c r="G473" s="816" t="s">
        <v>9546</v>
      </c>
      <c r="H473">
        <v>30</v>
      </c>
      <c r="I473" s="816" t="s">
        <v>10</v>
      </c>
      <c r="J473" s="816" t="s">
        <v>10</v>
      </c>
      <c r="K473" s="817">
        <v>0.15844907407407408</v>
      </c>
      <c r="L473" s="817">
        <v>0.22511574074074073</v>
      </c>
      <c r="M473" s="817"/>
      <c r="N473" s="817"/>
      <c r="O473" s="817">
        <v>0.47905092592592591</v>
      </c>
      <c r="P473" s="817">
        <v>0.73298611111111101</v>
      </c>
      <c r="Q473" s="817"/>
      <c r="R473" s="816"/>
      <c r="S473" s="817"/>
      <c r="T473" s="817"/>
      <c r="U473" s="816" t="s">
        <v>9551</v>
      </c>
      <c r="V473" s="816" t="s">
        <v>9551</v>
      </c>
      <c r="W473" s="267"/>
      <c r="X473" s="816" t="s">
        <v>26</v>
      </c>
      <c r="Y473">
        <v>53.3</v>
      </c>
      <c r="Z473">
        <v>46.2</v>
      </c>
      <c r="AA473" s="816" t="s">
        <v>9567</v>
      </c>
      <c r="AB473" s="816" t="s">
        <v>9601</v>
      </c>
      <c r="AC473" s="816"/>
      <c r="AD473" s="816"/>
      <c r="AE473" s="816"/>
      <c r="AF473" s="816"/>
      <c r="AG473" s="816" t="s">
        <v>36</v>
      </c>
      <c r="AH473">
        <v>0</v>
      </c>
      <c r="AI473" s="816" t="s">
        <v>37</v>
      </c>
      <c r="AJ473">
        <v>-1</v>
      </c>
      <c r="AK473" s="816"/>
      <c r="AM473" s="816"/>
    </row>
    <row r="474" spans="1:39" x14ac:dyDescent="0.25">
      <c r="A474" s="265">
        <v>43900</v>
      </c>
      <c r="B474">
        <v>2</v>
      </c>
      <c r="C474" s="816" t="s">
        <v>5</v>
      </c>
      <c r="D474">
        <v>534</v>
      </c>
      <c r="E474" s="816" t="s">
        <v>9537</v>
      </c>
      <c r="F474" s="816" t="s">
        <v>25</v>
      </c>
      <c r="G474" s="816" t="s">
        <v>9547</v>
      </c>
      <c r="H474">
        <v>1</v>
      </c>
      <c r="I474" s="816" t="s">
        <v>11</v>
      </c>
      <c r="J474" s="816" t="s">
        <v>11</v>
      </c>
      <c r="K474" s="817">
        <v>0.15842592592592594</v>
      </c>
      <c r="L474" s="817">
        <v>0.22509259259259259</v>
      </c>
      <c r="M474" s="817"/>
      <c r="N474" s="817"/>
      <c r="O474" s="817">
        <v>0.47887731481481483</v>
      </c>
      <c r="P474" s="817">
        <v>0.73265046296296299</v>
      </c>
      <c r="Q474" s="817"/>
      <c r="R474" s="816"/>
      <c r="S474" s="817"/>
      <c r="T474" s="817"/>
      <c r="U474" s="816" t="s">
        <v>9551</v>
      </c>
      <c r="V474" s="816" t="s">
        <v>9551</v>
      </c>
      <c r="W474" s="267"/>
      <c r="X474" s="816" t="s">
        <v>26</v>
      </c>
      <c r="Y474">
        <v>72.5</v>
      </c>
      <c r="Z474">
        <v>61</v>
      </c>
      <c r="AA474" s="816" t="s">
        <v>9568</v>
      </c>
      <c r="AB474" s="816" t="s">
        <v>9603</v>
      </c>
      <c r="AC474" s="816"/>
      <c r="AD474" s="816"/>
      <c r="AE474" s="816"/>
      <c r="AF474" s="816"/>
      <c r="AG474" s="816" t="s">
        <v>38</v>
      </c>
      <c r="AH474">
        <v>1</v>
      </c>
      <c r="AI474" s="816"/>
      <c r="AK474" s="816"/>
      <c r="AM474" s="816"/>
    </row>
    <row r="475" spans="1:39" x14ac:dyDescent="0.25">
      <c r="A475" s="265">
        <v>43901</v>
      </c>
      <c r="B475">
        <v>3</v>
      </c>
      <c r="C475" s="816" t="s">
        <v>6</v>
      </c>
      <c r="D475">
        <v>534</v>
      </c>
      <c r="E475" s="816" t="s">
        <v>9537</v>
      </c>
      <c r="F475" s="816" t="s">
        <v>25</v>
      </c>
      <c r="G475" s="816" t="s">
        <v>9547</v>
      </c>
      <c r="H475">
        <v>2</v>
      </c>
      <c r="I475" s="816" t="s">
        <v>12</v>
      </c>
      <c r="J475" s="816" t="s">
        <v>12</v>
      </c>
      <c r="K475" s="817">
        <v>0.15840277777777778</v>
      </c>
      <c r="L475" s="817">
        <v>0.22506944444444443</v>
      </c>
      <c r="M475" s="817"/>
      <c r="N475" s="817"/>
      <c r="O475" s="817">
        <v>0.47869212962962965</v>
      </c>
      <c r="P475" s="817">
        <v>0.73231481481481486</v>
      </c>
      <c r="Q475" s="817"/>
      <c r="R475" s="816"/>
      <c r="S475" s="817"/>
      <c r="T475" s="817"/>
      <c r="U475" s="816" t="s">
        <v>9551</v>
      </c>
      <c r="V475" s="816" t="s">
        <v>9551</v>
      </c>
      <c r="W475" s="267"/>
      <c r="X475" s="816" t="s">
        <v>26</v>
      </c>
      <c r="Y475">
        <v>91.7</v>
      </c>
      <c r="Z475">
        <v>75.7</v>
      </c>
      <c r="AA475" s="816" t="s">
        <v>9569</v>
      </c>
      <c r="AB475" s="816" t="s">
        <v>9579</v>
      </c>
      <c r="AC475" s="816"/>
      <c r="AD475" s="816"/>
      <c r="AE475" s="816"/>
      <c r="AF475" s="816"/>
      <c r="AG475" s="816"/>
      <c r="AI475" s="816"/>
      <c r="AK475" s="816"/>
      <c r="AM475" s="816"/>
    </row>
    <row r="476" spans="1:39" x14ac:dyDescent="0.25">
      <c r="A476" s="265">
        <v>43902</v>
      </c>
      <c r="B476">
        <v>4</v>
      </c>
      <c r="C476" s="816" t="s">
        <v>7</v>
      </c>
      <c r="D476">
        <v>534</v>
      </c>
      <c r="E476" s="816" t="s">
        <v>9537</v>
      </c>
      <c r="F476" s="816" t="s">
        <v>25</v>
      </c>
      <c r="G476" s="816" t="s">
        <v>9547</v>
      </c>
      <c r="H476">
        <v>4</v>
      </c>
      <c r="I476" s="816" t="s">
        <v>13</v>
      </c>
      <c r="J476" s="816" t="s">
        <v>13</v>
      </c>
      <c r="K476" s="817">
        <v>0.15836805555555555</v>
      </c>
      <c r="L476" s="817">
        <v>0.22503472222222221</v>
      </c>
      <c r="M476" s="817"/>
      <c r="N476" s="817"/>
      <c r="O476" s="817">
        <v>0.47850694444444447</v>
      </c>
      <c r="P476" s="817">
        <v>0.7319675925925927</v>
      </c>
      <c r="Q476" s="817"/>
      <c r="R476" s="816"/>
      <c r="S476" s="817">
        <v>0.2951388888888889</v>
      </c>
      <c r="T476" s="817">
        <v>0.14652777777777778</v>
      </c>
      <c r="U476" s="816" t="s">
        <v>9551</v>
      </c>
      <c r="V476" s="816" t="s">
        <v>9551</v>
      </c>
      <c r="W476" s="267"/>
      <c r="X476" s="816" t="s">
        <v>26</v>
      </c>
      <c r="Y476">
        <v>9.1</v>
      </c>
      <c r="Z476">
        <v>88.9</v>
      </c>
      <c r="AA476" s="816" t="s">
        <v>9570</v>
      </c>
      <c r="AB476" s="816" t="s">
        <v>9580</v>
      </c>
      <c r="AC476" s="816"/>
      <c r="AD476" s="816"/>
      <c r="AE476" s="816"/>
      <c r="AF476" s="816"/>
      <c r="AG476" s="816"/>
      <c r="AI476" s="816"/>
      <c r="AK476" s="816"/>
      <c r="AM476" s="816"/>
    </row>
    <row r="477" spans="1:39" x14ac:dyDescent="0.25">
      <c r="A477" s="265">
        <v>43903</v>
      </c>
      <c r="B477">
        <v>5</v>
      </c>
      <c r="C477" s="816" t="s">
        <v>1</v>
      </c>
      <c r="D477">
        <v>534</v>
      </c>
      <c r="E477" s="816" t="s">
        <v>9537</v>
      </c>
      <c r="F477" s="816" t="s">
        <v>25</v>
      </c>
      <c r="G477" s="816" t="s">
        <v>9547</v>
      </c>
      <c r="H477">
        <v>5</v>
      </c>
      <c r="I477" s="816" t="s">
        <v>14</v>
      </c>
      <c r="J477" s="816" t="s">
        <v>14</v>
      </c>
      <c r="K477" s="817">
        <v>0.15833333333333333</v>
      </c>
      <c r="L477" s="817">
        <v>0.22500000000000001</v>
      </c>
      <c r="M477" s="817"/>
      <c r="N477" s="817"/>
      <c r="O477" s="817">
        <v>0.4783101851851852</v>
      </c>
      <c r="P477" s="817">
        <v>0.73162037037037031</v>
      </c>
      <c r="Q477" s="817"/>
      <c r="R477" s="816"/>
      <c r="S477" s="817"/>
      <c r="T477" s="817"/>
      <c r="U477" s="816" t="s">
        <v>9551</v>
      </c>
      <c r="V477" s="816" t="s">
        <v>9551</v>
      </c>
      <c r="W477" s="267"/>
      <c r="X477" s="816" t="s">
        <v>26</v>
      </c>
      <c r="Y477">
        <v>23.7</v>
      </c>
      <c r="Z477">
        <v>99.5</v>
      </c>
      <c r="AA477" s="816" t="s">
        <v>9571</v>
      </c>
      <c r="AB477" s="816" t="s">
        <v>9581</v>
      </c>
      <c r="AC477" s="816"/>
      <c r="AD477" s="816"/>
      <c r="AE477" s="816"/>
      <c r="AF477" s="816"/>
      <c r="AG477" s="816"/>
      <c r="AI477" s="816"/>
      <c r="AK477" s="816"/>
      <c r="AM477" s="816"/>
    </row>
    <row r="478" spans="1:39" x14ac:dyDescent="0.25">
      <c r="A478" s="265">
        <v>43904</v>
      </c>
      <c r="B478">
        <v>6</v>
      </c>
      <c r="C478" s="816" t="s">
        <v>2</v>
      </c>
      <c r="D478">
        <v>534</v>
      </c>
      <c r="E478" s="816" t="s">
        <v>9537</v>
      </c>
      <c r="F478" s="816" t="s">
        <v>25</v>
      </c>
      <c r="G478" s="816" t="s">
        <v>9547</v>
      </c>
      <c r="H478">
        <v>6</v>
      </c>
      <c r="I478" s="816" t="s">
        <v>15</v>
      </c>
      <c r="J478" s="816" t="s">
        <v>15</v>
      </c>
      <c r="K478" s="817">
        <v>0.15829861111111113</v>
      </c>
      <c r="L478" s="817">
        <v>0.22496527777777778</v>
      </c>
      <c r="M478" s="817"/>
      <c r="N478" s="817"/>
      <c r="O478" s="817">
        <v>0.47812499999999997</v>
      </c>
      <c r="P478" s="817">
        <v>0.73127314814814814</v>
      </c>
      <c r="Q478" s="817">
        <v>0.13697916666666668</v>
      </c>
      <c r="R478" s="816" t="s">
        <v>76</v>
      </c>
      <c r="S478" s="817"/>
      <c r="T478" s="817"/>
      <c r="U478" s="816" t="s">
        <v>9551</v>
      </c>
      <c r="V478" s="816" t="s">
        <v>9551</v>
      </c>
      <c r="W478" s="267"/>
      <c r="X478" s="816" t="s">
        <v>26</v>
      </c>
      <c r="Y478">
        <v>34.6</v>
      </c>
      <c r="Z478">
        <v>6.8</v>
      </c>
      <c r="AA478" s="816" t="s">
        <v>9573</v>
      </c>
      <c r="AB478" s="816" t="s">
        <v>9582</v>
      </c>
      <c r="AC478" s="816"/>
      <c r="AD478" s="816"/>
      <c r="AE478" s="816"/>
      <c r="AF478" s="816"/>
      <c r="AG478" s="816"/>
      <c r="AI478" s="816"/>
      <c r="AK478" s="816"/>
      <c r="AM478" s="816"/>
    </row>
    <row r="479" spans="1:39" x14ac:dyDescent="0.25">
      <c r="A479" s="265">
        <v>43905</v>
      </c>
      <c r="B479">
        <v>0</v>
      </c>
      <c r="C479" s="816" t="s">
        <v>3</v>
      </c>
      <c r="D479">
        <v>534</v>
      </c>
      <c r="E479" s="816" t="s">
        <v>9537</v>
      </c>
      <c r="F479" s="816" t="s">
        <v>25</v>
      </c>
      <c r="G479" s="816" t="s">
        <v>9547</v>
      </c>
      <c r="H479">
        <v>7</v>
      </c>
      <c r="I479" s="816" t="s">
        <v>16</v>
      </c>
      <c r="J479" s="816" t="s">
        <v>16</v>
      </c>
      <c r="K479" s="817">
        <v>0.1582638888888889</v>
      </c>
      <c r="L479" s="817">
        <v>0.22493055555555555</v>
      </c>
      <c r="M479" s="817"/>
      <c r="N479" s="817"/>
      <c r="O479" s="817">
        <v>0.47792824074074075</v>
      </c>
      <c r="P479" s="817">
        <v>0.73092592592592587</v>
      </c>
      <c r="Q479" s="817"/>
      <c r="R479" s="816"/>
      <c r="S479" s="817"/>
      <c r="T479" s="817"/>
      <c r="U479" s="816" t="s">
        <v>9551</v>
      </c>
      <c r="V479" s="816" t="s">
        <v>9551</v>
      </c>
      <c r="W479" s="267"/>
      <c r="X479" s="816" t="s">
        <v>26</v>
      </c>
      <c r="Y479">
        <v>41.6</v>
      </c>
      <c r="Z479">
        <v>10.6</v>
      </c>
      <c r="AA479" s="816" t="s">
        <v>9574</v>
      </c>
      <c r="AB479" s="816" t="s">
        <v>9583</v>
      </c>
      <c r="AC479" s="816"/>
      <c r="AD479" s="816"/>
      <c r="AE479" s="816"/>
      <c r="AF479" s="816"/>
      <c r="AG479" s="816"/>
      <c r="AI479" s="816"/>
      <c r="AK479" s="816"/>
      <c r="AM479" s="816"/>
    </row>
    <row r="480" spans="1:39" x14ac:dyDescent="0.25">
      <c r="A480" s="265">
        <v>43906</v>
      </c>
      <c r="B480">
        <v>1</v>
      </c>
      <c r="C480" s="816" t="s">
        <v>4</v>
      </c>
      <c r="D480">
        <v>534</v>
      </c>
      <c r="E480" s="816" t="s">
        <v>9537</v>
      </c>
      <c r="F480" s="816" t="s">
        <v>25</v>
      </c>
      <c r="G480" s="816" t="s">
        <v>9547</v>
      </c>
      <c r="H480">
        <v>8</v>
      </c>
      <c r="I480" s="816" t="s">
        <v>17</v>
      </c>
      <c r="J480" s="816" t="s">
        <v>17</v>
      </c>
      <c r="K480" s="817">
        <v>0.1582175925925926</v>
      </c>
      <c r="L480" s="817">
        <v>0.22488425925925926</v>
      </c>
      <c r="M480" s="817"/>
      <c r="N480" s="817"/>
      <c r="O480" s="817">
        <v>0.47773148148148148</v>
      </c>
      <c r="P480" s="817">
        <v>0.73056712962962955</v>
      </c>
      <c r="Q480" s="817"/>
      <c r="R480" s="816"/>
      <c r="S480" s="817"/>
      <c r="T480" s="817"/>
      <c r="U480" s="816" t="s">
        <v>9551</v>
      </c>
      <c r="V480" s="816" t="s">
        <v>9551</v>
      </c>
      <c r="W480" s="267"/>
      <c r="X480" s="816" t="s">
        <v>26</v>
      </c>
      <c r="Y480">
        <v>44.9</v>
      </c>
      <c r="Z480">
        <v>11</v>
      </c>
      <c r="AA480" s="816" t="s">
        <v>9575</v>
      </c>
      <c r="AB480" s="816" t="s">
        <v>9585</v>
      </c>
      <c r="AC480" s="816"/>
      <c r="AD480" s="816"/>
      <c r="AE480" s="816"/>
      <c r="AF480" s="816"/>
      <c r="AG480" s="816"/>
      <c r="AI480" s="816"/>
      <c r="AK480" s="816"/>
      <c r="AM480" s="816"/>
    </row>
    <row r="481" spans="1:39" x14ac:dyDescent="0.25">
      <c r="A481" s="265">
        <v>43907</v>
      </c>
      <c r="B481">
        <v>2</v>
      </c>
      <c r="C481" s="816" t="s">
        <v>5</v>
      </c>
      <c r="D481">
        <v>534</v>
      </c>
      <c r="E481" s="816" t="s">
        <v>9537</v>
      </c>
      <c r="F481" s="816" t="s">
        <v>25</v>
      </c>
      <c r="G481" s="816" t="s">
        <v>9547</v>
      </c>
      <c r="H481">
        <v>9</v>
      </c>
      <c r="I481" s="816" t="s">
        <v>18</v>
      </c>
      <c r="J481" s="816" t="s">
        <v>18</v>
      </c>
      <c r="K481" s="817">
        <v>0.15818287037037038</v>
      </c>
      <c r="L481" s="817">
        <v>0.22484953703703703</v>
      </c>
      <c r="M481" s="817"/>
      <c r="N481" s="817"/>
      <c r="O481" s="817">
        <v>0.47752314814814811</v>
      </c>
      <c r="P481" s="817">
        <v>0.73020833333333324</v>
      </c>
      <c r="Q481" s="817"/>
      <c r="R481" s="816"/>
      <c r="S481" s="817"/>
      <c r="T481" s="817"/>
      <c r="U481" s="816" t="s">
        <v>9551</v>
      </c>
      <c r="V481" s="816" t="s">
        <v>9551</v>
      </c>
      <c r="W481" s="267"/>
      <c r="X481" s="816" t="s">
        <v>26</v>
      </c>
      <c r="Y481">
        <v>44.9</v>
      </c>
      <c r="Z481">
        <v>8.4</v>
      </c>
      <c r="AA481" s="816" t="s">
        <v>9576</v>
      </c>
      <c r="AB481" s="816" t="s">
        <v>9586</v>
      </c>
      <c r="AC481" s="816"/>
      <c r="AD481" s="816"/>
      <c r="AE481" s="816"/>
      <c r="AF481" s="816"/>
      <c r="AG481" s="816"/>
      <c r="AI481" s="816"/>
      <c r="AK481" s="816"/>
      <c r="AM481" s="816"/>
    </row>
    <row r="482" spans="1:39" x14ac:dyDescent="0.25">
      <c r="A482" s="265">
        <v>43908</v>
      </c>
      <c r="B482">
        <v>3</v>
      </c>
      <c r="C482" s="816" t="s">
        <v>6</v>
      </c>
      <c r="D482">
        <v>534</v>
      </c>
      <c r="E482" s="816" t="s">
        <v>9537</v>
      </c>
      <c r="F482" s="816" t="s">
        <v>25</v>
      </c>
      <c r="G482" s="816" t="s">
        <v>9547</v>
      </c>
      <c r="H482">
        <v>10</v>
      </c>
      <c r="I482" s="816" t="s">
        <v>19</v>
      </c>
      <c r="J482" s="816" t="s">
        <v>19</v>
      </c>
      <c r="K482" s="817">
        <v>0.15813657407407408</v>
      </c>
      <c r="L482" s="817">
        <v>0.22480324074074073</v>
      </c>
      <c r="M482" s="817"/>
      <c r="N482" s="817"/>
      <c r="O482" s="817">
        <v>0.47732638888888884</v>
      </c>
      <c r="P482" s="817">
        <v>0.72984953703703714</v>
      </c>
      <c r="Q482" s="817"/>
      <c r="R482" s="816"/>
      <c r="S482" s="817"/>
      <c r="T482" s="817"/>
      <c r="U482" s="816" t="s">
        <v>9551</v>
      </c>
      <c r="V482" s="816" t="s">
        <v>9551</v>
      </c>
      <c r="W482" s="267"/>
      <c r="X482" s="816" t="s">
        <v>26</v>
      </c>
      <c r="Y482">
        <v>42.1</v>
      </c>
      <c r="Z482">
        <v>3.4</v>
      </c>
      <c r="AA482" s="816" t="s">
        <v>9577</v>
      </c>
      <c r="AB482" s="816" t="s">
        <v>9604</v>
      </c>
      <c r="AC482" s="816"/>
      <c r="AD482" s="816"/>
      <c r="AE482" s="816"/>
      <c r="AF482" s="816"/>
      <c r="AG482" s="816"/>
      <c r="AI482" s="816"/>
      <c r="AK482" s="816"/>
      <c r="AM482" s="816"/>
    </row>
    <row r="483" spans="1:39" x14ac:dyDescent="0.25">
      <c r="A483" s="265">
        <v>43909</v>
      </c>
      <c r="B483">
        <v>4</v>
      </c>
      <c r="C483" s="816" t="s">
        <v>7</v>
      </c>
      <c r="D483">
        <v>534</v>
      </c>
      <c r="E483" s="816" t="s">
        <v>9537</v>
      </c>
      <c r="F483" s="816" t="s">
        <v>25</v>
      </c>
      <c r="G483" s="816" t="s">
        <v>9547</v>
      </c>
      <c r="H483">
        <v>11</v>
      </c>
      <c r="I483" s="816" t="s">
        <v>9549</v>
      </c>
      <c r="J483" s="816" t="s">
        <v>20</v>
      </c>
      <c r="K483" s="817">
        <v>0.15809027777777776</v>
      </c>
      <c r="L483" s="817">
        <v>0.22475694444444447</v>
      </c>
      <c r="M483" s="817"/>
      <c r="N483" s="817"/>
      <c r="O483" s="817">
        <v>0.47711805555555559</v>
      </c>
      <c r="P483" s="817">
        <v>0.72949074074074083</v>
      </c>
      <c r="Q483" s="817"/>
      <c r="R483" s="816"/>
      <c r="S483" s="817"/>
      <c r="T483" s="817"/>
      <c r="U483" s="816" t="s">
        <v>9551</v>
      </c>
      <c r="V483" s="816" t="s">
        <v>9551</v>
      </c>
      <c r="W483" s="267"/>
      <c r="X483" s="816" t="s">
        <v>26</v>
      </c>
      <c r="Y483">
        <v>37.1</v>
      </c>
      <c r="Z483">
        <v>96.3</v>
      </c>
      <c r="AA483" s="816" t="s">
        <v>9577</v>
      </c>
      <c r="AB483" s="816" t="s">
        <v>9587</v>
      </c>
      <c r="AC483" s="816"/>
      <c r="AD483" s="816"/>
      <c r="AE483" s="816"/>
      <c r="AF483" s="816"/>
      <c r="AG483" s="816"/>
      <c r="AI483" s="816"/>
      <c r="AK483" s="816"/>
      <c r="AM483" s="816"/>
    </row>
    <row r="484" spans="1:39" x14ac:dyDescent="0.25">
      <c r="A484" s="265">
        <v>43910</v>
      </c>
      <c r="B484">
        <v>5</v>
      </c>
      <c r="C484" s="816" t="s">
        <v>1</v>
      </c>
      <c r="D484">
        <v>534</v>
      </c>
      <c r="E484" s="816" t="s">
        <v>9537</v>
      </c>
      <c r="F484" s="816" t="s">
        <v>25</v>
      </c>
      <c r="G484" s="816" t="s">
        <v>9547</v>
      </c>
      <c r="H484">
        <v>12</v>
      </c>
      <c r="I484" s="816" t="s">
        <v>9550</v>
      </c>
      <c r="J484" s="816" t="s">
        <v>21</v>
      </c>
      <c r="K484" s="817">
        <v>0.1580324074074074</v>
      </c>
      <c r="L484" s="817">
        <v>0.22469907407407408</v>
      </c>
      <c r="M484" s="817"/>
      <c r="N484" s="817"/>
      <c r="O484" s="817">
        <v>0.47692129629629632</v>
      </c>
      <c r="P484" s="817">
        <v>0.72913194444444451</v>
      </c>
      <c r="Q484" s="817"/>
      <c r="R484" s="816"/>
      <c r="S484" s="817"/>
      <c r="T484" s="817"/>
      <c r="U484" s="816" t="s">
        <v>9551</v>
      </c>
      <c r="V484" s="816" t="s">
        <v>9551</v>
      </c>
      <c r="W484" s="267"/>
      <c r="X484" s="816" t="s">
        <v>26</v>
      </c>
      <c r="Y484">
        <v>30.5</v>
      </c>
      <c r="Z484">
        <v>87.8</v>
      </c>
      <c r="AA484" s="816" t="s">
        <v>9552</v>
      </c>
      <c r="AB484" s="816" t="s">
        <v>9588</v>
      </c>
      <c r="AC484" s="816"/>
      <c r="AD484" s="816"/>
      <c r="AE484" s="816"/>
      <c r="AF484" s="816" t="s">
        <v>72</v>
      </c>
      <c r="AG484" s="816" t="s">
        <v>9713</v>
      </c>
      <c r="AH484">
        <v>-1</v>
      </c>
      <c r="AI484" s="816" t="s">
        <v>39</v>
      </c>
      <c r="AJ484">
        <v>-1</v>
      </c>
      <c r="AK484" s="816"/>
      <c r="AM484" s="816"/>
    </row>
    <row r="485" spans="1:39" x14ac:dyDescent="0.25">
      <c r="A485" s="265">
        <v>43911</v>
      </c>
      <c r="B485">
        <v>6</v>
      </c>
      <c r="C485" s="816" t="s">
        <v>2</v>
      </c>
      <c r="D485">
        <v>534</v>
      </c>
      <c r="E485" s="816" t="s">
        <v>9537</v>
      </c>
      <c r="F485" s="816" t="s">
        <v>25</v>
      </c>
      <c r="G485" s="816" t="s">
        <v>9547</v>
      </c>
      <c r="H485">
        <v>13</v>
      </c>
      <c r="I485" s="816" t="s">
        <v>8</v>
      </c>
      <c r="J485" s="816" t="s">
        <v>8</v>
      </c>
      <c r="K485" s="817">
        <v>0.1579861111111111</v>
      </c>
      <c r="L485" s="817">
        <v>0.22465277777777778</v>
      </c>
      <c r="M485" s="817">
        <v>0.22430555555555556</v>
      </c>
      <c r="N485" s="817">
        <v>0.3923611111111111</v>
      </c>
      <c r="O485" s="817">
        <v>0.47671296296296295</v>
      </c>
      <c r="P485" s="817">
        <v>0.7287731481481482</v>
      </c>
      <c r="Q485" s="817"/>
      <c r="R485" s="816"/>
      <c r="S485" s="817"/>
      <c r="T485" s="817"/>
      <c r="U485" s="816" t="s">
        <v>9551</v>
      </c>
      <c r="V485" s="816" t="s">
        <v>9551</v>
      </c>
      <c r="W485" s="267"/>
      <c r="X485" s="816" t="s">
        <v>26</v>
      </c>
      <c r="Y485">
        <v>22.7</v>
      </c>
      <c r="Z485">
        <v>78.3</v>
      </c>
      <c r="AA485" s="816" t="s">
        <v>9553</v>
      </c>
      <c r="AB485" s="816" t="s">
        <v>9589</v>
      </c>
      <c r="AC485" s="816"/>
      <c r="AD485" s="816"/>
      <c r="AE485" s="816"/>
      <c r="AF485" s="816"/>
      <c r="AG485" s="816"/>
      <c r="AI485" s="816"/>
      <c r="AK485" s="816"/>
      <c r="AM485" s="816"/>
    </row>
    <row r="486" spans="1:39" x14ac:dyDescent="0.25">
      <c r="A486" s="265">
        <v>43912</v>
      </c>
      <c r="B486">
        <v>0</v>
      </c>
      <c r="C486" s="816" t="s">
        <v>3</v>
      </c>
      <c r="D486">
        <v>534</v>
      </c>
      <c r="E486" s="816" t="s">
        <v>9537</v>
      </c>
      <c r="F486" s="816" t="s">
        <v>25</v>
      </c>
      <c r="G486" s="816" t="s">
        <v>9547</v>
      </c>
      <c r="H486">
        <v>14</v>
      </c>
      <c r="I486" s="816" t="s">
        <v>9</v>
      </c>
      <c r="J486" s="816" t="s">
        <v>9</v>
      </c>
      <c r="K486" s="817">
        <v>0.15792824074074074</v>
      </c>
      <c r="L486" s="817">
        <v>0.2245949074074074</v>
      </c>
      <c r="M486" s="817"/>
      <c r="N486" s="817"/>
      <c r="O486" s="817">
        <v>0.47650462962962964</v>
      </c>
      <c r="P486" s="817">
        <v>0.72841435185185188</v>
      </c>
      <c r="Q486" s="817"/>
      <c r="R486" s="816"/>
      <c r="S486" s="817"/>
      <c r="T486" s="817"/>
      <c r="U486" s="816" t="s">
        <v>9551</v>
      </c>
      <c r="V486" s="816" t="s">
        <v>9551</v>
      </c>
      <c r="W486" s="267"/>
      <c r="X486" s="816" t="s">
        <v>26</v>
      </c>
      <c r="Y486">
        <v>14.1</v>
      </c>
      <c r="Z486">
        <v>68.099999999999994</v>
      </c>
      <c r="AA486" s="816" t="s">
        <v>9554</v>
      </c>
      <c r="AB486" s="816" t="s">
        <v>9590</v>
      </c>
      <c r="AC486" s="816"/>
      <c r="AD486" s="816"/>
      <c r="AE486" s="816"/>
      <c r="AF486" s="816"/>
      <c r="AG486" s="816"/>
      <c r="AI486" s="816"/>
      <c r="AK486" s="816"/>
      <c r="AM486" s="816"/>
    </row>
    <row r="487" spans="1:39" x14ac:dyDescent="0.25">
      <c r="A487" s="265">
        <v>43913</v>
      </c>
      <c r="B487">
        <v>1</v>
      </c>
      <c r="C487" s="816" t="s">
        <v>4</v>
      </c>
      <c r="D487">
        <v>534</v>
      </c>
      <c r="E487" s="816" t="s">
        <v>9537</v>
      </c>
      <c r="F487" s="816" t="s">
        <v>25</v>
      </c>
      <c r="G487" s="816" t="s">
        <v>9547</v>
      </c>
      <c r="H487">
        <v>15</v>
      </c>
      <c r="I487" s="816" t="s">
        <v>22</v>
      </c>
      <c r="J487" s="816" t="s">
        <v>9</v>
      </c>
      <c r="K487" s="817">
        <v>0.15788194444444445</v>
      </c>
      <c r="L487" s="817">
        <v>0.22454861111111113</v>
      </c>
      <c r="M487" s="817"/>
      <c r="N487" s="817"/>
      <c r="O487" s="817">
        <v>0.47629629629629627</v>
      </c>
      <c r="P487" s="817">
        <v>0.72804398148148142</v>
      </c>
      <c r="Q487" s="817"/>
      <c r="R487" s="816"/>
      <c r="S487" s="817"/>
      <c r="T487" s="817"/>
      <c r="U487" s="816" t="s">
        <v>9551</v>
      </c>
      <c r="V487" s="816" t="s">
        <v>9551</v>
      </c>
      <c r="W487" s="267"/>
      <c r="X487" s="816" t="s">
        <v>26</v>
      </c>
      <c r="Y487">
        <v>5.0999999999999996</v>
      </c>
      <c r="Z487">
        <v>57.4</v>
      </c>
      <c r="AA487" s="816" t="s">
        <v>9555</v>
      </c>
      <c r="AB487" s="816" t="s">
        <v>9591</v>
      </c>
      <c r="AC487" s="816"/>
      <c r="AD487" s="816"/>
      <c r="AE487" s="816"/>
      <c r="AF487" s="816"/>
      <c r="AG487" s="816"/>
      <c r="AI487" s="816"/>
      <c r="AK487" s="816"/>
      <c r="AM487" s="816"/>
    </row>
    <row r="488" spans="1:39" x14ac:dyDescent="0.25">
      <c r="A488" s="265">
        <v>43914</v>
      </c>
      <c r="B488">
        <v>2</v>
      </c>
      <c r="C488" s="816" t="s">
        <v>5</v>
      </c>
      <c r="D488">
        <v>534</v>
      </c>
      <c r="E488" s="816" t="s">
        <v>9537</v>
      </c>
      <c r="F488" s="816" t="s">
        <v>25</v>
      </c>
      <c r="G488" s="816" t="s">
        <v>9547</v>
      </c>
      <c r="H488">
        <v>15</v>
      </c>
      <c r="I488" s="816" t="s">
        <v>22</v>
      </c>
      <c r="J488" s="816" t="s">
        <v>22</v>
      </c>
      <c r="K488" s="817">
        <v>0.15782407407407409</v>
      </c>
      <c r="L488" s="817">
        <v>0.22449074074074074</v>
      </c>
      <c r="M488" s="817"/>
      <c r="N488" s="817"/>
      <c r="O488" s="817">
        <v>0.47608796296296302</v>
      </c>
      <c r="P488" s="817">
        <v>0.72768518518518521</v>
      </c>
      <c r="Q488" s="817"/>
      <c r="R488" s="816"/>
      <c r="S488" s="817"/>
      <c r="T488" s="817"/>
      <c r="U488" s="816" t="s">
        <v>9551</v>
      </c>
      <c r="V488" s="816" t="s">
        <v>9551</v>
      </c>
      <c r="W488" s="267"/>
      <c r="X488" s="816" t="s">
        <v>27</v>
      </c>
      <c r="Y488">
        <v>95.8</v>
      </c>
      <c r="Z488">
        <v>46.4</v>
      </c>
      <c r="AA488" s="816" t="s">
        <v>9556</v>
      </c>
      <c r="AB488" s="816" t="s">
        <v>9591</v>
      </c>
      <c r="AC488" s="816"/>
      <c r="AD488" s="816"/>
      <c r="AE488" s="816"/>
      <c r="AF488" s="816"/>
      <c r="AG488" s="816"/>
      <c r="AI488" s="816"/>
      <c r="AK488" s="816"/>
      <c r="AM488" s="816"/>
    </row>
    <row r="489" spans="1:39" x14ac:dyDescent="0.25">
      <c r="A489" s="265">
        <v>43915</v>
      </c>
      <c r="B489">
        <v>3</v>
      </c>
      <c r="C489" s="816" t="s">
        <v>6</v>
      </c>
      <c r="D489">
        <v>534</v>
      </c>
      <c r="E489" s="816" t="s">
        <v>9537</v>
      </c>
      <c r="F489" s="816" t="s">
        <v>24</v>
      </c>
      <c r="G489" s="816" t="s">
        <v>9546</v>
      </c>
      <c r="H489">
        <v>16</v>
      </c>
      <c r="I489" s="816" t="s">
        <v>11</v>
      </c>
      <c r="J489" s="816" t="s">
        <v>11</v>
      </c>
      <c r="K489" s="817">
        <v>0.1577662037037037</v>
      </c>
      <c r="L489" s="817">
        <v>0.22443287037037038</v>
      </c>
      <c r="M489" s="817"/>
      <c r="N489" s="817"/>
      <c r="O489" s="817">
        <v>0.47587962962962965</v>
      </c>
      <c r="P489" s="817">
        <v>0.72731481481481486</v>
      </c>
      <c r="Q489" s="817"/>
      <c r="R489" s="816"/>
      <c r="S489" s="817"/>
      <c r="T489" s="817"/>
      <c r="U489" s="816" t="s">
        <v>9551</v>
      </c>
      <c r="V489" s="816" t="s">
        <v>9551</v>
      </c>
      <c r="W489" s="267"/>
      <c r="X489" s="816" t="s">
        <v>26</v>
      </c>
      <c r="Y489">
        <v>86.4</v>
      </c>
      <c r="Z489">
        <v>35.4</v>
      </c>
      <c r="AA489" s="816" t="s">
        <v>9557</v>
      </c>
      <c r="AB489" s="816" t="s">
        <v>9605</v>
      </c>
      <c r="AC489" s="816"/>
      <c r="AD489" s="816"/>
      <c r="AE489" s="816"/>
      <c r="AF489" s="816"/>
      <c r="AG489" s="816"/>
      <c r="AI489" s="816"/>
      <c r="AK489" s="816"/>
      <c r="AM489" s="816"/>
    </row>
    <row r="490" spans="1:39" x14ac:dyDescent="0.25">
      <c r="A490" s="265">
        <v>43916</v>
      </c>
      <c r="B490">
        <v>4</v>
      </c>
      <c r="C490" s="816" t="s">
        <v>7</v>
      </c>
      <c r="D490">
        <v>534</v>
      </c>
      <c r="E490" s="816" t="s">
        <v>9537</v>
      </c>
      <c r="F490" s="816" t="s">
        <v>24</v>
      </c>
      <c r="G490" s="816" t="s">
        <v>9546</v>
      </c>
      <c r="H490">
        <v>17</v>
      </c>
      <c r="I490" s="816" t="s">
        <v>12</v>
      </c>
      <c r="J490" s="816" t="s">
        <v>12</v>
      </c>
      <c r="K490" s="817">
        <v>0.15770833333333334</v>
      </c>
      <c r="L490" s="817">
        <v>0.22437499999999999</v>
      </c>
      <c r="M490" s="817"/>
      <c r="N490" s="817"/>
      <c r="O490" s="817">
        <v>0.47567129629629629</v>
      </c>
      <c r="P490" s="817">
        <v>0.72695601851851854</v>
      </c>
      <c r="Q490" s="817"/>
      <c r="R490" s="816"/>
      <c r="S490" s="817"/>
      <c r="T490" s="817"/>
      <c r="U490" s="816" t="s">
        <v>9551</v>
      </c>
      <c r="V490" s="816" t="s">
        <v>9551</v>
      </c>
      <c r="W490" s="267"/>
      <c r="X490" s="816" t="s">
        <v>26</v>
      </c>
      <c r="Y490">
        <v>77.099999999999994</v>
      </c>
      <c r="Z490">
        <v>24.5</v>
      </c>
      <c r="AA490" s="816" t="s">
        <v>9558</v>
      </c>
      <c r="AB490" s="816" t="s">
        <v>9592</v>
      </c>
      <c r="AC490" s="816"/>
      <c r="AD490" s="816"/>
      <c r="AE490" s="816"/>
      <c r="AF490" s="816"/>
      <c r="AG490" s="816"/>
      <c r="AI490" s="816"/>
      <c r="AK490" s="816"/>
      <c r="AM490" s="816"/>
    </row>
    <row r="491" spans="1:39" x14ac:dyDescent="0.25">
      <c r="A491" s="265">
        <v>43917</v>
      </c>
      <c r="B491">
        <v>5</v>
      </c>
      <c r="C491" s="816" t="s">
        <v>1</v>
      </c>
      <c r="D491">
        <v>534</v>
      </c>
      <c r="E491" s="816" t="s">
        <v>9537</v>
      </c>
      <c r="F491" s="816" t="s">
        <v>24</v>
      </c>
      <c r="G491" s="816" t="s">
        <v>9546</v>
      </c>
      <c r="H491">
        <v>18</v>
      </c>
      <c r="I491" s="816" t="s">
        <v>23</v>
      </c>
      <c r="J491" s="816" t="s">
        <v>23</v>
      </c>
      <c r="K491" s="817">
        <v>0.15765046296296295</v>
      </c>
      <c r="L491" s="817">
        <v>0.2243171296296296</v>
      </c>
      <c r="M491" s="817"/>
      <c r="N491" s="817"/>
      <c r="O491" s="817">
        <v>0.47545138888888888</v>
      </c>
      <c r="P491" s="817">
        <v>0.72659722222222223</v>
      </c>
      <c r="Q491" s="817"/>
      <c r="R491" s="816"/>
      <c r="S491" s="817"/>
      <c r="T491" s="817"/>
      <c r="U491" s="816" t="s">
        <v>9551</v>
      </c>
      <c r="V491" s="816" t="s">
        <v>9551</v>
      </c>
      <c r="W491" s="267"/>
      <c r="X491" s="816" t="s">
        <v>26</v>
      </c>
      <c r="Y491">
        <v>68.2</v>
      </c>
      <c r="Z491">
        <v>13.8</v>
      </c>
      <c r="AA491" s="816" t="s">
        <v>9578</v>
      </c>
      <c r="AB491" s="816" t="s">
        <v>9593</v>
      </c>
      <c r="AC491" s="816"/>
      <c r="AD491" s="816"/>
      <c r="AE491" s="816"/>
      <c r="AF491" s="816"/>
      <c r="AG491" s="816"/>
      <c r="AI491" s="816"/>
      <c r="AK491" s="816"/>
      <c r="AM491" s="816"/>
    </row>
    <row r="492" spans="1:39" x14ac:dyDescent="0.25">
      <c r="A492" s="265">
        <v>43918</v>
      </c>
      <c r="B492">
        <v>6</v>
      </c>
      <c r="C492" s="816" t="s">
        <v>2</v>
      </c>
      <c r="D492">
        <v>534</v>
      </c>
      <c r="E492" s="816" t="s">
        <v>9537</v>
      </c>
      <c r="F492" s="816" t="s">
        <v>24</v>
      </c>
      <c r="G492" s="816" t="s">
        <v>9546</v>
      </c>
      <c r="H492">
        <v>19</v>
      </c>
      <c r="I492" s="816" t="s">
        <v>13</v>
      </c>
      <c r="J492" s="816" t="s">
        <v>13</v>
      </c>
      <c r="K492" s="817">
        <v>0.15760416666666668</v>
      </c>
      <c r="L492" s="817">
        <v>0.22427083333333334</v>
      </c>
      <c r="M492" s="817"/>
      <c r="N492" s="817"/>
      <c r="O492" s="817">
        <v>0.47524305555555557</v>
      </c>
      <c r="P492" s="817">
        <v>0.72622685185185187</v>
      </c>
      <c r="Q492" s="817"/>
      <c r="R492" s="816"/>
      <c r="S492" s="817"/>
      <c r="T492" s="817"/>
      <c r="U492" s="816" t="s">
        <v>9551</v>
      </c>
      <c r="V492" s="816" t="s">
        <v>9551</v>
      </c>
      <c r="W492" s="267"/>
      <c r="X492" s="816" t="s">
        <v>26</v>
      </c>
      <c r="Y492">
        <v>59.8</v>
      </c>
      <c r="Z492">
        <v>3.8</v>
      </c>
      <c r="AA492" s="816" t="s">
        <v>9559</v>
      </c>
      <c r="AB492" s="816" t="s">
        <v>9594</v>
      </c>
      <c r="AC492" s="816"/>
      <c r="AD492" s="816"/>
      <c r="AE492" s="816"/>
      <c r="AF492" s="816"/>
      <c r="AG492" s="816"/>
      <c r="AI492" s="816"/>
      <c r="AK492" s="816"/>
      <c r="AM492" s="816"/>
    </row>
    <row r="493" spans="1:39" x14ac:dyDescent="0.25">
      <c r="A493" s="265">
        <v>43919</v>
      </c>
      <c r="B493">
        <v>0</v>
      </c>
      <c r="C493" s="816" t="s">
        <v>3</v>
      </c>
      <c r="D493">
        <v>534</v>
      </c>
      <c r="E493" s="816" t="s">
        <v>9537</v>
      </c>
      <c r="F493" s="816" t="s">
        <v>24</v>
      </c>
      <c r="G493" s="816" t="s">
        <v>9546</v>
      </c>
      <c r="H493">
        <v>20</v>
      </c>
      <c r="I493" s="816" t="s">
        <v>14</v>
      </c>
      <c r="J493" s="816" t="s">
        <v>14</v>
      </c>
      <c r="K493" s="817">
        <v>0.1575462962962963</v>
      </c>
      <c r="L493" s="817">
        <v>0.22421296296296298</v>
      </c>
      <c r="M493" s="817"/>
      <c r="N493" s="817"/>
      <c r="O493" s="817">
        <v>0.47503472222222221</v>
      </c>
      <c r="P493" s="817">
        <v>0.72586805555555556</v>
      </c>
      <c r="Q493" s="817"/>
      <c r="R493" s="816"/>
      <c r="S493" s="817"/>
      <c r="T493" s="817"/>
      <c r="U493" s="816" t="s">
        <v>9551</v>
      </c>
      <c r="V493" s="816" t="s">
        <v>9551</v>
      </c>
      <c r="W493" s="267"/>
      <c r="X493" s="816" t="s">
        <v>26</v>
      </c>
      <c r="Y493">
        <v>52.5</v>
      </c>
      <c r="Z493">
        <v>94.6</v>
      </c>
      <c r="AA493" s="816" t="s">
        <v>9559</v>
      </c>
      <c r="AB493" s="816" t="s">
        <v>9595</v>
      </c>
      <c r="AC493" s="816"/>
      <c r="AD493" s="816"/>
      <c r="AE493" s="816"/>
      <c r="AF493" s="816"/>
      <c r="AG493" s="816"/>
      <c r="AI493" s="816"/>
      <c r="AK493" s="816"/>
      <c r="AM493" s="816"/>
    </row>
    <row r="494" spans="1:39" x14ac:dyDescent="0.25">
      <c r="A494" s="265">
        <v>43920</v>
      </c>
      <c r="B494">
        <v>1</v>
      </c>
      <c r="C494" s="816" t="s">
        <v>4</v>
      </c>
      <c r="D494">
        <v>534</v>
      </c>
      <c r="E494" s="816" t="s">
        <v>9537</v>
      </c>
      <c r="F494" s="816" t="s">
        <v>24</v>
      </c>
      <c r="G494" s="816" t="s">
        <v>9546</v>
      </c>
      <c r="H494">
        <v>21</v>
      </c>
      <c r="I494" s="816" t="s">
        <v>15</v>
      </c>
      <c r="J494" s="816" t="s">
        <v>15</v>
      </c>
      <c r="K494" s="817">
        <v>0.15748842592592593</v>
      </c>
      <c r="L494" s="817">
        <v>0.22415509259259259</v>
      </c>
      <c r="M494" s="817"/>
      <c r="N494" s="817"/>
      <c r="O494" s="817">
        <v>0.4748263888888889</v>
      </c>
      <c r="P494" s="817">
        <v>0.72550925925925924</v>
      </c>
      <c r="Q494" s="817"/>
      <c r="R494" s="816"/>
      <c r="S494" s="817"/>
      <c r="T494" s="817"/>
      <c r="U494" s="816" t="s">
        <v>9551</v>
      </c>
      <c r="V494" s="816" t="s">
        <v>9551</v>
      </c>
      <c r="W494" s="267"/>
      <c r="X494" s="816" t="s">
        <v>26</v>
      </c>
      <c r="Y494">
        <v>46.6</v>
      </c>
      <c r="Z494">
        <v>86.7</v>
      </c>
      <c r="AA494" s="816" t="s">
        <v>9560</v>
      </c>
      <c r="AB494" s="816" t="s">
        <v>9596</v>
      </c>
      <c r="AC494" s="816"/>
      <c r="AD494" s="816"/>
      <c r="AE494" s="816"/>
      <c r="AF494" s="816"/>
      <c r="AG494" s="816"/>
      <c r="AI494" s="816"/>
      <c r="AK494" s="816"/>
      <c r="AM494" s="816"/>
    </row>
    <row r="495" spans="1:39" x14ac:dyDescent="0.25">
      <c r="A495" s="265">
        <v>43921</v>
      </c>
      <c r="B495">
        <v>2</v>
      </c>
      <c r="C495" s="816" t="s">
        <v>5</v>
      </c>
      <c r="D495">
        <v>534</v>
      </c>
      <c r="E495" s="816" t="s">
        <v>9537</v>
      </c>
      <c r="F495" s="816" t="s">
        <v>24</v>
      </c>
      <c r="G495" s="816" t="s">
        <v>9546</v>
      </c>
      <c r="H495">
        <v>22</v>
      </c>
      <c r="I495" s="816" t="s">
        <v>16</v>
      </c>
      <c r="J495" s="816" t="s">
        <v>16</v>
      </c>
      <c r="K495" s="817">
        <v>0.15743055555555555</v>
      </c>
      <c r="L495" s="817">
        <v>0.2240972222222222</v>
      </c>
      <c r="M495" s="817"/>
      <c r="N495" s="817"/>
      <c r="O495" s="817">
        <v>0.47462962962962968</v>
      </c>
      <c r="P495" s="817">
        <v>0.72515046296296293</v>
      </c>
      <c r="Q495" s="817"/>
      <c r="R495" s="816"/>
      <c r="S495" s="817"/>
      <c r="T495" s="817"/>
      <c r="U495" s="816" t="s">
        <v>9551</v>
      </c>
      <c r="V495" s="816" t="s">
        <v>9551</v>
      </c>
      <c r="W495" s="267"/>
      <c r="X495" s="816" t="s">
        <v>26</v>
      </c>
      <c r="Y495">
        <v>42.8</v>
      </c>
      <c r="Z495">
        <v>80.599999999999994</v>
      </c>
      <c r="AA495" s="816" t="s">
        <v>9561</v>
      </c>
      <c r="AB495" s="816" t="s">
        <v>9597</v>
      </c>
      <c r="AC495" s="816"/>
      <c r="AD495" s="816"/>
      <c r="AE495" s="816"/>
      <c r="AF495" s="816"/>
      <c r="AG495" s="816"/>
      <c r="AI495" s="816"/>
      <c r="AK495" s="816"/>
      <c r="AM495" s="816"/>
    </row>
    <row r="496" spans="1:39" x14ac:dyDescent="0.25">
      <c r="A496" s="265">
        <v>43922</v>
      </c>
      <c r="B496">
        <v>3</v>
      </c>
      <c r="C496" s="816" t="s">
        <v>6</v>
      </c>
      <c r="D496">
        <v>534</v>
      </c>
      <c r="E496" s="816" t="s">
        <v>9537</v>
      </c>
      <c r="F496" s="816" t="s">
        <v>24</v>
      </c>
      <c r="G496" s="816" t="s">
        <v>9546</v>
      </c>
      <c r="H496">
        <v>23</v>
      </c>
      <c r="I496" s="816" t="s">
        <v>17</v>
      </c>
      <c r="J496" s="816" t="s">
        <v>17</v>
      </c>
      <c r="K496" s="817">
        <v>0.15737268518518518</v>
      </c>
      <c r="L496" s="817">
        <v>0.22403935185185186</v>
      </c>
      <c r="M496" s="817"/>
      <c r="N496" s="817"/>
      <c r="O496" s="817">
        <v>0.47442129629629631</v>
      </c>
      <c r="P496" s="817">
        <v>0.72479166666666661</v>
      </c>
      <c r="Q496" s="817"/>
      <c r="R496" s="816"/>
      <c r="S496" s="817"/>
      <c r="T496" s="817"/>
      <c r="U496" s="816" t="s">
        <v>9551</v>
      </c>
      <c r="V496" s="816" t="s">
        <v>9551</v>
      </c>
      <c r="W496" s="267"/>
      <c r="X496" s="816" t="s">
        <v>26</v>
      </c>
      <c r="Y496">
        <v>41.6</v>
      </c>
      <c r="Z496">
        <v>77</v>
      </c>
      <c r="AA496" s="816" t="s">
        <v>9562</v>
      </c>
      <c r="AB496" s="816" t="s">
        <v>9598</v>
      </c>
      <c r="AC496" s="816"/>
      <c r="AD496" s="816"/>
      <c r="AE496" s="816"/>
      <c r="AF496" s="816"/>
      <c r="AG496" s="816"/>
      <c r="AI496" s="816"/>
      <c r="AK496" s="816"/>
      <c r="AM496" s="816"/>
    </row>
    <row r="497" spans="1:39" x14ac:dyDescent="0.25">
      <c r="A497" s="265">
        <v>43923</v>
      </c>
      <c r="B497">
        <v>4</v>
      </c>
      <c r="C497" s="816" t="s">
        <v>7</v>
      </c>
      <c r="D497">
        <v>534</v>
      </c>
      <c r="E497" s="816" t="s">
        <v>9537</v>
      </c>
      <c r="F497" s="816" t="s">
        <v>24</v>
      </c>
      <c r="G497" s="816" t="s">
        <v>9546</v>
      </c>
      <c r="H497">
        <v>24</v>
      </c>
      <c r="I497" s="816" t="s">
        <v>18</v>
      </c>
      <c r="J497" s="816" t="s">
        <v>18</v>
      </c>
      <c r="K497" s="817">
        <v>0.15732638888888889</v>
      </c>
      <c r="L497" s="817">
        <v>0.22399305555555557</v>
      </c>
      <c r="M497" s="817"/>
      <c r="N497" s="817"/>
      <c r="O497" s="817">
        <v>0.47421296296296295</v>
      </c>
      <c r="P497" s="817">
        <v>0.72444444444444445</v>
      </c>
      <c r="Q497" s="817"/>
      <c r="R497" s="816"/>
      <c r="S497" s="817"/>
      <c r="T497" s="817"/>
      <c r="U497" s="816" t="s">
        <v>9551</v>
      </c>
      <c r="V497" s="816" t="s">
        <v>9551</v>
      </c>
      <c r="W497" s="267"/>
      <c r="X497" s="816" t="s">
        <v>26</v>
      </c>
      <c r="Y497">
        <v>43.7</v>
      </c>
      <c r="Z497">
        <v>76.3</v>
      </c>
      <c r="AA497" s="816" t="s">
        <v>9563</v>
      </c>
      <c r="AB497" s="816" t="s">
        <v>9599</v>
      </c>
      <c r="AC497" s="816"/>
      <c r="AD497" s="816"/>
      <c r="AE497" s="816"/>
      <c r="AF497" s="816"/>
      <c r="AG497" s="816" t="s">
        <v>40</v>
      </c>
      <c r="AH497">
        <v>0</v>
      </c>
      <c r="AI497" s="816" t="s">
        <v>37</v>
      </c>
      <c r="AJ497">
        <v>-1</v>
      </c>
      <c r="AK497" s="816"/>
      <c r="AM497" s="816"/>
    </row>
    <row r="498" spans="1:39" x14ac:dyDescent="0.25">
      <c r="A498" s="265">
        <v>43924</v>
      </c>
      <c r="B498">
        <v>5</v>
      </c>
      <c r="C498" s="816" t="s">
        <v>1</v>
      </c>
      <c r="D498">
        <v>534</v>
      </c>
      <c r="E498" s="816" t="s">
        <v>9537</v>
      </c>
      <c r="F498" s="816" t="s">
        <v>24</v>
      </c>
      <c r="G498" s="816" t="s">
        <v>9546</v>
      </c>
      <c r="H498">
        <v>25</v>
      </c>
      <c r="I498" s="816" t="s">
        <v>19</v>
      </c>
      <c r="J498" s="816" t="s">
        <v>19</v>
      </c>
      <c r="K498" s="817">
        <v>0.15726851851851853</v>
      </c>
      <c r="L498" s="817">
        <v>0.22393518518518518</v>
      </c>
      <c r="M498" s="817"/>
      <c r="N498" s="817"/>
      <c r="O498" s="817">
        <v>0.47401620370370368</v>
      </c>
      <c r="P498" s="817">
        <v>0.72408564814814813</v>
      </c>
      <c r="Q498" s="817"/>
      <c r="R498" s="816"/>
      <c r="S498" s="817"/>
      <c r="T498" s="817"/>
      <c r="U498" s="816" t="s">
        <v>9551</v>
      </c>
      <c r="V498" s="816" t="s">
        <v>9551</v>
      </c>
      <c r="W498" s="267"/>
      <c r="X498" s="816" t="s">
        <v>26</v>
      </c>
      <c r="Y498">
        <v>49.5</v>
      </c>
      <c r="Z498">
        <v>78.900000000000006</v>
      </c>
      <c r="AA498" s="816" t="s">
        <v>9564</v>
      </c>
      <c r="AB498" s="816" t="s">
        <v>9601</v>
      </c>
      <c r="AC498" s="816"/>
      <c r="AD498" s="816"/>
      <c r="AE498" s="816"/>
      <c r="AF498" s="816"/>
      <c r="AG498" s="816"/>
      <c r="AI498" s="816"/>
      <c r="AK498" s="816"/>
      <c r="AM498" s="816"/>
    </row>
    <row r="499" spans="1:39" x14ac:dyDescent="0.25">
      <c r="A499" s="265">
        <v>43925</v>
      </c>
      <c r="B499">
        <v>6</v>
      </c>
      <c r="C499" s="816" t="s">
        <v>2</v>
      </c>
      <c r="D499">
        <v>534</v>
      </c>
      <c r="E499" s="816" t="s">
        <v>9537</v>
      </c>
      <c r="F499" s="816" t="s">
        <v>24</v>
      </c>
      <c r="G499" s="816" t="s">
        <v>9546</v>
      </c>
      <c r="H499">
        <v>26</v>
      </c>
      <c r="I499" s="816" t="s">
        <v>9548</v>
      </c>
      <c r="J499" s="816" t="s">
        <v>20</v>
      </c>
      <c r="K499" s="817">
        <v>0.15722222222222224</v>
      </c>
      <c r="L499" s="817">
        <v>0.22388888888888889</v>
      </c>
      <c r="M499" s="817"/>
      <c r="N499" s="817"/>
      <c r="O499" s="817">
        <v>0.47380787037037037</v>
      </c>
      <c r="P499" s="817">
        <v>0.72373842592592597</v>
      </c>
      <c r="Q499" s="817"/>
      <c r="R499" s="816"/>
      <c r="S499" s="817"/>
      <c r="T499" s="817"/>
      <c r="U499" s="816" t="s">
        <v>9551</v>
      </c>
      <c r="V499" s="816" t="s">
        <v>9551</v>
      </c>
      <c r="W499" s="267"/>
      <c r="X499" s="816" t="s">
        <v>26</v>
      </c>
      <c r="Y499">
        <v>59.4</v>
      </c>
      <c r="Z499">
        <v>85.2</v>
      </c>
      <c r="AA499" s="816" t="s">
        <v>9565</v>
      </c>
      <c r="AB499" s="816" t="s">
        <v>9602</v>
      </c>
      <c r="AC499" s="816"/>
      <c r="AD499" s="816"/>
      <c r="AE499" s="816"/>
      <c r="AF499" s="816" t="s">
        <v>72</v>
      </c>
      <c r="AG499" s="816" t="s">
        <v>41</v>
      </c>
      <c r="AH499">
        <v>-1</v>
      </c>
      <c r="AI499" s="816"/>
      <c r="AK499" s="816"/>
      <c r="AM499" s="816"/>
    </row>
    <row r="500" spans="1:39" x14ac:dyDescent="0.25">
      <c r="A500" s="265">
        <v>43926</v>
      </c>
      <c r="B500">
        <v>0</v>
      </c>
      <c r="C500" s="816" t="s">
        <v>3</v>
      </c>
      <c r="D500">
        <v>534</v>
      </c>
      <c r="E500" s="816" t="s">
        <v>9537</v>
      </c>
      <c r="F500" s="816" t="s">
        <v>24</v>
      </c>
      <c r="G500" s="816" t="s">
        <v>9546</v>
      </c>
      <c r="H500">
        <v>27</v>
      </c>
      <c r="I500" s="816" t="s">
        <v>21</v>
      </c>
      <c r="J500" s="816" t="s">
        <v>21</v>
      </c>
      <c r="K500" s="817">
        <v>0.15716435185185185</v>
      </c>
      <c r="L500" s="817">
        <v>0.22383101851851853</v>
      </c>
      <c r="M500" s="817">
        <v>0.22361111111111109</v>
      </c>
      <c r="N500" s="817">
        <v>0.39027777777777778</v>
      </c>
      <c r="O500" s="817">
        <v>0.47361111111111115</v>
      </c>
      <c r="P500" s="817">
        <v>0.72339120370370369</v>
      </c>
      <c r="Q500" s="817"/>
      <c r="R500" s="816"/>
      <c r="S500" s="817"/>
      <c r="T500" s="817"/>
      <c r="U500" s="816" t="s">
        <v>9551</v>
      </c>
      <c r="V500" s="816" t="s">
        <v>9551</v>
      </c>
      <c r="W500" s="267"/>
      <c r="X500" s="816" t="s">
        <v>26</v>
      </c>
      <c r="Y500">
        <v>73.099999999999994</v>
      </c>
      <c r="Z500">
        <v>94.9</v>
      </c>
      <c r="AA500" s="816" t="s">
        <v>9566</v>
      </c>
      <c r="AB500" s="816" t="s">
        <v>9603</v>
      </c>
      <c r="AC500" s="816"/>
      <c r="AD500" s="816"/>
      <c r="AE500" s="816"/>
      <c r="AF500" s="816"/>
      <c r="AG500" s="816"/>
      <c r="AI500" s="816"/>
      <c r="AK500" s="816"/>
      <c r="AM500" s="816"/>
    </row>
    <row r="501" spans="1:39" x14ac:dyDescent="0.25">
      <c r="A501" s="265">
        <v>43927</v>
      </c>
      <c r="B501">
        <v>1</v>
      </c>
      <c r="C501" s="816" t="s">
        <v>4</v>
      </c>
      <c r="D501">
        <v>534</v>
      </c>
      <c r="E501" s="816" t="s">
        <v>9537</v>
      </c>
      <c r="F501" s="816" t="s">
        <v>24</v>
      </c>
      <c r="G501" s="816" t="s">
        <v>9546</v>
      </c>
      <c r="H501">
        <v>28</v>
      </c>
      <c r="I501" s="816" t="s">
        <v>8</v>
      </c>
      <c r="J501" s="816" t="s">
        <v>8</v>
      </c>
      <c r="K501" s="817">
        <v>0.15711805555555555</v>
      </c>
      <c r="L501" s="817">
        <v>0.22378472222222223</v>
      </c>
      <c r="M501" s="817"/>
      <c r="N501" s="817"/>
      <c r="O501" s="817">
        <v>0.47341435185185188</v>
      </c>
      <c r="P501" s="817">
        <v>0.72304398148148152</v>
      </c>
      <c r="Q501" s="817"/>
      <c r="R501" s="816"/>
      <c r="S501" s="817"/>
      <c r="T501" s="817"/>
      <c r="U501" s="816" t="s">
        <v>9551</v>
      </c>
      <c r="V501" s="816" t="s">
        <v>9551</v>
      </c>
      <c r="W501" s="267"/>
      <c r="X501" s="816" t="s">
        <v>26</v>
      </c>
      <c r="Y501">
        <v>90</v>
      </c>
      <c r="Z501">
        <v>7.5</v>
      </c>
      <c r="AA501" s="816" t="s">
        <v>9568</v>
      </c>
      <c r="AB501" s="816" t="s">
        <v>9579</v>
      </c>
      <c r="AC501" s="816"/>
      <c r="AD501" s="816"/>
      <c r="AE501" s="816"/>
      <c r="AF501" s="816"/>
      <c r="AG501" s="816"/>
      <c r="AI501" s="816"/>
      <c r="AK501" s="816"/>
      <c r="AM501" s="816"/>
    </row>
    <row r="502" spans="1:39" x14ac:dyDescent="0.25">
      <c r="A502" s="265">
        <v>43928</v>
      </c>
      <c r="B502">
        <v>2</v>
      </c>
      <c r="C502" s="816" t="s">
        <v>5</v>
      </c>
      <c r="D502">
        <v>534</v>
      </c>
      <c r="E502" s="816" t="s">
        <v>9537</v>
      </c>
      <c r="F502" s="816" t="s">
        <v>24</v>
      </c>
      <c r="G502" s="816" t="s">
        <v>9546</v>
      </c>
      <c r="H502">
        <v>30</v>
      </c>
      <c r="I502" s="816" t="s">
        <v>10</v>
      </c>
      <c r="J502" s="816" t="s">
        <v>10</v>
      </c>
      <c r="K502" s="817">
        <v>0.15707175925925926</v>
      </c>
      <c r="L502" s="817">
        <v>0.22373842592592594</v>
      </c>
      <c r="M502" s="817"/>
      <c r="N502" s="817"/>
      <c r="O502" s="817">
        <v>0.47321759259259261</v>
      </c>
      <c r="P502" s="817">
        <v>0.72270833333333329</v>
      </c>
      <c r="Q502" s="817"/>
      <c r="R502" s="816"/>
      <c r="S502" s="817">
        <v>0.30763888888888891</v>
      </c>
      <c r="T502" s="817">
        <v>0.14791666666666667</v>
      </c>
      <c r="U502" s="816" t="s">
        <v>9551</v>
      </c>
      <c r="V502" s="816" t="s">
        <v>9551</v>
      </c>
      <c r="W502" s="267"/>
      <c r="X502" s="816" t="s">
        <v>26</v>
      </c>
      <c r="Y502">
        <v>9.1</v>
      </c>
      <c r="Z502">
        <v>22</v>
      </c>
      <c r="AA502" s="816" t="s">
        <v>9569</v>
      </c>
      <c r="AB502" s="816" t="s">
        <v>9580</v>
      </c>
      <c r="AC502" s="816"/>
      <c r="AD502" s="816"/>
      <c r="AE502" s="816"/>
      <c r="AF502" s="816"/>
      <c r="AG502" s="816"/>
      <c r="AI502" s="816"/>
      <c r="AK502" s="816"/>
      <c r="AM502" s="816"/>
    </row>
    <row r="503" spans="1:39" x14ac:dyDescent="0.25">
      <c r="A503" s="265">
        <v>43929</v>
      </c>
      <c r="B503">
        <v>3</v>
      </c>
      <c r="C503" s="816" t="s">
        <v>6</v>
      </c>
      <c r="D503">
        <v>534</v>
      </c>
      <c r="E503" s="816" t="s">
        <v>9538</v>
      </c>
      <c r="F503" s="816" t="s">
        <v>25</v>
      </c>
      <c r="G503" s="816" t="s">
        <v>9547</v>
      </c>
      <c r="H503">
        <v>1</v>
      </c>
      <c r="I503" s="816" t="s">
        <v>11</v>
      </c>
      <c r="J503" s="816" t="s">
        <v>11</v>
      </c>
      <c r="K503" s="817">
        <v>0.15702546296296296</v>
      </c>
      <c r="L503" s="817">
        <v>0.22369212962962962</v>
      </c>
      <c r="M503" s="817"/>
      <c r="N503" s="817"/>
      <c r="O503" s="817">
        <v>0.47303240740740743</v>
      </c>
      <c r="P503" s="817">
        <v>0.72237268518518516</v>
      </c>
      <c r="Q503" s="817"/>
      <c r="R503" s="816"/>
      <c r="S503" s="817"/>
      <c r="T503" s="817"/>
      <c r="U503" s="816" t="s">
        <v>9551</v>
      </c>
      <c r="V503" s="816" t="s">
        <v>9551</v>
      </c>
      <c r="W503" s="267"/>
      <c r="X503" s="816" t="s">
        <v>26</v>
      </c>
      <c r="Y503">
        <v>28.7</v>
      </c>
      <c r="Z503">
        <v>37</v>
      </c>
      <c r="AA503" s="816" t="s">
        <v>9570</v>
      </c>
      <c r="AB503" s="816" t="s">
        <v>9581</v>
      </c>
      <c r="AC503" s="816"/>
      <c r="AD503" s="816"/>
      <c r="AE503" s="816"/>
      <c r="AF503" s="816"/>
      <c r="AG503" s="816"/>
      <c r="AI503" s="816"/>
      <c r="AK503" s="816"/>
      <c r="AM503" s="816"/>
    </row>
    <row r="504" spans="1:39" x14ac:dyDescent="0.25">
      <c r="A504" s="265">
        <v>43930</v>
      </c>
      <c r="B504">
        <v>4</v>
      </c>
      <c r="C504" s="816" t="s">
        <v>7</v>
      </c>
      <c r="D504">
        <v>534</v>
      </c>
      <c r="E504" s="816" t="s">
        <v>9538</v>
      </c>
      <c r="F504" s="816" t="s">
        <v>25</v>
      </c>
      <c r="G504" s="816" t="s">
        <v>9547</v>
      </c>
      <c r="H504">
        <v>2</v>
      </c>
      <c r="I504" s="816" t="s">
        <v>12</v>
      </c>
      <c r="J504" s="816" t="s">
        <v>12</v>
      </c>
      <c r="K504" s="817">
        <v>0.15699074074074074</v>
      </c>
      <c r="L504" s="817">
        <v>0.22365740740740739</v>
      </c>
      <c r="M504" s="817"/>
      <c r="N504" s="817"/>
      <c r="O504" s="817">
        <v>0.4728472222222222</v>
      </c>
      <c r="P504" s="817">
        <v>0.72203703703703714</v>
      </c>
      <c r="Q504" s="817"/>
      <c r="R504" s="816"/>
      <c r="S504" s="817"/>
      <c r="T504" s="817"/>
      <c r="U504" s="816" t="s">
        <v>9551</v>
      </c>
      <c r="V504" s="816" t="s">
        <v>9551</v>
      </c>
      <c r="W504" s="267"/>
      <c r="X504" s="816" t="s">
        <v>26</v>
      </c>
      <c r="Y504">
        <v>47.3</v>
      </c>
      <c r="Z504">
        <v>51.2</v>
      </c>
      <c r="AA504" s="816" t="s">
        <v>9571</v>
      </c>
      <c r="AB504" s="816" t="s">
        <v>9583</v>
      </c>
      <c r="AC504" s="816"/>
      <c r="AD504" s="816"/>
      <c r="AE504" s="816"/>
      <c r="AF504" s="816"/>
      <c r="AG504" s="816"/>
      <c r="AI504" s="816"/>
      <c r="AK504" s="816"/>
      <c r="AM504" s="816"/>
    </row>
    <row r="505" spans="1:39" x14ac:dyDescent="0.25">
      <c r="A505" s="265">
        <v>43931</v>
      </c>
      <c r="B505">
        <v>5</v>
      </c>
      <c r="C505" s="816" t="s">
        <v>1</v>
      </c>
      <c r="D505">
        <v>534</v>
      </c>
      <c r="E505" s="816" t="s">
        <v>9538</v>
      </c>
      <c r="F505" s="816" t="s">
        <v>25</v>
      </c>
      <c r="G505" s="816" t="s">
        <v>9547</v>
      </c>
      <c r="H505">
        <v>3</v>
      </c>
      <c r="I505" s="816" t="s">
        <v>23</v>
      </c>
      <c r="J505" s="816" t="s">
        <v>23</v>
      </c>
      <c r="K505" s="817">
        <v>0.15694444444444444</v>
      </c>
      <c r="L505" s="817">
        <v>0.22361111111111109</v>
      </c>
      <c r="M505" s="817"/>
      <c r="N505" s="817"/>
      <c r="O505" s="817">
        <v>0.47266203703703707</v>
      </c>
      <c r="P505" s="817">
        <v>0.72170138888888891</v>
      </c>
      <c r="Q505" s="817"/>
      <c r="R505" s="816"/>
      <c r="S505" s="817"/>
      <c r="T505" s="817"/>
      <c r="U505" s="816" t="s">
        <v>9551</v>
      </c>
      <c r="V505" s="816" t="s">
        <v>9551</v>
      </c>
      <c r="W505" s="267"/>
      <c r="X505" s="816" t="s">
        <v>26</v>
      </c>
      <c r="Y505">
        <v>63.4</v>
      </c>
      <c r="Z505">
        <v>63.1</v>
      </c>
      <c r="AA505" s="816" t="s">
        <v>9572</v>
      </c>
      <c r="AB505" s="816" t="s">
        <v>9584</v>
      </c>
      <c r="AC505" s="816"/>
      <c r="AD505" s="816"/>
      <c r="AE505" s="816"/>
      <c r="AF505" s="816"/>
      <c r="AG505" s="816"/>
      <c r="AI505" s="816"/>
      <c r="AK505" s="816"/>
      <c r="AM505" s="816"/>
    </row>
    <row r="506" spans="1:39" x14ac:dyDescent="0.25">
      <c r="A506" s="265">
        <v>43932</v>
      </c>
      <c r="B506">
        <v>6</v>
      </c>
      <c r="C506" s="816" t="s">
        <v>2</v>
      </c>
      <c r="D506">
        <v>534</v>
      </c>
      <c r="E506" s="816" t="s">
        <v>9538</v>
      </c>
      <c r="F506" s="816" t="s">
        <v>25</v>
      </c>
      <c r="G506" s="816" t="s">
        <v>9547</v>
      </c>
      <c r="H506">
        <v>4</v>
      </c>
      <c r="I506" s="816" t="s">
        <v>13</v>
      </c>
      <c r="J506" s="816" t="s">
        <v>13</v>
      </c>
      <c r="K506" s="817">
        <v>0.15690972222222221</v>
      </c>
      <c r="L506" s="817">
        <v>0.22357638888888889</v>
      </c>
      <c r="M506" s="817"/>
      <c r="N506" s="817"/>
      <c r="O506" s="817">
        <v>0.47247685185185184</v>
      </c>
      <c r="P506" s="817">
        <v>0.72137731481481471</v>
      </c>
      <c r="Q506" s="817"/>
      <c r="R506" s="816"/>
      <c r="S506" s="817"/>
      <c r="T506" s="817"/>
      <c r="U506" s="816" t="s">
        <v>9551</v>
      </c>
      <c r="V506" s="816" t="s">
        <v>9551</v>
      </c>
      <c r="W506" s="267"/>
      <c r="X506" s="816" t="s">
        <v>26</v>
      </c>
      <c r="Y506">
        <v>76.099999999999994</v>
      </c>
      <c r="Z506">
        <v>71.8</v>
      </c>
      <c r="AA506" s="816" t="s">
        <v>9573</v>
      </c>
      <c r="AB506" s="816" t="s">
        <v>9585</v>
      </c>
      <c r="AC506" s="816"/>
      <c r="AD506" s="816"/>
      <c r="AE506" s="816"/>
      <c r="AF506" s="816"/>
      <c r="AG506" s="816"/>
      <c r="AI506" s="816"/>
      <c r="AK506" s="816"/>
      <c r="AM506" s="816"/>
    </row>
    <row r="507" spans="1:39" x14ac:dyDescent="0.25">
      <c r="A507" s="265">
        <v>43933</v>
      </c>
      <c r="B507">
        <v>0</v>
      </c>
      <c r="C507" s="816" t="s">
        <v>3</v>
      </c>
      <c r="D507">
        <v>534</v>
      </c>
      <c r="E507" s="816" t="s">
        <v>9538</v>
      </c>
      <c r="F507" s="816" t="s">
        <v>25</v>
      </c>
      <c r="G507" s="816" t="s">
        <v>9547</v>
      </c>
      <c r="H507">
        <v>5</v>
      </c>
      <c r="I507" s="816" t="s">
        <v>14</v>
      </c>
      <c r="J507" s="816" t="s">
        <v>14</v>
      </c>
      <c r="K507" s="817">
        <v>0.15687500000000001</v>
      </c>
      <c r="L507" s="817">
        <v>0.22354166666666667</v>
      </c>
      <c r="M507" s="817"/>
      <c r="N507" s="817"/>
      <c r="O507" s="817">
        <v>0.47230324074074076</v>
      </c>
      <c r="P507" s="817">
        <v>0.72105324074074073</v>
      </c>
      <c r="Q507" s="817"/>
      <c r="R507" s="816"/>
      <c r="S507" s="817"/>
      <c r="T507" s="817"/>
      <c r="U507" s="816" t="s">
        <v>9551</v>
      </c>
      <c r="V507" s="816" t="s">
        <v>9551</v>
      </c>
      <c r="W507" s="267"/>
      <c r="X507" s="816" t="s">
        <v>26</v>
      </c>
      <c r="Y507">
        <v>84.8</v>
      </c>
      <c r="Z507">
        <v>77</v>
      </c>
      <c r="AA507" s="816" t="s">
        <v>9574</v>
      </c>
      <c r="AB507" s="816" t="s">
        <v>9586</v>
      </c>
      <c r="AC507" s="816"/>
      <c r="AD507" s="816"/>
      <c r="AE507" s="816"/>
      <c r="AF507" s="816"/>
      <c r="AG507" s="816"/>
      <c r="AI507" s="816"/>
      <c r="AK507" s="816"/>
      <c r="AM507" s="816"/>
    </row>
    <row r="508" spans="1:39" x14ac:dyDescent="0.25">
      <c r="A508" s="265">
        <v>43934</v>
      </c>
      <c r="B508">
        <v>1</v>
      </c>
      <c r="C508" s="816" t="s">
        <v>4</v>
      </c>
      <c r="D508">
        <v>534</v>
      </c>
      <c r="E508" s="816" t="s">
        <v>9538</v>
      </c>
      <c r="F508" s="816" t="s">
        <v>25</v>
      </c>
      <c r="G508" s="816" t="s">
        <v>9547</v>
      </c>
      <c r="H508">
        <v>6</v>
      </c>
      <c r="I508" s="816" t="s">
        <v>15</v>
      </c>
      <c r="J508" s="816" t="s">
        <v>15</v>
      </c>
      <c r="K508" s="817">
        <v>0.15684027777777779</v>
      </c>
      <c r="L508" s="817">
        <v>0.22350694444444444</v>
      </c>
      <c r="M508" s="817"/>
      <c r="N508" s="817"/>
      <c r="O508" s="817">
        <v>0.47211805555555553</v>
      </c>
      <c r="P508" s="817">
        <v>0.72074074074074079</v>
      </c>
      <c r="Q508" s="817"/>
      <c r="R508" s="816"/>
      <c r="S508" s="817"/>
      <c r="T508" s="817"/>
      <c r="U508" s="816" t="s">
        <v>9551</v>
      </c>
      <c r="V508" s="816" t="s">
        <v>9551</v>
      </c>
      <c r="W508" s="267"/>
      <c r="X508" s="816" t="s">
        <v>26</v>
      </c>
      <c r="Y508">
        <v>89.4</v>
      </c>
      <c r="Z508">
        <v>78.5</v>
      </c>
      <c r="AA508" s="816" t="s">
        <v>9575</v>
      </c>
      <c r="AB508" s="816" t="s">
        <v>9604</v>
      </c>
      <c r="AC508" s="816"/>
      <c r="AD508" s="816"/>
      <c r="AE508" s="816"/>
      <c r="AF508" s="816"/>
      <c r="AG508" s="816"/>
      <c r="AI508" s="816"/>
      <c r="AK508" s="816"/>
      <c r="AM508" s="816"/>
    </row>
    <row r="509" spans="1:39" x14ac:dyDescent="0.25">
      <c r="A509" s="265">
        <v>43935</v>
      </c>
      <c r="B509">
        <v>2</v>
      </c>
      <c r="C509" s="816" t="s">
        <v>5</v>
      </c>
      <c r="D509">
        <v>534</v>
      </c>
      <c r="E509" s="816" t="s">
        <v>9538</v>
      </c>
      <c r="F509" s="816" t="s">
        <v>25</v>
      </c>
      <c r="G509" s="816" t="s">
        <v>9547</v>
      </c>
      <c r="H509">
        <v>7</v>
      </c>
      <c r="I509" s="816" t="s">
        <v>16</v>
      </c>
      <c r="J509" s="816" t="s">
        <v>16</v>
      </c>
      <c r="K509" s="817">
        <v>0.15681712962962963</v>
      </c>
      <c r="L509" s="817">
        <v>0.22348379629629631</v>
      </c>
      <c r="M509" s="817"/>
      <c r="N509" s="817"/>
      <c r="O509" s="817">
        <v>0.47195601851851854</v>
      </c>
      <c r="P509" s="817">
        <v>0.72042824074074074</v>
      </c>
      <c r="Q509" s="817">
        <v>0.49060185185185184</v>
      </c>
      <c r="R509" s="816" t="s">
        <v>77</v>
      </c>
      <c r="S509" s="817"/>
      <c r="T509" s="817"/>
      <c r="U509" s="816" t="s">
        <v>9551</v>
      </c>
      <c r="V509" s="816" t="s">
        <v>9551</v>
      </c>
      <c r="W509" s="267"/>
      <c r="X509" s="816" t="s">
        <v>26</v>
      </c>
      <c r="Y509">
        <v>90.2</v>
      </c>
      <c r="Z509">
        <v>76.599999999999994</v>
      </c>
      <c r="AA509" s="816" t="s">
        <v>9576</v>
      </c>
      <c r="AB509" s="816" t="s">
        <v>9587</v>
      </c>
      <c r="AC509" s="816"/>
      <c r="AD509" s="816"/>
      <c r="AE509" s="816"/>
      <c r="AF509" s="816"/>
      <c r="AG509" s="816" t="s">
        <v>42</v>
      </c>
      <c r="AH509">
        <v>5</v>
      </c>
      <c r="AI509" s="816"/>
      <c r="AK509" s="816"/>
      <c r="AM509" s="816"/>
    </row>
    <row r="510" spans="1:39" x14ac:dyDescent="0.25">
      <c r="A510" s="265">
        <v>43936</v>
      </c>
      <c r="B510">
        <v>3</v>
      </c>
      <c r="C510" s="816" t="s">
        <v>6</v>
      </c>
      <c r="D510">
        <v>534</v>
      </c>
      <c r="E510" s="816" t="s">
        <v>9538</v>
      </c>
      <c r="F510" s="816" t="s">
        <v>25</v>
      </c>
      <c r="G510" s="816" t="s">
        <v>9547</v>
      </c>
      <c r="H510">
        <v>8</v>
      </c>
      <c r="I510" s="816" t="s">
        <v>17</v>
      </c>
      <c r="J510" s="816" t="s">
        <v>17</v>
      </c>
      <c r="K510" s="817">
        <v>0.15678240740740743</v>
      </c>
      <c r="L510" s="817">
        <v>0.22344907407407408</v>
      </c>
      <c r="M510" s="817"/>
      <c r="N510" s="817"/>
      <c r="O510" s="817">
        <v>0.47178240740740746</v>
      </c>
      <c r="P510" s="817">
        <v>0.7201157407407407</v>
      </c>
      <c r="Q510" s="817"/>
      <c r="R510" s="816"/>
      <c r="S510" s="817"/>
      <c r="T510" s="817"/>
      <c r="U510" s="816" t="s">
        <v>9551</v>
      </c>
      <c r="V510" s="816" t="s">
        <v>9551</v>
      </c>
      <c r="W510" s="267"/>
      <c r="X510" s="816" t="s">
        <v>26</v>
      </c>
      <c r="Y510">
        <v>87.9</v>
      </c>
      <c r="Z510">
        <v>71.8</v>
      </c>
      <c r="AA510" s="816" t="s">
        <v>9577</v>
      </c>
      <c r="AB510" s="816" t="s">
        <v>9588</v>
      </c>
      <c r="AC510" s="816"/>
      <c r="AD510" s="816"/>
      <c r="AE510" s="816"/>
      <c r="AF510" s="816"/>
      <c r="AG510" s="816"/>
      <c r="AI510" s="816"/>
      <c r="AK510" s="816"/>
      <c r="AM510" s="816"/>
    </row>
    <row r="511" spans="1:39" x14ac:dyDescent="0.25">
      <c r="A511" s="265">
        <v>43937</v>
      </c>
      <c r="B511">
        <v>4</v>
      </c>
      <c r="C511" s="816" t="s">
        <v>7</v>
      </c>
      <c r="D511">
        <v>534</v>
      </c>
      <c r="E511" s="816" t="s">
        <v>9538</v>
      </c>
      <c r="F511" s="816" t="s">
        <v>25</v>
      </c>
      <c r="G511" s="816" t="s">
        <v>9547</v>
      </c>
      <c r="H511">
        <v>9</v>
      </c>
      <c r="I511" s="816" t="s">
        <v>18</v>
      </c>
      <c r="J511" s="816" t="s">
        <v>18</v>
      </c>
      <c r="K511" s="817">
        <v>0.15675925925925926</v>
      </c>
      <c r="L511" s="817">
        <v>0.22342592592592592</v>
      </c>
      <c r="M511" s="817"/>
      <c r="N511" s="817"/>
      <c r="O511" s="817">
        <v>0.47162037037037036</v>
      </c>
      <c r="P511" s="817">
        <v>0.7198148148148148</v>
      </c>
      <c r="Q511" s="817"/>
      <c r="R511" s="816"/>
      <c r="S511" s="817"/>
      <c r="T511" s="817"/>
      <c r="U511" s="816" t="s">
        <v>9551</v>
      </c>
      <c r="V511" s="816" t="s">
        <v>9551</v>
      </c>
      <c r="W511" s="267"/>
      <c r="X511" s="816" t="s">
        <v>26</v>
      </c>
      <c r="Y511">
        <v>82.9</v>
      </c>
      <c r="Z511">
        <v>64.7</v>
      </c>
      <c r="AA511" s="816" t="s">
        <v>9552</v>
      </c>
      <c r="AB511" s="816" t="s">
        <v>9589</v>
      </c>
      <c r="AC511" s="816"/>
      <c r="AD511" s="816"/>
      <c r="AE511" s="816"/>
      <c r="AF511" s="816"/>
      <c r="AG511" s="816"/>
      <c r="AI511" s="816"/>
      <c r="AK511" s="816"/>
      <c r="AM511" s="816"/>
    </row>
    <row r="512" spans="1:39" x14ac:dyDescent="0.25">
      <c r="A512" s="265">
        <v>43938</v>
      </c>
      <c r="B512">
        <v>5</v>
      </c>
      <c r="C512" s="816" t="s">
        <v>1</v>
      </c>
      <c r="D512">
        <v>534</v>
      </c>
      <c r="E512" s="816" t="s">
        <v>9538</v>
      </c>
      <c r="F512" s="816" t="s">
        <v>25</v>
      </c>
      <c r="G512" s="816" t="s">
        <v>9547</v>
      </c>
      <c r="H512">
        <v>10</v>
      </c>
      <c r="I512" s="816" t="s">
        <v>19</v>
      </c>
      <c r="J512" s="816" t="s">
        <v>19</v>
      </c>
      <c r="K512" s="817">
        <v>0.1567476851851852</v>
      </c>
      <c r="L512" s="817">
        <v>0.22341435185185185</v>
      </c>
      <c r="M512" s="817"/>
      <c r="N512" s="817"/>
      <c r="O512" s="817">
        <v>0.47146990740740741</v>
      </c>
      <c r="P512" s="817">
        <v>0.71952546296296294</v>
      </c>
      <c r="Q512" s="817"/>
      <c r="R512" s="816"/>
      <c r="S512" s="817"/>
      <c r="T512" s="817"/>
      <c r="U512" s="816" t="s">
        <v>9551</v>
      </c>
      <c r="V512" s="816" t="s">
        <v>9551</v>
      </c>
      <c r="W512" s="267"/>
      <c r="X512" s="816" t="s">
        <v>26</v>
      </c>
      <c r="Y512">
        <v>76</v>
      </c>
      <c r="Z512">
        <v>55.8</v>
      </c>
      <c r="AA512" s="816" t="s">
        <v>9553</v>
      </c>
      <c r="AB512" s="816" t="s">
        <v>9590</v>
      </c>
      <c r="AC512" s="816"/>
      <c r="AD512" s="816"/>
      <c r="AE512" s="816"/>
      <c r="AF512" s="816"/>
      <c r="AG512" s="816"/>
      <c r="AI512" s="816"/>
      <c r="AK512" s="816"/>
      <c r="AM512" s="816"/>
    </row>
    <row r="513" spans="1:39" x14ac:dyDescent="0.25">
      <c r="A513" s="265">
        <v>43939</v>
      </c>
      <c r="B513">
        <v>6</v>
      </c>
      <c r="C513" s="816" t="s">
        <v>2</v>
      </c>
      <c r="D513">
        <v>534</v>
      </c>
      <c r="E513" s="816" t="s">
        <v>9538</v>
      </c>
      <c r="F513" s="816" t="s">
        <v>25</v>
      </c>
      <c r="G513" s="816" t="s">
        <v>9547</v>
      </c>
      <c r="H513">
        <v>11</v>
      </c>
      <c r="I513" s="816" t="s">
        <v>9548</v>
      </c>
      <c r="J513" s="816" t="s">
        <v>20</v>
      </c>
      <c r="K513" s="817">
        <v>0.15672453703703704</v>
      </c>
      <c r="L513" s="817">
        <v>0.22339120370370369</v>
      </c>
      <c r="M513" s="817"/>
      <c r="N513" s="817"/>
      <c r="O513" s="817">
        <v>0.47130787037037036</v>
      </c>
      <c r="P513" s="817">
        <v>0.71922453703703704</v>
      </c>
      <c r="Q513" s="817"/>
      <c r="R513" s="816"/>
      <c r="S513" s="817"/>
      <c r="T513" s="817"/>
      <c r="U513" s="816" t="s">
        <v>9551</v>
      </c>
      <c r="V513" s="816" t="s">
        <v>9551</v>
      </c>
      <c r="W513" s="267"/>
      <c r="X513" s="816" t="s">
        <v>26</v>
      </c>
      <c r="Y513">
        <v>67.8</v>
      </c>
      <c r="Z513">
        <v>45.8</v>
      </c>
      <c r="AA513" s="816" t="s">
        <v>9554</v>
      </c>
      <c r="AB513" s="816" t="s">
        <v>9591</v>
      </c>
      <c r="AC513" s="816"/>
      <c r="AD513" s="816"/>
      <c r="AE513" s="816"/>
      <c r="AF513" s="816" t="s">
        <v>72</v>
      </c>
      <c r="AG513" s="816" t="s">
        <v>9607</v>
      </c>
      <c r="AH513">
        <v>-1</v>
      </c>
      <c r="AI513" s="816"/>
      <c r="AK513" s="816"/>
      <c r="AM513" s="816"/>
    </row>
    <row r="514" spans="1:39" x14ac:dyDescent="0.25">
      <c r="A514" s="265">
        <v>43940</v>
      </c>
      <c r="B514">
        <v>0</v>
      </c>
      <c r="C514" s="816" t="s">
        <v>3</v>
      </c>
      <c r="D514">
        <v>534</v>
      </c>
      <c r="E514" s="816" t="s">
        <v>9538</v>
      </c>
      <c r="F514" s="816" t="s">
        <v>25</v>
      </c>
      <c r="G514" s="816" t="s">
        <v>9547</v>
      </c>
      <c r="H514">
        <v>12</v>
      </c>
      <c r="I514" s="816" t="s">
        <v>21</v>
      </c>
      <c r="J514" s="816" t="s">
        <v>21</v>
      </c>
      <c r="K514" s="817">
        <v>0.15671296296296297</v>
      </c>
      <c r="L514" s="817">
        <v>0.22337962962962962</v>
      </c>
      <c r="M514" s="817">
        <v>0.22291666666666665</v>
      </c>
      <c r="N514" s="817">
        <v>0.38819444444444445</v>
      </c>
      <c r="O514" s="817">
        <v>0.47116898148148145</v>
      </c>
      <c r="P514" s="817">
        <v>0.71894675925925933</v>
      </c>
      <c r="Q514" s="817"/>
      <c r="R514" s="816"/>
      <c r="S514" s="817"/>
      <c r="T514" s="817"/>
      <c r="U514" s="816" t="s">
        <v>9551</v>
      </c>
      <c r="V514" s="816" t="s">
        <v>9551</v>
      </c>
      <c r="W514" s="267"/>
      <c r="X514" s="816" t="s">
        <v>26</v>
      </c>
      <c r="Y514">
        <v>58.8</v>
      </c>
      <c r="Z514">
        <v>35</v>
      </c>
      <c r="AA514" s="816" t="s">
        <v>9555</v>
      </c>
      <c r="AB514" s="816" t="s">
        <v>9605</v>
      </c>
      <c r="AC514" s="816"/>
      <c r="AD514" s="816"/>
      <c r="AE514" s="816"/>
      <c r="AF514" s="816"/>
      <c r="AG514" s="816"/>
      <c r="AI514" s="816"/>
      <c r="AK514" s="816"/>
      <c r="AM514" s="816"/>
    </row>
    <row r="515" spans="1:39" x14ac:dyDescent="0.25">
      <c r="A515" s="265">
        <v>43941</v>
      </c>
      <c r="B515">
        <v>1</v>
      </c>
      <c r="C515" s="816" t="s">
        <v>4</v>
      </c>
      <c r="D515">
        <v>534</v>
      </c>
      <c r="E515" s="816" t="s">
        <v>9538</v>
      </c>
      <c r="F515" s="816" t="s">
        <v>25</v>
      </c>
      <c r="G515" s="816" t="s">
        <v>9547</v>
      </c>
      <c r="H515">
        <v>13</v>
      </c>
      <c r="I515" s="816" t="s">
        <v>8</v>
      </c>
      <c r="J515" s="816" t="s">
        <v>8</v>
      </c>
      <c r="K515" s="817">
        <v>0.15671296296296297</v>
      </c>
      <c r="L515" s="817">
        <v>0.22337962962962962</v>
      </c>
      <c r="M515" s="817"/>
      <c r="N515" s="817"/>
      <c r="O515" s="817">
        <v>0.4710185185185185</v>
      </c>
      <c r="P515" s="817">
        <v>0.71866898148148151</v>
      </c>
      <c r="Q515" s="817"/>
      <c r="R515" s="816"/>
      <c r="S515" s="817"/>
      <c r="T515" s="817"/>
      <c r="U515" s="816" t="s">
        <v>9551</v>
      </c>
      <c r="V515" s="816" t="s">
        <v>9551</v>
      </c>
      <c r="W515" s="267"/>
      <c r="X515" s="816" t="s">
        <v>26</v>
      </c>
      <c r="Y515">
        <v>49.5</v>
      </c>
      <c r="Z515">
        <v>23.9</v>
      </c>
      <c r="AA515" s="816" t="s">
        <v>9556</v>
      </c>
      <c r="AB515" s="816" t="s">
        <v>9592</v>
      </c>
      <c r="AC515" s="816"/>
      <c r="AD515" s="816"/>
      <c r="AE515" s="816"/>
      <c r="AF515" s="816"/>
      <c r="AG515" s="816"/>
      <c r="AI515" s="816"/>
      <c r="AK515" s="816"/>
      <c r="AM515" s="816"/>
    </row>
    <row r="516" spans="1:39" x14ac:dyDescent="0.25">
      <c r="A516" s="265">
        <v>43942</v>
      </c>
      <c r="B516">
        <v>2</v>
      </c>
      <c r="C516" s="816" t="s">
        <v>5</v>
      </c>
      <c r="D516">
        <v>534</v>
      </c>
      <c r="E516" s="816" t="s">
        <v>9538</v>
      </c>
      <c r="F516" s="816" t="s">
        <v>25</v>
      </c>
      <c r="G516" s="816" t="s">
        <v>9547</v>
      </c>
      <c r="H516">
        <v>14</v>
      </c>
      <c r="I516" s="816" t="s">
        <v>9</v>
      </c>
      <c r="J516" s="816" t="s">
        <v>9</v>
      </c>
      <c r="K516" s="817">
        <v>0.15670138888888888</v>
      </c>
      <c r="L516" s="817">
        <v>0.22336805555555553</v>
      </c>
      <c r="M516" s="817"/>
      <c r="N516" s="817"/>
      <c r="O516" s="817">
        <v>0.47087962962962965</v>
      </c>
      <c r="P516" s="817">
        <v>0.71839120370370368</v>
      </c>
      <c r="Q516" s="817"/>
      <c r="R516" s="816"/>
      <c r="S516" s="817"/>
      <c r="T516" s="817"/>
      <c r="U516" s="816" t="s">
        <v>9551</v>
      </c>
      <c r="V516" s="816" t="s">
        <v>9551</v>
      </c>
      <c r="W516" s="267"/>
      <c r="X516" s="816" t="s">
        <v>26</v>
      </c>
      <c r="Y516">
        <v>40.200000000000003</v>
      </c>
      <c r="Z516">
        <v>12.9</v>
      </c>
      <c r="AA516" s="816" t="s">
        <v>9557</v>
      </c>
      <c r="AB516" s="816" t="s">
        <v>9593</v>
      </c>
      <c r="AC516" s="816"/>
      <c r="AD516" s="816"/>
      <c r="AE516" s="816"/>
      <c r="AF516" s="816"/>
      <c r="AG516" s="816"/>
      <c r="AI516" s="816"/>
      <c r="AK516" s="816"/>
      <c r="AM516" s="816"/>
    </row>
    <row r="517" spans="1:39" x14ac:dyDescent="0.25">
      <c r="A517" s="265">
        <v>43943</v>
      </c>
      <c r="B517">
        <v>3</v>
      </c>
      <c r="C517" s="816" t="s">
        <v>6</v>
      </c>
      <c r="D517">
        <v>534</v>
      </c>
      <c r="E517" s="816" t="s">
        <v>9538</v>
      </c>
      <c r="F517" s="816" t="s">
        <v>25</v>
      </c>
      <c r="G517" s="816" t="s">
        <v>9547</v>
      </c>
      <c r="H517">
        <v>15</v>
      </c>
      <c r="I517" s="816" t="s">
        <v>22</v>
      </c>
      <c r="J517" s="816" t="s">
        <v>22</v>
      </c>
      <c r="K517" s="817">
        <v>0.15670138888888888</v>
      </c>
      <c r="L517" s="817">
        <v>0.22336805555555553</v>
      </c>
      <c r="M517" s="817"/>
      <c r="N517" s="817"/>
      <c r="O517" s="817">
        <v>0.47075231481481478</v>
      </c>
      <c r="P517" s="817">
        <v>0.71812500000000001</v>
      </c>
      <c r="Q517" s="817"/>
      <c r="R517" s="816"/>
      <c r="S517" s="817"/>
      <c r="T517" s="817"/>
      <c r="U517" s="816" t="s">
        <v>9551</v>
      </c>
      <c r="V517" s="816" t="s">
        <v>9551</v>
      </c>
      <c r="W517" s="267"/>
      <c r="X517" s="816" t="s">
        <v>26</v>
      </c>
      <c r="Y517">
        <v>31.1</v>
      </c>
      <c r="Z517">
        <v>2</v>
      </c>
      <c r="AA517" s="816" t="s">
        <v>9558</v>
      </c>
      <c r="AB517" s="816" t="s">
        <v>9594</v>
      </c>
      <c r="AC517" s="816"/>
      <c r="AD517" s="816"/>
      <c r="AE517" s="816"/>
      <c r="AF517" s="816"/>
      <c r="AG517" s="816"/>
      <c r="AI517" s="816"/>
      <c r="AK517" s="816"/>
      <c r="AM517" s="816"/>
    </row>
    <row r="518" spans="1:39" x14ac:dyDescent="0.25">
      <c r="A518" s="265">
        <v>43944</v>
      </c>
      <c r="B518">
        <v>4</v>
      </c>
      <c r="C518" s="816" t="s">
        <v>7</v>
      </c>
      <c r="D518">
        <v>534</v>
      </c>
      <c r="E518" s="816" t="s">
        <v>9538</v>
      </c>
      <c r="F518" s="816" t="s">
        <v>24</v>
      </c>
      <c r="G518" s="816" t="s">
        <v>9546</v>
      </c>
      <c r="H518">
        <v>16</v>
      </c>
      <c r="I518" s="816" t="s">
        <v>11</v>
      </c>
      <c r="J518" s="816" t="s">
        <v>11</v>
      </c>
      <c r="K518" s="817">
        <v>0.15671296296296297</v>
      </c>
      <c r="L518" s="817">
        <v>0.22337962962962962</v>
      </c>
      <c r="M518" s="817"/>
      <c r="N518" s="817"/>
      <c r="O518" s="817">
        <v>0.47062500000000002</v>
      </c>
      <c r="P518" s="817">
        <v>0.71785879629629623</v>
      </c>
      <c r="Q518" s="817"/>
      <c r="R518" s="816"/>
      <c r="S518" s="817"/>
      <c r="T518" s="817"/>
      <c r="U518" s="816" t="s">
        <v>9551</v>
      </c>
      <c r="V518" s="816" t="s">
        <v>9551</v>
      </c>
      <c r="W518" s="267"/>
      <c r="X518" s="816" t="s">
        <v>26</v>
      </c>
      <c r="Y518">
        <v>22.5</v>
      </c>
      <c r="Z518">
        <v>91.6</v>
      </c>
      <c r="AA518" s="816" t="s">
        <v>9558</v>
      </c>
      <c r="AB518" s="816" t="s">
        <v>9595</v>
      </c>
      <c r="AC518" s="816"/>
      <c r="AD518" s="816"/>
      <c r="AE518" s="816"/>
      <c r="AF518" s="816"/>
      <c r="AG518" s="816"/>
      <c r="AI518" s="816"/>
      <c r="AK518" s="816"/>
      <c r="AM518" s="816"/>
    </row>
    <row r="519" spans="1:39" x14ac:dyDescent="0.25">
      <c r="A519" s="265">
        <v>43945</v>
      </c>
      <c r="B519">
        <v>5</v>
      </c>
      <c r="C519" s="816" t="s">
        <v>1</v>
      </c>
      <c r="D519">
        <v>534</v>
      </c>
      <c r="E519" s="816" t="s">
        <v>9538</v>
      </c>
      <c r="F519" s="816" t="s">
        <v>24</v>
      </c>
      <c r="G519" s="816" t="s">
        <v>9546</v>
      </c>
      <c r="H519">
        <v>17</v>
      </c>
      <c r="I519" s="816" t="s">
        <v>12</v>
      </c>
      <c r="J519" s="816" t="s">
        <v>12</v>
      </c>
      <c r="K519" s="817">
        <v>0.15671296296296297</v>
      </c>
      <c r="L519" s="817">
        <v>0.22337962962962962</v>
      </c>
      <c r="M519" s="817"/>
      <c r="N519" s="817"/>
      <c r="O519" s="817">
        <v>0.4704976851851852</v>
      </c>
      <c r="P519" s="817">
        <v>0.71760416666666671</v>
      </c>
      <c r="Q519" s="817"/>
      <c r="R519" s="816"/>
      <c r="S519" s="817"/>
      <c r="T519" s="817"/>
      <c r="U519" s="816" t="s">
        <v>9551</v>
      </c>
      <c r="V519" s="816" t="s">
        <v>9551</v>
      </c>
      <c r="W519" s="267"/>
      <c r="X519" s="816" t="s">
        <v>26</v>
      </c>
      <c r="Y519">
        <v>14.7</v>
      </c>
      <c r="Z519">
        <v>81.8</v>
      </c>
      <c r="AA519" s="816" t="s">
        <v>9578</v>
      </c>
      <c r="AB519" s="816" t="s">
        <v>9596</v>
      </c>
      <c r="AC519" s="816"/>
      <c r="AD519" s="816"/>
      <c r="AE519" s="816"/>
      <c r="AF519" s="816"/>
      <c r="AG519" s="816"/>
      <c r="AI519" s="816"/>
      <c r="AK519" s="816"/>
      <c r="AM519" s="816"/>
    </row>
    <row r="520" spans="1:39" x14ac:dyDescent="0.25">
      <c r="A520" s="265">
        <v>43946</v>
      </c>
      <c r="B520">
        <v>6</v>
      </c>
      <c r="C520" s="816" t="s">
        <v>2</v>
      </c>
      <c r="D520">
        <v>534</v>
      </c>
      <c r="E520" s="816" t="s">
        <v>9538</v>
      </c>
      <c r="F520" s="816" t="s">
        <v>24</v>
      </c>
      <c r="G520" s="816" t="s">
        <v>9546</v>
      </c>
      <c r="H520">
        <v>18</v>
      </c>
      <c r="I520" s="816" t="s">
        <v>23</v>
      </c>
      <c r="J520" s="816" t="s">
        <v>23</v>
      </c>
      <c r="K520" s="817">
        <v>0.1567361111111111</v>
      </c>
      <c r="L520" s="817">
        <v>0.22340277777777776</v>
      </c>
      <c r="M520" s="817"/>
      <c r="N520" s="817"/>
      <c r="O520" s="817">
        <v>0.47038194444444442</v>
      </c>
      <c r="P520" s="817">
        <v>0.71736111111111101</v>
      </c>
      <c r="Q520" s="817"/>
      <c r="R520" s="816"/>
      <c r="S520" s="817"/>
      <c r="T520" s="817"/>
      <c r="U520" s="816" t="s">
        <v>9551</v>
      </c>
      <c r="V520" s="816" t="s">
        <v>9551</v>
      </c>
      <c r="W520" s="267"/>
      <c r="X520" s="816" t="s">
        <v>26</v>
      </c>
      <c r="Y520">
        <v>7.6</v>
      </c>
      <c r="Z520">
        <v>72.8</v>
      </c>
      <c r="AA520" s="816" t="s">
        <v>9559</v>
      </c>
      <c r="AB520" s="816" t="s">
        <v>9597</v>
      </c>
      <c r="AC520" s="816"/>
      <c r="AD520" s="816"/>
      <c r="AE520" s="816"/>
      <c r="AF520" s="816"/>
      <c r="AG520" s="816"/>
      <c r="AI520" s="816"/>
      <c r="AK520" s="816"/>
      <c r="AM520" s="816"/>
    </row>
    <row r="521" spans="1:39" x14ac:dyDescent="0.25">
      <c r="A521" s="265">
        <v>43947</v>
      </c>
      <c r="B521">
        <v>0</v>
      </c>
      <c r="C521" s="816" t="s">
        <v>3</v>
      </c>
      <c r="D521">
        <v>534</v>
      </c>
      <c r="E521" s="816" t="s">
        <v>9538</v>
      </c>
      <c r="F521" s="816" t="s">
        <v>24</v>
      </c>
      <c r="G521" s="816" t="s">
        <v>9546</v>
      </c>
      <c r="H521">
        <v>19</v>
      </c>
      <c r="I521" s="816" t="s">
        <v>13</v>
      </c>
      <c r="J521" s="816" t="s">
        <v>23</v>
      </c>
      <c r="K521" s="817">
        <v>0.1567476851851852</v>
      </c>
      <c r="L521" s="817">
        <v>0.22341435185185185</v>
      </c>
      <c r="M521" s="817"/>
      <c r="N521" s="817"/>
      <c r="O521" s="817">
        <v>0.4702662037037037</v>
      </c>
      <c r="P521" s="817">
        <v>0.71711805555555552</v>
      </c>
      <c r="Q521" s="817"/>
      <c r="R521" s="816"/>
      <c r="S521" s="817"/>
      <c r="T521" s="817"/>
      <c r="U521" s="816" t="s">
        <v>9551</v>
      </c>
      <c r="V521" s="816" t="s">
        <v>9551</v>
      </c>
      <c r="W521" s="267"/>
      <c r="X521" s="816" t="s">
        <v>26</v>
      </c>
      <c r="Y521">
        <v>1.8</v>
      </c>
      <c r="Z521">
        <v>64.8</v>
      </c>
      <c r="AA521" s="816" t="s">
        <v>9560</v>
      </c>
      <c r="AB521" s="816" t="s">
        <v>9598</v>
      </c>
      <c r="AC521" s="816"/>
      <c r="AD521" s="816"/>
      <c r="AE521" s="816"/>
      <c r="AF521" s="816"/>
      <c r="AG521" s="816"/>
      <c r="AI521" s="816"/>
      <c r="AK521" s="816"/>
      <c r="AM521" s="816"/>
    </row>
    <row r="522" spans="1:39" x14ac:dyDescent="0.25">
      <c r="A522" s="265">
        <v>43948</v>
      </c>
      <c r="B522">
        <v>1</v>
      </c>
      <c r="C522" s="816" t="s">
        <v>4</v>
      </c>
      <c r="D522">
        <v>534</v>
      </c>
      <c r="E522" s="816" t="s">
        <v>9538</v>
      </c>
      <c r="F522" s="816" t="s">
        <v>24</v>
      </c>
      <c r="G522" s="816" t="s">
        <v>9546</v>
      </c>
      <c r="H522">
        <v>19</v>
      </c>
      <c r="I522" s="816" t="s">
        <v>13</v>
      </c>
      <c r="J522" s="816" t="s">
        <v>13</v>
      </c>
      <c r="K522" s="817">
        <v>0.15677083333333333</v>
      </c>
      <c r="L522" s="817">
        <v>0.22343749999999998</v>
      </c>
      <c r="M522" s="817"/>
      <c r="N522" s="817"/>
      <c r="O522" s="817">
        <v>0.47016203703703702</v>
      </c>
      <c r="P522" s="817">
        <v>0.71688657407407408</v>
      </c>
      <c r="Q522" s="817"/>
      <c r="R522" s="816"/>
      <c r="S522" s="817"/>
      <c r="T522" s="817"/>
      <c r="U522" s="816" t="s">
        <v>9551</v>
      </c>
      <c r="V522" s="816" t="s">
        <v>9551</v>
      </c>
      <c r="W522" s="267"/>
      <c r="X522" s="816" t="s">
        <v>27</v>
      </c>
      <c r="Y522">
        <v>97.3</v>
      </c>
      <c r="Z522">
        <v>58.1</v>
      </c>
      <c r="AA522" s="816" t="s">
        <v>9561</v>
      </c>
      <c r="AB522" s="816" t="s">
        <v>9599</v>
      </c>
      <c r="AC522" s="816"/>
      <c r="AD522" s="816"/>
      <c r="AE522" s="816"/>
      <c r="AF522" s="816"/>
      <c r="AG522" s="816"/>
      <c r="AI522" s="816"/>
      <c r="AK522" s="816"/>
      <c r="AM522" s="816"/>
    </row>
    <row r="523" spans="1:39" x14ac:dyDescent="0.25">
      <c r="A523" s="265">
        <v>43949</v>
      </c>
      <c r="B523">
        <v>2</v>
      </c>
      <c r="C523" s="816" t="s">
        <v>5</v>
      </c>
      <c r="D523">
        <v>534</v>
      </c>
      <c r="E523" s="816" t="s">
        <v>9538</v>
      </c>
      <c r="F523" s="816" t="s">
        <v>24</v>
      </c>
      <c r="G523" s="816" t="s">
        <v>9546</v>
      </c>
      <c r="H523">
        <v>20</v>
      </c>
      <c r="I523" s="816" t="s">
        <v>14</v>
      </c>
      <c r="J523" s="816" t="s">
        <v>14</v>
      </c>
      <c r="K523" s="817">
        <v>0.15679398148148146</v>
      </c>
      <c r="L523" s="817">
        <v>0.22346064814814814</v>
      </c>
      <c r="M523" s="817"/>
      <c r="N523" s="817"/>
      <c r="O523" s="817">
        <v>0.47005787037037039</v>
      </c>
      <c r="P523" s="817">
        <v>0.71666666666666667</v>
      </c>
      <c r="Q523" s="817"/>
      <c r="R523" s="816"/>
      <c r="S523" s="817"/>
      <c r="T523" s="817"/>
      <c r="U523" s="816" t="s">
        <v>9551</v>
      </c>
      <c r="V523" s="816" t="s">
        <v>9551</v>
      </c>
      <c r="W523" s="267"/>
      <c r="X523" s="816" t="s">
        <v>26</v>
      </c>
      <c r="Y523">
        <v>94.7</v>
      </c>
      <c r="Z523">
        <v>53</v>
      </c>
      <c r="AA523" s="816" t="s">
        <v>9562</v>
      </c>
      <c r="AB523" s="816" t="s">
        <v>9600</v>
      </c>
      <c r="AC523" s="816"/>
      <c r="AD523" s="816"/>
      <c r="AE523" s="816"/>
      <c r="AF523" s="816"/>
      <c r="AG523" s="816"/>
      <c r="AI523" s="816"/>
      <c r="AK523" s="816"/>
      <c r="AM523" s="816"/>
    </row>
    <row r="524" spans="1:39" x14ac:dyDescent="0.25">
      <c r="A524" s="265">
        <v>43950</v>
      </c>
      <c r="B524">
        <v>3</v>
      </c>
      <c r="C524" s="816" t="s">
        <v>6</v>
      </c>
      <c r="D524">
        <v>534</v>
      </c>
      <c r="E524" s="816" t="s">
        <v>9538</v>
      </c>
      <c r="F524" s="816" t="s">
        <v>24</v>
      </c>
      <c r="G524" s="816" t="s">
        <v>9546</v>
      </c>
      <c r="H524">
        <v>21</v>
      </c>
      <c r="I524" s="816" t="s">
        <v>15</v>
      </c>
      <c r="J524" s="816" t="s">
        <v>15</v>
      </c>
      <c r="K524" s="817">
        <v>0.15682870370370369</v>
      </c>
      <c r="L524" s="817">
        <v>0.22349537037037037</v>
      </c>
      <c r="M524" s="817"/>
      <c r="N524" s="817"/>
      <c r="O524" s="817">
        <v>0.4699652777777778</v>
      </c>
      <c r="P524" s="817">
        <v>0.71644675925925927</v>
      </c>
      <c r="Q524" s="817"/>
      <c r="R524" s="816"/>
      <c r="S524" s="817"/>
      <c r="T524" s="817"/>
      <c r="U524" s="816" t="s">
        <v>9551</v>
      </c>
      <c r="V524" s="816" t="s">
        <v>9551</v>
      </c>
      <c r="W524" s="267"/>
      <c r="X524" s="816" t="s">
        <v>26</v>
      </c>
      <c r="Y524">
        <v>94.2</v>
      </c>
      <c r="Z524">
        <v>49.9</v>
      </c>
      <c r="AA524" s="816" t="s">
        <v>9563</v>
      </c>
      <c r="AB524" s="816" t="s">
        <v>9601</v>
      </c>
      <c r="AC524" s="816"/>
      <c r="AD524" s="816"/>
      <c r="AE524" s="816"/>
      <c r="AF524" s="816"/>
      <c r="AG524" s="816"/>
      <c r="AI524" s="816"/>
      <c r="AK524" s="816"/>
      <c r="AM524" s="816"/>
    </row>
    <row r="525" spans="1:39" x14ac:dyDescent="0.25">
      <c r="A525" s="265">
        <v>43951</v>
      </c>
      <c r="B525">
        <v>4</v>
      </c>
      <c r="C525" s="816" t="s">
        <v>7</v>
      </c>
      <c r="D525">
        <v>534</v>
      </c>
      <c r="E525" s="816" t="s">
        <v>9538</v>
      </c>
      <c r="F525" s="816" t="s">
        <v>24</v>
      </c>
      <c r="G525" s="816" t="s">
        <v>9546</v>
      </c>
      <c r="H525">
        <v>22</v>
      </c>
      <c r="I525" s="816" t="s">
        <v>16</v>
      </c>
      <c r="J525" s="816" t="s">
        <v>16</v>
      </c>
      <c r="K525" s="817">
        <v>0.15686342592592592</v>
      </c>
      <c r="L525" s="817">
        <v>0.2235300925925926</v>
      </c>
      <c r="M525" s="817"/>
      <c r="N525" s="817"/>
      <c r="O525" s="817">
        <v>0.46988425925925931</v>
      </c>
      <c r="P525" s="817">
        <v>0.71622685185185186</v>
      </c>
      <c r="Q525" s="817"/>
      <c r="R525" s="816"/>
      <c r="S525" s="817"/>
      <c r="T525" s="817"/>
      <c r="U525" s="816" t="s">
        <v>9551</v>
      </c>
      <c r="V525" s="816" t="s">
        <v>9551</v>
      </c>
      <c r="W525" s="267"/>
      <c r="X525" s="816" t="s">
        <v>26</v>
      </c>
      <c r="Y525">
        <v>96.4</v>
      </c>
      <c r="Z525">
        <v>49.2</v>
      </c>
      <c r="AA525" s="816" t="s">
        <v>9564</v>
      </c>
      <c r="AB525" s="816" t="s">
        <v>9602</v>
      </c>
      <c r="AC525" s="816"/>
      <c r="AD525" s="816"/>
      <c r="AE525" s="816"/>
      <c r="AF525" s="816"/>
      <c r="AG525" s="816"/>
      <c r="AI525" s="816"/>
      <c r="AK525" s="816"/>
      <c r="AM525" s="816"/>
    </row>
    <row r="526" spans="1:39" x14ac:dyDescent="0.25">
      <c r="A526" s="265">
        <v>43952</v>
      </c>
      <c r="B526">
        <v>5</v>
      </c>
      <c r="C526" s="816" t="s">
        <v>1</v>
      </c>
      <c r="D526">
        <v>534</v>
      </c>
      <c r="E526" s="816" t="s">
        <v>9538</v>
      </c>
      <c r="F526" s="816" t="s">
        <v>24</v>
      </c>
      <c r="G526" s="816" t="s">
        <v>9546</v>
      </c>
      <c r="H526">
        <v>24</v>
      </c>
      <c r="I526" s="816" t="s">
        <v>18</v>
      </c>
      <c r="J526" s="816" t="s">
        <v>17</v>
      </c>
      <c r="K526" s="817">
        <v>0.15690972222222221</v>
      </c>
      <c r="L526" s="817">
        <v>0.22357638888888889</v>
      </c>
      <c r="M526" s="817"/>
      <c r="N526" s="817"/>
      <c r="O526" s="817">
        <v>0.4698032407407407</v>
      </c>
      <c r="P526" s="817">
        <v>0.71603009259259265</v>
      </c>
      <c r="Q526" s="817"/>
      <c r="R526" s="816"/>
      <c r="S526" s="817">
        <v>0.25763888888888892</v>
      </c>
      <c r="T526" s="817">
        <v>0.20694444444444446</v>
      </c>
      <c r="U526" s="816" t="s">
        <v>9551</v>
      </c>
      <c r="V526" s="816" t="s">
        <v>9551</v>
      </c>
      <c r="W526" s="267"/>
      <c r="X526" s="816" t="s">
        <v>26</v>
      </c>
      <c r="Y526">
        <v>1.7</v>
      </c>
      <c r="Z526">
        <v>51.2</v>
      </c>
      <c r="AA526" s="816" t="s">
        <v>9565</v>
      </c>
      <c r="AB526" s="816" t="s">
        <v>9603</v>
      </c>
      <c r="AC526" s="816"/>
      <c r="AD526" s="816"/>
      <c r="AE526" s="816"/>
      <c r="AF526" s="816"/>
      <c r="AG526" s="816"/>
      <c r="AI526" s="816"/>
      <c r="AK526" s="816"/>
      <c r="AM526" s="816"/>
    </row>
    <row r="527" spans="1:39" x14ac:dyDescent="0.25">
      <c r="A527" s="265">
        <v>43953</v>
      </c>
      <c r="B527">
        <v>6</v>
      </c>
      <c r="C527" s="816" t="s">
        <v>2</v>
      </c>
      <c r="D527">
        <v>534</v>
      </c>
      <c r="E527" s="816" t="s">
        <v>9538</v>
      </c>
      <c r="F527" s="816" t="s">
        <v>24</v>
      </c>
      <c r="G527" s="816" t="s">
        <v>9546</v>
      </c>
      <c r="H527">
        <v>25</v>
      </c>
      <c r="I527" s="816" t="s">
        <v>19</v>
      </c>
      <c r="J527" s="816" t="s">
        <v>19</v>
      </c>
      <c r="K527" s="817">
        <v>0.15694444444444444</v>
      </c>
      <c r="L527" s="817">
        <v>0.22361111111111109</v>
      </c>
      <c r="M527" s="817"/>
      <c r="N527" s="817"/>
      <c r="O527" s="817">
        <v>0.46972222222222221</v>
      </c>
      <c r="P527" s="817">
        <v>0.71583333333333332</v>
      </c>
      <c r="Q527" s="817"/>
      <c r="R527" s="816"/>
      <c r="S527" s="817"/>
      <c r="T527" s="817"/>
      <c r="U527" s="816" t="s">
        <v>9551</v>
      </c>
      <c r="V527" s="816" t="s">
        <v>9551</v>
      </c>
      <c r="W527" s="267"/>
      <c r="X527" s="816" t="s">
        <v>26</v>
      </c>
      <c r="Y527">
        <v>10.199999999999999</v>
      </c>
      <c r="Z527">
        <v>56.2</v>
      </c>
      <c r="AA527" s="816" t="s">
        <v>9566</v>
      </c>
      <c r="AB527" s="816" t="s">
        <v>9579</v>
      </c>
      <c r="AC527" s="816"/>
      <c r="AD527" s="816"/>
      <c r="AE527" s="816"/>
      <c r="AF527" s="816"/>
      <c r="AG527" s="816"/>
      <c r="AI527" s="816"/>
      <c r="AK527" s="816"/>
      <c r="AM527" s="816"/>
    </row>
    <row r="528" spans="1:39" x14ac:dyDescent="0.25">
      <c r="A528" s="265">
        <v>43954</v>
      </c>
      <c r="B528">
        <v>0</v>
      </c>
      <c r="C528" s="816" t="s">
        <v>3</v>
      </c>
      <c r="D528">
        <v>534</v>
      </c>
      <c r="E528" s="816" t="s">
        <v>9538</v>
      </c>
      <c r="F528" s="816" t="s">
        <v>24</v>
      </c>
      <c r="G528" s="816" t="s">
        <v>9546</v>
      </c>
      <c r="H528">
        <v>26</v>
      </c>
      <c r="I528" s="816" t="s">
        <v>9548</v>
      </c>
      <c r="J528" s="816" t="s">
        <v>20</v>
      </c>
      <c r="K528" s="817">
        <v>0.15700231481481483</v>
      </c>
      <c r="L528" s="817">
        <v>0.22366898148148148</v>
      </c>
      <c r="M528" s="817"/>
      <c r="N528" s="817"/>
      <c r="O528" s="817">
        <v>0.46965277777777775</v>
      </c>
      <c r="P528" s="817">
        <v>0.71564814814814814</v>
      </c>
      <c r="Q528" s="817"/>
      <c r="R528" s="816"/>
      <c r="S528" s="817"/>
      <c r="T528" s="817"/>
      <c r="U528" s="816" t="s">
        <v>9551</v>
      </c>
      <c r="V528" s="816" t="s">
        <v>9551</v>
      </c>
      <c r="W528" s="267"/>
      <c r="X528" s="816" t="s">
        <v>26</v>
      </c>
      <c r="Y528">
        <v>22</v>
      </c>
      <c r="Z528">
        <v>64.099999999999994</v>
      </c>
      <c r="AA528" s="816" t="s">
        <v>9567</v>
      </c>
      <c r="AB528" s="816" t="s">
        <v>9581</v>
      </c>
      <c r="AC528" s="816"/>
      <c r="AD528" s="816"/>
      <c r="AE528" s="816"/>
      <c r="AF528" s="816" t="s">
        <v>72</v>
      </c>
      <c r="AG528" s="816" t="s">
        <v>43</v>
      </c>
      <c r="AH528">
        <v>-1</v>
      </c>
      <c r="AI528" s="816"/>
      <c r="AK528" s="816"/>
      <c r="AM528" s="816"/>
    </row>
    <row r="529" spans="1:39" x14ac:dyDescent="0.25">
      <c r="A529" s="265">
        <v>43955</v>
      </c>
      <c r="B529">
        <v>1</v>
      </c>
      <c r="C529" s="816" t="s">
        <v>4</v>
      </c>
      <c r="D529">
        <v>534</v>
      </c>
      <c r="E529" s="816" t="s">
        <v>9538</v>
      </c>
      <c r="F529" s="816" t="s">
        <v>24</v>
      </c>
      <c r="G529" s="816" t="s">
        <v>9546</v>
      </c>
      <c r="H529">
        <v>27</v>
      </c>
      <c r="I529" s="816" t="s">
        <v>21</v>
      </c>
      <c r="J529" s="816" t="s">
        <v>21</v>
      </c>
      <c r="K529" s="817">
        <v>0.15706018518518519</v>
      </c>
      <c r="L529" s="817">
        <v>0.22372685185185184</v>
      </c>
      <c r="M529" s="817">
        <v>0.22361111111111109</v>
      </c>
      <c r="N529" s="817">
        <v>0.38750000000000001</v>
      </c>
      <c r="O529" s="817">
        <v>0.46959490740740745</v>
      </c>
      <c r="P529" s="817">
        <v>0.71546296296296286</v>
      </c>
      <c r="Q529" s="817"/>
      <c r="R529" s="816"/>
      <c r="S529" s="817"/>
      <c r="T529" s="817"/>
      <c r="U529" s="816" t="s">
        <v>9551</v>
      </c>
      <c r="V529" s="816" t="s">
        <v>9551</v>
      </c>
      <c r="W529" s="267"/>
      <c r="X529" s="816" t="s">
        <v>26</v>
      </c>
      <c r="Y529">
        <v>36.700000000000003</v>
      </c>
      <c r="Z529">
        <v>74.5</v>
      </c>
      <c r="AA529" s="816" t="s">
        <v>9568</v>
      </c>
      <c r="AB529" s="816" t="s">
        <v>9582</v>
      </c>
      <c r="AC529" s="816"/>
      <c r="AD529" s="816"/>
      <c r="AE529" s="816"/>
      <c r="AF529" s="816"/>
      <c r="AG529" s="816"/>
      <c r="AI529" s="816"/>
      <c r="AK529" s="816"/>
      <c r="AM529" s="816"/>
    </row>
    <row r="530" spans="1:39" x14ac:dyDescent="0.25">
      <c r="A530" s="265">
        <v>43956</v>
      </c>
      <c r="B530">
        <v>2</v>
      </c>
      <c r="C530" s="816" t="s">
        <v>5</v>
      </c>
      <c r="D530">
        <v>534</v>
      </c>
      <c r="E530" s="816" t="s">
        <v>9538</v>
      </c>
      <c r="F530" s="816" t="s">
        <v>24</v>
      </c>
      <c r="G530" s="816" t="s">
        <v>9546</v>
      </c>
      <c r="H530">
        <v>28</v>
      </c>
      <c r="I530" s="816" t="s">
        <v>8</v>
      </c>
      <c r="J530" s="816" t="s">
        <v>8</v>
      </c>
      <c r="K530" s="817">
        <v>0.15711805555555555</v>
      </c>
      <c r="L530" s="817">
        <v>0.22378472222222223</v>
      </c>
      <c r="M530" s="817"/>
      <c r="N530" s="817"/>
      <c r="O530" s="817">
        <v>0.46953703703703703</v>
      </c>
      <c r="P530" s="817">
        <v>0.71528935185185183</v>
      </c>
      <c r="Q530" s="817"/>
      <c r="R530" s="816"/>
      <c r="S530" s="817"/>
      <c r="T530" s="817"/>
      <c r="U530" s="816" t="s">
        <v>9551</v>
      </c>
      <c r="V530" s="816" t="s">
        <v>9551</v>
      </c>
      <c r="W530" s="267"/>
      <c r="X530" s="816" t="s">
        <v>26</v>
      </c>
      <c r="Y530">
        <v>53.4</v>
      </c>
      <c r="Z530">
        <v>86.8</v>
      </c>
      <c r="AA530" s="816" t="s">
        <v>9569</v>
      </c>
      <c r="AB530" s="816" t="s">
        <v>9583</v>
      </c>
      <c r="AC530" s="816"/>
      <c r="AD530" s="816"/>
      <c r="AE530" s="816"/>
      <c r="AF530" s="816"/>
      <c r="AG530" s="816"/>
      <c r="AI530" s="816"/>
      <c r="AK530" s="816"/>
      <c r="AM530" s="816"/>
    </row>
    <row r="531" spans="1:39" x14ac:dyDescent="0.25">
      <c r="A531" s="265">
        <v>43957</v>
      </c>
      <c r="B531">
        <v>3</v>
      </c>
      <c r="C531" s="816" t="s">
        <v>6</v>
      </c>
      <c r="D531">
        <v>534</v>
      </c>
      <c r="E531" s="816" t="s">
        <v>9538</v>
      </c>
      <c r="F531" s="816" t="s">
        <v>24</v>
      </c>
      <c r="G531" s="816" t="s">
        <v>9546</v>
      </c>
      <c r="H531">
        <v>29</v>
      </c>
      <c r="I531" s="816" t="s">
        <v>9</v>
      </c>
      <c r="J531" s="816" t="s">
        <v>9</v>
      </c>
      <c r="K531" s="817">
        <v>0.15717592592592591</v>
      </c>
      <c r="L531" s="817">
        <v>0.22384259259259257</v>
      </c>
      <c r="M531" s="817"/>
      <c r="N531" s="817"/>
      <c r="O531" s="817">
        <v>0.46949074074074071</v>
      </c>
      <c r="P531" s="817">
        <v>0.71512731481481484</v>
      </c>
      <c r="Q531" s="817"/>
      <c r="R531" s="816"/>
      <c r="S531" s="817"/>
      <c r="T531" s="817"/>
      <c r="U531" s="816" t="s">
        <v>9551</v>
      </c>
      <c r="V531" s="816" t="s">
        <v>9551</v>
      </c>
      <c r="W531" s="267"/>
      <c r="X531" s="816" t="s">
        <v>26</v>
      </c>
      <c r="Y531">
        <v>71.099999999999994</v>
      </c>
      <c r="Z531">
        <v>100</v>
      </c>
      <c r="AA531" s="816" t="s">
        <v>9570</v>
      </c>
      <c r="AB531" s="816" t="s">
        <v>9584</v>
      </c>
      <c r="AC531" s="816"/>
      <c r="AD531" s="816"/>
      <c r="AE531" s="816"/>
      <c r="AF531" s="816"/>
      <c r="AG531" s="816"/>
      <c r="AI531" s="816"/>
      <c r="AK531" s="816"/>
      <c r="AM531" s="816"/>
    </row>
    <row r="532" spans="1:39" x14ac:dyDescent="0.25">
      <c r="A532" s="265">
        <v>43958</v>
      </c>
      <c r="B532">
        <v>4</v>
      </c>
      <c r="C532" s="816" t="s">
        <v>7</v>
      </c>
      <c r="D532">
        <v>534</v>
      </c>
      <c r="E532" s="816" t="s">
        <v>9538</v>
      </c>
      <c r="F532" s="816" t="s">
        <v>24</v>
      </c>
      <c r="G532" s="816" t="s">
        <v>9546</v>
      </c>
      <c r="H532">
        <v>30</v>
      </c>
      <c r="I532" s="816" t="s">
        <v>10</v>
      </c>
      <c r="J532" s="816" t="s">
        <v>10</v>
      </c>
      <c r="K532" s="817">
        <v>0.15724537037037037</v>
      </c>
      <c r="L532" s="817">
        <v>0.22391203703703702</v>
      </c>
      <c r="M532" s="817"/>
      <c r="N532" s="817"/>
      <c r="O532" s="817">
        <v>0.4694444444444445</v>
      </c>
      <c r="P532" s="817">
        <v>0.71497685185185178</v>
      </c>
      <c r="Q532" s="817"/>
      <c r="R532" s="816"/>
      <c r="S532" s="817"/>
      <c r="T532" s="817"/>
      <c r="U532" s="816" t="s">
        <v>9551</v>
      </c>
      <c r="V532" s="816" t="s">
        <v>9551</v>
      </c>
      <c r="W532" s="267"/>
      <c r="X532" s="816" t="s">
        <v>26</v>
      </c>
      <c r="Y532">
        <v>88.3</v>
      </c>
      <c r="Z532">
        <v>12.8</v>
      </c>
      <c r="AA532" s="816" t="s">
        <v>9572</v>
      </c>
      <c r="AB532" s="816" t="s">
        <v>9585</v>
      </c>
      <c r="AC532" s="816"/>
      <c r="AD532" s="816"/>
      <c r="AE532" s="816"/>
      <c r="AF532" s="816"/>
      <c r="AG532" s="816"/>
      <c r="AI532" s="816"/>
      <c r="AK532" s="816"/>
      <c r="AM532" s="816"/>
    </row>
    <row r="533" spans="1:39" x14ac:dyDescent="0.25">
      <c r="A533" s="265">
        <v>43959</v>
      </c>
      <c r="B533">
        <v>5</v>
      </c>
      <c r="C533" s="816" t="s">
        <v>1</v>
      </c>
      <c r="D533">
        <v>534</v>
      </c>
      <c r="E533" s="816" t="s">
        <v>9539</v>
      </c>
      <c r="F533" s="816" t="s">
        <v>25</v>
      </c>
      <c r="G533" s="816" t="s">
        <v>9547</v>
      </c>
      <c r="H533">
        <v>2</v>
      </c>
      <c r="I533" s="816" t="s">
        <v>12</v>
      </c>
      <c r="J533" s="816" t="s">
        <v>11</v>
      </c>
      <c r="K533" s="817">
        <v>0.15732638888888889</v>
      </c>
      <c r="L533" s="817">
        <v>0.22399305555555557</v>
      </c>
      <c r="M533" s="817"/>
      <c r="N533" s="817"/>
      <c r="O533" s="817">
        <v>0.46940972222222221</v>
      </c>
      <c r="P533" s="817">
        <v>0.71482638888888894</v>
      </c>
      <c r="Q533" s="817"/>
      <c r="R533" s="816"/>
      <c r="S533" s="817">
        <v>0.32361111111111113</v>
      </c>
      <c r="T533" s="817">
        <v>0.18958333333333333</v>
      </c>
      <c r="U533" s="816" t="s">
        <v>9551</v>
      </c>
      <c r="V533" s="816" t="s">
        <v>9551</v>
      </c>
      <c r="W533" s="267"/>
      <c r="X533" s="816" t="s">
        <v>26</v>
      </c>
      <c r="Y533">
        <v>3.9</v>
      </c>
      <c r="Z533">
        <v>24</v>
      </c>
      <c r="AA533" s="816" t="s">
        <v>9573</v>
      </c>
      <c r="AB533" s="816" t="s">
        <v>9604</v>
      </c>
      <c r="AC533" s="816"/>
      <c r="AD533" s="816"/>
      <c r="AE533" s="816"/>
      <c r="AF533" s="816"/>
      <c r="AG533" s="816"/>
      <c r="AI533" s="816"/>
      <c r="AK533" s="816"/>
      <c r="AM533" s="816"/>
    </row>
    <row r="534" spans="1:39" x14ac:dyDescent="0.25">
      <c r="A534" s="265">
        <v>43960</v>
      </c>
      <c r="B534">
        <v>6</v>
      </c>
      <c r="C534" s="816" t="s">
        <v>2</v>
      </c>
      <c r="D534">
        <v>534</v>
      </c>
      <c r="E534" s="816" t="s">
        <v>9539</v>
      </c>
      <c r="F534" s="816" t="s">
        <v>25</v>
      </c>
      <c r="G534" s="816" t="s">
        <v>9547</v>
      </c>
      <c r="H534">
        <v>3</v>
      </c>
      <c r="I534" s="816" t="s">
        <v>23</v>
      </c>
      <c r="J534" s="816" t="s">
        <v>23</v>
      </c>
      <c r="K534" s="817">
        <v>0.15740740740740741</v>
      </c>
      <c r="L534" s="817">
        <v>0.22407407407407409</v>
      </c>
      <c r="M534" s="817"/>
      <c r="N534" s="817"/>
      <c r="O534" s="817">
        <v>0.46937500000000004</v>
      </c>
      <c r="P534" s="817">
        <v>0.71468750000000003</v>
      </c>
      <c r="Q534" s="817"/>
      <c r="R534" s="816"/>
      <c r="S534" s="817"/>
      <c r="T534" s="817"/>
      <c r="U534" s="816" t="s">
        <v>9551</v>
      </c>
      <c r="V534" s="816" t="s">
        <v>9551</v>
      </c>
      <c r="W534" s="267"/>
      <c r="X534" s="816" t="s">
        <v>26</v>
      </c>
      <c r="Y534">
        <v>16.600000000000001</v>
      </c>
      <c r="Z534">
        <v>32.799999999999997</v>
      </c>
      <c r="AA534" s="816" t="s">
        <v>9574</v>
      </c>
      <c r="AB534" s="816" t="s">
        <v>9587</v>
      </c>
      <c r="AC534" s="816"/>
      <c r="AD534" s="816"/>
      <c r="AE534" s="816"/>
      <c r="AF534" s="816"/>
      <c r="AG534" s="816"/>
      <c r="AI534" s="816"/>
      <c r="AK534" s="816"/>
      <c r="AM534" s="816"/>
    </row>
    <row r="535" spans="1:39" x14ac:dyDescent="0.25">
      <c r="A535" s="265">
        <v>43961</v>
      </c>
      <c r="B535">
        <v>0</v>
      </c>
      <c r="C535" s="816" t="s">
        <v>3</v>
      </c>
      <c r="D535">
        <v>534</v>
      </c>
      <c r="E535" s="816" t="s">
        <v>9539</v>
      </c>
      <c r="F535" s="816" t="s">
        <v>25</v>
      </c>
      <c r="G535" s="816" t="s">
        <v>9547</v>
      </c>
      <c r="H535">
        <v>4</v>
      </c>
      <c r="I535" s="816" t="s">
        <v>13</v>
      </c>
      <c r="J535" s="816" t="s">
        <v>13</v>
      </c>
      <c r="K535" s="817">
        <v>0.15748842592592593</v>
      </c>
      <c r="L535" s="817">
        <v>0.22415509259259259</v>
      </c>
      <c r="M535" s="817"/>
      <c r="N535" s="817"/>
      <c r="O535" s="817">
        <v>0.46935185185185185</v>
      </c>
      <c r="P535" s="817">
        <v>0.71456018518518516</v>
      </c>
      <c r="Q535" s="817"/>
      <c r="R535" s="816"/>
      <c r="S535" s="817"/>
      <c r="T535" s="817"/>
      <c r="U535" s="816" t="s">
        <v>9551</v>
      </c>
      <c r="V535" s="816" t="s">
        <v>9551</v>
      </c>
      <c r="W535" s="267"/>
      <c r="X535" s="816" t="s">
        <v>26</v>
      </c>
      <c r="Y535">
        <v>26</v>
      </c>
      <c r="Z535">
        <v>38.4</v>
      </c>
      <c r="AA535" s="816" t="s">
        <v>9575</v>
      </c>
      <c r="AB535" s="816" t="s">
        <v>9588</v>
      </c>
      <c r="AC535" s="816"/>
      <c r="AD535" s="816"/>
      <c r="AE535" s="816"/>
      <c r="AF535" s="816"/>
      <c r="AG535" s="816"/>
      <c r="AI535" s="816"/>
      <c r="AK535" s="816"/>
      <c r="AM535" s="816"/>
    </row>
    <row r="536" spans="1:39" x14ac:dyDescent="0.25">
      <c r="A536" s="265">
        <v>43962</v>
      </c>
      <c r="B536">
        <v>1</v>
      </c>
      <c r="C536" s="816" t="s">
        <v>4</v>
      </c>
      <c r="D536">
        <v>534</v>
      </c>
      <c r="E536" s="816" t="s">
        <v>9539</v>
      </c>
      <c r="F536" s="816" t="s">
        <v>25</v>
      </c>
      <c r="G536" s="816" t="s">
        <v>9547</v>
      </c>
      <c r="H536">
        <v>5</v>
      </c>
      <c r="I536" s="816" t="s">
        <v>14</v>
      </c>
      <c r="J536" s="816" t="s">
        <v>14</v>
      </c>
      <c r="K536" s="817">
        <v>0.15758101851851852</v>
      </c>
      <c r="L536" s="817">
        <v>0.2242476851851852</v>
      </c>
      <c r="M536" s="817"/>
      <c r="N536" s="817"/>
      <c r="O536" s="817">
        <v>0.46934027777777776</v>
      </c>
      <c r="P536" s="817">
        <v>0.7144328703703704</v>
      </c>
      <c r="Q536" s="817"/>
      <c r="R536" s="816"/>
      <c r="S536" s="817"/>
      <c r="T536" s="817"/>
      <c r="U536" s="816" t="s">
        <v>9551</v>
      </c>
      <c r="V536" s="816" t="s">
        <v>9551</v>
      </c>
      <c r="W536" s="267"/>
      <c r="X536" s="816" t="s">
        <v>26</v>
      </c>
      <c r="Y536">
        <v>31.5</v>
      </c>
      <c r="Z536">
        <v>40.700000000000003</v>
      </c>
      <c r="AA536" s="816" t="s">
        <v>9576</v>
      </c>
      <c r="AB536" s="816" t="s">
        <v>9589</v>
      </c>
      <c r="AC536" s="816"/>
      <c r="AD536" s="816"/>
      <c r="AE536" s="816"/>
      <c r="AF536" s="816"/>
      <c r="AG536" s="816"/>
      <c r="AI536" s="816"/>
      <c r="AK536" s="816"/>
      <c r="AM536" s="816"/>
    </row>
    <row r="537" spans="1:39" x14ac:dyDescent="0.25">
      <c r="A537" s="265">
        <v>43963</v>
      </c>
      <c r="B537">
        <v>2</v>
      </c>
      <c r="C537" s="816" t="s">
        <v>5</v>
      </c>
      <c r="D537">
        <v>534</v>
      </c>
      <c r="E537" s="816" t="s">
        <v>9539</v>
      </c>
      <c r="F537" s="816" t="s">
        <v>25</v>
      </c>
      <c r="G537" s="816" t="s">
        <v>9547</v>
      </c>
      <c r="H537">
        <v>6</v>
      </c>
      <c r="I537" s="816" t="s">
        <v>15</v>
      </c>
      <c r="J537" s="816" t="s">
        <v>15</v>
      </c>
      <c r="K537" s="817">
        <v>0.15767361111111111</v>
      </c>
      <c r="L537" s="817">
        <v>0.22434027777777776</v>
      </c>
      <c r="M537" s="817"/>
      <c r="N537" s="817"/>
      <c r="O537" s="817">
        <v>0.46932870370370372</v>
      </c>
      <c r="P537" s="817">
        <v>0.71431712962962957</v>
      </c>
      <c r="Q537" s="817"/>
      <c r="R537" s="816"/>
      <c r="S537" s="817"/>
      <c r="T537" s="817"/>
      <c r="U537" s="816" t="s">
        <v>9551</v>
      </c>
      <c r="V537" s="816" t="s">
        <v>9551</v>
      </c>
      <c r="W537" s="267"/>
      <c r="X537" s="816" t="s">
        <v>26</v>
      </c>
      <c r="Y537">
        <v>33.4</v>
      </c>
      <c r="Z537">
        <v>39.6</v>
      </c>
      <c r="AA537" s="816" t="s">
        <v>9577</v>
      </c>
      <c r="AB537" s="816" t="s">
        <v>9590</v>
      </c>
      <c r="AC537" s="816"/>
      <c r="AD537" s="816"/>
      <c r="AE537" s="816"/>
      <c r="AF537" s="816"/>
      <c r="AG537" s="816"/>
      <c r="AI537" s="816"/>
      <c r="AK537" s="816"/>
      <c r="AM537" s="816"/>
    </row>
    <row r="538" spans="1:39" x14ac:dyDescent="0.25">
      <c r="A538" s="265">
        <v>43964</v>
      </c>
      <c r="B538">
        <v>3</v>
      </c>
      <c r="C538" s="816" t="s">
        <v>6</v>
      </c>
      <c r="D538">
        <v>534</v>
      </c>
      <c r="E538" s="816" t="s">
        <v>9539</v>
      </c>
      <c r="F538" s="816" t="s">
        <v>25</v>
      </c>
      <c r="G538" s="816" t="s">
        <v>9547</v>
      </c>
      <c r="H538">
        <v>7</v>
      </c>
      <c r="I538" s="816" t="s">
        <v>16</v>
      </c>
      <c r="J538" s="816" t="s">
        <v>16</v>
      </c>
      <c r="K538" s="817">
        <v>0.1577662037037037</v>
      </c>
      <c r="L538" s="817">
        <v>0.22443287037037038</v>
      </c>
      <c r="M538" s="817"/>
      <c r="N538" s="817"/>
      <c r="O538" s="817">
        <v>0.46932870370370372</v>
      </c>
      <c r="P538" s="817">
        <v>0.71421296296296299</v>
      </c>
      <c r="Q538" s="817"/>
      <c r="R538" s="816"/>
      <c r="S538" s="817"/>
      <c r="T538" s="817"/>
      <c r="U538" s="816" t="s">
        <v>9551</v>
      </c>
      <c r="V538" s="816" t="s">
        <v>9551</v>
      </c>
      <c r="W538" s="267"/>
      <c r="X538" s="816" t="s">
        <v>26</v>
      </c>
      <c r="Y538">
        <v>31.9</v>
      </c>
      <c r="Z538">
        <v>35.5</v>
      </c>
      <c r="AA538" s="816" t="s">
        <v>9552</v>
      </c>
      <c r="AB538" s="816" t="s">
        <v>9591</v>
      </c>
      <c r="AC538" s="816"/>
      <c r="AD538" s="816"/>
      <c r="AE538" s="816"/>
      <c r="AF538" s="816"/>
      <c r="AG538" s="816" t="s">
        <v>45</v>
      </c>
      <c r="AH538">
        <v>5</v>
      </c>
      <c r="AI538" s="816"/>
      <c r="AK538" s="816"/>
      <c r="AM538" s="816"/>
    </row>
    <row r="539" spans="1:39" x14ac:dyDescent="0.25">
      <c r="A539" s="265">
        <v>43965</v>
      </c>
      <c r="B539">
        <v>4</v>
      </c>
      <c r="C539" s="816" t="s">
        <v>7</v>
      </c>
      <c r="D539">
        <v>534</v>
      </c>
      <c r="E539" s="816" t="s">
        <v>9539</v>
      </c>
      <c r="F539" s="816" t="s">
        <v>25</v>
      </c>
      <c r="G539" s="816" t="s">
        <v>9547</v>
      </c>
      <c r="H539">
        <v>8</v>
      </c>
      <c r="I539" s="816" t="s">
        <v>17</v>
      </c>
      <c r="J539" s="816" t="s">
        <v>17</v>
      </c>
      <c r="K539" s="817">
        <v>0.15787037037037036</v>
      </c>
      <c r="L539" s="817">
        <v>0.22453703703703706</v>
      </c>
      <c r="M539" s="817"/>
      <c r="N539" s="817"/>
      <c r="O539" s="817">
        <v>0.46932870370370372</v>
      </c>
      <c r="P539" s="817">
        <v>0.71412037037037035</v>
      </c>
      <c r="Q539" s="817">
        <v>0.36010416666666667</v>
      </c>
      <c r="R539" s="816" t="s">
        <v>78</v>
      </c>
      <c r="S539" s="817"/>
      <c r="T539" s="817"/>
      <c r="U539" s="816" t="s">
        <v>9551</v>
      </c>
      <c r="V539" s="816" t="s">
        <v>9551</v>
      </c>
      <c r="W539" s="267"/>
      <c r="X539" s="816" t="s">
        <v>26</v>
      </c>
      <c r="Y539">
        <v>27.7</v>
      </c>
      <c r="Z539">
        <v>28.9</v>
      </c>
      <c r="AA539" s="816" t="s">
        <v>9553</v>
      </c>
      <c r="AB539" s="816" t="s">
        <v>9605</v>
      </c>
      <c r="AC539" s="816"/>
      <c r="AD539" s="816"/>
      <c r="AE539" s="816"/>
      <c r="AF539" s="816"/>
      <c r="AG539" s="816"/>
      <c r="AI539" s="816"/>
      <c r="AK539" s="816"/>
      <c r="AM539" s="816"/>
    </row>
    <row r="540" spans="1:39" x14ac:dyDescent="0.25">
      <c r="A540" s="265">
        <v>43966</v>
      </c>
      <c r="B540">
        <v>5</v>
      </c>
      <c r="C540" s="816" t="s">
        <v>1</v>
      </c>
      <c r="D540">
        <v>534</v>
      </c>
      <c r="E540" s="816" t="s">
        <v>9539</v>
      </c>
      <c r="F540" s="816" t="s">
        <v>25</v>
      </c>
      <c r="G540" s="816" t="s">
        <v>9547</v>
      </c>
      <c r="H540">
        <v>9</v>
      </c>
      <c r="I540" s="816" t="s">
        <v>18</v>
      </c>
      <c r="J540" s="816" t="s">
        <v>18</v>
      </c>
      <c r="K540" s="817">
        <v>0.1579861111111111</v>
      </c>
      <c r="L540" s="817">
        <v>0.22465277777777778</v>
      </c>
      <c r="M540" s="817"/>
      <c r="N540" s="817"/>
      <c r="O540" s="817">
        <v>0.46934027777777776</v>
      </c>
      <c r="P540" s="817">
        <v>0.71402777777777782</v>
      </c>
      <c r="Q540" s="817"/>
      <c r="R540" s="816"/>
      <c r="S540" s="817"/>
      <c r="T540" s="817"/>
      <c r="U540" s="816" t="s">
        <v>9551</v>
      </c>
      <c r="V540" s="816" t="s">
        <v>9551</v>
      </c>
      <c r="W540" s="267"/>
      <c r="X540" s="816" t="s">
        <v>26</v>
      </c>
      <c r="Y540">
        <v>21.2</v>
      </c>
      <c r="Z540">
        <v>20.3</v>
      </c>
      <c r="AA540" s="816" t="s">
        <v>9554</v>
      </c>
      <c r="AB540" s="816" t="s">
        <v>9592</v>
      </c>
      <c r="AC540" s="816"/>
      <c r="AD540" s="816"/>
      <c r="AE540" s="816"/>
      <c r="AF540" s="816"/>
      <c r="AG540" s="816"/>
      <c r="AI540" s="816"/>
      <c r="AK540" s="816"/>
      <c r="AM540" s="816"/>
    </row>
    <row r="541" spans="1:39" x14ac:dyDescent="0.25">
      <c r="A541" s="265">
        <v>43967</v>
      </c>
      <c r="B541">
        <v>6</v>
      </c>
      <c r="C541" s="816" t="s">
        <v>2</v>
      </c>
      <c r="D541">
        <v>534</v>
      </c>
      <c r="E541" s="816" t="s">
        <v>9539</v>
      </c>
      <c r="F541" s="816" t="s">
        <v>25</v>
      </c>
      <c r="G541" s="816" t="s">
        <v>9547</v>
      </c>
      <c r="H541">
        <v>10</v>
      </c>
      <c r="I541" s="816" t="s">
        <v>19</v>
      </c>
      <c r="J541" s="816" t="s">
        <v>19</v>
      </c>
      <c r="K541" s="817">
        <v>0.15809027777777776</v>
      </c>
      <c r="L541" s="817">
        <v>0.22475694444444447</v>
      </c>
      <c r="M541" s="817"/>
      <c r="N541" s="817"/>
      <c r="O541" s="817">
        <v>0.46935185185185185</v>
      </c>
      <c r="P541" s="817">
        <v>0.71394675925925932</v>
      </c>
      <c r="Q541" s="817"/>
      <c r="R541" s="816"/>
      <c r="S541" s="817"/>
      <c r="T541" s="817"/>
      <c r="U541" s="816" t="s">
        <v>9551</v>
      </c>
      <c r="V541" s="816" t="s">
        <v>9551</v>
      </c>
      <c r="W541" s="267"/>
      <c r="X541" s="816" t="s">
        <v>26</v>
      </c>
      <c r="Y541">
        <v>13.2</v>
      </c>
      <c r="Z541">
        <v>10.4</v>
      </c>
      <c r="AA541" s="816" t="s">
        <v>9555</v>
      </c>
      <c r="AB541" s="816" t="s">
        <v>9593</v>
      </c>
      <c r="AC541" s="816"/>
      <c r="AD541" s="816"/>
      <c r="AE541" s="816"/>
      <c r="AF541" s="816"/>
      <c r="AG541" s="816"/>
      <c r="AI541" s="816"/>
      <c r="AK541" s="816"/>
      <c r="AM541" s="816"/>
    </row>
    <row r="542" spans="1:39" x14ac:dyDescent="0.25">
      <c r="A542" s="265">
        <v>43968</v>
      </c>
      <c r="B542">
        <v>0</v>
      </c>
      <c r="C542" s="816" t="s">
        <v>3</v>
      </c>
      <c r="D542">
        <v>534</v>
      </c>
      <c r="E542" s="816" t="s">
        <v>9539</v>
      </c>
      <c r="F542" s="816" t="s">
        <v>25</v>
      </c>
      <c r="G542" s="816" t="s">
        <v>9547</v>
      </c>
      <c r="H542">
        <v>11</v>
      </c>
      <c r="I542" s="816" t="s">
        <v>9549</v>
      </c>
      <c r="J542" s="816" t="s">
        <v>19</v>
      </c>
      <c r="K542" s="817">
        <v>0.15820601851851854</v>
      </c>
      <c r="L542" s="817">
        <v>0.22487268518518519</v>
      </c>
      <c r="M542" s="817"/>
      <c r="N542" s="817"/>
      <c r="O542" s="817">
        <v>0.46937500000000004</v>
      </c>
      <c r="P542" s="817">
        <v>0.71387731481481476</v>
      </c>
      <c r="Q542" s="817"/>
      <c r="R542" s="816"/>
      <c r="S542" s="817"/>
      <c r="T542" s="817"/>
      <c r="U542" s="816" t="s">
        <v>9551</v>
      </c>
      <c r="V542" s="816" t="s">
        <v>9551</v>
      </c>
      <c r="W542" s="267"/>
      <c r="X542" s="816" t="s">
        <v>26</v>
      </c>
      <c r="Y542">
        <v>4.4000000000000004</v>
      </c>
      <c r="Z542">
        <v>99.6</v>
      </c>
      <c r="AA542" s="816" t="s">
        <v>9555</v>
      </c>
      <c r="AB542" s="816" t="s">
        <v>9594</v>
      </c>
      <c r="AC542" s="816"/>
      <c r="AD542" s="816"/>
      <c r="AE542" s="816"/>
      <c r="AF542" s="816"/>
      <c r="AG542" s="816"/>
      <c r="AI542" s="816"/>
      <c r="AK542" s="816"/>
      <c r="AM542" s="816"/>
    </row>
    <row r="543" spans="1:39" x14ac:dyDescent="0.25">
      <c r="A543" s="265">
        <v>43969</v>
      </c>
      <c r="B543">
        <v>1</v>
      </c>
      <c r="C543" s="816" t="s">
        <v>4</v>
      </c>
      <c r="D543">
        <v>534</v>
      </c>
      <c r="E543" s="816" t="s">
        <v>9539</v>
      </c>
      <c r="F543" s="816" t="s">
        <v>25</v>
      </c>
      <c r="G543" s="816" t="s">
        <v>9547</v>
      </c>
      <c r="H543">
        <v>11</v>
      </c>
      <c r="I543" s="816" t="s">
        <v>9548</v>
      </c>
      <c r="J543" s="816" t="s">
        <v>20</v>
      </c>
      <c r="K543" s="817">
        <v>0.15833333333333333</v>
      </c>
      <c r="L543" s="817">
        <v>0.22500000000000001</v>
      </c>
      <c r="M543" s="817"/>
      <c r="N543" s="817"/>
      <c r="O543" s="817">
        <v>0.46940972222222221</v>
      </c>
      <c r="P543" s="817">
        <v>0.71381944444444445</v>
      </c>
      <c r="Q543" s="817"/>
      <c r="R543" s="816"/>
      <c r="S543" s="817"/>
      <c r="T543" s="817"/>
      <c r="U543" s="816" t="s">
        <v>9551</v>
      </c>
      <c r="V543" s="816" t="s">
        <v>9551</v>
      </c>
      <c r="W543" s="267"/>
      <c r="X543" s="816" t="s">
        <v>27</v>
      </c>
      <c r="Y543">
        <v>95.1</v>
      </c>
      <c r="Z543">
        <v>88.6</v>
      </c>
      <c r="AA543" s="816" t="s">
        <v>9556</v>
      </c>
      <c r="AB543" s="816" t="s">
        <v>9595</v>
      </c>
      <c r="AC543" s="816"/>
      <c r="AD543" s="816"/>
      <c r="AE543" s="816"/>
      <c r="AF543" s="816" t="s">
        <v>72</v>
      </c>
      <c r="AG543" s="816" t="s">
        <v>44</v>
      </c>
      <c r="AH543">
        <v>-1</v>
      </c>
      <c r="AI543" s="816"/>
      <c r="AK543" s="816"/>
      <c r="AM543" s="816"/>
    </row>
    <row r="544" spans="1:39" x14ac:dyDescent="0.25">
      <c r="A544" s="265">
        <v>43970</v>
      </c>
      <c r="B544">
        <v>2</v>
      </c>
      <c r="C544" s="816" t="s">
        <v>5</v>
      </c>
      <c r="D544">
        <v>534</v>
      </c>
      <c r="E544" s="816" t="s">
        <v>9539</v>
      </c>
      <c r="F544" s="816" t="s">
        <v>25</v>
      </c>
      <c r="G544" s="816" t="s">
        <v>9547</v>
      </c>
      <c r="H544">
        <v>12</v>
      </c>
      <c r="I544" s="816" t="s">
        <v>21</v>
      </c>
      <c r="J544" s="816" t="s">
        <v>21</v>
      </c>
      <c r="K544" s="817">
        <v>0.15846064814814814</v>
      </c>
      <c r="L544" s="817">
        <v>0.22512731481481482</v>
      </c>
      <c r="M544" s="817">
        <v>0.22500000000000001</v>
      </c>
      <c r="N544" s="817">
        <v>0.37708333333333338</v>
      </c>
      <c r="O544" s="817">
        <v>0.4694444444444445</v>
      </c>
      <c r="P544" s="817">
        <v>0.71376157407407403</v>
      </c>
      <c r="Q544" s="817"/>
      <c r="R544" s="816"/>
      <c r="S544" s="817"/>
      <c r="T544" s="817"/>
      <c r="U544" s="816" t="s">
        <v>9551</v>
      </c>
      <c r="V544" s="816" t="s">
        <v>9551</v>
      </c>
      <c r="W544" s="267"/>
      <c r="X544" s="816" t="s">
        <v>26</v>
      </c>
      <c r="Y544">
        <v>86.1</v>
      </c>
      <c r="Z544">
        <v>77.599999999999994</v>
      </c>
      <c r="AA544" s="816" t="s">
        <v>9557</v>
      </c>
      <c r="AB544" s="816" t="s">
        <v>9596</v>
      </c>
      <c r="AC544" s="816"/>
      <c r="AD544" s="816"/>
      <c r="AE544" s="816"/>
      <c r="AF544" s="816"/>
      <c r="AG544" s="816"/>
      <c r="AI544" s="816"/>
      <c r="AK544" s="816"/>
      <c r="AM544" s="816"/>
    </row>
    <row r="545" spans="1:39" x14ac:dyDescent="0.25">
      <c r="A545" s="265">
        <v>43971</v>
      </c>
      <c r="B545">
        <v>3</v>
      </c>
      <c r="C545" s="816" t="s">
        <v>6</v>
      </c>
      <c r="D545">
        <v>534</v>
      </c>
      <c r="E545" s="816" t="s">
        <v>9539</v>
      </c>
      <c r="F545" s="816" t="s">
        <v>25</v>
      </c>
      <c r="G545" s="816" t="s">
        <v>9547</v>
      </c>
      <c r="H545">
        <v>13</v>
      </c>
      <c r="I545" s="816" t="s">
        <v>8</v>
      </c>
      <c r="J545" s="816" t="s">
        <v>8</v>
      </c>
      <c r="K545" s="817">
        <v>0.15858796296296296</v>
      </c>
      <c r="L545" s="817">
        <v>0.22525462962962964</v>
      </c>
      <c r="M545" s="817"/>
      <c r="N545" s="817"/>
      <c r="O545" s="817">
        <v>0.46949074074074071</v>
      </c>
      <c r="P545" s="817">
        <v>0.71371527777777777</v>
      </c>
      <c r="Q545" s="817"/>
      <c r="R545" s="816"/>
      <c r="S545" s="817"/>
      <c r="T545" s="817"/>
      <c r="U545" s="816" t="s">
        <v>9551</v>
      </c>
      <c r="V545" s="816" t="s">
        <v>9551</v>
      </c>
      <c r="W545" s="267"/>
      <c r="X545" s="816" t="s">
        <v>26</v>
      </c>
      <c r="Y545">
        <v>77.599999999999994</v>
      </c>
      <c r="Z545">
        <v>67.2</v>
      </c>
      <c r="AA545" s="816" t="s">
        <v>9558</v>
      </c>
      <c r="AB545" s="816" t="s">
        <v>9597</v>
      </c>
      <c r="AC545" s="816"/>
      <c r="AD545" s="816"/>
      <c r="AE545" s="816"/>
      <c r="AF545" s="816"/>
      <c r="AG545" s="816"/>
      <c r="AI545" s="816"/>
      <c r="AK545" s="816"/>
      <c r="AM545" s="816"/>
    </row>
    <row r="546" spans="1:39" x14ac:dyDescent="0.25">
      <c r="A546" s="265">
        <v>43972</v>
      </c>
      <c r="B546">
        <v>4</v>
      </c>
      <c r="C546" s="816" t="s">
        <v>7</v>
      </c>
      <c r="D546">
        <v>534</v>
      </c>
      <c r="E546" s="816" t="s">
        <v>9539</v>
      </c>
      <c r="F546" s="816" t="s">
        <v>25</v>
      </c>
      <c r="G546" s="816" t="s">
        <v>9547</v>
      </c>
      <c r="H546">
        <v>14</v>
      </c>
      <c r="I546" s="816" t="s">
        <v>9</v>
      </c>
      <c r="J546" s="816" t="s">
        <v>9</v>
      </c>
      <c r="K546" s="817">
        <v>0.15871527777777777</v>
      </c>
      <c r="L546" s="817">
        <v>0.22538194444444445</v>
      </c>
      <c r="M546" s="817"/>
      <c r="N546" s="817"/>
      <c r="O546" s="817">
        <v>0.46953703703703703</v>
      </c>
      <c r="P546" s="817">
        <v>0.71368055555555554</v>
      </c>
      <c r="Q546" s="817"/>
      <c r="R546" s="816"/>
      <c r="S546" s="817"/>
      <c r="T546" s="817"/>
      <c r="U546" s="816" t="s">
        <v>9551</v>
      </c>
      <c r="V546" s="816" t="s">
        <v>9551</v>
      </c>
      <c r="W546" s="267"/>
      <c r="X546" s="816" t="s">
        <v>26</v>
      </c>
      <c r="Y546">
        <v>70</v>
      </c>
      <c r="Z546">
        <v>57.6</v>
      </c>
      <c r="AA546" s="816" t="s">
        <v>9578</v>
      </c>
      <c r="AB546" s="816" t="s">
        <v>9598</v>
      </c>
      <c r="AC546" s="816"/>
      <c r="AD546" s="816"/>
      <c r="AE546" s="816"/>
      <c r="AF546" s="816"/>
      <c r="AG546" s="816"/>
      <c r="AI546" s="816"/>
      <c r="AK546" s="816"/>
      <c r="AM546" s="816"/>
    </row>
    <row r="547" spans="1:39" x14ac:dyDescent="0.25">
      <c r="A547" s="265">
        <v>43973</v>
      </c>
      <c r="B547">
        <v>5</v>
      </c>
      <c r="C547" s="816" t="s">
        <v>1</v>
      </c>
      <c r="D547">
        <v>534</v>
      </c>
      <c r="E547" s="816" t="s">
        <v>9539</v>
      </c>
      <c r="F547" s="816" t="s">
        <v>25</v>
      </c>
      <c r="G547" s="816" t="s">
        <v>9547</v>
      </c>
      <c r="H547">
        <v>15</v>
      </c>
      <c r="I547" s="816" t="s">
        <v>22</v>
      </c>
      <c r="J547" s="816" t="s">
        <v>22</v>
      </c>
      <c r="K547" s="817">
        <v>0.15885416666666666</v>
      </c>
      <c r="L547" s="817">
        <v>0.22552083333333331</v>
      </c>
      <c r="M547" s="817"/>
      <c r="N547" s="817"/>
      <c r="O547" s="817">
        <v>0.46959490740740745</v>
      </c>
      <c r="P547" s="817">
        <v>0.71365740740740735</v>
      </c>
      <c r="Q547" s="817"/>
      <c r="R547" s="816"/>
      <c r="S547" s="817"/>
      <c r="T547" s="817"/>
      <c r="U547" s="816" t="s">
        <v>9551</v>
      </c>
      <c r="V547" s="816" t="s">
        <v>9551</v>
      </c>
      <c r="W547" s="267"/>
      <c r="X547" s="816" t="s">
        <v>26</v>
      </c>
      <c r="Y547">
        <v>63.6</v>
      </c>
      <c r="Z547">
        <v>49</v>
      </c>
      <c r="AA547" s="816" t="s">
        <v>9559</v>
      </c>
      <c r="AB547" s="816" t="s">
        <v>9599</v>
      </c>
      <c r="AC547" s="816"/>
      <c r="AD547" s="816"/>
      <c r="AE547" s="816"/>
      <c r="AF547" s="816"/>
      <c r="AG547" s="816"/>
      <c r="AI547" s="816"/>
      <c r="AK547" s="816"/>
      <c r="AM547" s="816"/>
    </row>
    <row r="548" spans="1:39" x14ac:dyDescent="0.25">
      <c r="A548" s="265">
        <v>43974</v>
      </c>
      <c r="B548">
        <v>6</v>
      </c>
      <c r="C548" s="816" t="s">
        <v>2</v>
      </c>
      <c r="D548">
        <v>534</v>
      </c>
      <c r="E548" s="816" t="s">
        <v>9539</v>
      </c>
      <c r="F548" s="816" t="s">
        <v>24</v>
      </c>
      <c r="G548" s="816" t="s">
        <v>9546</v>
      </c>
      <c r="H548">
        <v>16</v>
      </c>
      <c r="I548" s="816" t="s">
        <v>11</v>
      </c>
      <c r="J548" s="816" t="s">
        <v>11</v>
      </c>
      <c r="K548" s="817">
        <v>0.15899305555555557</v>
      </c>
      <c r="L548" s="817">
        <v>0.22565972222222222</v>
      </c>
      <c r="M548" s="817"/>
      <c r="N548" s="817"/>
      <c r="O548" s="817">
        <v>0.46965277777777775</v>
      </c>
      <c r="P548" s="817">
        <v>0.71363425925925927</v>
      </c>
      <c r="Q548" s="817"/>
      <c r="R548" s="816"/>
      <c r="S548" s="817"/>
      <c r="T548" s="817"/>
      <c r="U548" s="816" t="s">
        <v>9551</v>
      </c>
      <c r="V548" s="816" t="s">
        <v>9551</v>
      </c>
      <c r="W548" s="267"/>
      <c r="X548" s="816" t="s">
        <v>26</v>
      </c>
      <c r="Y548">
        <v>58.4</v>
      </c>
      <c r="Z548">
        <v>41.6</v>
      </c>
      <c r="AA548" s="816" t="s">
        <v>9560</v>
      </c>
      <c r="AB548" s="816" t="s">
        <v>9600</v>
      </c>
      <c r="AC548" s="816"/>
      <c r="AD548" s="816"/>
      <c r="AE548" s="816"/>
      <c r="AF548" s="816"/>
      <c r="AG548" s="816"/>
      <c r="AI548" s="816"/>
      <c r="AK548" s="816"/>
      <c r="AM548" s="816"/>
    </row>
    <row r="549" spans="1:39" x14ac:dyDescent="0.25">
      <c r="A549" s="265">
        <v>43975</v>
      </c>
      <c r="B549">
        <v>0</v>
      </c>
      <c r="C549" s="816" t="s">
        <v>3</v>
      </c>
      <c r="D549">
        <v>534</v>
      </c>
      <c r="E549" s="816" t="s">
        <v>9539</v>
      </c>
      <c r="F549" s="816" t="s">
        <v>24</v>
      </c>
      <c r="G549" s="816" t="s">
        <v>9546</v>
      </c>
      <c r="H549">
        <v>17</v>
      </c>
      <c r="I549" s="816" t="s">
        <v>12</v>
      </c>
      <c r="J549" s="816" t="s">
        <v>12</v>
      </c>
      <c r="K549" s="817">
        <v>0.15914351851851852</v>
      </c>
      <c r="L549" s="817">
        <v>0.22581018518518517</v>
      </c>
      <c r="M549" s="817"/>
      <c r="N549" s="817"/>
      <c r="O549" s="817">
        <v>0.46971064814814811</v>
      </c>
      <c r="P549" s="817">
        <v>0.71362268518518512</v>
      </c>
      <c r="Q549" s="817"/>
      <c r="R549" s="816"/>
      <c r="S549" s="817"/>
      <c r="T549" s="817"/>
      <c r="U549" s="816" t="s">
        <v>9551</v>
      </c>
      <c r="V549" s="816" t="s">
        <v>9551</v>
      </c>
      <c r="W549" s="267"/>
      <c r="X549" s="816" t="s">
        <v>26</v>
      </c>
      <c r="Y549">
        <v>54.8</v>
      </c>
      <c r="Z549">
        <v>35.5</v>
      </c>
      <c r="AA549" s="816" t="s">
        <v>9561</v>
      </c>
      <c r="AB549" s="816" t="s">
        <v>9601</v>
      </c>
      <c r="AC549" s="816"/>
      <c r="AD549" s="816"/>
      <c r="AE549" s="816"/>
      <c r="AF549" s="816"/>
      <c r="AG549" s="816"/>
      <c r="AI549" s="816"/>
      <c r="AK549" s="816"/>
      <c r="AM549" s="816"/>
    </row>
    <row r="550" spans="1:39" x14ac:dyDescent="0.25">
      <c r="A550" s="265">
        <v>43976</v>
      </c>
      <c r="B550">
        <v>1</v>
      </c>
      <c r="C550" s="816" t="s">
        <v>4</v>
      </c>
      <c r="D550">
        <v>534</v>
      </c>
      <c r="E550" s="816" t="s">
        <v>9539</v>
      </c>
      <c r="F550" s="816" t="s">
        <v>24</v>
      </c>
      <c r="G550" s="816" t="s">
        <v>9546</v>
      </c>
      <c r="H550">
        <v>18</v>
      </c>
      <c r="I550" s="816" t="s">
        <v>23</v>
      </c>
      <c r="J550" s="816" t="s">
        <v>23</v>
      </c>
      <c r="K550" s="817">
        <v>0.15929398148148147</v>
      </c>
      <c r="L550" s="817">
        <v>0.22596064814814817</v>
      </c>
      <c r="M550" s="817"/>
      <c r="N550" s="817"/>
      <c r="O550" s="817">
        <v>0.46979166666666666</v>
      </c>
      <c r="P550" s="817">
        <v>0.71362268518518512</v>
      </c>
      <c r="Q550" s="817"/>
      <c r="R550" s="816"/>
      <c r="S550" s="817"/>
      <c r="T550" s="817"/>
      <c r="U550" s="816" t="s">
        <v>9551</v>
      </c>
      <c r="V550" s="816" t="s">
        <v>9551</v>
      </c>
      <c r="W550" s="267"/>
      <c r="X550" s="816" t="s">
        <v>26</v>
      </c>
      <c r="Y550">
        <v>52.8</v>
      </c>
      <c r="Z550">
        <v>30.9</v>
      </c>
      <c r="AA550" s="816" t="s">
        <v>9562</v>
      </c>
      <c r="AB550" s="816" t="s">
        <v>9602</v>
      </c>
      <c r="AC550" s="816"/>
      <c r="AD550" s="816"/>
      <c r="AE550" s="816"/>
      <c r="AF550" s="816"/>
      <c r="AG550" s="816"/>
      <c r="AI550" s="816"/>
      <c r="AK550" s="816"/>
      <c r="AM550" s="816"/>
    </row>
    <row r="551" spans="1:39" x14ac:dyDescent="0.25">
      <c r="A551" s="265">
        <v>43977</v>
      </c>
      <c r="B551">
        <v>2</v>
      </c>
      <c r="C551" s="816" t="s">
        <v>5</v>
      </c>
      <c r="D551">
        <v>534</v>
      </c>
      <c r="E551" s="816" t="s">
        <v>9539</v>
      </c>
      <c r="F551" s="816" t="s">
        <v>24</v>
      </c>
      <c r="G551" s="816" t="s">
        <v>9546</v>
      </c>
      <c r="H551">
        <v>19</v>
      </c>
      <c r="I551" s="816" t="s">
        <v>13</v>
      </c>
      <c r="J551" s="816" t="s">
        <v>13</v>
      </c>
      <c r="K551" s="817">
        <v>0.15944444444444444</v>
      </c>
      <c r="L551" s="817">
        <v>0.22611111111111112</v>
      </c>
      <c r="M551" s="817"/>
      <c r="N551" s="817"/>
      <c r="O551" s="817">
        <v>0.46986111111111112</v>
      </c>
      <c r="P551" s="817">
        <v>0.71362268518518512</v>
      </c>
      <c r="Q551" s="817"/>
      <c r="R551" s="816"/>
      <c r="S551" s="817"/>
      <c r="T551" s="817"/>
      <c r="U551" s="816" t="s">
        <v>9551</v>
      </c>
      <c r="V551" s="816" t="s">
        <v>9551</v>
      </c>
      <c r="W551" s="267"/>
      <c r="X551" s="816" t="s">
        <v>26</v>
      </c>
      <c r="Y551">
        <v>52.5</v>
      </c>
      <c r="Z551">
        <v>27.9</v>
      </c>
      <c r="AA551" s="816" t="s">
        <v>9563</v>
      </c>
      <c r="AB551" s="816" t="s">
        <v>9603</v>
      </c>
      <c r="AC551" s="816"/>
      <c r="AD551" s="816"/>
      <c r="AE551" s="816"/>
      <c r="AF551" s="816"/>
      <c r="AG551" s="816"/>
      <c r="AI551" s="816"/>
      <c r="AK551" s="816"/>
      <c r="AM551" s="816"/>
    </row>
    <row r="552" spans="1:39" x14ac:dyDescent="0.25">
      <c r="A552" s="265">
        <v>43978</v>
      </c>
      <c r="B552">
        <v>3</v>
      </c>
      <c r="C552" s="816" t="s">
        <v>6</v>
      </c>
      <c r="D552">
        <v>534</v>
      </c>
      <c r="E552" s="816" t="s">
        <v>9539</v>
      </c>
      <c r="F552" s="816" t="s">
        <v>24</v>
      </c>
      <c r="G552" s="816" t="s">
        <v>9546</v>
      </c>
      <c r="H552">
        <v>20</v>
      </c>
      <c r="I552" s="816" t="s">
        <v>14</v>
      </c>
      <c r="J552" s="816" t="s">
        <v>14</v>
      </c>
      <c r="K552" s="817">
        <v>0.15959490740740742</v>
      </c>
      <c r="L552" s="817">
        <v>0.22626157407407407</v>
      </c>
      <c r="M552" s="817"/>
      <c r="N552" s="817"/>
      <c r="O552" s="817">
        <v>0.46995370370370365</v>
      </c>
      <c r="P552" s="817">
        <v>0.71363425925925927</v>
      </c>
      <c r="Q552" s="817"/>
      <c r="R552" s="816"/>
      <c r="S552" s="817"/>
      <c r="T552" s="817"/>
      <c r="U552" s="816" t="s">
        <v>9551</v>
      </c>
      <c r="V552" s="816" t="s">
        <v>9551</v>
      </c>
      <c r="W552" s="267"/>
      <c r="X552" s="816" t="s">
        <v>26</v>
      </c>
      <c r="Y552">
        <v>54.3</v>
      </c>
      <c r="Z552">
        <v>26.7</v>
      </c>
      <c r="AA552" s="816" t="s">
        <v>9564</v>
      </c>
      <c r="AB552" s="816" t="s">
        <v>9579</v>
      </c>
      <c r="AC552" s="816"/>
      <c r="AD552" s="816"/>
      <c r="AE552" s="816"/>
      <c r="AF552" s="816"/>
      <c r="AG552" s="816"/>
      <c r="AI552" s="816"/>
      <c r="AK552" s="816"/>
      <c r="AM552" s="816"/>
    </row>
    <row r="553" spans="1:39" x14ac:dyDescent="0.25">
      <c r="A553" s="265">
        <v>43979</v>
      </c>
      <c r="B553">
        <v>4</v>
      </c>
      <c r="C553" s="816" t="s">
        <v>7</v>
      </c>
      <c r="D553">
        <v>534</v>
      </c>
      <c r="E553" s="816" t="s">
        <v>9539</v>
      </c>
      <c r="F553" s="816" t="s">
        <v>24</v>
      </c>
      <c r="G553" s="816" t="s">
        <v>9546</v>
      </c>
      <c r="H553">
        <v>21</v>
      </c>
      <c r="I553" s="816" t="s">
        <v>15</v>
      </c>
      <c r="J553" s="816" t="s">
        <v>15</v>
      </c>
      <c r="K553" s="817">
        <v>0.15974537037037037</v>
      </c>
      <c r="L553" s="817">
        <v>0.22641203703703705</v>
      </c>
      <c r="M553" s="817"/>
      <c r="N553" s="817"/>
      <c r="O553" s="817">
        <v>0.47003472222222226</v>
      </c>
      <c r="P553" s="817">
        <v>0.71365740740740735</v>
      </c>
      <c r="Q553" s="817"/>
      <c r="R553" s="816"/>
      <c r="S553" s="817"/>
      <c r="T553" s="817"/>
      <c r="U553" s="816" t="s">
        <v>9551</v>
      </c>
      <c r="V553" s="816" t="s">
        <v>9551</v>
      </c>
      <c r="W553" s="267"/>
      <c r="X553" s="816" t="s">
        <v>26</v>
      </c>
      <c r="Y553">
        <v>58.1</v>
      </c>
      <c r="Z553">
        <v>27.3</v>
      </c>
      <c r="AA553" s="816" t="s">
        <v>9565</v>
      </c>
      <c r="AB553" s="816" t="s">
        <v>9580</v>
      </c>
      <c r="AC553" s="816"/>
      <c r="AD553" s="816"/>
      <c r="AE553" s="816"/>
      <c r="AF553" s="816"/>
      <c r="AG553" s="816"/>
      <c r="AI553" s="816"/>
      <c r="AK553" s="816"/>
      <c r="AM553" s="816"/>
    </row>
    <row r="554" spans="1:39" x14ac:dyDescent="0.25">
      <c r="A554" s="265">
        <v>43980</v>
      </c>
      <c r="B554">
        <v>5</v>
      </c>
      <c r="C554" s="816" t="s">
        <v>1</v>
      </c>
      <c r="D554">
        <v>534</v>
      </c>
      <c r="E554" s="816" t="s">
        <v>9539</v>
      </c>
      <c r="F554" s="816" t="s">
        <v>24</v>
      </c>
      <c r="G554" s="816" t="s">
        <v>9546</v>
      </c>
      <c r="H554">
        <v>22</v>
      </c>
      <c r="I554" s="816" t="s">
        <v>16</v>
      </c>
      <c r="J554" s="816" t="s">
        <v>16</v>
      </c>
      <c r="K554" s="817">
        <v>0.15990740740740741</v>
      </c>
      <c r="L554" s="817">
        <v>0.22657407407407407</v>
      </c>
      <c r="M554" s="817"/>
      <c r="N554" s="817"/>
      <c r="O554" s="817">
        <v>0.47012731481481485</v>
      </c>
      <c r="P554" s="817">
        <v>0.71368055555555554</v>
      </c>
      <c r="Q554" s="817"/>
      <c r="R554" s="816"/>
      <c r="S554" s="817"/>
      <c r="T554" s="817"/>
      <c r="U554" s="816" t="s">
        <v>9551</v>
      </c>
      <c r="V554" s="816" t="s">
        <v>9551</v>
      </c>
      <c r="W554" s="267"/>
      <c r="X554" s="816" t="s">
        <v>26</v>
      </c>
      <c r="Y554">
        <v>64.099999999999994</v>
      </c>
      <c r="Z554">
        <v>29.9</v>
      </c>
      <c r="AA554" s="816" t="s">
        <v>9566</v>
      </c>
      <c r="AB554" s="816" t="s">
        <v>9581</v>
      </c>
      <c r="AC554" s="816"/>
      <c r="AD554" s="816"/>
      <c r="AE554" s="816"/>
      <c r="AF554" s="816"/>
      <c r="AG554" s="816"/>
      <c r="AI554" s="816"/>
      <c r="AK554" s="816"/>
      <c r="AM554" s="816"/>
    </row>
    <row r="555" spans="1:39" x14ac:dyDescent="0.25">
      <c r="A555" s="265">
        <v>43981</v>
      </c>
      <c r="B555">
        <v>6</v>
      </c>
      <c r="C555" s="816" t="s">
        <v>2</v>
      </c>
      <c r="D555">
        <v>534</v>
      </c>
      <c r="E555" s="816" t="s">
        <v>9539</v>
      </c>
      <c r="F555" s="816" t="s">
        <v>24</v>
      </c>
      <c r="G555" s="816" t="s">
        <v>9546</v>
      </c>
      <c r="H555">
        <v>23</v>
      </c>
      <c r="I555" s="816" t="s">
        <v>17</v>
      </c>
      <c r="J555" s="816" t="s">
        <v>17</v>
      </c>
      <c r="K555" s="817">
        <v>0.16006944444444446</v>
      </c>
      <c r="L555" s="817">
        <v>0.22673611111111111</v>
      </c>
      <c r="M555" s="817"/>
      <c r="N555" s="817"/>
      <c r="O555" s="817">
        <v>0.47023148148148147</v>
      </c>
      <c r="P555" s="817">
        <v>0.71371527777777777</v>
      </c>
      <c r="Q555" s="817"/>
      <c r="R555" s="816"/>
      <c r="S555" s="817"/>
      <c r="T555" s="817"/>
      <c r="U555" s="816" t="s">
        <v>9551</v>
      </c>
      <c r="V555" s="816" t="s">
        <v>9551</v>
      </c>
      <c r="W555" s="267"/>
      <c r="X555" s="816" t="s">
        <v>26</v>
      </c>
      <c r="Y555">
        <v>72.400000000000006</v>
      </c>
      <c r="Z555">
        <v>34.6</v>
      </c>
      <c r="AA555" s="816" t="s">
        <v>9567</v>
      </c>
      <c r="AB555" s="816" t="s">
        <v>9582</v>
      </c>
      <c r="AC555" s="816"/>
      <c r="AD555" s="816"/>
      <c r="AE555" s="816"/>
      <c r="AF555" s="816"/>
      <c r="AG555" s="816"/>
      <c r="AI555" s="816"/>
      <c r="AK555" s="816"/>
      <c r="AM555" s="816"/>
    </row>
    <row r="556" spans="1:39" x14ac:dyDescent="0.25">
      <c r="A556" s="265">
        <v>43982</v>
      </c>
      <c r="B556">
        <v>0</v>
      </c>
      <c r="C556" s="816" t="s">
        <v>3</v>
      </c>
      <c r="D556">
        <v>534</v>
      </c>
      <c r="E556" s="816" t="s">
        <v>9539</v>
      </c>
      <c r="F556" s="816" t="s">
        <v>24</v>
      </c>
      <c r="G556" s="816" t="s">
        <v>9546</v>
      </c>
      <c r="H556">
        <v>24</v>
      </c>
      <c r="I556" s="816" t="s">
        <v>18</v>
      </c>
      <c r="J556" s="816" t="s">
        <v>18</v>
      </c>
      <c r="K556" s="817">
        <v>0.16023148148148147</v>
      </c>
      <c r="L556" s="817">
        <v>0.22689814814814815</v>
      </c>
      <c r="M556" s="817"/>
      <c r="N556" s="817"/>
      <c r="O556" s="817">
        <v>0.47033564814814816</v>
      </c>
      <c r="P556" s="817">
        <v>0.71376157407407403</v>
      </c>
      <c r="Q556" s="817"/>
      <c r="R556" s="816"/>
      <c r="S556" s="817"/>
      <c r="T556" s="817"/>
      <c r="U556" s="816" t="s">
        <v>9551</v>
      </c>
      <c r="V556" s="816" t="s">
        <v>9551</v>
      </c>
      <c r="W556" s="267"/>
      <c r="X556" s="816" t="s">
        <v>26</v>
      </c>
      <c r="Y556">
        <v>82.8</v>
      </c>
      <c r="Z556">
        <v>41.1</v>
      </c>
      <c r="AA556" s="816" t="s">
        <v>9568</v>
      </c>
      <c r="AB556" s="816" t="s">
        <v>9583</v>
      </c>
      <c r="AC556" s="816"/>
      <c r="AD556" s="816"/>
      <c r="AE556" s="816"/>
      <c r="AF556" s="816"/>
      <c r="AG556" s="816"/>
      <c r="AI556" s="816"/>
      <c r="AK556" s="816"/>
      <c r="AM556" s="816"/>
    </row>
    <row r="557" spans="1:39" x14ac:dyDescent="0.25">
      <c r="A557" s="265">
        <v>43983</v>
      </c>
      <c r="B557">
        <v>1</v>
      </c>
      <c r="C557" s="816" t="s">
        <v>4</v>
      </c>
      <c r="D557">
        <v>534</v>
      </c>
      <c r="E557" s="816" t="s">
        <v>9539</v>
      </c>
      <c r="F557" s="816" t="s">
        <v>24</v>
      </c>
      <c r="G557" s="816" t="s">
        <v>9546</v>
      </c>
      <c r="H557">
        <v>25</v>
      </c>
      <c r="I557" s="816" t="s">
        <v>19</v>
      </c>
      <c r="J557" s="816" t="s">
        <v>19</v>
      </c>
      <c r="K557" s="817">
        <v>0.16040509259259259</v>
      </c>
      <c r="L557" s="817">
        <v>0.22707175925925926</v>
      </c>
      <c r="M557" s="817"/>
      <c r="N557" s="817"/>
      <c r="O557" s="817">
        <v>0.47043981481481478</v>
      </c>
      <c r="P557" s="817">
        <v>0.71381944444444445</v>
      </c>
      <c r="Q557" s="817"/>
      <c r="R557" s="816"/>
      <c r="S557" s="817"/>
      <c r="T557" s="817"/>
      <c r="U557" s="816" t="s">
        <v>9551</v>
      </c>
      <c r="V557" s="816" t="s">
        <v>9551</v>
      </c>
      <c r="W557" s="267"/>
      <c r="X557" s="816" t="s">
        <v>26</v>
      </c>
      <c r="Y557">
        <v>95.1</v>
      </c>
      <c r="Z557">
        <v>49.4</v>
      </c>
      <c r="AA557" s="816" t="s">
        <v>9569</v>
      </c>
      <c r="AB557" s="816" t="s">
        <v>9585</v>
      </c>
      <c r="AC557" s="816"/>
      <c r="AD557" s="816"/>
      <c r="AE557" s="816"/>
      <c r="AF557" s="816"/>
      <c r="AG557" s="816"/>
      <c r="AI557" s="816"/>
      <c r="AK557" s="816"/>
      <c r="AM557" s="816"/>
    </row>
    <row r="558" spans="1:39" x14ac:dyDescent="0.25">
      <c r="A558" s="265">
        <v>43984</v>
      </c>
      <c r="B558">
        <v>2</v>
      </c>
      <c r="C558" s="816" t="s">
        <v>5</v>
      </c>
      <c r="D558">
        <v>534</v>
      </c>
      <c r="E558" s="816" t="s">
        <v>9539</v>
      </c>
      <c r="F558" s="816" t="s">
        <v>24</v>
      </c>
      <c r="G558" s="816" t="s">
        <v>9546</v>
      </c>
      <c r="H558">
        <v>27</v>
      </c>
      <c r="I558" s="816" t="s">
        <v>9550</v>
      </c>
      <c r="J558" s="816" t="s">
        <v>21</v>
      </c>
      <c r="K558" s="817">
        <v>0.16056712962962963</v>
      </c>
      <c r="L558" s="817">
        <v>0.22723379629629628</v>
      </c>
      <c r="M558" s="817"/>
      <c r="N558" s="817"/>
      <c r="O558" s="817">
        <v>0.47055555555555556</v>
      </c>
      <c r="P558" s="817">
        <v>0.71386574074074083</v>
      </c>
      <c r="Q558" s="817"/>
      <c r="R558" s="816"/>
      <c r="S558" s="817">
        <v>0.27013888888888887</v>
      </c>
      <c r="T558" s="817">
        <v>0.15</v>
      </c>
      <c r="U558" s="816" t="s">
        <v>9551</v>
      </c>
      <c r="V558" s="816" t="s">
        <v>9551</v>
      </c>
      <c r="W558" s="267"/>
      <c r="X558" s="816" t="s">
        <v>26</v>
      </c>
      <c r="Y558">
        <v>8.8000000000000007</v>
      </c>
      <c r="Z558">
        <v>58.9</v>
      </c>
      <c r="AA558" s="816" t="s">
        <v>9570</v>
      </c>
      <c r="AB558" s="816" t="s">
        <v>9586</v>
      </c>
      <c r="AC558" s="816"/>
      <c r="AD558" s="816"/>
      <c r="AE558" s="816"/>
      <c r="AF558" s="816" t="s">
        <v>72</v>
      </c>
      <c r="AG558" s="816" t="s">
        <v>48</v>
      </c>
      <c r="AH558">
        <v>-1</v>
      </c>
      <c r="AI558" s="816" t="s">
        <v>49</v>
      </c>
      <c r="AJ558">
        <v>-1</v>
      </c>
      <c r="AK558" s="816"/>
      <c r="AM558" s="816"/>
    </row>
    <row r="559" spans="1:39" x14ac:dyDescent="0.25">
      <c r="A559" s="265">
        <v>43985</v>
      </c>
      <c r="B559">
        <v>3</v>
      </c>
      <c r="C559" s="816" t="s">
        <v>6</v>
      </c>
      <c r="D559">
        <v>534</v>
      </c>
      <c r="E559" s="816" t="s">
        <v>9539</v>
      </c>
      <c r="F559" s="816" t="s">
        <v>24</v>
      </c>
      <c r="G559" s="816" t="s">
        <v>9546</v>
      </c>
      <c r="H559">
        <v>28</v>
      </c>
      <c r="I559" s="816" t="s">
        <v>8</v>
      </c>
      <c r="J559" s="816" t="s">
        <v>8</v>
      </c>
      <c r="K559" s="817">
        <v>0.16074074074074074</v>
      </c>
      <c r="L559" s="817">
        <v>0.22740740740740739</v>
      </c>
      <c r="M559" s="817">
        <v>0.22708333333333333</v>
      </c>
      <c r="N559" s="817">
        <v>0.38958333333333334</v>
      </c>
      <c r="O559" s="817">
        <v>0.47067129629629628</v>
      </c>
      <c r="P559" s="817">
        <v>0.71393518518518517</v>
      </c>
      <c r="Q559" s="817"/>
      <c r="R559" s="816"/>
      <c r="S559" s="817"/>
      <c r="T559" s="817"/>
      <c r="U559" s="816" t="s">
        <v>9551</v>
      </c>
      <c r="V559" s="816" t="s">
        <v>9551</v>
      </c>
      <c r="W559" s="267"/>
      <c r="X559" s="816" t="s">
        <v>26</v>
      </c>
      <c r="Y559">
        <v>23</v>
      </c>
      <c r="Z559">
        <v>68.900000000000006</v>
      </c>
      <c r="AA559" s="816" t="s">
        <v>9571</v>
      </c>
      <c r="AB559" s="816" t="s">
        <v>9604</v>
      </c>
      <c r="AC559" s="816"/>
      <c r="AD559" s="816"/>
      <c r="AE559" s="816"/>
      <c r="AF559" s="816"/>
      <c r="AG559" s="816"/>
      <c r="AI559" s="816"/>
      <c r="AK559" s="816"/>
      <c r="AM559" s="816"/>
    </row>
    <row r="560" spans="1:39" x14ac:dyDescent="0.25">
      <c r="A560" s="265">
        <v>43986</v>
      </c>
      <c r="B560">
        <v>4</v>
      </c>
      <c r="C560" s="816" t="s">
        <v>7</v>
      </c>
      <c r="D560">
        <v>534</v>
      </c>
      <c r="E560" s="816" t="s">
        <v>9539</v>
      </c>
      <c r="F560" s="816" t="s">
        <v>24</v>
      </c>
      <c r="G560" s="816" t="s">
        <v>9546</v>
      </c>
      <c r="H560">
        <v>29</v>
      </c>
      <c r="I560" s="816" t="s">
        <v>9</v>
      </c>
      <c r="J560" s="816" t="s">
        <v>9</v>
      </c>
      <c r="K560" s="817">
        <v>0.16090277777777778</v>
      </c>
      <c r="L560" s="817">
        <v>0.22756944444444446</v>
      </c>
      <c r="M560" s="817"/>
      <c r="N560" s="817"/>
      <c r="O560" s="817">
        <v>0.47078703703703706</v>
      </c>
      <c r="P560" s="817">
        <v>0.71400462962962974</v>
      </c>
      <c r="Q560" s="817"/>
      <c r="R560" s="816"/>
      <c r="S560" s="817"/>
      <c r="T560" s="817"/>
      <c r="U560" s="816" t="s">
        <v>9551</v>
      </c>
      <c r="V560" s="816" t="s">
        <v>9551</v>
      </c>
      <c r="W560" s="267"/>
      <c r="X560" s="816" t="s">
        <v>26</v>
      </c>
      <c r="Y560">
        <v>37.1</v>
      </c>
      <c r="Z560">
        <v>78.7</v>
      </c>
      <c r="AA560" s="816" t="s">
        <v>9572</v>
      </c>
      <c r="AB560" s="816" t="s">
        <v>9587</v>
      </c>
      <c r="AC560" s="816"/>
      <c r="AD560" s="816"/>
      <c r="AE560" s="816"/>
      <c r="AF560" s="816"/>
      <c r="AG560" s="816"/>
      <c r="AI560" s="816"/>
      <c r="AK560" s="816"/>
      <c r="AM560" s="816"/>
    </row>
    <row r="561" spans="1:39" x14ac:dyDescent="0.25">
      <c r="A561" s="265">
        <v>43987</v>
      </c>
      <c r="B561">
        <v>5</v>
      </c>
      <c r="C561" s="816" t="s">
        <v>1</v>
      </c>
      <c r="D561">
        <v>534</v>
      </c>
      <c r="E561" s="816" t="s">
        <v>9539</v>
      </c>
      <c r="F561" s="816" t="s">
        <v>24</v>
      </c>
      <c r="G561" s="816" t="s">
        <v>9546</v>
      </c>
      <c r="H561">
        <v>30</v>
      </c>
      <c r="I561" s="816" t="s">
        <v>10</v>
      </c>
      <c r="J561" s="816" t="s">
        <v>10</v>
      </c>
      <c r="K561" s="817">
        <v>0.16107638888888889</v>
      </c>
      <c r="L561" s="817">
        <v>0.22774305555555555</v>
      </c>
      <c r="M561" s="817"/>
      <c r="N561" s="817"/>
      <c r="O561" s="817">
        <v>0.47091435185185188</v>
      </c>
      <c r="P561" s="817">
        <v>0.71408564814814823</v>
      </c>
      <c r="Q561" s="817"/>
      <c r="R561" s="816"/>
      <c r="S561" s="817"/>
      <c r="T561" s="817"/>
      <c r="U561" s="816" t="s">
        <v>9551</v>
      </c>
      <c r="V561" s="816" t="s">
        <v>9551</v>
      </c>
      <c r="W561" s="267"/>
      <c r="X561" s="816" t="s">
        <v>26</v>
      </c>
      <c r="Y561">
        <v>50</v>
      </c>
      <c r="Z561">
        <v>87.5</v>
      </c>
      <c r="AA561" s="816" t="s">
        <v>9573</v>
      </c>
      <c r="AB561" s="816" t="s">
        <v>9588</v>
      </c>
      <c r="AC561" s="816"/>
      <c r="AD561" s="816"/>
      <c r="AE561" s="816"/>
      <c r="AF561" s="816"/>
      <c r="AG561" s="816"/>
      <c r="AI561" s="816"/>
      <c r="AK561" s="816"/>
      <c r="AM561" s="816"/>
    </row>
    <row r="562" spans="1:39" x14ac:dyDescent="0.25">
      <c r="A562" s="265">
        <v>43988</v>
      </c>
      <c r="B562">
        <v>6</v>
      </c>
      <c r="C562" s="816" t="s">
        <v>2</v>
      </c>
      <c r="D562">
        <v>534</v>
      </c>
      <c r="E562" s="816" t="s">
        <v>9541</v>
      </c>
      <c r="F562" s="816" t="s">
        <v>25</v>
      </c>
      <c r="G562" s="816" t="s">
        <v>9547</v>
      </c>
      <c r="H562">
        <v>1</v>
      </c>
      <c r="I562" s="816" t="s">
        <v>11</v>
      </c>
      <c r="J562" s="816" t="s">
        <v>11</v>
      </c>
      <c r="K562" s="817">
        <v>0.16125</v>
      </c>
      <c r="L562" s="817">
        <v>0.22791666666666666</v>
      </c>
      <c r="M562" s="817"/>
      <c r="N562" s="817"/>
      <c r="O562" s="817">
        <v>0.47104166666666664</v>
      </c>
      <c r="P562" s="817">
        <v>0.71416666666666673</v>
      </c>
      <c r="Q562" s="817"/>
      <c r="R562" s="816"/>
      <c r="S562" s="817"/>
      <c r="T562" s="817"/>
      <c r="U562" s="816" t="s">
        <v>9551</v>
      </c>
      <c r="V562" s="816" t="s">
        <v>9551</v>
      </c>
      <c r="W562" s="267"/>
      <c r="X562" s="816" t="s">
        <v>26</v>
      </c>
      <c r="Y562">
        <v>60.8</v>
      </c>
      <c r="Z562">
        <v>94.5</v>
      </c>
      <c r="AA562" s="816" t="s">
        <v>9574</v>
      </c>
      <c r="AB562" s="816" t="s">
        <v>9589</v>
      </c>
      <c r="AC562" s="816"/>
      <c r="AD562" s="816"/>
      <c r="AE562" s="816"/>
      <c r="AF562" s="816"/>
      <c r="AG562" s="816"/>
      <c r="AI562" s="816"/>
      <c r="AK562" s="816"/>
      <c r="AM562" s="816"/>
    </row>
    <row r="563" spans="1:39" x14ac:dyDescent="0.25">
      <c r="A563" s="265">
        <v>43989</v>
      </c>
      <c r="B563">
        <v>0</v>
      </c>
      <c r="C563" s="816" t="s">
        <v>3</v>
      </c>
      <c r="D563">
        <v>534</v>
      </c>
      <c r="E563" s="816" t="s">
        <v>9541</v>
      </c>
      <c r="F563" s="816" t="s">
        <v>25</v>
      </c>
      <c r="G563" s="816" t="s">
        <v>9547</v>
      </c>
      <c r="H563">
        <v>2</v>
      </c>
      <c r="I563" s="816" t="s">
        <v>12</v>
      </c>
      <c r="J563" s="816" t="s">
        <v>12</v>
      </c>
      <c r="K563" s="817">
        <v>0.16142361111111111</v>
      </c>
      <c r="L563" s="817">
        <v>0.22809027777777779</v>
      </c>
      <c r="M563" s="817"/>
      <c r="N563" s="817"/>
      <c r="O563" s="817">
        <v>0.47118055555555555</v>
      </c>
      <c r="P563" s="817">
        <v>0.71425925925925926</v>
      </c>
      <c r="Q563" s="817"/>
      <c r="R563" s="816"/>
      <c r="S563" s="817"/>
      <c r="T563" s="817"/>
      <c r="U563" s="816" t="s">
        <v>9551</v>
      </c>
      <c r="V563" s="816" t="s">
        <v>9551</v>
      </c>
      <c r="W563" s="267"/>
      <c r="X563" s="816" t="s">
        <v>26</v>
      </c>
      <c r="Y563">
        <v>69</v>
      </c>
      <c r="Z563">
        <v>99</v>
      </c>
      <c r="AA563" s="816" t="s">
        <v>9575</v>
      </c>
      <c r="AB563" s="816" t="s">
        <v>9590</v>
      </c>
      <c r="AC563" s="816"/>
      <c r="AD563" s="816"/>
      <c r="AE563" s="816"/>
      <c r="AF563" s="816"/>
      <c r="AG563" s="816"/>
      <c r="AI563" s="816"/>
      <c r="AK563" s="816"/>
      <c r="AM563" s="816"/>
    </row>
    <row r="564" spans="1:39" x14ac:dyDescent="0.25">
      <c r="A564" s="265">
        <v>43990</v>
      </c>
      <c r="B564">
        <v>1</v>
      </c>
      <c r="C564" s="816" t="s">
        <v>4</v>
      </c>
      <c r="D564">
        <v>534</v>
      </c>
      <c r="E564" s="816" t="s">
        <v>9541</v>
      </c>
      <c r="F564" s="816" t="s">
        <v>25</v>
      </c>
      <c r="G564" s="816" t="s">
        <v>9547</v>
      </c>
      <c r="H564">
        <v>3</v>
      </c>
      <c r="I564" s="816" t="s">
        <v>23</v>
      </c>
      <c r="J564" s="816" t="s">
        <v>23</v>
      </c>
      <c r="K564" s="817">
        <v>0.16159722222222223</v>
      </c>
      <c r="L564" s="817">
        <v>0.22826388888888891</v>
      </c>
      <c r="M564" s="817"/>
      <c r="N564" s="817"/>
      <c r="O564" s="817">
        <v>0.47130787037037036</v>
      </c>
      <c r="P564" s="817">
        <v>0.7143518518518519</v>
      </c>
      <c r="Q564" s="817"/>
      <c r="R564" s="816"/>
      <c r="S564" s="817"/>
      <c r="T564" s="817"/>
      <c r="U564" s="816" t="s">
        <v>9551</v>
      </c>
      <c r="V564" s="816" t="s">
        <v>9551</v>
      </c>
      <c r="W564" s="267"/>
      <c r="X564" s="816" t="s">
        <v>26</v>
      </c>
      <c r="Y564">
        <v>74.2</v>
      </c>
      <c r="Z564">
        <v>0.9</v>
      </c>
      <c r="AA564" s="816" t="s">
        <v>9577</v>
      </c>
      <c r="AB564" s="816" t="s">
        <v>9605</v>
      </c>
      <c r="AC564" s="816"/>
      <c r="AD564" s="816"/>
      <c r="AE564" s="816"/>
      <c r="AF564" s="816"/>
      <c r="AG564" s="816"/>
      <c r="AI564" s="816"/>
      <c r="AK564" s="816"/>
      <c r="AM564" s="816"/>
    </row>
    <row r="565" spans="1:39" x14ac:dyDescent="0.25">
      <c r="A565" s="265">
        <v>43991</v>
      </c>
      <c r="B565">
        <v>2</v>
      </c>
      <c r="C565" s="816" t="s">
        <v>5</v>
      </c>
      <c r="D565">
        <v>534</v>
      </c>
      <c r="E565" s="816" t="s">
        <v>9541</v>
      </c>
      <c r="F565" s="816" t="s">
        <v>25</v>
      </c>
      <c r="G565" s="816" t="s">
        <v>9547</v>
      </c>
      <c r="H565">
        <v>4</v>
      </c>
      <c r="I565" s="816" t="s">
        <v>13</v>
      </c>
      <c r="J565" s="816" t="s">
        <v>13</v>
      </c>
      <c r="K565" s="817">
        <v>0.16177083333333334</v>
      </c>
      <c r="L565" s="817">
        <v>0.22843749999999999</v>
      </c>
      <c r="M565" s="817"/>
      <c r="N565" s="817"/>
      <c r="O565" s="817">
        <v>0.47144675925925927</v>
      </c>
      <c r="P565" s="817">
        <v>0.71445601851851848</v>
      </c>
      <c r="Q565" s="817"/>
      <c r="R565" s="816"/>
      <c r="S565" s="817"/>
      <c r="T565" s="817"/>
      <c r="U565" s="816" t="s">
        <v>9551</v>
      </c>
      <c r="V565" s="816" t="s">
        <v>9551</v>
      </c>
      <c r="W565" s="267"/>
      <c r="X565" s="816" t="s">
        <v>26</v>
      </c>
      <c r="Y565">
        <v>76.2</v>
      </c>
      <c r="Z565">
        <v>99.8</v>
      </c>
      <c r="AA565" s="816" t="s">
        <v>9577</v>
      </c>
      <c r="AB565" s="816" t="s">
        <v>9592</v>
      </c>
      <c r="AC565" s="816"/>
      <c r="AD565" s="816"/>
      <c r="AE565" s="816"/>
      <c r="AF565" s="816"/>
      <c r="AG565" s="816"/>
      <c r="AI565" s="816"/>
      <c r="AK565" s="816"/>
      <c r="AM565" s="816"/>
    </row>
    <row r="566" spans="1:39" x14ac:dyDescent="0.25">
      <c r="A566" s="265">
        <v>43992</v>
      </c>
      <c r="B566">
        <v>3</v>
      </c>
      <c r="C566" s="816" t="s">
        <v>6</v>
      </c>
      <c r="D566">
        <v>534</v>
      </c>
      <c r="E566" s="816" t="s">
        <v>9541</v>
      </c>
      <c r="F566" s="816" t="s">
        <v>25</v>
      </c>
      <c r="G566" s="816" t="s">
        <v>9547</v>
      </c>
      <c r="H566">
        <v>5</v>
      </c>
      <c r="I566" s="816" t="s">
        <v>14</v>
      </c>
      <c r="J566" s="816" t="s">
        <v>14</v>
      </c>
      <c r="K566" s="817">
        <v>0.16194444444444445</v>
      </c>
      <c r="L566" s="817">
        <v>0.2286111111111111</v>
      </c>
      <c r="M566" s="817"/>
      <c r="N566" s="817"/>
      <c r="O566" s="817">
        <v>0.47158564814814818</v>
      </c>
      <c r="P566" s="817">
        <v>0.71456018518518516</v>
      </c>
      <c r="Q566" s="817"/>
      <c r="R566" s="816"/>
      <c r="S566" s="817"/>
      <c r="T566" s="817"/>
      <c r="U566" s="816" t="s">
        <v>9551</v>
      </c>
      <c r="V566" s="816" t="s">
        <v>9551</v>
      </c>
      <c r="W566" s="267"/>
      <c r="X566" s="816" t="s">
        <v>26</v>
      </c>
      <c r="Y566">
        <v>75.2</v>
      </c>
      <c r="Z566">
        <v>96.1</v>
      </c>
      <c r="AA566" s="816" t="s">
        <v>9552</v>
      </c>
      <c r="AB566" s="816" t="s">
        <v>9593</v>
      </c>
      <c r="AC566" s="816"/>
      <c r="AD566" s="816"/>
      <c r="AE566" s="816"/>
      <c r="AF566" s="816"/>
      <c r="AG566" s="816"/>
      <c r="AI566" s="816"/>
      <c r="AK566" s="816"/>
      <c r="AM566" s="816"/>
    </row>
    <row r="567" spans="1:39" x14ac:dyDescent="0.25">
      <c r="A567" s="265">
        <v>43993</v>
      </c>
      <c r="B567">
        <v>4</v>
      </c>
      <c r="C567" s="816" t="s">
        <v>7</v>
      </c>
      <c r="D567">
        <v>534</v>
      </c>
      <c r="E567" s="816" t="s">
        <v>9541</v>
      </c>
      <c r="F567" s="816" t="s">
        <v>25</v>
      </c>
      <c r="G567" s="816" t="s">
        <v>9547</v>
      </c>
      <c r="H567">
        <v>6</v>
      </c>
      <c r="I567" s="816" t="s">
        <v>15</v>
      </c>
      <c r="J567" s="816" t="s">
        <v>15</v>
      </c>
      <c r="K567" s="817">
        <v>0.16211805555555556</v>
      </c>
      <c r="L567" s="817">
        <v>0.22878472222222224</v>
      </c>
      <c r="M567" s="817"/>
      <c r="N567" s="817"/>
      <c r="O567" s="817">
        <v>0.47172453703703704</v>
      </c>
      <c r="P567" s="817">
        <v>0.71467592592592588</v>
      </c>
      <c r="Q567" s="817"/>
      <c r="R567" s="816"/>
      <c r="S567" s="817"/>
      <c r="T567" s="817"/>
      <c r="U567" s="816" t="s">
        <v>9551</v>
      </c>
      <c r="V567" s="816" t="s">
        <v>9551</v>
      </c>
      <c r="W567" s="267"/>
      <c r="X567" s="816" t="s">
        <v>26</v>
      </c>
      <c r="Y567">
        <v>71.5</v>
      </c>
      <c r="Z567">
        <v>89.9</v>
      </c>
      <c r="AA567" s="816" t="s">
        <v>9553</v>
      </c>
      <c r="AB567" s="816" t="s">
        <v>9594</v>
      </c>
      <c r="AC567" s="816"/>
      <c r="AD567" s="816"/>
      <c r="AE567" s="816"/>
      <c r="AF567" s="816"/>
      <c r="AG567" s="816"/>
      <c r="AI567" s="816"/>
      <c r="AK567" s="816"/>
      <c r="AM567" s="816"/>
    </row>
    <row r="568" spans="1:39" x14ac:dyDescent="0.25">
      <c r="A568" s="265">
        <v>43994</v>
      </c>
      <c r="B568">
        <v>5</v>
      </c>
      <c r="C568" s="816" t="s">
        <v>1</v>
      </c>
      <c r="D568">
        <v>534</v>
      </c>
      <c r="E568" s="816" t="s">
        <v>9541</v>
      </c>
      <c r="F568" s="816" t="s">
        <v>25</v>
      </c>
      <c r="G568" s="816" t="s">
        <v>9547</v>
      </c>
      <c r="H568">
        <v>7</v>
      </c>
      <c r="I568" s="816" t="s">
        <v>16</v>
      </c>
      <c r="J568" s="816" t="s">
        <v>16</v>
      </c>
      <c r="K568" s="817">
        <v>0.1622800925925926</v>
      </c>
      <c r="L568" s="817">
        <v>0.22894675925925925</v>
      </c>
      <c r="M568" s="817"/>
      <c r="N568" s="817"/>
      <c r="O568" s="817">
        <v>0.47187499999999999</v>
      </c>
      <c r="P568" s="817">
        <v>0.71479166666666671</v>
      </c>
      <c r="Q568" s="817"/>
      <c r="R568" s="816"/>
      <c r="S568" s="817"/>
      <c r="T568" s="817"/>
      <c r="U568" s="816" t="s">
        <v>9551</v>
      </c>
      <c r="V568" s="816" t="s">
        <v>9551</v>
      </c>
      <c r="W568" s="267"/>
      <c r="X568" s="816" t="s">
        <v>26</v>
      </c>
      <c r="Y568">
        <v>65.5</v>
      </c>
      <c r="Z568">
        <v>81.7</v>
      </c>
      <c r="AA568" s="816" t="s">
        <v>9554</v>
      </c>
      <c r="AB568" s="816" t="s">
        <v>9595</v>
      </c>
      <c r="AC568" s="816"/>
      <c r="AD568" s="816"/>
      <c r="AE568" s="816"/>
      <c r="AF568" s="816"/>
      <c r="AG568" s="816"/>
      <c r="AI568" s="816"/>
      <c r="AK568" s="816"/>
      <c r="AM568" s="816"/>
    </row>
    <row r="569" spans="1:39" x14ac:dyDescent="0.25">
      <c r="A569" s="265">
        <v>43995</v>
      </c>
      <c r="B569">
        <v>6</v>
      </c>
      <c r="C569" s="816" t="s">
        <v>2</v>
      </c>
      <c r="D569">
        <v>534</v>
      </c>
      <c r="E569" s="816" t="s">
        <v>9541</v>
      </c>
      <c r="F569" s="816" t="s">
        <v>25</v>
      </c>
      <c r="G569" s="816" t="s">
        <v>9547</v>
      </c>
      <c r="H569">
        <v>8</v>
      </c>
      <c r="I569" s="816" t="s">
        <v>17</v>
      </c>
      <c r="J569" s="816" t="s">
        <v>17</v>
      </c>
      <c r="K569" s="817">
        <v>0.16245370370370371</v>
      </c>
      <c r="L569" s="817">
        <v>0.22912037037037036</v>
      </c>
      <c r="M569" s="817"/>
      <c r="N569" s="817"/>
      <c r="O569" s="817">
        <v>0.47202546296296299</v>
      </c>
      <c r="P569" s="817">
        <v>0.71491898148148147</v>
      </c>
      <c r="Q569" s="817"/>
      <c r="R569" s="816"/>
      <c r="S569" s="817"/>
      <c r="T569" s="817"/>
      <c r="U569" s="816" t="s">
        <v>9551</v>
      </c>
      <c r="V569" s="816" t="s">
        <v>9551</v>
      </c>
      <c r="W569" s="267"/>
      <c r="X569" s="816" t="s">
        <v>26</v>
      </c>
      <c r="Y569">
        <v>57.9</v>
      </c>
      <c r="Z569">
        <v>72.099999999999994</v>
      </c>
      <c r="AA569" s="816" t="s">
        <v>9555</v>
      </c>
      <c r="AB569" s="816" t="s">
        <v>9596</v>
      </c>
      <c r="AC569" s="816"/>
      <c r="AD569" s="816"/>
      <c r="AE569" s="816"/>
      <c r="AF569" s="816"/>
      <c r="AG569" s="816"/>
      <c r="AI569" s="816"/>
      <c r="AK569" s="816"/>
      <c r="AM569" s="816"/>
    </row>
    <row r="570" spans="1:39" x14ac:dyDescent="0.25">
      <c r="A570" s="265">
        <v>43996</v>
      </c>
      <c r="B570">
        <v>0</v>
      </c>
      <c r="C570" s="816" t="s">
        <v>3</v>
      </c>
      <c r="D570">
        <v>534</v>
      </c>
      <c r="E570" s="816" t="s">
        <v>9541</v>
      </c>
      <c r="F570" s="816" t="s">
        <v>25</v>
      </c>
      <c r="G570" s="816" t="s">
        <v>9547</v>
      </c>
      <c r="H570">
        <v>9</v>
      </c>
      <c r="I570" s="816" t="s">
        <v>18</v>
      </c>
      <c r="J570" s="816" t="s">
        <v>18</v>
      </c>
      <c r="K570" s="817">
        <v>0.16262731481481482</v>
      </c>
      <c r="L570" s="817">
        <v>0.22929398148148147</v>
      </c>
      <c r="M570" s="817"/>
      <c r="N570" s="817"/>
      <c r="O570" s="817">
        <v>0.47216435185185185</v>
      </c>
      <c r="P570" s="817">
        <v>0.71504629629629635</v>
      </c>
      <c r="Q570" s="817"/>
      <c r="R570" s="816"/>
      <c r="S570" s="817"/>
      <c r="T570" s="817"/>
      <c r="U570" s="816" t="s">
        <v>9551</v>
      </c>
      <c r="V570" s="816" t="s">
        <v>9551</v>
      </c>
      <c r="W570" s="267"/>
      <c r="X570" s="816" t="s">
        <v>26</v>
      </c>
      <c r="Y570">
        <v>49.3</v>
      </c>
      <c r="Z570">
        <v>61.5</v>
      </c>
      <c r="AA570" s="816" t="s">
        <v>9556</v>
      </c>
      <c r="AB570" s="816" t="s">
        <v>9597</v>
      </c>
      <c r="AC570" s="816"/>
      <c r="AD570" s="816"/>
      <c r="AE570" s="816"/>
      <c r="AF570" s="816"/>
      <c r="AG570" s="816"/>
      <c r="AI570" s="816"/>
      <c r="AK570" s="816"/>
      <c r="AM570" s="816"/>
    </row>
    <row r="571" spans="1:39" x14ac:dyDescent="0.25">
      <c r="A571" s="265">
        <v>43997</v>
      </c>
      <c r="B571">
        <v>1</v>
      </c>
      <c r="C571" s="816" t="s">
        <v>4</v>
      </c>
      <c r="D571">
        <v>534</v>
      </c>
      <c r="E571" s="816" t="s">
        <v>9541</v>
      </c>
      <c r="F571" s="816" t="s">
        <v>25</v>
      </c>
      <c r="G571" s="816" t="s">
        <v>9547</v>
      </c>
      <c r="H571">
        <v>10</v>
      </c>
      <c r="I571" s="816" t="s">
        <v>19</v>
      </c>
      <c r="J571" s="816" t="s">
        <v>19</v>
      </c>
      <c r="K571" s="817">
        <v>0.16278935185185187</v>
      </c>
      <c r="L571" s="817">
        <v>0.22945601851851852</v>
      </c>
      <c r="M571" s="817"/>
      <c r="N571" s="817"/>
      <c r="O571" s="817">
        <v>0.4723148148148148</v>
      </c>
      <c r="P571" s="817">
        <v>0.71518518518518526</v>
      </c>
      <c r="Q571" s="817">
        <v>0.63525462962962964</v>
      </c>
      <c r="R571" s="816" t="s">
        <v>79</v>
      </c>
      <c r="S571" s="817"/>
      <c r="T571" s="817"/>
      <c r="U571" s="816" t="s">
        <v>9551</v>
      </c>
      <c r="V571" s="816" t="s">
        <v>9551</v>
      </c>
      <c r="W571" s="267"/>
      <c r="X571" s="816" t="s">
        <v>26</v>
      </c>
      <c r="Y571">
        <v>40.299999999999997</v>
      </c>
      <c r="Z571">
        <v>50.6</v>
      </c>
      <c r="AA571" s="816" t="s">
        <v>9557</v>
      </c>
      <c r="AB571" s="816" t="s">
        <v>9598</v>
      </c>
      <c r="AC571" s="816"/>
      <c r="AD571" s="816"/>
      <c r="AE571" s="816"/>
      <c r="AF571" s="816"/>
      <c r="AG571" s="816"/>
      <c r="AI571" s="816"/>
      <c r="AK571" s="816"/>
      <c r="AM571" s="816"/>
    </row>
    <row r="572" spans="1:39" x14ac:dyDescent="0.25">
      <c r="A572" s="265">
        <v>43998</v>
      </c>
      <c r="B572">
        <v>2</v>
      </c>
      <c r="C572" s="816" t="s">
        <v>5</v>
      </c>
      <c r="D572">
        <v>534</v>
      </c>
      <c r="E572" s="816" t="s">
        <v>9541</v>
      </c>
      <c r="F572" s="816" t="s">
        <v>25</v>
      </c>
      <c r="G572" s="816" t="s">
        <v>9547</v>
      </c>
      <c r="H572">
        <v>11</v>
      </c>
      <c r="I572" s="816" t="s">
        <v>9548</v>
      </c>
      <c r="J572" s="816" t="s">
        <v>20</v>
      </c>
      <c r="K572" s="817">
        <v>0.16295138888888888</v>
      </c>
      <c r="L572" s="817">
        <v>0.22961805555555556</v>
      </c>
      <c r="M572" s="817"/>
      <c r="N572" s="817"/>
      <c r="O572" s="817">
        <v>0.4724652777777778</v>
      </c>
      <c r="P572" s="817">
        <v>0.71531250000000002</v>
      </c>
      <c r="Q572" s="817"/>
      <c r="R572" s="816"/>
      <c r="S572" s="817"/>
      <c r="T572" s="817"/>
      <c r="U572" s="816" t="s">
        <v>9551</v>
      </c>
      <c r="V572" s="816" t="s">
        <v>9551</v>
      </c>
      <c r="W572" s="267"/>
      <c r="X572" s="816" t="s">
        <v>26</v>
      </c>
      <c r="Y572">
        <v>31.6</v>
      </c>
      <c r="Z572">
        <v>39.9</v>
      </c>
      <c r="AA572" s="816" t="s">
        <v>9558</v>
      </c>
      <c r="AB572" s="816" t="s">
        <v>9599</v>
      </c>
      <c r="AC572" s="816"/>
      <c r="AD572" s="816"/>
      <c r="AE572" s="816"/>
      <c r="AF572" s="816" t="s">
        <v>72</v>
      </c>
      <c r="AG572" s="816" t="s">
        <v>50</v>
      </c>
      <c r="AH572">
        <v>-1</v>
      </c>
      <c r="AI572" s="816"/>
      <c r="AK572" s="816"/>
      <c r="AM572" s="816"/>
    </row>
    <row r="573" spans="1:39" x14ac:dyDescent="0.25">
      <c r="A573" s="265">
        <v>43999</v>
      </c>
      <c r="B573">
        <v>3</v>
      </c>
      <c r="C573" s="816" t="s">
        <v>6</v>
      </c>
      <c r="D573">
        <v>534</v>
      </c>
      <c r="E573" s="816" t="s">
        <v>9541</v>
      </c>
      <c r="F573" s="816" t="s">
        <v>25</v>
      </c>
      <c r="G573" s="816" t="s">
        <v>9547</v>
      </c>
      <c r="H573">
        <v>12</v>
      </c>
      <c r="I573" s="816" t="s">
        <v>21</v>
      </c>
      <c r="J573" s="816" t="s">
        <v>21</v>
      </c>
      <c r="K573" s="817">
        <v>0.16311342592592593</v>
      </c>
      <c r="L573" s="817">
        <v>0.22978009259259258</v>
      </c>
      <c r="M573" s="817">
        <v>0.24305555555555555</v>
      </c>
      <c r="N573" s="817">
        <v>0.39166666666666666</v>
      </c>
      <c r="O573" s="817">
        <v>0.47261574074074075</v>
      </c>
      <c r="P573" s="817">
        <v>0.71545138888888893</v>
      </c>
      <c r="Q573" s="817"/>
      <c r="R573" s="816"/>
      <c r="S573" s="817"/>
      <c r="T573" s="817"/>
      <c r="U573" s="816" t="s">
        <v>9551</v>
      </c>
      <c r="V573" s="816" t="s">
        <v>9551</v>
      </c>
      <c r="W573" s="267"/>
      <c r="X573" s="816" t="s">
        <v>26</v>
      </c>
      <c r="Y573">
        <v>23.6</v>
      </c>
      <c r="Z573">
        <v>29.8</v>
      </c>
      <c r="AA573" s="816" t="s">
        <v>9578</v>
      </c>
      <c r="AB573" s="816" t="s">
        <v>9599</v>
      </c>
      <c r="AC573" s="816"/>
      <c r="AD573" s="816"/>
      <c r="AE573" s="816"/>
      <c r="AF573" s="816"/>
      <c r="AG573" s="816"/>
      <c r="AI573" s="816"/>
      <c r="AK573" s="816"/>
      <c r="AM573" s="816"/>
    </row>
    <row r="574" spans="1:39" x14ac:dyDescent="0.25">
      <c r="A574" s="265">
        <v>44000</v>
      </c>
      <c r="B574">
        <v>4</v>
      </c>
      <c r="C574" s="816" t="s">
        <v>7</v>
      </c>
      <c r="D574">
        <v>534</v>
      </c>
      <c r="E574" s="816" t="s">
        <v>9541</v>
      </c>
      <c r="F574" s="816" t="s">
        <v>25</v>
      </c>
      <c r="G574" s="816" t="s">
        <v>9547</v>
      </c>
      <c r="H574">
        <v>13</v>
      </c>
      <c r="I574" s="816" t="s">
        <v>8</v>
      </c>
      <c r="J574" s="816" t="s">
        <v>8</v>
      </c>
      <c r="K574" s="817">
        <v>0.16327546296296297</v>
      </c>
      <c r="L574" s="817">
        <v>0.22994212962962965</v>
      </c>
      <c r="M574" s="817"/>
      <c r="N574" s="817"/>
      <c r="O574" s="817">
        <v>0.4727777777777778</v>
      </c>
      <c r="P574" s="817">
        <v>0.71560185185185177</v>
      </c>
      <c r="Q574" s="817"/>
      <c r="R574" s="816"/>
      <c r="S574" s="817"/>
      <c r="T574" s="817"/>
      <c r="U574" s="816" t="s">
        <v>9551</v>
      </c>
      <c r="V574" s="816" t="s">
        <v>9551</v>
      </c>
      <c r="W574" s="267"/>
      <c r="X574" s="816" t="s">
        <v>26</v>
      </c>
      <c r="Y574">
        <v>16.899999999999999</v>
      </c>
      <c r="Z574">
        <v>21</v>
      </c>
      <c r="AA574" s="816" t="s">
        <v>9559</v>
      </c>
      <c r="AB574" s="816" t="s">
        <v>9600</v>
      </c>
      <c r="AC574" s="816"/>
      <c r="AD574" s="816"/>
      <c r="AE574" s="816"/>
      <c r="AF574" s="816"/>
      <c r="AG574" s="816"/>
      <c r="AI574" s="816"/>
      <c r="AK574" s="816"/>
      <c r="AM574" s="816"/>
    </row>
    <row r="575" spans="1:39" x14ac:dyDescent="0.25">
      <c r="A575" s="265">
        <v>44001</v>
      </c>
      <c r="B575">
        <v>5</v>
      </c>
      <c r="C575" s="816" t="s">
        <v>1</v>
      </c>
      <c r="D575">
        <v>534</v>
      </c>
      <c r="E575" s="816" t="s">
        <v>9541</v>
      </c>
      <c r="F575" s="816" t="s">
        <v>25</v>
      </c>
      <c r="G575" s="816" t="s">
        <v>9547</v>
      </c>
      <c r="H575">
        <v>14</v>
      </c>
      <c r="I575" s="816" t="s">
        <v>9</v>
      </c>
      <c r="J575" s="816" t="s">
        <v>9</v>
      </c>
      <c r="K575" s="817">
        <v>0.16343749999999999</v>
      </c>
      <c r="L575" s="817">
        <v>0.23010416666666667</v>
      </c>
      <c r="M575" s="817"/>
      <c r="N575" s="817"/>
      <c r="O575" s="817">
        <v>0.47292824074074075</v>
      </c>
      <c r="P575" s="817">
        <v>0.71574074074074068</v>
      </c>
      <c r="Q575" s="817"/>
      <c r="R575" s="816"/>
      <c r="S575" s="817"/>
      <c r="T575" s="817"/>
      <c r="U575" s="816" t="s">
        <v>9551</v>
      </c>
      <c r="V575" s="816" t="s">
        <v>9551</v>
      </c>
      <c r="W575" s="267"/>
      <c r="X575" s="816" t="s">
        <v>26</v>
      </c>
      <c r="Y575">
        <v>11.8</v>
      </c>
      <c r="Z575">
        <v>13.5</v>
      </c>
      <c r="AA575" s="816" t="s">
        <v>9560</v>
      </c>
      <c r="AB575" s="816" t="s">
        <v>9601</v>
      </c>
      <c r="AC575" s="816"/>
      <c r="AD575" s="816"/>
      <c r="AE575" s="816"/>
      <c r="AF575" s="816"/>
      <c r="AG575" s="816"/>
      <c r="AI575" s="816"/>
      <c r="AK575" s="816"/>
      <c r="AM575" s="816"/>
    </row>
    <row r="576" spans="1:39" x14ac:dyDescent="0.25">
      <c r="A576" s="265">
        <v>44002</v>
      </c>
      <c r="B576">
        <v>6</v>
      </c>
      <c r="C576" s="816" t="s">
        <v>2</v>
      </c>
      <c r="D576">
        <v>534</v>
      </c>
      <c r="E576" s="816" t="s">
        <v>9541</v>
      </c>
      <c r="F576" s="816" t="s">
        <v>25</v>
      </c>
      <c r="G576" s="816" t="s">
        <v>9547</v>
      </c>
      <c r="H576">
        <v>15</v>
      </c>
      <c r="I576" s="816" t="s">
        <v>22</v>
      </c>
      <c r="J576" s="816" t="s">
        <v>22</v>
      </c>
      <c r="K576" s="817">
        <v>0.16358796296296296</v>
      </c>
      <c r="L576" s="817">
        <v>0.23025462962962961</v>
      </c>
      <c r="M576" s="817"/>
      <c r="N576" s="817"/>
      <c r="O576" s="817">
        <v>0.4730787037037037</v>
      </c>
      <c r="P576" s="817">
        <v>0.71589120370370374</v>
      </c>
      <c r="Q576" s="817"/>
      <c r="R576" s="816"/>
      <c r="S576" s="817"/>
      <c r="T576" s="817"/>
      <c r="U576" s="816" t="s">
        <v>9551</v>
      </c>
      <c r="V576" s="816" t="s">
        <v>9551</v>
      </c>
      <c r="W576" s="267"/>
      <c r="X576" s="816" t="s">
        <v>26</v>
      </c>
      <c r="Y576">
        <v>8.6</v>
      </c>
      <c r="Z576">
        <v>7.8</v>
      </c>
      <c r="AA576" s="816" t="s">
        <v>9561</v>
      </c>
      <c r="AB576" s="816" t="s">
        <v>9602</v>
      </c>
      <c r="AC576" s="816"/>
      <c r="AD576" s="816"/>
      <c r="AE576" s="816"/>
      <c r="AF576" s="816"/>
      <c r="AG576" s="816"/>
      <c r="AI576" s="816"/>
      <c r="AK576" s="816"/>
      <c r="AM576" s="816"/>
    </row>
    <row r="577" spans="1:39" x14ac:dyDescent="0.25">
      <c r="A577" s="265">
        <v>44003</v>
      </c>
      <c r="B577">
        <v>0</v>
      </c>
      <c r="C577" s="816" t="s">
        <v>3</v>
      </c>
      <c r="D577">
        <v>534</v>
      </c>
      <c r="E577" s="816" t="s">
        <v>9541</v>
      </c>
      <c r="F577" s="816" t="s">
        <v>24</v>
      </c>
      <c r="G577" s="816" t="s">
        <v>9546</v>
      </c>
      <c r="H577">
        <v>16</v>
      </c>
      <c r="I577" s="816" t="s">
        <v>11</v>
      </c>
      <c r="J577" s="816" t="s">
        <v>11</v>
      </c>
      <c r="K577" s="817">
        <v>0.16373842592592594</v>
      </c>
      <c r="L577" s="817">
        <v>0.23040509259259259</v>
      </c>
      <c r="M577" s="817"/>
      <c r="N577" s="817"/>
      <c r="O577" s="817">
        <v>0.47322916666666665</v>
      </c>
      <c r="P577" s="817">
        <v>0.71605324074074073</v>
      </c>
      <c r="Q577" s="817"/>
      <c r="R577" s="816"/>
      <c r="S577" s="817"/>
      <c r="T577" s="817"/>
      <c r="U577" s="816" t="s">
        <v>9551</v>
      </c>
      <c r="V577" s="816" t="s">
        <v>9551</v>
      </c>
      <c r="W577" s="267"/>
      <c r="X577" s="816" t="s">
        <v>26</v>
      </c>
      <c r="Y577">
        <v>7.5</v>
      </c>
      <c r="Z577">
        <v>4</v>
      </c>
      <c r="AA577" s="816" t="s">
        <v>9562</v>
      </c>
      <c r="AB577" s="816" t="s">
        <v>9579</v>
      </c>
      <c r="AC577" s="816"/>
      <c r="AD577" s="816"/>
      <c r="AE577" s="816"/>
      <c r="AF577" s="816"/>
      <c r="AG577" s="816" t="s">
        <v>51</v>
      </c>
      <c r="AH577">
        <v>1</v>
      </c>
      <c r="AI577" s="816"/>
      <c r="AK577" s="816"/>
      <c r="AM577" s="816"/>
    </row>
    <row r="578" spans="1:39" x14ac:dyDescent="0.25">
      <c r="A578" s="265">
        <v>44004</v>
      </c>
      <c r="B578">
        <v>1</v>
      </c>
      <c r="C578" s="816" t="s">
        <v>4</v>
      </c>
      <c r="D578">
        <v>534</v>
      </c>
      <c r="E578" s="816" t="s">
        <v>9541</v>
      </c>
      <c r="F578" s="816" t="s">
        <v>24</v>
      </c>
      <c r="G578" s="816" t="s">
        <v>9546</v>
      </c>
      <c r="H578">
        <v>17</v>
      </c>
      <c r="I578" s="816" t="s">
        <v>12</v>
      </c>
      <c r="J578" s="816" t="s">
        <v>12</v>
      </c>
      <c r="K578" s="817">
        <v>0.16388888888888889</v>
      </c>
      <c r="L578" s="817">
        <v>0.23055555555555554</v>
      </c>
      <c r="M578" s="817"/>
      <c r="N578" s="817"/>
      <c r="O578" s="817">
        <v>0.47337962962962959</v>
      </c>
      <c r="P578" s="817">
        <v>0.71620370370370379</v>
      </c>
      <c r="Q578" s="817"/>
      <c r="R578" s="816"/>
      <c r="S578" s="817"/>
      <c r="T578" s="817"/>
      <c r="U578" s="816" t="s">
        <v>9551</v>
      </c>
      <c r="V578" s="816" t="s">
        <v>9551</v>
      </c>
      <c r="W578" s="267"/>
      <c r="X578" s="816" t="s">
        <v>26</v>
      </c>
      <c r="Y578">
        <v>8.5</v>
      </c>
      <c r="Z578">
        <v>2</v>
      </c>
      <c r="AA578" s="816" t="s">
        <v>9563</v>
      </c>
      <c r="AB578" s="816" t="s">
        <v>9580</v>
      </c>
      <c r="AC578" s="816"/>
      <c r="AD578" s="816"/>
      <c r="AE578" s="816"/>
      <c r="AF578" s="816"/>
      <c r="AG578" s="816" t="s">
        <v>52</v>
      </c>
      <c r="AH578">
        <v>1</v>
      </c>
      <c r="AI578" s="816"/>
      <c r="AK578" s="816"/>
      <c r="AM578" s="816"/>
    </row>
    <row r="579" spans="1:39" x14ac:dyDescent="0.25">
      <c r="A579" s="265">
        <v>44005</v>
      </c>
      <c r="B579">
        <v>2</v>
      </c>
      <c r="C579" s="816" t="s">
        <v>5</v>
      </c>
      <c r="D579">
        <v>534</v>
      </c>
      <c r="E579" s="816" t="s">
        <v>9541</v>
      </c>
      <c r="F579" s="816" t="s">
        <v>24</v>
      </c>
      <c r="G579" s="816" t="s">
        <v>9546</v>
      </c>
      <c r="H579">
        <v>18</v>
      </c>
      <c r="I579" s="816" t="s">
        <v>23</v>
      </c>
      <c r="J579" s="816" t="s">
        <v>23</v>
      </c>
      <c r="K579" s="817">
        <v>0.16403935185185184</v>
      </c>
      <c r="L579" s="817">
        <v>0.23070601851851849</v>
      </c>
      <c r="M579" s="817"/>
      <c r="N579" s="817"/>
      <c r="O579" s="817">
        <v>0.47353009259259254</v>
      </c>
      <c r="P579" s="817">
        <v>0.71635416666666663</v>
      </c>
      <c r="Q579" s="817"/>
      <c r="R579" s="816"/>
      <c r="S579" s="817"/>
      <c r="T579" s="817"/>
      <c r="U579" s="816" t="s">
        <v>9551</v>
      </c>
      <c r="V579" s="816" t="s">
        <v>9551</v>
      </c>
      <c r="W579" s="267"/>
      <c r="X579" s="816" t="s">
        <v>26</v>
      </c>
      <c r="Y579">
        <v>11.6</v>
      </c>
      <c r="Z579">
        <v>2</v>
      </c>
      <c r="AA579" s="816" t="s">
        <v>9564</v>
      </c>
      <c r="AB579" s="816" t="s">
        <v>9581</v>
      </c>
      <c r="AC579" s="816"/>
      <c r="AD579" s="816"/>
      <c r="AE579" s="816"/>
      <c r="AF579" s="816"/>
      <c r="AG579" s="816"/>
      <c r="AI579" s="816"/>
      <c r="AK579" s="816"/>
      <c r="AM579" s="816"/>
    </row>
    <row r="580" spans="1:39" x14ac:dyDescent="0.25">
      <c r="A580" s="265">
        <v>44006</v>
      </c>
      <c r="B580">
        <v>3</v>
      </c>
      <c r="C580" s="816" t="s">
        <v>6</v>
      </c>
      <c r="D580">
        <v>534</v>
      </c>
      <c r="E580" s="816" t="s">
        <v>9541</v>
      </c>
      <c r="F580" s="816" t="s">
        <v>24</v>
      </c>
      <c r="G580" s="816" t="s">
        <v>9546</v>
      </c>
      <c r="H580">
        <v>19</v>
      </c>
      <c r="I580" s="816" t="s">
        <v>13</v>
      </c>
      <c r="J580" s="816" t="s">
        <v>13</v>
      </c>
      <c r="K580" s="817">
        <v>0.16417824074074075</v>
      </c>
      <c r="L580" s="817">
        <v>0.2308449074074074</v>
      </c>
      <c r="M580" s="817"/>
      <c r="N580" s="817"/>
      <c r="O580" s="817">
        <v>0.4736805555555556</v>
      </c>
      <c r="P580" s="817">
        <v>0.71651620370370372</v>
      </c>
      <c r="Q580" s="817"/>
      <c r="R580" s="816"/>
      <c r="S580" s="817"/>
      <c r="T580" s="817"/>
      <c r="U580" s="816" t="s">
        <v>9551</v>
      </c>
      <c r="V580" s="816" t="s">
        <v>9551</v>
      </c>
      <c r="W580" s="267"/>
      <c r="X580" s="816" t="s">
        <v>26</v>
      </c>
      <c r="Y580">
        <v>16.600000000000001</v>
      </c>
      <c r="Z580">
        <v>3.6</v>
      </c>
      <c r="AA580" s="816" t="s">
        <v>9565</v>
      </c>
      <c r="AB580" s="816" t="s">
        <v>9582</v>
      </c>
      <c r="AC580" s="816"/>
      <c r="AD580" s="816"/>
      <c r="AE580" s="816"/>
      <c r="AF580" s="816"/>
      <c r="AG580" s="816"/>
      <c r="AI580" s="816"/>
      <c r="AK580" s="816"/>
      <c r="AM580" s="816"/>
    </row>
    <row r="581" spans="1:39" x14ac:dyDescent="0.25">
      <c r="A581" s="265">
        <v>44007</v>
      </c>
      <c r="B581">
        <v>4</v>
      </c>
      <c r="C581" s="816" t="s">
        <v>7</v>
      </c>
      <c r="D581">
        <v>534</v>
      </c>
      <c r="E581" s="816" t="s">
        <v>9541</v>
      </c>
      <c r="F581" s="816" t="s">
        <v>24</v>
      </c>
      <c r="G581" s="816" t="s">
        <v>9546</v>
      </c>
      <c r="H581">
        <v>20</v>
      </c>
      <c r="I581" s="816" t="s">
        <v>14</v>
      </c>
      <c r="J581" s="816" t="s">
        <v>14</v>
      </c>
      <c r="K581" s="817">
        <v>0.16430555555555557</v>
      </c>
      <c r="L581" s="817">
        <v>0.23097222222222222</v>
      </c>
      <c r="M581" s="817"/>
      <c r="N581" s="817"/>
      <c r="O581" s="817">
        <v>0.47383101851851855</v>
      </c>
      <c r="P581" s="817">
        <v>0.71667824074074071</v>
      </c>
      <c r="Q581" s="817"/>
      <c r="R581" s="816"/>
      <c r="S581" s="817"/>
      <c r="T581" s="817"/>
      <c r="U581" s="816" t="s">
        <v>9551</v>
      </c>
      <c r="V581" s="816" t="s">
        <v>9551</v>
      </c>
      <c r="W581" s="267"/>
      <c r="X581" s="816" t="s">
        <v>26</v>
      </c>
      <c r="Y581">
        <v>23.3</v>
      </c>
      <c r="Z581">
        <v>6.8</v>
      </c>
      <c r="AA581" s="816" t="s">
        <v>9566</v>
      </c>
      <c r="AB581" s="816" t="s">
        <v>9583</v>
      </c>
      <c r="AC581" s="816"/>
      <c r="AD581" s="816"/>
      <c r="AE581" s="816"/>
      <c r="AF581" s="816"/>
      <c r="AG581" s="816"/>
      <c r="AI581" s="816"/>
      <c r="AK581" s="816"/>
      <c r="AM581" s="816"/>
    </row>
    <row r="582" spans="1:39" x14ac:dyDescent="0.25">
      <c r="A582" s="265">
        <v>44008</v>
      </c>
      <c r="B582">
        <v>5</v>
      </c>
      <c r="C582" s="816" t="s">
        <v>1</v>
      </c>
      <c r="D582">
        <v>534</v>
      </c>
      <c r="E582" s="816" t="s">
        <v>9541</v>
      </c>
      <c r="F582" s="816" t="s">
        <v>24</v>
      </c>
      <c r="G582" s="816" t="s">
        <v>9546</v>
      </c>
      <c r="H582">
        <v>21</v>
      </c>
      <c r="I582" s="816" t="s">
        <v>15</v>
      </c>
      <c r="J582" s="816" t="s">
        <v>15</v>
      </c>
      <c r="K582" s="817">
        <v>0.16444444444444445</v>
      </c>
      <c r="L582" s="817">
        <v>0.23111111111111113</v>
      </c>
      <c r="M582" s="817"/>
      <c r="N582" s="817"/>
      <c r="O582" s="817">
        <v>0.47396990740740735</v>
      </c>
      <c r="P582" s="817">
        <v>0.7168402777777777</v>
      </c>
      <c r="Q582" s="817"/>
      <c r="R582" s="816"/>
      <c r="S582" s="817"/>
      <c r="T582" s="817"/>
      <c r="U582" s="816" t="s">
        <v>9551</v>
      </c>
      <c r="V582" s="816" t="s">
        <v>9551</v>
      </c>
      <c r="W582" s="267"/>
      <c r="X582" s="816" t="s">
        <v>26</v>
      </c>
      <c r="Y582">
        <v>31.5</v>
      </c>
      <c r="Z582">
        <v>11.4</v>
      </c>
      <c r="AA582" s="816" t="s">
        <v>9567</v>
      </c>
      <c r="AB582" s="816" t="s">
        <v>9584</v>
      </c>
      <c r="AC582" s="816"/>
      <c r="AD582" s="816"/>
      <c r="AE582" s="816"/>
      <c r="AF582" s="816"/>
      <c r="AG582" s="816" t="s">
        <v>53</v>
      </c>
      <c r="AH582">
        <v>1</v>
      </c>
      <c r="AI582" s="816"/>
      <c r="AK582" s="816"/>
      <c r="AM582" s="816"/>
    </row>
    <row r="583" spans="1:39" x14ac:dyDescent="0.25">
      <c r="A583" s="265">
        <v>44009</v>
      </c>
      <c r="B583">
        <v>6</v>
      </c>
      <c r="C583" s="816" t="s">
        <v>2</v>
      </c>
      <c r="D583">
        <v>534</v>
      </c>
      <c r="E583" s="816" t="s">
        <v>9541</v>
      </c>
      <c r="F583" s="816" t="s">
        <v>24</v>
      </c>
      <c r="G583" s="816" t="s">
        <v>9546</v>
      </c>
      <c r="H583">
        <v>22</v>
      </c>
      <c r="I583" s="816" t="s">
        <v>16</v>
      </c>
      <c r="J583" s="816" t="s">
        <v>16</v>
      </c>
      <c r="K583" s="817">
        <v>0.16457175925925926</v>
      </c>
      <c r="L583" s="817">
        <v>0.23123842592592592</v>
      </c>
      <c r="M583" s="817"/>
      <c r="N583" s="817"/>
      <c r="O583" s="817">
        <v>0.47412037037037041</v>
      </c>
      <c r="P583" s="817">
        <v>0.71700231481481491</v>
      </c>
      <c r="Q583" s="817"/>
      <c r="R583" s="816"/>
      <c r="S583" s="817"/>
      <c r="T583" s="817"/>
      <c r="U583" s="816" t="s">
        <v>9551</v>
      </c>
      <c r="V583" s="816" t="s">
        <v>9551</v>
      </c>
      <c r="W583" s="267"/>
      <c r="X583" s="816" t="s">
        <v>26</v>
      </c>
      <c r="Y583">
        <v>40.9</v>
      </c>
      <c r="Z583">
        <v>17</v>
      </c>
      <c r="AA583" s="816" t="s">
        <v>9568</v>
      </c>
      <c r="AB583" s="816" t="s">
        <v>9585</v>
      </c>
      <c r="AC583" s="816"/>
      <c r="AD583" s="816"/>
      <c r="AE583" s="816"/>
      <c r="AF583" s="816"/>
      <c r="AG583" s="816"/>
      <c r="AI583" s="816"/>
      <c r="AK583" s="816"/>
      <c r="AM583" s="816"/>
    </row>
    <row r="584" spans="1:39" x14ac:dyDescent="0.25">
      <c r="A584" s="265">
        <v>44010</v>
      </c>
      <c r="B584">
        <v>0</v>
      </c>
      <c r="C584" s="816" t="s">
        <v>3</v>
      </c>
      <c r="D584">
        <v>534</v>
      </c>
      <c r="E584" s="816" t="s">
        <v>9541</v>
      </c>
      <c r="F584" s="816" t="s">
        <v>24</v>
      </c>
      <c r="G584" s="816" t="s">
        <v>9546</v>
      </c>
      <c r="H584">
        <v>23</v>
      </c>
      <c r="I584" s="816" t="s">
        <v>17</v>
      </c>
      <c r="J584" s="816" t="s">
        <v>17</v>
      </c>
      <c r="K584" s="817">
        <v>0.16468750000000001</v>
      </c>
      <c r="L584" s="817">
        <v>0.23135416666666667</v>
      </c>
      <c r="M584" s="817"/>
      <c r="N584" s="817"/>
      <c r="O584" s="817">
        <v>0.47425925925925921</v>
      </c>
      <c r="P584" s="817">
        <v>0.7171643518518519</v>
      </c>
      <c r="Q584" s="817"/>
      <c r="R584" s="816"/>
      <c r="S584" s="817"/>
      <c r="T584" s="817"/>
      <c r="U584" s="816" t="s">
        <v>9551</v>
      </c>
      <c r="V584" s="816" t="s">
        <v>9551</v>
      </c>
      <c r="W584" s="267"/>
      <c r="X584" s="816" t="s">
        <v>26</v>
      </c>
      <c r="Y584">
        <v>51.2</v>
      </c>
      <c r="Z584">
        <v>23.4</v>
      </c>
      <c r="AA584" s="816" t="s">
        <v>9569</v>
      </c>
      <c r="AB584" s="816" t="s">
        <v>9586</v>
      </c>
      <c r="AC584" s="816"/>
      <c r="AD584" s="816"/>
      <c r="AE584" s="816"/>
      <c r="AF584" s="816"/>
      <c r="AG584" s="816"/>
      <c r="AI584" s="816"/>
      <c r="AK584" s="816"/>
      <c r="AM584" s="816"/>
    </row>
    <row r="585" spans="1:39" x14ac:dyDescent="0.25">
      <c r="A585" s="265">
        <v>44011</v>
      </c>
      <c r="B585">
        <v>1</v>
      </c>
      <c r="C585" s="816" t="s">
        <v>4</v>
      </c>
      <c r="D585">
        <v>534</v>
      </c>
      <c r="E585" s="816" t="s">
        <v>9541</v>
      </c>
      <c r="F585" s="816" t="s">
        <v>24</v>
      </c>
      <c r="G585" s="816" t="s">
        <v>9546</v>
      </c>
      <c r="H585">
        <v>24</v>
      </c>
      <c r="I585" s="816" t="s">
        <v>18</v>
      </c>
      <c r="J585" s="816" t="s">
        <v>18</v>
      </c>
      <c r="K585" s="817">
        <v>0.16480324074074074</v>
      </c>
      <c r="L585" s="817">
        <v>0.23146990740740739</v>
      </c>
      <c r="M585" s="817"/>
      <c r="N585" s="817"/>
      <c r="O585" s="817">
        <v>0.47439814814814812</v>
      </c>
      <c r="P585" s="817">
        <v>0.71732638888888889</v>
      </c>
      <c r="Q585" s="817"/>
      <c r="R585" s="816"/>
      <c r="S585" s="817"/>
      <c r="T585" s="817"/>
      <c r="U585" s="816" t="s">
        <v>9551</v>
      </c>
      <c r="V585" s="816" t="s">
        <v>9551</v>
      </c>
      <c r="W585" s="267"/>
      <c r="X585" s="816" t="s">
        <v>26</v>
      </c>
      <c r="Y585">
        <v>62.1</v>
      </c>
      <c r="Z585">
        <v>30.3</v>
      </c>
      <c r="AA585" s="816" t="s">
        <v>9570</v>
      </c>
      <c r="AB585" s="816" t="s">
        <v>9604</v>
      </c>
      <c r="AC585" s="816"/>
      <c r="AD585" s="816"/>
      <c r="AE585" s="816"/>
      <c r="AF585" s="816"/>
      <c r="AG585" s="816"/>
      <c r="AI585" s="816"/>
      <c r="AK585" s="816"/>
      <c r="AM585" s="816"/>
    </row>
    <row r="586" spans="1:39" x14ac:dyDescent="0.25">
      <c r="A586" s="265">
        <v>44012</v>
      </c>
      <c r="B586">
        <v>2</v>
      </c>
      <c r="C586" s="816" t="s">
        <v>5</v>
      </c>
      <c r="D586">
        <v>534</v>
      </c>
      <c r="E586" s="816" t="s">
        <v>9541</v>
      </c>
      <c r="F586" s="816" t="s">
        <v>24</v>
      </c>
      <c r="G586" s="816" t="s">
        <v>9546</v>
      </c>
      <c r="H586">
        <v>25</v>
      </c>
      <c r="I586" s="816" t="s">
        <v>19</v>
      </c>
      <c r="J586" s="816" t="s">
        <v>19</v>
      </c>
      <c r="K586" s="817">
        <v>0.16490740740740742</v>
      </c>
      <c r="L586" s="817">
        <v>0.23157407407407407</v>
      </c>
      <c r="M586" s="817"/>
      <c r="N586" s="817"/>
      <c r="O586" s="817">
        <v>0.47453703703703703</v>
      </c>
      <c r="P586" s="817">
        <v>0.71749999999999992</v>
      </c>
      <c r="Q586" s="817"/>
      <c r="R586" s="816"/>
      <c r="S586" s="817"/>
      <c r="T586" s="817"/>
      <c r="U586" s="816" t="s">
        <v>9551</v>
      </c>
      <c r="V586" s="816" t="s">
        <v>9551</v>
      </c>
      <c r="W586" s="267"/>
      <c r="X586" s="816" t="s">
        <v>26</v>
      </c>
      <c r="Y586">
        <v>73.099999999999994</v>
      </c>
      <c r="Z586">
        <v>37.4</v>
      </c>
      <c r="AA586" s="816" t="s">
        <v>9571</v>
      </c>
      <c r="AB586" s="816" t="s">
        <v>9587</v>
      </c>
      <c r="AC586" s="816"/>
      <c r="AD586" s="816"/>
      <c r="AE586" s="816"/>
      <c r="AF586" s="816"/>
      <c r="AG586" s="816" t="s">
        <v>54</v>
      </c>
      <c r="AH586">
        <v>1</v>
      </c>
      <c r="AI586" s="816"/>
      <c r="AK586" s="816"/>
      <c r="AM586" s="816"/>
    </row>
    <row r="587" spans="1:39" x14ac:dyDescent="0.25">
      <c r="A587" s="265">
        <v>44013</v>
      </c>
      <c r="B587">
        <v>3</v>
      </c>
      <c r="C587" s="816" t="s">
        <v>6</v>
      </c>
      <c r="D587">
        <v>534</v>
      </c>
      <c r="E587" s="816" t="s">
        <v>9541</v>
      </c>
      <c r="F587" s="816" t="s">
        <v>24</v>
      </c>
      <c r="G587" s="816" t="s">
        <v>9546</v>
      </c>
      <c r="H587">
        <v>26</v>
      </c>
      <c r="I587" s="816" t="s">
        <v>9548</v>
      </c>
      <c r="J587" s="816" t="s">
        <v>20</v>
      </c>
      <c r="K587" s="817">
        <v>0.16501157407407407</v>
      </c>
      <c r="L587" s="817">
        <v>0.23167824074074073</v>
      </c>
      <c r="M587" s="817"/>
      <c r="N587" s="817"/>
      <c r="O587" s="817">
        <v>0.47467592592592595</v>
      </c>
      <c r="P587" s="817">
        <v>0.71766203703703713</v>
      </c>
      <c r="Q587" s="817"/>
      <c r="R587" s="816"/>
      <c r="S587" s="817"/>
      <c r="T587" s="817"/>
      <c r="U587" s="816" t="s">
        <v>9551</v>
      </c>
      <c r="V587" s="816" t="s">
        <v>9551</v>
      </c>
      <c r="W587" s="267"/>
      <c r="X587" s="816" t="s">
        <v>26</v>
      </c>
      <c r="Y587">
        <v>84</v>
      </c>
      <c r="Z587">
        <v>44.4</v>
      </c>
      <c r="AA587" s="816" t="s">
        <v>9572</v>
      </c>
      <c r="AB587" s="816" t="s">
        <v>9589</v>
      </c>
      <c r="AC587" s="816" t="s">
        <v>9624</v>
      </c>
      <c r="AD587" s="816"/>
      <c r="AE587" s="816"/>
      <c r="AF587" s="816" t="s">
        <v>72</v>
      </c>
      <c r="AG587" s="816" t="s">
        <v>55</v>
      </c>
      <c r="AH587">
        <v>-1</v>
      </c>
      <c r="AI587" s="816"/>
      <c r="AK587" s="816"/>
      <c r="AM587" s="816"/>
    </row>
    <row r="588" spans="1:39" x14ac:dyDescent="0.25">
      <c r="A588" s="265">
        <v>44014</v>
      </c>
      <c r="B588">
        <v>4</v>
      </c>
      <c r="C588" s="816" t="s">
        <v>7</v>
      </c>
      <c r="D588">
        <v>534</v>
      </c>
      <c r="E588" s="816" t="s">
        <v>9541</v>
      </c>
      <c r="F588" s="816" t="s">
        <v>24</v>
      </c>
      <c r="G588" s="816" t="s">
        <v>9546</v>
      </c>
      <c r="H588">
        <v>27</v>
      </c>
      <c r="I588" s="816" t="s">
        <v>21</v>
      </c>
      <c r="J588" s="816" t="s">
        <v>21</v>
      </c>
      <c r="K588" s="817">
        <v>0.16511574074074073</v>
      </c>
      <c r="L588" s="817">
        <v>0.23178240740740741</v>
      </c>
      <c r="M588" s="817">
        <v>0.23124999999999998</v>
      </c>
      <c r="N588" s="817">
        <v>0.28402777777777777</v>
      </c>
      <c r="O588" s="817">
        <v>0.47480324074074076</v>
      </c>
      <c r="P588" s="817">
        <v>0.71782407407407411</v>
      </c>
      <c r="Q588" s="817"/>
      <c r="R588" s="816"/>
      <c r="S588" s="817"/>
      <c r="T588" s="817"/>
      <c r="U588" s="816" t="s">
        <v>9551</v>
      </c>
      <c r="V588" s="816" t="s">
        <v>9551</v>
      </c>
      <c r="W588" s="267"/>
      <c r="X588" s="816" t="s">
        <v>26</v>
      </c>
      <c r="Y588">
        <v>94.3</v>
      </c>
      <c r="Z588">
        <v>50.7</v>
      </c>
      <c r="AA588" s="816" t="s">
        <v>9573</v>
      </c>
      <c r="AB588" s="816" t="s">
        <v>9590</v>
      </c>
      <c r="AC588" s="816"/>
      <c r="AD588" s="816"/>
      <c r="AE588" s="816"/>
      <c r="AF588" s="816"/>
      <c r="AG588" s="816"/>
      <c r="AI588" s="816"/>
      <c r="AK588" s="816"/>
      <c r="AM588" s="816"/>
    </row>
    <row r="589" spans="1:39" x14ac:dyDescent="0.25">
      <c r="A589" s="265">
        <v>44015</v>
      </c>
      <c r="B589">
        <v>5</v>
      </c>
      <c r="C589" s="816" t="s">
        <v>1</v>
      </c>
      <c r="D589">
        <v>534</v>
      </c>
      <c r="E589" s="816" t="s">
        <v>9541</v>
      </c>
      <c r="F589" s="816" t="s">
        <v>24</v>
      </c>
      <c r="G589" s="816" t="s">
        <v>9546</v>
      </c>
      <c r="H589">
        <v>29</v>
      </c>
      <c r="I589" s="816" t="s">
        <v>9</v>
      </c>
      <c r="J589" s="816" t="s">
        <v>8</v>
      </c>
      <c r="K589" s="817">
        <v>0.16520833333333332</v>
      </c>
      <c r="L589" s="817">
        <v>0.23187499999999997</v>
      </c>
      <c r="M589" s="817"/>
      <c r="N589" s="817"/>
      <c r="O589" s="817">
        <v>0.47493055555555558</v>
      </c>
      <c r="P589" s="817">
        <v>0.7179861111111111</v>
      </c>
      <c r="Q589" s="817"/>
      <c r="R589" s="816"/>
      <c r="S589" s="817">
        <v>0.28402777777777777</v>
      </c>
      <c r="T589" s="817">
        <v>0.19999999999999998</v>
      </c>
      <c r="U589" s="816" t="s">
        <v>9551</v>
      </c>
      <c r="V589" s="816" t="s">
        <v>9551</v>
      </c>
      <c r="W589" s="267"/>
      <c r="X589" s="816" t="s">
        <v>26</v>
      </c>
      <c r="Y589">
        <v>3.4</v>
      </c>
      <c r="Z589">
        <v>56.1</v>
      </c>
      <c r="AA589" s="816" t="s">
        <v>9574</v>
      </c>
      <c r="AB589" s="816" t="s">
        <v>9591</v>
      </c>
      <c r="AC589" s="816"/>
      <c r="AD589" s="816"/>
      <c r="AE589" s="816"/>
      <c r="AF589" s="816"/>
      <c r="AG589" s="816"/>
      <c r="AI589" s="816"/>
      <c r="AK589" s="816"/>
      <c r="AM589" s="816"/>
    </row>
    <row r="590" spans="1:39" x14ac:dyDescent="0.25">
      <c r="A590" s="265">
        <v>44016</v>
      </c>
      <c r="B590">
        <v>6</v>
      </c>
      <c r="C590" s="816" t="s">
        <v>2</v>
      </c>
      <c r="D590">
        <v>534</v>
      </c>
      <c r="E590" s="816" t="s">
        <v>9541</v>
      </c>
      <c r="F590" s="816" t="s">
        <v>24</v>
      </c>
      <c r="G590" s="816" t="s">
        <v>9546</v>
      </c>
      <c r="H590">
        <v>30</v>
      </c>
      <c r="I590" s="816" t="s">
        <v>10</v>
      </c>
      <c r="J590" s="816" t="s">
        <v>10</v>
      </c>
      <c r="K590" s="817">
        <v>0.16528935185185187</v>
      </c>
      <c r="L590" s="817">
        <v>0.23195601851851852</v>
      </c>
      <c r="M590" s="817"/>
      <c r="N590" s="817"/>
      <c r="O590" s="817">
        <v>0.47505787037037034</v>
      </c>
      <c r="P590" s="817">
        <v>0.7181481481481482</v>
      </c>
      <c r="Q590" s="817"/>
      <c r="R590" s="816"/>
      <c r="S590" s="817"/>
      <c r="T590" s="817"/>
      <c r="U590" s="816" t="s">
        <v>9551</v>
      </c>
      <c r="V590" s="816" t="s">
        <v>9551</v>
      </c>
      <c r="W590" s="267"/>
      <c r="X590" s="816" t="s">
        <v>26</v>
      </c>
      <c r="Y590">
        <v>11</v>
      </c>
      <c r="Z590">
        <v>60.1</v>
      </c>
      <c r="AA590" s="816" t="s">
        <v>9575</v>
      </c>
      <c r="AB590" s="816" t="s">
        <v>9605</v>
      </c>
      <c r="AC590" s="816" t="s">
        <v>9625</v>
      </c>
      <c r="AD590" s="816"/>
      <c r="AE590" s="816"/>
      <c r="AF590" s="816"/>
      <c r="AG590" s="816"/>
      <c r="AI590" s="816"/>
      <c r="AK590" s="816"/>
      <c r="AM590" s="816"/>
    </row>
    <row r="591" spans="1:39" x14ac:dyDescent="0.25">
      <c r="A591" s="265">
        <v>44017</v>
      </c>
      <c r="B591">
        <v>0</v>
      </c>
      <c r="C591" s="816" t="s">
        <v>3</v>
      </c>
      <c r="D591">
        <v>534</v>
      </c>
      <c r="E591" s="816" t="s">
        <v>9542</v>
      </c>
      <c r="F591" s="816" t="s">
        <v>25</v>
      </c>
      <c r="G591" s="816" t="s">
        <v>9547</v>
      </c>
      <c r="H591">
        <v>1</v>
      </c>
      <c r="I591" s="816" t="s">
        <v>11</v>
      </c>
      <c r="J591" s="816" t="s">
        <v>11</v>
      </c>
      <c r="K591" s="817">
        <v>0.16537037037037036</v>
      </c>
      <c r="L591" s="817">
        <v>0.23203703703703704</v>
      </c>
      <c r="M591" s="817"/>
      <c r="N591" s="817"/>
      <c r="O591" s="817">
        <v>0.47517361111111112</v>
      </c>
      <c r="P591" s="817">
        <v>0.71831018518518519</v>
      </c>
      <c r="Q591" s="817"/>
      <c r="R591" s="816"/>
      <c r="S591" s="817"/>
      <c r="T591" s="817"/>
      <c r="U591" s="816" t="s">
        <v>9551</v>
      </c>
      <c r="V591" s="816" t="s">
        <v>9551</v>
      </c>
      <c r="W591" s="267"/>
      <c r="X591" s="816" t="s">
        <v>26</v>
      </c>
      <c r="Y591">
        <v>16.600000000000001</v>
      </c>
      <c r="Z591">
        <v>62.3</v>
      </c>
      <c r="AA591" s="816" t="s">
        <v>9576</v>
      </c>
      <c r="AB591" s="816" t="s">
        <v>9592</v>
      </c>
      <c r="AC591" s="816" t="s">
        <v>9626</v>
      </c>
      <c r="AD591" s="816"/>
      <c r="AE591" s="816"/>
      <c r="AF591" s="816"/>
      <c r="AG591" s="816"/>
      <c r="AI591" s="816"/>
      <c r="AK591" s="816"/>
      <c r="AM591" s="816"/>
    </row>
    <row r="592" spans="1:39" x14ac:dyDescent="0.25">
      <c r="A592" s="265">
        <v>44018</v>
      </c>
      <c r="B592">
        <v>1</v>
      </c>
      <c r="C592" s="816" t="s">
        <v>4</v>
      </c>
      <c r="D592">
        <v>534</v>
      </c>
      <c r="E592" s="816" t="s">
        <v>9542</v>
      </c>
      <c r="F592" s="816" t="s">
        <v>25</v>
      </c>
      <c r="G592" s="816" t="s">
        <v>9547</v>
      </c>
      <c r="H592">
        <v>2</v>
      </c>
      <c r="I592" s="816" t="s">
        <v>12</v>
      </c>
      <c r="J592" s="816" t="s">
        <v>12</v>
      </c>
      <c r="K592" s="817">
        <v>0.16543981481481482</v>
      </c>
      <c r="L592" s="817">
        <v>0.2321064814814815</v>
      </c>
      <c r="M592" s="817"/>
      <c r="N592" s="817"/>
      <c r="O592" s="817">
        <v>0.47528935185185189</v>
      </c>
      <c r="P592" s="817">
        <v>0.71847222222222218</v>
      </c>
      <c r="Q592" s="817"/>
      <c r="R592" s="816"/>
      <c r="S592" s="817"/>
      <c r="T592" s="817"/>
      <c r="U592" s="816" t="s">
        <v>9551</v>
      </c>
      <c r="V592" s="816" t="s">
        <v>9551</v>
      </c>
      <c r="W592" s="267"/>
      <c r="X592" s="816" t="s">
        <v>26</v>
      </c>
      <c r="Y592">
        <v>19.899999999999999</v>
      </c>
      <c r="Z592">
        <v>62.4</v>
      </c>
      <c r="AA592" s="816" t="s">
        <v>9577</v>
      </c>
      <c r="AB592" s="816" t="s">
        <v>9593</v>
      </c>
      <c r="AC592" s="816"/>
      <c r="AD592" s="816"/>
      <c r="AE592" s="816"/>
      <c r="AF592" s="816"/>
      <c r="AG592" s="816"/>
      <c r="AI592" s="816"/>
      <c r="AK592" s="816"/>
      <c r="AM592" s="816"/>
    </row>
    <row r="593" spans="1:39" x14ac:dyDescent="0.25">
      <c r="A593" s="265">
        <v>44019</v>
      </c>
      <c r="B593">
        <v>2</v>
      </c>
      <c r="C593" s="816" t="s">
        <v>5</v>
      </c>
      <c r="D593">
        <v>534</v>
      </c>
      <c r="E593" s="816" t="s">
        <v>9542</v>
      </c>
      <c r="F593" s="816" t="s">
        <v>25</v>
      </c>
      <c r="G593" s="816" t="s">
        <v>9547</v>
      </c>
      <c r="H593">
        <v>3</v>
      </c>
      <c r="I593" s="816" t="s">
        <v>23</v>
      </c>
      <c r="J593" s="816" t="s">
        <v>23</v>
      </c>
      <c r="K593" s="817">
        <v>0.16549768518518518</v>
      </c>
      <c r="L593" s="817">
        <v>0.23216435185185183</v>
      </c>
      <c r="M593" s="817"/>
      <c r="N593" s="817"/>
      <c r="O593" s="817">
        <v>0.47540509259259256</v>
      </c>
      <c r="P593" s="817">
        <v>0.71863425925925928</v>
      </c>
      <c r="Q593" s="817"/>
      <c r="R593" s="816"/>
      <c r="S593" s="817"/>
      <c r="T593" s="817"/>
      <c r="U593" s="816" t="s">
        <v>9551</v>
      </c>
      <c r="V593" s="816" t="s">
        <v>9551</v>
      </c>
      <c r="W593" s="267"/>
      <c r="X593" s="816" t="s">
        <v>26</v>
      </c>
      <c r="Y593">
        <v>20.8</v>
      </c>
      <c r="Z593">
        <v>60.3</v>
      </c>
      <c r="AA593" s="816" t="s">
        <v>9552</v>
      </c>
      <c r="AB593" s="816" t="s">
        <v>9594</v>
      </c>
      <c r="AC593" s="816"/>
      <c r="AD593" s="816"/>
      <c r="AE593" s="816"/>
      <c r="AF593" s="816"/>
      <c r="AG593" s="816"/>
      <c r="AI593" s="816"/>
      <c r="AK593" s="816"/>
      <c r="AM593" s="816"/>
    </row>
    <row r="594" spans="1:39" x14ac:dyDescent="0.25">
      <c r="A594" s="265">
        <v>44020</v>
      </c>
      <c r="B594">
        <v>3</v>
      </c>
      <c r="C594" s="816" t="s">
        <v>6</v>
      </c>
      <c r="D594">
        <v>534</v>
      </c>
      <c r="E594" s="816" t="s">
        <v>9542</v>
      </c>
      <c r="F594" s="816" t="s">
        <v>25</v>
      </c>
      <c r="G594" s="816" t="s">
        <v>9547</v>
      </c>
      <c r="H594">
        <v>4</v>
      </c>
      <c r="I594" s="816" t="s">
        <v>13</v>
      </c>
      <c r="J594" s="816" t="s">
        <v>13</v>
      </c>
      <c r="K594" s="817">
        <v>0.16555555555555554</v>
      </c>
      <c r="L594" s="817">
        <v>0.23222222222222222</v>
      </c>
      <c r="M594" s="817"/>
      <c r="N594" s="817"/>
      <c r="O594" s="817">
        <v>0.4755092592592593</v>
      </c>
      <c r="P594" s="817">
        <v>0.71878472222222223</v>
      </c>
      <c r="Q594" s="817"/>
      <c r="R594" s="816"/>
      <c r="S594" s="817"/>
      <c r="T594" s="817"/>
      <c r="U594" s="816" t="s">
        <v>9551</v>
      </c>
      <c r="V594" s="816" t="s">
        <v>9551</v>
      </c>
      <c r="W594" s="267"/>
      <c r="X594" s="816" t="s">
        <v>26</v>
      </c>
      <c r="Y594">
        <v>19.2</v>
      </c>
      <c r="Z594">
        <v>56.1</v>
      </c>
      <c r="AA594" s="816" t="s">
        <v>9553</v>
      </c>
      <c r="AB594" s="816" t="s">
        <v>9595</v>
      </c>
      <c r="AC594" s="816"/>
      <c r="AD594" s="816"/>
      <c r="AE594" s="816"/>
      <c r="AF594" s="816"/>
      <c r="AG594" s="816"/>
      <c r="AI594" s="816"/>
      <c r="AK594" s="816"/>
      <c r="AM594" s="816"/>
    </row>
    <row r="595" spans="1:39" x14ac:dyDescent="0.25">
      <c r="A595" s="265">
        <v>44021</v>
      </c>
      <c r="B595">
        <v>4</v>
      </c>
      <c r="C595" s="816" t="s">
        <v>7</v>
      </c>
      <c r="D595">
        <v>534</v>
      </c>
      <c r="E595" s="816" t="s">
        <v>9542</v>
      </c>
      <c r="F595" s="816" t="s">
        <v>25</v>
      </c>
      <c r="G595" s="816" t="s">
        <v>9547</v>
      </c>
      <c r="H595">
        <v>5</v>
      </c>
      <c r="I595" s="816" t="s">
        <v>14</v>
      </c>
      <c r="J595" s="816" t="s">
        <v>14</v>
      </c>
      <c r="K595" s="817">
        <v>0.16561342592592593</v>
      </c>
      <c r="L595" s="817">
        <v>0.23228009259259261</v>
      </c>
      <c r="M595" s="817"/>
      <c r="N595" s="817"/>
      <c r="O595" s="817">
        <v>0.47561342592592593</v>
      </c>
      <c r="P595" s="817">
        <v>0.71894675925925933</v>
      </c>
      <c r="Q595" s="817"/>
      <c r="R595" s="816"/>
      <c r="S595" s="817"/>
      <c r="T595" s="817"/>
      <c r="U595" s="816" t="s">
        <v>9551</v>
      </c>
      <c r="V595" s="816" t="s">
        <v>9551</v>
      </c>
      <c r="W595" s="267"/>
      <c r="X595" s="816" t="s">
        <v>26</v>
      </c>
      <c r="Y595">
        <v>15.3</v>
      </c>
      <c r="Z595">
        <v>49.7</v>
      </c>
      <c r="AA595" s="816" t="s">
        <v>9554</v>
      </c>
      <c r="AB595" s="816" t="s">
        <v>9596</v>
      </c>
      <c r="AC595" s="816"/>
      <c r="AD595" s="816"/>
      <c r="AE595" s="816"/>
      <c r="AF595" s="816"/>
      <c r="AG595" s="816"/>
      <c r="AI595" s="816"/>
      <c r="AK595" s="816"/>
      <c r="AM595" s="816"/>
    </row>
    <row r="596" spans="1:39" x14ac:dyDescent="0.25">
      <c r="A596" s="265">
        <v>44022</v>
      </c>
      <c r="B596">
        <v>5</v>
      </c>
      <c r="C596" s="816" t="s">
        <v>1</v>
      </c>
      <c r="D596">
        <v>534</v>
      </c>
      <c r="E596" s="816" t="s">
        <v>9542</v>
      </c>
      <c r="F596" s="816" t="s">
        <v>25</v>
      </c>
      <c r="G596" s="816" t="s">
        <v>9547</v>
      </c>
      <c r="H596">
        <v>6</v>
      </c>
      <c r="I596" s="816" t="s">
        <v>15</v>
      </c>
      <c r="J596" s="816" t="s">
        <v>15</v>
      </c>
      <c r="K596" s="817">
        <v>0.16564814814814813</v>
      </c>
      <c r="L596" s="817">
        <v>0.23231481481481484</v>
      </c>
      <c r="M596" s="817"/>
      <c r="N596" s="817"/>
      <c r="O596" s="817">
        <v>0.47570601851851851</v>
      </c>
      <c r="P596" s="817">
        <v>0.71909722222222217</v>
      </c>
      <c r="Q596" s="817"/>
      <c r="R596" s="816"/>
      <c r="S596" s="817"/>
      <c r="T596" s="817"/>
      <c r="U596" s="816" t="s">
        <v>9551</v>
      </c>
      <c r="V596" s="816" t="s">
        <v>9551</v>
      </c>
      <c r="W596" s="267"/>
      <c r="X596" s="816" t="s">
        <v>26</v>
      </c>
      <c r="Y596">
        <v>9.3000000000000007</v>
      </c>
      <c r="Z596">
        <v>41.5</v>
      </c>
      <c r="AA596" s="816" t="s">
        <v>9555</v>
      </c>
      <c r="AB596" s="816" t="s">
        <v>9597</v>
      </c>
      <c r="AC596" s="816"/>
      <c r="AD596" s="816"/>
      <c r="AE596" s="816"/>
      <c r="AF596" s="816"/>
      <c r="AG596" s="816"/>
      <c r="AI596" s="816"/>
      <c r="AK596" s="816"/>
      <c r="AM596" s="816"/>
    </row>
    <row r="597" spans="1:39" x14ac:dyDescent="0.25">
      <c r="A597" s="265">
        <v>44023</v>
      </c>
      <c r="B597">
        <v>6</v>
      </c>
      <c r="C597" s="816" t="s">
        <v>2</v>
      </c>
      <c r="D597">
        <v>534</v>
      </c>
      <c r="E597" s="816" t="s">
        <v>9542</v>
      </c>
      <c r="F597" s="816" t="s">
        <v>25</v>
      </c>
      <c r="G597" s="816" t="s">
        <v>9547</v>
      </c>
      <c r="H597">
        <v>7</v>
      </c>
      <c r="I597" s="816" t="s">
        <v>16</v>
      </c>
      <c r="J597" s="816" t="s">
        <v>15</v>
      </c>
      <c r="K597" s="817">
        <v>0.16568287037037036</v>
      </c>
      <c r="L597" s="817">
        <v>0.23234953703703706</v>
      </c>
      <c r="M597" s="817"/>
      <c r="N597" s="817"/>
      <c r="O597" s="817">
        <v>0.47579861111111116</v>
      </c>
      <c r="P597" s="817">
        <v>0.71924768518518523</v>
      </c>
      <c r="Q597" s="817"/>
      <c r="R597" s="816"/>
      <c r="S597" s="817"/>
      <c r="T597" s="817"/>
      <c r="U597" s="816" t="s">
        <v>9551</v>
      </c>
      <c r="V597" s="816" t="s">
        <v>9551</v>
      </c>
      <c r="W597" s="267"/>
      <c r="X597" s="816" t="s">
        <v>26</v>
      </c>
      <c r="Y597">
        <v>1.8</v>
      </c>
      <c r="Z597">
        <v>31.9</v>
      </c>
      <c r="AA597" s="816" t="s">
        <v>9556</v>
      </c>
      <c r="AB597" s="816" t="s">
        <v>9598</v>
      </c>
      <c r="AC597" s="816"/>
      <c r="AD597" s="816"/>
      <c r="AE597" s="816"/>
      <c r="AF597" s="816"/>
      <c r="AG597" s="816"/>
      <c r="AI597" s="816"/>
      <c r="AK597" s="816"/>
      <c r="AM597" s="816"/>
    </row>
    <row r="598" spans="1:39" x14ac:dyDescent="0.25">
      <c r="A598" s="265">
        <v>44024</v>
      </c>
      <c r="B598">
        <v>0</v>
      </c>
      <c r="C598" s="816" t="s">
        <v>3</v>
      </c>
      <c r="D598">
        <v>534</v>
      </c>
      <c r="E598" s="816" t="s">
        <v>9542</v>
      </c>
      <c r="F598" s="816" t="s">
        <v>25</v>
      </c>
      <c r="G598" s="816" t="s">
        <v>9547</v>
      </c>
      <c r="H598">
        <v>7</v>
      </c>
      <c r="I598" s="816" t="s">
        <v>16</v>
      </c>
      <c r="J598" s="816" t="s">
        <v>16</v>
      </c>
      <c r="K598" s="817">
        <v>0.16570601851851852</v>
      </c>
      <c r="L598" s="817">
        <v>0.2323726851851852</v>
      </c>
      <c r="M598" s="817"/>
      <c r="N598" s="817"/>
      <c r="O598" s="817">
        <v>0.47587962962962965</v>
      </c>
      <c r="P598" s="817">
        <v>0.71939814814814806</v>
      </c>
      <c r="Q598" s="817"/>
      <c r="R598" s="816"/>
      <c r="S598" s="817"/>
      <c r="T598" s="817"/>
      <c r="U598" s="816" t="s">
        <v>9551</v>
      </c>
      <c r="V598" s="816" t="s">
        <v>9551</v>
      </c>
      <c r="W598" s="267"/>
      <c r="X598" s="816" t="s">
        <v>27</v>
      </c>
      <c r="Y598">
        <v>93.3</v>
      </c>
      <c r="Z598">
        <v>21.4</v>
      </c>
      <c r="AA598" s="816" t="s">
        <v>9557</v>
      </c>
      <c r="AB598" s="816" t="s">
        <v>9599</v>
      </c>
      <c r="AC598" s="816"/>
      <c r="AD598" s="816"/>
      <c r="AE598" s="816"/>
      <c r="AF598" s="816"/>
      <c r="AG598" s="816"/>
      <c r="AI598" s="816"/>
      <c r="AK598" s="816"/>
      <c r="AM598" s="816"/>
    </row>
    <row r="599" spans="1:39" x14ac:dyDescent="0.25">
      <c r="A599" s="265">
        <v>44025</v>
      </c>
      <c r="B599">
        <v>1</v>
      </c>
      <c r="C599" s="816" t="s">
        <v>4</v>
      </c>
      <c r="D599">
        <v>534</v>
      </c>
      <c r="E599" s="816" t="s">
        <v>9542</v>
      </c>
      <c r="F599" s="816" t="s">
        <v>25</v>
      </c>
      <c r="G599" s="816" t="s">
        <v>9547</v>
      </c>
      <c r="H599">
        <v>8</v>
      </c>
      <c r="I599" s="816" t="s">
        <v>17</v>
      </c>
      <c r="J599" s="816" t="s">
        <v>17</v>
      </c>
      <c r="K599" s="817">
        <v>0.16572916666666668</v>
      </c>
      <c r="L599" s="817">
        <v>0.23239583333333333</v>
      </c>
      <c r="M599" s="817"/>
      <c r="N599" s="817"/>
      <c r="O599" s="817">
        <v>0.47596064814814815</v>
      </c>
      <c r="P599" s="817">
        <v>0.71953703703703698</v>
      </c>
      <c r="Q599" s="817"/>
      <c r="R599" s="816"/>
      <c r="S599" s="817"/>
      <c r="T599" s="817"/>
      <c r="U599" s="816" t="s">
        <v>9551</v>
      </c>
      <c r="V599" s="816" t="s">
        <v>9551</v>
      </c>
      <c r="W599" s="267"/>
      <c r="X599" s="816" t="s">
        <v>26</v>
      </c>
      <c r="Y599">
        <v>84.4</v>
      </c>
      <c r="Z599">
        <v>10.5</v>
      </c>
      <c r="AA599" s="816" t="s">
        <v>9558</v>
      </c>
      <c r="AB599" s="816" t="s">
        <v>9600</v>
      </c>
      <c r="AC599" s="816"/>
      <c r="AD599" s="816"/>
      <c r="AE599" s="816"/>
      <c r="AF599" s="816"/>
      <c r="AG599" s="816"/>
      <c r="AI599" s="816"/>
      <c r="AK599" s="816"/>
      <c r="AM599" s="816"/>
    </row>
    <row r="600" spans="1:39" x14ac:dyDescent="0.25">
      <c r="A600" s="265">
        <v>44026</v>
      </c>
      <c r="B600">
        <v>2</v>
      </c>
      <c r="C600" s="816" t="s">
        <v>5</v>
      </c>
      <c r="D600">
        <v>534</v>
      </c>
      <c r="E600" s="816" t="s">
        <v>9542</v>
      </c>
      <c r="F600" s="816" t="s">
        <v>25</v>
      </c>
      <c r="G600" s="816" t="s">
        <v>9547</v>
      </c>
      <c r="H600">
        <v>9</v>
      </c>
      <c r="I600" s="816" t="s">
        <v>18</v>
      </c>
      <c r="J600" s="816" t="s">
        <v>18</v>
      </c>
      <c r="K600" s="817">
        <v>0.16574074074074074</v>
      </c>
      <c r="L600" s="817">
        <v>0.2324074074074074</v>
      </c>
      <c r="M600" s="817"/>
      <c r="N600" s="817"/>
      <c r="O600" s="817">
        <v>0.4760416666666667</v>
      </c>
      <c r="P600" s="817">
        <v>0.71967592592592589</v>
      </c>
      <c r="Q600" s="817"/>
      <c r="R600" s="816"/>
      <c r="S600" s="817"/>
      <c r="T600" s="817"/>
      <c r="U600" s="816" t="s">
        <v>9551</v>
      </c>
      <c r="V600" s="816" t="s">
        <v>9551</v>
      </c>
      <c r="W600" s="267"/>
      <c r="X600" s="816" t="s">
        <v>26</v>
      </c>
      <c r="Y600">
        <v>75.599999999999994</v>
      </c>
      <c r="Z600">
        <v>99.8</v>
      </c>
      <c r="AA600" s="816" t="s">
        <v>9558</v>
      </c>
      <c r="AB600" s="816" t="s">
        <v>9601</v>
      </c>
      <c r="AC600" s="816"/>
      <c r="AD600" s="816"/>
      <c r="AE600" s="816"/>
      <c r="AF600" s="816"/>
      <c r="AG600" s="816"/>
      <c r="AI600" s="816"/>
      <c r="AK600" s="816"/>
      <c r="AM600" s="816"/>
    </row>
    <row r="601" spans="1:39" x14ac:dyDescent="0.25">
      <c r="A601" s="265">
        <v>44027</v>
      </c>
      <c r="B601">
        <v>3</v>
      </c>
      <c r="C601" s="816" t="s">
        <v>6</v>
      </c>
      <c r="D601">
        <v>534</v>
      </c>
      <c r="E601" s="816" t="s">
        <v>9542</v>
      </c>
      <c r="F601" s="816" t="s">
        <v>25</v>
      </c>
      <c r="G601" s="816" t="s">
        <v>9547</v>
      </c>
      <c r="H601">
        <v>10</v>
      </c>
      <c r="I601" s="816" t="s">
        <v>19</v>
      </c>
      <c r="J601" s="816" t="s">
        <v>19</v>
      </c>
      <c r="K601" s="817">
        <v>0.16574074074074074</v>
      </c>
      <c r="L601" s="817">
        <v>0.2324074074074074</v>
      </c>
      <c r="M601" s="817"/>
      <c r="N601" s="817"/>
      <c r="O601" s="817">
        <v>0.4761111111111111</v>
      </c>
      <c r="P601" s="817">
        <v>0.7198148148148148</v>
      </c>
      <c r="Q601" s="817"/>
      <c r="R601" s="816"/>
      <c r="S601" s="817"/>
      <c r="T601" s="817"/>
      <c r="U601" s="816" t="s">
        <v>9551</v>
      </c>
      <c r="V601" s="816" t="s">
        <v>9551</v>
      </c>
      <c r="W601" s="267"/>
      <c r="X601" s="816" t="s">
        <v>26</v>
      </c>
      <c r="Y601">
        <v>67.8</v>
      </c>
      <c r="Z601">
        <v>89.9</v>
      </c>
      <c r="AA601" s="816" t="s">
        <v>9578</v>
      </c>
      <c r="AB601" s="816" t="s">
        <v>9602</v>
      </c>
      <c r="AC601" s="816"/>
      <c r="AD601" s="816"/>
      <c r="AE601" s="816"/>
      <c r="AF601" s="816"/>
      <c r="AG601" s="816"/>
      <c r="AI601" s="816"/>
      <c r="AK601" s="816"/>
      <c r="AM601" s="816"/>
    </row>
    <row r="602" spans="1:39" x14ac:dyDescent="0.25">
      <c r="A602" s="265">
        <v>44028</v>
      </c>
      <c r="B602">
        <v>4</v>
      </c>
      <c r="C602" s="816" t="s">
        <v>7</v>
      </c>
      <c r="D602">
        <v>534</v>
      </c>
      <c r="E602" s="816" t="s">
        <v>9542</v>
      </c>
      <c r="F602" s="816" t="s">
        <v>25</v>
      </c>
      <c r="G602" s="816" t="s">
        <v>9547</v>
      </c>
      <c r="H602">
        <v>11</v>
      </c>
      <c r="I602" s="816" t="s">
        <v>9548</v>
      </c>
      <c r="J602" s="816" t="s">
        <v>20</v>
      </c>
      <c r="K602" s="817">
        <v>0.16572916666666668</v>
      </c>
      <c r="L602" s="817">
        <v>0.23239583333333333</v>
      </c>
      <c r="M602" s="817"/>
      <c r="N602" s="817"/>
      <c r="O602" s="817">
        <v>0.47616898148148151</v>
      </c>
      <c r="P602" s="817">
        <v>0.71995370370370371</v>
      </c>
      <c r="Q602" s="817">
        <v>8.7962962962962965E-2</v>
      </c>
      <c r="R602" s="816" t="s">
        <v>80</v>
      </c>
      <c r="S602" s="817"/>
      <c r="T602" s="817"/>
      <c r="U602" s="816" t="s">
        <v>9551</v>
      </c>
      <c r="V602" s="816" t="s">
        <v>9551</v>
      </c>
      <c r="W602" s="267"/>
      <c r="X602" s="816" t="s">
        <v>26</v>
      </c>
      <c r="Y602">
        <v>61.5</v>
      </c>
      <c r="Z602">
        <v>81.400000000000006</v>
      </c>
      <c r="AA602" s="816" t="s">
        <v>9559</v>
      </c>
      <c r="AB602" s="816" t="s">
        <v>9603</v>
      </c>
      <c r="AC602" s="816"/>
      <c r="AD602" s="816"/>
      <c r="AE602" s="816"/>
      <c r="AF602" s="816" t="s">
        <v>72</v>
      </c>
      <c r="AG602" s="816" t="s">
        <v>56</v>
      </c>
      <c r="AH602">
        <v>-1</v>
      </c>
      <c r="AI602" s="816"/>
      <c r="AK602" s="816"/>
      <c r="AM602" s="816"/>
    </row>
    <row r="603" spans="1:39" x14ac:dyDescent="0.25">
      <c r="A603" s="265">
        <v>44029</v>
      </c>
      <c r="B603">
        <v>5</v>
      </c>
      <c r="C603" s="816" t="s">
        <v>1</v>
      </c>
      <c r="D603">
        <v>534</v>
      </c>
      <c r="E603" s="816" t="s">
        <v>9542</v>
      </c>
      <c r="F603" s="816" t="s">
        <v>25</v>
      </c>
      <c r="G603" s="816" t="s">
        <v>9547</v>
      </c>
      <c r="H603">
        <v>12</v>
      </c>
      <c r="I603" s="816" t="s">
        <v>21</v>
      </c>
      <c r="J603" s="816" t="s">
        <v>21</v>
      </c>
      <c r="K603" s="817">
        <v>0.16571759259259258</v>
      </c>
      <c r="L603" s="817">
        <v>0.23238425925925923</v>
      </c>
      <c r="M603" s="817">
        <v>0.23194444444444443</v>
      </c>
      <c r="N603" s="817">
        <v>0.39444444444444443</v>
      </c>
      <c r="O603" s="817">
        <v>0.47622685185185182</v>
      </c>
      <c r="P603" s="817">
        <v>0.72008101851851858</v>
      </c>
      <c r="Q603" s="817"/>
      <c r="R603" s="816"/>
      <c r="S603" s="817"/>
      <c r="T603" s="817"/>
      <c r="U603" s="816" t="s">
        <v>9551</v>
      </c>
      <c r="V603" s="816" t="s">
        <v>9551</v>
      </c>
      <c r="W603" s="267"/>
      <c r="X603" s="816" t="s">
        <v>26</v>
      </c>
      <c r="Y603">
        <v>57.3</v>
      </c>
      <c r="Z603">
        <v>74.7</v>
      </c>
      <c r="AA603" s="816" t="s">
        <v>9560</v>
      </c>
      <c r="AB603" s="816" t="s">
        <v>9579</v>
      </c>
      <c r="AC603" s="816"/>
      <c r="AD603" s="816"/>
      <c r="AE603" s="816"/>
      <c r="AF603" s="816"/>
      <c r="AG603" s="816"/>
      <c r="AI603" s="816"/>
      <c r="AK603" s="816"/>
      <c r="AM603" s="816"/>
    </row>
    <row r="604" spans="1:39" x14ac:dyDescent="0.25">
      <c r="A604" s="265">
        <v>44030</v>
      </c>
      <c r="B604">
        <v>6</v>
      </c>
      <c r="C604" s="816" t="s">
        <v>2</v>
      </c>
      <c r="D604">
        <v>534</v>
      </c>
      <c r="E604" s="816" t="s">
        <v>9542</v>
      </c>
      <c r="F604" s="816" t="s">
        <v>25</v>
      </c>
      <c r="G604" s="816" t="s">
        <v>9547</v>
      </c>
      <c r="H604">
        <v>13</v>
      </c>
      <c r="I604" s="816" t="s">
        <v>8</v>
      </c>
      <c r="J604" s="816" t="s">
        <v>8</v>
      </c>
      <c r="K604" s="817">
        <v>0.16569444444444445</v>
      </c>
      <c r="L604" s="817">
        <v>0.2323611111111111</v>
      </c>
      <c r="M604" s="817"/>
      <c r="N604" s="817"/>
      <c r="O604" s="817">
        <v>0.47628472222222223</v>
      </c>
      <c r="P604" s="817">
        <v>0.72020833333333334</v>
      </c>
      <c r="Q604" s="817"/>
      <c r="R604" s="816"/>
      <c r="S604" s="817"/>
      <c r="T604" s="817"/>
      <c r="U604" s="816" t="s">
        <v>9551</v>
      </c>
      <c r="V604" s="816" t="s">
        <v>9551</v>
      </c>
      <c r="W604" s="267"/>
      <c r="X604" s="816" t="s">
        <v>26</v>
      </c>
      <c r="Y604">
        <v>55.5</v>
      </c>
      <c r="Z604">
        <v>70.3</v>
      </c>
      <c r="AA604" s="816" t="s">
        <v>9561</v>
      </c>
      <c r="AB604" s="816" t="s">
        <v>9580</v>
      </c>
      <c r="AC604" s="816"/>
      <c r="AD604" s="816"/>
      <c r="AE604" s="816"/>
      <c r="AF604" s="816"/>
      <c r="AG604" s="816"/>
      <c r="AI604" s="816"/>
      <c r="AK604" s="816"/>
      <c r="AM604" s="816"/>
    </row>
    <row r="605" spans="1:39" x14ac:dyDescent="0.25">
      <c r="A605" s="265">
        <v>44031</v>
      </c>
      <c r="B605">
        <v>0</v>
      </c>
      <c r="C605" s="816" t="s">
        <v>3</v>
      </c>
      <c r="D605">
        <v>534</v>
      </c>
      <c r="E605" s="816" t="s">
        <v>9542</v>
      </c>
      <c r="F605" s="816" t="s">
        <v>25</v>
      </c>
      <c r="G605" s="816" t="s">
        <v>9547</v>
      </c>
      <c r="H605">
        <v>14</v>
      </c>
      <c r="I605" s="816" t="s">
        <v>9</v>
      </c>
      <c r="J605" s="816" t="s">
        <v>9</v>
      </c>
      <c r="K605" s="817">
        <v>0.16565972222222222</v>
      </c>
      <c r="L605" s="817">
        <v>0.2323263888888889</v>
      </c>
      <c r="M605" s="817"/>
      <c r="N605" s="817"/>
      <c r="O605" s="817">
        <v>0.4763310185185185</v>
      </c>
      <c r="P605" s="817">
        <v>0.7203356481481481</v>
      </c>
      <c r="Q605" s="817"/>
      <c r="R605" s="816"/>
      <c r="S605" s="817"/>
      <c r="T605" s="817"/>
      <c r="U605" s="816" t="s">
        <v>9551</v>
      </c>
      <c r="V605" s="816" t="s">
        <v>9551</v>
      </c>
      <c r="W605" s="267"/>
      <c r="X605" s="816" t="s">
        <v>26</v>
      </c>
      <c r="Y605">
        <v>56.5</v>
      </c>
      <c r="Z605">
        <v>68.400000000000006</v>
      </c>
      <c r="AA605" s="816" t="s">
        <v>9562</v>
      </c>
      <c r="AB605" s="816" t="s">
        <v>9581</v>
      </c>
      <c r="AC605" s="816"/>
      <c r="AD605" s="816"/>
      <c r="AE605" s="816"/>
      <c r="AF605" s="816"/>
      <c r="AG605" s="816"/>
      <c r="AI605" s="816"/>
      <c r="AK605" s="816"/>
      <c r="AM605" s="816"/>
    </row>
    <row r="606" spans="1:39" x14ac:dyDescent="0.25">
      <c r="A606" s="265">
        <v>44032</v>
      </c>
      <c r="B606">
        <v>1</v>
      </c>
      <c r="C606" s="816" t="s">
        <v>4</v>
      </c>
      <c r="D606">
        <v>534</v>
      </c>
      <c r="E606" s="816" t="s">
        <v>9542</v>
      </c>
      <c r="F606" s="816" t="s">
        <v>25</v>
      </c>
      <c r="G606" s="816" t="s">
        <v>9547</v>
      </c>
      <c r="H606">
        <v>15</v>
      </c>
      <c r="I606" s="816" t="s">
        <v>22</v>
      </c>
      <c r="J606" s="816" t="s">
        <v>22</v>
      </c>
      <c r="K606" s="817">
        <v>0.16561342592592593</v>
      </c>
      <c r="L606" s="817">
        <v>0.23228009259259261</v>
      </c>
      <c r="M606" s="817"/>
      <c r="N606" s="817"/>
      <c r="O606" s="817">
        <v>0.47636574074074073</v>
      </c>
      <c r="P606" s="817">
        <v>0.72045138888888882</v>
      </c>
      <c r="Q606" s="817"/>
      <c r="R606" s="816"/>
      <c r="S606" s="817"/>
      <c r="T606" s="817"/>
      <c r="U606" s="816" t="s">
        <v>9551</v>
      </c>
      <c r="V606" s="816" t="s">
        <v>9551</v>
      </c>
      <c r="W606" s="267"/>
      <c r="X606" s="816" t="s">
        <v>26</v>
      </c>
      <c r="Y606">
        <v>60.3</v>
      </c>
      <c r="Z606">
        <v>69</v>
      </c>
      <c r="AA606" s="816" t="s">
        <v>9563</v>
      </c>
      <c r="AB606" s="816" t="s">
        <v>9582</v>
      </c>
      <c r="AC606" s="816"/>
      <c r="AD606" s="816"/>
      <c r="AE606" s="816"/>
      <c r="AF606" s="816"/>
      <c r="AG606" s="816"/>
      <c r="AI606" s="816"/>
      <c r="AK606" s="816"/>
      <c r="AM606" s="816"/>
    </row>
    <row r="607" spans="1:39" x14ac:dyDescent="0.25">
      <c r="A607" s="265">
        <v>44033</v>
      </c>
      <c r="B607">
        <v>2</v>
      </c>
      <c r="C607" s="816" t="s">
        <v>5</v>
      </c>
      <c r="D607">
        <v>534</v>
      </c>
      <c r="E607" s="816" t="s">
        <v>9542</v>
      </c>
      <c r="F607" s="816" t="s">
        <v>24</v>
      </c>
      <c r="G607" s="816" t="s">
        <v>9546</v>
      </c>
      <c r="H607">
        <v>16</v>
      </c>
      <c r="I607" s="816" t="s">
        <v>11</v>
      </c>
      <c r="J607" s="816" t="s">
        <v>11</v>
      </c>
      <c r="K607" s="817">
        <v>0.16556712962962963</v>
      </c>
      <c r="L607" s="817">
        <v>0.23223379629629629</v>
      </c>
      <c r="M607" s="817"/>
      <c r="N607" s="817"/>
      <c r="O607" s="817">
        <v>0.47640046296296296</v>
      </c>
      <c r="P607" s="817">
        <v>0.72056712962962965</v>
      </c>
      <c r="Q607" s="817"/>
      <c r="R607" s="816"/>
      <c r="S607" s="817"/>
      <c r="T607" s="817"/>
      <c r="U607" s="816" t="s">
        <v>9551</v>
      </c>
      <c r="V607" s="816" t="s">
        <v>9551</v>
      </c>
      <c r="W607" s="267"/>
      <c r="X607" s="816" t="s">
        <v>26</v>
      </c>
      <c r="Y607">
        <v>66.8</v>
      </c>
      <c r="Z607">
        <v>71.900000000000006</v>
      </c>
      <c r="AA607" s="816" t="s">
        <v>9564</v>
      </c>
      <c r="AB607" s="816" t="s">
        <v>9583</v>
      </c>
      <c r="AC607" s="816"/>
      <c r="AD607" s="816"/>
      <c r="AE607" s="816"/>
      <c r="AF607" s="816"/>
      <c r="AG607" s="816"/>
      <c r="AI607" s="816"/>
      <c r="AK607" s="816"/>
      <c r="AM607" s="816"/>
    </row>
    <row r="608" spans="1:39" x14ac:dyDescent="0.25">
      <c r="A608" s="265">
        <v>44034</v>
      </c>
      <c r="B608">
        <v>3</v>
      </c>
      <c r="C608" s="816" t="s">
        <v>6</v>
      </c>
      <c r="D608">
        <v>534</v>
      </c>
      <c r="E608" s="816" t="s">
        <v>9542</v>
      </c>
      <c r="F608" s="816" t="s">
        <v>24</v>
      </c>
      <c r="G608" s="816" t="s">
        <v>9546</v>
      </c>
      <c r="H608">
        <v>17</v>
      </c>
      <c r="I608" s="816" t="s">
        <v>12</v>
      </c>
      <c r="J608" s="816" t="s">
        <v>12</v>
      </c>
      <c r="K608" s="817">
        <v>0.16550925925925927</v>
      </c>
      <c r="L608" s="817">
        <v>0.23217592592592592</v>
      </c>
      <c r="M608" s="817"/>
      <c r="N608" s="817"/>
      <c r="O608" s="817">
        <v>0.47642361111111109</v>
      </c>
      <c r="P608" s="817">
        <v>0.72067129629629623</v>
      </c>
      <c r="Q608" s="817"/>
      <c r="R608" s="816"/>
      <c r="S608" s="817"/>
      <c r="T608" s="817"/>
      <c r="U608" s="816" t="s">
        <v>9551</v>
      </c>
      <c r="V608" s="816" t="s">
        <v>9551</v>
      </c>
      <c r="W608" s="267"/>
      <c r="X608" s="816" t="s">
        <v>26</v>
      </c>
      <c r="Y608">
        <v>75.599999999999994</v>
      </c>
      <c r="Z608">
        <v>77</v>
      </c>
      <c r="AA608" s="816" t="s">
        <v>9565</v>
      </c>
      <c r="AB608" s="816" t="s">
        <v>9584</v>
      </c>
      <c r="AC608" s="816"/>
      <c r="AD608" s="816"/>
      <c r="AE608" s="816"/>
      <c r="AF608" s="816"/>
      <c r="AG608" s="816"/>
      <c r="AI608" s="816"/>
      <c r="AK608" s="816"/>
      <c r="AM608" s="816"/>
    </row>
    <row r="609" spans="1:39" x14ac:dyDescent="0.25">
      <c r="A609" s="265">
        <v>44035</v>
      </c>
      <c r="B609">
        <v>4</v>
      </c>
      <c r="C609" s="816" t="s">
        <v>7</v>
      </c>
      <c r="D609">
        <v>534</v>
      </c>
      <c r="E609" s="816" t="s">
        <v>9542</v>
      </c>
      <c r="F609" s="816" t="s">
        <v>24</v>
      </c>
      <c r="G609" s="816" t="s">
        <v>9546</v>
      </c>
      <c r="H609">
        <v>18</v>
      </c>
      <c r="I609" s="816" t="s">
        <v>23</v>
      </c>
      <c r="J609" s="816" t="s">
        <v>23</v>
      </c>
      <c r="K609" s="817">
        <v>0.16543981481481482</v>
      </c>
      <c r="L609" s="817">
        <v>0.2321064814814815</v>
      </c>
      <c r="M609" s="817"/>
      <c r="N609" s="817"/>
      <c r="O609" s="817">
        <v>0.47644675925925922</v>
      </c>
      <c r="P609" s="817">
        <v>0.72077546296296291</v>
      </c>
      <c r="Q609" s="817"/>
      <c r="R609" s="816"/>
      <c r="S609" s="817"/>
      <c r="T609" s="817"/>
      <c r="U609" s="816" t="s">
        <v>9551</v>
      </c>
      <c r="V609" s="816" t="s">
        <v>9551</v>
      </c>
      <c r="W609" s="267"/>
      <c r="X609" s="816" t="s">
        <v>26</v>
      </c>
      <c r="Y609">
        <v>86</v>
      </c>
      <c r="Z609">
        <v>83.6</v>
      </c>
      <c r="AA609" s="816" t="s">
        <v>9566</v>
      </c>
      <c r="AB609" s="816" t="s">
        <v>9586</v>
      </c>
      <c r="AC609" s="816"/>
      <c r="AD609" s="816"/>
      <c r="AE609" s="816"/>
      <c r="AF609" s="816"/>
      <c r="AG609" s="816"/>
      <c r="AI609" s="816"/>
      <c r="AK609" s="816"/>
      <c r="AM609" s="816"/>
    </row>
    <row r="610" spans="1:39" x14ac:dyDescent="0.25">
      <c r="A610" s="265">
        <v>44036</v>
      </c>
      <c r="B610">
        <v>5</v>
      </c>
      <c r="C610" s="816" t="s">
        <v>1</v>
      </c>
      <c r="D610">
        <v>534</v>
      </c>
      <c r="E610" s="816" t="s">
        <v>9542</v>
      </c>
      <c r="F610" s="816" t="s">
        <v>24</v>
      </c>
      <c r="G610" s="816" t="s">
        <v>9546</v>
      </c>
      <c r="H610">
        <v>19</v>
      </c>
      <c r="I610" s="816" t="s">
        <v>13</v>
      </c>
      <c r="J610" s="816" t="s">
        <v>13</v>
      </c>
      <c r="K610" s="817">
        <v>0.1653587962962963</v>
      </c>
      <c r="L610" s="817">
        <v>0.23202546296296298</v>
      </c>
      <c r="M610" s="817"/>
      <c r="N610" s="817"/>
      <c r="O610" s="817">
        <v>0.47645833333333337</v>
      </c>
      <c r="P610" s="817">
        <v>0.7208796296296297</v>
      </c>
      <c r="Q610" s="817"/>
      <c r="R610" s="816"/>
      <c r="S610" s="817"/>
      <c r="T610" s="817"/>
      <c r="U610" s="816" t="s">
        <v>9551</v>
      </c>
      <c r="V610" s="816" t="s">
        <v>9551</v>
      </c>
      <c r="W610" s="267"/>
      <c r="X610" s="816" t="s">
        <v>26</v>
      </c>
      <c r="Y610">
        <v>97.5</v>
      </c>
      <c r="Z610">
        <v>91</v>
      </c>
      <c r="AA610" s="816" t="s">
        <v>9567</v>
      </c>
      <c r="AB610" s="816" t="s">
        <v>9604</v>
      </c>
      <c r="AC610" s="816"/>
      <c r="AD610" s="816"/>
      <c r="AE610" s="816"/>
      <c r="AF610" s="816"/>
      <c r="AG610" s="816"/>
      <c r="AI610" s="816"/>
      <c r="AK610" s="816"/>
      <c r="AM610" s="816"/>
    </row>
    <row r="611" spans="1:39" x14ac:dyDescent="0.25">
      <c r="A611" s="265">
        <v>44037</v>
      </c>
      <c r="B611">
        <v>6</v>
      </c>
      <c r="C611" s="816" t="s">
        <v>2</v>
      </c>
      <c r="D611">
        <v>534</v>
      </c>
      <c r="E611" s="816" t="s">
        <v>9542</v>
      </c>
      <c r="F611" s="816" t="s">
        <v>24</v>
      </c>
      <c r="G611" s="816" t="s">
        <v>9546</v>
      </c>
      <c r="H611">
        <v>21</v>
      </c>
      <c r="I611" s="816" t="s">
        <v>15</v>
      </c>
      <c r="J611" s="816" t="s">
        <v>15</v>
      </c>
      <c r="K611" s="817">
        <v>0.16527777777777777</v>
      </c>
      <c r="L611" s="817">
        <v>0.23194444444444443</v>
      </c>
      <c r="M611" s="817"/>
      <c r="N611" s="817"/>
      <c r="O611" s="817">
        <v>0.47645833333333337</v>
      </c>
      <c r="P611" s="817">
        <v>0.72097222222222224</v>
      </c>
      <c r="Q611" s="817"/>
      <c r="R611" s="816"/>
      <c r="S611" s="817">
        <v>0.25416666666666665</v>
      </c>
      <c r="T611" s="817">
        <v>0.14861111111111111</v>
      </c>
      <c r="U611" s="816" t="s">
        <v>9551</v>
      </c>
      <c r="V611" s="816" t="s">
        <v>9551</v>
      </c>
      <c r="W611" s="267"/>
      <c r="X611" s="816" t="s">
        <v>26</v>
      </c>
      <c r="Y611">
        <v>9.3000000000000007</v>
      </c>
      <c r="Z611">
        <v>98.8</v>
      </c>
      <c r="AA611" s="816" t="s">
        <v>9568</v>
      </c>
      <c r="AB611" s="816" t="s">
        <v>9587</v>
      </c>
      <c r="AC611" s="816"/>
      <c r="AD611" s="816"/>
      <c r="AE611" s="816"/>
      <c r="AF611" s="816"/>
      <c r="AG611" s="816"/>
      <c r="AI611" s="816"/>
      <c r="AK611" s="816"/>
      <c r="AM611" s="816"/>
    </row>
    <row r="612" spans="1:39" x14ac:dyDescent="0.25">
      <c r="A612" s="265">
        <v>44038</v>
      </c>
      <c r="B612">
        <v>0</v>
      </c>
      <c r="C612" s="816" t="s">
        <v>3</v>
      </c>
      <c r="D612">
        <v>534</v>
      </c>
      <c r="E612" s="816" t="s">
        <v>9542</v>
      </c>
      <c r="F612" s="816" t="s">
        <v>24</v>
      </c>
      <c r="G612" s="816" t="s">
        <v>9546</v>
      </c>
      <c r="H612">
        <v>22</v>
      </c>
      <c r="I612" s="816" t="s">
        <v>16</v>
      </c>
      <c r="J612" s="816" t="s">
        <v>16</v>
      </c>
      <c r="K612" s="817">
        <v>0.16517361111111112</v>
      </c>
      <c r="L612" s="817">
        <v>0.2318402777777778</v>
      </c>
      <c r="M612" s="817"/>
      <c r="N612" s="817"/>
      <c r="O612" s="817">
        <v>0.47645833333333337</v>
      </c>
      <c r="P612" s="817">
        <v>0.72106481481481488</v>
      </c>
      <c r="Q612" s="817"/>
      <c r="R612" s="816"/>
      <c r="S612" s="817"/>
      <c r="T612" s="817"/>
      <c r="U612" s="816" t="s">
        <v>9551</v>
      </c>
      <c r="V612" s="816" t="s">
        <v>9551</v>
      </c>
      <c r="W612" s="267"/>
      <c r="X612" s="816" t="s">
        <v>26</v>
      </c>
      <c r="Y612">
        <v>20.8</v>
      </c>
      <c r="Z612">
        <v>6.4</v>
      </c>
      <c r="AA612" s="816" t="s">
        <v>9570</v>
      </c>
      <c r="AB612" s="816" t="s">
        <v>9588</v>
      </c>
      <c r="AC612" s="816"/>
      <c r="AD612" s="816"/>
      <c r="AE612" s="816"/>
      <c r="AF612" s="816"/>
      <c r="AG612" s="816"/>
      <c r="AI612" s="816"/>
      <c r="AK612" s="816"/>
      <c r="AM612" s="816"/>
    </row>
    <row r="613" spans="1:39" x14ac:dyDescent="0.25">
      <c r="A613" s="265">
        <v>44039</v>
      </c>
      <c r="B613">
        <v>1</v>
      </c>
      <c r="C613" s="816" t="s">
        <v>4</v>
      </c>
      <c r="D613">
        <v>534</v>
      </c>
      <c r="E613" s="816" t="s">
        <v>9542</v>
      </c>
      <c r="F613" s="816" t="s">
        <v>24</v>
      </c>
      <c r="G613" s="816" t="s">
        <v>9546</v>
      </c>
      <c r="H613">
        <v>23</v>
      </c>
      <c r="I613" s="816" t="s">
        <v>17</v>
      </c>
      <c r="J613" s="816" t="s">
        <v>17</v>
      </c>
      <c r="K613" s="817">
        <v>0.16506944444444446</v>
      </c>
      <c r="L613" s="817">
        <v>0.23173611111111111</v>
      </c>
      <c r="M613" s="817"/>
      <c r="N613" s="817"/>
      <c r="O613" s="817">
        <v>0.47644675925925922</v>
      </c>
      <c r="P613" s="817">
        <v>0.7211574074074073</v>
      </c>
      <c r="Q613" s="817"/>
      <c r="R613" s="816"/>
      <c r="S613" s="817"/>
      <c r="T613" s="817"/>
      <c r="U613" s="816" t="s">
        <v>9551</v>
      </c>
      <c r="V613" s="816" t="s">
        <v>9551</v>
      </c>
      <c r="W613" s="267"/>
      <c r="X613" s="816" t="s">
        <v>26</v>
      </c>
      <c r="Y613">
        <v>31.6</v>
      </c>
      <c r="Z613">
        <v>13.2</v>
      </c>
      <c r="AA613" s="816" t="s">
        <v>9571</v>
      </c>
      <c r="AB613" s="816" t="s">
        <v>9589</v>
      </c>
      <c r="AC613" s="816"/>
      <c r="AD613" s="816"/>
      <c r="AE613" s="816"/>
      <c r="AF613" s="816"/>
      <c r="AG613" s="816"/>
      <c r="AI613" s="816"/>
      <c r="AK613" s="816"/>
      <c r="AM613" s="816"/>
    </row>
    <row r="614" spans="1:39" x14ac:dyDescent="0.25">
      <c r="A614" s="265">
        <v>44040</v>
      </c>
      <c r="B614">
        <v>2</v>
      </c>
      <c r="C614" s="816" t="s">
        <v>5</v>
      </c>
      <c r="D614">
        <v>534</v>
      </c>
      <c r="E614" s="816" t="s">
        <v>9542</v>
      </c>
      <c r="F614" s="816" t="s">
        <v>24</v>
      </c>
      <c r="G614" s="816" t="s">
        <v>9546</v>
      </c>
      <c r="H614">
        <v>24</v>
      </c>
      <c r="I614" s="816" t="s">
        <v>18</v>
      </c>
      <c r="J614" s="816" t="s">
        <v>18</v>
      </c>
      <c r="K614" s="817">
        <v>0.16495370370370369</v>
      </c>
      <c r="L614" s="817">
        <v>0.23162037037037039</v>
      </c>
      <c r="M614" s="817"/>
      <c r="N614" s="817"/>
      <c r="O614" s="817">
        <v>0.47643518518518518</v>
      </c>
      <c r="P614" s="817">
        <v>0.72123842592592602</v>
      </c>
      <c r="Q614" s="817"/>
      <c r="R614" s="816"/>
      <c r="S614" s="817"/>
      <c r="T614" s="817"/>
      <c r="U614" s="816" t="s">
        <v>9551</v>
      </c>
      <c r="V614" s="816" t="s">
        <v>9551</v>
      </c>
      <c r="W614" s="267"/>
      <c r="X614" s="816" t="s">
        <v>26</v>
      </c>
      <c r="Y614">
        <v>41.3</v>
      </c>
      <c r="Z614">
        <v>19.100000000000001</v>
      </c>
      <c r="AA614" s="816" t="s">
        <v>9572</v>
      </c>
      <c r="AB614" s="816" t="s">
        <v>9590</v>
      </c>
      <c r="AC614" s="816"/>
      <c r="AD614" s="816"/>
      <c r="AE614" s="816"/>
      <c r="AF614" s="816"/>
      <c r="AG614" s="816"/>
      <c r="AI614" s="816"/>
      <c r="AK614" s="816"/>
      <c r="AM614" s="816"/>
    </row>
    <row r="615" spans="1:39" x14ac:dyDescent="0.25">
      <c r="A615" s="265">
        <v>44041</v>
      </c>
      <c r="B615">
        <v>3</v>
      </c>
      <c r="C615" s="816" t="s">
        <v>6</v>
      </c>
      <c r="D615">
        <v>534</v>
      </c>
      <c r="E615" s="816" t="s">
        <v>9542</v>
      </c>
      <c r="F615" s="816" t="s">
        <v>24</v>
      </c>
      <c r="G615" s="816" t="s">
        <v>9546</v>
      </c>
      <c r="H615">
        <v>25</v>
      </c>
      <c r="I615" s="816" t="s">
        <v>19</v>
      </c>
      <c r="J615" s="816" t="s">
        <v>19</v>
      </c>
      <c r="K615" s="817">
        <v>0.16483796296296296</v>
      </c>
      <c r="L615" s="817">
        <v>0.23150462962962962</v>
      </c>
      <c r="M615" s="817"/>
      <c r="N615" s="817"/>
      <c r="O615" s="817">
        <v>0.47641203703703705</v>
      </c>
      <c r="P615" s="817">
        <v>0.72130787037037036</v>
      </c>
      <c r="Q615" s="817"/>
      <c r="R615" s="816"/>
      <c r="S615" s="817"/>
      <c r="T615" s="817"/>
      <c r="U615" s="816" t="s">
        <v>9551</v>
      </c>
      <c r="V615" s="816" t="s">
        <v>9551</v>
      </c>
      <c r="W615" s="267"/>
      <c r="X615" s="816" t="s">
        <v>26</v>
      </c>
      <c r="Y615">
        <v>49.7</v>
      </c>
      <c r="Z615">
        <v>23.8</v>
      </c>
      <c r="AA615" s="816" t="s">
        <v>9573</v>
      </c>
      <c r="AB615" s="816" t="s">
        <v>9591</v>
      </c>
      <c r="AC615" s="816" t="s">
        <v>9627</v>
      </c>
      <c r="AD615" s="816"/>
      <c r="AE615" s="816"/>
      <c r="AF615" s="816"/>
      <c r="AG615" s="816"/>
      <c r="AI615" s="816"/>
      <c r="AK615" s="816"/>
      <c r="AM615" s="816"/>
    </row>
    <row r="616" spans="1:39" x14ac:dyDescent="0.25">
      <c r="A616" s="265">
        <v>44042</v>
      </c>
      <c r="B616">
        <v>4</v>
      </c>
      <c r="C616" s="816" t="s">
        <v>7</v>
      </c>
      <c r="D616">
        <v>534</v>
      </c>
      <c r="E616" s="816" t="s">
        <v>9542</v>
      </c>
      <c r="F616" s="816" t="s">
        <v>24</v>
      </c>
      <c r="G616" s="816" t="s">
        <v>9546</v>
      </c>
      <c r="H616">
        <v>26</v>
      </c>
      <c r="I616" s="816" t="s">
        <v>9548</v>
      </c>
      <c r="J616" s="816" t="s">
        <v>20</v>
      </c>
      <c r="K616" s="817">
        <v>0.16471064814814815</v>
      </c>
      <c r="L616" s="817">
        <v>0.23137731481481483</v>
      </c>
      <c r="M616" s="817"/>
      <c r="N616" s="817"/>
      <c r="O616" s="817">
        <v>0.47637731481481477</v>
      </c>
      <c r="P616" s="817">
        <v>0.72138888888888886</v>
      </c>
      <c r="Q616" s="817"/>
      <c r="R616" s="816"/>
      <c r="S616" s="817"/>
      <c r="T616" s="817"/>
      <c r="U616" s="816" t="s">
        <v>9551</v>
      </c>
      <c r="V616" s="816" t="s">
        <v>9551</v>
      </c>
      <c r="W616" s="267"/>
      <c r="X616" s="816" t="s">
        <v>26</v>
      </c>
      <c r="Y616">
        <v>56.7</v>
      </c>
      <c r="Z616">
        <v>27.3</v>
      </c>
      <c r="AA616" s="816" t="s">
        <v>9574</v>
      </c>
      <c r="AB616" s="816" t="s">
        <v>9592</v>
      </c>
      <c r="AC616" s="816" t="s">
        <v>9628</v>
      </c>
      <c r="AD616" s="816"/>
      <c r="AE616" s="816"/>
      <c r="AF616" s="816" t="s">
        <v>72</v>
      </c>
      <c r="AG616" s="816" t="s">
        <v>57</v>
      </c>
      <c r="AH616">
        <v>-1</v>
      </c>
      <c r="AI616" s="816"/>
      <c r="AK616" s="816"/>
      <c r="AM616" s="816"/>
    </row>
    <row r="617" spans="1:39" x14ac:dyDescent="0.25">
      <c r="A617" s="265">
        <v>44043</v>
      </c>
      <c r="B617">
        <v>5</v>
      </c>
      <c r="C617" s="816" t="s">
        <v>1</v>
      </c>
      <c r="D617">
        <v>534</v>
      </c>
      <c r="E617" s="816" t="s">
        <v>9542</v>
      </c>
      <c r="F617" s="816" t="s">
        <v>24</v>
      </c>
      <c r="G617" s="816" t="s">
        <v>9546</v>
      </c>
      <c r="H617">
        <v>27</v>
      </c>
      <c r="I617" s="816" t="s">
        <v>21</v>
      </c>
      <c r="J617" s="816" t="s">
        <v>21</v>
      </c>
      <c r="K617" s="817">
        <v>0.1645601851851852</v>
      </c>
      <c r="L617" s="817">
        <v>0.23122685185185185</v>
      </c>
      <c r="M617" s="817">
        <v>0.23055555555555554</v>
      </c>
      <c r="N617" s="817">
        <v>0.39444444444444443</v>
      </c>
      <c r="O617" s="817">
        <v>0.4763425925925926</v>
      </c>
      <c r="P617" s="817">
        <v>0.72144675925925927</v>
      </c>
      <c r="Q617" s="817"/>
      <c r="R617" s="816"/>
      <c r="S617" s="817"/>
      <c r="T617" s="817"/>
      <c r="U617" s="816" t="s">
        <v>9551</v>
      </c>
      <c r="V617" s="816" t="s">
        <v>9551</v>
      </c>
      <c r="W617" s="267"/>
      <c r="X617" s="816" t="s">
        <v>26</v>
      </c>
      <c r="Y617">
        <v>62.2</v>
      </c>
      <c r="Z617">
        <v>29.4</v>
      </c>
      <c r="AA617" s="816" t="s">
        <v>9575</v>
      </c>
      <c r="AB617" s="816" t="s">
        <v>9593</v>
      </c>
      <c r="AC617" s="816"/>
      <c r="AD617" s="816"/>
      <c r="AE617" s="816"/>
      <c r="AF617" s="816"/>
      <c r="AG617" s="816"/>
      <c r="AI617" s="816"/>
      <c r="AK617" s="816"/>
      <c r="AM617" s="816"/>
    </row>
    <row r="618" spans="1:39" x14ac:dyDescent="0.25">
      <c r="A618" s="265">
        <v>44044</v>
      </c>
      <c r="B618">
        <v>6</v>
      </c>
      <c r="C618" s="816" t="s">
        <v>2</v>
      </c>
      <c r="D618">
        <v>534</v>
      </c>
      <c r="E618" s="816" t="s">
        <v>9542</v>
      </c>
      <c r="F618" s="816" t="s">
        <v>24</v>
      </c>
      <c r="G618" s="816" t="s">
        <v>9546</v>
      </c>
      <c r="H618">
        <v>28</v>
      </c>
      <c r="I618" s="816" t="s">
        <v>8</v>
      </c>
      <c r="J618" s="816" t="s">
        <v>8</v>
      </c>
      <c r="K618" s="817">
        <v>0.16442129629629629</v>
      </c>
      <c r="L618" s="817">
        <v>0.23108796296296297</v>
      </c>
      <c r="M618" s="817"/>
      <c r="N618" s="817"/>
      <c r="O618" s="817">
        <v>0.47629629629629627</v>
      </c>
      <c r="P618" s="817">
        <v>0.72150462962962969</v>
      </c>
      <c r="Q618" s="817"/>
      <c r="R618" s="816"/>
      <c r="S618" s="817"/>
      <c r="T618" s="817"/>
      <c r="U618" s="816" t="s">
        <v>9551</v>
      </c>
      <c r="V618" s="816" t="s">
        <v>9551</v>
      </c>
      <c r="W618" s="267"/>
      <c r="X618" s="816" t="s">
        <v>26</v>
      </c>
      <c r="Y618">
        <v>66.099999999999994</v>
      </c>
      <c r="Z618">
        <v>30.2</v>
      </c>
      <c r="AA618" s="816" t="s">
        <v>9576</v>
      </c>
      <c r="AB618" s="816" t="s">
        <v>9594</v>
      </c>
      <c r="AC618" s="816"/>
      <c r="AD618" s="816"/>
      <c r="AE618" s="816"/>
      <c r="AF618" s="816"/>
      <c r="AG618" s="816"/>
      <c r="AI618" s="816"/>
      <c r="AK618" s="816"/>
      <c r="AM618" s="816"/>
    </row>
    <row r="619" spans="1:39" x14ac:dyDescent="0.25">
      <c r="A619" s="265">
        <v>44045</v>
      </c>
      <c r="B619">
        <v>0</v>
      </c>
      <c r="C619" s="816" t="s">
        <v>3</v>
      </c>
      <c r="D619">
        <v>534</v>
      </c>
      <c r="E619" s="816" t="s">
        <v>9542</v>
      </c>
      <c r="F619" s="816" t="s">
        <v>24</v>
      </c>
      <c r="G619" s="816" t="s">
        <v>9546</v>
      </c>
      <c r="H619">
        <v>29</v>
      </c>
      <c r="I619" s="816" t="s">
        <v>9</v>
      </c>
      <c r="J619" s="816" t="s">
        <v>9</v>
      </c>
      <c r="K619" s="817">
        <v>0.16425925925925924</v>
      </c>
      <c r="L619" s="817">
        <v>0.2309259259259259</v>
      </c>
      <c r="M619" s="817"/>
      <c r="N619" s="817"/>
      <c r="O619" s="817">
        <v>0.47625000000000001</v>
      </c>
      <c r="P619" s="817">
        <v>0.7215625</v>
      </c>
      <c r="Q619" s="817"/>
      <c r="R619" s="816"/>
      <c r="S619" s="817"/>
      <c r="T619" s="817"/>
      <c r="U619" s="816" t="s">
        <v>9551</v>
      </c>
      <c r="V619" s="816" t="s">
        <v>9551</v>
      </c>
      <c r="W619" s="267"/>
      <c r="X619" s="816" t="s">
        <v>26</v>
      </c>
      <c r="Y619">
        <v>68.5</v>
      </c>
      <c r="Z619">
        <v>29.4</v>
      </c>
      <c r="AA619" s="816" t="s">
        <v>9577</v>
      </c>
      <c r="AB619" s="816" t="s">
        <v>9595</v>
      </c>
      <c r="AC619" s="816" t="s">
        <v>9629</v>
      </c>
      <c r="AD619" s="816"/>
      <c r="AE619" s="816"/>
      <c r="AF619" s="816"/>
      <c r="AG619" s="816"/>
      <c r="AI619" s="816"/>
      <c r="AK619" s="816"/>
      <c r="AM619" s="816"/>
    </row>
    <row r="620" spans="1:39" x14ac:dyDescent="0.25">
      <c r="A620" s="265">
        <v>44046</v>
      </c>
      <c r="B620">
        <v>1</v>
      </c>
      <c r="C620" s="816" t="s">
        <v>4</v>
      </c>
      <c r="D620">
        <v>534</v>
      </c>
      <c r="E620" s="816" t="s">
        <v>9542</v>
      </c>
      <c r="F620" s="816" t="s">
        <v>24</v>
      </c>
      <c r="G620" s="816" t="s">
        <v>9546</v>
      </c>
      <c r="H620">
        <v>30</v>
      </c>
      <c r="I620" s="816" t="s">
        <v>10</v>
      </c>
      <c r="J620" s="816" t="s">
        <v>10</v>
      </c>
      <c r="K620" s="817">
        <v>0.16409722222222223</v>
      </c>
      <c r="L620" s="817">
        <v>0.23076388888888888</v>
      </c>
      <c r="M620" s="817"/>
      <c r="N620" s="817"/>
      <c r="O620" s="817">
        <v>0.47619212962962965</v>
      </c>
      <c r="P620" s="817">
        <v>0.72162037037037041</v>
      </c>
      <c r="Q620" s="817"/>
      <c r="R620" s="816"/>
      <c r="S620" s="817"/>
      <c r="T620" s="817"/>
      <c r="U620" s="816" t="s">
        <v>9551</v>
      </c>
      <c r="V620" s="816" t="s">
        <v>9551</v>
      </c>
      <c r="W620" s="267"/>
      <c r="X620" s="816" t="s">
        <v>26</v>
      </c>
      <c r="Y620">
        <v>69</v>
      </c>
      <c r="Z620">
        <v>27.1</v>
      </c>
      <c r="AA620" s="816" t="s">
        <v>9552</v>
      </c>
      <c r="AB620" s="816" t="s">
        <v>9596</v>
      </c>
      <c r="AC620" s="816" t="s">
        <v>9630</v>
      </c>
      <c r="AD620" s="816" t="s">
        <v>9645</v>
      </c>
      <c r="AE620" s="816"/>
      <c r="AF620" s="816"/>
      <c r="AG620" s="816"/>
      <c r="AI620" s="816"/>
      <c r="AK620" s="816"/>
      <c r="AM620" s="816"/>
    </row>
    <row r="621" spans="1:39" x14ac:dyDescent="0.25">
      <c r="A621" s="265">
        <v>44047</v>
      </c>
      <c r="B621">
        <v>2</v>
      </c>
      <c r="C621" s="816" t="s">
        <v>5</v>
      </c>
      <c r="D621">
        <v>534</v>
      </c>
      <c r="E621" s="816" t="s">
        <v>9543</v>
      </c>
      <c r="F621" s="816" t="s">
        <v>25</v>
      </c>
      <c r="G621" s="816" t="s">
        <v>9547</v>
      </c>
      <c r="H621">
        <v>1</v>
      </c>
      <c r="I621" s="816" t="s">
        <v>11</v>
      </c>
      <c r="J621" s="816" t="s">
        <v>11</v>
      </c>
      <c r="K621" s="817">
        <v>0.16391203703703702</v>
      </c>
      <c r="L621" s="817">
        <v>0.2305787037037037</v>
      </c>
      <c r="M621" s="817"/>
      <c r="N621" s="817"/>
      <c r="O621" s="817">
        <v>0.47612268518518519</v>
      </c>
      <c r="P621" s="817">
        <v>0.72165509259259253</v>
      </c>
      <c r="Q621" s="817"/>
      <c r="R621" s="816"/>
      <c r="S621" s="817"/>
      <c r="T621" s="817"/>
      <c r="U621" s="816" t="s">
        <v>9551</v>
      </c>
      <c r="V621" s="816" t="s">
        <v>9551</v>
      </c>
      <c r="W621" s="267"/>
      <c r="X621" s="816" t="s">
        <v>26</v>
      </c>
      <c r="Y621">
        <v>67.8</v>
      </c>
      <c r="Z621">
        <v>23.2</v>
      </c>
      <c r="AA621" s="816" t="s">
        <v>9553</v>
      </c>
      <c r="AB621" s="816" t="s">
        <v>9597</v>
      </c>
      <c r="AC621" s="816" t="s">
        <v>9631</v>
      </c>
      <c r="AD621" s="816"/>
      <c r="AE621" s="816"/>
      <c r="AF621" s="816"/>
      <c r="AG621" s="816"/>
      <c r="AI621" s="816"/>
      <c r="AK621" s="816"/>
      <c r="AM621" s="816"/>
    </row>
    <row r="622" spans="1:39" x14ac:dyDescent="0.25">
      <c r="A622" s="265">
        <v>44048</v>
      </c>
      <c r="B622">
        <v>3</v>
      </c>
      <c r="C622" s="816" t="s">
        <v>6</v>
      </c>
      <c r="D622">
        <v>534</v>
      </c>
      <c r="E622" s="816" t="s">
        <v>9543</v>
      </c>
      <c r="F622" s="816" t="s">
        <v>25</v>
      </c>
      <c r="G622" s="816" t="s">
        <v>9547</v>
      </c>
      <c r="H622">
        <v>2</v>
      </c>
      <c r="I622" s="816" t="s">
        <v>12</v>
      </c>
      <c r="J622" s="816" t="s">
        <v>12</v>
      </c>
      <c r="K622" s="817">
        <v>0.16372685185185185</v>
      </c>
      <c r="L622" s="817">
        <v>0.23039351851851853</v>
      </c>
      <c r="M622" s="817"/>
      <c r="N622" s="817"/>
      <c r="O622" s="817">
        <v>0.47605324074074074</v>
      </c>
      <c r="P622" s="817">
        <v>0.72170138888888891</v>
      </c>
      <c r="Q622" s="817"/>
      <c r="R622" s="816"/>
      <c r="S622" s="817"/>
      <c r="T622" s="817"/>
      <c r="U622" s="816" t="s">
        <v>9551</v>
      </c>
      <c r="V622" s="816" t="s">
        <v>9551</v>
      </c>
      <c r="W622" s="267"/>
      <c r="X622" s="816" t="s">
        <v>26</v>
      </c>
      <c r="Y622">
        <v>64.7</v>
      </c>
      <c r="Z622">
        <v>17.600000000000001</v>
      </c>
      <c r="AA622" s="816" t="s">
        <v>9554</v>
      </c>
      <c r="AB622" s="816" t="s">
        <v>9598</v>
      </c>
      <c r="AC622" s="816"/>
      <c r="AD622" s="816"/>
      <c r="AE622" s="816"/>
      <c r="AF622" s="816"/>
      <c r="AG622" s="816"/>
      <c r="AI622" s="816"/>
      <c r="AK622" s="816"/>
      <c r="AM622" s="816"/>
    </row>
    <row r="623" spans="1:39" x14ac:dyDescent="0.25">
      <c r="A623" s="265">
        <v>44049</v>
      </c>
      <c r="B623">
        <v>4</v>
      </c>
      <c r="C623" s="816" t="s">
        <v>7</v>
      </c>
      <c r="D623">
        <v>534</v>
      </c>
      <c r="E623" s="816" t="s">
        <v>9543</v>
      </c>
      <c r="F623" s="816" t="s">
        <v>25</v>
      </c>
      <c r="G623" s="816" t="s">
        <v>9547</v>
      </c>
      <c r="H623">
        <v>3</v>
      </c>
      <c r="I623" s="816" t="s">
        <v>23</v>
      </c>
      <c r="J623" s="816" t="s">
        <v>23</v>
      </c>
      <c r="K623" s="817">
        <v>0.16354166666666667</v>
      </c>
      <c r="L623" s="817">
        <v>0.23020833333333335</v>
      </c>
      <c r="M623" s="817"/>
      <c r="N623" s="817"/>
      <c r="O623" s="817">
        <v>0.47597222222222224</v>
      </c>
      <c r="P623" s="817">
        <v>0.72173611111111102</v>
      </c>
      <c r="Q623" s="817"/>
      <c r="R623" s="816"/>
      <c r="S623" s="817"/>
      <c r="T623" s="817"/>
      <c r="U623" s="816" t="s">
        <v>9551</v>
      </c>
      <c r="V623" s="816" t="s">
        <v>9551</v>
      </c>
      <c r="W623" s="267"/>
      <c r="X623" s="816" t="s">
        <v>26</v>
      </c>
      <c r="Y623">
        <v>59.8</v>
      </c>
      <c r="Z623">
        <v>10.4</v>
      </c>
      <c r="AA623" s="816" t="s">
        <v>9555</v>
      </c>
      <c r="AB623" s="816" t="s">
        <v>9599</v>
      </c>
      <c r="AC623" s="816"/>
      <c r="AD623" s="816"/>
      <c r="AE623" s="816"/>
      <c r="AF623" s="816"/>
      <c r="AG623" s="816"/>
      <c r="AI623" s="816"/>
      <c r="AK623" s="816"/>
      <c r="AM623" s="816"/>
    </row>
    <row r="624" spans="1:39" x14ac:dyDescent="0.25">
      <c r="A624" s="265">
        <v>44050</v>
      </c>
      <c r="B624">
        <v>5</v>
      </c>
      <c r="C624" s="816" t="s">
        <v>1</v>
      </c>
      <c r="D624">
        <v>534</v>
      </c>
      <c r="E624" s="816" t="s">
        <v>9543</v>
      </c>
      <c r="F624" s="816" t="s">
        <v>25</v>
      </c>
      <c r="G624" s="816" t="s">
        <v>9547</v>
      </c>
      <c r="H624">
        <v>4</v>
      </c>
      <c r="I624" s="816" t="s">
        <v>13</v>
      </c>
      <c r="J624" s="816" t="s">
        <v>13</v>
      </c>
      <c r="K624" s="817">
        <v>0.1633449074074074</v>
      </c>
      <c r="L624" s="817">
        <v>0.23001157407407405</v>
      </c>
      <c r="M624" s="817"/>
      <c r="N624" s="817"/>
      <c r="O624" s="817">
        <v>0.47587962962962965</v>
      </c>
      <c r="P624" s="817">
        <v>0.72175925925925932</v>
      </c>
      <c r="Q624" s="817"/>
      <c r="R624" s="816"/>
      <c r="S624" s="817"/>
      <c r="T624" s="817"/>
      <c r="U624" s="816" t="s">
        <v>9551</v>
      </c>
      <c r="V624" s="816" t="s">
        <v>9551</v>
      </c>
      <c r="W624" s="267"/>
      <c r="X624" s="816" t="s">
        <v>26</v>
      </c>
      <c r="Y624">
        <v>53.3</v>
      </c>
      <c r="Z624">
        <v>1.7</v>
      </c>
      <c r="AA624" s="816" t="s">
        <v>9556</v>
      </c>
      <c r="AB624" s="816" t="s">
        <v>9600</v>
      </c>
      <c r="AC624" s="816"/>
      <c r="AD624" s="816"/>
      <c r="AE624" s="816"/>
      <c r="AF624" s="816"/>
      <c r="AG624" s="816"/>
      <c r="AI624" s="816"/>
      <c r="AK624" s="816"/>
      <c r="AM624" s="816"/>
    </row>
    <row r="625" spans="1:39" x14ac:dyDescent="0.25">
      <c r="A625" s="265">
        <v>44051</v>
      </c>
      <c r="B625">
        <v>6</v>
      </c>
      <c r="C625" s="816" t="s">
        <v>2</v>
      </c>
      <c r="D625">
        <v>534</v>
      </c>
      <c r="E625" s="816" t="s">
        <v>9543</v>
      </c>
      <c r="F625" s="816" t="s">
        <v>25</v>
      </c>
      <c r="G625" s="816" t="s">
        <v>9547</v>
      </c>
      <c r="H625">
        <v>5</v>
      </c>
      <c r="I625" s="816" t="s">
        <v>14</v>
      </c>
      <c r="J625" s="816" t="s">
        <v>14</v>
      </c>
      <c r="K625" s="817">
        <v>0.16312499999999999</v>
      </c>
      <c r="L625" s="817">
        <v>0.22979166666666664</v>
      </c>
      <c r="M625" s="817"/>
      <c r="N625" s="817"/>
      <c r="O625" s="817">
        <v>0.47578703703703701</v>
      </c>
      <c r="P625" s="817">
        <v>0.7217824074074074</v>
      </c>
      <c r="Q625" s="817"/>
      <c r="R625" s="816"/>
      <c r="S625" s="817"/>
      <c r="T625" s="817"/>
      <c r="U625" s="816" t="s">
        <v>9551</v>
      </c>
      <c r="V625" s="816" t="s">
        <v>9551</v>
      </c>
      <c r="W625" s="267"/>
      <c r="X625" s="816" t="s">
        <v>26</v>
      </c>
      <c r="Y625">
        <v>45.4</v>
      </c>
      <c r="Z625">
        <v>91.8</v>
      </c>
      <c r="AA625" s="816" t="s">
        <v>9556</v>
      </c>
      <c r="AB625" s="816" t="s">
        <v>9601</v>
      </c>
      <c r="AC625" s="816"/>
      <c r="AD625" s="816"/>
      <c r="AE625" s="816"/>
      <c r="AF625" s="816"/>
      <c r="AG625" s="816"/>
      <c r="AI625" s="816"/>
      <c r="AK625" s="816"/>
      <c r="AM625" s="816"/>
    </row>
    <row r="626" spans="1:39" x14ac:dyDescent="0.25">
      <c r="A626" s="265">
        <v>44052</v>
      </c>
      <c r="B626">
        <v>0</v>
      </c>
      <c r="C626" s="816" t="s">
        <v>3</v>
      </c>
      <c r="D626">
        <v>534</v>
      </c>
      <c r="E626" s="816" t="s">
        <v>9543</v>
      </c>
      <c r="F626" s="816" t="s">
        <v>25</v>
      </c>
      <c r="G626" s="816" t="s">
        <v>9547</v>
      </c>
      <c r="H626">
        <v>6</v>
      </c>
      <c r="I626" s="816" t="s">
        <v>15</v>
      </c>
      <c r="J626" s="816" t="s">
        <v>15</v>
      </c>
      <c r="K626" s="817">
        <v>0.16291666666666668</v>
      </c>
      <c r="L626" s="817">
        <v>0.22958333333333333</v>
      </c>
      <c r="M626" s="817"/>
      <c r="N626" s="817"/>
      <c r="O626" s="817">
        <v>0.47569444444444442</v>
      </c>
      <c r="P626" s="817">
        <v>0.72180555555555559</v>
      </c>
      <c r="Q626" s="817"/>
      <c r="R626" s="816"/>
      <c r="S626" s="817"/>
      <c r="T626" s="817"/>
      <c r="U626" s="816" t="s">
        <v>9551</v>
      </c>
      <c r="V626" s="816" t="s">
        <v>9551</v>
      </c>
      <c r="W626" s="267"/>
      <c r="X626" s="816" t="s">
        <v>26</v>
      </c>
      <c r="Y626">
        <v>36.6</v>
      </c>
      <c r="Z626">
        <v>81</v>
      </c>
      <c r="AA626" s="816" t="s">
        <v>9557</v>
      </c>
      <c r="AB626" s="816" t="s">
        <v>9602</v>
      </c>
      <c r="AC626" s="816"/>
      <c r="AD626" s="816"/>
      <c r="AE626" s="816"/>
      <c r="AF626" s="816"/>
      <c r="AG626" s="816"/>
      <c r="AI626" s="816"/>
      <c r="AK626" s="816"/>
      <c r="AM626" s="816"/>
    </row>
    <row r="627" spans="1:39" x14ac:dyDescent="0.25">
      <c r="A627" s="265">
        <v>44053</v>
      </c>
      <c r="B627">
        <v>1</v>
      </c>
      <c r="C627" s="816" t="s">
        <v>4</v>
      </c>
      <c r="D627">
        <v>534</v>
      </c>
      <c r="E627" s="816" t="s">
        <v>9543</v>
      </c>
      <c r="F627" s="816" t="s">
        <v>25</v>
      </c>
      <c r="G627" s="816" t="s">
        <v>9547</v>
      </c>
      <c r="H627">
        <v>7</v>
      </c>
      <c r="I627" s="816" t="s">
        <v>16</v>
      </c>
      <c r="J627" s="816" t="s">
        <v>16</v>
      </c>
      <c r="K627" s="817">
        <v>0.16268518518518518</v>
      </c>
      <c r="L627" s="817">
        <v>0.22935185185185183</v>
      </c>
      <c r="M627" s="817"/>
      <c r="N627" s="817"/>
      <c r="O627" s="817">
        <v>0.47559027777777779</v>
      </c>
      <c r="P627" s="817">
        <v>0.72181712962962974</v>
      </c>
      <c r="Q627" s="817"/>
      <c r="R627" s="816"/>
      <c r="S627" s="817"/>
      <c r="T627" s="817"/>
      <c r="U627" s="816" t="s">
        <v>9551</v>
      </c>
      <c r="V627" s="816" t="s">
        <v>9551</v>
      </c>
      <c r="W627" s="267"/>
      <c r="X627" s="816" t="s">
        <v>26</v>
      </c>
      <c r="Y627">
        <v>27.4</v>
      </c>
      <c r="Z627">
        <v>69.900000000000006</v>
      </c>
      <c r="AA627" s="816" t="s">
        <v>9558</v>
      </c>
      <c r="AB627" s="816" t="s">
        <v>9603</v>
      </c>
      <c r="AC627" s="816"/>
      <c r="AD627" s="816"/>
      <c r="AE627" s="816"/>
      <c r="AF627" s="816"/>
      <c r="AG627" s="816"/>
      <c r="AI627" s="816"/>
      <c r="AK627" s="816"/>
      <c r="AM627" s="816"/>
    </row>
    <row r="628" spans="1:39" x14ac:dyDescent="0.25">
      <c r="A628" s="265">
        <v>44054</v>
      </c>
      <c r="B628">
        <v>2</v>
      </c>
      <c r="C628" s="816" t="s">
        <v>5</v>
      </c>
      <c r="D628">
        <v>534</v>
      </c>
      <c r="E628" s="816" t="s">
        <v>9543</v>
      </c>
      <c r="F628" s="816" t="s">
        <v>25</v>
      </c>
      <c r="G628" s="816" t="s">
        <v>9547</v>
      </c>
      <c r="H628">
        <v>8</v>
      </c>
      <c r="I628" s="816" t="s">
        <v>17</v>
      </c>
      <c r="J628" s="816" t="s">
        <v>17</v>
      </c>
      <c r="K628" s="817">
        <v>0.16245370370370371</v>
      </c>
      <c r="L628" s="817">
        <v>0.22912037037037036</v>
      </c>
      <c r="M628" s="817"/>
      <c r="N628" s="817"/>
      <c r="O628" s="817">
        <v>0.47547453703703701</v>
      </c>
      <c r="P628" s="817">
        <v>0.72182870370370367</v>
      </c>
      <c r="Q628" s="817"/>
      <c r="R628" s="816"/>
      <c r="S628" s="817"/>
      <c r="T628" s="817"/>
      <c r="U628" s="816" t="s">
        <v>9551</v>
      </c>
      <c r="V628" s="816" t="s">
        <v>9551</v>
      </c>
      <c r="W628" s="267"/>
      <c r="X628" s="816" t="s">
        <v>26</v>
      </c>
      <c r="Y628">
        <v>18.399999999999999</v>
      </c>
      <c r="Z628">
        <v>59</v>
      </c>
      <c r="AA628" s="816" t="s">
        <v>9578</v>
      </c>
      <c r="AB628" s="816" t="s">
        <v>9579</v>
      </c>
      <c r="AC628" s="816"/>
      <c r="AD628" s="816"/>
      <c r="AE628" s="816"/>
      <c r="AF628" s="816"/>
      <c r="AG628" s="816" t="s">
        <v>58</v>
      </c>
      <c r="AH628">
        <v>0</v>
      </c>
      <c r="AI628" s="816" t="s">
        <v>37</v>
      </c>
      <c r="AJ628">
        <v>-1</v>
      </c>
      <c r="AK628" s="816"/>
      <c r="AM628" s="816"/>
    </row>
    <row r="629" spans="1:39" x14ac:dyDescent="0.25">
      <c r="A629" s="265">
        <v>44055</v>
      </c>
      <c r="B629">
        <v>3</v>
      </c>
      <c r="C629" s="816" t="s">
        <v>6</v>
      </c>
      <c r="D629">
        <v>534</v>
      </c>
      <c r="E629" s="816" t="s">
        <v>9543</v>
      </c>
      <c r="F629" s="816" t="s">
        <v>25</v>
      </c>
      <c r="G629" s="816" t="s">
        <v>9547</v>
      </c>
      <c r="H629">
        <v>9</v>
      </c>
      <c r="I629" s="816" t="s">
        <v>18</v>
      </c>
      <c r="J629" s="816" t="s">
        <v>18</v>
      </c>
      <c r="K629" s="817">
        <v>0.16221064814814815</v>
      </c>
      <c r="L629" s="817">
        <v>0.2288773148148148</v>
      </c>
      <c r="M629" s="817"/>
      <c r="N629" s="817"/>
      <c r="O629" s="817">
        <v>0.47535879629629635</v>
      </c>
      <c r="P629" s="817">
        <v>0.72182870370370367</v>
      </c>
      <c r="Q629" s="817"/>
      <c r="R629" s="816"/>
      <c r="S629" s="817"/>
      <c r="T629" s="817"/>
      <c r="U629" s="816" t="s">
        <v>9551</v>
      </c>
      <c r="V629" s="816" t="s">
        <v>9551</v>
      </c>
      <c r="W629" s="267"/>
      <c r="X629" s="816" t="s">
        <v>26</v>
      </c>
      <c r="Y629">
        <v>10.3</v>
      </c>
      <c r="Z629">
        <v>48.9</v>
      </c>
      <c r="AA629" s="816" t="s">
        <v>9559</v>
      </c>
      <c r="AB629" s="816" t="s">
        <v>9580</v>
      </c>
      <c r="AC629" s="816"/>
      <c r="AD629" s="816"/>
      <c r="AE629" s="816"/>
      <c r="AF629" s="816"/>
      <c r="AG629" s="816" t="s">
        <v>59</v>
      </c>
      <c r="AH629">
        <v>1</v>
      </c>
      <c r="AI629" s="816" t="s">
        <v>60</v>
      </c>
      <c r="AJ629">
        <v>2</v>
      </c>
      <c r="AK629" s="816"/>
      <c r="AM629" s="816"/>
    </row>
    <row r="630" spans="1:39" x14ac:dyDescent="0.25">
      <c r="A630" s="265">
        <v>44056</v>
      </c>
      <c r="B630">
        <v>4</v>
      </c>
      <c r="C630" s="816" t="s">
        <v>7</v>
      </c>
      <c r="D630">
        <v>534</v>
      </c>
      <c r="E630" s="816" t="s">
        <v>9543</v>
      </c>
      <c r="F630" s="816" t="s">
        <v>25</v>
      </c>
      <c r="G630" s="816" t="s">
        <v>9547</v>
      </c>
      <c r="H630">
        <v>10</v>
      </c>
      <c r="I630" s="816" t="s">
        <v>19</v>
      </c>
      <c r="J630" s="816" t="s">
        <v>18</v>
      </c>
      <c r="K630" s="817">
        <v>0.16196759259259261</v>
      </c>
      <c r="L630" s="817">
        <v>0.22863425925925926</v>
      </c>
      <c r="M630" s="817"/>
      <c r="N630" s="817"/>
      <c r="O630" s="817">
        <v>0.47523148148148148</v>
      </c>
      <c r="P630" s="817">
        <v>0.72182870370370367</v>
      </c>
      <c r="Q630" s="817"/>
      <c r="R630" s="816"/>
      <c r="S630" s="817"/>
      <c r="T630" s="817"/>
      <c r="U630" s="816" t="s">
        <v>9551</v>
      </c>
      <c r="V630" s="816" t="s">
        <v>9551</v>
      </c>
      <c r="W630" s="267"/>
      <c r="X630" s="816" t="s">
        <v>26</v>
      </c>
      <c r="Y630">
        <v>3.8</v>
      </c>
      <c r="Z630">
        <v>40.299999999999997</v>
      </c>
      <c r="AA630" s="816" t="s">
        <v>9560</v>
      </c>
      <c r="AB630" s="816" t="s">
        <v>9581</v>
      </c>
      <c r="AC630" s="816"/>
      <c r="AD630" s="816"/>
      <c r="AE630" s="816"/>
      <c r="AF630" s="816"/>
      <c r="AG630" s="816"/>
      <c r="AI630" s="816"/>
      <c r="AK630" s="816"/>
      <c r="AM630" s="816"/>
    </row>
    <row r="631" spans="1:39" x14ac:dyDescent="0.25">
      <c r="A631" s="265">
        <v>44057</v>
      </c>
      <c r="B631">
        <v>5</v>
      </c>
      <c r="C631" s="816" t="s">
        <v>1</v>
      </c>
      <c r="D631">
        <v>534</v>
      </c>
      <c r="E631" s="816" t="s">
        <v>9543</v>
      </c>
      <c r="F631" s="816" t="s">
        <v>25</v>
      </c>
      <c r="G631" s="816" t="s">
        <v>9547</v>
      </c>
      <c r="H631">
        <v>10</v>
      </c>
      <c r="I631" s="816" t="s">
        <v>19</v>
      </c>
      <c r="J631" s="816" t="s">
        <v>19</v>
      </c>
      <c r="K631" s="817">
        <v>0.16170138888888888</v>
      </c>
      <c r="L631" s="817">
        <v>0.22836805555555553</v>
      </c>
      <c r="M631" s="817"/>
      <c r="N631" s="817"/>
      <c r="O631" s="817">
        <v>0.47509259259259262</v>
      </c>
      <c r="P631" s="817">
        <v>0.72181712962962974</v>
      </c>
      <c r="Q631" s="817"/>
      <c r="R631" s="816"/>
      <c r="S631" s="817"/>
      <c r="T631" s="817"/>
      <c r="U631" s="816" t="s">
        <v>9551</v>
      </c>
      <c r="V631" s="816" t="s">
        <v>9551</v>
      </c>
      <c r="W631" s="267"/>
      <c r="X631" s="816" t="s">
        <v>27</v>
      </c>
      <c r="Y631">
        <v>99.6</v>
      </c>
      <c r="Z631">
        <v>33.700000000000003</v>
      </c>
      <c r="AA631" s="816" t="s">
        <v>9561</v>
      </c>
      <c r="AB631" s="816" t="s">
        <v>9582</v>
      </c>
      <c r="AC631" s="816"/>
      <c r="AD631" s="816"/>
      <c r="AE631" s="816"/>
      <c r="AF631" s="816"/>
      <c r="AG631" s="816"/>
      <c r="AI631" s="816"/>
      <c r="AK631" s="816"/>
      <c r="AM631" s="816"/>
    </row>
    <row r="632" spans="1:39" x14ac:dyDescent="0.25">
      <c r="A632" s="265">
        <v>44058</v>
      </c>
      <c r="B632">
        <v>6</v>
      </c>
      <c r="C632" s="816" t="s">
        <v>2</v>
      </c>
      <c r="D632">
        <v>534</v>
      </c>
      <c r="E632" s="816" t="s">
        <v>9543</v>
      </c>
      <c r="F632" s="816" t="s">
        <v>25</v>
      </c>
      <c r="G632" s="816" t="s">
        <v>9547</v>
      </c>
      <c r="H632">
        <v>11</v>
      </c>
      <c r="I632" s="816" t="s">
        <v>9548</v>
      </c>
      <c r="J632" s="816" t="s">
        <v>20</v>
      </c>
      <c r="K632" s="817">
        <v>0.16144675925925925</v>
      </c>
      <c r="L632" s="817">
        <v>0.2281134259259259</v>
      </c>
      <c r="M632" s="817"/>
      <c r="N632" s="817"/>
      <c r="O632" s="817">
        <v>0.47495370370370371</v>
      </c>
      <c r="P632" s="817">
        <v>0.72180555555555559</v>
      </c>
      <c r="Q632" s="817"/>
      <c r="R632" s="816"/>
      <c r="S632" s="817"/>
      <c r="T632" s="817"/>
      <c r="U632" s="816" t="s">
        <v>9551</v>
      </c>
      <c r="V632" s="816" t="s">
        <v>9551</v>
      </c>
      <c r="W632" s="267"/>
      <c r="X632" s="816" t="s">
        <v>26</v>
      </c>
      <c r="Y632">
        <v>98.3</v>
      </c>
      <c r="Z632">
        <v>29.8</v>
      </c>
      <c r="AA632" s="816" t="s">
        <v>9562</v>
      </c>
      <c r="AB632" s="816" t="s">
        <v>9583</v>
      </c>
      <c r="AC632" s="816"/>
      <c r="AD632" s="816"/>
      <c r="AE632" s="816"/>
      <c r="AF632" s="816" t="s">
        <v>72</v>
      </c>
      <c r="AG632" s="816" t="s">
        <v>9608</v>
      </c>
      <c r="AH632">
        <v>-1</v>
      </c>
      <c r="AI632" s="816" t="s">
        <v>61</v>
      </c>
      <c r="AJ632">
        <v>-1</v>
      </c>
      <c r="AK632" s="816"/>
      <c r="AM632" s="816"/>
    </row>
    <row r="633" spans="1:39" x14ac:dyDescent="0.25">
      <c r="A633" s="265">
        <v>44059</v>
      </c>
      <c r="B633">
        <v>0</v>
      </c>
      <c r="C633" s="816" t="s">
        <v>3</v>
      </c>
      <c r="D633">
        <v>534</v>
      </c>
      <c r="E633" s="816" t="s">
        <v>9543</v>
      </c>
      <c r="F633" s="816" t="s">
        <v>25</v>
      </c>
      <c r="G633" s="816" t="s">
        <v>9547</v>
      </c>
      <c r="H633">
        <v>13</v>
      </c>
      <c r="I633" s="816" t="s">
        <v>8</v>
      </c>
      <c r="J633" s="816" t="s">
        <v>21</v>
      </c>
      <c r="K633" s="817">
        <v>0.16116898148148148</v>
      </c>
      <c r="L633" s="817">
        <v>0.22783564814814816</v>
      </c>
      <c r="M633" s="817">
        <v>0.22777777777777777</v>
      </c>
      <c r="N633" s="817">
        <v>0.3923611111111111</v>
      </c>
      <c r="O633" s="817">
        <v>0.4748148148148148</v>
      </c>
      <c r="P633" s="817">
        <v>0.72179398148148144</v>
      </c>
      <c r="Q633" s="817">
        <v>0.43865740740740744</v>
      </c>
      <c r="R633" s="816" t="s">
        <v>81</v>
      </c>
      <c r="S633" s="817">
        <v>0.24444444444444446</v>
      </c>
      <c r="T633" s="817">
        <v>0.22430555555555556</v>
      </c>
      <c r="U633" s="816" t="s">
        <v>9551</v>
      </c>
      <c r="V633" s="816" t="s">
        <v>9551</v>
      </c>
      <c r="W633" s="267"/>
      <c r="X633" s="816" t="s">
        <v>26</v>
      </c>
      <c r="Y633">
        <v>0.4</v>
      </c>
      <c r="Z633">
        <v>28.8</v>
      </c>
      <c r="AA633" s="816" t="s">
        <v>9563</v>
      </c>
      <c r="AB633" s="816" t="s">
        <v>9584</v>
      </c>
      <c r="AC633" s="816"/>
      <c r="AD633" s="816"/>
      <c r="AE633" s="816"/>
      <c r="AF633" s="816"/>
      <c r="AG633" s="816"/>
      <c r="AI633" s="816"/>
      <c r="AK633" s="816"/>
      <c r="AM633" s="816"/>
    </row>
    <row r="634" spans="1:39" x14ac:dyDescent="0.25">
      <c r="A634" s="265">
        <v>44060</v>
      </c>
      <c r="B634">
        <v>1</v>
      </c>
      <c r="C634" s="816" t="s">
        <v>4</v>
      </c>
      <c r="D634">
        <v>534</v>
      </c>
      <c r="E634" s="816" t="s">
        <v>9543</v>
      </c>
      <c r="F634" s="816" t="s">
        <v>25</v>
      </c>
      <c r="G634" s="816" t="s">
        <v>9547</v>
      </c>
      <c r="H634">
        <v>14</v>
      </c>
      <c r="I634" s="816" t="s">
        <v>9</v>
      </c>
      <c r="J634" s="816" t="s">
        <v>8</v>
      </c>
      <c r="K634" s="817">
        <v>0.16089120370370372</v>
      </c>
      <c r="L634" s="817">
        <v>0.22755787037037037</v>
      </c>
      <c r="M634" s="817"/>
      <c r="N634" s="817"/>
      <c r="O634" s="817">
        <v>0.47466435185185185</v>
      </c>
      <c r="P634" s="817">
        <v>0.72177083333333336</v>
      </c>
      <c r="Q634" s="817"/>
      <c r="R634" s="816"/>
      <c r="S634" s="817"/>
      <c r="T634" s="817"/>
      <c r="U634" s="816" t="s">
        <v>9551</v>
      </c>
      <c r="V634" s="816" t="s">
        <v>9551</v>
      </c>
      <c r="W634" s="267"/>
      <c r="X634" s="816" t="s">
        <v>26</v>
      </c>
      <c r="Y634">
        <v>6</v>
      </c>
      <c r="Z634">
        <v>31</v>
      </c>
      <c r="AA634" s="816" t="s">
        <v>9564</v>
      </c>
      <c r="AB634" s="816" t="s">
        <v>9585</v>
      </c>
      <c r="AC634" s="816"/>
      <c r="AD634" s="816"/>
      <c r="AE634" s="816"/>
      <c r="AF634" s="816"/>
      <c r="AG634" s="816"/>
      <c r="AI634" s="816"/>
      <c r="AK634" s="816"/>
      <c r="AM634" s="816"/>
    </row>
    <row r="635" spans="1:39" x14ac:dyDescent="0.25">
      <c r="A635" s="265">
        <v>44061</v>
      </c>
      <c r="B635">
        <v>2</v>
      </c>
      <c r="C635" s="816" t="s">
        <v>5</v>
      </c>
      <c r="D635">
        <v>534</v>
      </c>
      <c r="E635" s="816" t="s">
        <v>9543</v>
      </c>
      <c r="F635" s="816" t="s">
        <v>25</v>
      </c>
      <c r="G635" s="816" t="s">
        <v>9547</v>
      </c>
      <c r="H635">
        <v>15</v>
      </c>
      <c r="I635" s="816" t="s">
        <v>22</v>
      </c>
      <c r="J635" s="816" t="s">
        <v>22</v>
      </c>
      <c r="K635" s="817">
        <v>0.16060185185185186</v>
      </c>
      <c r="L635" s="817">
        <v>0.22726851851851851</v>
      </c>
      <c r="M635" s="817"/>
      <c r="N635" s="817"/>
      <c r="O635" s="817">
        <v>0.47450231481481481</v>
      </c>
      <c r="P635" s="817">
        <v>0.72173611111111102</v>
      </c>
      <c r="Q635" s="817"/>
      <c r="R635" s="816"/>
      <c r="S635" s="817"/>
      <c r="T635" s="817"/>
      <c r="U635" s="816" t="s">
        <v>9551</v>
      </c>
      <c r="V635" s="816" t="s">
        <v>9551</v>
      </c>
      <c r="W635" s="267"/>
      <c r="X635" s="816" t="s">
        <v>26</v>
      </c>
      <c r="Y635">
        <v>15</v>
      </c>
      <c r="Z635">
        <v>36.4</v>
      </c>
      <c r="AA635" s="816" t="s">
        <v>9565</v>
      </c>
      <c r="AB635" s="816" t="s">
        <v>9586</v>
      </c>
      <c r="AC635" s="816"/>
      <c r="AD635" s="816"/>
      <c r="AE635" s="816"/>
      <c r="AF635" s="816"/>
      <c r="AG635" s="816"/>
      <c r="AI635" s="816"/>
      <c r="AK635" s="816"/>
      <c r="AM635" s="816"/>
    </row>
    <row r="636" spans="1:39" x14ac:dyDescent="0.25">
      <c r="A636" s="265">
        <v>44062</v>
      </c>
      <c r="B636">
        <v>3</v>
      </c>
      <c r="C636" s="816" t="s">
        <v>6</v>
      </c>
      <c r="D636">
        <v>534</v>
      </c>
      <c r="E636" s="816" t="s">
        <v>9543</v>
      </c>
      <c r="F636" s="816" t="s">
        <v>24</v>
      </c>
      <c r="G636" s="816" t="s">
        <v>9546</v>
      </c>
      <c r="H636">
        <v>16</v>
      </c>
      <c r="I636" s="816" t="s">
        <v>11</v>
      </c>
      <c r="J636" s="816" t="s">
        <v>11</v>
      </c>
      <c r="K636" s="817">
        <v>0.1603125</v>
      </c>
      <c r="L636" s="817">
        <v>0.22697916666666665</v>
      </c>
      <c r="M636" s="817"/>
      <c r="N636" s="817"/>
      <c r="O636" s="817">
        <v>0.47434027777777782</v>
      </c>
      <c r="P636" s="817">
        <v>0.72171296296296295</v>
      </c>
      <c r="Q636" s="817"/>
      <c r="R636" s="816"/>
      <c r="S636" s="817"/>
      <c r="T636" s="817"/>
      <c r="U636" s="816" t="s">
        <v>9551</v>
      </c>
      <c r="V636" s="816" t="s">
        <v>9551</v>
      </c>
      <c r="W636" s="267"/>
      <c r="X636" s="816" t="s">
        <v>26</v>
      </c>
      <c r="Y636">
        <v>26.9</v>
      </c>
      <c r="Z636">
        <v>44.3</v>
      </c>
      <c r="AA636" s="816" t="s">
        <v>9566</v>
      </c>
      <c r="AB636" s="816" t="s">
        <v>9604</v>
      </c>
      <c r="AC636" s="816"/>
      <c r="AD636" s="816"/>
      <c r="AE636" s="816"/>
      <c r="AF636" s="816"/>
      <c r="AG636" s="816"/>
      <c r="AI636" s="816"/>
      <c r="AK636" s="816"/>
      <c r="AM636" s="816"/>
    </row>
    <row r="637" spans="1:39" x14ac:dyDescent="0.25">
      <c r="A637" s="265">
        <v>44063</v>
      </c>
      <c r="B637">
        <v>4</v>
      </c>
      <c r="C637" s="816" t="s">
        <v>7</v>
      </c>
      <c r="D637">
        <v>534</v>
      </c>
      <c r="E637" s="816" t="s">
        <v>9543</v>
      </c>
      <c r="F637" s="816" t="s">
        <v>24</v>
      </c>
      <c r="G637" s="816" t="s">
        <v>9546</v>
      </c>
      <c r="H637">
        <v>17</v>
      </c>
      <c r="I637" s="816" t="s">
        <v>12</v>
      </c>
      <c r="J637" s="816" t="s">
        <v>12</v>
      </c>
      <c r="K637" s="817">
        <v>0.16001157407407407</v>
      </c>
      <c r="L637" s="817">
        <v>0.22667824074074075</v>
      </c>
      <c r="M637" s="817"/>
      <c r="N637" s="817"/>
      <c r="O637" s="817">
        <v>0.47417824074074072</v>
      </c>
      <c r="P637" s="817">
        <v>0.72167824074074083</v>
      </c>
      <c r="Q637" s="817"/>
      <c r="R637" s="816"/>
      <c r="S637" s="817"/>
      <c r="T637" s="817"/>
      <c r="U637" s="816" t="s">
        <v>9551</v>
      </c>
      <c r="V637" s="816" t="s">
        <v>9551</v>
      </c>
      <c r="W637" s="267"/>
      <c r="X637" s="816" t="s">
        <v>26</v>
      </c>
      <c r="Y637">
        <v>41</v>
      </c>
      <c r="Z637">
        <v>54.2</v>
      </c>
      <c r="AA637" s="816" t="s">
        <v>9567</v>
      </c>
      <c r="AB637" s="816" t="s">
        <v>9587</v>
      </c>
      <c r="AC637" s="816"/>
      <c r="AD637" s="816"/>
      <c r="AE637" s="816"/>
      <c r="AF637" s="816"/>
      <c r="AG637" s="816"/>
      <c r="AI637" s="816"/>
      <c r="AK637" s="816"/>
      <c r="AM637" s="816"/>
    </row>
    <row r="638" spans="1:39" x14ac:dyDescent="0.25">
      <c r="A638" s="265">
        <v>44064</v>
      </c>
      <c r="B638">
        <v>5</v>
      </c>
      <c r="C638" s="816" t="s">
        <v>1</v>
      </c>
      <c r="D638">
        <v>534</v>
      </c>
      <c r="E638" s="816" t="s">
        <v>9543</v>
      </c>
      <c r="F638" s="816" t="s">
        <v>24</v>
      </c>
      <c r="G638" s="816" t="s">
        <v>9546</v>
      </c>
      <c r="H638">
        <v>18</v>
      </c>
      <c r="I638" s="816" t="s">
        <v>23</v>
      </c>
      <c r="J638" s="816" t="s">
        <v>23</v>
      </c>
      <c r="K638" s="817">
        <v>0.15971064814814814</v>
      </c>
      <c r="L638" s="817">
        <v>0.22637731481481482</v>
      </c>
      <c r="M638" s="817"/>
      <c r="N638" s="817"/>
      <c r="O638" s="817">
        <v>0.47400462962962964</v>
      </c>
      <c r="P638" s="817">
        <v>0.72163194444444445</v>
      </c>
      <c r="Q638" s="817"/>
      <c r="R638" s="816"/>
      <c r="S638" s="817"/>
      <c r="T638" s="817"/>
      <c r="U638" s="816" t="s">
        <v>9551</v>
      </c>
      <c r="V638" s="816" t="s">
        <v>9551</v>
      </c>
      <c r="W638" s="267"/>
      <c r="X638" s="816" t="s">
        <v>26</v>
      </c>
      <c r="Y638">
        <v>56.1</v>
      </c>
      <c r="Z638">
        <v>65</v>
      </c>
      <c r="AA638" s="816" t="s">
        <v>9568</v>
      </c>
      <c r="AB638" s="816" t="s">
        <v>9588</v>
      </c>
      <c r="AC638" s="816"/>
      <c r="AD638" s="816"/>
      <c r="AE638" s="816"/>
      <c r="AF638" s="816"/>
      <c r="AG638" s="816"/>
      <c r="AI638" s="816"/>
      <c r="AK638" s="816"/>
      <c r="AM638" s="816"/>
    </row>
    <row r="639" spans="1:39" x14ac:dyDescent="0.25">
      <c r="A639" s="265">
        <v>44065</v>
      </c>
      <c r="B639">
        <v>6</v>
      </c>
      <c r="C639" s="816" t="s">
        <v>2</v>
      </c>
      <c r="D639">
        <v>534</v>
      </c>
      <c r="E639" s="816" t="s">
        <v>9543</v>
      </c>
      <c r="F639" s="816" t="s">
        <v>24</v>
      </c>
      <c r="G639" s="816" t="s">
        <v>9546</v>
      </c>
      <c r="H639">
        <v>19</v>
      </c>
      <c r="I639" s="816" t="s">
        <v>13</v>
      </c>
      <c r="J639" s="816" t="s">
        <v>13</v>
      </c>
      <c r="K639" s="817">
        <v>0.15939814814814815</v>
      </c>
      <c r="L639" s="817">
        <v>0.2260648148148148</v>
      </c>
      <c r="M639" s="817"/>
      <c r="N639" s="817"/>
      <c r="O639" s="817">
        <v>0.47383101851851855</v>
      </c>
      <c r="P639" s="817">
        <v>0.72158564814814818</v>
      </c>
      <c r="Q639" s="817"/>
      <c r="R639" s="816"/>
      <c r="S639" s="817"/>
      <c r="T639" s="817"/>
      <c r="U639" s="816" t="s">
        <v>9551</v>
      </c>
      <c r="V639" s="816" t="s">
        <v>9551</v>
      </c>
      <c r="W639" s="267"/>
      <c r="X639" s="816" t="s">
        <v>26</v>
      </c>
      <c r="Y639">
        <v>71.099999999999994</v>
      </c>
      <c r="Z639">
        <v>75.7</v>
      </c>
      <c r="AA639" s="816" t="s">
        <v>9569</v>
      </c>
      <c r="AB639" s="816" t="s">
        <v>9590</v>
      </c>
      <c r="AC639" s="816"/>
      <c r="AD639" s="816"/>
      <c r="AE639" s="816"/>
      <c r="AF639" s="816"/>
      <c r="AG639" s="816"/>
      <c r="AI639" s="816"/>
      <c r="AK639" s="816"/>
      <c r="AM639" s="816"/>
    </row>
    <row r="640" spans="1:39" x14ac:dyDescent="0.25">
      <c r="A640" s="265">
        <v>44066</v>
      </c>
      <c r="B640">
        <v>0</v>
      </c>
      <c r="C640" s="816" t="s">
        <v>3</v>
      </c>
      <c r="D640">
        <v>534</v>
      </c>
      <c r="E640" s="816" t="s">
        <v>9543</v>
      </c>
      <c r="F640" s="816" t="s">
        <v>24</v>
      </c>
      <c r="G640" s="816" t="s">
        <v>9546</v>
      </c>
      <c r="H640">
        <v>20</v>
      </c>
      <c r="I640" s="816" t="s">
        <v>14</v>
      </c>
      <c r="J640" s="816" t="s">
        <v>14</v>
      </c>
      <c r="K640" s="817">
        <v>0.15908564814814816</v>
      </c>
      <c r="L640" s="817">
        <v>0.22575231481481481</v>
      </c>
      <c r="M640" s="817"/>
      <c r="N640" s="817"/>
      <c r="O640" s="817">
        <v>0.47364583333333332</v>
      </c>
      <c r="P640" s="817">
        <v>0.72153935185185192</v>
      </c>
      <c r="Q640" s="817"/>
      <c r="R640" s="816"/>
      <c r="S640" s="817"/>
      <c r="T640" s="817"/>
      <c r="U640" s="816" t="s">
        <v>9551</v>
      </c>
      <c r="V640" s="816" t="s">
        <v>9551</v>
      </c>
      <c r="W640" s="267"/>
      <c r="X640" s="816" t="s">
        <v>26</v>
      </c>
      <c r="Y640">
        <v>85</v>
      </c>
      <c r="Z640">
        <v>85.5</v>
      </c>
      <c r="AA640" s="816" t="s">
        <v>9570</v>
      </c>
      <c r="AB640" s="816" t="s">
        <v>9591</v>
      </c>
      <c r="AC640" s="816"/>
      <c r="AD640" s="816"/>
      <c r="AE640" s="816"/>
      <c r="AF640" s="816"/>
      <c r="AG640" s="816"/>
      <c r="AI640" s="816"/>
      <c r="AK640" s="816"/>
      <c r="AM640" s="816"/>
    </row>
    <row r="641" spans="1:39" x14ac:dyDescent="0.25">
      <c r="A641" s="265">
        <v>44067</v>
      </c>
      <c r="B641">
        <v>1</v>
      </c>
      <c r="C641" s="816" t="s">
        <v>4</v>
      </c>
      <c r="D641">
        <v>534</v>
      </c>
      <c r="E641" s="816" t="s">
        <v>9543</v>
      </c>
      <c r="F641" s="816" t="s">
        <v>24</v>
      </c>
      <c r="G641" s="816" t="s">
        <v>9546</v>
      </c>
      <c r="H641">
        <v>21</v>
      </c>
      <c r="I641" s="816" t="s">
        <v>15</v>
      </c>
      <c r="J641" s="816" t="s">
        <v>15</v>
      </c>
      <c r="K641" s="817">
        <v>0.15876157407407407</v>
      </c>
      <c r="L641" s="817">
        <v>0.22542824074074075</v>
      </c>
      <c r="M641" s="817"/>
      <c r="N641" s="817"/>
      <c r="O641" s="817">
        <v>0.4734606481481482</v>
      </c>
      <c r="P641" s="817">
        <v>0.72149305555555554</v>
      </c>
      <c r="Q641" s="817"/>
      <c r="R641" s="816"/>
      <c r="S641" s="817"/>
      <c r="T641" s="817"/>
      <c r="U641" s="816" t="s">
        <v>9551</v>
      </c>
      <c r="V641" s="816" t="s">
        <v>9551</v>
      </c>
      <c r="W641" s="267"/>
      <c r="X641" s="816" t="s">
        <v>26</v>
      </c>
      <c r="Y641">
        <v>97</v>
      </c>
      <c r="Z641">
        <v>93.5</v>
      </c>
      <c r="AA641" s="816" t="s">
        <v>9571</v>
      </c>
      <c r="AB641" s="816" t="s">
        <v>9605</v>
      </c>
      <c r="AC641" s="816"/>
      <c r="AD641" s="816"/>
      <c r="AE641" s="816"/>
      <c r="AF641" s="816"/>
      <c r="AG641" s="816"/>
      <c r="AI641" s="816"/>
      <c r="AK641" s="816"/>
      <c r="AM641" s="816"/>
    </row>
    <row r="642" spans="1:39" x14ac:dyDescent="0.25">
      <c r="A642" s="265">
        <v>44068</v>
      </c>
      <c r="B642">
        <v>2</v>
      </c>
      <c r="C642" s="816" t="s">
        <v>5</v>
      </c>
      <c r="D642">
        <v>534</v>
      </c>
      <c r="E642" s="816" t="s">
        <v>9543</v>
      </c>
      <c r="F642" s="816" t="s">
        <v>24</v>
      </c>
      <c r="G642" s="816" t="s">
        <v>9546</v>
      </c>
      <c r="H642">
        <v>23</v>
      </c>
      <c r="I642" s="816" t="s">
        <v>17</v>
      </c>
      <c r="J642" s="816" t="s">
        <v>16</v>
      </c>
      <c r="K642" s="817">
        <v>0.15842592592592594</v>
      </c>
      <c r="L642" s="817">
        <v>0.22509259259259259</v>
      </c>
      <c r="M642" s="817"/>
      <c r="N642" s="817"/>
      <c r="O642" s="817">
        <v>0.47326388888888887</v>
      </c>
      <c r="P642" s="817">
        <v>0.72143518518518512</v>
      </c>
      <c r="Q642" s="817"/>
      <c r="R642" s="816"/>
      <c r="S642" s="817">
        <v>0.25208333333333333</v>
      </c>
      <c r="T642" s="817">
        <v>0.16250000000000001</v>
      </c>
      <c r="U642" s="816" t="s">
        <v>9551</v>
      </c>
      <c r="V642" s="816" t="s">
        <v>9551</v>
      </c>
      <c r="W642" s="267"/>
      <c r="X642" s="816" t="s">
        <v>26</v>
      </c>
      <c r="Y642">
        <v>6.8</v>
      </c>
      <c r="Z642">
        <v>99.6</v>
      </c>
      <c r="AA642" s="816" t="s">
        <v>9572</v>
      </c>
      <c r="AB642" s="816" t="s">
        <v>9592</v>
      </c>
      <c r="AC642" s="816"/>
      <c r="AD642" s="816"/>
      <c r="AE642" s="816"/>
      <c r="AF642" s="816"/>
      <c r="AG642" s="816"/>
      <c r="AI642" s="816"/>
      <c r="AK642" s="816"/>
      <c r="AM642" s="816"/>
    </row>
    <row r="643" spans="1:39" x14ac:dyDescent="0.25">
      <c r="A643" s="265">
        <v>44069</v>
      </c>
      <c r="B643">
        <v>3</v>
      </c>
      <c r="C643" s="816" t="s">
        <v>6</v>
      </c>
      <c r="D643">
        <v>534</v>
      </c>
      <c r="E643" s="816" t="s">
        <v>9543</v>
      </c>
      <c r="F643" s="816" t="s">
        <v>24</v>
      </c>
      <c r="G643" s="816" t="s">
        <v>9546</v>
      </c>
      <c r="H643">
        <v>24</v>
      </c>
      <c r="I643" s="816" t="s">
        <v>18</v>
      </c>
      <c r="J643" s="816" t="s">
        <v>18</v>
      </c>
      <c r="K643" s="817">
        <v>0.15809027777777776</v>
      </c>
      <c r="L643" s="817">
        <v>0.22475694444444447</v>
      </c>
      <c r="M643" s="817"/>
      <c r="N643" s="817"/>
      <c r="O643" s="817">
        <v>0.4730671296296296</v>
      </c>
      <c r="P643" s="817">
        <v>0.72137731481481471</v>
      </c>
      <c r="Q643" s="817"/>
      <c r="R643" s="816"/>
      <c r="S643" s="817"/>
      <c r="T643" s="817"/>
      <c r="U643" s="816" t="s">
        <v>9551</v>
      </c>
      <c r="V643" s="816" t="s">
        <v>9551</v>
      </c>
      <c r="W643" s="267"/>
      <c r="X643" s="816" t="s">
        <v>26</v>
      </c>
      <c r="Y643">
        <v>14.2</v>
      </c>
      <c r="Z643">
        <v>3.5</v>
      </c>
      <c r="AA643" s="816" t="s">
        <v>9574</v>
      </c>
      <c r="AB643" s="816" t="s">
        <v>9593</v>
      </c>
      <c r="AC643" s="816"/>
      <c r="AD643" s="816"/>
      <c r="AE643" s="816"/>
      <c r="AF643" s="816"/>
      <c r="AG643" s="816"/>
      <c r="AI643" s="816"/>
      <c r="AK643" s="816"/>
      <c r="AM643" s="816"/>
    </row>
    <row r="644" spans="1:39" x14ac:dyDescent="0.25">
      <c r="A644" s="265">
        <v>44070</v>
      </c>
      <c r="B644">
        <v>4</v>
      </c>
      <c r="C644" s="816" t="s">
        <v>7</v>
      </c>
      <c r="D644">
        <v>534</v>
      </c>
      <c r="E644" s="816" t="s">
        <v>9543</v>
      </c>
      <c r="F644" s="816" t="s">
        <v>24</v>
      </c>
      <c r="G644" s="816" t="s">
        <v>9546</v>
      </c>
      <c r="H644">
        <v>25</v>
      </c>
      <c r="I644" s="816" t="s">
        <v>19</v>
      </c>
      <c r="J644" s="816" t="s">
        <v>19</v>
      </c>
      <c r="K644" s="817">
        <v>0.15775462962962963</v>
      </c>
      <c r="L644" s="817">
        <v>0.22442129629629629</v>
      </c>
      <c r="M644" s="817"/>
      <c r="N644" s="817"/>
      <c r="O644" s="817">
        <v>0.47287037037037033</v>
      </c>
      <c r="P644" s="817">
        <v>0.72130787037037036</v>
      </c>
      <c r="Q644" s="817"/>
      <c r="R644" s="816"/>
      <c r="S644" s="817"/>
      <c r="T644" s="817"/>
      <c r="U644" s="816" t="s">
        <v>9551</v>
      </c>
      <c r="V644" s="816" t="s">
        <v>9551</v>
      </c>
      <c r="W644" s="267"/>
      <c r="X644" s="816" t="s">
        <v>26</v>
      </c>
      <c r="Y644">
        <v>19.2</v>
      </c>
      <c r="Z644">
        <v>5.2</v>
      </c>
      <c r="AA644" s="816" t="s">
        <v>9575</v>
      </c>
      <c r="AB644" s="816" t="s">
        <v>9594</v>
      </c>
      <c r="AC644" s="816" t="s">
        <v>9632</v>
      </c>
      <c r="AD644" s="816"/>
      <c r="AE644" s="816"/>
      <c r="AF644" s="816"/>
      <c r="AG644" s="816"/>
      <c r="AI644" s="816"/>
      <c r="AK644" s="816"/>
      <c r="AM644" s="816"/>
    </row>
    <row r="645" spans="1:39" x14ac:dyDescent="0.25">
      <c r="A645" s="265">
        <v>44071</v>
      </c>
      <c r="B645">
        <v>5</v>
      </c>
      <c r="C645" s="816" t="s">
        <v>1</v>
      </c>
      <c r="D645">
        <v>534</v>
      </c>
      <c r="E645" s="816" t="s">
        <v>9543</v>
      </c>
      <c r="F645" s="816" t="s">
        <v>24</v>
      </c>
      <c r="G645" s="816" t="s">
        <v>9546</v>
      </c>
      <c r="H645">
        <v>26</v>
      </c>
      <c r="I645" s="816" t="s">
        <v>9548</v>
      </c>
      <c r="J645" s="816" t="s">
        <v>20</v>
      </c>
      <c r="K645" s="817">
        <v>0.15740740740740741</v>
      </c>
      <c r="L645" s="817">
        <v>0.22407407407407409</v>
      </c>
      <c r="M645" s="817"/>
      <c r="N645" s="817"/>
      <c r="O645" s="817">
        <v>0.47266203703703707</v>
      </c>
      <c r="P645" s="817">
        <v>0.72124999999999995</v>
      </c>
      <c r="Q645" s="817"/>
      <c r="R645" s="816"/>
      <c r="S645" s="817"/>
      <c r="T645" s="817"/>
      <c r="U645" s="816" t="s">
        <v>9551</v>
      </c>
      <c r="V645" s="816" t="s">
        <v>9551</v>
      </c>
      <c r="W645" s="267"/>
      <c r="X645" s="816" t="s">
        <v>26</v>
      </c>
      <c r="Y645">
        <v>22.2</v>
      </c>
      <c r="Z645">
        <v>5.0999999999999996</v>
      </c>
      <c r="AA645" s="816" t="s">
        <v>9576</v>
      </c>
      <c r="AB645" s="816" t="s">
        <v>9595</v>
      </c>
      <c r="AC645" s="816" t="s">
        <v>9633</v>
      </c>
      <c r="AD645" s="816"/>
      <c r="AE645" s="816"/>
      <c r="AF645" s="816" t="s">
        <v>72</v>
      </c>
      <c r="AG645" s="816" t="s">
        <v>62</v>
      </c>
      <c r="AH645">
        <v>-1</v>
      </c>
      <c r="AI645" s="816"/>
      <c r="AK645" s="816"/>
      <c r="AM645" s="816"/>
    </row>
    <row r="646" spans="1:39" x14ac:dyDescent="0.25">
      <c r="A646" s="265">
        <v>44072</v>
      </c>
      <c r="B646">
        <v>6</v>
      </c>
      <c r="C646" s="816" t="s">
        <v>2</v>
      </c>
      <c r="D646">
        <v>534</v>
      </c>
      <c r="E646" s="816" t="s">
        <v>9543</v>
      </c>
      <c r="F646" s="816" t="s">
        <v>24</v>
      </c>
      <c r="G646" s="816" t="s">
        <v>9546</v>
      </c>
      <c r="H646">
        <v>27</v>
      </c>
      <c r="I646" s="816" t="s">
        <v>21</v>
      </c>
      <c r="J646" s="816" t="s">
        <v>21</v>
      </c>
      <c r="K646" s="817">
        <v>0.15706018518518519</v>
      </c>
      <c r="L646" s="817">
        <v>0.22372685185185184</v>
      </c>
      <c r="M646" s="817">
        <v>0.24305555555555555</v>
      </c>
      <c r="N646" s="817">
        <v>0.3888888888888889</v>
      </c>
      <c r="O646" s="817">
        <v>0.47245370370370371</v>
      </c>
      <c r="P646" s="817">
        <v>0.7211805555555556</v>
      </c>
      <c r="Q646" s="817"/>
      <c r="R646" s="816"/>
      <c r="S646" s="817"/>
      <c r="T646" s="817"/>
      <c r="U646" s="816" t="s">
        <v>9551</v>
      </c>
      <c r="V646" s="816" t="s">
        <v>9551</v>
      </c>
      <c r="W646" s="267"/>
      <c r="X646" s="816" t="s">
        <v>26</v>
      </c>
      <c r="Y646">
        <v>23.2</v>
      </c>
      <c r="Z646">
        <v>3.3</v>
      </c>
      <c r="AA646" s="816" t="s">
        <v>9577</v>
      </c>
      <c r="AB646" s="816" t="s">
        <v>9596</v>
      </c>
      <c r="AC646" s="816"/>
      <c r="AD646" s="816"/>
      <c r="AE646" s="816"/>
      <c r="AF646" s="816"/>
      <c r="AG646" s="816"/>
      <c r="AI646" s="816"/>
      <c r="AK646" s="816"/>
      <c r="AM646" s="816"/>
    </row>
    <row r="647" spans="1:39" x14ac:dyDescent="0.25">
      <c r="A647" s="265">
        <v>44073</v>
      </c>
      <c r="B647">
        <v>0</v>
      </c>
      <c r="C647" s="816" t="s">
        <v>3</v>
      </c>
      <c r="D647">
        <v>534</v>
      </c>
      <c r="E647" s="816" t="s">
        <v>9543</v>
      </c>
      <c r="F647" s="816" t="s">
        <v>24</v>
      </c>
      <c r="G647" s="816" t="s">
        <v>9546</v>
      </c>
      <c r="H647">
        <v>28</v>
      </c>
      <c r="I647" s="816" t="s">
        <v>8</v>
      </c>
      <c r="J647" s="816" t="s">
        <v>8</v>
      </c>
      <c r="K647" s="817">
        <v>0.15670138888888888</v>
      </c>
      <c r="L647" s="817">
        <v>0.22336805555555553</v>
      </c>
      <c r="M647" s="817"/>
      <c r="N647" s="817"/>
      <c r="O647" s="817">
        <v>0.4722337962962963</v>
      </c>
      <c r="P647" s="817">
        <v>0.72109953703703711</v>
      </c>
      <c r="Q647" s="817"/>
      <c r="R647" s="816"/>
      <c r="S647" s="817"/>
      <c r="T647" s="817"/>
      <c r="U647" s="816" t="s">
        <v>9551</v>
      </c>
      <c r="V647" s="816" t="s">
        <v>9551</v>
      </c>
      <c r="W647" s="267"/>
      <c r="X647" s="816" t="s">
        <v>26</v>
      </c>
      <c r="Y647">
        <v>22.5</v>
      </c>
      <c r="Z647">
        <v>99.9</v>
      </c>
      <c r="AA647" s="816" t="s">
        <v>9577</v>
      </c>
      <c r="AB647" s="816" t="s">
        <v>9597</v>
      </c>
      <c r="AC647" s="816"/>
      <c r="AD647" s="816"/>
      <c r="AE647" s="816"/>
      <c r="AF647" s="816"/>
      <c r="AG647" s="816"/>
      <c r="AI647" s="816"/>
      <c r="AK647" s="816"/>
      <c r="AM647" s="816"/>
    </row>
    <row r="648" spans="1:39" x14ac:dyDescent="0.25">
      <c r="A648" s="265">
        <v>44074</v>
      </c>
      <c r="B648">
        <v>1</v>
      </c>
      <c r="C648" s="816" t="s">
        <v>4</v>
      </c>
      <c r="D648">
        <v>534</v>
      </c>
      <c r="E648" s="816" t="s">
        <v>9543</v>
      </c>
      <c r="F648" s="816" t="s">
        <v>24</v>
      </c>
      <c r="G648" s="816" t="s">
        <v>9546</v>
      </c>
      <c r="H648">
        <v>29</v>
      </c>
      <c r="I648" s="816" t="s">
        <v>9</v>
      </c>
      <c r="J648" s="816" t="s">
        <v>9</v>
      </c>
      <c r="K648" s="817">
        <v>0.15634259259259259</v>
      </c>
      <c r="L648" s="817">
        <v>0.22300925925925927</v>
      </c>
      <c r="M648" s="817"/>
      <c r="N648" s="817"/>
      <c r="O648" s="817">
        <v>0.4720138888888889</v>
      </c>
      <c r="P648" s="817">
        <v>0.72103009259259254</v>
      </c>
      <c r="Q648" s="817"/>
      <c r="R648" s="816"/>
      <c r="S648" s="817"/>
      <c r="T648" s="817"/>
      <c r="U648" s="816" t="s">
        <v>9551</v>
      </c>
      <c r="V648" s="816" t="s">
        <v>9551</v>
      </c>
      <c r="W648" s="267"/>
      <c r="X648" s="816" t="s">
        <v>26</v>
      </c>
      <c r="Y648">
        <v>20.3</v>
      </c>
      <c r="Z648">
        <v>95.1</v>
      </c>
      <c r="AA648" s="816" t="s">
        <v>9552</v>
      </c>
      <c r="AB648" s="816" t="s">
        <v>9599</v>
      </c>
      <c r="AC648" s="816" t="s">
        <v>9634</v>
      </c>
      <c r="AD648" s="816"/>
      <c r="AE648" s="816"/>
      <c r="AF648" s="816"/>
      <c r="AG648" s="816"/>
      <c r="AI648" s="816"/>
      <c r="AK648" s="816"/>
      <c r="AM648" s="816"/>
    </row>
    <row r="649" spans="1:39" x14ac:dyDescent="0.25">
      <c r="A649" s="265">
        <v>44075</v>
      </c>
      <c r="B649">
        <v>2</v>
      </c>
      <c r="C649" s="816" t="s">
        <v>5</v>
      </c>
      <c r="D649">
        <v>534</v>
      </c>
      <c r="E649" s="816" t="s">
        <v>9543</v>
      </c>
      <c r="F649" s="816" t="s">
        <v>24</v>
      </c>
      <c r="G649" s="816" t="s">
        <v>9546</v>
      </c>
      <c r="H649">
        <v>30</v>
      </c>
      <c r="I649" s="816" t="s">
        <v>10</v>
      </c>
      <c r="J649" s="816" t="s">
        <v>10</v>
      </c>
      <c r="K649" s="817">
        <v>0.15597222222222221</v>
      </c>
      <c r="L649" s="817">
        <v>0.22263888888888891</v>
      </c>
      <c r="M649" s="817"/>
      <c r="N649" s="817"/>
      <c r="O649" s="817">
        <v>0.47179398148148149</v>
      </c>
      <c r="P649" s="817">
        <v>0.72094907407407405</v>
      </c>
      <c r="Q649" s="817"/>
      <c r="R649" s="816"/>
      <c r="S649" s="817"/>
      <c r="T649" s="817"/>
      <c r="U649" s="816" t="s">
        <v>9551</v>
      </c>
      <c r="V649" s="816" t="s">
        <v>9551</v>
      </c>
      <c r="W649" s="267"/>
      <c r="X649" s="816" t="s">
        <v>26</v>
      </c>
      <c r="Y649">
        <v>16.600000000000001</v>
      </c>
      <c r="Z649">
        <v>89.1</v>
      </c>
      <c r="AA649" s="816" t="s">
        <v>9553</v>
      </c>
      <c r="AB649" s="816" t="s">
        <v>9600</v>
      </c>
      <c r="AC649" s="816" t="s">
        <v>9635</v>
      </c>
      <c r="AD649" s="816" t="s">
        <v>9646</v>
      </c>
      <c r="AE649" s="816"/>
      <c r="AF649" s="816"/>
      <c r="AG649" s="816"/>
      <c r="AI649" s="816"/>
      <c r="AK649" s="816"/>
      <c r="AM649" s="816"/>
    </row>
    <row r="650" spans="1:39" x14ac:dyDescent="0.25">
      <c r="A650" s="265">
        <v>44076</v>
      </c>
      <c r="B650">
        <v>3</v>
      </c>
      <c r="C650" s="816" t="s">
        <v>6</v>
      </c>
      <c r="D650">
        <v>534</v>
      </c>
      <c r="E650" s="816" t="s">
        <v>9544</v>
      </c>
      <c r="F650" s="816" t="s">
        <v>25</v>
      </c>
      <c r="G650" s="816" t="s">
        <v>9547</v>
      </c>
      <c r="H650">
        <v>1</v>
      </c>
      <c r="I650" s="816" t="s">
        <v>11</v>
      </c>
      <c r="J650" s="816" t="s">
        <v>11</v>
      </c>
      <c r="K650" s="817">
        <v>0.15561342592592595</v>
      </c>
      <c r="L650" s="817">
        <v>0.2222800925925926</v>
      </c>
      <c r="M650" s="817"/>
      <c r="N650" s="817"/>
      <c r="O650" s="817">
        <v>0.47157407407407409</v>
      </c>
      <c r="P650" s="817">
        <v>0.72086805555555555</v>
      </c>
      <c r="Q650" s="817"/>
      <c r="R650" s="816"/>
      <c r="S650" s="817"/>
      <c r="T650" s="817"/>
      <c r="U650" s="816" t="s">
        <v>9551</v>
      </c>
      <c r="V650" s="816" t="s">
        <v>9551</v>
      </c>
      <c r="W650" s="267"/>
      <c r="X650" s="816" t="s">
        <v>26</v>
      </c>
      <c r="Y650">
        <v>11.5</v>
      </c>
      <c r="Z650">
        <v>81.8</v>
      </c>
      <c r="AA650" s="816" t="s">
        <v>9554</v>
      </c>
      <c r="AB650" s="816" t="s">
        <v>9601</v>
      </c>
      <c r="AC650" s="816" t="s">
        <v>9636</v>
      </c>
      <c r="AD650" s="816"/>
      <c r="AE650" s="816"/>
      <c r="AF650" s="816"/>
      <c r="AG650" s="816"/>
      <c r="AI650" s="816"/>
      <c r="AK650" s="816"/>
      <c r="AM650" s="816"/>
    </row>
    <row r="651" spans="1:39" x14ac:dyDescent="0.25">
      <c r="A651" s="265">
        <v>44077</v>
      </c>
      <c r="B651">
        <v>4</v>
      </c>
      <c r="C651" s="816" t="s">
        <v>7</v>
      </c>
      <c r="D651">
        <v>534</v>
      </c>
      <c r="E651" s="816" t="s">
        <v>9544</v>
      </c>
      <c r="F651" s="816" t="s">
        <v>25</v>
      </c>
      <c r="G651" s="816" t="s">
        <v>9547</v>
      </c>
      <c r="H651">
        <v>2</v>
      </c>
      <c r="I651" s="816" t="s">
        <v>12</v>
      </c>
      <c r="J651" s="816" t="s">
        <v>11</v>
      </c>
      <c r="K651" s="817">
        <v>0.15524305555555554</v>
      </c>
      <c r="L651" s="817">
        <v>0.22190972222222224</v>
      </c>
      <c r="M651" s="817"/>
      <c r="N651" s="817"/>
      <c r="O651" s="817">
        <v>0.47134259259259265</v>
      </c>
      <c r="P651" s="817">
        <v>0.72078703703703706</v>
      </c>
      <c r="Q651" s="817"/>
      <c r="R651" s="816"/>
      <c r="S651" s="817"/>
      <c r="T651" s="817"/>
      <c r="U651" s="816" t="s">
        <v>9551</v>
      </c>
      <c r="V651" s="816" t="s">
        <v>9551</v>
      </c>
      <c r="W651" s="267"/>
      <c r="X651" s="816" t="s">
        <v>26</v>
      </c>
      <c r="Y651">
        <v>5.2</v>
      </c>
      <c r="Z651">
        <v>73.3</v>
      </c>
      <c r="AA651" s="816" t="s">
        <v>9555</v>
      </c>
      <c r="AB651" s="816" t="s">
        <v>9602</v>
      </c>
      <c r="AC651" s="816"/>
      <c r="AD651" s="816"/>
      <c r="AE651" s="816"/>
      <c r="AF651" s="816"/>
      <c r="AG651" s="816"/>
      <c r="AI651" s="816"/>
      <c r="AK651" s="816"/>
      <c r="AM651" s="816"/>
    </row>
    <row r="652" spans="1:39" x14ac:dyDescent="0.25">
      <c r="A652" s="265">
        <v>44078</v>
      </c>
      <c r="B652">
        <v>5</v>
      </c>
      <c r="C652" s="816" t="s">
        <v>1</v>
      </c>
      <c r="D652">
        <v>534</v>
      </c>
      <c r="E652" s="816" t="s">
        <v>9544</v>
      </c>
      <c r="F652" s="816" t="s">
        <v>25</v>
      </c>
      <c r="G652" s="816" t="s">
        <v>9547</v>
      </c>
      <c r="H652">
        <v>2</v>
      </c>
      <c r="I652" s="816" t="s">
        <v>12</v>
      </c>
      <c r="J652" s="816" t="s">
        <v>12</v>
      </c>
      <c r="K652" s="817">
        <v>0.15486111111111112</v>
      </c>
      <c r="L652" s="817">
        <v>0.22152777777777777</v>
      </c>
      <c r="M652" s="817"/>
      <c r="N652" s="817"/>
      <c r="O652" s="817">
        <v>0.47111111111111109</v>
      </c>
      <c r="P652" s="817">
        <v>0.72069444444444442</v>
      </c>
      <c r="Q652" s="817"/>
      <c r="R652" s="816"/>
      <c r="S652" s="817"/>
      <c r="T652" s="817"/>
      <c r="U652" s="816" t="s">
        <v>9551</v>
      </c>
      <c r="V652" s="816" t="s">
        <v>9551</v>
      </c>
      <c r="W652" s="267"/>
      <c r="X652" s="816" t="s">
        <v>27</v>
      </c>
      <c r="Y652">
        <v>97.6</v>
      </c>
      <c r="Z652">
        <v>63.8</v>
      </c>
      <c r="AA652" s="816" t="s">
        <v>9556</v>
      </c>
      <c r="AB652" s="816" t="s">
        <v>9602</v>
      </c>
      <c r="AC652" s="816"/>
      <c r="AD652" s="816"/>
      <c r="AE652" s="816"/>
      <c r="AF652" s="816"/>
      <c r="AG652" s="816"/>
      <c r="AI652" s="816"/>
      <c r="AK652" s="816"/>
      <c r="AM652" s="816"/>
    </row>
    <row r="653" spans="1:39" x14ac:dyDescent="0.25">
      <c r="A653" s="265">
        <v>44079</v>
      </c>
      <c r="B653">
        <v>6</v>
      </c>
      <c r="C653" s="816" t="s">
        <v>2</v>
      </c>
      <c r="D653">
        <v>534</v>
      </c>
      <c r="E653" s="816" t="s">
        <v>9544</v>
      </c>
      <c r="F653" s="816" t="s">
        <v>25</v>
      </c>
      <c r="G653" s="816" t="s">
        <v>9547</v>
      </c>
      <c r="H653">
        <v>3</v>
      </c>
      <c r="I653" s="816" t="s">
        <v>23</v>
      </c>
      <c r="J653" s="816" t="s">
        <v>23</v>
      </c>
      <c r="K653" s="817">
        <v>0.15449074074074073</v>
      </c>
      <c r="L653" s="817">
        <v>0.22115740740740741</v>
      </c>
      <c r="M653" s="817"/>
      <c r="N653" s="817"/>
      <c r="O653" s="817">
        <v>0.47087962962962965</v>
      </c>
      <c r="P653" s="817">
        <v>0.72061342592592592</v>
      </c>
      <c r="Q653" s="817"/>
      <c r="R653" s="816"/>
      <c r="S653" s="817"/>
      <c r="T653" s="817"/>
      <c r="U653" s="816" t="s">
        <v>9551</v>
      </c>
      <c r="V653" s="816" t="s">
        <v>9551</v>
      </c>
      <c r="W653" s="267"/>
      <c r="X653" s="816" t="s">
        <v>26</v>
      </c>
      <c r="Y653">
        <v>89.1</v>
      </c>
      <c r="Z653">
        <v>53.4</v>
      </c>
      <c r="AA653" s="816" t="s">
        <v>9557</v>
      </c>
      <c r="AB653" s="816" t="s">
        <v>9603</v>
      </c>
      <c r="AC653" s="816"/>
      <c r="AD653" s="816"/>
      <c r="AE653" s="816"/>
      <c r="AF653" s="816"/>
      <c r="AG653" s="816"/>
      <c r="AI653" s="816"/>
      <c r="AK653" s="816"/>
      <c r="AM653" s="816"/>
    </row>
    <row r="654" spans="1:39" x14ac:dyDescent="0.25">
      <c r="A654" s="265">
        <v>44080</v>
      </c>
      <c r="B654">
        <v>0</v>
      </c>
      <c r="C654" s="816" t="s">
        <v>3</v>
      </c>
      <c r="D654">
        <v>534</v>
      </c>
      <c r="E654" s="816" t="s">
        <v>9544</v>
      </c>
      <c r="F654" s="816" t="s">
        <v>25</v>
      </c>
      <c r="G654" s="816" t="s">
        <v>9547</v>
      </c>
      <c r="H654">
        <v>4</v>
      </c>
      <c r="I654" s="816" t="s">
        <v>13</v>
      </c>
      <c r="J654" s="816" t="s">
        <v>13</v>
      </c>
      <c r="K654" s="817">
        <v>0.15410879629629629</v>
      </c>
      <c r="L654" s="817">
        <v>0.22077546296296294</v>
      </c>
      <c r="M654" s="817"/>
      <c r="N654" s="817"/>
      <c r="O654" s="817">
        <v>0.47064814814814815</v>
      </c>
      <c r="P654" s="817">
        <v>0.72052083333333339</v>
      </c>
      <c r="Q654" s="817"/>
      <c r="R654" s="816"/>
      <c r="S654" s="817"/>
      <c r="T654" s="817"/>
      <c r="U654" s="816" t="s">
        <v>9551</v>
      </c>
      <c r="V654" s="816" t="s">
        <v>9551</v>
      </c>
      <c r="W654" s="267"/>
      <c r="X654" s="816" t="s">
        <v>26</v>
      </c>
      <c r="Y654">
        <v>79.8</v>
      </c>
      <c r="Z654">
        <v>42.3</v>
      </c>
      <c r="AA654" s="816" t="s">
        <v>9558</v>
      </c>
      <c r="AB654" s="816" t="s">
        <v>9579</v>
      </c>
      <c r="AC654" s="816"/>
      <c r="AD654" s="816"/>
      <c r="AE654" s="816"/>
      <c r="AF654" s="816"/>
      <c r="AG654" s="816"/>
      <c r="AI654" s="816"/>
      <c r="AK654" s="816"/>
      <c r="AM654" s="816"/>
    </row>
    <row r="655" spans="1:39" x14ac:dyDescent="0.25">
      <c r="A655" s="265">
        <v>44081</v>
      </c>
      <c r="B655">
        <v>1</v>
      </c>
      <c r="C655" s="816" t="s">
        <v>4</v>
      </c>
      <c r="D655">
        <v>534</v>
      </c>
      <c r="E655" s="816" t="s">
        <v>9544</v>
      </c>
      <c r="F655" s="816" t="s">
        <v>25</v>
      </c>
      <c r="G655" s="816" t="s">
        <v>9547</v>
      </c>
      <c r="H655">
        <v>5</v>
      </c>
      <c r="I655" s="816" t="s">
        <v>14</v>
      </c>
      <c r="J655" s="816" t="s">
        <v>14</v>
      </c>
      <c r="K655" s="817">
        <v>0.1537152777777778</v>
      </c>
      <c r="L655" s="817">
        <v>0.22038194444444445</v>
      </c>
      <c r="M655" s="817"/>
      <c r="N655" s="817"/>
      <c r="O655" s="817">
        <v>0.47040509259259261</v>
      </c>
      <c r="P655" s="817">
        <v>0.72042824074074074</v>
      </c>
      <c r="Q655" s="817"/>
      <c r="R655" s="816"/>
      <c r="S655" s="817"/>
      <c r="T655" s="817"/>
      <c r="U655" s="816" t="s">
        <v>9551</v>
      </c>
      <c r="V655" s="816" t="s">
        <v>9551</v>
      </c>
      <c r="W655" s="267"/>
      <c r="X655" s="816" t="s">
        <v>26</v>
      </c>
      <c r="Y655">
        <v>70.2</v>
      </c>
      <c r="Z655">
        <v>30.9</v>
      </c>
      <c r="AA655" s="816" t="s">
        <v>9578</v>
      </c>
      <c r="AB655" s="816" t="s">
        <v>9580</v>
      </c>
      <c r="AC655" s="816"/>
      <c r="AD655" s="816"/>
      <c r="AE655" s="816"/>
      <c r="AF655" s="816"/>
      <c r="AG655" s="816"/>
      <c r="AI655" s="816"/>
      <c r="AK655" s="816"/>
      <c r="AM655" s="816"/>
    </row>
    <row r="656" spans="1:39" x14ac:dyDescent="0.25">
      <c r="A656" s="265">
        <v>44082</v>
      </c>
      <c r="B656">
        <v>2</v>
      </c>
      <c r="C656" s="816" t="s">
        <v>5</v>
      </c>
      <c r="D656">
        <v>534</v>
      </c>
      <c r="E656" s="816" t="s">
        <v>9544</v>
      </c>
      <c r="F656" s="816" t="s">
        <v>25</v>
      </c>
      <c r="G656" s="816" t="s">
        <v>9547</v>
      </c>
      <c r="H656">
        <v>6</v>
      </c>
      <c r="I656" s="816" t="s">
        <v>15</v>
      </c>
      <c r="J656" s="816" t="s">
        <v>15</v>
      </c>
      <c r="K656" s="817">
        <v>0.15333333333333332</v>
      </c>
      <c r="L656" s="817">
        <v>0.22</v>
      </c>
      <c r="M656" s="817"/>
      <c r="N656" s="817"/>
      <c r="O656" s="817">
        <v>0.47017361111111117</v>
      </c>
      <c r="P656" s="817">
        <v>0.7203356481481481</v>
      </c>
      <c r="Q656" s="817"/>
      <c r="R656" s="816"/>
      <c r="S656" s="817"/>
      <c r="T656" s="817"/>
      <c r="U656" s="816" t="s">
        <v>9551</v>
      </c>
      <c r="V656" s="816" t="s">
        <v>9551</v>
      </c>
      <c r="W656" s="267"/>
      <c r="X656" s="816" t="s">
        <v>26</v>
      </c>
      <c r="Y656">
        <v>60.8</v>
      </c>
      <c r="Z656">
        <v>19.8</v>
      </c>
      <c r="AA656" s="816" t="s">
        <v>9559</v>
      </c>
      <c r="AB656" s="816" t="s">
        <v>9581</v>
      </c>
      <c r="AC656" s="816"/>
      <c r="AD656" s="816"/>
      <c r="AE656" s="816"/>
      <c r="AF656" s="816"/>
      <c r="AG656" s="816"/>
      <c r="AI656" s="816"/>
      <c r="AK656" s="816"/>
      <c r="AM656" s="816"/>
    </row>
    <row r="657" spans="1:39" x14ac:dyDescent="0.25">
      <c r="A657" s="265">
        <v>44083</v>
      </c>
      <c r="B657">
        <v>3</v>
      </c>
      <c r="C657" s="816" t="s">
        <v>6</v>
      </c>
      <c r="D657">
        <v>534</v>
      </c>
      <c r="E657" s="816" t="s">
        <v>9544</v>
      </c>
      <c r="F657" s="816" t="s">
        <v>25</v>
      </c>
      <c r="G657" s="816" t="s">
        <v>9547</v>
      </c>
      <c r="H657">
        <v>7</v>
      </c>
      <c r="I657" s="816" t="s">
        <v>16</v>
      </c>
      <c r="J657" s="816" t="s">
        <v>16</v>
      </c>
      <c r="K657" s="817">
        <v>0.15293981481481481</v>
      </c>
      <c r="L657" s="817">
        <v>0.21960648148148146</v>
      </c>
      <c r="M657" s="817"/>
      <c r="N657" s="817"/>
      <c r="O657" s="817">
        <v>0.46993055555555552</v>
      </c>
      <c r="P657" s="817">
        <v>0.72024305555555557</v>
      </c>
      <c r="Q657" s="817"/>
      <c r="R657" s="816"/>
      <c r="S657" s="817"/>
      <c r="T657" s="817"/>
      <c r="U657" s="816" t="s">
        <v>9551</v>
      </c>
      <c r="V657" s="816" t="s">
        <v>9551</v>
      </c>
      <c r="W657" s="267"/>
      <c r="X657" s="816" t="s">
        <v>26</v>
      </c>
      <c r="Y657">
        <v>52.3</v>
      </c>
      <c r="Z657">
        <v>9.4</v>
      </c>
      <c r="AA657" s="816" t="s">
        <v>9560</v>
      </c>
      <c r="AB657" s="816" t="s">
        <v>9582</v>
      </c>
      <c r="AC657" s="816"/>
      <c r="AD657" s="816"/>
      <c r="AE657" s="816"/>
      <c r="AF657" s="816"/>
      <c r="AG657" s="816"/>
      <c r="AI657" s="816"/>
      <c r="AK657" s="816"/>
      <c r="AM657" s="816"/>
    </row>
    <row r="658" spans="1:39" x14ac:dyDescent="0.25">
      <c r="A658" s="265">
        <v>44084</v>
      </c>
      <c r="B658">
        <v>4</v>
      </c>
      <c r="C658" s="816" t="s">
        <v>7</v>
      </c>
      <c r="D658">
        <v>534</v>
      </c>
      <c r="E658" s="816" t="s">
        <v>9544</v>
      </c>
      <c r="F658" s="816" t="s">
        <v>25</v>
      </c>
      <c r="G658" s="816" t="s">
        <v>9547</v>
      </c>
      <c r="H658">
        <v>8</v>
      </c>
      <c r="I658" s="816" t="s">
        <v>17</v>
      </c>
      <c r="J658" s="816" t="s">
        <v>17</v>
      </c>
      <c r="K658" s="817">
        <v>0.15254629629629629</v>
      </c>
      <c r="L658" s="817">
        <v>0.21921296296296297</v>
      </c>
      <c r="M658" s="817"/>
      <c r="N658" s="817"/>
      <c r="O658" s="817">
        <v>0.46968750000000004</v>
      </c>
      <c r="P658" s="817">
        <v>0.72015046296296292</v>
      </c>
      <c r="Q658" s="817"/>
      <c r="R658" s="816"/>
      <c r="S658" s="817"/>
      <c r="T658" s="817"/>
      <c r="U658" s="816" t="s">
        <v>9551</v>
      </c>
      <c r="V658" s="816" t="s">
        <v>9551</v>
      </c>
      <c r="W658" s="267"/>
      <c r="X658" s="816" t="s">
        <v>26</v>
      </c>
      <c r="Y658">
        <v>45.3</v>
      </c>
      <c r="Z658">
        <v>0.4</v>
      </c>
      <c r="AA658" s="816" t="s">
        <v>9561</v>
      </c>
      <c r="AB658" s="816" t="s">
        <v>9583</v>
      </c>
      <c r="AC658" s="816"/>
      <c r="AD658" s="816"/>
      <c r="AE658" s="816"/>
      <c r="AF658" s="816"/>
      <c r="AG658" s="816"/>
      <c r="AI658" s="816"/>
      <c r="AK658" s="816"/>
      <c r="AM658" s="816"/>
    </row>
    <row r="659" spans="1:39" x14ac:dyDescent="0.25">
      <c r="A659" s="265">
        <v>44085</v>
      </c>
      <c r="B659">
        <v>5</v>
      </c>
      <c r="C659" s="816" t="s">
        <v>1</v>
      </c>
      <c r="D659">
        <v>534</v>
      </c>
      <c r="E659" s="816" t="s">
        <v>9544</v>
      </c>
      <c r="F659" s="816" t="s">
        <v>25</v>
      </c>
      <c r="G659" s="816" t="s">
        <v>9547</v>
      </c>
      <c r="H659">
        <v>9</v>
      </c>
      <c r="I659" s="816" t="s">
        <v>18</v>
      </c>
      <c r="J659" s="816" t="s">
        <v>18</v>
      </c>
      <c r="K659" s="817">
        <v>0.15215277777777778</v>
      </c>
      <c r="L659" s="817">
        <v>0.21881944444444446</v>
      </c>
      <c r="M659" s="817"/>
      <c r="N659" s="817"/>
      <c r="O659" s="817">
        <v>0.4694444444444445</v>
      </c>
      <c r="P659" s="817">
        <v>0.72005787037037028</v>
      </c>
      <c r="Q659" s="817"/>
      <c r="R659" s="816"/>
      <c r="S659" s="817"/>
      <c r="T659" s="817"/>
      <c r="U659" s="816" t="s">
        <v>9551</v>
      </c>
      <c r="V659" s="816" t="s">
        <v>9551</v>
      </c>
      <c r="W659" s="267"/>
      <c r="X659" s="816" t="s">
        <v>26</v>
      </c>
      <c r="Y659">
        <v>40.5</v>
      </c>
      <c r="Z659">
        <v>93.4</v>
      </c>
      <c r="AA659" s="816" t="s">
        <v>9561</v>
      </c>
      <c r="AB659" s="816" t="s">
        <v>9584</v>
      </c>
      <c r="AC659" s="816"/>
      <c r="AD659" s="816"/>
      <c r="AE659" s="816"/>
      <c r="AF659" s="816"/>
      <c r="AG659" s="816"/>
      <c r="AI659" s="816"/>
      <c r="AK659" s="816"/>
      <c r="AM659" s="816"/>
    </row>
    <row r="660" spans="1:39" x14ac:dyDescent="0.25">
      <c r="A660" s="265">
        <v>44086</v>
      </c>
      <c r="B660">
        <v>6</v>
      </c>
      <c r="C660" s="816" t="s">
        <v>2</v>
      </c>
      <c r="D660">
        <v>534</v>
      </c>
      <c r="E660" s="816" t="s">
        <v>9544</v>
      </c>
      <c r="F660" s="816" t="s">
        <v>25</v>
      </c>
      <c r="G660" s="816" t="s">
        <v>9547</v>
      </c>
      <c r="H660">
        <v>10</v>
      </c>
      <c r="I660" s="816" t="s">
        <v>19</v>
      </c>
      <c r="J660" s="816" t="s">
        <v>19</v>
      </c>
      <c r="K660" s="817">
        <v>0.15175925925925926</v>
      </c>
      <c r="L660" s="817">
        <v>0.21842592592592591</v>
      </c>
      <c r="M660" s="817"/>
      <c r="N660" s="817"/>
      <c r="O660" s="817">
        <v>0.46918981481481481</v>
      </c>
      <c r="P660" s="817">
        <v>0.71995370370370371</v>
      </c>
      <c r="Q660" s="817"/>
      <c r="R660" s="816"/>
      <c r="S660" s="817"/>
      <c r="T660" s="817"/>
      <c r="U660" s="816" t="s">
        <v>9551</v>
      </c>
      <c r="V660" s="816" t="s">
        <v>9551</v>
      </c>
      <c r="W660" s="267"/>
      <c r="X660" s="816" t="s">
        <v>26</v>
      </c>
      <c r="Y660">
        <v>38.799999999999997</v>
      </c>
      <c r="Z660">
        <v>89.1</v>
      </c>
      <c r="AA660" s="816" t="s">
        <v>9562</v>
      </c>
      <c r="AB660" s="816" t="s">
        <v>9585</v>
      </c>
      <c r="AC660" s="816"/>
      <c r="AD660" s="816"/>
      <c r="AE660" s="816"/>
      <c r="AF660" s="816"/>
      <c r="AG660" s="816"/>
      <c r="AI660" s="816"/>
      <c r="AK660" s="816"/>
      <c r="AM660" s="816"/>
    </row>
    <row r="661" spans="1:39" x14ac:dyDescent="0.25">
      <c r="A661" s="265">
        <v>44087</v>
      </c>
      <c r="B661">
        <v>0</v>
      </c>
      <c r="C661" s="816" t="s">
        <v>3</v>
      </c>
      <c r="D661">
        <v>534</v>
      </c>
      <c r="E661" s="816" t="s">
        <v>9544</v>
      </c>
      <c r="F661" s="816" t="s">
        <v>25</v>
      </c>
      <c r="G661" s="816" t="s">
        <v>9547</v>
      </c>
      <c r="H661">
        <v>11</v>
      </c>
      <c r="I661" s="816" t="s">
        <v>9548</v>
      </c>
      <c r="J661" s="816" t="s">
        <v>20</v>
      </c>
      <c r="K661" s="817">
        <v>0.15136574074074075</v>
      </c>
      <c r="L661" s="817">
        <v>0.2180324074074074</v>
      </c>
      <c r="M661" s="817"/>
      <c r="N661" s="817"/>
      <c r="O661" s="817">
        <v>0.46894675925925927</v>
      </c>
      <c r="P661" s="817">
        <v>0.71986111111111117</v>
      </c>
      <c r="Q661" s="817"/>
      <c r="R661" s="816"/>
      <c r="S661" s="817"/>
      <c r="T661" s="817"/>
      <c r="U661" s="816" t="s">
        <v>9551</v>
      </c>
      <c r="V661" s="816" t="s">
        <v>9551</v>
      </c>
      <c r="W661" s="267"/>
      <c r="X661" s="816" t="s">
        <v>26</v>
      </c>
      <c r="Y661">
        <v>40.6</v>
      </c>
      <c r="Z661">
        <v>88</v>
      </c>
      <c r="AA661" s="816" t="s">
        <v>9563</v>
      </c>
      <c r="AB661" s="816" t="s">
        <v>9586</v>
      </c>
      <c r="AC661" s="816"/>
      <c r="AD661" s="816"/>
      <c r="AE661" s="816"/>
      <c r="AF661" s="816" t="s">
        <v>72</v>
      </c>
      <c r="AG661" s="816" t="s">
        <v>63</v>
      </c>
      <c r="AH661">
        <v>-1</v>
      </c>
      <c r="AI661" s="816"/>
      <c r="AK661" s="816"/>
      <c r="AM661" s="816"/>
    </row>
    <row r="662" spans="1:39" x14ac:dyDescent="0.25">
      <c r="A662" s="265">
        <v>44088</v>
      </c>
      <c r="B662">
        <v>1</v>
      </c>
      <c r="C662" s="816" t="s">
        <v>4</v>
      </c>
      <c r="D662">
        <v>534</v>
      </c>
      <c r="E662" s="816" t="s">
        <v>9544</v>
      </c>
      <c r="F662" s="816" t="s">
        <v>25</v>
      </c>
      <c r="G662" s="816" t="s">
        <v>9547</v>
      </c>
      <c r="H662">
        <v>12</v>
      </c>
      <c r="I662" s="816" t="s">
        <v>21</v>
      </c>
      <c r="J662" s="816" t="s">
        <v>21</v>
      </c>
      <c r="K662" s="817">
        <v>0.1509722222222222</v>
      </c>
      <c r="L662" s="817">
        <v>0.21763888888888891</v>
      </c>
      <c r="M662" s="817">
        <v>0.21736111111111112</v>
      </c>
      <c r="N662" s="817">
        <v>0.38472222222222219</v>
      </c>
      <c r="O662" s="817">
        <v>0.46870370370370368</v>
      </c>
      <c r="P662" s="817">
        <v>0.71976851851851853</v>
      </c>
      <c r="Q662" s="817"/>
      <c r="R662" s="816"/>
      <c r="S662" s="817"/>
      <c r="T662" s="817"/>
      <c r="U662" s="816" t="s">
        <v>9551</v>
      </c>
      <c r="V662" s="816" t="s">
        <v>9551</v>
      </c>
      <c r="W662" s="267"/>
      <c r="X662" s="816" t="s">
        <v>26</v>
      </c>
      <c r="Y662">
        <v>46.4</v>
      </c>
      <c r="Z662">
        <v>90.6</v>
      </c>
      <c r="AA662" s="816" t="s">
        <v>9564</v>
      </c>
      <c r="AB662" s="816" t="s">
        <v>9604</v>
      </c>
      <c r="AC662" s="816"/>
      <c r="AD662" s="816"/>
      <c r="AE662" s="816"/>
      <c r="AF662" s="816"/>
      <c r="AG662" s="816"/>
      <c r="AI662" s="816"/>
      <c r="AK662" s="816"/>
      <c r="AM662" s="816"/>
    </row>
    <row r="663" spans="1:39" x14ac:dyDescent="0.25">
      <c r="A663" s="265">
        <v>44089</v>
      </c>
      <c r="B663">
        <v>2</v>
      </c>
      <c r="C663" s="816" t="s">
        <v>5</v>
      </c>
      <c r="D663">
        <v>534</v>
      </c>
      <c r="E663" s="816" t="s">
        <v>9544</v>
      </c>
      <c r="F663" s="816" t="s">
        <v>25</v>
      </c>
      <c r="G663" s="816" t="s">
        <v>9547</v>
      </c>
      <c r="H663">
        <v>13</v>
      </c>
      <c r="I663" s="816" t="s">
        <v>8</v>
      </c>
      <c r="J663" s="816" t="s">
        <v>8</v>
      </c>
      <c r="K663" s="817">
        <v>0.15056712962962962</v>
      </c>
      <c r="L663" s="817">
        <v>0.21723379629629627</v>
      </c>
      <c r="M663" s="817"/>
      <c r="N663" s="817"/>
      <c r="O663" s="817">
        <v>0.4684490740740741</v>
      </c>
      <c r="P663" s="817">
        <v>0.71966435185185185</v>
      </c>
      <c r="Q663" s="817"/>
      <c r="R663" s="816"/>
      <c r="S663" s="817"/>
      <c r="T663" s="817"/>
      <c r="U663" s="816" t="s">
        <v>9551</v>
      </c>
      <c r="V663" s="816" t="s">
        <v>9551</v>
      </c>
      <c r="W663" s="267"/>
      <c r="X663" s="816" t="s">
        <v>26</v>
      </c>
      <c r="Y663">
        <v>56.3</v>
      </c>
      <c r="Z663">
        <v>96.7</v>
      </c>
      <c r="AA663" s="816" t="s">
        <v>9565</v>
      </c>
      <c r="AB663" s="816" t="s">
        <v>9588</v>
      </c>
      <c r="AC663" s="816"/>
      <c r="AD663" s="816"/>
      <c r="AE663" s="816"/>
      <c r="AF663" s="816"/>
      <c r="AG663" s="816"/>
      <c r="AI663" s="816"/>
      <c r="AK663" s="816"/>
      <c r="AM663" s="816"/>
    </row>
    <row r="664" spans="1:39" x14ac:dyDescent="0.25">
      <c r="A664" s="265">
        <v>44090</v>
      </c>
      <c r="B664">
        <v>3</v>
      </c>
      <c r="C664" s="816" t="s">
        <v>6</v>
      </c>
      <c r="D664">
        <v>534</v>
      </c>
      <c r="E664" s="816" t="s">
        <v>9544</v>
      </c>
      <c r="F664" s="816" t="s">
        <v>25</v>
      </c>
      <c r="G664" s="816" t="s">
        <v>9547</v>
      </c>
      <c r="H664">
        <v>14</v>
      </c>
      <c r="I664" s="816" t="s">
        <v>9</v>
      </c>
      <c r="J664" s="816" t="s">
        <v>9</v>
      </c>
      <c r="K664" s="817">
        <v>0.1501736111111111</v>
      </c>
      <c r="L664" s="817">
        <v>0.21684027777777778</v>
      </c>
      <c r="M664" s="817"/>
      <c r="N664" s="817"/>
      <c r="O664" s="817">
        <v>0.46820601851851856</v>
      </c>
      <c r="P664" s="817">
        <v>0.7195717592592592</v>
      </c>
      <c r="Q664" s="817">
        <v>0.43700231481481483</v>
      </c>
      <c r="R664" s="816" t="s">
        <v>82</v>
      </c>
      <c r="S664" s="817"/>
      <c r="T664" s="817"/>
      <c r="U664" s="816" t="s">
        <v>9551</v>
      </c>
      <c r="V664" s="816" t="s">
        <v>9551</v>
      </c>
      <c r="W664" s="267"/>
      <c r="X664" s="816" t="s">
        <v>26</v>
      </c>
      <c r="Y664">
        <v>69.8</v>
      </c>
      <c r="Z664">
        <v>6.2</v>
      </c>
      <c r="AA664" s="816" t="s">
        <v>9567</v>
      </c>
      <c r="AB664" s="816" t="s">
        <v>9589</v>
      </c>
      <c r="AC664" s="816"/>
      <c r="AD664" s="816"/>
      <c r="AE664" s="816"/>
      <c r="AF664" s="816"/>
      <c r="AG664" s="816"/>
      <c r="AI664" s="816"/>
      <c r="AK664" s="816"/>
      <c r="AM664" s="816"/>
    </row>
    <row r="665" spans="1:39" x14ac:dyDescent="0.25">
      <c r="A665" s="265">
        <v>44091</v>
      </c>
      <c r="B665">
        <v>4</v>
      </c>
      <c r="C665" s="816" t="s">
        <v>7</v>
      </c>
      <c r="D665">
        <v>534</v>
      </c>
      <c r="E665" s="816" t="s">
        <v>9544</v>
      </c>
      <c r="F665" s="816" t="s">
        <v>25</v>
      </c>
      <c r="G665" s="816" t="s">
        <v>9547</v>
      </c>
      <c r="H665">
        <v>15</v>
      </c>
      <c r="I665" s="816" t="s">
        <v>22</v>
      </c>
      <c r="J665" s="816" t="s">
        <v>22</v>
      </c>
      <c r="K665" s="817">
        <v>0.14976851851851852</v>
      </c>
      <c r="L665" s="817">
        <v>0.2164351851851852</v>
      </c>
      <c r="M665" s="817"/>
      <c r="N665" s="817"/>
      <c r="O665" s="817">
        <v>0.46795138888888888</v>
      </c>
      <c r="P665" s="817">
        <v>0.71947916666666656</v>
      </c>
      <c r="Q665" s="817"/>
      <c r="R665" s="816"/>
      <c r="S665" s="817"/>
      <c r="T665" s="817"/>
      <c r="U665" s="816" t="s">
        <v>9551</v>
      </c>
      <c r="V665" s="816" t="s">
        <v>9551</v>
      </c>
      <c r="W665" s="267"/>
      <c r="X665" s="816" t="s">
        <v>26</v>
      </c>
      <c r="Y665">
        <v>86.1</v>
      </c>
      <c r="Z665">
        <v>18.2</v>
      </c>
      <c r="AA665" s="816" t="s">
        <v>9568</v>
      </c>
      <c r="AB665" s="816" t="s">
        <v>9590</v>
      </c>
      <c r="AC665" s="816"/>
      <c r="AD665" s="816"/>
      <c r="AE665" s="816"/>
      <c r="AF665" s="816"/>
      <c r="AG665" s="816"/>
      <c r="AI665" s="816"/>
      <c r="AK665" s="816"/>
      <c r="AM665" s="816"/>
    </row>
    <row r="666" spans="1:39" x14ac:dyDescent="0.25">
      <c r="A666" s="265">
        <v>44092</v>
      </c>
      <c r="B666">
        <v>5</v>
      </c>
      <c r="C666" s="816" t="s">
        <v>1</v>
      </c>
      <c r="D666">
        <v>534</v>
      </c>
      <c r="E666" s="816" t="s">
        <v>9540</v>
      </c>
      <c r="F666" s="816" t="s">
        <v>24</v>
      </c>
      <c r="G666" s="816" t="s">
        <v>9546</v>
      </c>
      <c r="H666">
        <v>17</v>
      </c>
      <c r="I666" s="816" t="s">
        <v>12</v>
      </c>
      <c r="J666" s="816" t="s">
        <v>11</v>
      </c>
      <c r="K666" s="817">
        <v>0.14937500000000001</v>
      </c>
      <c r="L666" s="817">
        <v>0.21604166666666666</v>
      </c>
      <c r="M666" s="817"/>
      <c r="N666" s="817"/>
      <c r="O666" s="817">
        <v>0.46770833333333334</v>
      </c>
      <c r="P666" s="817">
        <v>0.71937499999999999</v>
      </c>
      <c r="Q666" s="817"/>
      <c r="R666" s="816"/>
      <c r="S666" s="817">
        <v>0.3347222222222222</v>
      </c>
      <c r="T666" s="817">
        <v>0.18194444444444444</v>
      </c>
      <c r="U666" s="816" t="s">
        <v>9551</v>
      </c>
      <c r="V666" s="816" t="s">
        <v>9551</v>
      </c>
      <c r="W666" s="267"/>
      <c r="X666" s="816" t="s">
        <v>26</v>
      </c>
      <c r="Y666">
        <v>4</v>
      </c>
      <c r="Z666">
        <v>31.6</v>
      </c>
      <c r="AA666" s="816" t="s">
        <v>9569</v>
      </c>
      <c r="AB666" s="816" t="s">
        <v>9591</v>
      </c>
      <c r="AC666" s="816"/>
      <c r="AD666" s="816"/>
      <c r="AE666" s="816"/>
      <c r="AF666" s="816"/>
      <c r="AG666" s="816"/>
      <c r="AI666" s="816"/>
      <c r="AK666" s="816"/>
      <c r="AM666" s="816"/>
    </row>
    <row r="667" spans="1:39" x14ac:dyDescent="0.25">
      <c r="A667" s="265">
        <v>44093</v>
      </c>
      <c r="B667">
        <v>6</v>
      </c>
      <c r="C667" s="816" t="s">
        <v>2</v>
      </c>
      <c r="D667">
        <v>534</v>
      </c>
      <c r="E667" s="816" t="s">
        <v>9540</v>
      </c>
      <c r="F667" s="816" t="s">
        <v>24</v>
      </c>
      <c r="G667" s="816" t="s">
        <v>9546</v>
      </c>
      <c r="H667">
        <v>18</v>
      </c>
      <c r="I667" s="816" t="s">
        <v>23</v>
      </c>
      <c r="J667" s="816" t="s">
        <v>23</v>
      </c>
      <c r="K667" s="817">
        <v>0.14896990740740743</v>
      </c>
      <c r="L667" s="817">
        <v>0.21563657407407408</v>
      </c>
      <c r="M667" s="817"/>
      <c r="N667" s="817"/>
      <c r="O667" s="817">
        <v>0.46746527777777774</v>
      </c>
      <c r="P667" s="817">
        <v>0.71928240740740745</v>
      </c>
      <c r="Q667" s="817"/>
      <c r="R667" s="816"/>
      <c r="S667" s="817"/>
      <c r="T667" s="817"/>
      <c r="U667" s="816" t="s">
        <v>9551</v>
      </c>
      <c r="V667" s="816" t="s">
        <v>9551</v>
      </c>
      <c r="W667" s="267"/>
      <c r="X667" s="816" t="s">
        <v>26</v>
      </c>
      <c r="Y667">
        <v>21.9</v>
      </c>
      <c r="Z667">
        <v>45.1</v>
      </c>
      <c r="AA667" s="816" t="s">
        <v>9570</v>
      </c>
      <c r="AB667" s="816" t="s">
        <v>9605</v>
      </c>
      <c r="AC667" s="816"/>
      <c r="AD667" s="816"/>
      <c r="AE667" s="816"/>
      <c r="AF667" s="816"/>
      <c r="AG667" s="816"/>
      <c r="AI667" s="816"/>
      <c r="AK667" s="816"/>
      <c r="AM667" s="816"/>
    </row>
    <row r="668" spans="1:39" x14ac:dyDescent="0.25">
      <c r="A668" s="265">
        <v>44094</v>
      </c>
      <c r="B668">
        <v>0</v>
      </c>
      <c r="C668" s="816" t="s">
        <v>3</v>
      </c>
      <c r="D668">
        <v>534</v>
      </c>
      <c r="E668" s="816" t="s">
        <v>9540</v>
      </c>
      <c r="F668" s="816" t="s">
        <v>24</v>
      </c>
      <c r="G668" s="816" t="s">
        <v>9546</v>
      </c>
      <c r="H668">
        <v>19</v>
      </c>
      <c r="I668" s="816" t="s">
        <v>13</v>
      </c>
      <c r="J668" s="816" t="s">
        <v>13</v>
      </c>
      <c r="K668" s="817">
        <v>0.14857638888888888</v>
      </c>
      <c r="L668" s="817">
        <v>0.21524305555555556</v>
      </c>
      <c r="M668" s="817"/>
      <c r="N668" s="817"/>
      <c r="O668" s="817">
        <v>0.46721064814814817</v>
      </c>
      <c r="P668" s="817">
        <v>0.71918981481481481</v>
      </c>
      <c r="Q668" s="817"/>
      <c r="R668" s="816"/>
      <c r="S668" s="817"/>
      <c r="T668" s="817"/>
      <c r="U668" s="816" t="s">
        <v>9551</v>
      </c>
      <c r="V668" s="816" t="s">
        <v>9551</v>
      </c>
      <c r="W668" s="267"/>
      <c r="X668" s="816" t="s">
        <v>26</v>
      </c>
      <c r="Y668">
        <v>38.6</v>
      </c>
      <c r="Z668">
        <v>57.4</v>
      </c>
      <c r="AA668" s="816" t="s">
        <v>9571</v>
      </c>
      <c r="AB668" s="816" t="s">
        <v>9593</v>
      </c>
      <c r="AC668" s="816"/>
      <c r="AD668" s="816"/>
      <c r="AE668" s="816"/>
      <c r="AF668" s="816"/>
      <c r="AG668" s="816"/>
      <c r="AI668" s="816"/>
      <c r="AK668" s="816"/>
      <c r="AM668" s="816"/>
    </row>
    <row r="669" spans="1:39" x14ac:dyDescent="0.25">
      <c r="A669" s="265">
        <v>44095</v>
      </c>
      <c r="B669">
        <v>1</v>
      </c>
      <c r="C669" s="816" t="s">
        <v>4</v>
      </c>
      <c r="D669">
        <v>534</v>
      </c>
      <c r="E669" s="816" t="s">
        <v>9540</v>
      </c>
      <c r="F669" s="816" t="s">
        <v>24</v>
      </c>
      <c r="G669" s="816" t="s">
        <v>9546</v>
      </c>
      <c r="H669">
        <v>20</v>
      </c>
      <c r="I669" s="816" t="s">
        <v>14</v>
      </c>
      <c r="J669" s="816" t="s">
        <v>14</v>
      </c>
      <c r="K669" s="817">
        <v>0.1481712962962963</v>
      </c>
      <c r="L669" s="817">
        <v>0.21483796296296298</v>
      </c>
      <c r="M669" s="817"/>
      <c r="N669" s="817"/>
      <c r="O669" s="817">
        <v>0.46696759259259263</v>
      </c>
      <c r="P669" s="817">
        <v>0.71909722222222217</v>
      </c>
      <c r="Q669" s="817"/>
      <c r="R669" s="816"/>
      <c r="S669" s="817"/>
      <c r="T669" s="817"/>
      <c r="U669" s="816" t="s">
        <v>9551</v>
      </c>
      <c r="V669" s="816" t="s">
        <v>9551</v>
      </c>
      <c r="W669" s="267"/>
      <c r="X669" s="816" t="s">
        <v>26</v>
      </c>
      <c r="Y669">
        <v>52.9</v>
      </c>
      <c r="Z669">
        <v>67.599999999999994</v>
      </c>
      <c r="AA669" s="816" t="s">
        <v>9572</v>
      </c>
      <c r="AB669" s="816" t="s">
        <v>9594</v>
      </c>
      <c r="AC669" s="816"/>
      <c r="AD669" s="816"/>
      <c r="AE669" s="816"/>
      <c r="AF669" s="816"/>
      <c r="AG669" s="816"/>
      <c r="AI669" s="816"/>
      <c r="AK669" s="816"/>
      <c r="AM669" s="816"/>
    </row>
    <row r="670" spans="1:39" x14ac:dyDescent="0.25">
      <c r="A670" s="265">
        <v>44096</v>
      </c>
      <c r="B670">
        <v>2</v>
      </c>
      <c r="C670" s="816" t="s">
        <v>5</v>
      </c>
      <c r="D670">
        <v>534</v>
      </c>
      <c r="E670" s="816" t="s">
        <v>9540</v>
      </c>
      <c r="F670" s="816" t="s">
        <v>24</v>
      </c>
      <c r="G670" s="816" t="s">
        <v>9546</v>
      </c>
      <c r="H670">
        <v>21</v>
      </c>
      <c r="I670" s="816" t="s">
        <v>15</v>
      </c>
      <c r="J670" s="816" t="s">
        <v>15</v>
      </c>
      <c r="K670" s="817">
        <v>0.14777777777777779</v>
      </c>
      <c r="L670" s="817">
        <v>0.21444444444444444</v>
      </c>
      <c r="M670" s="817"/>
      <c r="N670" s="817"/>
      <c r="O670" s="817">
        <v>0.46672453703703703</v>
      </c>
      <c r="P670" s="817">
        <v>0.71900462962962963</v>
      </c>
      <c r="Q670" s="817"/>
      <c r="R670" s="816"/>
      <c r="S670" s="817"/>
      <c r="T670" s="817"/>
      <c r="U670" s="816" t="s">
        <v>9551</v>
      </c>
      <c r="V670" s="816" t="s">
        <v>9551</v>
      </c>
      <c r="W670" s="267"/>
      <c r="X670" s="816" t="s">
        <v>26</v>
      </c>
      <c r="Y670">
        <v>64.099999999999994</v>
      </c>
      <c r="Z670">
        <v>75</v>
      </c>
      <c r="AA670" s="816" t="s">
        <v>9573</v>
      </c>
      <c r="AB670" s="816" t="s">
        <v>9595</v>
      </c>
      <c r="AC670" s="816"/>
      <c r="AD670" s="816"/>
      <c r="AE670" s="816"/>
      <c r="AF670" s="816"/>
      <c r="AG670" s="816"/>
      <c r="AI670" s="816"/>
      <c r="AK670" s="816"/>
      <c r="AM670" s="816"/>
    </row>
    <row r="671" spans="1:39" x14ac:dyDescent="0.25">
      <c r="A671" s="265">
        <v>44097</v>
      </c>
      <c r="B671">
        <v>3</v>
      </c>
      <c r="C671" s="816" t="s">
        <v>6</v>
      </c>
      <c r="D671">
        <v>534</v>
      </c>
      <c r="E671" s="816" t="s">
        <v>9540</v>
      </c>
      <c r="F671" s="816" t="s">
        <v>24</v>
      </c>
      <c r="G671" s="816" t="s">
        <v>9546</v>
      </c>
      <c r="H671">
        <v>22</v>
      </c>
      <c r="I671" s="816" t="s">
        <v>16</v>
      </c>
      <c r="J671" s="816" t="s">
        <v>16</v>
      </c>
      <c r="K671" s="817">
        <v>0.14738425925925927</v>
      </c>
      <c r="L671" s="817">
        <v>0.21405092592592592</v>
      </c>
      <c r="M671" s="817"/>
      <c r="N671" s="817"/>
      <c r="O671" s="817">
        <v>0.4664814814814815</v>
      </c>
      <c r="P671" s="817">
        <v>0.71891203703703699</v>
      </c>
      <c r="Q671" s="817"/>
      <c r="R671" s="816"/>
      <c r="S671" s="817"/>
      <c r="T671" s="817"/>
      <c r="U671" s="816" t="s">
        <v>9551</v>
      </c>
      <c r="V671" s="816" t="s">
        <v>9551</v>
      </c>
      <c r="W671" s="267"/>
      <c r="X671" s="816" t="s">
        <v>26</v>
      </c>
      <c r="Y671">
        <v>72</v>
      </c>
      <c r="Z671">
        <v>79.5</v>
      </c>
      <c r="AA671" s="816" t="s">
        <v>9574</v>
      </c>
      <c r="AB671" s="816" t="s">
        <v>9596</v>
      </c>
      <c r="AC671" s="816"/>
      <c r="AD671" s="816"/>
      <c r="AE671" s="816"/>
      <c r="AF671" s="816"/>
      <c r="AG671" s="816"/>
      <c r="AI671" s="816"/>
      <c r="AK671" s="816"/>
      <c r="AM671" s="816"/>
    </row>
    <row r="672" spans="1:39" x14ac:dyDescent="0.25">
      <c r="A672" s="265">
        <v>44098</v>
      </c>
      <c r="B672">
        <v>4</v>
      </c>
      <c r="C672" s="816" t="s">
        <v>7</v>
      </c>
      <c r="D672">
        <v>534</v>
      </c>
      <c r="E672" s="816" t="s">
        <v>9540</v>
      </c>
      <c r="F672" s="816" t="s">
        <v>24</v>
      </c>
      <c r="G672" s="816" t="s">
        <v>9546</v>
      </c>
      <c r="H672">
        <v>23</v>
      </c>
      <c r="I672" s="816" t="s">
        <v>17</v>
      </c>
      <c r="J672" s="816" t="s">
        <v>17</v>
      </c>
      <c r="K672" s="817">
        <v>0.14697916666666666</v>
      </c>
      <c r="L672" s="817">
        <v>0.21364583333333334</v>
      </c>
      <c r="M672" s="817"/>
      <c r="N672" s="817"/>
      <c r="O672" s="817">
        <v>0.46623842592592596</v>
      </c>
      <c r="P672" s="817">
        <v>0.71883101851851849</v>
      </c>
      <c r="Q672" s="817"/>
      <c r="R672" s="816"/>
      <c r="S672" s="817"/>
      <c r="T672" s="817"/>
      <c r="U672" s="816" t="s">
        <v>9551</v>
      </c>
      <c r="V672" s="816" t="s">
        <v>9551</v>
      </c>
      <c r="W672" s="267"/>
      <c r="X672" s="816" t="s">
        <v>26</v>
      </c>
      <c r="Y672">
        <v>76.7</v>
      </c>
      <c r="Z672">
        <v>81</v>
      </c>
      <c r="AA672" s="816" t="s">
        <v>9575</v>
      </c>
      <c r="AB672" s="816" t="s">
        <v>9597</v>
      </c>
      <c r="AC672" s="816"/>
      <c r="AD672" s="816"/>
      <c r="AE672" s="816"/>
      <c r="AF672" s="816"/>
      <c r="AG672" s="816"/>
      <c r="AI672" s="816"/>
      <c r="AK672" s="816"/>
      <c r="AM672" s="816"/>
    </row>
    <row r="673" spans="1:39" x14ac:dyDescent="0.25">
      <c r="A673" s="265">
        <v>44099</v>
      </c>
      <c r="B673">
        <v>5</v>
      </c>
      <c r="C673" s="816" t="s">
        <v>1</v>
      </c>
      <c r="D673">
        <v>534</v>
      </c>
      <c r="E673" s="816" t="s">
        <v>9540</v>
      </c>
      <c r="F673" s="816" t="s">
        <v>24</v>
      </c>
      <c r="G673" s="816" t="s">
        <v>9546</v>
      </c>
      <c r="H673">
        <v>24</v>
      </c>
      <c r="I673" s="816" t="s">
        <v>18</v>
      </c>
      <c r="J673" s="816" t="s">
        <v>18</v>
      </c>
      <c r="K673" s="817">
        <v>0.14658564814814815</v>
      </c>
      <c r="L673" s="817">
        <v>0.2132523148148148</v>
      </c>
      <c r="M673" s="817"/>
      <c r="N673" s="817"/>
      <c r="O673" s="817">
        <v>0.46599537037037037</v>
      </c>
      <c r="P673" s="817">
        <v>0.71873842592592585</v>
      </c>
      <c r="Q673" s="817"/>
      <c r="R673" s="816"/>
      <c r="S673" s="817"/>
      <c r="T673" s="817"/>
      <c r="U673" s="816" t="s">
        <v>9551</v>
      </c>
      <c r="V673" s="816" t="s">
        <v>9551</v>
      </c>
      <c r="W673" s="267"/>
      <c r="X673" s="816" t="s">
        <v>26</v>
      </c>
      <c r="Y673">
        <v>78.5</v>
      </c>
      <c r="Z673">
        <v>80</v>
      </c>
      <c r="AA673" s="816" t="s">
        <v>9576</v>
      </c>
      <c r="AB673" s="816" t="s">
        <v>9598</v>
      </c>
      <c r="AC673" s="816"/>
      <c r="AD673" s="816"/>
      <c r="AE673" s="816"/>
      <c r="AF673" s="816"/>
      <c r="AG673" s="816"/>
      <c r="AI673" s="816"/>
      <c r="AK673" s="816"/>
      <c r="AM673" s="816"/>
    </row>
    <row r="674" spans="1:39" x14ac:dyDescent="0.25">
      <c r="A674" s="265">
        <v>44100</v>
      </c>
      <c r="B674">
        <v>6</v>
      </c>
      <c r="C674" s="816" t="s">
        <v>2</v>
      </c>
      <c r="D674">
        <v>534</v>
      </c>
      <c r="E674" s="816" t="s">
        <v>9540</v>
      </c>
      <c r="F674" s="816" t="s">
        <v>24</v>
      </c>
      <c r="G674" s="816" t="s">
        <v>9546</v>
      </c>
      <c r="H674">
        <v>25</v>
      </c>
      <c r="I674" s="816" t="s">
        <v>19</v>
      </c>
      <c r="J674" s="816" t="s">
        <v>19</v>
      </c>
      <c r="K674" s="817">
        <v>0.1462037037037037</v>
      </c>
      <c r="L674" s="817">
        <v>0.21287037037037038</v>
      </c>
      <c r="M674" s="817"/>
      <c r="N674" s="817"/>
      <c r="O674" s="817">
        <v>0.46576388888888887</v>
      </c>
      <c r="P674" s="817">
        <v>0.71865740740740736</v>
      </c>
      <c r="Q674" s="817"/>
      <c r="R674" s="816"/>
      <c r="S674" s="817"/>
      <c r="T674" s="817"/>
      <c r="U674" s="816" t="s">
        <v>9551</v>
      </c>
      <c r="V674" s="816" t="s">
        <v>9551</v>
      </c>
      <c r="W674" s="267"/>
      <c r="X674" s="816" t="s">
        <v>26</v>
      </c>
      <c r="Y674">
        <v>77.8</v>
      </c>
      <c r="Z674">
        <v>76.7</v>
      </c>
      <c r="AA674" s="816" t="s">
        <v>9577</v>
      </c>
      <c r="AB674" s="816" t="s">
        <v>9599</v>
      </c>
      <c r="AC674" s="816"/>
      <c r="AD674" s="816"/>
      <c r="AE674" s="816"/>
      <c r="AF674" s="816"/>
      <c r="AG674" s="816"/>
      <c r="AI674" s="816"/>
      <c r="AK674" s="816"/>
      <c r="AM674" s="816"/>
    </row>
    <row r="675" spans="1:39" x14ac:dyDescent="0.25">
      <c r="A675" s="265">
        <v>44101</v>
      </c>
      <c r="B675">
        <v>0</v>
      </c>
      <c r="C675" s="816" t="s">
        <v>3</v>
      </c>
      <c r="D675">
        <v>534</v>
      </c>
      <c r="E675" s="816" t="s">
        <v>9540</v>
      </c>
      <c r="F675" s="816" t="s">
        <v>24</v>
      </c>
      <c r="G675" s="816" t="s">
        <v>9546</v>
      </c>
      <c r="H675">
        <v>26</v>
      </c>
      <c r="I675" s="816" t="s">
        <v>9548</v>
      </c>
      <c r="J675" s="816" t="s">
        <v>20</v>
      </c>
      <c r="K675" s="817">
        <v>0.14581018518518518</v>
      </c>
      <c r="L675" s="817">
        <v>0.21247685185185183</v>
      </c>
      <c r="M675" s="817"/>
      <c r="N675" s="817"/>
      <c r="O675" s="817">
        <v>0.46552083333333333</v>
      </c>
      <c r="P675" s="817">
        <v>0.71857638888888886</v>
      </c>
      <c r="Q675" s="817"/>
      <c r="R675" s="816"/>
      <c r="S675" s="817"/>
      <c r="T675" s="817"/>
      <c r="U675" s="816" t="s">
        <v>9551</v>
      </c>
      <c r="V675" s="816" t="s">
        <v>9551</v>
      </c>
      <c r="W675" s="267"/>
      <c r="X675" s="816" t="s">
        <v>26</v>
      </c>
      <c r="Y675">
        <v>75.099999999999994</v>
      </c>
      <c r="Z675">
        <v>71.599999999999994</v>
      </c>
      <c r="AA675" s="816" t="s">
        <v>9552</v>
      </c>
      <c r="AB675" s="816" t="s">
        <v>9600</v>
      </c>
      <c r="AC675" s="816"/>
      <c r="AD675" s="816"/>
      <c r="AE675" s="816"/>
      <c r="AF675" s="816" t="s">
        <v>72</v>
      </c>
      <c r="AG675" s="816" t="s">
        <v>46</v>
      </c>
      <c r="AH675">
        <v>-1</v>
      </c>
      <c r="AI675" s="816"/>
      <c r="AK675" s="816"/>
      <c r="AM675" s="816"/>
    </row>
    <row r="676" spans="1:39" x14ac:dyDescent="0.25">
      <c r="A676" s="265">
        <v>44102</v>
      </c>
      <c r="B676">
        <v>1</v>
      </c>
      <c r="C676" s="816" t="s">
        <v>4</v>
      </c>
      <c r="D676">
        <v>534</v>
      </c>
      <c r="E676" s="816" t="s">
        <v>9540</v>
      </c>
      <c r="F676" s="816" t="s">
        <v>24</v>
      </c>
      <c r="G676" s="816" t="s">
        <v>9546</v>
      </c>
      <c r="H676">
        <v>27</v>
      </c>
      <c r="I676" s="816" t="s">
        <v>21</v>
      </c>
      <c r="J676" s="816" t="s">
        <v>21</v>
      </c>
      <c r="K676" s="817">
        <v>0.14542824074074076</v>
      </c>
      <c r="L676" s="817">
        <v>0.21209490740740741</v>
      </c>
      <c r="M676" s="817">
        <v>0.21180555555555555</v>
      </c>
      <c r="N676" s="817">
        <v>0.38055555555555554</v>
      </c>
      <c r="O676" s="817">
        <v>0.46528935185185188</v>
      </c>
      <c r="P676" s="817">
        <v>0.71849537037037037</v>
      </c>
      <c r="Q676" s="817"/>
      <c r="R676" s="816"/>
      <c r="S676" s="817"/>
      <c r="T676" s="817"/>
      <c r="U676" s="816" t="s">
        <v>9551</v>
      </c>
      <c r="V676" s="816" t="s">
        <v>9551</v>
      </c>
      <c r="W676" s="267"/>
      <c r="X676" s="816" t="s">
        <v>26</v>
      </c>
      <c r="Y676">
        <v>70.7</v>
      </c>
      <c r="Z676">
        <v>65</v>
      </c>
      <c r="AA676" s="816" t="s">
        <v>9553</v>
      </c>
      <c r="AB676" s="816" t="s">
        <v>9601</v>
      </c>
      <c r="AC676" s="816"/>
      <c r="AD676" s="816"/>
      <c r="AE676" s="816"/>
      <c r="AF676" s="816"/>
      <c r="AG676" s="816"/>
      <c r="AI676" s="816"/>
      <c r="AK676" s="816"/>
      <c r="AM676" s="816"/>
    </row>
    <row r="677" spans="1:39" x14ac:dyDescent="0.25">
      <c r="A677" s="265">
        <v>44103</v>
      </c>
      <c r="B677">
        <v>2</v>
      </c>
      <c r="C677" s="816" t="s">
        <v>5</v>
      </c>
      <c r="D677">
        <v>534</v>
      </c>
      <c r="E677" s="816" t="s">
        <v>9540</v>
      </c>
      <c r="F677" s="816" t="s">
        <v>24</v>
      </c>
      <c r="G677" s="816" t="s">
        <v>9546</v>
      </c>
      <c r="H677">
        <v>28</v>
      </c>
      <c r="I677" s="816" t="s">
        <v>8</v>
      </c>
      <c r="J677" s="816" t="s">
        <v>8</v>
      </c>
      <c r="K677" s="817">
        <v>0.14503472222222222</v>
      </c>
      <c r="L677" s="817">
        <v>0.2117013888888889</v>
      </c>
      <c r="M677" s="817"/>
      <c r="N677" s="817"/>
      <c r="O677" s="817">
        <v>0.46506944444444448</v>
      </c>
      <c r="P677" s="817">
        <v>0.71842592592592591</v>
      </c>
      <c r="Q677" s="817"/>
      <c r="R677" s="816"/>
      <c r="S677" s="817"/>
      <c r="T677" s="817"/>
      <c r="U677" s="816" t="s">
        <v>9551</v>
      </c>
      <c r="V677" s="816" t="s">
        <v>9551</v>
      </c>
      <c r="W677" s="267"/>
      <c r="X677" s="816" t="s">
        <v>26</v>
      </c>
      <c r="Y677">
        <v>64.900000000000006</v>
      </c>
      <c r="Z677">
        <v>57.2</v>
      </c>
      <c r="AA677" s="816" t="s">
        <v>9554</v>
      </c>
      <c r="AB677" s="816" t="s">
        <v>9602</v>
      </c>
      <c r="AC677" s="816"/>
      <c r="AD677" s="816"/>
      <c r="AE677" s="816"/>
      <c r="AF677" s="816"/>
      <c r="AG677" s="816"/>
      <c r="AI677" s="816"/>
      <c r="AK677" s="816"/>
      <c r="AM677" s="816"/>
    </row>
    <row r="678" spans="1:39" x14ac:dyDescent="0.25">
      <c r="A678" s="265">
        <v>44104</v>
      </c>
      <c r="B678">
        <v>3</v>
      </c>
      <c r="C678" s="816" t="s">
        <v>6</v>
      </c>
      <c r="D678">
        <v>534</v>
      </c>
      <c r="E678" s="816" t="s">
        <v>9540</v>
      </c>
      <c r="F678" s="816" t="s">
        <v>24</v>
      </c>
      <c r="G678" s="816" t="s">
        <v>9546</v>
      </c>
      <c r="H678">
        <v>29</v>
      </c>
      <c r="I678" s="816" t="s">
        <v>9</v>
      </c>
      <c r="J678" s="816" t="s">
        <v>9</v>
      </c>
      <c r="K678" s="817">
        <v>0.14465277777777777</v>
      </c>
      <c r="L678" s="817">
        <v>0.21131944444444442</v>
      </c>
      <c r="M678" s="817"/>
      <c r="N678" s="817"/>
      <c r="O678" s="817">
        <v>0.46483796296296293</v>
      </c>
      <c r="P678" s="817">
        <v>0.71834490740740742</v>
      </c>
      <c r="Q678" s="817"/>
      <c r="R678" s="816"/>
      <c r="S678" s="817"/>
      <c r="T678" s="817"/>
      <c r="U678" s="816" t="s">
        <v>9551</v>
      </c>
      <c r="V678" s="816" t="s">
        <v>9551</v>
      </c>
      <c r="W678" s="267"/>
      <c r="X678" s="816" t="s">
        <v>26</v>
      </c>
      <c r="Y678">
        <v>58</v>
      </c>
      <c r="Z678">
        <v>48.3</v>
      </c>
      <c r="AA678" s="816" t="s">
        <v>9555</v>
      </c>
      <c r="AB678" s="816" t="s">
        <v>9603</v>
      </c>
      <c r="AC678" s="816"/>
      <c r="AD678" s="816"/>
      <c r="AE678" s="816"/>
      <c r="AF678" s="816"/>
      <c r="AG678" s="816"/>
      <c r="AI678" s="816"/>
      <c r="AK678" s="816"/>
      <c r="AM678" s="816"/>
    </row>
    <row r="679" spans="1:39" x14ac:dyDescent="0.25">
      <c r="A679" s="265">
        <v>44105</v>
      </c>
      <c r="B679">
        <v>4</v>
      </c>
      <c r="C679" s="816" t="s">
        <v>7</v>
      </c>
      <c r="D679">
        <v>534</v>
      </c>
      <c r="E679" s="816" t="s">
        <v>9540</v>
      </c>
      <c r="F679" s="816" t="s">
        <v>24</v>
      </c>
      <c r="G679" s="816" t="s">
        <v>9546</v>
      </c>
      <c r="H679">
        <v>30</v>
      </c>
      <c r="I679" s="816" t="s">
        <v>10</v>
      </c>
      <c r="J679" s="816" t="s">
        <v>10</v>
      </c>
      <c r="K679" s="817">
        <v>0.14428240740740741</v>
      </c>
      <c r="L679" s="817">
        <v>0.21094907407407407</v>
      </c>
      <c r="M679" s="817"/>
      <c r="N679" s="817"/>
      <c r="O679" s="817">
        <v>0.46461805555555552</v>
      </c>
      <c r="P679" s="817">
        <v>0.718287037037037</v>
      </c>
      <c r="Q679" s="817"/>
      <c r="R679" s="816"/>
      <c r="S679" s="817"/>
      <c r="T679" s="817"/>
      <c r="U679" s="816" t="s">
        <v>9551</v>
      </c>
      <c r="V679" s="816" t="s">
        <v>9551</v>
      </c>
      <c r="W679" s="267"/>
      <c r="X679" s="816" t="s">
        <v>26</v>
      </c>
      <c r="Y679">
        <v>50.2</v>
      </c>
      <c r="Z679">
        <v>38.700000000000003</v>
      </c>
      <c r="AA679" s="816" t="s">
        <v>9556</v>
      </c>
      <c r="AB679" s="816" t="s">
        <v>9579</v>
      </c>
      <c r="AC679" s="816"/>
      <c r="AD679" s="816"/>
      <c r="AE679" s="816"/>
      <c r="AF679" s="816"/>
      <c r="AG679" s="816"/>
      <c r="AI679" s="816"/>
      <c r="AK679" s="816"/>
      <c r="AM679" s="816"/>
    </row>
    <row r="680" spans="1:39" x14ac:dyDescent="0.25">
      <c r="A680" s="265">
        <v>44106</v>
      </c>
      <c r="B680">
        <v>5</v>
      </c>
      <c r="C680" s="816" t="s">
        <v>1</v>
      </c>
      <c r="D680">
        <v>534</v>
      </c>
      <c r="E680" s="816" t="s">
        <v>9540</v>
      </c>
      <c r="F680" s="816" t="s">
        <v>25</v>
      </c>
      <c r="G680" s="816" t="s">
        <v>9547</v>
      </c>
      <c r="H680">
        <v>1</v>
      </c>
      <c r="I680" s="816" t="s">
        <v>11</v>
      </c>
      <c r="J680" s="816" t="s">
        <v>11</v>
      </c>
      <c r="K680" s="817">
        <v>0.14390046296296297</v>
      </c>
      <c r="L680" s="817">
        <v>0.21056712962962965</v>
      </c>
      <c r="M680" s="817"/>
      <c r="N680" s="817"/>
      <c r="O680" s="817">
        <v>0.46439814814814812</v>
      </c>
      <c r="P680" s="817">
        <v>0.71821759259259255</v>
      </c>
      <c r="Q680" s="817"/>
      <c r="R680" s="816"/>
      <c r="S680" s="817"/>
      <c r="T680" s="817"/>
      <c r="U680" s="816" t="s">
        <v>9551</v>
      </c>
      <c r="V680" s="816" t="s">
        <v>9551</v>
      </c>
      <c r="W680" s="267"/>
      <c r="X680" s="816" t="s">
        <v>26</v>
      </c>
      <c r="Y680">
        <v>41.6</v>
      </c>
      <c r="Z680">
        <v>28.3</v>
      </c>
      <c r="AA680" s="816" t="s">
        <v>9557</v>
      </c>
      <c r="AB680" s="816" t="s">
        <v>9580</v>
      </c>
      <c r="AC680" s="816"/>
      <c r="AD680" s="816"/>
      <c r="AE680" s="816"/>
      <c r="AF680" s="816"/>
      <c r="AG680" s="816"/>
      <c r="AI680" s="816"/>
      <c r="AK680" s="816"/>
      <c r="AM680" s="816"/>
    </row>
    <row r="681" spans="1:39" x14ac:dyDescent="0.25">
      <c r="A681" s="265">
        <v>44107</v>
      </c>
      <c r="B681">
        <v>6</v>
      </c>
      <c r="C681" s="816" t="s">
        <v>2</v>
      </c>
      <c r="D681">
        <v>534</v>
      </c>
      <c r="E681" s="816" t="s">
        <v>9540</v>
      </c>
      <c r="F681" s="816" t="s">
        <v>25</v>
      </c>
      <c r="G681" s="816" t="s">
        <v>9547</v>
      </c>
      <c r="H681">
        <v>2</v>
      </c>
      <c r="I681" s="816" t="s">
        <v>12</v>
      </c>
      <c r="J681" s="816" t="s">
        <v>12</v>
      </c>
      <c r="K681" s="817">
        <v>0.14353009259259261</v>
      </c>
      <c r="L681" s="817">
        <v>0.21019675925925926</v>
      </c>
      <c r="M681" s="817"/>
      <c r="N681" s="817"/>
      <c r="O681" s="817">
        <v>0.46417824074074071</v>
      </c>
      <c r="P681" s="817">
        <v>0.71815972222222213</v>
      </c>
      <c r="Q681" s="817"/>
      <c r="R681" s="816"/>
      <c r="S681" s="817"/>
      <c r="T681" s="817"/>
      <c r="U681" s="816" t="s">
        <v>9551</v>
      </c>
      <c r="V681" s="816" t="s">
        <v>9551</v>
      </c>
      <c r="W681" s="267"/>
      <c r="X681" s="816" t="s">
        <v>26</v>
      </c>
      <c r="Y681">
        <v>32.299999999999997</v>
      </c>
      <c r="Z681">
        <v>17.399999999999999</v>
      </c>
      <c r="AA681" s="816" t="s">
        <v>9558</v>
      </c>
      <c r="AB681" s="816" t="s">
        <v>9581</v>
      </c>
      <c r="AC681" s="816"/>
      <c r="AD681" s="816"/>
      <c r="AE681" s="816"/>
      <c r="AF681" s="816"/>
      <c r="AG681" s="816"/>
      <c r="AI681" s="816"/>
      <c r="AK681" s="816"/>
      <c r="AM681" s="816"/>
    </row>
    <row r="682" spans="1:39" x14ac:dyDescent="0.25">
      <c r="A682" s="265">
        <v>44108</v>
      </c>
      <c r="B682">
        <v>0</v>
      </c>
      <c r="C682" s="816" t="s">
        <v>3</v>
      </c>
      <c r="D682">
        <v>534</v>
      </c>
      <c r="E682" s="816" t="s">
        <v>9540</v>
      </c>
      <c r="F682" s="816" t="s">
        <v>25</v>
      </c>
      <c r="G682" s="816" t="s">
        <v>9547</v>
      </c>
      <c r="H682">
        <v>3</v>
      </c>
      <c r="I682" s="816" t="s">
        <v>23</v>
      </c>
      <c r="J682" s="816" t="s">
        <v>23</v>
      </c>
      <c r="K682" s="817">
        <v>0.1431712962962963</v>
      </c>
      <c r="L682" s="817">
        <v>0.20983796296296298</v>
      </c>
      <c r="M682" s="817"/>
      <c r="N682" s="817"/>
      <c r="O682" s="817">
        <v>0.46396990740740746</v>
      </c>
      <c r="P682" s="817">
        <v>0.71810185185185194</v>
      </c>
      <c r="Q682" s="817"/>
      <c r="R682" s="816"/>
      <c r="S682" s="817"/>
      <c r="T682" s="817"/>
      <c r="U682" s="816" t="s">
        <v>9551</v>
      </c>
      <c r="V682" s="816" t="s">
        <v>9551</v>
      </c>
      <c r="W682" s="267"/>
      <c r="X682" s="816" t="s">
        <v>26</v>
      </c>
      <c r="Y682">
        <v>22.7</v>
      </c>
      <c r="Z682">
        <v>6.1</v>
      </c>
      <c r="AA682" s="816" t="s">
        <v>9578</v>
      </c>
      <c r="AB682" s="816" t="s">
        <v>9582</v>
      </c>
      <c r="AC682" s="816"/>
      <c r="AD682" s="816"/>
      <c r="AE682" s="816"/>
      <c r="AF682" s="816"/>
      <c r="AG682" s="816"/>
      <c r="AI682" s="816"/>
      <c r="AK682" s="816"/>
      <c r="AM682" s="816"/>
    </row>
    <row r="683" spans="1:39" x14ac:dyDescent="0.25">
      <c r="A683" s="265">
        <v>44109</v>
      </c>
      <c r="B683">
        <v>1</v>
      </c>
      <c r="C683" s="816" t="s">
        <v>4</v>
      </c>
      <c r="D683">
        <v>534</v>
      </c>
      <c r="E683" s="816" t="s">
        <v>9540</v>
      </c>
      <c r="F683" s="816" t="s">
        <v>25</v>
      </c>
      <c r="G683" s="816" t="s">
        <v>9547</v>
      </c>
      <c r="H683">
        <v>4</v>
      </c>
      <c r="I683" s="816" t="s">
        <v>13</v>
      </c>
      <c r="J683" s="816" t="s">
        <v>13</v>
      </c>
      <c r="K683" s="817">
        <v>0.14280092592592594</v>
      </c>
      <c r="L683" s="817">
        <v>0.20946759259259259</v>
      </c>
      <c r="M683" s="817"/>
      <c r="N683" s="817"/>
      <c r="O683" s="817">
        <v>0.46376157407407409</v>
      </c>
      <c r="P683" s="817">
        <v>0.71804398148148152</v>
      </c>
      <c r="Q683" s="817"/>
      <c r="R683" s="816"/>
      <c r="S683" s="817"/>
      <c r="T683" s="817"/>
      <c r="U683" s="816" t="s">
        <v>9551</v>
      </c>
      <c r="V683" s="816" t="s">
        <v>9551</v>
      </c>
      <c r="W683" s="267"/>
      <c r="X683" s="816" t="s">
        <v>26</v>
      </c>
      <c r="Y683">
        <v>13</v>
      </c>
      <c r="Z683">
        <v>94.7</v>
      </c>
      <c r="AA683" s="816" t="s">
        <v>9578</v>
      </c>
      <c r="AB683" s="816" t="s">
        <v>9583</v>
      </c>
      <c r="AC683" s="816"/>
      <c r="AD683" s="816"/>
      <c r="AE683" s="816"/>
      <c r="AF683" s="816"/>
      <c r="AG683" s="816"/>
      <c r="AI683" s="816"/>
      <c r="AK683" s="816"/>
      <c r="AM683" s="816"/>
    </row>
    <row r="684" spans="1:39" x14ac:dyDescent="0.25">
      <c r="A684" s="265">
        <v>44110</v>
      </c>
      <c r="B684">
        <v>2</v>
      </c>
      <c r="C684" s="816" t="s">
        <v>5</v>
      </c>
      <c r="D684">
        <v>534</v>
      </c>
      <c r="E684" s="816" t="s">
        <v>9540</v>
      </c>
      <c r="F684" s="816" t="s">
        <v>25</v>
      </c>
      <c r="G684" s="816" t="s">
        <v>9547</v>
      </c>
      <c r="H684">
        <v>5</v>
      </c>
      <c r="I684" s="816" t="s">
        <v>14</v>
      </c>
      <c r="J684" s="816" t="s">
        <v>13</v>
      </c>
      <c r="K684" s="817">
        <v>0.14244212962962963</v>
      </c>
      <c r="L684" s="817">
        <v>0.20910879629629631</v>
      </c>
      <c r="M684" s="817"/>
      <c r="N684" s="817"/>
      <c r="O684" s="817">
        <v>0.46355324074074072</v>
      </c>
      <c r="P684" s="817">
        <v>0.71799768518518514</v>
      </c>
      <c r="Q684" s="817"/>
      <c r="R684" s="816"/>
      <c r="S684" s="817"/>
      <c r="T684" s="817"/>
      <c r="U684" s="816" t="s">
        <v>9551</v>
      </c>
      <c r="V684" s="816" t="s">
        <v>9551</v>
      </c>
      <c r="W684" s="267"/>
      <c r="X684" s="816" t="s">
        <v>26</v>
      </c>
      <c r="Y684">
        <v>3.6</v>
      </c>
      <c r="Z684">
        <v>83.6</v>
      </c>
      <c r="AA684" s="816" t="s">
        <v>9559</v>
      </c>
      <c r="AB684" s="816" t="s">
        <v>9584</v>
      </c>
      <c r="AC684" s="816"/>
      <c r="AD684" s="816"/>
      <c r="AE684" s="816"/>
      <c r="AF684" s="816"/>
      <c r="AG684" s="816"/>
      <c r="AI684" s="816"/>
      <c r="AK684" s="816"/>
      <c r="AM684" s="816"/>
    </row>
    <row r="685" spans="1:39" x14ac:dyDescent="0.25">
      <c r="A685" s="265">
        <v>44111</v>
      </c>
      <c r="B685">
        <v>3</v>
      </c>
      <c r="C685" s="816" t="s">
        <v>6</v>
      </c>
      <c r="D685">
        <v>534</v>
      </c>
      <c r="E685" s="816" t="s">
        <v>9540</v>
      </c>
      <c r="F685" s="816" t="s">
        <v>25</v>
      </c>
      <c r="G685" s="816" t="s">
        <v>9547</v>
      </c>
      <c r="H685">
        <v>5</v>
      </c>
      <c r="I685" s="816" t="s">
        <v>14</v>
      </c>
      <c r="J685" s="816" t="s">
        <v>14</v>
      </c>
      <c r="K685" s="817">
        <v>0.14209490740740741</v>
      </c>
      <c r="L685" s="817">
        <v>0.20876157407407406</v>
      </c>
      <c r="M685" s="817"/>
      <c r="N685" s="817"/>
      <c r="O685" s="817">
        <v>0.46335648148148145</v>
      </c>
      <c r="P685" s="817">
        <v>0.71795138888888888</v>
      </c>
      <c r="Q685" s="817"/>
      <c r="R685" s="816"/>
      <c r="S685" s="817"/>
      <c r="T685" s="817"/>
      <c r="U685" s="816" t="s">
        <v>9551</v>
      </c>
      <c r="V685" s="816" t="s">
        <v>9551</v>
      </c>
      <c r="W685" s="267"/>
      <c r="X685" s="816" t="s">
        <v>27</v>
      </c>
      <c r="Y685">
        <v>94.9</v>
      </c>
      <c r="Z685">
        <v>73.2</v>
      </c>
      <c r="AA685" s="816" t="s">
        <v>9560</v>
      </c>
      <c r="AB685" s="816" t="s">
        <v>9585</v>
      </c>
      <c r="AC685" s="816"/>
      <c r="AD685" s="816"/>
      <c r="AE685" s="816"/>
      <c r="AF685" s="816"/>
      <c r="AG685" s="816"/>
      <c r="AI685" s="816"/>
      <c r="AK685" s="816"/>
      <c r="AM685" s="816"/>
    </row>
    <row r="686" spans="1:39" x14ac:dyDescent="0.25">
      <c r="A686" s="265">
        <v>44112</v>
      </c>
      <c r="B686">
        <v>4</v>
      </c>
      <c r="C686" s="816" t="s">
        <v>7</v>
      </c>
      <c r="D686">
        <v>534</v>
      </c>
      <c r="E686" s="816" t="s">
        <v>9540</v>
      </c>
      <c r="F686" s="816" t="s">
        <v>25</v>
      </c>
      <c r="G686" s="816" t="s">
        <v>9547</v>
      </c>
      <c r="H686">
        <v>6</v>
      </c>
      <c r="I686" s="816" t="s">
        <v>15</v>
      </c>
      <c r="J686" s="816" t="s">
        <v>15</v>
      </c>
      <c r="K686" s="817">
        <v>0.14174768518518518</v>
      </c>
      <c r="L686" s="817">
        <v>0.20841435185185186</v>
      </c>
      <c r="M686" s="817"/>
      <c r="N686" s="817"/>
      <c r="O686" s="817">
        <v>0.46315972222222218</v>
      </c>
      <c r="P686" s="817">
        <v>0.71790509259259261</v>
      </c>
      <c r="Q686" s="817"/>
      <c r="R686" s="816"/>
      <c r="S686" s="817"/>
      <c r="T686" s="817"/>
      <c r="U686" s="816" t="s">
        <v>9551</v>
      </c>
      <c r="V686" s="816" t="s">
        <v>9551</v>
      </c>
      <c r="W686" s="267"/>
      <c r="X686" s="816" t="s">
        <v>26</v>
      </c>
      <c r="Y686">
        <v>87.7</v>
      </c>
      <c r="Z686">
        <v>64.099999999999994</v>
      </c>
      <c r="AA686" s="816" t="s">
        <v>9561</v>
      </c>
      <c r="AB686" s="816" t="s">
        <v>9586</v>
      </c>
      <c r="AC686" s="816"/>
      <c r="AD686" s="816"/>
      <c r="AE686" s="816"/>
      <c r="AF686" s="816"/>
      <c r="AG686" s="816"/>
      <c r="AI686" s="816"/>
      <c r="AK686" s="816"/>
      <c r="AM686" s="816"/>
    </row>
    <row r="687" spans="1:39" x14ac:dyDescent="0.25">
      <c r="A687" s="265">
        <v>44113</v>
      </c>
      <c r="B687">
        <v>5</v>
      </c>
      <c r="C687" s="816" t="s">
        <v>1</v>
      </c>
      <c r="D687">
        <v>534</v>
      </c>
      <c r="E687" s="816" t="s">
        <v>9540</v>
      </c>
      <c r="F687" s="816" t="s">
        <v>25</v>
      </c>
      <c r="G687" s="816" t="s">
        <v>9547</v>
      </c>
      <c r="H687">
        <v>7</v>
      </c>
      <c r="I687" s="816" t="s">
        <v>16</v>
      </c>
      <c r="J687" s="816" t="s">
        <v>16</v>
      </c>
      <c r="K687" s="817">
        <v>0.14140046296296296</v>
      </c>
      <c r="L687" s="817">
        <v>0.20806712962962962</v>
      </c>
      <c r="M687" s="817"/>
      <c r="N687" s="817"/>
      <c r="O687" s="817">
        <v>0.46297453703703706</v>
      </c>
      <c r="P687" s="817">
        <v>0.71787037037037038</v>
      </c>
      <c r="Q687" s="817"/>
      <c r="R687" s="816"/>
      <c r="S687" s="817"/>
      <c r="T687" s="817"/>
      <c r="U687" s="816" t="s">
        <v>9551</v>
      </c>
      <c r="V687" s="816" t="s">
        <v>9551</v>
      </c>
      <c r="W687" s="267"/>
      <c r="X687" s="816" t="s">
        <v>26</v>
      </c>
      <c r="Y687">
        <v>82.4</v>
      </c>
      <c r="Z687">
        <v>56.8</v>
      </c>
      <c r="AA687" s="816" t="s">
        <v>9562</v>
      </c>
      <c r="AB687" s="816" t="s">
        <v>9604</v>
      </c>
      <c r="AC687" s="816"/>
      <c r="AD687" s="816"/>
      <c r="AE687" s="816"/>
      <c r="AF687" s="816"/>
      <c r="AG687" s="816"/>
      <c r="AI687" s="816"/>
      <c r="AK687" s="816"/>
      <c r="AM687" s="816"/>
    </row>
    <row r="688" spans="1:39" x14ac:dyDescent="0.25">
      <c r="A688" s="265">
        <v>44114</v>
      </c>
      <c r="B688">
        <v>6</v>
      </c>
      <c r="C688" s="816" t="s">
        <v>2</v>
      </c>
      <c r="D688">
        <v>534</v>
      </c>
      <c r="E688" s="816" t="s">
        <v>9540</v>
      </c>
      <c r="F688" s="816" t="s">
        <v>25</v>
      </c>
      <c r="G688" s="816" t="s">
        <v>9547</v>
      </c>
      <c r="H688">
        <v>8</v>
      </c>
      <c r="I688" s="816" t="s">
        <v>17</v>
      </c>
      <c r="J688" s="816" t="s">
        <v>17</v>
      </c>
      <c r="K688" s="817">
        <v>0.14106481481481481</v>
      </c>
      <c r="L688" s="817">
        <v>0.20773148148148146</v>
      </c>
      <c r="M688" s="817"/>
      <c r="N688" s="817"/>
      <c r="O688" s="817">
        <v>0.46278935185185183</v>
      </c>
      <c r="P688" s="817">
        <v>0.71784722222222219</v>
      </c>
      <c r="Q688" s="817"/>
      <c r="R688" s="816"/>
      <c r="S688" s="817"/>
      <c r="T688" s="817"/>
      <c r="U688" s="816" t="s">
        <v>9551</v>
      </c>
      <c r="V688" s="816" t="s">
        <v>9551</v>
      </c>
      <c r="W688" s="267"/>
      <c r="X688" s="816" t="s">
        <v>26</v>
      </c>
      <c r="Y688">
        <v>80</v>
      </c>
      <c r="Z688">
        <v>52</v>
      </c>
      <c r="AA688" s="816" t="s">
        <v>9563</v>
      </c>
      <c r="AB688" s="816" t="s">
        <v>9587</v>
      </c>
      <c r="AC688" s="816"/>
      <c r="AD688" s="816"/>
      <c r="AE688" s="816"/>
      <c r="AF688" s="816"/>
      <c r="AG688" s="816"/>
      <c r="AI688" s="816"/>
      <c r="AK688" s="816"/>
      <c r="AM688" s="816"/>
    </row>
    <row r="689" spans="1:39" x14ac:dyDescent="0.25">
      <c r="A689" s="265">
        <v>44115</v>
      </c>
      <c r="B689">
        <v>0</v>
      </c>
      <c r="C689" s="816" t="s">
        <v>3</v>
      </c>
      <c r="D689">
        <v>534</v>
      </c>
      <c r="E689" s="816" t="s">
        <v>9540</v>
      </c>
      <c r="F689" s="816" t="s">
        <v>25</v>
      </c>
      <c r="G689" s="816" t="s">
        <v>9547</v>
      </c>
      <c r="H689">
        <v>9</v>
      </c>
      <c r="I689" s="816" t="s">
        <v>18</v>
      </c>
      <c r="J689" s="816" t="s">
        <v>18</v>
      </c>
      <c r="K689" s="817">
        <v>0.14072916666666666</v>
      </c>
      <c r="L689" s="817">
        <v>0.20739583333333333</v>
      </c>
      <c r="M689" s="817"/>
      <c r="N689" s="817"/>
      <c r="O689" s="817">
        <v>0.46260416666666665</v>
      </c>
      <c r="P689" s="817">
        <v>0.71782407407407411</v>
      </c>
      <c r="Q689" s="817"/>
      <c r="R689" s="816"/>
      <c r="S689" s="817"/>
      <c r="T689" s="817"/>
      <c r="U689" s="816" t="s">
        <v>9551</v>
      </c>
      <c r="V689" s="816" t="s">
        <v>9551</v>
      </c>
      <c r="W689" s="267"/>
      <c r="X689" s="816" t="s">
        <v>26</v>
      </c>
      <c r="Y689">
        <v>80.8</v>
      </c>
      <c r="Z689">
        <v>50.2</v>
      </c>
      <c r="AA689" s="816" t="s">
        <v>9564</v>
      </c>
      <c r="AB689" s="816" t="s">
        <v>9588</v>
      </c>
      <c r="AC689" s="816"/>
      <c r="AD689" s="816"/>
      <c r="AE689" s="816"/>
      <c r="AF689" s="816"/>
      <c r="AG689" s="816"/>
      <c r="AI689" s="816"/>
      <c r="AK689" s="816"/>
      <c r="AM689" s="816"/>
    </row>
    <row r="690" spans="1:39" x14ac:dyDescent="0.25">
      <c r="A690" s="265">
        <v>44116</v>
      </c>
      <c r="B690">
        <v>1</v>
      </c>
      <c r="C690" s="816" t="s">
        <v>4</v>
      </c>
      <c r="D690">
        <v>534</v>
      </c>
      <c r="E690" s="816" t="s">
        <v>9540</v>
      </c>
      <c r="F690" s="816" t="s">
        <v>25</v>
      </c>
      <c r="G690" s="816" t="s">
        <v>9547</v>
      </c>
      <c r="H690">
        <v>10</v>
      </c>
      <c r="I690" s="816" t="s">
        <v>19</v>
      </c>
      <c r="J690" s="816" t="s">
        <v>19</v>
      </c>
      <c r="K690" s="817">
        <v>0.1404050925925926</v>
      </c>
      <c r="L690" s="817">
        <v>0.20707175925925925</v>
      </c>
      <c r="M690" s="817"/>
      <c r="N690" s="817"/>
      <c r="O690" s="817">
        <v>0.46244212962962966</v>
      </c>
      <c r="P690" s="817">
        <v>0.71780092592592604</v>
      </c>
      <c r="Q690" s="817"/>
      <c r="R690" s="816"/>
      <c r="S690" s="817"/>
      <c r="T690" s="817"/>
      <c r="U690" s="816" t="s">
        <v>9551</v>
      </c>
      <c r="V690" s="816" t="s">
        <v>9551</v>
      </c>
      <c r="W690" s="267"/>
      <c r="X690" s="816" t="s">
        <v>26</v>
      </c>
      <c r="Y690">
        <v>85.6</v>
      </c>
      <c r="Z690">
        <v>51.9</v>
      </c>
      <c r="AA690" s="816" t="s">
        <v>9565</v>
      </c>
      <c r="AB690" s="816" t="s">
        <v>9589</v>
      </c>
      <c r="AC690" s="816"/>
      <c r="AD690" s="816"/>
      <c r="AE690" s="816"/>
      <c r="AF690" s="816"/>
      <c r="AG690" s="816"/>
      <c r="AI690" s="816"/>
      <c r="AK690" s="816"/>
      <c r="AM690" s="816"/>
    </row>
    <row r="691" spans="1:39" x14ac:dyDescent="0.25">
      <c r="A691" s="265">
        <v>44117</v>
      </c>
      <c r="B691">
        <v>2</v>
      </c>
      <c r="C691" s="816" t="s">
        <v>5</v>
      </c>
      <c r="D691">
        <v>534</v>
      </c>
      <c r="E691" s="816" t="s">
        <v>9540</v>
      </c>
      <c r="F691" s="816" t="s">
        <v>25</v>
      </c>
      <c r="G691" s="816" t="s">
        <v>9547</v>
      </c>
      <c r="H691">
        <v>11</v>
      </c>
      <c r="I691" s="816" t="s">
        <v>9548</v>
      </c>
      <c r="J691" s="816" t="s">
        <v>20</v>
      </c>
      <c r="K691" s="817">
        <v>0.14008101851851851</v>
      </c>
      <c r="L691" s="817">
        <v>0.20674768518518519</v>
      </c>
      <c r="M691" s="817"/>
      <c r="N691" s="817"/>
      <c r="O691" s="817">
        <v>0.46226851851851852</v>
      </c>
      <c r="P691" s="817">
        <v>0.71778935185185189</v>
      </c>
      <c r="Q691" s="817"/>
      <c r="R691" s="816"/>
      <c r="S691" s="817"/>
      <c r="T691" s="817"/>
      <c r="U691" s="816" t="s">
        <v>9551</v>
      </c>
      <c r="V691" s="816" t="s">
        <v>9551</v>
      </c>
      <c r="W691" s="267"/>
      <c r="X691" s="816" t="s">
        <v>26</v>
      </c>
      <c r="Y691">
        <v>94.5</v>
      </c>
      <c r="Z691">
        <v>57.4</v>
      </c>
      <c r="AA691" s="816" t="s">
        <v>9566</v>
      </c>
      <c r="AB691" s="816" t="s">
        <v>9590</v>
      </c>
      <c r="AC691" s="816"/>
      <c r="AD691" s="816"/>
      <c r="AE691" s="816"/>
      <c r="AF691" s="816" t="s">
        <v>72</v>
      </c>
      <c r="AG691" s="816" t="s">
        <v>9608</v>
      </c>
      <c r="AH691">
        <v>-1</v>
      </c>
      <c r="AI691" s="816" t="s">
        <v>47</v>
      </c>
      <c r="AJ691">
        <v>-1</v>
      </c>
      <c r="AK691" s="816"/>
      <c r="AM691" s="816"/>
    </row>
    <row r="692" spans="1:39" x14ac:dyDescent="0.25">
      <c r="A692" s="265">
        <v>44118</v>
      </c>
      <c r="B692">
        <v>3</v>
      </c>
      <c r="C692" s="816" t="s">
        <v>6</v>
      </c>
      <c r="D692">
        <v>534</v>
      </c>
      <c r="E692" s="816" t="s">
        <v>9540</v>
      </c>
      <c r="F692" s="816" t="s">
        <v>25</v>
      </c>
      <c r="G692" s="816" t="s">
        <v>9547</v>
      </c>
      <c r="H692">
        <v>13</v>
      </c>
      <c r="I692" s="816" t="s">
        <v>8</v>
      </c>
      <c r="J692" s="816" t="s">
        <v>21</v>
      </c>
      <c r="K692" s="817">
        <v>0.13976851851851851</v>
      </c>
      <c r="L692" s="817">
        <v>0.20643518518518519</v>
      </c>
      <c r="M692" s="817">
        <v>0.20625000000000002</v>
      </c>
      <c r="N692" s="817">
        <v>0.37638888888888888</v>
      </c>
      <c r="O692" s="817">
        <v>0.46210648148148148</v>
      </c>
      <c r="P692" s="817">
        <v>0.71777777777777774</v>
      </c>
      <c r="Q692" s="817"/>
      <c r="R692" s="816"/>
      <c r="S692" s="817">
        <v>0.25555555555555559</v>
      </c>
      <c r="T692" s="817">
        <v>0.14097222222222222</v>
      </c>
      <c r="U692" s="816" t="s">
        <v>9551</v>
      </c>
      <c r="V692" s="816" t="s">
        <v>9551</v>
      </c>
      <c r="W692" s="267"/>
      <c r="X692" s="816" t="s">
        <v>26</v>
      </c>
      <c r="Y692">
        <v>7.5</v>
      </c>
      <c r="Z692">
        <v>66.400000000000006</v>
      </c>
      <c r="AA692" s="816" t="s">
        <v>9567</v>
      </c>
      <c r="AB692" s="816" t="s">
        <v>9591</v>
      </c>
      <c r="AC692" s="816"/>
      <c r="AD692" s="816"/>
      <c r="AE692" s="816"/>
      <c r="AF692" s="816"/>
      <c r="AG692" s="816"/>
      <c r="AI692" s="816"/>
      <c r="AK692" s="816"/>
      <c r="AM692" s="816"/>
    </row>
    <row r="693" spans="1:39" x14ac:dyDescent="0.25">
      <c r="A693" s="265">
        <v>44119</v>
      </c>
      <c r="B693">
        <v>4</v>
      </c>
      <c r="C693" s="816" t="s">
        <v>7</v>
      </c>
      <c r="D693">
        <v>534</v>
      </c>
      <c r="E693" s="816" t="s">
        <v>9540</v>
      </c>
      <c r="F693" s="816" t="s">
        <v>25</v>
      </c>
      <c r="G693" s="816" t="s">
        <v>9547</v>
      </c>
      <c r="H693">
        <v>14</v>
      </c>
      <c r="I693" s="816" t="s">
        <v>9</v>
      </c>
      <c r="J693" s="816" t="s">
        <v>9</v>
      </c>
      <c r="K693" s="817">
        <v>0.13946759259259259</v>
      </c>
      <c r="L693" s="817">
        <v>0.20613425925925924</v>
      </c>
      <c r="M693" s="817"/>
      <c r="N693" s="817"/>
      <c r="O693" s="817">
        <v>0.46195601851851853</v>
      </c>
      <c r="P693" s="817">
        <v>0.71777777777777774</v>
      </c>
      <c r="Q693" s="817"/>
      <c r="R693" s="816"/>
      <c r="S693" s="817"/>
      <c r="T693" s="817"/>
      <c r="U693" s="816" t="s">
        <v>9551</v>
      </c>
      <c r="V693" s="816" t="s">
        <v>9551</v>
      </c>
      <c r="W693" s="267"/>
      <c r="X693" s="816" t="s">
        <v>26</v>
      </c>
      <c r="Y693">
        <v>23.7</v>
      </c>
      <c r="Z693">
        <v>78.5</v>
      </c>
      <c r="AA693" s="816" t="s">
        <v>9568</v>
      </c>
      <c r="AB693" s="816" t="s">
        <v>9592</v>
      </c>
      <c r="AC693" s="816"/>
      <c r="AD693" s="816"/>
      <c r="AE693" s="816"/>
      <c r="AF693" s="816"/>
      <c r="AG693" s="816"/>
      <c r="AI693" s="816"/>
      <c r="AK693" s="816"/>
      <c r="AM693" s="816"/>
    </row>
    <row r="694" spans="1:39" x14ac:dyDescent="0.25">
      <c r="A694" s="265">
        <v>44120</v>
      </c>
      <c r="B694">
        <v>5</v>
      </c>
      <c r="C694" s="816" t="s">
        <v>1</v>
      </c>
      <c r="D694">
        <v>534</v>
      </c>
      <c r="E694" s="816" t="s">
        <v>9540</v>
      </c>
      <c r="F694" s="816" t="s">
        <v>25</v>
      </c>
      <c r="G694" s="816" t="s">
        <v>9547</v>
      </c>
      <c r="H694">
        <v>15</v>
      </c>
      <c r="I694" s="816" t="s">
        <v>22</v>
      </c>
      <c r="J694" s="816" t="s">
        <v>22</v>
      </c>
      <c r="K694" s="817">
        <v>0.13916666666666666</v>
      </c>
      <c r="L694" s="817">
        <v>0.20583333333333331</v>
      </c>
      <c r="M694" s="817"/>
      <c r="N694" s="817"/>
      <c r="O694" s="817">
        <v>0.46180555555555558</v>
      </c>
      <c r="P694" s="817">
        <v>0.71778935185185189</v>
      </c>
      <c r="Q694" s="817"/>
      <c r="R694" s="816"/>
      <c r="S694" s="817"/>
      <c r="T694" s="817"/>
      <c r="U694" s="816" t="s">
        <v>9551</v>
      </c>
      <c r="V694" s="816" t="s">
        <v>9551</v>
      </c>
      <c r="W694" s="267"/>
      <c r="X694" s="816" t="s">
        <v>26</v>
      </c>
      <c r="Y694">
        <v>42.3</v>
      </c>
      <c r="Z694">
        <v>92.6</v>
      </c>
      <c r="AA694" s="816" t="s">
        <v>9569</v>
      </c>
      <c r="AB694" s="816" t="s">
        <v>9593</v>
      </c>
      <c r="AC694" s="816"/>
      <c r="AD694" s="816"/>
      <c r="AE694" s="816"/>
      <c r="AF694" s="816"/>
      <c r="AG694" s="816"/>
      <c r="AI694" s="816"/>
      <c r="AK694" s="816"/>
      <c r="AM694" s="816"/>
    </row>
    <row r="695" spans="1:39" x14ac:dyDescent="0.25">
      <c r="A695" s="265">
        <v>44121</v>
      </c>
      <c r="B695">
        <v>6</v>
      </c>
      <c r="C695" s="816" t="s">
        <v>2</v>
      </c>
      <c r="D695">
        <v>534</v>
      </c>
      <c r="E695" s="816" t="s">
        <v>9544</v>
      </c>
      <c r="F695" s="816" t="s">
        <v>24</v>
      </c>
      <c r="G695" s="816" t="s">
        <v>9546</v>
      </c>
      <c r="H695">
        <v>16</v>
      </c>
      <c r="I695" s="816" t="s">
        <v>11</v>
      </c>
      <c r="J695" s="816" t="s">
        <v>11</v>
      </c>
      <c r="K695" s="817">
        <v>0.13887731481481483</v>
      </c>
      <c r="L695" s="817">
        <v>0.20554398148148148</v>
      </c>
      <c r="M695" s="817"/>
      <c r="N695" s="817"/>
      <c r="O695" s="817">
        <v>0.46166666666666667</v>
      </c>
      <c r="P695" s="817">
        <v>0.71780092592592604</v>
      </c>
      <c r="Q695" s="817">
        <v>0.93497685185185186</v>
      </c>
      <c r="R695" s="816" t="s">
        <v>83</v>
      </c>
      <c r="S695" s="817"/>
      <c r="T695" s="817"/>
      <c r="U695" s="816" t="s">
        <v>9551</v>
      </c>
      <c r="V695" s="816" t="s">
        <v>9551</v>
      </c>
      <c r="W695" s="267"/>
      <c r="X695" s="816" t="s">
        <v>26</v>
      </c>
      <c r="Y695">
        <v>61.6</v>
      </c>
      <c r="Z695">
        <v>7.4</v>
      </c>
      <c r="AA695" s="816" t="s">
        <v>9571</v>
      </c>
      <c r="AB695" s="816" t="s">
        <v>9594</v>
      </c>
      <c r="AC695" s="816"/>
      <c r="AD695" s="816"/>
      <c r="AE695" s="816"/>
      <c r="AF695" s="816"/>
      <c r="AG695" s="816"/>
      <c r="AI695" s="816"/>
      <c r="AK695" s="816"/>
      <c r="AM695" s="816"/>
    </row>
    <row r="696" spans="1:39" x14ac:dyDescent="0.25">
      <c r="A696" s="265">
        <v>44122</v>
      </c>
      <c r="B696">
        <v>0</v>
      </c>
      <c r="C696" s="816" t="s">
        <v>3</v>
      </c>
      <c r="D696">
        <v>534</v>
      </c>
      <c r="E696" s="816" t="s">
        <v>9544</v>
      </c>
      <c r="F696" s="816" t="s">
        <v>24</v>
      </c>
      <c r="G696" s="816" t="s">
        <v>9546</v>
      </c>
      <c r="H696">
        <v>17</v>
      </c>
      <c r="I696" s="816" t="s">
        <v>12</v>
      </c>
      <c r="J696" s="816" t="s">
        <v>12</v>
      </c>
      <c r="K696" s="817">
        <v>0.13858796296296297</v>
      </c>
      <c r="L696" s="817">
        <v>0.20525462962962962</v>
      </c>
      <c r="M696" s="817"/>
      <c r="N696" s="817"/>
      <c r="O696" s="817">
        <v>0.46153935185185185</v>
      </c>
      <c r="P696" s="817">
        <v>0.71781249999999996</v>
      </c>
      <c r="Q696" s="817"/>
      <c r="R696" s="816"/>
      <c r="S696" s="817"/>
      <c r="T696" s="817"/>
      <c r="U696" s="816" t="s">
        <v>9551</v>
      </c>
      <c r="V696" s="816" t="s">
        <v>9551</v>
      </c>
      <c r="W696" s="267"/>
      <c r="X696" s="816" t="s">
        <v>26</v>
      </c>
      <c r="Y696">
        <v>80.099999999999994</v>
      </c>
      <c r="Z696">
        <v>21.5</v>
      </c>
      <c r="AA696" s="816" t="s">
        <v>9572</v>
      </c>
      <c r="AB696" s="816" t="s">
        <v>9595</v>
      </c>
      <c r="AC696" s="816"/>
      <c r="AD696" s="816"/>
      <c r="AE696" s="816"/>
      <c r="AF696" s="816"/>
      <c r="AG696" s="816"/>
      <c r="AI696" s="816"/>
      <c r="AK696" s="816"/>
      <c r="AM696" s="816"/>
    </row>
    <row r="697" spans="1:39" x14ac:dyDescent="0.25">
      <c r="A697" s="265">
        <v>44123</v>
      </c>
      <c r="B697">
        <v>1</v>
      </c>
      <c r="C697" s="816" t="s">
        <v>4</v>
      </c>
      <c r="D697">
        <v>534</v>
      </c>
      <c r="E697" s="816" t="s">
        <v>9544</v>
      </c>
      <c r="F697" s="816" t="s">
        <v>24</v>
      </c>
      <c r="G697" s="816" t="s">
        <v>9546</v>
      </c>
      <c r="H697">
        <v>18</v>
      </c>
      <c r="I697" s="816" t="s">
        <v>23</v>
      </c>
      <c r="J697" s="816" t="s">
        <v>23</v>
      </c>
      <c r="K697" s="817">
        <v>0.1383101851851852</v>
      </c>
      <c r="L697" s="817">
        <v>0.20497685185185185</v>
      </c>
      <c r="M697" s="817"/>
      <c r="N697" s="817"/>
      <c r="O697" s="817">
        <v>0.46141203703703698</v>
      </c>
      <c r="P697" s="817">
        <v>0.71783564814814815</v>
      </c>
      <c r="Q697" s="817"/>
      <c r="R697" s="816"/>
      <c r="S697" s="817"/>
      <c r="T697" s="817"/>
      <c r="U697" s="816" t="s">
        <v>9551</v>
      </c>
      <c r="V697" s="816" t="s">
        <v>9551</v>
      </c>
      <c r="W697" s="267"/>
      <c r="X697" s="816" t="s">
        <v>26</v>
      </c>
      <c r="Y697">
        <v>96.4</v>
      </c>
      <c r="Z697">
        <v>33.700000000000003</v>
      </c>
      <c r="AA697" s="816" t="s">
        <v>9573</v>
      </c>
      <c r="AB697" s="816" t="s">
        <v>9597</v>
      </c>
      <c r="AC697" s="816"/>
      <c r="AD697" s="816"/>
      <c r="AE697" s="816"/>
      <c r="AF697" s="816"/>
      <c r="AG697" s="816"/>
      <c r="AI697" s="816"/>
      <c r="AK697" s="816"/>
      <c r="AM697" s="816"/>
    </row>
    <row r="698" spans="1:39" x14ac:dyDescent="0.25">
      <c r="A698" s="265">
        <v>44124</v>
      </c>
      <c r="B698">
        <v>2</v>
      </c>
      <c r="C698" s="816" t="s">
        <v>5</v>
      </c>
      <c r="D698">
        <v>534</v>
      </c>
      <c r="E698" s="816" t="s">
        <v>9544</v>
      </c>
      <c r="F698" s="816" t="s">
        <v>24</v>
      </c>
      <c r="G698" s="816" t="s">
        <v>9546</v>
      </c>
      <c r="H698">
        <v>20</v>
      </c>
      <c r="I698" s="816" t="s">
        <v>14</v>
      </c>
      <c r="J698" s="816" t="s">
        <v>14</v>
      </c>
      <c r="K698" s="817">
        <v>0.13804398148148148</v>
      </c>
      <c r="L698" s="817">
        <v>0.20471064814814813</v>
      </c>
      <c r="M698" s="817"/>
      <c r="N698" s="817"/>
      <c r="O698" s="817">
        <v>0.46129629629629632</v>
      </c>
      <c r="P698" s="817">
        <v>0.71787037037037038</v>
      </c>
      <c r="Q698" s="817"/>
      <c r="R698" s="816"/>
      <c r="S698" s="817">
        <v>0.23611111111111113</v>
      </c>
      <c r="T698" s="817">
        <v>0.11805555555555557</v>
      </c>
      <c r="U698" s="816" t="s">
        <v>9551</v>
      </c>
      <c r="V698" s="816" t="s">
        <v>9551</v>
      </c>
      <c r="W698" s="267"/>
      <c r="X698" s="816" t="s">
        <v>26</v>
      </c>
      <c r="Y698">
        <v>9.6</v>
      </c>
      <c r="Z698">
        <v>43</v>
      </c>
      <c r="AA698" s="816" t="s">
        <v>9574</v>
      </c>
      <c r="AB698" s="816" t="s">
        <v>9598</v>
      </c>
      <c r="AC698" s="816"/>
      <c r="AD698" s="816"/>
      <c r="AE698" s="816"/>
      <c r="AF698" s="816"/>
      <c r="AG698" s="816"/>
      <c r="AI698" s="816"/>
      <c r="AK698" s="816"/>
      <c r="AM698" s="816"/>
    </row>
    <row r="699" spans="1:39" x14ac:dyDescent="0.25">
      <c r="A699" s="265">
        <v>44125</v>
      </c>
      <c r="B699">
        <v>3</v>
      </c>
      <c r="C699" s="816" t="s">
        <v>6</v>
      </c>
      <c r="D699">
        <v>534</v>
      </c>
      <c r="E699" s="816" t="s">
        <v>9544</v>
      </c>
      <c r="F699" s="816" t="s">
        <v>24</v>
      </c>
      <c r="G699" s="816" t="s">
        <v>9546</v>
      </c>
      <c r="H699">
        <v>21</v>
      </c>
      <c r="I699" s="816" t="s">
        <v>15</v>
      </c>
      <c r="J699" s="816" t="s">
        <v>15</v>
      </c>
      <c r="K699" s="817">
        <v>0.13778935185185184</v>
      </c>
      <c r="L699" s="817">
        <v>0.2044560185185185</v>
      </c>
      <c r="M699" s="817"/>
      <c r="N699" s="817"/>
      <c r="O699" s="817">
        <v>0.46118055555555554</v>
      </c>
      <c r="P699" s="817">
        <v>0.71791666666666665</v>
      </c>
      <c r="Q699" s="817"/>
      <c r="R699" s="816"/>
      <c r="S699" s="817"/>
      <c r="T699" s="817"/>
      <c r="U699" s="816" t="s">
        <v>9551</v>
      </c>
      <c r="V699" s="816" t="s">
        <v>9551</v>
      </c>
      <c r="W699" s="267"/>
      <c r="X699" s="816" t="s">
        <v>26</v>
      </c>
      <c r="Y699">
        <v>19.100000000000001</v>
      </c>
      <c r="Z699">
        <v>49</v>
      </c>
      <c r="AA699" s="816" t="s">
        <v>9575</v>
      </c>
      <c r="AB699" s="816" t="s">
        <v>9599</v>
      </c>
      <c r="AC699" s="816"/>
      <c r="AD699" s="816"/>
      <c r="AE699" s="816"/>
      <c r="AF699" s="816"/>
      <c r="AG699" s="816"/>
      <c r="AI699" s="816"/>
      <c r="AK699" s="816"/>
      <c r="AM699" s="816"/>
    </row>
    <row r="700" spans="1:39" x14ac:dyDescent="0.25">
      <c r="A700" s="265">
        <v>44126</v>
      </c>
      <c r="B700">
        <v>4</v>
      </c>
      <c r="C700" s="816" t="s">
        <v>7</v>
      </c>
      <c r="D700">
        <v>534</v>
      </c>
      <c r="E700" s="816" t="s">
        <v>9544</v>
      </c>
      <c r="F700" s="816" t="s">
        <v>24</v>
      </c>
      <c r="G700" s="816" t="s">
        <v>9546</v>
      </c>
      <c r="H700">
        <v>22</v>
      </c>
      <c r="I700" s="816" t="s">
        <v>16</v>
      </c>
      <c r="J700" s="816" t="s">
        <v>16</v>
      </c>
      <c r="K700" s="817">
        <v>0.13753472222222221</v>
      </c>
      <c r="L700" s="817">
        <v>0.20420138888888886</v>
      </c>
      <c r="M700" s="817"/>
      <c r="N700" s="817"/>
      <c r="O700" s="817">
        <v>0.46107638888888891</v>
      </c>
      <c r="P700" s="817">
        <v>0.71796296296296302</v>
      </c>
      <c r="Q700" s="817"/>
      <c r="R700" s="816"/>
      <c r="S700" s="817"/>
      <c r="T700" s="817"/>
      <c r="U700" s="816" t="s">
        <v>9551</v>
      </c>
      <c r="V700" s="816" t="s">
        <v>9551</v>
      </c>
      <c r="W700" s="267"/>
      <c r="X700" s="816" t="s">
        <v>26</v>
      </c>
      <c r="Y700">
        <v>24.8</v>
      </c>
      <c r="Z700">
        <v>51.6</v>
      </c>
      <c r="AA700" s="816" t="s">
        <v>9576</v>
      </c>
      <c r="AB700" s="816" t="s">
        <v>9600</v>
      </c>
      <c r="AC700" s="816"/>
      <c r="AD700" s="816"/>
      <c r="AE700" s="816"/>
      <c r="AF700" s="816"/>
      <c r="AG700" s="816"/>
      <c r="AI700" s="816"/>
      <c r="AK700" s="816"/>
      <c r="AM700" s="816"/>
    </row>
    <row r="701" spans="1:39" x14ac:dyDescent="0.25">
      <c r="A701" s="265">
        <v>44127</v>
      </c>
      <c r="B701">
        <v>5</v>
      </c>
      <c r="C701" s="816" t="s">
        <v>1</v>
      </c>
      <c r="D701">
        <v>534</v>
      </c>
      <c r="E701" s="816" t="s">
        <v>9544</v>
      </c>
      <c r="F701" s="816" t="s">
        <v>24</v>
      </c>
      <c r="G701" s="816" t="s">
        <v>9546</v>
      </c>
      <c r="H701">
        <v>23</v>
      </c>
      <c r="I701" s="816" t="s">
        <v>17</v>
      </c>
      <c r="J701" s="816" t="s">
        <v>17</v>
      </c>
      <c r="K701" s="817">
        <v>0.13729166666666667</v>
      </c>
      <c r="L701" s="817">
        <v>0.20395833333333332</v>
      </c>
      <c r="M701" s="817"/>
      <c r="N701" s="817"/>
      <c r="O701" s="817">
        <v>0.46098379629629632</v>
      </c>
      <c r="P701" s="817">
        <v>0.71800925925925929</v>
      </c>
      <c r="Q701" s="817"/>
      <c r="R701" s="816"/>
      <c r="S701" s="817"/>
      <c r="T701" s="817"/>
      <c r="U701" s="816" t="s">
        <v>9551</v>
      </c>
      <c r="V701" s="816" t="s">
        <v>9551</v>
      </c>
      <c r="W701" s="267"/>
      <c r="X701" s="816" t="s">
        <v>26</v>
      </c>
      <c r="Y701">
        <v>27</v>
      </c>
      <c r="Z701">
        <v>51</v>
      </c>
      <c r="AA701" s="816" t="s">
        <v>9577</v>
      </c>
      <c r="AB701" s="816" t="s">
        <v>9601</v>
      </c>
      <c r="AC701" s="816"/>
      <c r="AD701" s="816"/>
      <c r="AE701" s="816"/>
      <c r="AF701" s="816"/>
      <c r="AG701" s="816"/>
      <c r="AI701" s="816"/>
      <c r="AK701" s="816"/>
      <c r="AM701" s="816"/>
    </row>
    <row r="702" spans="1:39" x14ac:dyDescent="0.25">
      <c r="A702" s="265">
        <v>44128</v>
      </c>
      <c r="B702">
        <v>6</v>
      </c>
      <c r="C702" s="816" t="s">
        <v>2</v>
      </c>
      <c r="D702">
        <v>534</v>
      </c>
      <c r="E702" s="816" t="s">
        <v>9544</v>
      </c>
      <c r="F702" s="816" t="s">
        <v>24</v>
      </c>
      <c r="G702" s="816" t="s">
        <v>9546</v>
      </c>
      <c r="H702">
        <v>24</v>
      </c>
      <c r="I702" s="816" t="s">
        <v>18</v>
      </c>
      <c r="J702" s="816" t="s">
        <v>18</v>
      </c>
      <c r="K702" s="817">
        <v>0.13706018518518517</v>
      </c>
      <c r="L702" s="817">
        <v>0.20372685185185188</v>
      </c>
      <c r="M702" s="817"/>
      <c r="N702" s="817"/>
      <c r="O702" s="817">
        <v>0.46090277777777783</v>
      </c>
      <c r="P702" s="817">
        <v>0.7180671296296296</v>
      </c>
      <c r="Q702" s="817"/>
      <c r="R702" s="816"/>
      <c r="S702" s="817"/>
      <c r="T702" s="817"/>
      <c r="U702" s="816" t="s">
        <v>9551</v>
      </c>
      <c r="V702" s="816" t="s">
        <v>9551</v>
      </c>
      <c r="W702" s="267"/>
      <c r="X702" s="816" t="s">
        <v>26</v>
      </c>
      <c r="Y702">
        <v>26</v>
      </c>
      <c r="Z702">
        <v>47.6</v>
      </c>
      <c r="AA702" s="816" t="s">
        <v>9552</v>
      </c>
      <c r="AB702" s="816" t="s">
        <v>9602</v>
      </c>
      <c r="AC702" s="816"/>
      <c r="AD702" s="816"/>
      <c r="AE702" s="816"/>
      <c r="AF702" s="816"/>
      <c r="AG702" s="816"/>
      <c r="AI702" s="816"/>
      <c r="AK702" s="816"/>
      <c r="AM702" s="816"/>
    </row>
    <row r="703" spans="1:39" x14ac:dyDescent="0.25">
      <c r="A703" s="265">
        <v>44129</v>
      </c>
      <c r="B703">
        <v>0</v>
      </c>
      <c r="C703" s="816" t="s">
        <v>3</v>
      </c>
      <c r="D703">
        <v>534</v>
      </c>
      <c r="E703" s="816" t="s">
        <v>9544</v>
      </c>
      <c r="F703" s="816" t="s">
        <v>24</v>
      </c>
      <c r="G703" s="816" t="s">
        <v>9546</v>
      </c>
      <c r="H703">
        <v>25</v>
      </c>
      <c r="I703" s="816" t="s">
        <v>19</v>
      </c>
      <c r="J703" s="816" t="s">
        <v>19</v>
      </c>
      <c r="K703" s="817">
        <v>0.1368287037037037</v>
      </c>
      <c r="L703" s="817">
        <v>0.20349537037037035</v>
      </c>
      <c r="M703" s="817"/>
      <c r="N703" s="817"/>
      <c r="O703" s="817">
        <v>0.46082175925925922</v>
      </c>
      <c r="P703" s="817">
        <v>0.71813657407407405</v>
      </c>
      <c r="Q703" s="817"/>
      <c r="R703" s="816"/>
      <c r="S703" s="817"/>
      <c r="T703" s="817"/>
      <c r="U703" s="816" t="s">
        <v>9551</v>
      </c>
      <c r="V703" s="816" t="s">
        <v>9551</v>
      </c>
      <c r="W703" s="267"/>
      <c r="X703" s="816" t="s">
        <v>26</v>
      </c>
      <c r="Y703">
        <v>22.5</v>
      </c>
      <c r="Z703">
        <v>41.9</v>
      </c>
      <c r="AA703" s="816" t="s">
        <v>9553</v>
      </c>
      <c r="AB703" s="816" t="s">
        <v>9603</v>
      </c>
      <c r="AC703" s="816" t="s">
        <v>9637</v>
      </c>
      <c r="AD703" s="816"/>
      <c r="AE703" s="816"/>
      <c r="AF703" s="816"/>
      <c r="AG703" s="816"/>
      <c r="AI703" s="816"/>
      <c r="AK703" s="816"/>
      <c r="AM703" s="816"/>
    </row>
    <row r="704" spans="1:39" x14ac:dyDescent="0.25">
      <c r="A704" s="265">
        <v>44130</v>
      </c>
      <c r="B704">
        <v>1</v>
      </c>
      <c r="C704" s="816" t="s">
        <v>4</v>
      </c>
      <c r="D704">
        <v>534</v>
      </c>
      <c r="E704" s="816" t="s">
        <v>9544</v>
      </c>
      <c r="F704" s="816" t="s">
        <v>24</v>
      </c>
      <c r="G704" s="816" t="s">
        <v>9546</v>
      </c>
      <c r="H704">
        <v>26</v>
      </c>
      <c r="I704" s="816" t="s">
        <v>9548</v>
      </c>
      <c r="J704" s="816" t="s">
        <v>20</v>
      </c>
      <c r="K704" s="817">
        <v>0.13662037037037036</v>
      </c>
      <c r="L704" s="817">
        <v>0.20328703703703702</v>
      </c>
      <c r="M704" s="817"/>
      <c r="N704" s="817"/>
      <c r="O704" s="817">
        <v>0.46075231481481477</v>
      </c>
      <c r="P704" s="817">
        <v>0.71821759259259255</v>
      </c>
      <c r="Q704" s="817"/>
      <c r="R704" s="816"/>
      <c r="S704" s="817"/>
      <c r="T704" s="817"/>
      <c r="U704" s="816" t="s">
        <v>9551</v>
      </c>
      <c r="V704" s="816" t="s">
        <v>9551</v>
      </c>
      <c r="W704" s="267"/>
      <c r="X704" s="816" t="s">
        <v>26</v>
      </c>
      <c r="Y704">
        <v>16.899999999999999</v>
      </c>
      <c r="Z704">
        <v>34.4</v>
      </c>
      <c r="AA704" s="816" t="s">
        <v>9554</v>
      </c>
      <c r="AB704" s="816" t="s">
        <v>9579</v>
      </c>
      <c r="AC704" s="816" t="s">
        <v>9638</v>
      </c>
      <c r="AD704" s="816"/>
      <c r="AE704" s="816"/>
      <c r="AF704" s="816" t="s">
        <v>72</v>
      </c>
      <c r="AG704" s="816" t="s">
        <v>64</v>
      </c>
      <c r="AH704">
        <v>-1</v>
      </c>
      <c r="AI704" s="816"/>
      <c r="AK704" s="816"/>
      <c r="AM704" s="816"/>
    </row>
    <row r="705" spans="1:39" x14ac:dyDescent="0.25">
      <c r="A705" s="265">
        <v>44131</v>
      </c>
      <c r="B705">
        <v>2</v>
      </c>
      <c r="C705" s="816" t="s">
        <v>5</v>
      </c>
      <c r="D705">
        <v>534</v>
      </c>
      <c r="E705" s="816" t="s">
        <v>9544</v>
      </c>
      <c r="F705" s="816" t="s">
        <v>24</v>
      </c>
      <c r="G705" s="816" t="s">
        <v>9546</v>
      </c>
      <c r="H705">
        <v>27</v>
      </c>
      <c r="I705" s="816" t="s">
        <v>21</v>
      </c>
      <c r="J705" s="816" t="s">
        <v>21</v>
      </c>
      <c r="K705" s="817">
        <v>0.13641203703703705</v>
      </c>
      <c r="L705" s="817">
        <v>0.20307870370370371</v>
      </c>
      <c r="M705" s="817">
        <v>0.36805555555555558</v>
      </c>
      <c r="N705" s="817">
        <v>0.3743055555555555</v>
      </c>
      <c r="O705" s="817">
        <v>0.46068287037037042</v>
      </c>
      <c r="P705" s="817">
        <v>0.71829861111111104</v>
      </c>
      <c r="Q705" s="817"/>
      <c r="R705" s="816"/>
      <c r="S705" s="817"/>
      <c r="T705" s="817"/>
      <c r="U705" s="816" t="s">
        <v>9551</v>
      </c>
      <c r="V705" s="816" t="s">
        <v>9551</v>
      </c>
      <c r="W705" s="267"/>
      <c r="X705" s="816" t="s">
        <v>26</v>
      </c>
      <c r="Y705">
        <v>9.8000000000000007</v>
      </c>
      <c r="Z705">
        <v>25.5</v>
      </c>
      <c r="AA705" s="816" t="s">
        <v>9555</v>
      </c>
      <c r="AB705" s="816" t="s">
        <v>9580</v>
      </c>
      <c r="AC705" s="816"/>
      <c r="AD705" s="816"/>
      <c r="AE705" s="816"/>
      <c r="AF705" s="816"/>
      <c r="AG705" s="816"/>
      <c r="AI705" s="816"/>
      <c r="AK705" s="816"/>
      <c r="AM705" s="816"/>
    </row>
    <row r="706" spans="1:39" x14ac:dyDescent="0.25">
      <c r="A706" s="265">
        <v>44132</v>
      </c>
      <c r="B706">
        <v>3</v>
      </c>
      <c r="C706" s="816" t="s">
        <v>6</v>
      </c>
      <c r="D706">
        <v>534</v>
      </c>
      <c r="E706" s="816" t="s">
        <v>9544</v>
      </c>
      <c r="F706" s="816" t="s">
        <v>24</v>
      </c>
      <c r="G706" s="816" t="s">
        <v>9546</v>
      </c>
      <c r="H706">
        <v>28</v>
      </c>
      <c r="I706" s="816" t="s">
        <v>8</v>
      </c>
      <c r="J706" s="816" t="s">
        <v>21</v>
      </c>
      <c r="K706" s="817">
        <v>0.13621527777777778</v>
      </c>
      <c r="L706" s="817">
        <v>0.20288194444444443</v>
      </c>
      <c r="M706" s="817"/>
      <c r="N706" s="817"/>
      <c r="O706" s="817">
        <v>0.4606365740740741</v>
      </c>
      <c r="P706" s="817">
        <v>0.71839120370370368</v>
      </c>
      <c r="Q706" s="817"/>
      <c r="R706" s="816"/>
      <c r="S706" s="817"/>
      <c r="T706" s="817"/>
      <c r="U706" s="816" t="s">
        <v>9551</v>
      </c>
      <c r="V706" s="816" t="s">
        <v>9551</v>
      </c>
      <c r="W706" s="267"/>
      <c r="X706" s="816" t="s">
        <v>26</v>
      </c>
      <c r="Y706">
        <v>1.6</v>
      </c>
      <c r="Z706">
        <v>15.6</v>
      </c>
      <c r="AA706" s="816" t="s">
        <v>9556</v>
      </c>
      <c r="AB706" s="816" t="s">
        <v>9581</v>
      </c>
      <c r="AC706" s="816"/>
      <c r="AD706" s="816"/>
      <c r="AE706" s="816"/>
      <c r="AF706" s="816"/>
      <c r="AG706" s="816"/>
      <c r="AI706" s="816"/>
      <c r="AK706" s="816"/>
      <c r="AM706" s="816"/>
    </row>
    <row r="707" spans="1:39" x14ac:dyDescent="0.25">
      <c r="A707" s="265">
        <v>44133</v>
      </c>
      <c r="B707">
        <v>4</v>
      </c>
      <c r="C707" s="816" t="s">
        <v>7</v>
      </c>
      <c r="D707">
        <v>534</v>
      </c>
      <c r="E707" s="816" t="s">
        <v>9544</v>
      </c>
      <c r="F707" s="816" t="s">
        <v>24</v>
      </c>
      <c r="G707" s="816" t="s">
        <v>9546</v>
      </c>
      <c r="H707">
        <v>28</v>
      </c>
      <c r="I707" s="816" t="s">
        <v>8</v>
      </c>
      <c r="J707" s="816" t="s">
        <v>8</v>
      </c>
      <c r="K707" s="817">
        <v>0.13601851851851851</v>
      </c>
      <c r="L707" s="817">
        <v>0.20268518518518519</v>
      </c>
      <c r="M707" s="817"/>
      <c r="N707" s="817"/>
      <c r="O707" s="817">
        <v>0.46059027777777778</v>
      </c>
      <c r="P707" s="817">
        <v>0.71848379629629633</v>
      </c>
      <c r="Q707" s="817"/>
      <c r="R707" s="816"/>
      <c r="S707" s="817"/>
      <c r="T707" s="817"/>
      <c r="U707" s="816" t="s">
        <v>9551</v>
      </c>
      <c r="V707" s="816" t="s">
        <v>9551</v>
      </c>
      <c r="W707" s="267"/>
      <c r="X707" s="816" t="s">
        <v>27</v>
      </c>
      <c r="Y707">
        <v>92.7</v>
      </c>
      <c r="Z707">
        <v>5</v>
      </c>
      <c r="AA707" s="816" t="s">
        <v>9557</v>
      </c>
      <c r="AB707" s="816" t="s">
        <v>9582</v>
      </c>
      <c r="AC707" s="816"/>
      <c r="AD707" s="816"/>
      <c r="AE707" s="816"/>
      <c r="AF707" s="816"/>
      <c r="AG707" s="816"/>
      <c r="AI707" s="816"/>
      <c r="AK707" s="816"/>
      <c r="AM707" s="816"/>
    </row>
    <row r="708" spans="1:39" x14ac:dyDescent="0.25">
      <c r="A708" s="265">
        <v>44134</v>
      </c>
      <c r="B708">
        <v>5</v>
      </c>
      <c r="C708" s="816" t="s">
        <v>1</v>
      </c>
      <c r="D708">
        <v>534</v>
      </c>
      <c r="E708" s="816" t="s">
        <v>9544</v>
      </c>
      <c r="F708" s="816" t="s">
        <v>24</v>
      </c>
      <c r="G708" s="816" t="s">
        <v>9546</v>
      </c>
      <c r="H708">
        <v>29</v>
      </c>
      <c r="I708" s="816" t="s">
        <v>9</v>
      </c>
      <c r="J708" s="816" t="s">
        <v>9</v>
      </c>
      <c r="K708" s="817">
        <v>0.1358449074074074</v>
      </c>
      <c r="L708" s="817">
        <v>0.20251157407407408</v>
      </c>
      <c r="M708" s="817"/>
      <c r="N708" s="817"/>
      <c r="O708" s="817">
        <v>0.46055555555555555</v>
      </c>
      <c r="P708" s="817">
        <v>0.71859953703703694</v>
      </c>
      <c r="Q708" s="817"/>
      <c r="R708" s="816"/>
      <c r="S708" s="817"/>
      <c r="T708" s="817"/>
      <c r="U708" s="816" t="s">
        <v>9551</v>
      </c>
      <c r="V708" s="816" t="s">
        <v>9551</v>
      </c>
      <c r="W708" s="267"/>
      <c r="X708" s="816" t="s">
        <v>26</v>
      </c>
      <c r="Y708">
        <v>83.3</v>
      </c>
      <c r="Z708">
        <v>94</v>
      </c>
      <c r="AA708" s="816" t="s">
        <v>9557</v>
      </c>
      <c r="AB708" s="816" t="s">
        <v>9583</v>
      </c>
      <c r="AC708" s="816" t="s">
        <v>9639</v>
      </c>
      <c r="AD708" s="816"/>
      <c r="AE708" s="816"/>
      <c r="AF708" s="816"/>
      <c r="AG708" s="816"/>
      <c r="AI708" s="816"/>
      <c r="AK708" s="816"/>
      <c r="AM708" s="816"/>
    </row>
    <row r="709" spans="1:39" x14ac:dyDescent="0.25">
      <c r="A709" s="265">
        <v>44135</v>
      </c>
      <c r="B709">
        <v>6</v>
      </c>
      <c r="C709" s="816" t="s">
        <v>2</v>
      </c>
      <c r="D709">
        <v>534</v>
      </c>
      <c r="E709" s="816" t="s">
        <v>9544</v>
      </c>
      <c r="F709" s="816" t="s">
        <v>24</v>
      </c>
      <c r="G709" s="816" t="s">
        <v>9546</v>
      </c>
      <c r="H709">
        <v>30</v>
      </c>
      <c r="I709" s="816" t="s">
        <v>10</v>
      </c>
      <c r="J709" s="816" t="s">
        <v>10</v>
      </c>
      <c r="K709" s="817">
        <v>0.13568287037037038</v>
      </c>
      <c r="L709" s="817">
        <v>0.20234953703703704</v>
      </c>
      <c r="M709" s="817"/>
      <c r="N709" s="817"/>
      <c r="O709" s="817">
        <v>0.46053240740740736</v>
      </c>
      <c r="P709" s="817">
        <v>0.71870370370370373</v>
      </c>
      <c r="Q709" s="817"/>
      <c r="R709" s="816"/>
      <c r="S709" s="817"/>
      <c r="T709" s="817"/>
      <c r="U709" s="816" t="s">
        <v>9551</v>
      </c>
      <c r="V709" s="816" t="s">
        <v>9551</v>
      </c>
      <c r="W709" s="267"/>
      <c r="X709" s="816" t="s">
        <v>26</v>
      </c>
      <c r="Y709">
        <v>73.599999999999994</v>
      </c>
      <c r="Z709">
        <v>82.9</v>
      </c>
      <c r="AA709" s="816" t="s">
        <v>9558</v>
      </c>
      <c r="AB709" s="816" t="s">
        <v>9584</v>
      </c>
      <c r="AC709" s="816" t="s">
        <v>9640</v>
      </c>
      <c r="AD709" s="816" t="s">
        <v>9647</v>
      </c>
      <c r="AE709" s="816"/>
      <c r="AF709" s="816"/>
      <c r="AG709" s="816"/>
      <c r="AI709" s="816"/>
      <c r="AK709" s="816"/>
      <c r="AM709" s="816"/>
    </row>
    <row r="710" spans="1:39" x14ac:dyDescent="0.25">
      <c r="A710" s="265">
        <v>44136</v>
      </c>
      <c r="B710">
        <v>0</v>
      </c>
      <c r="C710" s="816" t="s">
        <v>3</v>
      </c>
      <c r="D710">
        <v>534</v>
      </c>
      <c r="E710" s="816" t="s">
        <v>9545</v>
      </c>
      <c r="F710" s="816" t="s">
        <v>25</v>
      </c>
      <c r="G710" s="816" t="s">
        <v>9547</v>
      </c>
      <c r="H710">
        <v>1</v>
      </c>
      <c r="I710" s="816" t="s">
        <v>11</v>
      </c>
      <c r="J710" s="816" t="s">
        <v>11</v>
      </c>
      <c r="K710" s="817">
        <v>0.13552083333333334</v>
      </c>
      <c r="L710" s="817">
        <v>0.20218749999999999</v>
      </c>
      <c r="M710" s="817"/>
      <c r="N710" s="817"/>
      <c r="O710" s="817">
        <v>0.46050925925925923</v>
      </c>
      <c r="P710" s="817">
        <v>0.71883101851851849</v>
      </c>
      <c r="Q710" s="817"/>
      <c r="R710" s="816"/>
      <c r="S710" s="817"/>
      <c r="T710" s="817"/>
      <c r="U710" s="816" t="s">
        <v>9551</v>
      </c>
      <c r="V710" s="816" t="s">
        <v>9551</v>
      </c>
      <c r="W710" s="267"/>
      <c r="X710" s="816" t="s">
        <v>26</v>
      </c>
      <c r="Y710">
        <v>64.099999999999994</v>
      </c>
      <c r="Z710">
        <v>71.7</v>
      </c>
      <c r="AA710" s="816" t="s">
        <v>9578</v>
      </c>
      <c r="AB710" s="816" t="s">
        <v>9585</v>
      </c>
      <c r="AC710" s="816" t="s">
        <v>9641</v>
      </c>
      <c r="AD710" s="816"/>
      <c r="AE710" s="816"/>
      <c r="AF710" s="816"/>
      <c r="AG710" s="816"/>
      <c r="AI710" s="816"/>
      <c r="AK710" s="816"/>
      <c r="AM710" s="816"/>
    </row>
    <row r="711" spans="1:39" x14ac:dyDescent="0.25">
      <c r="A711" s="265">
        <v>44137</v>
      </c>
      <c r="B711">
        <v>1</v>
      </c>
      <c r="C711" s="816" t="s">
        <v>4</v>
      </c>
      <c r="D711">
        <v>534</v>
      </c>
      <c r="E711" s="816" t="s">
        <v>9545</v>
      </c>
      <c r="F711" s="816" t="s">
        <v>25</v>
      </c>
      <c r="G711" s="816" t="s">
        <v>9547</v>
      </c>
      <c r="H711">
        <v>2</v>
      </c>
      <c r="I711" s="816" t="s">
        <v>12</v>
      </c>
      <c r="J711" s="816" t="s">
        <v>12</v>
      </c>
      <c r="K711" s="817">
        <v>0.13537037037037036</v>
      </c>
      <c r="L711" s="817">
        <v>0.20203703703703701</v>
      </c>
      <c r="M711" s="817"/>
      <c r="N711" s="817"/>
      <c r="O711" s="817">
        <v>0.46049768518518519</v>
      </c>
      <c r="P711" s="817">
        <v>0.71895833333333325</v>
      </c>
      <c r="Q711" s="817"/>
      <c r="R711" s="816"/>
      <c r="S711" s="817"/>
      <c r="T711" s="817"/>
      <c r="U711" s="816" t="s">
        <v>9551</v>
      </c>
      <c r="V711" s="816" t="s">
        <v>9551</v>
      </c>
      <c r="W711" s="267"/>
      <c r="X711" s="816" t="s">
        <v>26</v>
      </c>
      <c r="Y711">
        <v>54.7</v>
      </c>
      <c r="Z711">
        <v>60.9</v>
      </c>
      <c r="AA711" s="816" t="s">
        <v>9559</v>
      </c>
      <c r="AB711" s="816" t="s">
        <v>9586</v>
      </c>
      <c r="AC711" s="816"/>
      <c r="AD711" s="816"/>
      <c r="AE711" s="816"/>
      <c r="AF711" s="816"/>
      <c r="AG711" s="816"/>
      <c r="AI711" s="816"/>
      <c r="AK711" s="816"/>
      <c r="AM711" s="816"/>
    </row>
    <row r="712" spans="1:39" x14ac:dyDescent="0.25">
      <c r="A712" s="265">
        <v>44138</v>
      </c>
      <c r="B712">
        <v>2</v>
      </c>
      <c r="C712" s="816" t="s">
        <v>5</v>
      </c>
      <c r="D712">
        <v>534</v>
      </c>
      <c r="E712" s="816" t="s">
        <v>9545</v>
      </c>
      <c r="F712" s="816" t="s">
        <v>25</v>
      </c>
      <c r="G712" s="816" t="s">
        <v>9547</v>
      </c>
      <c r="H712">
        <v>3</v>
      </c>
      <c r="I712" s="816" t="s">
        <v>23</v>
      </c>
      <c r="J712" s="816" t="s">
        <v>23</v>
      </c>
      <c r="K712" s="817">
        <v>0.13524305555555555</v>
      </c>
      <c r="L712" s="817">
        <v>0.20190972222222223</v>
      </c>
      <c r="M712" s="817"/>
      <c r="N712" s="817"/>
      <c r="O712" s="817">
        <v>0.46050925925925923</v>
      </c>
      <c r="P712" s="817">
        <v>0.71909722222222217</v>
      </c>
      <c r="Q712" s="817"/>
      <c r="R712" s="816"/>
      <c r="S712" s="817"/>
      <c r="T712" s="817"/>
      <c r="U712" s="816" t="s">
        <v>9551</v>
      </c>
      <c r="V712" s="816" t="s">
        <v>9551</v>
      </c>
      <c r="W712" s="267"/>
      <c r="X712" s="816" t="s">
        <v>26</v>
      </c>
      <c r="Y712">
        <v>46</v>
      </c>
      <c r="Z712">
        <v>50.5</v>
      </c>
      <c r="AA712" s="816" t="s">
        <v>9560</v>
      </c>
      <c r="AB712" s="816" t="s">
        <v>9604</v>
      </c>
      <c r="AC712" s="816"/>
      <c r="AD712" s="816"/>
      <c r="AE712" s="816"/>
      <c r="AF712" s="816"/>
      <c r="AG712" s="816"/>
      <c r="AI712" s="816"/>
      <c r="AK712" s="816"/>
      <c r="AM712" s="816"/>
    </row>
    <row r="713" spans="1:39" x14ac:dyDescent="0.25">
      <c r="A713" s="265">
        <v>44139</v>
      </c>
      <c r="B713">
        <v>3</v>
      </c>
      <c r="C713" s="816" t="s">
        <v>6</v>
      </c>
      <c r="D713">
        <v>534</v>
      </c>
      <c r="E713" s="816" t="s">
        <v>9545</v>
      </c>
      <c r="F713" s="816" t="s">
        <v>25</v>
      </c>
      <c r="G713" s="816" t="s">
        <v>9547</v>
      </c>
      <c r="H713">
        <v>4</v>
      </c>
      <c r="I713" s="816" t="s">
        <v>13</v>
      </c>
      <c r="J713" s="816" t="s">
        <v>13</v>
      </c>
      <c r="K713" s="817">
        <v>0.13511574074074076</v>
      </c>
      <c r="L713" s="817">
        <v>0.20178240740740741</v>
      </c>
      <c r="M713" s="817"/>
      <c r="N713" s="817"/>
      <c r="O713" s="817">
        <v>0.46052083333333332</v>
      </c>
      <c r="P713" s="817">
        <v>0.71924768518518523</v>
      </c>
      <c r="Q713" s="817"/>
      <c r="R713" s="816"/>
      <c r="S713" s="817"/>
      <c r="T713" s="817"/>
      <c r="U713" s="816" t="s">
        <v>9551</v>
      </c>
      <c r="V713" s="816" t="s">
        <v>9551</v>
      </c>
      <c r="W713" s="267"/>
      <c r="X713" s="816" t="s">
        <v>26</v>
      </c>
      <c r="Y713">
        <v>38.1</v>
      </c>
      <c r="Z713">
        <v>40.9</v>
      </c>
      <c r="AA713" s="816" t="s">
        <v>9561</v>
      </c>
      <c r="AB713" s="816" t="s">
        <v>9587</v>
      </c>
      <c r="AC713" s="816"/>
      <c r="AD713" s="816"/>
      <c r="AE713" s="816"/>
      <c r="AF713" s="816"/>
      <c r="AG713" s="816"/>
      <c r="AI713" s="816"/>
      <c r="AK713" s="816"/>
      <c r="AM713" s="816"/>
    </row>
    <row r="714" spans="1:39" x14ac:dyDescent="0.25">
      <c r="A714" s="265">
        <v>44140</v>
      </c>
      <c r="B714">
        <v>4</v>
      </c>
      <c r="C714" s="816" t="s">
        <v>7</v>
      </c>
      <c r="D714">
        <v>534</v>
      </c>
      <c r="E714" s="816" t="s">
        <v>9545</v>
      </c>
      <c r="F714" s="816" t="s">
        <v>25</v>
      </c>
      <c r="G714" s="816" t="s">
        <v>9547</v>
      </c>
      <c r="H714">
        <v>5</v>
      </c>
      <c r="I714" s="816" t="s">
        <v>14</v>
      </c>
      <c r="J714" s="816" t="s">
        <v>14</v>
      </c>
      <c r="K714" s="817">
        <v>0.13500000000000001</v>
      </c>
      <c r="L714" s="817">
        <v>0.20166666666666666</v>
      </c>
      <c r="M714" s="817"/>
      <c r="N714" s="817"/>
      <c r="O714" s="817">
        <v>0.46053240740740736</v>
      </c>
      <c r="P714" s="817">
        <v>0.71940972222222221</v>
      </c>
      <c r="Q714" s="817"/>
      <c r="R714" s="816"/>
      <c r="S714" s="817"/>
      <c r="T714" s="817"/>
      <c r="U714" s="816" t="s">
        <v>9551</v>
      </c>
      <c r="V714" s="816" t="s">
        <v>9551</v>
      </c>
      <c r="W714" s="267"/>
      <c r="X714" s="816" t="s">
        <v>26</v>
      </c>
      <c r="Y714">
        <v>31.5</v>
      </c>
      <c r="Z714">
        <v>32.5</v>
      </c>
      <c r="AA714" s="816" t="s">
        <v>9562</v>
      </c>
      <c r="AB714" s="816" t="s">
        <v>9588</v>
      </c>
      <c r="AC714" s="816"/>
      <c r="AD714" s="816"/>
      <c r="AE714" s="816"/>
      <c r="AF714" s="816"/>
      <c r="AG714" s="816"/>
      <c r="AI714" s="816"/>
      <c r="AK714" s="816"/>
      <c r="AM714" s="816"/>
    </row>
    <row r="715" spans="1:39" x14ac:dyDescent="0.25">
      <c r="A715" s="265">
        <v>44141</v>
      </c>
      <c r="B715">
        <v>5</v>
      </c>
      <c r="C715" s="816" t="s">
        <v>1</v>
      </c>
      <c r="D715">
        <v>534</v>
      </c>
      <c r="E715" s="816" t="s">
        <v>9545</v>
      </c>
      <c r="F715" s="816" t="s">
        <v>25</v>
      </c>
      <c r="G715" s="816" t="s">
        <v>9547</v>
      </c>
      <c r="H715">
        <v>6</v>
      </c>
      <c r="I715" s="816" t="s">
        <v>15</v>
      </c>
      <c r="J715" s="816" t="s">
        <v>15</v>
      </c>
      <c r="K715" s="817">
        <v>0.13489583333333333</v>
      </c>
      <c r="L715" s="817">
        <v>0.20156250000000001</v>
      </c>
      <c r="M715" s="817"/>
      <c r="N715" s="817"/>
      <c r="O715" s="817">
        <v>0.46056712962962965</v>
      </c>
      <c r="P715" s="817">
        <v>0.7195717592592592</v>
      </c>
      <c r="Q715" s="817"/>
      <c r="R715" s="816"/>
      <c r="S715" s="817"/>
      <c r="T715" s="817"/>
      <c r="U715" s="816" t="s">
        <v>9551</v>
      </c>
      <c r="V715" s="816" t="s">
        <v>9551</v>
      </c>
      <c r="W715" s="267"/>
      <c r="X715" s="816" t="s">
        <v>26</v>
      </c>
      <c r="Y715">
        <v>26.7</v>
      </c>
      <c r="Z715">
        <v>25.7</v>
      </c>
      <c r="AA715" s="816" t="s">
        <v>9563</v>
      </c>
      <c r="AB715" s="816" t="s">
        <v>9589</v>
      </c>
      <c r="AC715" s="816"/>
      <c r="AD715" s="816"/>
      <c r="AE715" s="816"/>
      <c r="AF715" s="816"/>
      <c r="AG715" s="816"/>
      <c r="AI715" s="816"/>
      <c r="AK715" s="816"/>
      <c r="AM715" s="816"/>
    </row>
    <row r="716" spans="1:39" x14ac:dyDescent="0.25">
      <c r="A716" s="265">
        <v>44142</v>
      </c>
      <c r="B716">
        <v>6</v>
      </c>
      <c r="C716" s="816" t="s">
        <v>2</v>
      </c>
      <c r="D716">
        <v>534</v>
      </c>
      <c r="E716" s="816" t="s">
        <v>9545</v>
      </c>
      <c r="F716" s="816" t="s">
        <v>25</v>
      </c>
      <c r="G716" s="816" t="s">
        <v>9547</v>
      </c>
      <c r="H716">
        <v>7</v>
      </c>
      <c r="I716" s="816" t="s">
        <v>16</v>
      </c>
      <c r="J716" s="816" t="s">
        <v>16</v>
      </c>
      <c r="K716" s="817">
        <v>0.13480324074074074</v>
      </c>
      <c r="L716" s="817">
        <v>0.20146990740740742</v>
      </c>
      <c r="M716" s="817"/>
      <c r="N716" s="817"/>
      <c r="O716" s="817">
        <v>0.46060185185185182</v>
      </c>
      <c r="P716" s="817">
        <v>0.71974537037037034</v>
      </c>
      <c r="Q716" s="817"/>
      <c r="R716" s="816"/>
      <c r="S716" s="817"/>
      <c r="T716" s="817"/>
      <c r="U716" s="816" t="s">
        <v>9551</v>
      </c>
      <c r="V716" s="816" t="s">
        <v>9551</v>
      </c>
      <c r="W716" s="267"/>
      <c r="X716" s="816" t="s">
        <v>26</v>
      </c>
      <c r="Y716">
        <v>24.2</v>
      </c>
      <c r="Z716">
        <v>21</v>
      </c>
      <c r="AA716" s="816" t="s">
        <v>9564</v>
      </c>
      <c r="AB716" s="816" t="s">
        <v>9590</v>
      </c>
      <c r="AC716" s="816"/>
      <c r="AD716" s="816"/>
      <c r="AE716" s="816"/>
      <c r="AF716" s="816"/>
      <c r="AG716" s="816"/>
      <c r="AI716" s="816"/>
      <c r="AK716" s="816"/>
      <c r="AM716" s="816"/>
    </row>
    <row r="717" spans="1:39" x14ac:dyDescent="0.25">
      <c r="A717" s="265">
        <v>44143</v>
      </c>
      <c r="B717">
        <v>0</v>
      </c>
      <c r="C717" s="816" t="s">
        <v>3</v>
      </c>
      <c r="D717">
        <v>534</v>
      </c>
      <c r="E717" s="816" t="s">
        <v>9545</v>
      </c>
      <c r="F717" s="816" t="s">
        <v>25</v>
      </c>
      <c r="G717" s="816" t="s">
        <v>9547</v>
      </c>
      <c r="H717">
        <v>8</v>
      </c>
      <c r="I717" s="816" t="s">
        <v>17</v>
      </c>
      <c r="J717" s="816" t="s">
        <v>17</v>
      </c>
      <c r="K717" s="817">
        <v>0.13472222222222222</v>
      </c>
      <c r="L717" s="817">
        <v>0.20138888888888887</v>
      </c>
      <c r="M717" s="817"/>
      <c r="N717" s="817"/>
      <c r="O717" s="817">
        <v>0.46065972222222223</v>
      </c>
      <c r="P717" s="817">
        <v>0.71991898148148159</v>
      </c>
      <c r="Q717" s="817"/>
      <c r="R717" s="816"/>
      <c r="S717" s="817"/>
      <c r="T717" s="817"/>
      <c r="U717" s="816" t="s">
        <v>9551</v>
      </c>
      <c r="V717" s="816" t="s">
        <v>9551</v>
      </c>
      <c r="W717" s="267"/>
      <c r="X717" s="816" t="s">
        <v>26</v>
      </c>
      <c r="Y717">
        <v>24.5</v>
      </c>
      <c r="Z717">
        <v>18.8</v>
      </c>
      <c r="AA717" s="816" t="s">
        <v>9565</v>
      </c>
      <c r="AB717" s="816" t="s">
        <v>9591</v>
      </c>
      <c r="AC717" s="816"/>
      <c r="AD717" s="816"/>
      <c r="AE717" s="816"/>
      <c r="AF717" s="816"/>
      <c r="AG717" s="816"/>
      <c r="AI717" s="816"/>
      <c r="AK717" s="816"/>
      <c r="AM717" s="816"/>
    </row>
    <row r="718" spans="1:39" x14ac:dyDescent="0.25">
      <c r="A718" s="265">
        <v>44144</v>
      </c>
      <c r="B718">
        <v>1</v>
      </c>
      <c r="C718" s="816" t="s">
        <v>4</v>
      </c>
      <c r="D718">
        <v>534</v>
      </c>
      <c r="E718" s="816" t="s">
        <v>9545</v>
      </c>
      <c r="F718" s="816" t="s">
        <v>25</v>
      </c>
      <c r="G718" s="816" t="s">
        <v>9547</v>
      </c>
      <c r="H718">
        <v>9</v>
      </c>
      <c r="I718" s="816" t="s">
        <v>18</v>
      </c>
      <c r="J718" s="816" t="s">
        <v>18</v>
      </c>
      <c r="K718" s="817">
        <v>0.13465277777777776</v>
      </c>
      <c r="L718" s="817">
        <v>0.20131944444444447</v>
      </c>
      <c r="M718" s="817"/>
      <c r="N718" s="817"/>
      <c r="O718" s="817">
        <v>0.4607175925925926</v>
      </c>
      <c r="P718" s="817">
        <v>0.72010416666666666</v>
      </c>
      <c r="Q718" s="817"/>
      <c r="R718" s="816"/>
      <c r="S718" s="817"/>
      <c r="T718" s="817"/>
      <c r="U718" s="816" t="s">
        <v>9551</v>
      </c>
      <c r="V718" s="816" t="s">
        <v>9551</v>
      </c>
      <c r="W718" s="267"/>
      <c r="X718" s="816" t="s">
        <v>26</v>
      </c>
      <c r="Y718">
        <v>28.1</v>
      </c>
      <c r="Z718">
        <v>19.600000000000001</v>
      </c>
      <c r="AA718" s="816" t="s">
        <v>9566</v>
      </c>
      <c r="AB718" s="816" t="s">
        <v>9605</v>
      </c>
      <c r="AC718" s="816"/>
      <c r="AD718" s="816"/>
      <c r="AE718" s="816"/>
      <c r="AF718" s="816"/>
      <c r="AG718" s="816"/>
      <c r="AI718" s="816"/>
      <c r="AK718" s="816"/>
      <c r="AM718" s="816"/>
    </row>
    <row r="719" spans="1:39" x14ac:dyDescent="0.25">
      <c r="A719" s="265">
        <v>44145</v>
      </c>
      <c r="B719">
        <v>2</v>
      </c>
      <c r="C719" s="816" t="s">
        <v>5</v>
      </c>
      <c r="D719">
        <v>534</v>
      </c>
      <c r="E719" s="816" t="s">
        <v>9545</v>
      </c>
      <c r="F719" s="816" t="s">
        <v>25</v>
      </c>
      <c r="G719" s="816" t="s">
        <v>9547</v>
      </c>
      <c r="H719">
        <v>10</v>
      </c>
      <c r="I719" s="816" t="s">
        <v>19</v>
      </c>
      <c r="J719" s="816" t="s">
        <v>19</v>
      </c>
      <c r="K719" s="817">
        <v>0.1345949074074074</v>
      </c>
      <c r="L719" s="817">
        <v>0.20126157407407408</v>
      </c>
      <c r="M719" s="817"/>
      <c r="N719" s="817"/>
      <c r="O719" s="817">
        <v>0.46078703703703705</v>
      </c>
      <c r="P719" s="817">
        <v>0.72030092592592598</v>
      </c>
      <c r="Q719" s="817"/>
      <c r="R719" s="816"/>
      <c r="S719" s="817"/>
      <c r="T719" s="817"/>
      <c r="U719" s="816" t="s">
        <v>9551</v>
      </c>
      <c r="V719" s="816" t="s">
        <v>9551</v>
      </c>
      <c r="W719" s="267"/>
      <c r="X719" s="816" t="s">
        <v>26</v>
      </c>
      <c r="Y719">
        <v>35.299999999999997</v>
      </c>
      <c r="Z719">
        <v>23.6</v>
      </c>
      <c r="AA719" s="816" t="s">
        <v>9567</v>
      </c>
      <c r="AB719" s="816" t="s">
        <v>9592</v>
      </c>
      <c r="AC719" s="816"/>
      <c r="AD719" s="816"/>
      <c r="AE719" s="816"/>
      <c r="AF719" s="816"/>
      <c r="AG719" s="816"/>
      <c r="AI719" s="816"/>
      <c r="AK719" s="816"/>
      <c r="AM719" s="816"/>
    </row>
    <row r="720" spans="1:39" x14ac:dyDescent="0.25">
      <c r="A720" s="265">
        <v>44146</v>
      </c>
      <c r="B720">
        <v>3</v>
      </c>
      <c r="C720" s="816" t="s">
        <v>6</v>
      </c>
      <c r="D720">
        <v>534</v>
      </c>
      <c r="E720" s="816" t="s">
        <v>9545</v>
      </c>
      <c r="F720" s="816" t="s">
        <v>25</v>
      </c>
      <c r="G720" s="816" t="s">
        <v>9547</v>
      </c>
      <c r="H720">
        <v>11</v>
      </c>
      <c r="I720" s="816" t="s">
        <v>9548</v>
      </c>
      <c r="J720" s="816" t="s">
        <v>20</v>
      </c>
      <c r="K720" s="817">
        <v>0.1345486111111111</v>
      </c>
      <c r="L720" s="817">
        <v>0.20121527777777778</v>
      </c>
      <c r="M720" s="817"/>
      <c r="N720" s="817"/>
      <c r="O720" s="817">
        <v>0.46086805555555554</v>
      </c>
      <c r="P720" s="817">
        <v>0.72050925925925924</v>
      </c>
      <c r="Q720" s="817"/>
      <c r="R720" s="816"/>
      <c r="S720" s="817"/>
      <c r="T720" s="817"/>
      <c r="U720" s="816" t="s">
        <v>9551</v>
      </c>
      <c r="V720" s="816" t="s">
        <v>9551</v>
      </c>
      <c r="W720" s="267"/>
      <c r="X720" s="816" t="s">
        <v>26</v>
      </c>
      <c r="Y720">
        <v>46.2</v>
      </c>
      <c r="Z720">
        <v>30.9</v>
      </c>
      <c r="AA720" s="816" t="s">
        <v>9568</v>
      </c>
      <c r="AB720" s="816" t="s">
        <v>9593</v>
      </c>
      <c r="AC720" s="816"/>
      <c r="AD720" s="816"/>
      <c r="AE720" s="816"/>
      <c r="AF720" s="816" t="s">
        <v>72</v>
      </c>
      <c r="AG720" s="816" t="s">
        <v>65</v>
      </c>
      <c r="AH720">
        <v>-1</v>
      </c>
      <c r="AI720" s="816"/>
      <c r="AK720" s="816"/>
      <c r="AM720" s="816"/>
    </row>
    <row r="721" spans="1:39" x14ac:dyDescent="0.25">
      <c r="A721" s="265">
        <v>44147</v>
      </c>
      <c r="B721">
        <v>4</v>
      </c>
      <c r="C721" s="816" t="s">
        <v>7</v>
      </c>
      <c r="D721">
        <v>534</v>
      </c>
      <c r="E721" s="816" t="s">
        <v>9545</v>
      </c>
      <c r="F721" s="816" t="s">
        <v>25</v>
      </c>
      <c r="G721" s="816" t="s">
        <v>9547</v>
      </c>
      <c r="H721">
        <v>12</v>
      </c>
      <c r="I721" s="816" t="s">
        <v>21</v>
      </c>
      <c r="J721" s="816" t="s">
        <v>21</v>
      </c>
      <c r="K721" s="817">
        <v>0.13451388888888891</v>
      </c>
      <c r="L721" s="817">
        <v>0.20118055555555556</v>
      </c>
      <c r="M721" s="817">
        <v>0.20069444444444443</v>
      </c>
      <c r="N721" s="817">
        <v>0.3743055555555555</v>
      </c>
      <c r="O721" s="817">
        <v>0.46094907407407404</v>
      </c>
      <c r="P721" s="817">
        <v>0.72071759259259249</v>
      </c>
      <c r="Q721" s="817"/>
      <c r="R721" s="816"/>
      <c r="S721" s="817"/>
      <c r="T721" s="817"/>
      <c r="U721" s="816" t="s">
        <v>9551</v>
      </c>
      <c r="V721" s="816" t="s">
        <v>9551</v>
      </c>
      <c r="W721" s="267"/>
      <c r="X721" s="816" t="s">
        <v>26</v>
      </c>
      <c r="Y721">
        <v>60.3</v>
      </c>
      <c r="Z721">
        <v>41.1</v>
      </c>
      <c r="AA721" s="816" t="s">
        <v>9569</v>
      </c>
      <c r="AB721" s="816" t="s">
        <v>9594</v>
      </c>
      <c r="AC721" s="816"/>
      <c r="AD721" s="816"/>
      <c r="AE721" s="816"/>
      <c r="AF721" s="816"/>
      <c r="AG721" s="816"/>
      <c r="AI721" s="816"/>
      <c r="AK721" s="816"/>
      <c r="AM721" s="816"/>
    </row>
    <row r="722" spans="1:39" x14ac:dyDescent="0.25">
      <c r="A722" s="265">
        <v>44148</v>
      </c>
      <c r="B722">
        <v>5</v>
      </c>
      <c r="C722" s="816" t="s">
        <v>1</v>
      </c>
      <c r="D722">
        <v>534</v>
      </c>
      <c r="E722" s="816" t="s">
        <v>9545</v>
      </c>
      <c r="F722" s="816" t="s">
        <v>25</v>
      </c>
      <c r="G722" s="816" t="s">
        <v>9547</v>
      </c>
      <c r="H722">
        <v>13</v>
      </c>
      <c r="I722" s="816" t="s">
        <v>8</v>
      </c>
      <c r="J722" s="816" t="s">
        <v>8</v>
      </c>
      <c r="K722" s="817">
        <v>0.13450231481481481</v>
      </c>
      <c r="L722" s="817">
        <v>0.20116898148148146</v>
      </c>
      <c r="M722" s="817"/>
      <c r="N722" s="817"/>
      <c r="O722" s="817">
        <v>0.46105324074074078</v>
      </c>
      <c r="P722" s="817">
        <v>0.7209374999999999</v>
      </c>
      <c r="Q722" s="817"/>
      <c r="R722" s="816"/>
      <c r="S722" s="817"/>
      <c r="T722" s="817"/>
      <c r="U722" s="816" t="s">
        <v>9551</v>
      </c>
      <c r="V722" s="816" t="s">
        <v>9551</v>
      </c>
      <c r="W722" s="267"/>
      <c r="X722" s="816" t="s">
        <v>26</v>
      </c>
      <c r="Y722">
        <v>76.900000000000006</v>
      </c>
      <c r="Z722">
        <v>53.7</v>
      </c>
      <c r="AA722" s="816" t="s">
        <v>9570</v>
      </c>
      <c r="AB722" s="816" t="s">
        <v>9596</v>
      </c>
      <c r="AC722" s="816"/>
      <c r="AD722" s="816"/>
      <c r="AE722" s="816"/>
      <c r="AF722" s="816"/>
      <c r="AG722" s="816"/>
      <c r="AI722" s="816"/>
      <c r="AK722" s="816"/>
      <c r="AM722" s="816"/>
    </row>
    <row r="723" spans="1:39" x14ac:dyDescent="0.25">
      <c r="A723" s="265">
        <v>44149</v>
      </c>
      <c r="B723">
        <v>6</v>
      </c>
      <c r="C723" s="816" t="s">
        <v>2</v>
      </c>
      <c r="D723">
        <v>534</v>
      </c>
      <c r="E723" s="816" t="s">
        <v>9545</v>
      </c>
      <c r="F723" s="816" t="s">
        <v>25</v>
      </c>
      <c r="G723" s="816" t="s">
        <v>9547</v>
      </c>
      <c r="H723">
        <v>14</v>
      </c>
      <c r="I723" s="816" t="s">
        <v>9</v>
      </c>
      <c r="J723" s="816" t="s">
        <v>9</v>
      </c>
      <c r="K723" s="817">
        <v>0.13449074074074074</v>
      </c>
      <c r="L723" s="817">
        <v>0.2011574074074074</v>
      </c>
      <c r="M723" s="817"/>
      <c r="N723" s="817"/>
      <c r="O723" s="817">
        <v>0.4611574074074074</v>
      </c>
      <c r="P723" s="817">
        <v>0.72116898148148145</v>
      </c>
      <c r="Q723" s="817"/>
      <c r="R723" s="816"/>
      <c r="S723" s="817"/>
      <c r="T723" s="817"/>
      <c r="U723" s="816" t="s">
        <v>9707</v>
      </c>
      <c r="V723" s="816" t="s">
        <v>9711</v>
      </c>
      <c r="W723" s="267"/>
      <c r="X723" s="816" t="s">
        <v>26</v>
      </c>
      <c r="Y723">
        <v>95</v>
      </c>
      <c r="Z723">
        <v>67.5</v>
      </c>
      <c r="AA723" s="816" t="s">
        <v>9571</v>
      </c>
      <c r="AB723" s="816" t="s">
        <v>9597</v>
      </c>
      <c r="AC723" s="816"/>
      <c r="AD723" s="816"/>
      <c r="AE723" s="816"/>
      <c r="AF723" s="816"/>
      <c r="AG723" s="816"/>
      <c r="AI723" s="816"/>
      <c r="AK723" s="816"/>
      <c r="AM723" s="816"/>
    </row>
    <row r="724" spans="1:39" x14ac:dyDescent="0.25">
      <c r="A724" s="265">
        <v>44150</v>
      </c>
      <c r="B724">
        <v>0</v>
      </c>
      <c r="C724" s="816" t="s">
        <v>3</v>
      </c>
      <c r="D724">
        <v>534</v>
      </c>
      <c r="E724" s="816" t="s">
        <v>9545</v>
      </c>
      <c r="F724" s="816" t="s">
        <v>24</v>
      </c>
      <c r="G724" s="816" t="s">
        <v>9546</v>
      </c>
      <c r="H724">
        <v>16</v>
      </c>
      <c r="I724" s="816" t="s">
        <v>11</v>
      </c>
      <c r="J724" s="816" t="s">
        <v>11</v>
      </c>
      <c r="K724" s="817">
        <v>0.13449074074074074</v>
      </c>
      <c r="L724" s="817">
        <v>0.2011574074074074</v>
      </c>
      <c r="M724" s="817"/>
      <c r="N724" s="817"/>
      <c r="O724" s="817">
        <v>0.46128472222222222</v>
      </c>
      <c r="P724" s="817">
        <v>0.72140046296296301</v>
      </c>
      <c r="Q724" s="817"/>
      <c r="R724" s="816"/>
      <c r="S724" s="817">
        <v>0.24305555555555555</v>
      </c>
      <c r="T724" s="817">
        <v>8.9583333333333334E-2</v>
      </c>
      <c r="U724" s="816" t="s">
        <v>9708</v>
      </c>
      <c r="V724" s="816" t="s">
        <v>9712</v>
      </c>
      <c r="W724" s="267"/>
      <c r="X724" s="816" t="s">
        <v>26</v>
      </c>
      <c r="Y724">
        <v>13.1</v>
      </c>
      <c r="Z724">
        <v>81.3</v>
      </c>
      <c r="AA724" s="816" t="s">
        <v>9572</v>
      </c>
      <c r="AB724" s="816" t="s">
        <v>9598</v>
      </c>
      <c r="AC724" s="816"/>
      <c r="AD724" s="816"/>
      <c r="AE724" s="816"/>
      <c r="AF724" s="816"/>
      <c r="AG724" s="816" t="s">
        <v>66</v>
      </c>
      <c r="AH724">
        <v>1</v>
      </c>
      <c r="AI724" s="816"/>
      <c r="AK724" s="816"/>
      <c r="AM724" s="816"/>
    </row>
    <row r="725" spans="1:39" x14ac:dyDescent="0.25">
      <c r="A725" s="265">
        <v>44151</v>
      </c>
      <c r="B725">
        <v>1</v>
      </c>
      <c r="C725" s="816" t="s">
        <v>4</v>
      </c>
      <c r="D725">
        <v>534</v>
      </c>
      <c r="E725" s="816" t="s">
        <v>9545</v>
      </c>
      <c r="F725" s="816" t="s">
        <v>24</v>
      </c>
      <c r="G725" s="816" t="s">
        <v>9546</v>
      </c>
      <c r="H725">
        <v>17</v>
      </c>
      <c r="I725" s="816" t="s">
        <v>12</v>
      </c>
      <c r="J725" s="816" t="s">
        <v>12</v>
      </c>
      <c r="K725" s="817">
        <v>0.13450231481481481</v>
      </c>
      <c r="L725" s="817">
        <v>0.20116898148148146</v>
      </c>
      <c r="M725" s="817"/>
      <c r="N725" s="817"/>
      <c r="O725" s="817">
        <v>0.46141203703703698</v>
      </c>
      <c r="P725" s="817">
        <v>0.72164351851851849</v>
      </c>
      <c r="Q725" s="817">
        <v>0.92682870370370374</v>
      </c>
      <c r="R725" s="816" t="s">
        <v>84</v>
      </c>
      <c r="S725" s="817"/>
      <c r="T725" s="817"/>
      <c r="U725" s="816" t="s">
        <v>9551</v>
      </c>
      <c r="V725" s="816" t="s">
        <v>9551</v>
      </c>
      <c r="W725" s="267"/>
      <c r="X725" s="816" t="s">
        <v>26</v>
      </c>
      <c r="Y725">
        <v>29.9</v>
      </c>
      <c r="Z725">
        <v>94</v>
      </c>
      <c r="AA725" s="816" t="s">
        <v>9573</v>
      </c>
      <c r="AB725" s="816" t="s">
        <v>9599</v>
      </c>
      <c r="AC725" s="816"/>
      <c r="AD725" s="816"/>
      <c r="AE725" s="816"/>
      <c r="AF725" s="816"/>
      <c r="AG725" s="816"/>
      <c r="AI725" s="816"/>
      <c r="AK725" s="816"/>
      <c r="AM725" s="816"/>
    </row>
    <row r="726" spans="1:39" x14ac:dyDescent="0.25">
      <c r="A726" s="265">
        <v>44152</v>
      </c>
      <c r="B726">
        <v>2</v>
      </c>
      <c r="C726" s="816" t="s">
        <v>5</v>
      </c>
      <c r="D726">
        <v>534</v>
      </c>
      <c r="E726" s="816" t="s">
        <v>9545</v>
      </c>
      <c r="F726" s="816" t="s">
        <v>24</v>
      </c>
      <c r="G726" s="816" t="s">
        <v>9546</v>
      </c>
      <c r="H726">
        <v>18</v>
      </c>
      <c r="I726" s="816" t="s">
        <v>23</v>
      </c>
      <c r="J726" s="816" t="s">
        <v>23</v>
      </c>
      <c r="K726" s="817">
        <v>0.13452546296296297</v>
      </c>
      <c r="L726" s="817">
        <v>0.20119212962962962</v>
      </c>
      <c r="M726" s="817"/>
      <c r="N726" s="817"/>
      <c r="O726" s="817">
        <v>0.46155092592592589</v>
      </c>
      <c r="P726" s="817">
        <v>0.72189814814814823</v>
      </c>
      <c r="Q726" s="817"/>
      <c r="R726" s="816"/>
      <c r="S726" s="817"/>
      <c r="T726" s="817"/>
      <c r="U726" s="816" t="s">
        <v>9551</v>
      </c>
      <c r="V726" s="816" t="s">
        <v>9551</v>
      </c>
      <c r="W726" s="267"/>
      <c r="X726" s="816" t="s">
        <v>26</v>
      </c>
      <c r="Y726">
        <v>44.1</v>
      </c>
      <c r="Z726">
        <v>4.3</v>
      </c>
      <c r="AA726" s="816" t="s">
        <v>9575</v>
      </c>
      <c r="AB726" s="816" t="s">
        <v>9600</v>
      </c>
      <c r="AC726" s="816"/>
      <c r="AD726" s="816"/>
      <c r="AE726" s="816"/>
      <c r="AF726" s="816"/>
      <c r="AG726" s="816"/>
      <c r="AI726" s="816"/>
      <c r="AK726" s="816"/>
      <c r="AM726" s="816"/>
    </row>
    <row r="727" spans="1:39" x14ac:dyDescent="0.25">
      <c r="A727" s="265">
        <v>44153</v>
      </c>
      <c r="B727">
        <v>3</v>
      </c>
      <c r="C727" s="816" t="s">
        <v>6</v>
      </c>
      <c r="D727">
        <v>534</v>
      </c>
      <c r="E727" s="816" t="s">
        <v>9545</v>
      </c>
      <c r="F727" s="816" t="s">
        <v>24</v>
      </c>
      <c r="G727" s="816" t="s">
        <v>9546</v>
      </c>
      <c r="H727">
        <v>19</v>
      </c>
      <c r="I727" s="816" t="s">
        <v>13</v>
      </c>
      <c r="J727" s="816" t="s">
        <v>13</v>
      </c>
      <c r="K727" s="817">
        <v>0.13456018518518517</v>
      </c>
      <c r="L727" s="817">
        <v>0.20122685185185185</v>
      </c>
      <c r="M727" s="817"/>
      <c r="N727" s="817"/>
      <c r="O727" s="817">
        <v>0.4616898148148148</v>
      </c>
      <c r="P727" s="817">
        <v>0.72215277777777775</v>
      </c>
      <c r="Q727" s="817"/>
      <c r="R727" s="816"/>
      <c r="S727" s="817"/>
      <c r="T727" s="817"/>
      <c r="U727" s="816" t="s">
        <v>9551</v>
      </c>
      <c r="V727" s="816" t="s">
        <v>9551</v>
      </c>
      <c r="W727" s="267"/>
      <c r="X727" s="816" t="s">
        <v>26</v>
      </c>
      <c r="Y727">
        <v>55</v>
      </c>
      <c r="Z727">
        <v>11.7</v>
      </c>
      <c r="AA727" s="816" t="s">
        <v>9576</v>
      </c>
      <c r="AB727" s="816" t="s">
        <v>9602</v>
      </c>
      <c r="AC727" s="816"/>
      <c r="AD727" s="816"/>
      <c r="AE727" s="816"/>
      <c r="AF727" s="816"/>
      <c r="AG727" s="816"/>
      <c r="AI727" s="816"/>
      <c r="AK727" s="816"/>
      <c r="AM727" s="816"/>
    </row>
    <row r="728" spans="1:39" x14ac:dyDescent="0.25">
      <c r="A728" s="265">
        <v>44154</v>
      </c>
      <c r="B728">
        <v>4</v>
      </c>
      <c r="C728" s="816" t="s">
        <v>7</v>
      </c>
      <c r="D728">
        <v>534</v>
      </c>
      <c r="E728" s="816" t="s">
        <v>9545</v>
      </c>
      <c r="F728" s="816" t="s">
        <v>24</v>
      </c>
      <c r="G728" s="816" t="s">
        <v>9546</v>
      </c>
      <c r="H728">
        <v>20</v>
      </c>
      <c r="I728" s="816" t="s">
        <v>14</v>
      </c>
      <c r="J728" s="816" t="s">
        <v>14</v>
      </c>
      <c r="K728" s="817">
        <v>0.13460648148148149</v>
      </c>
      <c r="L728" s="817">
        <v>0.20127314814814815</v>
      </c>
      <c r="M728" s="817"/>
      <c r="N728" s="817"/>
      <c r="O728" s="817">
        <v>0.4618518518518519</v>
      </c>
      <c r="P728" s="817">
        <v>0.72241898148148154</v>
      </c>
      <c r="Q728" s="817"/>
      <c r="R728" s="816"/>
      <c r="S728" s="817"/>
      <c r="T728" s="817"/>
      <c r="U728" s="816" t="s">
        <v>9551</v>
      </c>
      <c r="V728" s="816" t="s">
        <v>9551</v>
      </c>
      <c r="W728" s="267"/>
      <c r="X728" s="816" t="s">
        <v>26</v>
      </c>
      <c r="Y728">
        <v>62.1</v>
      </c>
      <c r="Z728">
        <v>15.7</v>
      </c>
      <c r="AA728" s="816" t="s">
        <v>9577</v>
      </c>
      <c r="AB728" s="816" t="s">
        <v>9603</v>
      </c>
      <c r="AC728" s="816"/>
      <c r="AD728" s="816"/>
      <c r="AE728" s="816"/>
      <c r="AF728" s="816"/>
      <c r="AG728" s="816"/>
      <c r="AI728" s="816"/>
      <c r="AK728" s="816"/>
      <c r="AM728" s="816"/>
    </row>
    <row r="729" spans="1:39" x14ac:dyDescent="0.25">
      <c r="A729" s="265">
        <v>44155</v>
      </c>
      <c r="B729">
        <v>5</v>
      </c>
      <c r="C729" s="816" t="s">
        <v>1</v>
      </c>
      <c r="D729">
        <v>534</v>
      </c>
      <c r="E729" s="816" t="s">
        <v>9545</v>
      </c>
      <c r="F729" s="816" t="s">
        <v>24</v>
      </c>
      <c r="G729" s="816" t="s">
        <v>9546</v>
      </c>
      <c r="H729">
        <v>21</v>
      </c>
      <c r="I729" s="816" t="s">
        <v>15</v>
      </c>
      <c r="J729" s="816" t="s">
        <v>15</v>
      </c>
      <c r="K729" s="817">
        <v>0.13467592592592592</v>
      </c>
      <c r="L729" s="817">
        <v>0.2013425925925926</v>
      </c>
      <c r="M729" s="817"/>
      <c r="N729" s="817"/>
      <c r="O729" s="817">
        <v>0.46201388888888889</v>
      </c>
      <c r="P729" s="817">
        <v>0.72269675925925936</v>
      </c>
      <c r="Q729" s="817"/>
      <c r="R729" s="816"/>
      <c r="S729" s="817"/>
      <c r="T729" s="817"/>
      <c r="U729" s="816" t="s">
        <v>9551</v>
      </c>
      <c r="V729" s="816" t="s">
        <v>9551</v>
      </c>
      <c r="W729" s="267"/>
      <c r="X729" s="816" t="s">
        <v>26</v>
      </c>
      <c r="Y729">
        <v>65.5</v>
      </c>
      <c r="Z729">
        <v>16.3</v>
      </c>
      <c r="AA729" s="816" t="s">
        <v>9552</v>
      </c>
      <c r="AB729" s="816" t="s">
        <v>9579</v>
      </c>
      <c r="AC729" s="816"/>
      <c r="AD729" s="816"/>
      <c r="AE729" s="816"/>
      <c r="AF729" s="816"/>
      <c r="AG729" s="816"/>
      <c r="AI729" s="816"/>
      <c r="AK729" s="816"/>
      <c r="AM729" s="816"/>
    </row>
    <row r="730" spans="1:39" x14ac:dyDescent="0.25">
      <c r="A730" s="265">
        <v>44156</v>
      </c>
      <c r="B730">
        <v>6</v>
      </c>
      <c r="C730" s="816" t="s">
        <v>2</v>
      </c>
      <c r="D730">
        <v>534</v>
      </c>
      <c r="E730" s="816" t="s">
        <v>9545</v>
      </c>
      <c r="F730" s="816" t="s">
        <v>24</v>
      </c>
      <c r="G730" s="816" t="s">
        <v>9546</v>
      </c>
      <c r="H730">
        <v>22</v>
      </c>
      <c r="I730" s="816" t="s">
        <v>16</v>
      </c>
      <c r="J730" s="816" t="s">
        <v>16</v>
      </c>
      <c r="K730" s="817">
        <v>0.13474537037037038</v>
      </c>
      <c r="L730" s="817">
        <v>0.20141203703703703</v>
      </c>
      <c r="M730" s="817"/>
      <c r="N730" s="817"/>
      <c r="O730" s="817">
        <v>0.46218749999999997</v>
      </c>
      <c r="P730" s="817">
        <v>0.72297453703703696</v>
      </c>
      <c r="Q730" s="817"/>
      <c r="R730" s="816"/>
      <c r="S730" s="817"/>
      <c r="T730" s="817"/>
      <c r="U730" s="816" t="s">
        <v>9551</v>
      </c>
      <c r="V730" s="816" t="s">
        <v>9551</v>
      </c>
      <c r="W730" s="267"/>
      <c r="X730" s="816" t="s">
        <v>26</v>
      </c>
      <c r="Y730">
        <v>65.3</v>
      </c>
      <c r="Z730">
        <v>13.7</v>
      </c>
      <c r="AA730" s="816" t="s">
        <v>9553</v>
      </c>
      <c r="AB730" s="816" t="s">
        <v>9580</v>
      </c>
      <c r="AC730" s="816"/>
      <c r="AD730" s="816"/>
      <c r="AE730" s="816"/>
      <c r="AF730" s="816"/>
      <c r="AG730" s="816"/>
      <c r="AI730" s="816"/>
      <c r="AK730" s="816"/>
      <c r="AM730" s="816"/>
    </row>
    <row r="731" spans="1:39" x14ac:dyDescent="0.25">
      <c r="A731" s="265">
        <v>44157</v>
      </c>
      <c r="B731">
        <v>0</v>
      </c>
      <c r="C731" s="816" t="s">
        <v>3</v>
      </c>
      <c r="D731">
        <v>534</v>
      </c>
      <c r="E731" s="816" t="s">
        <v>9545</v>
      </c>
      <c r="F731" s="816" t="s">
        <v>24</v>
      </c>
      <c r="G731" s="816" t="s">
        <v>9546</v>
      </c>
      <c r="H731">
        <v>23</v>
      </c>
      <c r="I731" s="816" t="s">
        <v>17</v>
      </c>
      <c r="J731" s="816" t="s">
        <v>17</v>
      </c>
      <c r="K731" s="817">
        <v>0.1348263888888889</v>
      </c>
      <c r="L731" s="817">
        <v>0.20149305555555555</v>
      </c>
      <c r="M731" s="817"/>
      <c r="N731" s="817"/>
      <c r="O731" s="817">
        <v>0.46237268518518521</v>
      </c>
      <c r="P731" s="817">
        <v>0.72326388888888893</v>
      </c>
      <c r="Q731" s="817"/>
      <c r="R731" s="816"/>
      <c r="S731" s="817"/>
      <c r="T731" s="817"/>
      <c r="U731" s="816" t="s">
        <v>9551</v>
      </c>
      <c r="V731" s="816" t="s">
        <v>9551</v>
      </c>
      <c r="W731" s="267"/>
      <c r="X731" s="816" t="s">
        <v>26</v>
      </c>
      <c r="Y731">
        <v>62.2</v>
      </c>
      <c r="Z731">
        <v>8.4</v>
      </c>
      <c r="AA731" s="816" t="s">
        <v>9554</v>
      </c>
      <c r="AB731" s="816" t="s">
        <v>9581</v>
      </c>
      <c r="AC731" s="816"/>
      <c r="AD731" s="816"/>
      <c r="AE731" s="816"/>
      <c r="AF731" s="816"/>
      <c r="AG731" s="816"/>
      <c r="AI731" s="816"/>
      <c r="AK731" s="816"/>
      <c r="AM731" s="816"/>
    </row>
    <row r="732" spans="1:39" x14ac:dyDescent="0.25">
      <c r="A732" s="265">
        <v>44158</v>
      </c>
      <c r="B732">
        <v>1</v>
      </c>
      <c r="C732" s="816" t="s">
        <v>4</v>
      </c>
      <c r="D732">
        <v>534</v>
      </c>
      <c r="E732" s="816" t="s">
        <v>9545</v>
      </c>
      <c r="F732" s="816" t="s">
        <v>24</v>
      </c>
      <c r="G732" s="816" t="s">
        <v>9546</v>
      </c>
      <c r="H732">
        <v>24</v>
      </c>
      <c r="I732" s="816" t="s">
        <v>18</v>
      </c>
      <c r="J732" s="816" t="s">
        <v>18</v>
      </c>
      <c r="K732" s="817">
        <v>0.13491898148148149</v>
      </c>
      <c r="L732" s="817">
        <v>0.20158564814814817</v>
      </c>
      <c r="M732" s="817"/>
      <c r="N732" s="817"/>
      <c r="O732" s="817">
        <v>0.46256944444444442</v>
      </c>
      <c r="P732" s="817">
        <v>0.72355324074074068</v>
      </c>
      <c r="Q732" s="817"/>
      <c r="R732" s="816"/>
      <c r="S732" s="817"/>
      <c r="T732" s="817"/>
      <c r="U732" s="816" t="s">
        <v>9551</v>
      </c>
      <c r="V732" s="816" t="s">
        <v>9551</v>
      </c>
      <c r="W732" s="267"/>
      <c r="X732" s="816" t="s">
        <v>26</v>
      </c>
      <c r="Y732">
        <v>56.5</v>
      </c>
      <c r="Z732">
        <v>0.9</v>
      </c>
      <c r="AA732" s="816" t="s">
        <v>9555</v>
      </c>
      <c r="AB732" s="816" t="s">
        <v>9582</v>
      </c>
      <c r="AC732" s="816"/>
      <c r="AD732" s="816"/>
      <c r="AE732" s="816"/>
      <c r="AF732" s="816"/>
      <c r="AG732" s="816"/>
      <c r="AI732" s="816"/>
      <c r="AK732" s="816"/>
      <c r="AM732" s="816"/>
    </row>
    <row r="733" spans="1:39" x14ac:dyDescent="0.25">
      <c r="A733" s="265">
        <v>44159</v>
      </c>
      <c r="B733">
        <v>2</v>
      </c>
      <c r="C733" s="816" t="s">
        <v>5</v>
      </c>
      <c r="D733">
        <v>534</v>
      </c>
      <c r="E733" s="816" t="s">
        <v>9545</v>
      </c>
      <c r="F733" s="816" t="s">
        <v>24</v>
      </c>
      <c r="G733" s="816" t="s">
        <v>9546</v>
      </c>
      <c r="H733">
        <v>25</v>
      </c>
      <c r="I733" s="816" t="s">
        <v>19</v>
      </c>
      <c r="J733" s="816" t="s">
        <v>19</v>
      </c>
      <c r="K733" s="817">
        <v>0.13503472222222221</v>
      </c>
      <c r="L733" s="817">
        <v>0.20170138888888889</v>
      </c>
      <c r="M733" s="817"/>
      <c r="N733" s="817"/>
      <c r="O733" s="817">
        <v>0.46277777777777779</v>
      </c>
      <c r="P733" s="817">
        <v>0.72385416666666658</v>
      </c>
      <c r="Q733" s="817"/>
      <c r="R733" s="816"/>
      <c r="S733" s="817"/>
      <c r="T733" s="817"/>
      <c r="U733" s="816" t="s">
        <v>9551</v>
      </c>
      <c r="V733" s="816" t="s">
        <v>9551</v>
      </c>
      <c r="W733" s="267"/>
      <c r="X733" s="816" t="s">
        <v>26</v>
      </c>
      <c r="Y733">
        <v>49</v>
      </c>
      <c r="Z733">
        <v>91.7</v>
      </c>
      <c r="AA733" s="816" t="s">
        <v>9555</v>
      </c>
      <c r="AB733" s="816" t="s">
        <v>9583</v>
      </c>
      <c r="AC733" s="816"/>
      <c r="AD733" s="816"/>
      <c r="AE733" s="816"/>
      <c r="AF733" s="816"/>
      <c r="AG733" s="816"/>
      <c r="AI733" s="816"/>
      <c r="AK733" s="816"/>
      <c r="AM733" s="816"/>
    </row>
    <row r="734" spans="1:39" x14ac:dyDescent="0.25">
      <c r="A734" s="265">
        <v>44160</v>
      </c>
      <c r="B734">
        <v>3</v>
      </c>
      <c r="C734" s="816" t="s">
        <v>6</v>
      </c>
      <c r="D734">
        <v>534</v>
      </c>
      <c r="E734" s="816" t="s">
        <v>9545</v>
      </c>
      <c r="F734" s="816" t="s">
        <v>24</v>
      </c>
      <c r="G734" s="816" t="s">
        <v>9546</v>
      </c>
      <c r="H734">
        <v>26</v>
      </c>
      <c r="I734" s="816" t="s">
        <v>9549</v>
      </c>
      <c r="J734" s="816" t="s">
        <v>20</v>
      </c>
      <c r="K734" s="817">
        <v>0.13515046296296296</v>
      </c>
      <c r="L734" s="817">
        <v>0.20181712962962961</v>
      </c>
      <c r="M734" s="817"/>
      <c r="N734" s="817"/>
      <c r="O734" s="817">
        <v>0.4629861111111111</v>
      </c>
      <c r="P734" s="817">
        <v>0.7241550925925927</v>
      </c>
      <c r="Q734" s="817"/>
      <c r="R734" s="816"/>
      <c r="S734" s="817"/>
      <c r="T734" s="817"/>
      <c r="U734" s="816" t="s">
        <v>9551</v>
      </c>
      <c r="V734" s="816" t="s">
        <v>9551</v>
      </c>
      <c r="W734" s="267"/>
      <c r="X734" s="816" t="s">
        <v>26</v>
      </c>
      <c r="Y734">
        <v>40.1</v>
      </c>
      <c r="Z734">
        <v>81.400000000000006</v>
      </c>
      <c r="AA734" s="816" t="s">
        <v>9556</v>
      </c>
      <c r="AB734" s="816" t="s">
        <v>9584</v>
      </c>
      <c r="AC734" s="816" t="s">
        <v>9642</v>
      </c>
      <c r="AD734" s="816"/>
      <c r="AE734" s="816"/>
      <c r="AF734" s="816"/>
      <c r="AG734" s="816"/>
      <c r="AI734" s="816"/>
      <c r="AK734" s="816"/>
      <c r="AM734" s="816"/>
    </row>
    <row r="735" spans="1:39" x14ac:dyDescent="0.25">
      <c r="A735" s="265">
        <v>44161</v>
      </c>
      <c r="B735">
        <v>4</v>
      </c>
      <c r="C735" s="816" t="s">
        <v>7</v>
      </c>
      <c r="D735">
        <v>534</v>
      </c>
      <c r="E735" s="816" t="s">
        <v>9545</v>
      </c>
      <c r="F735" s="816" t="s">
        <v>24</v>
      </c>
      <c r="G735" s="816" t="s">
        <v>9546</v>
      </c>
      <c r="H735">
        <v>27</v>
      </c>
      <c r="I735" s="816" t="s">
        <v>9550</v>
      </c>
      <c r="J735" s="816" t="s">
        <v>21</v>
      </c>
      <c r="K735" s="817">
        <v>0.13527777777777777</v>
      </c>
      <c r="L735" s="817">
        <v>0.20194444444444445</v>
      </c>
      <c r="M735" s="817"/>
      <c r="N735" s="817"/>
      <c r="O735" s="817">
        <v>0.4632060185185185</v>
      </c>
      <c r="P735" s="817">
        <v>0.72446759259259252</v>
      </c>
      <c r="Q735" s="817"/>
      <c r="R735" s="816"/>
      <c r="S735" s="817"/>
      <c r="T735" s="817"/>
      <c r="U735" s="816" t="s">
        <v>9551</v>
      </c>
      <c r="V735" s="816" t="s">
        <v>9551</v>
      </c>
      <c r="W735" s="267"/>
      <c r="X735" s="816" t="s">
        <v>26</v>
      </c>
      <c r="Y735">
        <v>30.6</v>
      </c>
      <c r="Z735">
        <v>70.400000000000006</v>
      </c>
      <c r="AA735" s="816" t="s">
        <v>9557</v>
      </c>
      <c r="AB735" s="816" t="s">
        <v>9585</v>
      </c>
      <c r="AC735" s="816"/>
      <c r="AD735" s="816"/>
      <c r="AE735" s="816"/>
      <c r="AF735" s="816" t="s">
        <v>72</v>
      </c>
      <c r="AG735" s="816" t="s">
        <v>9713</v>
      </c>
      <c r="AH735">
        <v>-1</v>
      </c>
      <c r="AI735" s="816" t="s">
        <v>67</v>
      </c>
      <c r="AJ735">
        <v>-1</v>
      </c>
      <c r="AK735" s="816" t="s">
        <v>68</v>
      </c>
      <c r="AL735">
        <v>-1</v>
      </c>
      <c r="AM735" s="816"/>
    </row>
    <row r="736" spans="1:39" x14ac:dyDescent="0.25">
      <c r="A736" s="265">
        <v>44162</v>
      </c>
      <c r="B736">
        <v>5</v>
      </c>
      <c r="C736" s="816" t="s">
        <v>1</v>
      </c>
      <c r="D736">
        <v>534</v>
      </c>
      <c r="E736" s="816" t="s">
        <v>9545</v>
      </c>
      <c r="F736" s="816" t="s">
        <v>24</v>
      </c>
      <c r="G736" s="816" t="s">
        <v>9546</v>
      </c>
      <c r="H736">
        <v>28</v>
      </c>
      <c r="I736" s="816" t="s">
        <v>8</v>
      </c>
      <c r="J736" s="816" t="s">
        <v>8</v>
      </c>
      <c r="K736" s="817">
        <v>0.13541666666666666</v>
      </c>
      <c r="L736" s="817">
        <v>0.20208333333333331</v>
      </c>
      <c r="M736" s="817">
        <v>0.20208333333333331</v>
      </c>
      <c r="N736" s="817">
        <v>0.3756944444444445</v>
      </c>
      <c r="O736" s="817">
        <v>0.4634375</v>
      </c>
      <c r="P736" s="817">
        <v>0.72478009259259257</v>
      </c>
      <c r="Q736" s="817"/>
      <c r="R736" s="816"/>
      <c r="S736" s="817"/>
      <c r="T736" s="817"/>
      <c r="U736" s="816" t="s">
        <v>9551</v>
      </c>
      <c r="V736" s="816" t="s">
        <v>9551</v>
      </c>
      <c r="W736" s="267"/>
      <c r="X736" s="816" t="s">
        <v>26</v>
      </c>
      <c r="Y736">
        <v>20.8</v>
      </c>
      <c r="Z736">
        <v>59.1</v>
      </c>
      <c r="AA736" s="816" t="s">
        <v>9558</v>
      </c>
      <c r="AB736" s="816" t="s">
        <v>9586</v>
      </c>
      <c r="AC736" s="816"/>
      <c r="AD736" s="816"/>
      <c r="AE736" s="816"/>
      <c r="AF736" s="816"/>
      <c r="AG736" s="816"/>
      <c r="AI736" s="816"/>
      <c r="AK736" s="816"/>
      <c r="AM736" s="816"/>
    </row>
    <row r="737" spans="1:39" x14ac:dyDescent="0.25">
      <c r="A737" s="265">
        <v>44163</v>
      </c>
      <c r="B737">
        <v>6</v>
      </c>
      <c r="C737" s="816" t="s">
        <v>2</v>
      </c>
      <c r="D737">
        <v>534</v>
      </c>
      <c r="E737" s="816" t="s">
        <v>9545</v>
      </c>
      <c r="F737" s="816" t="s">
        <v>24</v>
      </c>
      <c r="G737" s="816" t="s">
        <v>9546</v>
      </c>
      <c r="H737">
        <v>29</v>
      </c>
      <c r="I737" s="816" t="s">
        <v>9</v>
      </c>
      <c r="J737" s="816" t="s">
        <v>9</v>
      </c>
      <c r="K737" s="817">
        <v>0.13556712962962963</v>
      </c>
      <c r="L737" s="817">
        <v>0.20223379629629631</v>
      </c>
      <c r="M737" s="817"/>
      <c r="N737" s="817"/>
      <c r="O737" s="817">
        <v>0.46366898148148145</v>
      </c>
      <c r="P737" s="817">
        <v>0.72510416666666666</v>
      </c>
      <c r="Q737" s="817"/>
      <c r="R737" s="816"/>
      <c r="S737" s="817"/>
      <c r="T737" s="817"/>
      <c r="U737" s="816" t="s">
        <v>9551</v>
      </c>
      <c r="V737" s="816" t="s">
        <v>9551</v>
      </c>
      <c r="W737" s="267"/>
      <c r="X737" s="816" t="s">
        <v>26</v>
      </c>
      <c r="Y737">
        <v>11.1</v>
      </c>
      <c r="Z737">
        <v>48</v>
      </c>
      <c r="AA737" s="816" t="s">
        <v>9578</v>
      </c>
      <c r="AB737" s="816" t="s">
        <v>9604</v>
      </c>
      <c r="AC737" s="816" t="s">
        <v>9643</v>
      </c>
      <c r="AD737" s="816"/>
      <c r="AE737" s="816"/>
      <c r="AF737" s="816"/>
      <c r="AG737" s="816"/>
      <c r="AI737" s="816"/>
      <c r="AK737" s="816"/>
      <c r="AM737" s="816"/>
    </row>
    <row r="738" spans="1:39" x14ac:dyDescent="0.25">
      <c r="A738" s="265">
        <v>44164</v>
      </c>
      <c r="B738">
        <v>0</v>
      </c>
      <c r="C738" s="816" t="s">
        <v>3</v>
      </c>
      <c r="D738">
        <v>534</v>
      </c>
      <c r="E738" s="816" t="s">
        <v>9545</v>
      </c>
      <c r="F738" s="816" t="s">
        <v>24</v>
      </c>
      <c r="G738" s="816" t="s">
        <v>9546</v>
      </c>
      <c r="H738">
        <v>30</v>
      </c>
      <c r="I738" s="816" t="s">
        <v>10</v>
      </c>
      <c r="J738" s="816" t="s">
        <v>9</v>
      </c>
      <c r="K738" s="817">
        <v>0.13574074074074075</v>
      </c>
      <c r="L738" s="817">
        <v>0.2024074074074074</v>
      </c>
      <c r="M738" s="817"/>
      <c r="N738" s="817"/>
      <c r="O738" s="817">
        <v>0.46391203703703704</v>
      </c>
      <c r="P738" s="817">
        <v>0.72542824074074075</v>
      </c>
      <c r="Q738" s="817"/>
      <c r="R738" s="816"/>
      <c r="S738" s="817"/>
      <c r="T738" s="817"/>
      <c r="U738" s="816" t="s">
        <v>9551</v>
      </c>
      <c r="V738" s="816" t="s">
        <v>9551</v>
      </c>
      <c r="W738" s="267"/>
      <c r="X738" s="816" t="s">
        <v>26</v>
      </c>
      <c r="Y738">
        <v>2</v>
      </c>
      <c r="Z738">
        <v>37.4</v>
      </c>
      <c r="AA738" s="816" t="s">
        <v>9559</v>
      </c>
      <c r="AB738" s="816" t="s">
        <v>9587</v>
      </c>
      <c r="AC738" s="816"/>
      <c r="AD738" s="816"/>
      <c r="AE738" s="816"/>
      <c r="AF738" s="816"/>
      <c r="AG738" s="816"/>
      <c r="AI738" s="816"/>
      <c r="AK738" s="816"/>
      <c r="AM738" s="816"/>
    </row>
    <row r="739" spans="1:39" x14ac:dyDescent="0.25">
      <c r="A739" s="265">
        <v>44165</v>
      </c>
      <c r="B739">
        <v>1</v>
      </c>
      <c r="C739" s="816" t="s">
        <v>4</v>
      </c>
      <c r="D739">
        <v>534</v>
      </c>
      <c r="E739" s="816" t="s">
        <v>9545</v>
      </c>
      <c r="F739" s="816" t="s">
        <v>24</v>
      </c>
      <c r="G739" s="816" t="s">
        <v>9546</v>
      </c>
      <c r="H739">
        <v>30</v>
      </c>
      <c r="I739" s="816" t="s">
        <v>10</v>
      </c>
      <c r="J739" s="816" t="s">
        <v>10</v>
      </c>
      <c r="K739" s="817">
        <v>0.13591435185185186</v>
      </c>
      <c r="L739" s="817">
        <v>0.20258101851851851</v>
      </c>
      <c r="M739" s="817"/>
      <c r="N739" s="817"/>
      <c r="O739" s="817">
        <v>0.46416666666666667</v>
      </c>
      <c r="P739" s="817">
        <v>0.72575231481481473</v>
      </c>
      <c r="Q739" s="817"/>
      <c r="R739" s="816"/>
      <c r="S739" s="817"/>
      <c r="T739" s="817"/>
      <c r="U739" s="816" t="s">
        <v>9551</v>
      </c>
      <c r="V739" s="816" t="s">
        <v>9551</v>
      </c>
      <c r="W739" s="267"/>
      <c r="X739" s="816" t="s">
        <v>27</v>
      </c>
      <c r="Y739">
        <v>93.6</v>
      </c>
      <c r="Z739">
        <v>27.4</v>
      </c>
      <c r="AA739" s="816" t="s">
        <v>9560</v>
      </c>
      <c r="AB739" s="816" t="s">
        <v>9588</v>
      </c>
      <c r="AC739" s="816" t="s">
        <v>9644</v>
      </c>
      <c r="AD739" s="816"/>
      <c r="AE739" s="816"/>
      <c r="AF739" s="816"/>
      <c r="AG739" s="816" t="s">
        <v>69</v>
      </c>
      <c r="AH739">
        <v>-1</v>
      </c>
      <c r="AI739" s="816"/>
      <c r="AK739" s="816"/>
      <c r="AM739" s="816"/>
    </row>
    <row r="740" spans="1:39" x14ac:dyDescent="0.25">
      <c r="A740" s="265">
        <v>44166</v>
      </c>
      <c r="B740">
        <v>2</v>
      </c>
      <c r="C740" s="816" t="s">
        <v>5</v>
      </c>
      <c r="D740">
        <v>534</v>
      </c>
      <c r="E740" s="816" t="s">
        <v>9533</v>
      </c>
      <c r="F740" s="816" t="s">
        <v>25</v>
      </c>
      <c r="G740" s="816" t="s">
        <v>9547</v>
      </c>
      <c r="H740">
        <v>1</v>
      </c>
      <c r="I740" s="816" t="s">
        <v>11</v>
      </c>
      <c r="J740" s="816" t="s">
        <v>11</v>
      </c>
      <c r="K740" s="817">
        <v>0.13609953703703703</v>
      </c>
      <c r="L740" s="817">
        <v>0.20276620370370368</v>
      </c>
      <c r="M740" s="817"/>
      <c r="N740" s="817"/>
      <c r="O740" s="817">
        <v>0.4644212962962963</v>
      </c>
      <c r="P740" s="817">
        <v>0.72608796296296296</v>
      </c>
      <c r="Q740" s="817"/>
      <c r="R740" s="816"/>
      <c r="S740" s="817"/>
      <c r="T740" s="817"/>
      <c r="U740" s="816" t="s">
        <v>9551</v>
      </c>
      <c r="V740" s="816" t="s">
        <v>9551</v>
      </c>
      <c r="W740" s="267"/>
      <c r="X740" s="816" t="s">
        <v>26</v>
      </c>
      <c r="Y740">
        <v>86.2</v>
      </c>
      <c r="Z740">
        <v>18.399999999999999</v>
      </c>
      <c r="AA740" s="816" t="s">
        <v>9561</v>
      </c>
      <c r="AB740" s="816" t="s">
        <v>9589</v>
      </c>
      <c r="AC740" s="816"/>
      <c r="AD740" s="816"/>
      <c r="AE740" s="816"/>
      <c r="AF740" s="816"/>
      <c r="AG740" s="816"/>
      <c r="AI740" s="816"/>
      <c r="AK740" s="816"/>
      <c r="AM740" s="816"/>
    </row>
    <row r="741" spans="1:39" x14ac:dyDescent="0.25">
      <c r="A741" s="265">
        <v>44167</v>
      </c>
      <c r="B741">
        <v>3</v>
      </c>
      <c r="C741" s="816" t="s">
        <v>6</v>
      </c>
      <c r="D741">
        <v>534</v>
      </c>
      <c r="E741" s="816" t="s">
        <v>9533</v>
      </c>
      <c r="F741" s="816" t="s">
        <v>25</v>
      </c>
      <c r="G741" s="816" t="s">
        <v>9547</v>
      </c>
      <c r="H741">
        <v>2</v>
      </c>
      <c r="I741" s="816" t="s">
        <v>12</v>
      </c>
      <c r="J741" s="816" t="s">
        <v>12</v>
      </c>
      <c r="K741" s="817">
        <v>0.13629629629629628</v>
      </c>
      <c r="L741" s="817">
        <v>0.20296296296296298</v>
      </c>
      <c r="M741" s="817"/>
      <c r="N741" s="817"/>
      <c r="O741" s="817">
        <v>0.46469907407407413</v>
      </c>
      <c r="P741" s="817">
        <v>0.72643518518518524</v>
      </c>
      <c r="Q741" s="817"/>
      <c r="R741" s="816"/>
      <c r="S741" s="817"/>
      <c r="T741" s="817"/>
      <c r="U741" s="816" t="s">
        <v>9551</v>
      </c>
      <c r="V741" s="816" t="s">
        <v>9551</v>
      </c>
      <c r="W741" s="267"/>
      <c r="X741" s="816" t="s">
        <v>26</v>
      </c>
      <c r="Y741">
        <v>80.099999999999994</v>
      </c>
      <c r="Z741">
        <v>10.5</v>
      </c>
      <c r="AA741" s="816" t="s">
        <v>9562</v>
      </c>
      <c r="AB741" s="816" t="s">
        <v>9590</v>
      </c>
      <c r="AC741" s="816"/>
      <c r="AD741" s="816"/>
      <c r="AE741" s="816"/>
      <c r="AF741" s="816"/>
      <c r="AG741" s="816"/>
      <c r="AI741" s="816"/>
      <c r="AK741" s="816"/>
      <c r="AM741" s="816"/>
    </row>
    <row r="742" spans="1:39" x14ac:dyDescent="0.25">
      <c r="A742" s="265">
        <v>44168</v>
      </c>
      <c r="B742">
        <v>4</v>
      </c>
      <c r="C742" s="816" t="s">
        <v>7</v>
      </c>
      <c r="D742">
        <v>534</v>
      </c>
      <c r="E742" s="816" t="s">
        <v>9533</v>
      </c>
      <c r="F742" s="816" t="s">
        <v>25</v>
      </c>
      <c r="G742" s="816" t="s">
        <v>9547</v>
      </c>
      <c r="H742">
        <v>3</v>
      </c>
      <c r="I742" s="816" t="s">
        <v>23</v>
      </c>
      <c r="J742" s="816" t="s">
        <v>23</v>
      </c>
      <c r="K742" s="817">
        <v>0.13649305555555555</v>
      </c>
      <c r="L742" s="817">
        <v>0.20315972222222223</v>
      </c>
      <c r="M742" s="817"/>
      <c r="N742" s="817"/>
      <c r="O742" s="817">
        <v>0.4649652777777778</v>
      </c>
      <c r="P742" s="817">
        <v>0.72677083333333325</v>
      </c>
      <c r="Q742" s="817"/>
      <c r="R742" s="816"/>
      <c r="S742" s="817"/>
      <c r="T742" s="817"/>
      <c r="U742" s="816" t="s">
        <v>9551</v>
      </c>
      <c r="V742" s="816" t="s">
        <v>9551</v>
      </c>
      <c r="W742" s="267"/>
      <c r="X742" s="816" t="s">
        <v>26</v>
      </c>
      <c r="Y742">
        <v>75.400000000000006</v>
      </c>
      <c r="Z742">
        <v>3.9</v>
      </c>
      <c r="AA742" s="816" t="s">
        <v>9563</v>
      </c>
      <c r="AB742" s="816" t="s">
        <v>9591</v>
      </c>
      <c r="AC742" s="816"/>
      <c r="AD742" s="816"/>
      <c r="AE742" s="816"/>
      <c r="AF742" s="816"/>
      <c r="AG742" s="816"/>
      <c r="AI742" s="816"/>
      <c r="AK742" s="816"/>
      <c r="AM742" s="816"/>
    </row>
    <row r="743" spans="1:39" x14ac:dyDescent="0.25">
      <c r="A743" s="265">
        <v>44169</v>
      </c>
      <c r="B743">
        <v>5</v>
      </c>
      <c r="C743" s="816" t="s">
        <v>1</v>
      </c>
      <c r="D743">
        <v>534</v>
      </c>
      <c r="E743" s="816" t="s">
        <v>9533</v>
      </c>
      <c r="F743" s="816" t="s">
        <v>25</v>
      </c>
      <c r="G743" s="816" t="s">
        <v>9547</v>
      </c>
      <c r="H743">
        <v>4</v>
      </c>
      <c r="I743" s="816" t="s">
        <v>13</v>
      </c>
      <c r="J743" s="816" t="s">
        <v>13</v>
      </c>
      <c r="K743" s="817">
        <v>0.13671296296296295</v>
      </c>
      <c r="L743" s="817">
        <v>0.20337962962962963</v>
      </c>
      <c r="M743" s="817"/>
      <c r="N743" s="817"/>
      <c r="O743" s="817">
        <v>0.4652546296296296</v>
      </c>
      <c r="P743" s="817">
        <v>0.72711805555555553</v>
      </c>
      <c r="Q743" s="817"/>
      <c r="R743" s="816"/>
      <c r="S743" s="817"/>
      <c r="T743" s="817"/>
      <c r="U743" s="816" t="s">
        <v>9551</v>
      </c>
      <c r="V743" s="816" t="s">
        <v>9551</v>
      </c>
      <c r="W743" s="267"/>
      <c r="X743" s="816" t="s">
        <v>26</v>
      </c>
      <c r="Y743">
        <v>72.5</v>
      </c>
      <c r="Z743">
        <v>98.9</v>
      </c>
      <c r="AA743" s="816" t="s">
        <v>9563</v>
      </c>
      <c r="AB743" s="816" t="s">
        <v>9605</v>
      </c>
      <c r="AC743" s="816"/>
      <c r="AD743" s="816"/>
      <c r="AE743" s="816"/>
      <c r="AF743" s="816"/>
      <c r="AG743" s="816"/>
      <c r="AI743" s="816"/>
      <c r="AK743" s="816"/>
      <c r="AM743" s="816"/>
    </row>
    <row r="744" spans="1:39" x14ac:dyDescent="0.25">
      <c r="A744" s="265">
        <v>44170</v>
      </c>
      <c r="B744">
        <v>6</v>
      </c>
      <c r="C744" s="816" t="s">
        <v>2</v>
      </c>
      <c r="D744">
        <v>534</v>
      </c>
      <c r="E744" s="816" t="s">
        <v>9533</v>
      </c>
      <c r="F744" s="816" t="s">
        <v>25</v>
      </c>
      <c r="G744" s="816" t="s">
        <v>9547</v>
      </c>
      <c r="H744">
        <v>5</v>
      </c>
      <c r="I744" s="816" t="s">
        <v>14</v>
      </c>
      <c r="J744" s="816" t="s">
        <v>14</v>
      </c>
      <c r="K744" s="817">
        <v>0.13694444444444445</v>
      </c>
      <c r="L744" s="817">
        <v>0.2036111111111111</v>
      </c>
      <c r="M744" s="817"/>
      <c r="N744" s="817"/>
      <c r="O744" s="817">
        <v>0.46553240740740742</v>
      </c>
      <c r="P744" s="817">
        <v>0.72746527777777781</v>
      </c>
      <c r="Q744" s="817"/>
      <c r="R744" s="816"/>
      <c r="S744" s="817"/>
      <c r="T744" s="817"/>
      <c r="U744" s="816" t="s">
        <v>9551</v>
      </c>
      <c r="V744" s="816" t="s">
        <v>9551</v>
      </c>
      <c r="W744" s="267"/>
      <c r="X744" s="816" t="s">
        <v>26</v>
      </c>
      <c r="Y744">
        <v>71.400000000000006</v>
      </c>
      <c r="Z744">
        <v>95.5</v>
      </c>
      <c r="AA744" s="816" t="s">
        <v>9564</v>
      </c>
      <c r="AB744" s="816" t="s">
        <v>9592</v>
      </c>
      <c r="AC744" s="816"/>
      <c r="AD744" s="816"/>
      <c r="AE744" s="816"/>
      <c r="AF744" s="816"/>
      <c r="AG744" s="816"/>
      <c r="AI744" s="816"/>
      <c r="AK744" s="816"/>
      <c r="AM744" s="816"/>
    </row>
    <row r="745" spans="1:39" x14ac:dyDescent="0.25">
      <c r="A745" s="265">
        <v>44171</v>
      </c>
      <c r="B745">
        <v>0</v>
      </c>
      <c r="C745" s="816" t="s">
        <v>3</v>
      </c>
      <c r="D745">
        <v>534</v>
      </c>
      <c r="E745" s="816" t="s">
        <v>9533</v>
      </c>
      <c r="F745" s="816" t="s">
        <v>25</v>
      </c>
      <c r="G745" s="816" t="s">
        <v>9547</v>
      </c>
      <c r="H745">
        <v>6</v>
      </c>
      <c r="I745" s="816" t="s">
        <v>15</v>
      </c>
      <c r="J745" s="816" t="s">
        <v>15</v>
      </c>
      <c r="K745" s="817">
        <v>0.13717592592592592</v>
      </c>
      <c r="L745" s="817">
        <v>0.2038425925925926</v>
      </c>
      <c r="M745" s="817"/>
      <c r="N745" s="817"/>
      <c r="O745" s="817">
        <v>0.46583333333333332</v>
      </c>
      <c r="P745" s="817">
        <v>0.72782407407407401</v>
      </c>
      <c r="Q745" s="817"/>
      <c r="R745" s="816"/>
      <c r="S745" s="817"/>
      <c r="T745" s="817"/>
      <c r="U745" s="816" t="s">
        <v>9551</v>
      </c>
      <c r="V745" s="816" t="s">
        <v>9551</v>
      </c>
      <c r="W745" s="267"/>
      <c r="X745" s="816" t="s">
        <v>26</v>
      </c>
      <c r="Y745">
        <v>72.599999999999994</v>
      </c>
      <c r="Z745">
        <v>94.2</v>
      </c>
      <c r="AA745" s="816" t="s">
        <v>9565</v>
      </c>
      <c r="AB745" s="816" t="s">
        <v>9593</v>
      </c>
      <c r="AC745" s="816"/>
      <c r="AD745" s="816"/>
      <c r="AE745" s="816"/>
      <c r="AF745" s="816"/>
      <c r="AG745" s="816"/>
      <c r="AI745" s="816"/>
      <c r="AK745" s="816"/>
      <c r="AM745" s="816"/>
    </row>
    <row r="746" spans="1:39" x14ac:dyDescent="0.25">
      <c r="A746" s="265">
        <v>44172</v>
      </c>
      <c r="B746">
        <v>1</v>
      </c>
      <c r="C746" s="816" t="s">
        <v>4</v>
      </c>
      <c r="D746">
        <v>534</v>
      </c>
      <c r="E746" s="816" t="s">
        <v>9533</v>
      </c>
      <c r="F746" s="816" t="s">
        <v>25</v>
      </c>
      <c r="G746" s="816" t="s">
        <v>9547</v>
      </c>
      <c r="H746">
        <v>7</v>
      </c>
      <c r="I746" s="816" t="s">
        <v>16</v>
      </c>
      <c r="J746" s="816" t="s">
        <v>16</v>
      </c>
      <c r="K746" s="817">
        <v>0.13741898148148149</v>
      </c>
      <c r="L746" s="817">
        <v>0.20408564814814814</v>
      </c>
      <c r="M746" s="817"/>
      <c r="N746" s="817"/>
      <c r="O746" s="817">
        <v>0.46613425925925928</v>
      </c>
      <c r="P746" s="817">
        <v>0.7281712962962964</v>
      </c>
      <c r="Q746" s="817"/>
      <c r="R746" s="816"/>
      <c r="S746" s="817"/>
      <c r="T746" s="817"/>
      <c r="U746" s="816" t="s">
        <v>9551</v>
      </c>
      <c r="V746" s="816" t="s">
        <v>9551</v>
      </c>
      <c r="W746" s="267"/>
      <c r="X746" s="816" t="s">
        <v>26</v>
      </c>
      <c r="Y746">
        <v>76.2</v>
      </c>
      <c r="Z746">
        <v>95.1</v>
      </c>
      <c r="AA746" s="816" t="s">
        <v>9566</v>
      </c>
      <c r="AB746" s="816" t="s">
        <v>9594</v>
      </c>
      <c r="AC746" s="816"/>
      <c r="AD746" s="816"/>
      <c r="AE746" s="816"/>
      <c r="AF746" s="816"/>
      <c r="AG746" s="816"/>
      <c r="AI746" s="816"/>
      <c r="AK746" s="816"/>
      <c r="AM746" s="816"/>
    </row>
    <row r="747" spans="1:39" x14ac:dyDescent="0.25">
      <c r="A747" s="265">
        <v>44173</v>
      </c>
      <c r="B747">
        <v>2</v>
      </c>
      <c r="C747" s="816" t="s">
        <v>5</v>
      </c>
      <c r="D747">
        <v>534</v>
      </c>
      <c r="E747" s="816" t="s">
        <v>9533</v>
      </c>
      <c r="F747" s="816" t="s">
        <v>25</v>
      </c>
      <c r="G747" s="816" t="s">
        <v>9547</v>
      </c>
      <c r="H747">
        <v>8</v>
      </c>
      <c r="I747" s="816" t="s">
        <v>17</v>
      </c>
      <c r="J747" s="816" t="s">
        <v>17</v>
      </c>
      <c r="K747" s="817">
        <v>0.13767361111111112</v>
      </c>
      <c r="L747" s="817">
        <v>0.20434027777777777</v>
      </c>
      <c r="M747" s="817"/>
      <c r="N747" s="817"/>
      <c r="O747" s="817">
        <v>0.46643518518518517</v>
      </c>
      <c r="P747" s="817">
        <v>0.72853009259259249</v>
      </c>
      <c r="Q747" s="817"/>
      <c r="R747" s="816"/>
      <c r="S747" s="817"/>
      <c r="T747" s="817"/>
      <c r="U747" s="816" t="s">
        <v>9551</v>
      </c>
      <c r="V747" s="816" t="s">
        <v>9551</v>
      </c>
      <c r="W747" s="267"/>
      <c r="X747" s="816" t="s">
        <v>26</v>
      </c>
      <c r="Y747">
        <v>82.4</v>
      </c>
      <c r="Z747">
        <v>98.2</v>
      </c>
      <c r="AA747" s="816" t="s">
        <v>9567</v>
      </c>
      <c r="AB747" s="816" t="s">
        <v>9595</v>
      </c>
      <c r="AC747" s="816"/>
      <c r="AD747" s="816"/>
      <c r="AE747" s="816"/>
      <c r="AF747" s="816"/>
      <c r="AG747" s="816"/>
      <c r="AI747" s="816"/>
      <c r="AK747" s="816"/>
      <c r="AM747" s="816"/>
    </row>
    <row r="748" spans="1:39" x14ac:dyDescent="0.25">
      <c r="A748" s="265">
        <v>44174</v>
      </c>
      <c r="B748">
        <v>3</v>
      </c>
      <c r="C748" s="816" t="s">
        <v>6</v>
      </c>
      <c r="D748">
        <v>534</v>
      </c>
      <c r="E748" s="816" t="s">
        <v>9533</v>
      </c>
      <c r="F748" s="816" t="s">
        <v>25</v>
      </c>
      <c r="G748" s="816" t="s">
        <v>9547</v>
      </c>
      <c r="H748">
        <v>9</v>
      </c>
      <c r="I748" s="816" t="s">
        <v>18</v>
      </c>
      <c r="J748" s="816" t="s">
        <v>18</v>
      </c>
      <c r="K748" s="817">
        <v>0.13793981481481482</v>
      </c>
      <c r="L748" s="817">
        <v>0.2046064814814815</v>
      </c>
      <c r="M748" s="817"/>
      <c r="N748" s="817"/>
      <c r="O748" s="817">
        <v>0.46674768518518522</v>
      </c>
      <c r="P748" s="817">
        <v>0.72888888888888881</v>
      </c>
      <c r="Q748" s="817"/>
      <c r="R748" s="816"/>
      <c r="S748" s="817"/>
      <c r="T748" s="817"/>
      <c r="U748" s="816" t="s">
        <v>9551</v>
      </c>
      <c r="V748" s="816" t="s">
        <v>9551</v>
      </c>
      <c r="W748" s="267"/>
      <c r="X748" s="816" t="s">
        <v>26</v>
      </c>
      <c r="Y748">
        <v>91.2</v>
      </c>
      <c r="Z748">
        <v>3.8</v>
      </c>
      <c r="AA748" s="816" t="s">
        <v>9569</v>
      </c>
      <c r="AB748" s="816" t="s">
        <v>9596</v>
      </c>
      <c r="AC748" s="816"/>
      <c r="AD748" s="816"/>
      <c r="AE748" s="816"/>
      <c r="AF748" s="816"/>
      <c r="AG748" s="816"/>
      <c r="AI748" s="816"/>
      <c r="AK748" s="816"/>
      <c r="AM748" s="816"/>
    </row>
    <row r="749" spans="1:39" x14ac:dyDescent="0.25">
      <c r="A749" s="265">
        <v>44175</v>
      </c>
      <c r="B749">
        <v>4</v>
      </c>
      <c r="C749" s="816" t="s">
        <v>7</v>
      </c>
      <c r="D749">
        <v>534</v>
      </c>
      <c r="E749" s="816" t="s">
        <v>9533</v>
      </c>
      <c r="F749" s="816" t="s">
        <v>25</v>
      </c>
      <c r="G749" s="816" t="s">
        <v>9547</v>
      </c>
      <c r="H749">
        <v>11</v>
      </c>
      <c r="I749" s="816" t="s">
        <v>9549</v>
      </c>
      <c r="J749" s="816" t="s">
        <v>19</v>
      </c>
      <c r="K749" s="817">
        <v>0.13820601851851852</v>
      </c>
      <c r="L749" s="817">
        <v>0.2048726851851852</v>
      </c>
      <c r="M749" s="817"/>
      <c r="N749" s="817"/>
      <c r="O749" s="817">
        <v>0.46706018518518522</v>
      </c>
      <c r="P749" s="817">
        <v>0.72924768518518512</v>
      </c>
      <c r="Q749" s="817"/>
      <c r="R749" s="816"/>
      <c r="S749" s="817">
        <v>0.28472222222222221</v>
      </c>
      <c r="T749" s="817">
        <v>0.18263888888888891</v>
      </c>
      <c r="U749" s="816" t="s">
        <v>9551</v>
      </c>
      <c r="V749" s="816" t="s">
        <v>9551</v>
      </c>
      <c r="W749" s="267"/>
      <c r="X749" s="816" t="s">
        <v>26</v>
      </c>
      <c r="Y749">
        <v>2.4</v>
      </c>
      <c r="Z749">
        <v>11.5</v>
      </c>
      <c r="AA749" s="816" t="s">
        <v>9570</v>
      </c>
      <c r="AB749" s="816" t="s">
        <v>9597</v>
      </c>
      <c r="AC749" s="816"/>
      <c r="AD749" s="816"/>
      <c r="AE749" s="816"/>
      <c r="AF749" s="816"/>
      <c r="AG749" s="816"/>
      <c r="AI749" s="816"/>
      <c r="AK749" s="816"/>
      <c r="AM749" s="816"/>
    </row>
    <row r="750" spans="1:39" x14ac:dyDescent="0.25">
      <c r="A750" s="265">
        <v>44176</v>
      </c>
      <c r="B750">
        <v>5</v>
      </c>
      <c r="C750" s="816" t="s">
        <v>1</v>
      </c>
      <c r="D750">
        <v>534</v>
      </c>
      <c r="E750" s="816" t="s">
        <v>9533</v>
      </c>
      <c r="F750" s="816" t="s">
        <v>25</v>
      </c>
      <c r="G750" s="816" t="s">
        <v>9547</v>
      </c>
      <c r="H750">
        <v>12</v>
      </c>
      <c r="I750" s="816" t="s">
        <v>9550</v>
      </c>
      <c r="J750" s="816" t="s">
        <v>21</v>
      </c>
      <c r="K750" s="817">
        <v>0.13848379629629629</v>
      </c>
      <c r="L750" s="817">
        <v>0.20515046296296294</v>
      </c>
      <c r="M750" s="817"/>
      <c r="N750" s="817"/>
      <c r="O750" s="817">
        <v>0.46738425925925925</v>
      </c>
      <c r="P750" s="817">
        <v>0.72960648148148144</v>
      </c>
      <c r="Q750" s="817"/>
      <c r="R750" s="816"/>
      <c r="S750" s="817"/>
      <c r="T750" s="817"/>
      <c r="U750" s="816" t="s">
        <v>9551</v>
      </c>
      <c r="V750" s="816" t="s">
        <v>9551</v>
      </c>
      <c r="W750" s="267"/>
      <c r="X750" s="816" t="s">
        <v>26</v>
      </c>
      <c r="Y750">
        <v>15.7</v>
      </c>
      <c r="Z750">
        <v>21.1</v>
      </c>
      <c r="AA750" s="816" t="s">
        <v>9571</v>
      </c>
      <c r="AB750" s="816" t="s">
        <v>9598</v>
      </c>
      <c r="AC750" s="816"/>
      <c r="AD750" s="816"/>
      <c r="AE750" s="816"/>
      <c r="AF750" s="816" t="s">
        <v>72</v>
      </c>
      <c r="AG750" s="816" t="s">
        <v>70</v>
      </c>
      <c r="AH750">
        <v>-1</v>
      </c>
      <c r="AI750" s="816"/>
      <c r="AK750" s="816"/>
      <c r="AM750" s="816"/>
    </row>
    <row r="751" spans="1:39" x14ac:dyDescent="0.25">
      <c r="A751" s="265">
        <v>44177</v>
      </c>
      <c r="B751">
        <v>6</v>
      </c>
      <c r="C751" s="816" t="s">
        <v>2</v>
      </c>
      <c r="D751">
        <v>534</v>
      </c>
      <c r="E751" s="816" t="s">
        <v>9533</v>
      </c>
      <c r="F751" s="816" t="s">
        <v>25</v>
      </c>
      <c r="G751" s="816" t="s">
        <v>9547</v>
      </c>
      <c r="H751">
        <v>13</v>
      </c>
      <c r="I751" s="816" t="s">
        <v>8</v>
      </c>
      <c r="J751" s="816" t="s">
        <v>8</v>
      </c>
      <c r="K751" s="817">
        <v>0.13877314814814815</v>
      </c>
      <c r="L751" s="817">
        <v>0.2054398148148148</v>
      </c>
      <c r="M751" s="817">
        <v>0.20486111111111113</v>
      </c>
      <c r="N751" s="817">
        <v>0.37986111111111115</v>
      </c>
      <c r="O751" s="817">
        <v>0.46770833333333334</v>
      </c>
      <c r="P751" s="817">
        <v>0.72996527777777775</v>
      </c>
      <c r="Q751" s="817"/>
      <c r="R751" s="816"/>
      <c r="S751" s="817"/>
      <c r="T751" s="817"/>
      <c r="U751" s="816" t="s">
        <v>9551</v>
      </c>
      <c r="V751" s="816" t="s">
        <v>9551</v>
      </c>
      <c r="W751" s="267"/>
      <c r="X751" s="816" t="s">
        <v>26</v>
      </c>
      <c r="Y751">
        <v>30.4</v>
      </c>
      <c r="Z751">
        <v>32</v>
      </c>
      <c r="AA751" s="816" t="s">
        <v>9572</v>
      </c>
      <c r="AB751" s="816" t="s">
        <v>9600</v>
      </c>
      <c r="AC751" s="816"/>
      <c r="AD751" s="816"/>
      <c r="AE751" s="816"/>
      <c r="AF751" s="816"/>
      <c r="AG751" s="816"/>
      <c r="AI751" s="816"/>
      <c r="AK751" s="816"/>
      <c r="AM751" s="816"/>
    </row>
    <row r="752" spans="1:39" x14ac:dyDescent="0.25">
      <c r="A752" s="265">
        <v>44178</v>
      </c>
      <c r="B752">
        <v>0</v>
      </c>
      <c r="C752" s="816" t="s">
        <v>3</v>
      </c>
      <c r="D752">
        <v>534</v>
      </c>
      <c r="E752" s="816" t="s">
        <v>9533</v>
      </c>
      <c r="F752" s="816" t="s">
        <v>25</v>
      </c>
      <c r="G752" s="816" t="s">
        <v>9547</v>
      </c>
      <c r="H752">
        <v>14</v>
      </c>
      <c r="I752" s="816" t="s">
        <v>9</v>
      </c>
      <c r="J752" s="816" t="s">
        <v>9</v>
      </c>
      <c r="K752" s="817">
        <v>0.13907407407407407</v>
      </c>
      <c r="L752" s="817">
        <v>0.20574074074074075</v>
      </c>
      <c r="M752" s="817"/>
      <c r="N752" s="817"/>
      <c r="O752" s="817">
        <v>0.46803240740740742</v>
      </c>
      <c r="P752" s="817">
        <v>0.73032407407407407</v>
      </c>
      <c r="Q752" s="817"/>
      <c r="R752" s="816"/>
      <c r="S752" s="817"/>
      <c r="T752" s="817"/>
      <c r="U752" s="816" t="s">
        <v>9551</v>
      </c>
      <c r="V752" s="816" t="s">
        <v>9551</v>
      </c>
      <c r="W752" s="267"/>
      <c r="X752" s="816" t="s">
        <v>26</v>
      </c>
      <c r="Y752">
        <v>45.7</v>
      </c>
      <c r="Z752">
        <v>43.3</v>
      </c>
      <c r="AA752" s="816" t="s">
        <v>9573</v>
      </c>
      <c r="AB752" s="816" t="s">
        <v>9601</v>
      </c>
      <c r="AC752" s="816"/>
      <c r="AD752" s="816"/>
      <c r="AE752" s="816"/>
      <c r="AF752" s="816"/>
      <c r="AG752" s="816"/>
      <c r="AI752" s="816"/>
      <c r="AK752" s="816"/>
      <c r="AM752" s="816"/>
    </row>
    <row r="753" spans="1:39" x14ac:dyDescent="0.25">
      <c r="A753" s="265">
        <v>44179</v>
      </c>
      <c r="B753">
        <v>1</v>
      </c>
      <c r="C753" s="816" t="s">
        <v>4</v>
      </c>
      <c r="D753">
        <v>534</v>
      </c>
      <c r="E753" s="816" t="s">
        <v>9533</v>
      </c>
      <c r="F753" s="816" t="s">
        <v>25</v>
      </c>
      <c r="G753" s="816" t="s">
        <v>9547</v>
      </c>
      <c r="H753">
        <v>15</v>
      </c>
      <c r="I753" s="816" t="s">
        <v>22</v>
      </c>
      <c r="J753" s="816" t="s">
        <v>22</v>
      </c>
      <c r="K753" s="817">
        <v>0.139375</v>
      </c>
      <c r="L753" s="817">
        <v>0.20604166666666668</v>
      </c>
      <c r="M753" s="817"/>
      <c r="N753" s="817"/>
      <c r="O753" s="817">
        <v>0.46835648148148151</v>
      </c>
      <c r="P753" s="817">
        <v>0.73068287037037039</v>
      </c>
      <c r="Q753" s="817"/>
      <c r="R753" s="816"/>
      <c r="S753" s="817"/>
      <c r="T753" s="817"/>
      <c r="U753" s="816" t="s">
        <v>9551</v>
      </c>
      <c r="V753" s="816" t="s">
        <v>9551</v>
      </c>
      <c r="W753" s="267"/>
      <c r="X753" s="816" t="s">
        <v>26</v>
      </c>
      <c r="Y753">
        <v>60.3</v>
      </c>
      <c r="Z753">
        <v>54.2</v>
      </c>
      <c r="AA753" s="816" t="s">
        <v>9574</v>
      </c>
      <c r="AB753" s="816" t="s">
        <v>9602</v>
      </c>
      <c r="AC753" s="816"/>
      <c r="AD753" s="816"/>
      <c r="AE753" s="816"/>
      <c r="AF753" s="816"/>
      <c r="AG753" s="816"/>
      <c r="AI753" s="816"/>
      <c r="AK753" s="816"/>
      <c r="AM753" s="816"/>
    </row>
    <row r="754" spans="1:39" x14ac:dyDescent="0.25">
      <c r="A754" s="265">
        <v>44180</v>
      </c>
      <c r="B754">
        <v>2</v>
      </c>
      <c r="C754" s="816" t="s">
        <v>5</v>
      </c>
      <c r="D754">
        <v>534</v>
      </c>
      <c r="E754" s="816" t="s">
        <v>9533</v>
      </c>
      <c r="F754" s="816" t="s">
        <v>24</v>
      </c>
      <c r="G754" s="816" t="s">
        <v>9546</v>
      </c>
      <c r="H754">
        <v>16</v>
      </c>
      <c r="I754" s="816" t="s">
        <v>11</v>
      </c>
      <c r="J754" s="816" t="s">
        <v>11</v>
      </c>
      <c r="K754" s="817">
        <v>0.13968749999999999</v>
      </c>
      <c r="L754" s="817">
        <v>0.20635416666666664</v>
      </c>
      <c r="M754" s="817"/>
      <c r="N754" s="817"/>
      <c r="O754" s="817">
        <v>0.46869212962962964</v>
      </c>
      <c r="P754" s="817">
        <v>0.7310416666666667</v>
      </c>
      <c r="Q754" s="817"/>
      <c r="R754" s="816"/>
      <c r="S754" s="817"/>
      <c r="T754" s="817"/>
      <c r="U754" s="816" t="s">
        <v>9551</v>
      </c>
      <c r="V754" s="816" t="s">
        <v>9551</v>
      </c>
      <c r="W754" s="267"/>
      <c r="X754" s="816" t="s">
        <v>26</v>
      </c>
      <c r="Y754">
        <v>73.5</v>
      </c>
      <c r="Z754">
        <v>63.6</v>
      </c>
      <c r="AA754" s="816" t="s">
        <v>9575</v>
      </c>
      <c r="AB754" s="816" t="s">
        <v>9603</v>
      </c>
      <c r="AC754" s="816"/>
      <c r="AD754" s="816"/>
      <c r="AE754" s="816"/>
      <c r="AF754" s="816"/>
      <c r="AG754" s="816"/>
      <c r="AI754" s="816"/>
      <c r="AK754" s="816"/>
      <c r="AM754" s="816"/>
    </row>
    <row r="755" spans="1:39" x14ac:dyDescent="0.25">
      <c r="A755" s="265">
        <v>44181</v>
      </c>
      <c r="B755">
        <v>3</v>
      </c>
      <c r="C755" s="816" t="s">
        <v>6</v>
      </c>
      <c r="D755">
        <v>534</v>
      </c>
      <c r="E755" s="816" t="s">
        <v>9533</v>
      </c>
      <c r="F755" s="816" t="s">
        <v>24</v>
      </c>
      <c r="G755" s="816" t="s">
        <v>9546</v>
      </c>
      <c r="H755">
        <v>17</v>
      </c>
      <c r="I755" s="816" t="s">
        <v>12</v>
      </c>
      <c r="J755" s="816" t="s">
        <v>12</v>
      </c>
      <c r="K755" s="817">
        <v>0.13999999999999999</v>
      </c>
      <c r="L755" s="817">
        <v>0.20666666666666667</v>
      </c>
      <c r="M755" s="817"/>
      <c r="N755" s="817"/>
      <c r="O755" s="817">
        <v>0.46902777777777777</v>
      </c>
      <c r="P755" s="817">
        <v>0.73140046296296291</v>
      </c>
      <c r="Q755" s="817">
        <v>0.53722222222222216</v>
      </c>
      <c r="R755" s="816" t="s">
        <v>73</v>
      </c>
      <c r="S755" s="817"/>
      <c r="T755" s="817"/>
      <c r="U755" s="816" t="s">
        <v>9551</v>
      </c>
      <c r="V755" s="816" t="s">
        <v>9551</v>
      </c>
      <c r="W755" s="267"/>
      <c r="X755" s="816" t="s">
        <v>26</v>
      </c>
      <c r="Y755">
        <v>84.2</v>
      </c>
      <c r="Z755">
        <v>70.900000000000006</v>
      </c>
      <c r="AA755" s="816" t="s">
        <v>9576</v>
      </c>
      <c r="AB755" s="816" t="s">
        <v>9579</v>
      </c>
      <c r="AC755" s="816"/>
      <c r="AD755" s="816"/>
      <c r="AE755" s="816"/>
      <c r="AF755" s="816"/>
      <c r="AG755" s="816"/>
      <c r="AI755" s="816"/>
      <c r="AK755" s="816"/>
      <c r="AM755" s="816"/>
    </row>
    <row r="756" spans="1:39" x14ac:dyDescent="0.25">
      <c r="A756" s="265">
        <v>44182</v>
      </c>
      <c r="B756">
        <v>4</v>
      </c>
      <c r="C756" s="816" t="s">
        <v>7</v>
      </c>
      <c r="D756">
        <v>534</v>
      </c>
      <c r="E756" s="816" t="s">
        <v>9533</v>
      </c>
      <c r="F756" s="816" t="s">
        <v>24</v>
      </c>
      <c r="G756" s="816" t="s">
        <v>9546</v>
      </c>
      <c r="H756">
        <v>18</v>
      </c>
      <c r="I756" s="816" t="s">
        <v>23</v>
      </c>
      <c r="J756" s="816" t="s">
        <v>23</v>
      </c>
      <c r="K756" s="817">
        <v>0.14032407407407407</v>
      </c>
      <c r="L756" s="817">
        <v>0.20699074074074075</v>
      </c>
      <c r="M756" s="817"/>
      <c r="N756" s="817"/>
      <c r="O756" s="817">
        <v>0.46937500000000004</v>
      </c>
      <c r="P756" s="817">
        <v>0.73175925925925922</v>
      </c>
      <c r="Q756" s="817"/>
      <c r="R756" s="816"/>
      <c r="S756" s="817"/>
      <c r="T756" s="817"/>
      <c r="U756" s="816" t="s">
        <v>9551</v>
      </c>
      <c r="V756" s="816" t="s">
        <v>9551</v>
      </c>
      <c r="W756" s="267"/>
      <c r="X756" s="816" t="s">
        <v>26</v>
      </c>
      <c r="Y756">
        <v>91.8</v>
      </c>
      <c r="Z756">
        <v>75.3</v>
      </c>
      <c r="AA756" s="816" t="s">
        <v>9577</v>
      </c>
      <c r="AB756" s="816" t="s">
        <v>9580</v>
      </c>
      <c r="AC756" s="816"/>
      <c r="AD756" s="816"/>
      <c r="AE756" s="816"/>
      <c r="AF756" s="816"/>
      <c r="AG756" s="816"/>
      <c r="AI756" s="816"/>
      <c r="AK756" s="816"/>
      <c r="AM756" s="816"/>
    </row>
    <row r="757" spans="1:39" x14ac:dyDescent="0.25">
      <c r="A757" s="265">
        <v>44183</v>
      </c>
      <c r="B757">
        <v>5</v>
      </c>
      <c r="C757" s="816" t="s">
        <v>1</v>
      </c>
      <c r="D757">
        <v>534</v>
      </c>
      <c r="E757" s="816" t="s">
        <v>9533</v>
      </c>
      <c r="F757" s="816" t="s">
        <v>24</v>
      </c>
      <c r="G757" s="816" t="s">
        <v>9546</v>
      </c>
      <c r="H757">
        <v>19</v>
      </c>
      <c r="I757" s="816" t="s">
        <v>13</v>
      </c>
      <c r="J757" s="816" t="s">
        <v>13</v>
      </c>
      <c r="K757" s="817">
        <v>0.14064814814814816</v>
      </c>
      <c r="L757" s="817">
        <v>0.20731481481481481</v>
      </c>
      <c r="M757" s="817"/>
      <c r="N757" s="817"/>
      <c r="O757" s="817">
        <v>0.46971064814814811</v>
      </c>
      <c r="P757" s="817">
        <v>0.73210648148148139</v>
      </c>
      <c r="Q757" s="817"/>
      <c r="R757" s="816"/>
      <c r="S757" s="817"/>
      <c r="T757" s="817"/>
      <c r="U757" s="816" t="s">
        <v>9551</v>
      </c>
      <c r="V757" s="816" t="s">
        <v>9551</v>
      </c>
      <c r="W757" s="267"/>
      <c r="X757" s="816" t="s">
        <v>26</v>
      </c>
      <c r="Y757">
        <v>96</v>
      </c>
      <c r="Z757">
        <v>76.7</v>
      </c>
      <c r="AA757" s="816" t="s">
        <v>9552</v>
      </c>
      <c r="AB757" s="816" t="s">
        <v>9581</v>
      </c>
      <c r="AC757" s="816"/>
      <c r="AD757" s="816"/>
      <c r="AE757" s="816"/>
      <c r="AF757" s="816"/>
      <c r="AG757" s="816"/>
      <c r="AI757" s="816"/>
      <c r="AK757" s="816"/>
      <c r="AM757" s="816"/>
    </row>
    <row r="758" spans="1:39" x14ac:dyDescent="0.25">
      <c r="A758" s="265">
        <v>44184</v>
      </c>
      <c r="B758">
        <v>6</v>
      </c>
      <c r="C758" s="816" t="s">
        <v>2</v>
      </c>
      <c r="D758">
        <v>534</v>
      </c>
      <c r="E758" s="816" t="s">
        <v>9533</v>
      </c>
      <c r="F758" s="816" t="s">
        <v>24</v>
      </c>
      <c r="G758" s="816" t="s">
        <v>9546</v>
      </c>
      <c r="H758">
        <v>20</v>
      </c>
      <c r="I758" s="816" t="s">
        <v>14</v>
      </c>
      <c r="J758" s="816" t="s">
        <v>14</v>
      </c>
      <c r="K758" s="817">
        <v>0.14098379629629629</v>
      </c>
      <c r="L758" s="817">
        <v>0.20765046296296297</v>
      </c>
      <c r="M758" s="817"/>
      <c r="N758" s="817"/>
      <c r="O758" s="817">
        <v>0.47005787037037039</v>
      </c>
      <c r="P758" s="817">
        <v>0.7324652777777777</v>
      </c>
      <c r="Q758" s="817"/>
      <c r="R758" s="816"/>
      <c r="S758" s="817"/>
      <c r="T758" s="817"/>
      <c r="U758" s="816" t="s">
        <v>9551</v>
      </c>
      <c r="V758" s="816" t="s">
        <v>9551</v>
      </c>
      <c r="W758" s="267"/>
      <c r="X758" s="816" t="s">
        <v>26</v>
      </c>
      <c r="Y758">
        <v>96.7</v>
      </c>
      <c r="Z758">
        <v>75.099999999999994</v>
      </c>
      <c r="AA758" s="816" t="s">
        <v>9553</v>
      </c>
      <c r="AB758" s="816" t="s">
        <v>9583</v>
      </c>
      <c r="AC758" s="816"/>
      <c r="AD758" s="816"/>
      <c r="AE758" s="816"/>
      <c r="AF758" s="816"/>
      <c r="AG758" s="816"/>
      <c r="AI758" s="816"/>
      <c r="AK758" s="816"/>
      <c r="AM758" s="816"/>
    </row>
    <row r="759" spans="1:39" x14ac:dyDescent="0.25">
      <c r="A759" s="265">
        <v>44185</v>
      </c>
      <c r="B759">
        <v>0</v>
      </c>
      <c r="C759" s="816" t="s">
        <v>3</v>
      </c>
      <c r="D759">
        <v>534</v>
      </c>
      <c r="E759" s="816" t="s">
        <v>9533</v>
      </c>
      <c r="F759" s="816" t="s">
        <v>24</v>
      </c>
      <c r="G759" s="816" t="s">
        <v>9546</v>
      </c>
      <c r="H759">
        <v>21</v>
      </c>
      <c r="I759" s="816" t="s">
        <v>15</v>
      </c>
      <c r="J759" s="816" t="s">
        <v>15</v>
      </c>
      <c r="K759" s="817">
        <v>0.14131944444444444</v>
      </c>
      <c r="L759" s="817">
        <v>0.20798611111111112</v>
      </c>
      <c r="M759" s="817"/>
      <c r="N759" s="817"/>
      <c r="O759" s="817">
        <v>0.47039351851851857</v>
      </c>
      <c r="P759" s="817">
        <v>0.73281249999999998</v>
      </c>
      <c r="Q759" s="817"/>
      <c r="R759" s="816"/>
      <c r="S759" s="817"/>
      <c r="T759" s="817"/>
      <c r="U759" s="816" t="s">
        <v>9551</v>
      </c>
      <c r="V759" s="816" t="s">
        <v>9551</v>
      </c>
      <c r="W759" s="267"/>
      <c r="X759" s="816" t="s">
        <v>26</v>
      </c>
      <c r="Y759">
        <v>94.3</v>
      </c>
      <c r="Z759">
        <v>70.5</v>
      </c>
      <c r="AA759" s="816" t="s">
        <v>9554</v>
      </c>
      <c r="AB759" s="816" t="s">
        <v>9584</v>
      </c>
      <c r="AC759" s="816"/>
      <c r="AD759" s="816"/>
      <c r="AE759" s="816"/>
      <c r="AF759" s="816"/>
      <c r="AG759" s="816"/>
      <c r="AI759" s="816"/>
      <c r="AK759" s="816"/>
      <c r="AM759" s="816"/>
    </row>
    <row r="760" spans="1:39" x14ac:dyDescent="0.25">
      <c r="A760" s="265">
        <v>44186</v>
      </c>
      <c r="B760">
        <v>1</v>
      </c>
      <c r="C760" s="816" t="s">
        <v>4</v>
      </c>
      <c r="D760">
        <v>534</v>
      </c>
      <c r="E760" s="816" t="s">
        <v>9533</v>
      </c>
      <c r="F760" s="816" t="s">
        <v>24</v>
      </c>
      <c r="G760" s="816" t="s">
        <v>9546</v>
      </c>
      <c r="H760">
        <v>22</v>
      </c>
      <c r="I760" s="816" t="s">
        <v>16</v>
      </c>
      <c r="J760" s="816" t="s">
        <v>16</v>
      </c>
      <c r="K760" s="817">
        <v>0.14166666666666666</v>
      </c>
      <c r="L760" s="817">
        <v>0.20833333333333334</v>
      </c>
      <c r="M760" s="817"/>
      <c r="N760" s="817"/>
      <c r="O760" s="817">
        <v>0.47074074074074074</v>
      </c>
      <c r="P760" s="817">
        <v>0.73315972222222225</v>
      </c>
      <c r="Q760" s="817"/>
      <c r="R760" s="816"/>
      <c r="S760" s="817"/>
      <c r="T760" s="817"/>
      <c r="U760" s="816" t="s">
        <v>9551</v>
      </c>
      <c r="V760" s="816" t="s">
        <v>9551</v>
      </c>
      <c r="W760" s="267"/>
      <c r="X760" s="816" t="s">
        <v>26</v>
      </c>
      <c r="Y760">
        <v>89.1</v>
      </c>
      <c r="Z760">
        <v>63.5</v>
      </c>
      <c r="AA760" s="816" t="s">
        <v>9555</v>
      </c>
      <c r="AB760" s="816" t="s">
        <v>9585</v>
      </c>
      <c r="AC760" s="816"/>
      <c r="AD760" s="816"/>
      <c r="AE760" s="816"/>
      <c r="AF760" s="816"/>
      <c r="AG760" s="816"/>
      <c r="AI760" s="816"/>
      <c r="AK760" s="816"/>
      <c r="AM760" s="816"/>
    </row>
    <row r="761" spans="1:39" x14ac:dyDescent="0.25">
      <c r="A761" s="265">
        <v>44187</v>
      </c>
      <c r="B761">
        <v>2</v>
      </c>
      <c r="C761" s="816" t="s">
        <v>5</v>
      </c>
      <c r="D761">
        <v>534</v>
      </c>
      <c r="E761" s="816" t="s">
        <v>9533</v>
      </c>
      <c r="F761" s="816" t="s">
        <v>24</v>
      </c>
      <c r="G761" s="816" t="s">
        <v>9546</v>
      </c>
      <c r="H761">
        <v>23</v>
      </c>
      <c r="I761" s="816" t="s">
        <v>17</v>
      </c>
      <c r="J761" s="816" t="s">
        <v>17</v>
      </c>
      <c r="K761" s="817">
        <v>0.14201388888888888</v>
      </c>
      <c r="L761" s="817">
        <v>0.20868055555555556</v>
      </c>
      <c r="M761" s="817"/>
      <c r="N761" s="817"/>
      <c r="O761" s="817">
        <v>0.47108796296296296</v>
      </c>
      <c r="P761" s="817">
        <v>0.73349537037037038</v>
      </c>
      <c r="Q761" s="817"/>
      <c r="R761" s="816"/>
      <c r="S761" s="817"/>
      <c r="T761" s="817"/>
      <c r="U761" s="816" t="s">
        <v>9551</v>
      </c>
      <c r="V761" s="816" t="s">
        <v>9551</v>
      </c>
      <c r="W761" s="267"/>
      <c r="X761" s="816" t="s">
        <v>26</v>
      </c>
      <c r="Y761">
        <v>81.8</v>
      </c>
      <c r="Z761">
        <v>54.6</v>
      </c>
      <c r="AA761" s="816" t="s">
        <v>9556</v>
      </c>
      <c r="AB761" s="816" t="s">
        <v>9586</v>
      </c>
      <c r="AC761" s="816"/>
      <c r="AD761" s="816"/>
      <c r="AE761" s="816"/>
      <c r="AF761" s="816"/>
      <c r="AG761" s="816"/>
      <c r="AI761" s="816"/>
      <c r="AK761" s="816"/>
      <c r="AM761" s="816"/>
    </row>
    <row r="762" spans="1:39" x14ac:dyDescent="0.25">
      <c r="A762" s="265">
        <v>44188</v>
      </c>
      <c r="B762">
        <v>3</v>
      </c>
      <c r="C762" s="816" t="s">
        <v>6</v>
      </c>
      <c r="D762">
        <v>534</v>
      </c>
      <c r="E762" s="816" t="s">
        <v>9533</v>
      </c>
      <c r="F762" s="816" t="s">
        <v>24</v>
      </c>
      <c r="G762" s="816" t="s">
        <v>9546</v>
      </c>
      <c r="H762">
        <v>24</v>
      </c>
      <c r="I762" s="816" t="s">
        <v>18</v>
      </c>
      <c r="J762" s="816" t="s">
        <v>18</v>
      </c>
      <c r="K762" s="817">
        <v>0.1423611111111111</v>
      </c>
      <c r="L762" s="817">
        <v>0.20902777777777778</v>
      </c>
      <c r="M762" s="817"/>
      <c r="N762" s="817"/>
      <c r="O762" s="817">
        <v>0.47143518518518518</v>
      </c>
      <c r="P762" s="817">
        <v>0.73383101851851851</v>
      </c>
      <c r="Q762" s="817"/>
      <c r="R762" s="816"/>
      <c r="S762" s="817"/>
      <c r="T762" s="817"/>
      <c r="U762" s="816" t="s">
        <v>9551</v>
      </c>
      <c r="V762" s="816" t="s">
        <v>9551</v>
      </c>
      <c r="W762" s="267"/>
      <c r="X762" s="816" t="s">
        <v>26</v>
      </c>
      <c r="Y762">
        <v>72.900000000000006</v>
      </c>
      <c r="Z762">
        <v>44.2</v>
      </c>
      <c r="AA762" s="816" t="s">
        <v>9557</v>
      </c>
      <c r="AB762" s="816" t="s">
        <v>9604</v>
      </c>
      <c r="AC762" s="816"/>
      <c r="AD762" s="816"/>
      <c r="AE762" s="816"/>
      <c r="AF762" s="816"/>
      <c r="AG762" s="816"/>
      <c r="AI762" s="816"/>
      <c r="AK762" s="816"/>
      <c r="AM762" s="816"/>
    </row>
    <row r="763" spans="1:39" x14ac:dyDescent="0.25">
      <c r="A763" s="265">
        <v>44189</v>
      </c>
      <c r="B763">
        <v>4</v>
      </c>
      <c r="C763" s="816" t="s">
        <v>7</v>
      </c>
      <c r="D763">
        <v>534</v>
      </c>
      <c r="E763" s="816" t="s">
        <v>9533</v>
      </c>
      <c r="F763" s="816" t="s">
        <v>24</v>
      </c>
      <c r="G763" s="816" t="s">
        <v>9546</v>
      </c>
      <c r="H763">
        <v>25</v>
      </c>
      <c r="I763" s="816" t="s">
        <v>19</v>
      </c>
      <c r="J763" s="816" t="s">
        <v>19</v>
      </c>
      <c r="K763" s="817">
        <v>0.14271990740740739</v>
      </c>
      <c r="L763" s="817">
        <v>0.2093865740740741</v>
      </c>
      <c r="M763" s="817"/>
      <c r="N763" s="817"/>
      <c r="O763" s="817">
        <v>0.47177083333333331</v>
      </c>
      <c r="P763" s="817">
        <v>0.73416666666666675</v>
      </c>
      <c r="Q763" s="817"/>
      <c r="R763" s="816"/>
      <c r="S763" s="817"/>
      <c r="T763" s="817"/>
      <c r="U763" s="816" t="s">
        <v>9551</v>
      </c>
      <c r="V763" s="816" t="s">
        <v>9551</v>
      </c>
      <c r="W763" s="267"/>
      <c r="X763" s="816" t="s">
        <v>26</v>
      </c>
      <c r="Y763">
        <v>63.2</v>
      </c>
      <c r="Z763">
        <v>33.1</v>
      </c>
      <c r="AA763" s="816" t="s">
        <v>9558</v>
      </c>
      <c r="AB763" s="816" t="s">
        <v>9604</v>
      </c>
      <c r="AC763" s="816"/>
      <c r="AD763" s="816"/>
      <c r="AE763" s="816"/>
      <c r="AF763" s="816"/>
      <c r="AG763" s="816"/>
      <c r="AI763" s="816"/>
      <c r="AK763" s="816"/>
      <c r="AM763" s="816"/>
    </row>
    <row r="764" spans="1:39" x14ac:dyDescent="0.25">
      <c r="A764" s="265">
        <v>44190</v>
      </c>
      <c r="B764">
        <v>5</v>
      </c>
      <c r="C764" s="816" t="s">
        <v>1</v>
      </c>
      <c r="D764">
        <v>534</v>
      </c>
      <c r="E764" s="816" t="s">
        <v>9533</v>
      </c>
      <c r="F764" s="816" t="s">
        <v>24</v>
      </c>
      <c r="G764" s="816" t="s">
        <v>9546</v>
      </c>
      <c r="H764">
        <v>26</v>
      </c>
      <c r="I764" s="816" t="s">
        <v>9548</v>
      </c>
      <c r="J764" s="816" t="s">
        <v>20</v>
      </c>
      <c r="K764" s="817">
        <v>0.14306712962962961</v>
      </c>
      <c r="L764" s="817">
        <v>0.20973379629629629</v>
      </c>
      <c r="M764" s="817"/>
      <c r="N764" s="817"/>
      <c r="O764" s="817">
        <v>0.47211805555555553</v>
      </c>
      <c r="P764" s="817">
        <v>0.73450231481481476</v>
      </c>
      <c r="Q764" s="817"/>
      <c r="R764" s="816"/>
      <c r="S764" s="817"/>
      <c r="T764" s="817"/>
      <c r="U764" s="816" t="s">
        <v>9551</v>
      </c>
      <c r="V764" s="816" t="s">
        <v>9551</v>
      </c>
      <c r="W764" s="267"/>
      <c r="X764" s="816" t="s">
        <v>26</v>
      </c>
      <c r="Y764">
        <v>53.3</v>
      </c>
      <c r="Z764">
        <v>21.8</v>
      </c>
      <c r="AA764" s="816" t="s">
        <v>9578</v>
      </c>
      <c r="AB764" s="816" t="s">
        <v>9587</v>
      </c>
      <c r="AC764" s="816"/>
      <c r="AD764" s="816"/>
      <c r="AE764" s="816"/>
      <c r="AF764" s="816" t="s">
        <v>72</v>
      </c>
      <c r="AG764" s="816" t="s">
        <v>71</v>
      </c>
      <c r="AH764">
        <v>-1</v>
      </c>
      <c r="AI764" s="816"/>
      <c r="AK764" s="816"/>
      <c r="AM764" s="816"/>
    </row>
    <row r="765" spans="1:39" x14ac:dyDescent="0.25">
      <c r="A765" s="265">
        <v>44191</v>
      </c>
      <c r="B765">
        <v>6</v>
      </c>
      <c r="C765" s="816" t="s">
        <v>2</v>
      </c>
      <c r="D765">
        <v>534</v>
      </c>
      <c r="E765" s="816" t="s">
        <v>9533</v>
      </c>
      <c r="F765" s="816" t="s">
        <v>24</v>
      </c>
      <c r="G765" s="816" t="s">
        <v>9546</v>
      </c>
      <c r="H765">
        <v>27</v>
      </c>
      <c r="I765" s="816" t="s">
        <v>21</v>
      </c>
      <c r="J765" s="816" t="s">
        <v>21</v>
      </c>
      <c r="K765" s="817">
        <v>0.1434375</v>
      </c>
      <c r="L765" s="817">
        <v>0.21010416666666668</v>
      </c>
      <c r="M765" s="817">
        <v>0.20972222222222223</v>
      </c>
      <c r="N765" s="817">
        <v>0.38472222222222219</v>
      </c>
      <c r="O765" s="817">
        <v>0.4724652777777778</v>
      </c>
      <c r="P765" s="817">
        <v>0.73482638888888896</v>
      </c>
      <c r="Q765" s="817"/>
      <c r="R765" s="816"/>
      <c r="S765" s="817"/>
      <c r="T765" s="817"/>
      <c r="U765" s="816" t="s">
        <v>9551</v>
      </c>
      <c r="V765" s="816" t="s">
        <v>9551</v>
      </c>
      <c r="W765" s="267"/>
      <c r="X765" s="816" t="s">
        <v>26</v>
      </c>
      <c r="Y765">
        <v>43.8</v>
      </c>
      <c r="Z765">
        <v>10.9</v>
      </c>
      <c r="AA765" s="816" t="s">
        <v>9559</v>
      </c>
      <c r="AB765" s="816" t="s">
        <v>9588</v>
      </c>
      <c r="AC765" s="816"/>
      <c r="AD765" s="816"/>
      <c r="AE765" s="816"/>
      <c r="AF765" s="816"/>
      <c r="AG765" s="816"/>
      <c r="AI765" s="816"/>
      <c r="AK765" s="816"/>
      <c r="AM765" s="816"/>
    </row>
    <row r="766" spans="1:39" x14ac:dyDescent="0.25">
      <c r="A766" s="265">
        <v>44192</v>
      </c>
      <c r="B766">
        <v>0</v>
      </c>
      <c r="C766" s="816" t="s">
        <v>3</v>
      </c>
      <c r="D766">
        <v>534</v>
      </c>
      <c r="E766" s="816" t="s">
        <v>9533</v>
      </c>
      <c r="F766" s="816" t="s">
        <v>24</v>
      </c>
      <c r="G766" s="816" t="s">
        <v>9546</v>
      </c>
      <c r="H766">
        <v>28</v>
      </c>
      <c r="I766" s="816" t="s">
        <v>8</v>
      </c>
      <c r="J766" s="816" t="s">
        <v>8</v>
      </c>
      <c r="K766" s="817">
        <v>0.14379629629629628</v>
      </c>
      <c r="L766" s="817">
        <v>0.21046296296296296</v>
      </c>
      <c r="M766" s="817"/>
      <c r="N766" s="817"/>
      <c r="O766" s="817">
        <v>0.47280092592592587</v>
      </c>
      <c r="P766" s="817">
        <v>0.7351388888888889</v>
      </c>
      <c r="Q766" s="817"/>
      <c r="R766" s="816"/>
      <c r="S766" s="817"/>
      <c r="T766" s="817"/>
      <c r="U766" s="816" t="s">
        <v>9551</v>
      </c>
      <c r="V766" s="816" t="s">
        <v>9551</v>
      </c>
      <c r="W766" s="267"/>
      <c r="X766" s="816" t="s">
        <v>26</v>
      </c>
      <c r="Y766">
        <v>35.200000000000003</v>
      </c>
      <c r="Z766">
        <v>0.8</v>
      </c>
      <c r="AA766" s="816" t="s">
        <v>9560</v>
      </c>
      <c r="AB766" s="816" t="s">
        <v>9589</v>
      </c>
      <c r="AC766" s="816"/>
      <c r="AD766" s="816"/>
      <c r="AE766" s="816"/>
      <c r="AF766" s="816"/>
      <c r="AG766" s="816"/>
      <c r="AI766" s="816"/>
      <c r="AK766" s="816"/>
      <c r="AM766" s="816"/>
    </row>
    <row r="767" spans="1:39" x14ac:dyDescent="0.25">
      <c r="A767" s="265">
        <v>44193</v>
      </c>
      <c r="B767">
        <v>1</v>
      </c>
      <c r="C767" s="816" t="s">
        <v>4</v>
      </c>
      <c r="D767">
        <v>534</v>
      </c>
      <c r="E767" s="816" t="s">
        <v>9533</v>
      </c>
      <c r="F767" s="816" t="s">
        <v>24</v>
      </c>
      <c r="G767" s="816" t="s">
        <v>9546</v>
      </c>
      <c r="H767">
        <v>29</v>
      </c>
      <c r="I767" s="816" t="s">
        <v>9</v>
      </c>
      <c r="J767" s="816" t="s">
        <v>9</v>
      </c>
      <c r="K767" s="817">
        <v>0.1441550925925926</v>
      </c>
      <c r="L767" s="817">
        <v>0.21082175925925925</v>
      </c>
      <c r="M767" s="817"/>
      <c r="N767" s="817"/>
      <c r="O767" s="817">
        <v>0.47313657407407406</v>
      </c>
      <c r="P767" s="817">
        <v>0.73545138888888895</v>
      </c>
      <c r="Q767" s="817"/>
      <c r="R767" s="816"/>
      <c r="S767" s="817"/>
      <c r="T767" s="817"/>
      <c r="U767" s="816" t="s">
        <v>9551</v>
      </c>
      <c r="V767" s="816" t="s">
        <v>9551</v>
      </c>
      <c r="W767" s="267"/>
      <c r="X767" s="816" t="s">
        <v>26</v>
      </c>
      <c r="Y767">
        <v>27.9</v>
      </c>
      <c r="Z767">
        <v>91.9</v>
      </c>
      <c r="AA767" s="816" t="s">
        <v>9560</v>
      </c>
      <c r="AB767" s="816" t="s">
        <v>9590</v>
      </c>
      <c r="AC767" s="816"/>
      <c r="AD767" s="816"/>
      <c r="AE767" s="816"/>
      <c r="AF767" s="816"/>
      <c r="AG767" s="816"/>
      <c r="AI767" s="816"/>
      <c r="AK767" s="816"/>
      <c r="AM767" s="816"/>
    </row>
    <row r="768" spans="1:39" x14ac:dyDescent="0.25">
      <c r="A768" s="265">
        <v>44194</v>
      </c>
      <c r="B768">
        <v>2</v>
      </c>
      <c r="C768" s="816" t="s">
        <v>5</v>
      </c>
      <c r="D768">
        <v>534</v>
      </c>
      <c r="E768" s="816" t="s">
        <v>9533</v>
      </c>
      <c r="F768" s="816" t="s">
        <v>24</v>
      </c>
      <c r="G768" s="816" t="s">
        <v>9546</v>
      </c>
      <c r="H768">
        <v>30</v>
      </c>
      <c r="I768" s="816" t="s">
        <v>10</v>
      </c>
      <c r="J768" s="816" t="s">
        <v>10</v>
      </c>
      <c r="K768" s="817">
        <v>0.14452546296296295</v>
      </c>
      <c r="L768" s="817">
        <v>0.21119212962962963</v>
      </c>
      <c r="M768" s="817"/>
      <c r="N768" s="817"/>
      <c r="O768" s="817">
        <v>0.47347222222222224</v>
      </c>
      <c r="P768" s="817">
        <v>0.73576388888888899</v>
      </c>
      <c r="Q768" s="817"/>
      <c r="R768" s="816"/>
      <c r="S768" s="817"/>
      <c r="T768" s="817"/>
      <c r="U768" s="816" t="s">
        <v>9551</v>
      </c>
      <c r="V768" s="816" t="s">
        <v>9551</v>
      </c>
      <c r="W768" s="267"/>
      <c r="X768" s="816" t="s">
        <v>26</v>
      </c>
      <c r="Y768">
        <v>22.2</v>
      </c>
      <c r="Z768">
        <v>84.5</v>
      </c>
      <c r="AA768" s="816" t="s">
        <v>9561</v>
      </c>
      <c r="AB768" s="816" t="s">
        <v>9591</v>
      </c>
      <c r="AC768" s="816"/>
      <c r="AD768" s="816"/>
      <c r="AE768" s="816"/>
      <c r="AF768" s="816"/>
      <c r="AG768" s="816"/>
      <c r="AI768" s="816"/>
      <c r="AK768" s="816"/>
      <c r="AM768" s="816"/>
    </row>
    <row r="769" spans="1:39" x14ac:dyDescent="0.25">
      <c r="A769" s="265">
        <v>44195</v>
      </c>
      <c r="B769">
        <v>3</v>
      </c>
      <c r="C769" s="816" t="s">
        <v>6</v>
      </c>
      <c r="D769">
        <v>534</v>
      </c>
      <c r="E769" s="816" t="s">
        <v>9534</v>
      </c>
      <c r="F769" s="816" t="s">
        <v>25</v>
      </c>
      <c r="G769" s="816" t="s">
        <v>9547</v>
      </c>
      <c r="H769">
        <v>1</v>
      </c>
      <c r="I769" s="816" t="s">
        <v>11</v>
      </c>
      <c r="J769" s="816" t="s">
        <v>11</v>
      </c>
      <c r="K769" s="817">
        <v>0.14489583333333333</v>
      </c>
      <c r="L769" s="817">
        <v>0.21156249999999999</v>
      </c>
      <c r="M769" s="817"/>
      <c r="N769" s="817"/>
      <c r="O769" s="817">
        <v>0.47380787037037037</v>
      </c>
      <c r="P769" s="817">
        <v>0.73605324074074074</v>
      </c>
      <c r="Q769" s="817"/>
      <c r="R769" s="816"/>
      <c r="S769" s="817"/>
      <c r="T769" s="817"/>
      <c r="U769" s="816" t="s">
        <v>9551</v>
      </c>
      <c r="V769" s="816" t="s">
        <v>9551</v>
      </c>
      <c r="W769" s="267"/>
      <c r="X769" s="816" t="s">
        <v>26</v>
      </c>
      <c r="Y769">
        <v>18.5</v>
      </c>
      <c r="Z769">
        <v>78.7</v>
      </c>
      <c r="AA769" s="816" t="s">
        <v>9562</v>
      </c>
      <c r="AB769" s="816" t="s">
        <v>9605</v>
      </c>
      <c r="AC769" s="816"/>
      <c r="AD769" s="816"/>
      <c r="AE769" s="816"/>
      <c r="AF769" s="816"/>
      <c r="AG769" s="816"/>
      <c r="AI769" s="816"/>
      <c r="AK769" s="816"/>
      <c r="AM769" s="816"/>
    </row>
    <row r="770" spans="1:39" x14ac:dyDescent="0.25">
      <c r="A770" s="265">
        <v>44196</v>
      </c>
      <c r="B770">
        <v>4</v>
      </c>
      <c r="C770" s="816" t="s">
        <v>7</v>
      </c>
      <c r="D770">
        <v>534</v>
      </c>
      <c r="E770" s="816" t="s">
        <v>9534</v>
      </c>
      <c r="F770" s="816" t="s">
        <v>25</v>
      </c>
      <c r="G770" s="816" t="s">
        <v>9547</v>
      </c>
      <c r="H770">
        <v>2</v>
      </c>
      <c r="I770" s="816" t="s">
        <v>12</v>
      </c>
      <c r="J770" s="816" t="s">
        <v>12</v>
      </c>
      <c r="K770" s="817">
        <v>0.14525462962962962</v>
      </c>
      <c r="L770" s="817">
        <v>0.2119212962962963</v>
      </c>
      <c r="M770" s="817"/>
      <c r="N770" s="817"/>
      <c r="O770" s="817">
        <v>0.47414351851851855</v>
      </c>
      <c r="P770" s="817">
        <v>0.73635416666666664</v>
      </c>
      <c r="Q770" s="817"/>
      <c r="R770" s="816"/>
      <c r="S770" s="817"/>
      <c r="T770" s="817"/>
      <c r="U770" s="816" t="s">
        <v>9551</v>
      </c>
      <c r="V770" s="816" t="s">
        <v>9551</v>
      </c>
      <c r="W770" s="267"/>
      <c r="X770" s="816" t="s">
        <v>26</v>
      </c>
      <c r="Y770">
        <v>16.7</v>
      </c>
      <c r="Z770">
        <v>74.7</v>
      </c>
      <c r="AA770" s="816" t="s">
        <v>9563</v>
      </c>
      <c r="AB770" s="816" t="s">
        <v>9592</v>
      </c>
      <c r="AC770" s="816"/>
      <c r="AD770" s="816"/>
      <c r="AE770" s="816"/>
      <c r="AF770" s="816"/>
      <c r="AG770" s="816"/>
      <c r="AI770" s="816"/>
      <c r="AK770" s="816"/>
      <c r="AM770" s="816"/>
    </row>
    <row r="771" spans="1:39" x14ac:dyDescent="0.25">
      <c r="A771" s="265">
        <v>44197</v>
      </c>
      <c r="B771">
        <v>5</v>
      </c>
      <c r="C771" s="816" t="s">
        <v>1</v>
      </c>
      <c r="D771">
        <v>534</v>
      </c>
      <c r="E771" s="816" t="s">
        <v>9534</v>
      </c>
      <c r="F771" s="816" t="s">
        <v>25</v>
      </c>
      <c r="G771" s="816" t="s">
        <v>9547</v>
      </c>
      <c r="H771">
        <v>3</v>
      </c>
      <c r="I771" s="816" t="s">
        <v>23</v>
      </c>
      <c r="J771" s="816" t="s">
        <v>23</v>
      </c>
      <c r="K771" s="817">
        <v>0.145625</v>
      </c>
      <c r="L771" s="817">
        <v>0.21229166666666666</v>
      </c>
      <c r="M771" s="817"/>
      <c r="N771" s="817"/>
      <c r="O771" s="817">
        <v>0.47446759259259258</v>
      </c>
      <c r="P771" s="817">
        <v>0.73663194444444446</v>
      </c>
      <c r="Q771" s="817"/>
      <c r="R771" s="816"/>
      <c r="S771" s="817"/>
      <c r="T771" s="817"/>
      <c r="U771" s="816" t="s">
        <v>9551</v>
      </c>
      <c r="V771" s="816" t="s">
        <v>9551</v>
      </c>
      <c r="W771" s="267"/>
      <c r="X771" s="816" t="s">
        <v>26</v>
      </c>
      <c r="Y771">
        <v>16.8</v>
      </c>
      <c r="Z771">
        <v>72.5</v>
      </c>
      <c r="AA771" s="816" t="s">
        <v>9564</v>
      </c>
      <c r="AB771" s="816" t="s">
        <v>9593</v>
      </c>
      <c r="AC771" s="816"/>
      <c r="AD771" s="816"/>
      <c r="AE771" s="816"/>
      <c r="AF771" s="816"/>
      <c r="AG771" s="816"/>
      <c r="AI771" s="816"/>
      <c r="AK771" s="816"/>
      <c r="AM771" s="816"/>
    </row>
    <row r="772" spans="1:39" x14ac:dyDescent="0.25">
      <c r="A772" s="265">
        <v>44198</v>
      </c>
      <c r="B772">
        <v>6</v>
      </c>
      <c r="C772" s="816" t="s">
        <v>2</v>
      </c>
      <c r="D772">
        <v>534</v>
      </c>
      <c r="E772" s="816" t="s">
        <v>9534</v>
      </c>
      <c r="F772" s="816" t="s">
        <v>25</v>
      </c>
      <c r="G772" s="816" t="s">
        <v>9547</v>
      </c>
      <c r="H772">
        <v>4</v>
      </c>
      <c r="I772" s="816" t="s">
        <v>13</v>
      </c>
      <c r="J772" s="816" t="s">
        <v>13</v>
      </c>
      <c r="K772" s="817">
        <v>0.14599537037037039</v>
      </c>
      <c r="L772" s="817">
        <v>0.21266203703703704</v>
      </c>
      <c r="M772" s="817"/>
      <c r="N772" s="817"/>
      <c r="O772" s="817">
        <v>0.47479166666666667</v>
      </c>
      <c r="P772" s="817">
        <v>0.73690972222222229</v>
      </c>
      <c r="Q772" s="817"/>
      <c r="R772" s="816"/>
      <c r="S772" s="817"/>
      <c r="T772" s="817"/>
      <c r="U772" s="816" t="s">
        <v>9551</v>
      </c>
      <c r="V772" s="816" t="s">
        <v>9551</v>
      </c>
      <c r="W772" s="267"/>
      <c r="X772" s="816" t="s">
        <v>26</v>
      </c>
      <c r="Y772">
        <v>18.8</v>
      </c>
      <c r="Z772">
        <v>72</v>
      </c>
      <c r="AA772" s="816" t="s">
        <v>9565</v>
      </c>
      <c r="AB772" s="816" t="s">
        <v>9595</v>
      </c>
      <c r="AC772" s="816"/>
      <c r="AD772" s="816"/>
      <c r="AE772" s="816"/>
      <c r="AF772" s="816"/>
      <c r="AG772" s="816"/>
      <c r="AI772" s="816"/>
      <c r="AK772" s="816"/>
      <c r="AM772" s="816"/>
    </row>
    <row r="773" spans="1:39" x14ac:dyDescent="0.25">
      <c r="A773" s="265">
        <v>44199</v>
      </c>
      <c r="B773">
        <v>0</v>
      </c>
      <c r="C773" s="816" t="s">
        <v>3</v>
      </c>
      <c r="D773">
        <v>534</v>
      </c>
      <c r="E773" s="816" t="s">
        <v>9534</v>
      </c>
      <c r="F773" s="816" t="s">
        <v>25</v>
      </c>
      <c r="G773" s="816" t="s">
        <v>9547</v>
      </c>
      <c r="H773">
        <v>5</v>
      </c>
      <c r="I773" s="816" t="s">
        <v>14</v>
      </c>
      <c r="J773" s="816" t="s">
        <v>14</v>
      </c>
      <c r="K773" s="817">
        <v>0.14636574074074074</v>
      </c>
      <c r="L773" s="817">
        <v>0.21303240740740739</v>
      </c>
      <c r="M773" s="817"/>
      <c r="N773" s="817"/>
      <c r="O773" s="817">
        <v>0.47510416666666666</v>
      </c>
      <c r="P773" s="817">
        <v>0.7371875</v>
      </c>
      <c r="Q773" s="817"/>
      <c r="R773" s="816"/>
      <c r="S773" s="817"/>
      <c r="T773" s="817"/>
      <c r="U773" s="816" t="s">
        <v>9551</v>
      </c>
      <c r="V773" s="816" t="s">
        <v>9551</v>
      </c>
      <c r="W773" s="267"/>
      <c r="X773" s="816" t="s">
        <v>26</v>
      </c>
      <c r="Y773">
        <v>22.6</v>
      </c>
      <c r="Z773">
        <v>73</v>
      </c>
      <c r="AA773" s="816" t="s">
        <v>9566</v>
      </c>
      <c r="AB773" s="816" t="s">
        <v>9596</v>
      </c>
      <c r="AC773" s="816"/>
      <c r="AD773" s="816"/>
      <c r="AE773" s="816"/>
      <c r="AF773" s="816"/>
      <c r="AG773" s="816"/>
      <c r="AI773" s="816"/>
      <c r="AK773" s="816"/>
      <c r="AM773" s="816"/>
    </row>
    <row r="774" spans="1:39" x14ac:dyDescent="0.25">
      <c r="A774" s="265">
        <v>44200</v>
      </c>
      <c r="B774">
        <v>1</v>
      </c>
      <c r="C774" s="816" t="s">
        <v>4</v>
      </c>
      <c r="D774">
        <v>534</v>
      </c>
      <c r="E774" s="816" t="s">
        <v>9534</v>
      </c>
      <c r="F774" s="816" t="s">
        <v>25</v>
      </c>
      <c r="G774" s="816" t="s">
        <v>9547</v>
      </c>
      <c r="H774">
        <v>6</v>
      </c>
      <c r="I774" s="816" t="s">
        <v>15</v>
      </c>
      <c r="J774" s="816" t="s">
        <v>15</v>
      </c>
      <c r="K774" s="817">
        <v>0.14672453703703703</v>
      </c>
      <c r="L774" s="817">
        <v>0.21339120370370371</v>
      </c>
      <c r="M774" s="817"/>
      <c r="N774" s="817"/>
      <c r="O774" s="817">
        <v>0.47541666666666665</v>
      </c>
      <c r="P774" s="817">
        <v>0.73744212962962974</v>
      </c>
      <c r="Q774" s="817"/>
      <c r="R774" s="816"/>
      <c r="S774" s="817"/>
      <c r="T774" s="817"/>
      <c r="U774" s="816" t="s">
        <v>9551</v>
      </c>
      <c r="V774" s="816" t="s">
        <v>9551</v>
      </c>
      <c r="W774" s="267"/>
      <c r="X774" s="816" t="s">
        <v>26</v>
      </c>
      <c r="Y774">
        <v>28</v>
      </c>
      <c r="Z774">
        <v>75.5</v>
      </c>
      <c r="AA774" s="816" t="s">
        <v>9567</v>
      </c>
      <c r="AB774" s="816" t="s">
        <v>9597</v>
      </c>
      <c r="AC774" s="816"/>
      <c r="AD774" s="816"/>
      <c r="AE774" s="816"/>
      <c r="AF774" s="816"/>
      <c r="AG774" s="816"/>
      <c r="AI774" s="816"/>
      <c r="AK774" s="816"/>
      <c r="AM774" s="816"/>
    </row>
    <row r="775" spans="1:39" x14ac:dyDescent="0.25">
      <c r="A775" s="265">
        <v>44201</v>
      </c>
      <c r="B775">
        <v>2</v>
      </c>
      <c r="C775" s="816" t="s">
        <v>5</v>
      </c>
      <c r="D775">
        <v>534</v>
      </c>
      <c r="E775" s="816" t="s">
        <v>9534</v>
      </c>
      <c r="F775" s="816" t="s">
        <v>25</v>
      </c>
      <c r="G775" s="816" t="s">
        <v>9547</v>
      </c>
      <c r="H775">
        <v>7</v>
      </c>
      <c r="I775" s="816" t="s">
        <v>16</v>
      </c>
      <c r="J775" s="816" t="s">
        <v>16</v>
      </c>
      <c r="K775" s="817">
        <v>0.14709490740740741</v>
      </c>
      <c r="L775" s="817">
        <v>0.21376157407407406</v>
      </c>
      <c r="M775" s="817"/>
      <c r="N775" s="817"/>
      <c r="O775" s="817">
        <v>0.4757291666666667</v>
      </c>
      <c r="P775" s="817">
        <v>0.73769675925925926</v>
      </c>
      <c r="Q775" s="817"/>
      <c r="R775" s="816"/>
      <c r="S775" s="817"/>
      <c r="T775" s="817"/>
      <c r="U775" s="816" t="s">
        <v>9551</v>
      </c>
      <c r="V775" s="816" t="s">
        <v>9551</v>
      </c>
      <c r="W775" s="267"/>
      <c r="X775" s="816" t="s">
        <v>26</v>
      </c>
      <c r="Y775">
        <v>34.9</v>
      </c>
      <c r="Z775">
        <v>79.400000000000006</v>
      </c>
      <c r="AA775" s="816" t="s">
        <v>9568</v>
      </c>
      <c r="AB775" s="816" t="s">
        <v>9598</v>
      </c>
      <c r="AC775" s="816"/>
      <c r="AD775" s="816"/>
      <c r="AE775" s="816"/>
      <c r="AF775" s="816"/>
      <c r="AG775" s="816"/>
      <c r="AI775" s="816"/>
      <c r="AK775" s="816"/>
      <c r="AM775" s="816"/>
    </row>
    <row r="776" spans="1:39" x14ac:dyDescent="0.25">
      <c r="A776" s="265">
        <v>44202</v>
      </c>
      <c r="B776">
        <v>3</v>
      </c>
      <c r="C776" s="816" t="s">
        <v>6</v>
      </c>
      <c r="D776">
        <v>534</v>
      </c>
      <c r="E776" s="816" t="s">
        <v>9534</v>
      </c>
      <c r="F776" s="816" t="s">
        <v>25</v>
      </c>
      <c r="G776" s="816" t="s">
        <v>9547</v>
      </c>
      <c r="H776">
        <v>8</v>
      </c>
      <c r="I776" s="816" t="s">
        <v>17</v>
      </c>
      <c r="J776" s="816" t="s">
        <v>17</v>
      </c>
      <c r="K776" s="817">
        <v>0.1474537037037037</v>
      </c>
      <c r="L776" s="817">
        <v>0.21412037037037038</v>
      </c>
      <c r="M776" s="817"/>
      <c r="N776" s="817"/>
      <c r="O776" s="817">
        <v>0.4760300925925926</v>
      </c>
      <c r="P776" s="817">
        <v>0.73793981481481474</v>
      </c>
      <c r="Q776" s="817"/>
      <c r="R776" s="816"/>
      <c r="S776" s="817"/>
      <c r="T776" s="817"/>
      <c r="U776" s="816" t="s">
        <v>9551</v>
      </c>
      <c r="V776" s="816" t="s">
        <v>9551</v>
      </c>
      <c r="W776" s="267"/>
      <c r="X776" s="816" t="s">
        <v>26</v>
      </c>
      <c r="Y776">
        <v>43.1</v>
      </c>
      <c r="Z776">
        <v>84.4</v>
      </c>
      <c r="AA776" s="816" t="s">
        <v>9569</v>
      </c>
      <c r="AB776" s="816" t="s">
        <v>9599</v>
      </c>
      <c r="AC776" s="816"/>
      <c r="AD776" s="816"/>
      <c r="AE776" s="816"/>
      <c r="AF776" s="816"/>
      <c r="AG776" s="816"/>
      <c r="AI776" s="816"/>
      <c r="AK776" s="816"/>
      <c r="AM776" s="816"/>
    </row>
    <row r="777" spans="1:39" x14ac:dyDescent="0.25">
      <c r="A777" s="265">
        <v>44203</v>
      </c>
      <c r="B777">
        <v>4</v>
      </c>
      <c r="C777" s="816" t="s">
        <v>7</v>
      </c>
      <c r="D777">
        <v>534</v>
      </c>
      <c r="E777" s="816" t="s">
        <v>9534</v>
      </c>
      <c r="F777" s="816" t="s">
        <v>25</v>
      </c>
      <c r="G777" s="816" t="s">
        <v>9547</v>
      </c>
      <c r="H777">
        <v>9</v>
      </c>
      <c r="I777" s="816" t="s">
        <v>18</v>
      </c>
      <c r="J777" s="816" t="s">
        <v>18</v>
      </c>
      <c r="K777" s="817">
        <v>0.14781249999999999</v>
      </c>
      <c r="L777" s="817">
        <v>0.21447916666666667</v>
      </c>
      <c r="M777" s="817"/>
      <c r="N777" s="817"/>
      <c r="O777" s="817">
        <v>0.4763310185185185</v>
      </c>
      <c r="P777" s="817">
        <v>0.73818287037037045</v>
      </c>
      <c r="Q777" s="817"/>
      <c r="R777" s="816"/>
      <c r="S777" s="817"/>
      <c r="T777" s="817"/>
      <c r="U777" s="816" t="s">
        <v>9551</v>
      </c>
      <c r="V777" s="816" t="s">
        <v>9551</v>
      </c>
      <c r="W777" s="267"/>
      <c r="X777" s="816" t="s">
        <v>26</v>
      </c>
      <c r="Y777">
        <v>52.5</v>
      </c>
      <c r="Z777">
        <v>90.5</v>
      </c>
      <c r="AA777" s="816" t="s">
        <v>9570</v>
      </c>
      <c r="AB777" s="816" t="s">
        <v>9600</v>
      </c>
      <c r="AC777" s="816"/>
      <c r="AD777" s="816"/>
      <c r="AE777" s="816"/>
      <c r="AF777" s="816"/>
      <c r="AG777" s="816"/>
      <c r="AI777" s="816"/>
      <c r="AK777" s="816"/>
      <c r="AM777" s="816"/>
    </row>
    <row r="778" spans="1:39" x14ac:dyDescent="0.25">
      <c r="A778" s="265">
        <v>44204</v>
      </c>
      <c r="B778">
        <v>5</v>
      </c>
      <c r="C778" s="816" t="s">
        <v>1</v>
      </c>
      <c r="D778">
        <v>534</v>
      </c>
      <c r="E778" s="816" t="s">
        <v>9534</v>
      </c>
      <c r="F778" s="816" t="s">
        <v>25</v>
      </c>
      <c r="G778" s="816" t="s">
        <v>9547</v>
      </c>
      <c r="H778">
        <v>10</v>
      </c>
      <c r="I778" s="816" t="s">
        <v>19</v>
      </c>
      <c r="J778" s="816" t="s">
        <v>19</v>
      </c>
      <c r="K778" s="817">
        <v>0.1481712962962963</v>
      </c>
      <c r="L778" s="817">
        <v>0.21483796296296298</v>
      </c>
      <c r="M778" s="817"/>
      <c r="N778" s="817"/>
      <c r="O778" s="817">
        <v>0.47662037037037036</v>
      </c>
      <c r="P778" s="817">
        <v>0.73840277777777785</v>
      </c>
      <c r="Q778" s="817"/>
      <c r="R778" s="816"/>
      <c r="S778" s="817"/>
      <c r="T778" s="817"/>
      <c r="U778" s="816" t="s">
        <v>9551</v>
      </c>
      <c r="V778" s="816" t="s">
        <v>9551</v>
      </c>
      <c r="W778" s="267"/>
      <c r="X778" s="816" t="s">
        <v>26</v>
      </c>
      <c r="Y778">
        <v>62.8</v>
      </c>
      <c r="Z778">
        <v>97.5</v>
      </c>
      <c r="AA778" s="816" t="s">
        <v>9571</v>
      </c>
      <c r="AB778" s="816" t="s">
        <v>9601</v>
      </c>
      <c r="AC778" s="816"/>
      <c r="AD778" s="816"/>
      <c r="AE778" s="816"/>
      <c r="AF778" s="816"/>
      <c r="AG778" s="816"/>
      <c r="AI778" s="816"/>
      <c r="AK778" s="816"/>
      <c r="AM778" s="816"/>
    </row>
    <row r="779" spans="1:39" x14ac:dyDescent="0.25">
      <c r="A779" s="265">
        <v>44205</v>
      </c>
      <c r="B779">
        <v>6</v>
      </c>
      <c r="C779" s="816" t="s">
        <v>2</v>
      </c>
      <c r="D779">
        <v>534</v>
      </c>
      <c r="E779" s="816" t="s">
        <v>9534</v>
      </c>
      <c r="F779" s="816" t="s">
        <v>25</v>
      </c>
      <c r="G779" s="816" t="s">
        <v>9547</v>
      </c>
      <c r="H779">
        <v>11</v>
      </c>
      <c r="I779" s="816" t="s">
        <v>9548</v>
      </c>
      <c r="J779" s="816" t="s">
        <v>20</v>
      </c>
      <c r="K779" s="817">
        <v>0.14853009259259259</v>
      </c>
      <c r="L779" s="817">
        <v>0.21519675925925927</v>
      </c>
      <c r="M779" s="817"/>
      <c r="N779" s="817"/>
      <c r="O779" s="817">
        <v>0.47690972222222222</v>
      </c>
      <c r="P779" s="817">
        <v>0.73862268518518526</v>
      </c>
      <c r="Q779" s="817"/>
      <c r="R779" s="816"/>
      <c r="S779" s="817"/>
      <c r="T779" s="817"/>
      <c r="U779" s="816" t="s">
        <v>9551</v>
      </c>
      <c r="V779" s="816" t="s">
        <v>9551</v>
      </c>
      <c r="W779" s="267"/>
      <c r="X779" s="816" t="s">
        <v>26</v>
      </c>
      <c r="Y779">
        <v>73.8</v>
      </c>
      <c r="Z779">
        <v>5</v>
      </c>
      <c r="AA779" s="816" t="s">
        <v>9573</v>
      </c>
      <c r="AB779" s="816" t="s">
        <v>9602</v>
      </c>
      <c r="AC779" s="816"/>
      <c r="AD779" s="816"/>
      <c r="AE779" s="816"/>
      <c r="AF779" s="816" t="s">
        <v>72</v>
      </c>
      <c r="AG779" s="816" t="s">
        <v>29</v>
      </c>
      <c r="AH779">
        <v>-1</v>
      </c>
      <c r="AI779" s="816"/>
      <c r="AK779" s="816"/>
      <c r="AM779" s="816"/>
    </row>
    <row r="780" spans="1:39" x14ac:dyDescent="0.25">
      <c r="A780" s="265">
        <v>44206</v>
      </c>
      <c r="B780">
        <v>0</v>
      </c>
      <c r="C780" s="816" t="s">
        <v>3</v>
      </c>
      <c r="D780">
        <v>534</v>
      </c>
      <c r="E780" s="816" t="s">
        <v>9534</v>
      </c>
      <c r="F780" s="816" t="s">
        <v>25</v>
      </c>
      <c r="G780" s="816" t="s">
        <v>9547</v>
      </c>
      <c r="H780">
        <v>12</v>
      </c>
      <c r="I780" s="816" t="s">
        <v>21</v>
      </c>
      <c r="J780" s="816" t="s">
        <v>21</v>
      </c>
      <c r="K780" s="817">
        <v>0.14888888888888888</v>
      </c>
      <c r="L780" s="817">
        <v>0.21555555555555558</v>
      </c>
      <c r="M780" s="817">
        <v>0.21527777777777779</v>
      </c>
      <c r="N780" s="817">
        <v>0.35069444444444442</v>
      </c>
      <c r="O780" s="817">
        <v>0.47718750000000004</v>
      </c>
      <c r="P780" s="817">
        <v>0.73883101851851851</v>
      </c>
      <c r="Q780" s="817"/>
      <c r="R780" s="816"/>
      <c r="S780" s="817"/>
      <c r="T780" s="817"/>
      <c r="U780" s="816" t="s">
        <v>9551</v>
      </c>
      <c r="V780" s="816" t="s">
        <v>9551</v>
      </c>
      <c r="W780" s="267"/>
      <c r="X780" s="816" t="s">
        <v>26</v>
      </c>
      <c r="Y780">
        <v>85</v>
      </c>
      <c r="Z780">
        <v>12.7</v>
      </c>
      <c r="AA780" s="816" t="s">
        <v>9574</v>
      </c>
      <c r="AB780" s="816" t="s">
        <v>9579</v>
      </c>
      <c r="AC780" s="816"/>
      <c r="AD780" s="816"/>
      <c r="AE780" s="816"/>
      <c r="AF780" s="816"/>
      <c r="AG780" s="816"/>
      <c r="AI780" s="816"/>
      <c r="AK780" s="816"/>
      <c r="AM780" s="816"/>
    </row>
    <row r="781" spans="1:39" x14ac:dyDescent="0.25">
      <c r="A781" s="265">
        <v>44207</v>
      </c>
      <c r="B781">
        <v>1</v>
      </c>
      <c r="C781" s="816" t="s">
        <v>4</v>
      </c>
      <c r="D781">
        <v>534</v>
      </c>
      <c r="E781" s="816" t="s">
        <v>9534</v>
      </c>
      <c r="F781" s="816" t="s">
        <v>25</v>
      </c>
      <c r="G781" s="816" t="s">
        <v>9547</v>
      </c>
      <c r="H781">
        <v>13</v>
      </c>
      <c r="I781" s="816" t="s">
        <v>8</v>
      </c>
      <c r="J781" s="816" t="s">
        <v>8</v>
      </c>
      <c r="K781" s="817">
        <v>0.1492361111111111</v>
      </c>
      <c r="L781" s="817">
        <v>0.21590277777777778</v>
      </c>
      <c r="M781" s="817"/>
      <c r="N781" s="817"/>
      <c r="O781" s="817">
        <v>0.47746527777777775</v>
      </c>
      <c r="P781" s="817">
        <v>0.73902777777777784</v>
      </c>
      <c r="Q781" s="817"/>
      <c r="R781" s="816"/>
      <c r="S781" s="817"/>
      <c r="T781" s="817"/>
      <c r="U781" s="816" t="s">
        <v>9551</v>
      </c>
      <c r="V781" s="816" t="s">
        <v>9551</v>
      </c>
      <c r="W781" s="267"/>
      <c r="X781" s="816" t="s">
        <v>26</v>
      </c>
      <c r="Y781">
        <v>95.8</v>
      </c>
      <c r="Z781">
        <v>20.100000000000001</v>
      </c>
      <c r="AA781" s="816" t="s">
        <v>9575</v>
      </c>
      <c r="AB781" s="816" t="s">
        <v>9580</v>
      </c>
      <c r="AC781" s="816"/>
      <c r="AD781" s="816"/>
      <c r="AE781" s="816"/>
      <c r="AF781" s="816"/>
      <c r="AG781" s="816"/>
      <c r="AI781" s="816"/>
      <c r="AK781" s="816"/>
      <c r="AM781" s="816"/>
    </row>
    <row r="782" spans="1:39" x14ac:dyDescent="0.25">
      <c r="A782" s="265">
        <v>44208</v>
      </c>
      <c r="B782">
        <v>2</v>
      </c>
      <c r="C782" s="816" t="s">
        <v>5</v>
      </c>
      <c r="D782">
        <v>534</v>
      </c>
      <c r="E782" s="816" t="s">
        <v>9534</v>
      </c>
      <c r="F782" s="816" t="s">
        <v>25</v>
      </c>
      <c r="G782" s="816" t="s">
        <v>9547</v>
      </c>
      <c r="H782">
        <v>15</v>
      </c>
      <c r="I782" s="816" t="s">
        <v>22</v>
      </c>
      <c r="J782" s="816" t="s">
        <v>9</v>
      </c>
      <c r="K782" s="817">
        <v>0.14958333333333332</v>
      </c>
      <c r="L782" s="817">
        <v>0.21625000000000003</v>
      </c>
      <c r="M782" s="817"/>
      <c r="N782" s="817"/>
      <c r="O782" s="817">
        <v>0.47773148148148148</v>
      </c>
      <c r="P782" s="817">
        <v>0.73921296296296291</v>
      </c>
      <c r="Q782" s="817"/>
      <c r="R782" s="816"/>
      <c r="S782" s="817">
        <v>0.25347222222222221</v>
      </c>
      <c r="T782" s="817">
        <v>0.16319444444444445</v>
      </c>
      <c r="U782" s="816" t="s">
        <v>9551</v>
      </c>
      <c r="V782" s="816" t="s">
        <v>9551</v>
      </c>
      <c r="W782" s="267"/>
      <c r="X782" s="816" t="s">
        <v>26</v>
      </c>
      <c r="Y782">
        <v>5.8</v>
      </c>
      <c r="Z782">
        <v>26.7</v>
      </c>
      <c r="AA782" s="816" t="s">
        <v>9576</v>
      </c>
      <c r="AB782" s="816" t="s">
        <v>9581</v>
      </c>
      <c r="AC782" s="816"/>
      <c r="AD782" s="816"/>
      <c r="AE782" s="816"/>
      <c r="AF782" s="816"/>
      <c r="AG782" s="816"/>
      <c r="AI782" s="816"/>
      <c r="AK782" s="816"/>
      <c r="AM782" s="816"/>
    </row>
    <row r="783" spans="1:39" x14ac:dyDescent="0.25">
      <c r="A783" s="265">
        <v>44209</v>
      </c>
      <c r="B783">
        <v>3</v>
      </c>
      <c r="C783" s="816" t="s">
        <v>6</v>
      </c>
      <c r="D783">
        <v>534</v>
      </c>
      <c r="E783" s="816" t="s">
        <v>9534</v>
      </c>
      <c r="F783" s="816" t="s">
        <v>24</v>
      </c>
      <c r="G783" s="816" t="s">
        <v>9546</v>
      </c>
      <c r="H783">
        <v>16</v>
      </c>
      <c r="I783" s="816" t="s">
        <v>11</v>
      </c>
      <c r="J783" s="816" t="s">
        <v>11</v>
      </c>
      <c r="K783" s="817">
        <v>0.1499189814814815</v>
      </c>
      <c r="L783" s="817">
        <v>0.21658564814814815</v>
      </c>
      <c r="M783" s="817"/>
      <c r="N783" s="817"/>
      <c r="O783" s="817">
        <v>0.47798611111111117</v>
      </c>
      <c r="P783" s="817">
        <v>0.73938657407407404</v>
      </c>
      <c r="Q783" s="817"/>
      <c r="R783" s="816"/>
      <c r="S783" s="817"/>
      <c r="T783" s="817"/>
      <c r="U783" s="816" t="s">
        <v>9551</v>
      </c>
      <c r="V783" s="816" t="s">
        <v>9551</v>
      </c>
      <c r="W783" s="267"/>
      <c r="X783" s="816" t="s">
        <v>26</v>
      </c>
      <c r="Y783">
        <v>14.2</v>
      </c>
      <c r="Z783">
        <v>31.9</v>
      </c>
      <c r="AA783" s="816" t="s">
        <v>9577</v>
      </c>
      <c r="AB783" s="816" t="s">
        <v>9582</v>
      </c>
      <c r="AC783" s="816"/>
      <c r="AD783" s="816"/>
      <c r="AE783" s="816"/>
      <c r="AF783" s="816"/>
      <c r="AG783" s="816"/>
      <c r="AI783" s="816"/>
      <c r="AK783" s="816"/>
      <c r="AM783" s="816"/>
    </row>
    <row r="784" spans="1:39" x14ac:dyDescent="0.25">
      <c r="A784" s="265">
        <v>44210</v>
      </c>
      <c r="B784">
        <v>4</v>
      </c>
      <c r="C784" s="816" t="s">
        <v>7</v>
      </c>
      <c r="D784">
        <v>534</v>
      </c>
      <c r="E784" s="816" t="s">
        <v>9534</v>
      </c>
      <c r="F784" s="816" t="s">
        <v>24</v>
      </c>
      <c r="G784" s="816" t="s">
        <v>9546</v>
      </c>
      <c r="H784">
        <v>17</v>
      </c>
      <c r="I784" s="816" t="s">
        <v>12</v>
      </c>
      <c r="J784" s="816" t="s">
        <v>12</v>
      </c>
      <c r="K784" s="817">
        <v>0.15025462962962963</v>
      </c>
      <c r="L784" s="817">
        <v>0.21692129629629631</v>
      </c>
      <c r="M784" s="817"/>
      <c r="N784" s="817"/>
      <c r="O784" s="817">
        <v>0.47824074074074074</v>
      </c>
      <c r="P784" s="817">
        <v>0.73954861111111114</v>
      </c>
      <c r="Q784" s="817">
        <v>0.98413194444444441</v>
      </c>
      <c r="R784" s="816" t="s">
        <v>74</v>
      </c>
      <c r="S784" s="817"/>
      <c r="T784" s="817"/>
      <c r="U784" s="816" t="s">
        <v>9551</v>
      </c>
      <c r="V784" s="816" t="s">
        <v>9551</v>
      </c>
      <c r="W784" s="267"/>
      <c r="X784" s="816" t="s">
        <v>26</v>
      </c>
      <c r="Y784">
        <v>20.3</v>
      </c>
      <c r="Z784">
        <v>35.1</v>
      </c>
      <c r="AA784" s="816" t="s">
        <v>9552</v>
      </c>
      <c r="AB784" s="816" t="s">
        <v>9583</v>
      </c>
      <c r="AC784" s="816"/>
      <c r="AD784" s="816"/>
      <c r="AE784" s="816"/>
      <c r="AF784" s="816"/>
      <c r="AG784" s="816" t="s">
        <v>32</v>
      </c>
      <c r="AH784">
        <v>5</v>
      </c>
      <c r="AI784" s="816"/>
      <c r="AK784" s="816"/>
      <c r="AM784" s="816"/>
    </row>
    <row r="785" spans="1:39" x14ac:dyDescent="0.25">
      <c r="A785" s="265">
        <v>44211</v>
      </c>
      <c r="B785">
        <v>5</v>
      </c>
      <c r="C785" s="816" t="s">
        <v>1</v>
      </c>
      <c r="D785">
        <v>534</v>
      </c>
      <c r="E785" s="816" t="s">
        <v>9534</v>
      </c>
      <c r="F785" s="816" t="s">
        <v>24</v>
      </c>
      <c r="G785" s="816" t="s">
        <v>9546</v>
      </c>
      <c r="H785">
        <v>18</v>
      </c>
      <c r="I785" s="816" t="s">
        <v>23</v>
      </c>
      <c r="J785" s="816" t="s">
        <v>23</v>
      </c>
      <c r="K785" s="817">
        <v>0.15059027777777778</v>
      </c>
      <c r="L785" s="817">
        <v>0.21725694444444443</v>
      </c>
      <c r="M785" s="817"/>
      <c r="N785" s="817"/>
      <c r="O785" s="817">
        <v>0.47848379629629628</v>
      </c>
      <c r="P785" s="817">
        <v>0.73971064814814813</v>
      </c>
      <c r="Q785" s="817"/>
      <c r="R785" s="816"/>
      <c r="S785" s="817"/>
      <c r="T785" s="817"/>
      <c r="U785" s="816" t="s">
        <v>9551</v>
      </c>
      <c r="V785" s="816" t="s">
        <v>9551</v>
      </c>
      <c r="W785" s="267"/>
      <c r="X785" s="816" t="s">
        <v>26</v>
      </c>
      <c r="Y785">
        <v>23.9</v>
      </c>
      <c r="Z785">
        <v>35.9</v>
      </c>
      <c r="AA785" s="816" t="s">
        <v>9553</v>
      </c>
      <c r="AB785" s="816" t="s">
        <v>9584</v>
      </c>
      <c r="AC785" s="816"/>
      <c r="AD785" s="816"/>
      <c r="AE785" s="816"/>
      <c r="AF785" s="816"/>
      <c r="AG785" s="816"/>
      <c r="AI785" s="816"/>
      <c r="AK785" s="816"/>
      <c r="AM785" s="816"/>
    </row>
    <row r="786" spans="1:39" x14ac:dyDescent="0.25">
      <c r="A786" s="265">
        <v>44212</v>
      </c>
      <c r="B786">
        <v>6</v>
      </c>
      <c r="C786" s="816" t="s">
        <v>2</v>
      </c>
      <c r="D786">
        <v>534</v>
      </c>
      <c r="E786" s="816" t="s">
        <v>9534</v>
      </c>
      <c r="F786" s="816" t="s">
        <v>24</v>
      </c>
      <c r="G786" s="816" t="s">
        <v>9546</v>
      </c>
      <c r="H786">
        <v>19</v>
      </c>
      <c r="I786" s="816" t="s">
        <v>13</v>
      </c>
      <c r="J786" s="816" t="s">
        <v>13</v>
      </c>
      <c r="K786" s="817">
        <v>0.15092592592592594</v>
      </c>
      <c r="L786" s="817">
        <v>0.21759259259259259</v>
      </c>
      <c r="M786" s="817"/>
      <c r="N786" s="817"/>
      <c r="O786" s="817">
        <v>0.47871527777777773</v>
      </c>
      <c r="P786" s="817">
        <v>0.73984953703703704</v>
      </c>
      <c r="Q786" s="817"/>
      <c r="R786" s="816"/>
      <c r="S786" s="817"/>
      <c r="T786" s="817"/>
      <c r="U786" s="816" t="s">
        <v>9551</v>
      </c>
      <c r="V786" s="816" t="s">
        <v>9551</v>
      </c>
      <c r="W786" s="267"/>
      <c r="X786" s="816" t="s">
        <v>26</v>
      </c>
      <c r="Y786">
        <v>24.6</v>
      </c>
      <c r="Z786">
        <v>34.200000000000003</v>
      </c>
      <c r="AA786" s="816" t="s">
        <v>9554</v>
      </c>
      <c r="AB786" s="816" t="s">
        <v>9585</v>
      </c>
      <c r="AC786" s="816"/>
      <c r="AD786" s="816"/>
      <c r="AE786" s="816"/>
      <c r="AF786" s="816"/>
      <c r="AG786" s="816"/>
      <c r="AI786" s="816"/>
      <c r="AK786" s="816"/>
      <c r="AM786" s="816"/>
    </row>
    <row r="787" spans="1:39" x14ac:dyDescent="0.25">
      <c r="A787" s="265">
        <v>44213</v>
      </c>
      <c r="B787">
        <v>0</v>
      </c>
      <c r="C787" s="816" t="s">
        <v>3</v>
      </c>
      <c r="D787">
        <v>534</v>
      </c>
      <c r="E787" s="816" t="s">
        <v>9534</v>
      </c>
      <c r="F787" s="816" t="s">
        <v>24</v>
      </c>
      <c r="G787" s="816" t="s">
        <v>9546</v>
      </c>
      <c r="H787">
        <v>20</v>
      </c>
      <c r="I787" s="816" t="s">
        <v>14</v>
      </c>
      <c r="J787" s="816" t="s">
        <v>14</v>
      </c>
      <c r="K787" s="817">
        <v>0.15123842592592593</v>
      </c>
      <c r="L787" s="817">
        <v>0.21790509259259261</v>
      </c>
      <c r="M787" s="817"/>
      <c r="N787" s="817"/>
      <c r="O787" s="817">
        <v>0.47894675925925928</v>
      </c>
      <c r="P787" s="817">
        <v>0.73998842592592595</v>
      </c>
      <c r="Q787" s="817"/>
      <c r="R787" s="816"/>
      <c r="S787" s="817"/>
      <c r="T787" s="817"/>
      <c r="U787" s="816" t="s">
        <v>9551</v>
      </c>
      <c r="V787" s="816" t="s">
        <v>9551</v>
      </c>
      <c r="W787" s="267"/>
      <c r="X787" s="816" t="s">
        <v>26</v>
      </c>
      <c r="Y787">
        <v>22.4</v>
      </c>
      <c r="Z787">
        <v>29.8</v>
      </c>
      <c r="AA787" s="816" t="s">
        <v>9555</v>
      </c>
      <c r="AB787" s="816" t="s">
        <v>9586</v>
      </c>
      <c r="AC787" s="816"/>
      <c r="AD787" s="816"/>
      <c r="AE787" s="816"/>
      <c r="AF787" s="816"/>
      <c r="AG787" s="816"/>
      <c r="AI787" s="816"/>
      <c r="AK787" s="816"/>
      <c r="AM787" s="816"/>
    </row>
    <row r="788" spans="1:39" x14ac:dyDescent="0.25">
      <c r="A788" s="265">
        <v>44214</v>
      </c>
      <c r="B788">
        <v>1</v>
      </c>
      <c r="C788" s="816" t="s">
        <v>4</v>
      </c>
      <c r="D788">
        <v>534</v>
      </c>
      <c r="E788" s="816" t="s">
        <v>9534</v>
      </c>
      <c r="F788" s="816" t="s">
        <v>24</v>
      </c>
      <c r="G788" s="816" t="s">
        <v>9546</v>
      </c>
      <c r="H788">
        <v>21</v>
      </c>
      <c r="I788" s="816" t="s">
        <v>15</v>
      </c>
      <c r="J788" s="816" t="s">
        <v>15</v>
      </c>
      <c r="K788" s="817">
        <v>0.15156250000000002</v>
      </c>
      <c r="L788" s="817">
        <v>0.21822916666666667</v>
      </c>
      <c r="M788" s="817"/>
      <c r="N788" s="817"/>
      <c r="O788" s="817">
        <v>0.47916666666666669</v>
      </c>
      <c r="P788" s="817">
        <v>0.74010416666666667</v>
      </c>
      <c r="Q788" s="817"/>
      <c r="R788" s="816"/>
      <c r="S788" s="817"/>
      <c r="T788" s="817"/>
      <c r="U788" s="816" t="s">
        <v>9551</v>
      </c>
      <c r="V788" s="816" t="s">
        <v>9551</v>
      </c>
      <c r="W788" s="267"/>
      <c r="X788" s="816" t="s">
        <v>26</v>
      </c>
      <c r="Y788">
        <v>17.5</v>
      </c>
      <c r="Z788">
        <v>23.1</v>
      </c>
      <c r="AA788" s="816" t="s">
        <v>9556</v>
      </c>
      <c r="AB788" s="816" t="s">
        <v>9604</v>
      </c>
      <c r="AC788" s="816"/>
      <c r="AD788" s="816"/>
      <c r="AE788" s="816"/>
      <c r="AF788" s="816"/>
      <c r="AG788" s="816"/>
      <c r="AI788" s="816"/>
      <c r="AK788" s="816"/>
      <c r="AM788" s="816"/>
    </row>
    <row r="789" spans="1:39" x14ac:dyDescent="0.25">
      <c r="A789" s="265">
        <v>44215</v>
      </c>
      <c r="B789">
        <v>2</v>
      </c>
      <c r="C789" s="816" t="s">
        <v>5</v>
      </c>
      <c r="D789">
        <v>534</v>
      </c>
      <c r="E789" s="816" t="s">
        <v>9534</v>
      </c>
      <c r="F789" s="816" t="s">
        <v>24</v>
      </c>
      <c r="G789" s="816" t="s">
        <v>9546</v>
      </c>
      <c r="H789">
        <v>22</v>
      </c>
      <c r="I789" s="816" t="s">
        <v>16</v>
      </c>
      <c r="J789" s="816" t="s">
        <v>16</v>
      </c>
      <c r="K789" s="817">
        <v>0.15187500000000001</v>
      </c>
      <c r="L789" s="817">
        <v>0.21854166666666666</v>
      </c>
      <c r="M789" s="817"/>
      <c r="N789" s="817"/>
      <c r="O789" s="817">
        <v>0.47937500000000005</v>
      </c>
      <c r="P789" s="817">
        <v>0.74021990740740751</v>
      </c>
      <c r="Q789" s="817"/>
      <c r="R789" s="816"/>
      <c r="S789" s="817"/>
      <c r="T789" s="817"/>
      <c r="U789" s="816" t="s">
        <v>9551</v>
      </c>
      <c r="V789" s="816" t="s">
        <v>9551</v>
      </c>
      <c r="W789" s="267"/>
      <c r="X789" s="816" t="s">
        <v>26</v>
      </c>
      <c r="Y789">
        <v>10.5</v>
      </c>
      <c r="Z789">
        <v>14.4</v>
      </c>
      <c r="AA789" s="816" t="s">
        <v>9557</v>
      </c>
      <c r="AB789" s="816" t="s">
        <v>9587</v>
      </c>
      <c r="AC789" s="816"/>
      <c r="AD789" s="816"/>
      <c r="AE789" s="816"/>
      <c r="AF789" s="816"/>
      <c r="AG789" s="816"/>
      <c r="AI789" s="816"/>
      <c r="AK789" s="816"/>
      <c r="AM789" s="816"/>
    </row>
    <row r="790" spans="1:39" x14ac:dyDescent="0.25">
      <c r="A790" s="265">
        <v>44216</v>
      </c>
      <c r="B790">
        <v>3</v>
      </c>
      <c r="C790" s="816" t="s">
        <v>6</v>
      </c>
      <c r="D790">
        <v>534</v>
      </c>
      <c r="E790" s="816" t="s">
        <v>9534</v>
      </c>
      <c r="F790" s="816" t="s">
        <v>24</v>
      </c>
      <c r="G790" s="816" t="s">
        <v>9546</v>
      </c>
      <c r="H790">
        <v>23</v>
      </c>
      <c r="I790" s="816" t="s">
        <v>17</v>
      </c>
      <c r="J790" s="816" t="s">
        <v>16</v>
      </c>
      <c r="K790" s="817">
        <v>0.15217592592592591</v>
      </c>
      <c r="L790" s="817">
        <v>0.21884259259259262</v>
      </c>
      <c r="M790" s="817"/>
      <c r="N790" s="817"/>
      <c r="O790" s="817">
        <v>0.47958333333333331</v>
      </c>
      <c r="P790" s="817">
        <v>0.74032407407407408</v>
      </c>
      <c r="Q790" s="817"/>
      <c r="R790" s="816"/>
      <c r="S790" s="817"/>
      <c r="T790" s="817"/>
      <c r="U790" s="816" t="s">
        <v>9551</v>
      </c>
      <c r="V790" s="816" t="s">
        <v>9551</v>
      </c>
      <c r="W790" s="267"/>
      <c r="X790" s="816" t="s">
        <v>26</v>
      </c>
      <c r="Y790">
        <v>1.8</v>
      </c>
      <c r="Z790">
        <v>4.2</v>
      </c>
      <c r="AA790" s="816" t="s">
        <v>9558</v>
      </c>
      <c r="AB790" s="816" t="s">
        <v>9588</v>
      </c>
      <c r="AC790" s="816"/>
      <c r="AD790" s="816"/>
      <c r="AE790" s="816"/>
      <c r="AF790" s="816"/>
      <c r="AG790" s="816"/>
      <c r="AI790" s="816"/>
      <c r="AK790" s="816"/>
      <c r="AM790" s="816"/>
    </row>
    <row r="791" spans="1:39" x14ac:dyDescent="0.25">
      <c r="A791" s="265">
        <v>44217</v>
      </c>
      <c r="B791">
        <v>4</v>
      </c>
      <c r="C791" s="816" t="s">
        <v>7</v>
      </c>
      <c r="D791">
        <v>534</v>
      </c>
      <c r="E791" s="816" t="s">
        <v>9534</v>
      </c>
      <c r="F791" s="816" t="s">
        <v>24</v>
      </c>
      <c r="G791" s="816" t="s">
        <v>9546</v>
      </c>
      <c r="H791">
        <v>23</v>
      </c>
      <c r="I791" s="816" t="s">
        <v>17</v>
      </c>
      <c r="J791" s="816" t="s">
        <v>17</v>
      </c>
      <c r="K791" s="817">
        <v>0.15247685185185186</v>
      </c>
      <c r="L791" s="817">
        <v>0.21914351851851852</v>
      </c>
      <c r="M791" s="817"/>
      <c r="N791" s="817"/>
      <c r="O791" s="817">
        <v>0.47978009259259258</v>
      </c>
      <c r="P791" s="817">
        <v>0.74040509259259257</v>
      </c>
      <c r="Q791" s="817"/>
      <c r="R791" s="816"/>
      <c r="S791" s="817"/>
      <c r="T791" s="817"/>
      <c r="U791" s="816" t="s">
        <v>9551</v>
      </c>
      <c r="V791" s="816" t="s">
        <v>9551</v>
      </c>
      <c r="W791" s="267"/>
      <c r="X791" s="816" t="s">
        <v>27</v>
      </c>
      <c r="Y791">
        <v>92.1</v>
      </c>
      <c r="Z791">
        <v>93.1</v>
      </c>
      <c r="AA791" s="816" t="s">
        <v>9558</v>
      </c>
      <c r="AB791" s="816" t="s">
        <v>9589</v>
      </c>
      <c r="AC791" s="816"/>
      <c r="AD791" s="816"/>
      <c r="AE791" s="816"/>
      <c r="AF791" s="816"/>
      <c r="AG791" s="816"/>
      <c r="AI791" s="816"/>
      <c r="AK791" s="816"/>
      <c r="AM791" s="816"/>
    </row>
    <row r="792" spans="1:39" x14ac:dyDescent="0.25">
      <c r="A792" s="265">
        <v>44218</v>
      </c>
      <c r="B792">
        <v>5</v>
      </c>
      <c r="C792" s="816" t="s">
        <v>1</v>
      </c>
      <c r="D792">
        <v>534</v>
      </c>
      <c r="E792" s="816" t="s">
        <v>9534</v>
      </c>
      <c r="F792" s="816" t="s">
        <v>24</v>
      </c>
      <c r="G792" s="816" t="s">
        <v>9546</v>
      </c>
      <c r="H792">
        <v>24</v>
      </c>
      <c r="I792" s="816" t="s">
        <v>18</v>
      </c>
      <c r="J792" s="816" t="s">
        <v>18</v>
      </c>
      <c r="K792" s="817">
        <v>0.15276620370370372</v>
      </c>
      <c r="L792" s="817">
        <v>0.21943287037037038</v>
      </c>
      <c r="M792" s="817"/>
      <c r="N792" s="817"/>
      <c r="O792" s="817">
        <v>0.47996527777777781</v>
      </c>
      <c r="P792" s="817">
        <v>0.74048611111111118</v>
      </c>
      <c r="Q792" s="817"/>
      <c r="R792" s="816"/>
      <c r="S792" s="817"/>
      <c r="T792" s="817"/>
      <c r="U792" s="816" t="s">
        <v>9551</v>
      </c>
      <c r="V792" s="816" t="s">
        <v>9551</v>
      </c>
      <c r="W792" s="267"/>
      <c r="X792" s="816" t="s">
        <v>26</v>
      </c>
      <c r="Y792">
        <v>82.1</v>
      </c>
      <c r="Z792">
        <v>81.8</v>
      </c>
      <c r="AA792" s="816" t="s">
        <v>9578</v>
      </c>
      <c r="AB792" s="816" t="s">
        <v>9590</v>
      </c>
      <c r="AC792" s="816"/>
      <c r="AD792" s="816"/>
      <c r="AE792" s="816"/>
      <c r="AF792" s="816"/>
      <c r="AG792" s="816"/>
      <c r="AI792" s="816"/>
      <c r="AK792" s="816"/>
      <c r="AM792" s="816"/>
    </row>
    <row r="793" spans="1:39" x14ac:dyDescent="0.25">
      <c r="A793" s="265">
        <v>44219</v>
      </c>
      <c r="B793">
        <v>6</v>
      </c>
      <c r="C793" s="816" t="s">
        <v>2</v>
      </c>
      <c r="D793">
        <v>534</v>
      </c>
      <c r="E793" s="816" t="s">
        <v>9534</v>
      </c>
      <c r="F793" s="816" t="s">
        <v>24</v>
      </c>
      <c r="G793" s="816" t="s">
        <v>9546</v>
      </c>
      <c r="H793">
        <v>25</v>
      </c>
      <c r="I793" s="816" t="s">
        <v>19</v>
      </c>
      <c r="J793" s="816" t="s">
        <v>19</v>
      </c>
      <c r="K793" s="817">
        <v>0.15305555555555556</v>
      </c>
      <c r="L793" s="817">
        <v>0.21972222222222224</v>
      </c>
      <c r="M793" s="817"/>
      <c r="N793" s="817"/>
      <c r="O793" s="817">
        <v>0.48013888888888889</v>
      </c>
      <c r="P793" s="817">
        <v>0.74055555555555552</v>
      </c>
      <c r="Q793" s="817"/>
      <c r="R793" s="816"/>
      <c r="S793" s="817"/>
      <c r="T793" s="817"/>
      <c r="U793" s="816" t="s">
        <v>9551</v>
      </c>
      <c r="V793" s="816" t="s">
        <v>9551</v>
      </c>
      <c r="W793" s="267"/>
      <c r="X793" s="816" t="s">
        <v>26</v>
      </c>
      <c r="Y793">
        <v>72.599999999999994</v>
      </c>
      <c r="Z793">
        <v>70.900000000000006</v>
      </c>
      <c r="AA793" s="816" t="s">
        <v>9559</v>
      </c>
      <c r="AB793" s="816" t="s">
        <v>9591</v>
      </c>
      <c r="AC793" s="816"/>
      <c r="AD793" s="816"/>
      <c r="AE793" s="816"/>
      <c r="AF793" s="816"/>
      <c r="AG793" s="816"/>
      <c r="AI793" s="816"/>
      <c r="AK793" s="816"/>
      <c r="AM793" s="816"/>
    </row>
    <row r="794" spans="1:39" x14ac:dyDescent="0.25">
      <c r="A794" s="265">
        <v>44220</v>
      </c>
      <c r="B794">
        <v>0</v>
      </c>
      <c r="C794" s="816" t="s">
        <v>3</v>
      </c>
      <c r="D794">
        <v>534</v>
      </c>
      <c r="E794" s="816" t="s">
        <v>9534</v>
      </c>
      <c r="F794" s="816" t="s">
        <v>24</v>
      </c>
      <c r="G794" s="816" t="s">
        <v>9546</v>
      </c>
      <c r="H794">
        <v>26</v>
      </c>
      <c r="I794" s="816" t="s">
        <v>9548</v>
      </c>
      <c r="J794" s="816" t="s">
        <v>20</v>
      </c>
      <c r="K794" s="817">
        <v>0.15333333333333332</v>
      </c>
      <c r="L794" s="817">
        <v>0.22</v>
      </c>
      <c r="M794" s="817"/>
      <c r="N794" s="817"/>
      <c r="O794" s="817">
        <v>0.48030092592592594</v>
      </c>
      <c r="P794" s="817">
        <v>0.7406018518518519</v>
      </c>
      <c r="Q794" s="817"/>
      <c r="R794" s="816"/>
      <c r="S794" s="817"/>
      <c r="T794" s="817"/>
      <c r="U794" s="816" t="s">
        <v>9551</v>
      </c>
      <c r="V794" s="816" t="s">
        <v>9551</v>
      </c>
      <c r="W794" s="267"/>
      <c r="X794" s="816" t="s">
        <v>26</v>
      </c>
      <c r="Y794">
        <v>64.3</v>
      </c>
      <c r="Z794">
        <v>61</v>
      </c>
      <c r="AA794" s="816" t="s">
        <v>9560</v>
      </c>
      <c r="AB794" s="816" t="s">
        <v>9605</v>
      </c>
      <c r="AC794" s="816"/>
      <c r="AD794" s="816"/>
      <c r="AE794" s="816"/>
      <c r="AF794" s="816" t="s">
        <v>72</v>
      </c>
      <c r="AG794" s="816" t="s">
        <v>30</v>
      </c>
      <c r="AH794">
        <v>-1</v>
      </c>
      <c r="AI794" s="816"/>
      <c r="AK794" s="816"/>
      <c r="AM794" s="816"/>
    </row>
    <row r="795" spans="1:39" x14ac:dyDescent="0.25">
      <c r="A795" s="265">
        <v>44221</v>
      </c>
      <c r="B795">
        <v>1</v>
      </c>
      <c r="C795" s="816" t="s">
        <v>4</v>
      </c>
      <c r="D795">
        <v>534</v>
      </c>
      <c r="E795" s="816" t="s">
        <v>9534</v>
      </c>
      <c r="F795" s="816" t="s">
        <v>24</v>
      </c>
      <c r="G795" s="816" t="s">
        <v>9546</v>
      </c>
      <c r="H795">
        <v>27</v>
      </c>
      <c r="I795" s="816" t="s">
        <v>21</v>
      </c>
      <c r="J795" s="816" t="s">
        <v>21</v>
      </c>
      <c r="K795" s="817">
        <v>0.15361111111111111</v>
      </c>
      <c r="L795" s="817">
        <v>0.22027777777777779</v>
      </c>
      <c r="M795" s="817">
        <v>0.22013888888888888</v>
      </c>
      <c r="N795" s="817">
        <v>0.39305555555555555</v>
      </c>
      <c r="O795" s="817">
        <v>0.48046296296296293</v>
      </c>
      <c r="P795" s="817">
        <v>0.74064814814814817</v>
      </c>
      <c r="Q795" s="817"/>
      <c r="R795" s="816"/>
      <c r="S795" s="817"/>
      <c r="T795" s="817"/>
      <c r="U795" s="816" t="s">
        <v>9551</v>
      </c>
      <c r="V795" s="816" t="s">
        <v>9551</v>
      </c>
      <c r="W795" s="267"/>
      <c r="X795" s="816" t="s">
        <v>26</v>
      </c>
      <c r="Y795">
        <v>57.8</v>
      </c>
      <c r="Z795">
        <v>52.8</v>
      </c>
      <c r="AA795" s="816" t="s">
        <v>9561</v>
      </c>
      <c r="AB795" s="816" t="s">
        <v>9592</v>
      </c>
      <c r="AC795" s="816"/>
      <c r="AD795" s="816"/>
      <c r="AE795" s="816"/>
      <c r="AF795" s="816"/>
      <c r="AG795" s="816"/>
      <c r="AI795" s="816"/>
      <c r="AK795" s="816"/>
      <c r="AM795" s="816"/>
    </row>
    <row r="796" spans="1:39" x14ac:dyDescent="0.25">
      <c r="A796" s="265">
        <v>44222</v>
      </c>
      <c r="B796">
        <v>2</v>
      </c>
      <c r="C796" s="816" t="s">
        <v>5</v>
      </c>
      <c r="D796">
        <v>534</v>
      </c>
      <c r="E796" s="816" t="s">
        <v>9534</v>
      </c>
      <c r="F796" s="816" t="s">
        <v>24</v>
      </c>
      <c r="G796" s="816" t="s">
        <v>9546</v>
      </c>
      <c r="H796">
        <v>28</v>
      </c>
      <c r="I796" s="816" t="s">
        <v>8</v>
      </c>
      <c r="J796" s="816" t="s">
        <v>8</v>
      </c>
      <c r="K796" s="817">
        <v>0.15387731481481481</v>
      </c>
      <c r="L796" s="817">
        <v>0.22054398148148147</v>
      </c>
      <c r="M796" s="817"/>
      <c r="N796" s="817"/>
      <c r="O796" s="817">
        <v>0.48061342592592587</v>
      </c>
      <c r="P796" s="817">
        <v>0.74068287037037039</v>
      </c>
      <c r="Q796" s="817"/>
      <c r="R796" s="816"/>
      <c r="S796" s="817"/>
      <c r="T796" s="817"/>
      <c r="U796" s="816" t="s">
        <v>9551</v>
      </c>
      <c r="V796" s="816" t="s">
        <v>9551</v>
      </c>
      <c r="W796" s="267"/>
      <c r="X796" s="816" t="s">
        <v>26</v>
      </c>
      <c r="Y796">
        <v>53.5</v>
      </c>
      <c r="Z796">
        <v>46.6</v>
      </c>
      <c r="AA796" s="816" t="s">
        <v>9562</v>
      </c>
      <c r="AB796" s="816" t="s">
        <v>9593</v>
      </c>
      <c r="AC796" s="816"/>
      <c r="AD796" s="816"/>
      <c r="AE796" s="816"/>
      <c r="AF796" s="816"/>
      <c r="AG796" s="816"/>
      <c r="AI796" s="816"/>
      <c r="AK796" s="816"/>
      <c r="AM796" s="816"/>
    </row>
    <row r="797" spans="1:39" x14ac:dyDescent="0.25">
      <c r="A797" s="265">
        <v>44223</v>
      </c>
      <c r="B797">
        <v>3</v>
      </c>
      <c r="C797" s="816" t="s">
        <v>6</v>
      </c>
      <c r="D797">
        <v>534</v>
      </c>
      <c r="E797" s="816" t="s">
        <v>9534</v>
      </c>
      <c r="F797" s="816" t="s">
        <v>24</v>
      </c>
      <c r="G797" s="816" t="s">
        <v>9546</v>
      </c>
      <c r="H797">
        <v>29</v>
      </c>
      <c r="I797" s="816" t="s">
        <v>9</v>
      </c>
      <c r="J797" s="816" t="s">
        <v>9</v>
      </c>
      <c r="K797" s="817">
        <v>0.15413194444444445</v>
      </c>
      <c r="L797" s="817">
        <v>0.2207986111111111</v>
      </c>
      <c r="M797" s="817"/>
      <c r="N797" s="817"/>
      <c r="O797" s="817">
        <v>0.48075231481481479</v>
      </c>
      <c r="P797" s="817">
        <v>0.74069444444444443</v>
      </c>
      <c r="Q797" s="817"/>
      <c r="R797" s="816"/>
      <c r="S797" s="817"/>
      <c r="T797" s="817"/>
      <c r="U797" s="816" t="s">
        <v>9551</v>
      </c>
      <c r="V797" s="816" t="s">
        <v>9551</v>
      </c>
      <c r="W797" s="267"/>
      <c r="X797" s="816" t="s">
        <v>26</v>
      </c>
      <c r="Y797">
        <v>51.8</v>
      </c>
      <c r="Z797">
        <v>42.7</v>
      </c>
      <c r="AA797" s="816" t="s">
        <v>9563</v>
      </c>
      <c r="AB797" s="816" t="s">
        <v>9594</v>
      </c>
      <c r="AC797" s="816"/>
      <c r="AD797" s="816"/>
      <c r="AE797" s="816"/>
      <c r="AF797" s="816"/>
      <c r="AG797" s="816"/>
      <c r="AI797" s="816"/>
      <c r="AK797" s="816"/>
      <c r="AM797" s="816"/>
    </row>
    <row r="798" spans="1:39" x14ac:dyDescent="0.25">
      <c r="A798" s="265">
        <v>44224</v>
      </c>
      <c r="B798">
        <v>4</v>
      </c>
      <c r="C798" s="816" t="s">
        <v>7</v>
      </c>
      <c r="D798">
        <v>534</v>
      </c>
      <c r="E798" s="816" t="s">
        <v>9534</v>
      </c>
      <c r="F798" s="816" t="s">
        <v>24</v>
      </c>
      <c r="G798" s="816" t="s">
        <v>9546</v>
      </c>
      <c r="H798">
        <v>30</v>
      </c>
      <c r="I798" s="816" t="s">
        <v>10</v>
      </c>
      <c r="J798" s="816" t="s">
        <v>10</v>
      </c>
      <c r="K798" s="817">
        <v>0.15438657407407408</v>
      </c>
      <c r="L798" s="817">
        <v>0.22105324074074073</v>
      </c>
      <c r="M798" s="817"/>
      <c r="N798" s="817"/>
      <c r="O798" s="817">
        <v>0.4808796296296296</v>
      </c>
      <c r="P798" s="817">
        <v>0.74070601851851858</v>
      </c>
      <c r="Q798" s="817"/>
      <c r="R798" s="816"/>
      <c r="S798" s="817"/>
      <c r="T798" s="817"/>
      <c r="U798" s="816" t="s">
        <v>9551</v>
      </c>
      <c r="V798" s="816" t="s">
        <v>9551</v>
      </c>
      <c r="W798" s="267"/>
      <c r="X798" s="816" t="s">
        <v>26</v>
      </c>
      <c r="Y798">
        <v>52.8</v>
      </c>
      <c r="Z798">
        <v>41.2</v>
      </c>
      <c r="AA798" s="816" t="s">
        <v>9564</v>
      </c>
      <c r="AB798" s="816" t="s">
        <v>9595</v>
      </c>
      <c r="AC798" s="816"/>
      <c r="AD798" s="816"/>
      <c r="AE798" s="816"/>
      <c r="AF798" s="816"/>
      <c r="AG798" s="816"/>
      <c r="AI798" s="816"/>
      <c r="AK798" s="816"/>
      <c r="AM798" s="816"/>
    </row>
    <row r="799" spans="1:39" x14ac:dyDescent="0.25">
      <c r="A799" s="265">
        <v>44225</v>
      </c>
      <c r="B799">
        <v>5</v>
      </c>
      <c r="C799" s="816" t="s">
        <v>1</v>
      </c>
      <c r="D799">
        <v>534</v>
      </c>
      <c r="E799" s="816" t="s">
        <v>9535</v>
      </c>
      <c r="F799" s="816" t="s">
        <v>25</v>
      </c>
      <c r="G799" s="816" t="s">
        <v>9547</v>
      </c>
      <c r="H799">
        <v>1</v>
      </c>
      <c r="I799" s="816" t="s">
        <v>11</v>
      </c>
      <c r="J799" s="816" t="s">
        <v>11</v>
      </c>
      <c r="K799" s="817">
        <v>0.15462962962962964</v>
      </c>
      <c r="L799" s="817">
        <v>0.2212962962962963</v>
      </c>
      <c r="M799" s="817"/>
      <c r="N799" s="817"/>
      <c r="O799" s="817">
        <v>0.48099537037037038</v>
      </c>
      <c r="P799" s="817">
        <v>0.74070601851851858</v>
      </c>
      <c r="Q799" s="817"/>
      <c r="R799" s="816"/>
      <c r="S799" s="817"/>
      <c r="T799" s="817"/>
      <c r="U799" s="816" t="s">
        <v>9551</v>
      </c>
      <c r="V799" s="816" t="s">
        <v>9551</v>
      </c>
      <c r="W799" s="267"/>
      <c r="X799" s="816" t="s">
        <v>26</v>
      </c>
      <c r="Y799">
        <v>56.5</v>
      </c>
      <c r="Z799">
        <v>42.1</v>
      </c>
      <c r="AA799" s="816" t="s">
        <v>9565</v>
      </c>
      <c r="AB799" s="816" t="s">
        <v>9596</v>
      </c>
      <c r="AC799" s="816"/>
      <c r="AD799" s="816"/>
      <c r="AE799" s="816"/>
      <c r="AF799" s="816"/>
      <c r="AG799" s="816"/>
      <c r="AI799" s="816"/>
      <c r="AK799" s="816"/>
      <c r="AM799" s="816"/>
    </row>
    <row r="800" spans="1:39" x14ac:dyDescent="0.25">
      <c r="A800" s="265">
        <v>44226</v>
      </c>
      <c r="B800">
        <v>6</v>
      </c>
      <c r="C800" s="816" t="s">
        <v>2</v>
      </c>
      <c r="D800">
        <v>534</v>
      </c>
      <c r="E800" s="816" t="s">
        <v>9535</v>
      </c>
      <c r="F800" s="816" t="s">
        <v>25</v>
      </c>
      <c r="G800" s="816" t="s">
        <v>9547</v>
      </c>
      <c r="H800">
        <v>2</v>
      </c>
      <c r="I800" s="816" t="s">
        <v>12</v>
      </c>
      <c r="J800" s="816" t="s">
        <v>12</v>
      </c>
      <c r="K800" s="817">
        <v>0.15486111111111112</v>
      </c>
      <c r="L800" s="817">
        <v>0.22152777777777777</v>
      </c>
      <c r="M800" s="817"/>
      <c r="N800" s="817"/>
      <c r="O800" s="817">
        <v>0.4811111111111111</v>
      </c>
      <c r="P800" s="817">
        <v>0.74069444444444443</v>
      </c>
      <c r="Q800" s="817"/>
      <c r="R800" s="816"/>
      <c r="S800" s="817"/>
      <c r="T800" s="817"/>
      <c r="U800" s="816" t="s">
        <v>9551</v>
      </c>
      <c r="V800" s="816" t="s">
        <v>9551</v>
      </c>
      <c r="W800" s="267"/>
      <c r="X800" s="816" t="s">
        <v>26</v>
      </c>
      <c r="Y800">
        <v>62.4</v>
      </c>
      <c r="Z800">
        <v>45</v>
      </c>
      <c r="AA800" s="816" t="s">
        <v>9566</v>
      </c>
      <c r="AB800" s="816" t="s">
        <v>9597</v>
      </c>
      <c r="AC800" s="816"/>
      <c r="AD800" s="816"/>
      <c r="AE800" s="816"/>
      <c r="AF800" s="816"/>
      <c r="AG800" s="816"/>
      <c r="AI800" s="816"/>
      <c r="AK800" s="816"/>
      <c r="AM800" s="816"/>
    </row>
    <row r="801" spans="1:39" x14ac:dyDescent="0.25">
      <c r="A801" s="265">
        <v>44227</v>
      </c>
      <c r="B801">
        <v>0</v>
      </c>
      <c r="C801" s="816" t="s">
        <v>3</v>
      </c>
      <c r="D801">
        <v>534</v>
      </c>
      <c r="E801" s="816" t="s">
        <v>9535</v>
      </c>
      <c r="F801" s="816" t="s">
        <v>25</v>
      </c>
      <c r="G801" s="816" t="s">
        <v>9547</v>
      </c>
      <c r="H801">
        <v>3</v>
      </c>
      <c r="I801" s="816" t="s">
        <v>23</v>
      </c>
      <c r="J801" s="816" t="s">
        <v>23</v>
      </c>
      <c r="K801" s="817">
        <v>0.15509259259259259</v>
      </c>
      <c r="L801" s="817">
        <v>0.22175925925925924</v>
      </c>
      <c r="M801" s="817"/>
      <c r="N801" s="817"/>
      <c r="O801" s="817">
        <v>0.48121527777777778</v>
      </c>
      <c r="P801" s="817">
        <v>0.74067129629629624</v>
      </c>
      <c r="Q801" s="817"/>
      <c r="R801" s="816"/>
      <c r="S801" s="817"/>
      <c r="T801" s="817"/>
      <c r="U801" s="816" t="s">
        <v>9551</v>
      </c>
      <c r="V801" s="816" t="s">
        <v>9551</v>
      </c>
      <c r="W801" s="267"/>
      <c r="X801" s="816" t="s">
        <v>26</v>
      </c>
      <c r="Y801">
        <v>70</v>
      </c>
      <c r="Z801">
        <v>49.5</v>
      </c>
      <c r="AA801" s="816" t="s">
        <v>9567</v>
      </c>
      <c r="AB801" s="816" t="s">
        <v>9599</v>
      </c>
      <c r="AC801" s="816"/>
      <c r="AD801" s="816"/>
      <c r="AE801" s="816"/>
      <c r="AF801" s="816"/>
      <c r="AG801" s="816"/>
      <c r="AI801" s="816"/>
      <c r="AK801" s="816"/>
      <c r="AM801" s="816"/>
    </row>
    <row r="802" spans="1:39" x14ac:dyDescent="0.25">
      <c r="A802" s="265">
        <v>44228</v>
      </c>
      <c r="B802">
        <v>1</v>
      </c>
      <c r="C802" s="816" t="s">
        <v>4</v>
      </c>
      <c r="D802">
        <v>534</v>
      </c>
      <c r="E802" s="816" t="s">
        <v>9535</v>
      </c>
      <c r="F802" s="816" t="s">
        <v>25</v>
      </c>
      <c r="G802" s="816" t="s">
        <v>9547</v>
      </c>
      <c r="H802">
        <v>4</v>
      </c>
      <c r="I802" s="816" t="s">
        <v>13</v>
      </c>
      <c r="J802" s="816" t="s">
        <v>13</v>
      </c>
      <c r="K802" s="817">
        <v>0.15531249999999999</v>
      </c>
      <c r="L802" s="817">
        <v>0.22197916666666664</v>
      </c>
      <c r="M802" s="817"/>
      <c r="N802" s="817"/>
      <c r="O802" s="817">
        <v>0.48130787037037037</v>
      </c>
      <c r="P802" s="817">
        <v>0.74062499999999998</v>
      </c>
      <c r="Q802" s="817"/>
      <c r="R802" s="816"/>
      <c r="S802" s="817"/>
      <c r="T802" s="817"/>
      <c r="U802" s="816" t="s">
        <v>9551</v>
      </c>
      <c r="V802" s="816" t="s">
        <v>9551</v>
      </c>
      <c r="X802" s="816" t="s">
        <v>26</v>
      </c>
      <c r="Y802">
        <v>78.900000000000006</v>
      </c>
      <c r="Z802">
        <v>55.1</v>
      </c>
      <c r="AA802" s="816" t="s">
        <v>9568</v>
      </c>
      <c r="AB802" s="816" t="s">
        <v>9600</v>
      </c>
      <c r="AC802" s="816"/>
      <c r="AD802" s="816"/>
      <c r="AE802" s="816"/>
      <c r="AF802" s="816"/>
      <c r="AG802" s="816"/>
      <c r="AI802" s="816"/>
      <c r="AK802" s="816"/>
      <c r="AM802" s="816"/>
    </row>
  </sheetData>
  <pageMargins left="0.511811024" right="0.511811024" top="0.78740157499999996" bottom="0.78740157499999996" header="0.31496062000000002" footer="0.31496062000000002"/>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wksGCalYear"/>
  <dimension ref="A1:AV435"/>
  <sheetViews>
    <sheetView workbookViewId="0">
      <pane xSplit="5" ySplit="1" topLeftCell="F2" activePane="bottomRight" state="frozen"/>
      <selection pane="topRight" activeCell="E1" sqref="E1"/>
      <selection pane="bottomLeft" activeCell="A2" sqref="A2"/>
      <selection pane="bottomRight"/>
    </sheetView>
  </sheetViews>
  <sheetFormatPr defaultRowHeight="15" x14ac:dyDescent="0.25"/>
  <cols>
    <col min="1" max="1" width="10.7109375" bestFit="1" customWidth="1"/>
    <col min="2" max="2" width="11.5703125" bestFit="1" customWidth="1"/>
    <col min="3" max="3" width="4.28515625" customWidth="1"/>
    <col min="4" max="4" width="5.5703125" bestFit="1" customWidth="1"/>
    <col min="5" max="5" width="8.7109375" bestFit="1" customWidth="1"/>
    <col min="6" max="8" width="3.5703125" customWidth="1"/>
    <col min="9" max="9" width="8.85546875" customWidth="1"/>
    <col min="10" max="10" width="8.85546875" bestFit="1" customWidth="1"/>
    <col min="11" max="12" width="8.85546875" customWidth="1"/>
    <col min="13" max="13" width="9.140625" customWidth="1"/>
    <col min="20" max="21" width="7" customWidth="1"/>
    <col min="22" max="22" width="4.140625" customWidth="1"/>
    <col min="27" max="37" width="7.140625" customWidth="1"/>
    <col min="42" max="44" width="4.28515625" customWidth="1"/>
    <col min="45" max="46" width="10.140625" bestFit="1" customWidth="1"/>
  </cols>
  <sheetData>
    <row r="1" spans="1:48" x14ac:dyDescent="0.25">
      <c r="A1" t="s">
        <v>1240</v>
      </c>
      <c r="B1" t="s">
        <v>7243</v>
      </c>
      <c r="C1" s="446" t="s">
        <v>7537</v>
      </c>
      <c r="D1" t="s">
        <v>7245</v>
      </c>
      <c r="E1" t="s">
        <v>7244</v>
      </c>
      <c r="F1" s="305" t="s">
        <v>7551</v>
      </c>
      <c r="G1" s="305" t="s">
        <v>7585</v>
      </c>
      <c r="H1" s="305" t="s">
        <v>7242</v>
      </c>
      <c r="I1" s="327" t="s">
        <v>7499</v>
      </c>
      <c r="J1" s="327" t="s">
        <v>7500</v>
      </c>
      <c r="K1" s="327" t="s">
        <v>7501</v>
      </c>
      <c r="L1" s="327" t="s">
        <v>7502</v>
      </c>
      <c r="M1" s="274" t="s">
        <v>7502</v>
      </c>
      <c r="N1" s="274" t="s">
        <v>7503</v>
      </c>
      <c r="O1" s="274" t="s">
        <v>7504</v>
      </c>
      <c r="P1" s="274" t="s">
        <v>7505</v>
      </c>
      <c r="Q1" s="274" t="s">
        <v>7516</v>
      </c>
      <c r="R1" s="274" t="s">
        <v>7518</v>
      </c>
      <c r="S1" s="274" t="s">
        <v>7520</v>
      </c>
      <c r="T1" t="s">
        <v>7506</v>
      </c>
      <c r="U1" t="s">
        <v>7498</v>
      </c>
      <c r="V1" s="320" t="s">
        <v>7494</v>
      </c>
      <c r="W1" s="303" t="s">
        <v>7544</v>
      </c>
      <c r="X1" s="303" t="s">
        <v>7545</v>
      </c>
      <c r="Y1" s="303" t="s">
        <v>7546</v>
      </c>
      <c r="Z1" s="303" t="s">
        <v>7547</v>
      </c>
      <c r="AA1" s="327" t="s">
        <v>7507</v>
      </c>
      <c r="AB1" s="327" t="s">
        <v>7508</v>
      </c>
      <c r="AC1" s="327" t="s">
        <v>7509</v>
      </c>
      <c r="AD1" s="327" t="s">
        <v>7510</v>
      </c>
      <c r="AE1" s="274" t="s">
        <v>7510</v>
      </c>
      <c r="AF1" s="274" t="s">
        <v>7511</v>
      </c>
      <c r="AG1" s="274" t="s">
        <v>7512</v>
      </c>
      <c r="AH1" s="274" t="s">
        <v>7513</v>
      </c>
      <c r="AI1" s="274" t="s">
        <v>7517</v>
      </c>
      <c r="AJ1" s="274" t="s">
        <v>7519</v>
      </c>
      <c r="AK1" s="274" t="s">
        <v>7521</v>
      </c>
      <c r="AL1" s="303" t="s">
        <v>7487</v>
      </c>
      <c r="AM1" s="303" t="s">
        <v>7488</v>
      </c>
      <c r="AN1" s="303" t="s">
        <v>7491</v>
      </c>
      <c r="AO1" s="303" t="s">
        <v>7492</v>
      </c>
      <c r="AP1" s="303" t="s">
        <v>7542</v>
      </c>
      <c r="AQ1" s="303" t="s">
        <v>7543</v>
      </c>
      <c r="AR1" s="303" t="s">
        <v>7536</v>
      </c>
      <c r="AS1" s="327" t="s">
        <v>9685</v>
      </c>
      <c r="AT1" s="327" t="s">
        <v>9649</v>
      </c>
      <c r="AU1" s="303" t="s">
        <v>9648</v>
      </c>
      <c r="AV1" s="320" t="s">
        <v>9650</v>
      </c>
    </row>
    <row r="2" spans="1:48" x14ac:dyDescent="0.25">
      <c r="A2" s="265">
        <f t="shared" ref="A2:A7" si="0">A3-1</f>
        <v>43428</v>
      </c>
      <c r="B2" s="265" t="str">
        <f>DAY(A2) &amp; " " &amp; MonthStr(MONTH(A2)) &amp; " " &amp; YEAR(A2)</f>
        <v>24 Nov 2018</v>
      </c>
      <c r="C2" s="267">
        <f>WEEKNUM(A2,2)</f>
        <v>47</v>
      </c>
      <c r="D2">
        <f>MATCH(A2,GCalXMLT[daydate],0)</f>
        <v>1</v>
      </c>
      <c r="E2">
        <f>VALUE("1" &amp; Masacod(INDEX(GCalXMLT[gymasa],D2)) &amp; PaksaCod(INDEX(GCalXMLT[mpaksaid],D2)) &amp; TithiCod(INDEX(GCalXMLT[stithiname],D2)))</f>
        <v>109002</v>
      </c>
      <c r="F2" t="str">
        <f ca="1">INDEX(Parameters!$K$2:$K$16,MATCH(AV2,Parameters!$L$2:$L$16,0))</f>
        <v/>
      </c>
      <c r="G2">
        <f>INDEX(GCalXMLT[fastmark],$D2)</f>
        <v>0</v>
      </c>
      <c r="H2" t="str">
        <f ca="1">INDEX(Parameters!$J$2:$J$16,MATCH(AV2,Parameters!$L$2:$L$16,0))</f>
        <v/>
      </c>
      <c r="I2">
        <f>INDEX(GCalXMLT[dfestival1],$D2)</f>
        <v>0</v>
      </c>
      <c r="J2">
        <f>IF(INDEX(GCalXMLT[dfestival2],$D2)="(Fast today)",INDEX(Festivals!$R$2:$R$180,MATCH($I2,Festivals!$R$2:$R$180,0)+1),INDEX(GCalXMLT[dfestival2],$D2))</f>
        <v>0</v>
      </c>
      <c r="K2">
        <f>IF(I2="Nandotsava","(Fast till noon)",INDEX(GCalXMLT[dfestival3],$D2))</f>
        <v>0</v>
      </c>
      <c r="L2">
        <f>IF(I2="Nandotsava", INDEX(GCalXMLT[dfestival3],$D2),INDEX(GCalXMLT[dfestival4],$D2))</f>
        <v>0</v>
      </c>
      <c r="M2" t="str">
        <f>IFERROR(INDEX(Festivals!$S$2:$S$160,AP2),"")</f>
        <v/>
      </c>
      <c r="N2" t="str">
        <f>IFERROR(IF($AQ2&gt;1,INDEX(Festivals!$S$2:$S$160,$AP2+1),""),"")</f>
        <v/>
      </c>
      <c r="O2" t="str">
        <f>IFERROR(IF($AQ2&gt;2,INDEX(Festivals!$S$2:$S$160,$AP2+2),""),"")</f>
        <v/>
      </c>
      <c r="P2" t="str">
        <f>IFERROR(IF($AQ2&gt;3,INDEX(Festivals!$S$2:$S$160,$AP2+3),""),"")</f>
        <v/>
      </c>
      <c r="Q2" t="str">
        <f>IFERROR(IF($AQ2&gt;4,INDEX(Festivals!$S$2:$S$160,$AP2+4),""),"")</f>
        <v/>
      </c>
      <c r="R2" t="str">
        <f>IFERROR(IF($AQ2&gt;5,INDEX(Festivals!$S$2:$S$160,$AP2+5),""),"")</f>
        <v/>
      </c>
      <c r="S2" t="str">
        <f>IFERROR(IF($AQ2&gt;6,INDEX(Festivals!$S$2:$S$160,$AP2+6),""),"")</f>
        <v/>
      </c>
      <c r="T2">
        <f>INDEX(GCalXMLT[dcaturmasya1],$D2)</f>
        <v>0</v>
      </c>
      <c r="U2">
        <f>INDEX(GCalXMLT[dcaturmasya2],$D2)</f>
        <v>0</v>
      </c>
      <c r="V2" t="str">
        <f>INDEX(GCalXMLT[sankrantirasi],$D2) &amp; " " &amp; INDEX(GCalXMLT[sankrantitime],$D2)</f>
        <v xml:space="preserve"> </v>
      </c>
      <c r="W2" t="str">
        <f ca="1">IFERROR(INDEX('Holidays Calc'!$K$2:$K$233,AR2),"")</f>
        <v/>
      </c>
      <c r="X2" t="str">
        <f ca="1">IF(AR2="","",IF(INDEX('Holidays Calc'!$I$2:$I$233,AR2+1)=A2,INDEX('Holidays Calc'!$K$2:$K$233,AR2+1),""))</f>
        <v/>
      </c>
      <c r="Y2" t="str">
        <f ca="1">IF(AR2="","",IF(INDEX('Holidays Calc'!$I$2:$I$233,AR2+2)=A2,INDEX('Holidays Calc'!$K$2:$K$233,AR2+2),""))</f>
        <v/>
      </c>
      <c r="Z2" t="str">
        <f ca="1">IF(AR2="","",IF(INDEX('Holidays Calc'!$I$2:$I$233,AR2+3)=A2,INDEX('Holidays Calc'!$K$2:$K$2333,AR2+3),""))</f>
        <v/>
      </c>
      <c r="AA2" t="str">
        <f>IF(I2="Last day of Bhisma Pancaka","",IF(G2="*",-0.7,IF(ISBLANK(INDEX(GCalXMLT[dclass1],$D2)),"",INDEX(GCalXMLT[dclass1],$D2))))</f>
        <v/>
      </c>
      <c r="AB2" t="str">
        <f>IF(J2="First day of Bhisma Pancaka","",IF(AND(G2="*",NOT(ISERROR(SEARCH("ekadasi",J2)))),-0.7,IF(ISBLANK(INDEX(GCalXMLT[dclass2],$D2)),"",INDEX(GCalXMLT[dclass2],$D2))))</f>
        <v/>
      </c>
      <c r="AC2" t="str">
        <f>IF(I2="Nandotsava",-1,IF(ISBLANK(INDEX(GCalXMLT[dclass3],$D2)),"",INDEX(GCalXMLT[dclass3],$D2)))</f>
        <v/>
      </c>
      <c r="AD2" t="str">
        <f>IF(I2="Nandotsava",IF(ISBLANK(INDEX(GCalXMLT[dclass3],$D2)),"",INDEX(GCalXMLT[dclass3],$D2)),IF(ISBLANK(INDEX(GCalXMLT[dclass4],$D2)),"",INDEX(GCalXMLT[dclass4],$D2)))</f>
        <v/>
      </c>
      <c r="AE2" t="str">
        <f>IFERROR(INDEX(Festivals!$V$2:$V$160,AP2),"")</f>
        <v/>
      </c>
      <c r="AF2" t="str">
        <f>IFERROR(IF($AQ2&gt;1,INDEX(Festivals!$V$2:$V$160,$AP2+1),""),"")</f>
        <v/>
      </c>
      <c r="AG2" t="str">
        <f>IFERROR(IF($AQ2&gt;2,INDEX(Festivals!$V$2:$V$160,$AP2+2),""),"")</f>
        <v/>
      </c>
      <c r="AH2" t="str">
        <f>IFERROR(IF($AQ2&gt;3,INDEX(Festivals!$V$2:$V$160,$AP2+3),""),"")</f>
        <v/>
      </c>
      <c r="AI2" t="str">
        <f>IFERROR(IF($AQ2&gt;4,INDEX(Festivals!$V$2:$V$160,$AP2+4),""),"")</f>
        <v/>
      </c>
      <c r="AJ2" t="str">
        <f>IFERROR(IF($AQ2&gt;5,INDEX(Festivals!$V$2:$V$160,$AP2+5),""),"")</f>
        <v/>
      </c>
      <c r="AK2" t="str">
        <f>IFERROR(IF($AQ2&gt;6,INDEX(Festivals!$V$2:$V$160,$AP2+6),""),"")</f>
        <v/>
      </c>
      <c r="AL2" t="str">
        <f ca="1">IFERROR(INDEX('Holidays Calc'!$J$2:$J$233,MATCH(A2,'Holidays Calc'!$I$2:$I$233,0)),"")</f>
        <v/>
      </c>
      <c r="AM2" t="str">
        <f ca="1">IF(AR2="","",IF(INDEX('Holidays Calc'!$I$2:$I$233,AR2+1)=A2,INDEX('Holidays Calc'!$J$2:$J$233,AR2+1),""))</f>
        <v/>
      </c>
      <c r="AN2" t="str">
        <f ca="1">IF(AR2="","",IF(INDEX('Holidays Calc'!$I$2:$I$233,AR2+2)=A2,INDEX('Holidays Calc'!$J$2:$J$233,AR2+2),""))</f>
        <v/>
      </c>
      <c r="AO2" t="str">
        <f ca="1">IF(AR2="","",IF(INDEX('Holidays Calc'!$I$2:$I$233,AR2+3)=A2,INDEX('Holidays Calc'!$J$2:$J$233,AR2+3),""))</f>
        <v/>
      </c>
      <c r="AP2" t="str">
        <f>IFERROR(IF($E2=E1,"",MATCH($E2,Festivals!$H$2:$H$160,0)),"")</f>
        <v/>
      </c>
      <c r="AQ2" t="str">
        <f>IF(AP2="","",COUNTIF(Festivals!$H$2:$H$160,$E2))</f>
        <v/>
      </c>
      <c r="AR2" t="str">
        <f ca="1">IFERROR(MATCH(A2,'Holidays Calc'!$I$2:$I$233,0),"")</f>
        <v/>
      </c>
      <c r="AS2" t="str">
        <f>IF(COUNT(AA2:AK2)&lt;1,"",MIN(AA2:AK2))</f>
        <v/>
      </c>
      <c r="AT2" t="str">
        <f t="shared" ref="AT2:AT65" si="1">IF(AND(G2 = "*", AS2 &lt;= -1 ), -2, IF(AND(G1 = "*", AS2 &lt;= -1), -0.3, AS2))</f>
        <v/>
      </c>
      <c r="AU2" t="str">
        <f ca="1">IF(COUNT(AL2:AO2)&lt;1,"",MIN(AL2:AO2))</f>
        <v/>
      </c>
      <c r="AV2" t="str">
        <f ca="1">IF(AND(AU2 &lt; -10,AT2 &lt; -0.5),-21,IF(COUNT(AT2:AU2)&lt;1,"",MIN(AT2:AU2)))</f>
        <v/>
      </c>
    </row>
    <row r="3" spans="1:48" x14ac:dyDescent="0.25">
      <c r="A3" s="265">
        <f t="shared" si="0"/>
        <v>43429</v>
      </c>
      <c r="B3" s="265" t="str">
        <f>DAY(A3) &amp; " " &amp; MonthStr(MONTH(A3)) &amp; " " &amp; YEAR(A3)</f>
        <v>25 Nov 2018</v>
      </c>
      <c r="C3" s="267">
        <f>WEEKNUM(A3,2)</f>
        <v>47</v>
      </c>
      <c r="D3">
        <f>MATCH(A3,GCalXMLT[daydate],0)</f>
        <v>2</v>
      </c>
      <c r="E3">
        <f>VALUE("1" &amp; Masacod(INDEX(GCalXMLT[gymasa],D3)) &amp; PaksaCod(INDEX(GCalXMLT[mpaksaid],D3)) &amp; TithiCod(INDEX(GCalXMLT[stithiname],D3)))</f>
        <v>109003</v>
      </c>
      <c r="F3" t="str">
        <f ca="1">INDEX(Parameters!$K$2:$K$16,MATCH(AV3,Parameters!$L$2:$L$16,0))</f>
        <v/>
      </c>
      <c r="G3">
        <f>INDEX(GCalXMLT[fastmark],$D3)</f>
        <v>0</v>
      </c>
      <c r="H3" t="str">
        <f ca="1">INDEX(Parameters!$J$2:$J$16,MATCH(AV3,Parameters!$L$2:$L$16,0))</f>
        <v/>
      </c>
      <c r="I3">
        <f>INDEX(GCalXMLT[dfestival1],$D3)</f>
        <v>0</v>
      </c>
      <c r="J3">
        <f>IF(INDEX(GCalXMLT[dfestival2],$D3)="(Fast today)",INDEX(Festivals!$R$2:$R$180,MATCH($I3,Festivals!$R$2:$R$180,0)+1),INDEX(GCalXMLT[dfestival2],$D3))</f>
        <v>0</v>
      </c>
      <c r="K3">
        <f>IF(I3="Nandotsava","(Fast till noon)",INDEX(GCalXMLT[dfestival3],$D3))</f>
        <v>0</v>
      </c>
      <c r="L3">
        <f>IF(I3="Nandotsava", INDEX(GCalXMLT[dfestival3],$D3),INDEX(GCalXMLT[dfestival4],$D3))</f>
        <v>0</v>
      </c>
      <c r="M3" t="str">
        <f>IFERROR(INDEX(Festivals!$S$2:$S$160,AP3),"")</f>
        <v/>
      </c>
      <c r="N3" t="str">
        <f>IFERROR(IF($AQ3&gt;1,INDEX(Festivals!$S$2:$S$160,$AP3+1),""),"")</f>
        <v/>
      </c>
      <c r="O3" t="str">
        <f>IFERROR(IF($AQ3&gt;2,INDEX(Festivals!$S$2:$S$160,$AP3+2),""),"")</f>
        <v/>
      </c>
      <c r="P3" t="str">
        <f>IFERROR(IF($AQ3&gt;3,INDEX(Festivals!$S$2:$S$160,$AP3+3),""),"")</f>
        <v/>
      </c>
      <c r="Q3" t="str">
        <f>IFERROR(IF($AQ3&gt;4,INDEX(Festivals!$S$2:$S$160,$AP3+4),""),"")</f>
        <v/>
      </c>
      <c r="R3" t="str">
        <f>IFERROR(IF($AQ3&gt;5,INDEX(Festivals!$S$2:$S$160,$AP3+5),""),"")</f>
        <v/>
      </c>
      <c r="S3" t="str">
        <f>IFERROR(IF($AQ3&gt;6,INDEX(Festivals!$S$2:$S$160,$AP3+6),""),"")</f>
        <v/>
      </c>
      <c r="T3">
        <f>INDEX(GCalXMLT[dcaturmasya1],$D3)</f>
        <v>0</v>
      </c>
      <c r="U3">
        <f>INDEX(GCalXMLT[dcaturmasya2],$D3)</f>
        <v>0</v>
      </c>
      <c r="V3" t="str">
        <f>INDEX(GCalXMLT[sankrantirasi],$D3) &amp; " " &amp; INDEX(GCalXMLT[sankrantitime],$D3)</f>
        <v xml:space="preserve"> </v>
      </c>
      <c r="W3" t="str">
        <f ca="1">IFERROR(INDEX('Holidays Calc'!$K$2:$K$233,AR3),"")</f>
        <v/>
      </c>
      <c r="X3" t="str">
        <f ca="1">IF(AR3="","",IF(INDEX('Holidays Calc'!$I$2:$I$233,AR3+1)=A3,INDEX('Holidays Calc'!$K$2:$K$233,AR3+1),""))</f>
        <v/>
      </c>
      <c r="Y3" t="str">
        <f ca="1">IF(AR3="","",IF(INDEX('Holidays Calc'!$I$2:$I$233,AR3+2)=A3,INDEX('Holidays Calc'!$K$2:$K$233,AR3+2),""))</f>
        <v/>
      </c>
      <c r="Z3" t="str">
        <f ca="1">IF(AR3="","",IF(INDEX('Holidays Calc'!$I$2:$I$233,AR3+3)=A3,INDEX('Holidays Calc'!$K$2:$K$2333,AR3+3),""))</f>
        <v/>
      </c>
      <c r="AA3" t="str">
        <f>IF(I3="Last day of Bhisma Pancaka","",IF(G3="*",-0.7,IF(ISBLANK(INDEX(GCalXMLT[dclass1],$D3)),"",INDEX(GCalXMLT[dclass1],$D3))))</f>
        <v/>
      </c>
      <c r="AB3" t="str">
        <f>IF(J3="First day of Bhisma Pancaka","",IF(AND(G3="*",NOT(ISERROR(SEARCH("ekadasi",J3)))),-0.7,IF(ISBLANK(INDEX(GCalXMLT[dclass2],$D3)),"",INDEX(GCalXMLT[dclass2],$D3))))</f>
        <v/>
      </c>
      <c r="AC3" t="str">
        <f>IF(I3="Nandotsava",-1,IF(ISBLANK(INDEX(GCalXMLT[dclass3],$D3)),"",INDEX(GCalXMLT[dclass3],$D3)))</f>
        <v/>
      </c>
      <c r="AD3" t="str">
        <f>IF(I3="Nandotsava",IF(ISBLANK(INDEX(GCalXMLT[dclass3],$D3)),"",INDEX(GCalXMLT[dclass3],$D3)),IF(ISBLANK(INDEX(GCalXMLT[dclass4],$D3)),"",INDEX(GCalXMLT[dclass4],$D3)))</f>
        <v/>
      </c>
      <c r="AE3" t="str">
        <f>IFERROR(INDEX(Festivals!$V$2:$V$160,AP3),"")</f>
        <v/>
      </c>
      <c r="AF3" t="str">
        <f>IFERROR(IF($AQ3&gt;1,INDEX(Festivals!$V$2:$V$160,$AP3+1),""),"")</f>
        <v/>
      </c>
      <c r="AG3" t="str">
        <f>IFERROR(IF($AQ3&gt;2,INDEX(Festivals!$V$2:$V$160,$AP3+2),""),"")</f>
        <v/>
      </c>
      <c r="AH3" t="str">
        <f>IFERROR(IF($AQ3&gt;3,INDEX(Festivals!$V$2:$V$160,$AP3+3),""),"")</f>
        <v/>
      </c>
      <c r="AI3" t="str">
        <f>IFERROR(IF($AQ3&gt;4,INDEX(Festivals!$V$2:$V$160,$AP3+4),""),"")</f>
        <v/>
      </c>
      <c r="AJ3" t="str">
        <f>IFERROR(IF($AQ3&gt;5,INDEX(Festivals!$V$2:$V$160,$AP3+5),""),"")</f>
        <v/>
      </c>
      <c r="AK3" t="str">
        <f>IFERROR(IF($AQ3&gt;6,INDEX(Festivals!$V$2:$V$160,$AP3+6),""),"")</f>
        <v/>
      </c>
      <c r="AL3" t="str">
        <f ca="1">IFERROR(INDEX('Holidays Calc'!$J$2:$J$233,MATCH(A3,'Holidays Calc'!$I$2:$I$233,0)),"")</f>
        <v/>
      </c>
      <c r="AM3" t="str">
        <f ca="1">IF(AR3="","",IF(INDEX('Holidays Calc'!$I$2:$I$233,AR3+1)=A3,INDEX('Holidays Calc'!$J$2:$J$233,AR3+1),""))</f>
        <v/>
      </c>
      <c r="AN3" t="str">
        <f ca="1">IF(AR3="","",IF(INDEX('Holidays Calc'!$I$2:$I$233,AR3+2)=A3,INDEX('Holidays Calc'!$J$2:$J$233,AR3+2),""))</f>
        <v/>
      </c>
      <c r="AO3" t="str">
        <f ca="1">IF(AR3="","",IF(INDEX('Holidays Calc'!$I$2:$I$233,AR3+3)=A3,INDEX('Holidays Calc'!$J$2:$J$233,AR3+3),""))</f>
        <v/>
      </c>
      <c r="AP3" t="str">
        <f>IFERROR(IF($E3=E2,"",MATCH($E3,Festivals!$H$2:$H$160,0)),"")</f>
        <v/>
      </c>
      <c r="AQ3" t="str">
        <f>IF(AP3="","",COUNTIF(Festivals!$H$2:$H$160,$E3))</f>
        <v/>
      </c>
      <c r="AR3" t="str">
        <f ca="1">IFERROR(MATCH(A3,'Holidays Calc'!$I$2:$I$233,0),"")</f>
        <v/>
      </c>
      <c r="AS3" t="str">
        <f t="shared" ref="AS3:AS66" si="2">IF(COUNT(AA3:AK3)&lt;1,"",MIN(AA3:AK3))</f>
        <v/>
      </c>
      <c r="AT3" t="str">
        <f t="shared" si="1"/>
        <v/>
      </c>
      <c r="AU3" t="str">
        <f t="shared" ref="AU3:AU66" ca="1" si="3">IF(COUNT(AL3:AO3)&lt;1,"",MIN(AL3:AO3))</f>
        <v/>
      </c>
      <c r="AV3" t="str">
        <f t="shared" ref="AV3:AV66" ca="1" si="4">IF(AND(AU3 &lt; -10,AT3 &lt; -0.5),-21,IF(COUNT(AT3:AU3)&lt;1,"",MIN(AT3:AU3)))</f>
        <v/>
      </c>
    </row>
    <row r="4" spans="1:48" x14ac:dyDescent="0.25">
      <c r="A4" s="265">
        <f t="shared" si="0"/>
        <v>43430</v>
      </c>
      <c r="B4" s="265" t="str">
        <f t="shared" ref="B4:B11" si="5">DAY(A4) &amp; " " &amp; MonthStr(MONTH(A4)) &amp; " " &amp; YEAR(A4)</f>
        <v>26 Nov 2018</v>
      </c>
      <c r="C4" s="267">
        <f t="shared" ref="C4:C11" si="6">WEEKNUM(A4,2)</f>
        <v>48</v>
      </c>
      <c r="D4">
        <f>MATCH(A4,GCalXMLT[daydate],0)</f>
        <v>3</v>
      </c>
      <c r="E4">
        <f>VALUE("1" &amp; Masacod(INDEX(GCalXMLT[gymasa],D4)) &amp; PaksaCod(INDEX(GCalXMLT[mpaksaid],D4)) &amp; TithiCod(INDEX(GCalXMLT[stithiname],D4)))</f>
        <v>109004</v>
      </c>
      <c r="F4" t="str">
        <f ca="1">INDEX(Parameters!$K$2:$K$16,MATCH(AV4,Parameters!$L$2:$L$16,0))</f>
        <v/>
      </c>
      <c r="G4">
        <f>INDEX(GCalXMLT[fastmark],$D4)</f>
        <v>0</v>
      </c>
      <c r="H4" t="str">
        <f ca="1">INDEX(Parameters!$J$2:$J$16,MATCH(AV4,Parameters!$L$2:$L$16,0))</f>
        <v/>
      </c>
      <c r="I4">
        <f>INDEX(GCalXMLT[dfestival1],$D4)</f>
        <v>0</v>
      </c>
      <c r="J4">
        <f>IF(INDEX(GCalXMLT[dfestival2],$D4)="(Fast today)",INDEX(Festivals!$R$2:$R$180,MATCH($I4,Festivals!$R$2:$R$180,0)+1),INDEX(GCalXMLT[dfestival2],$D4))</f>
        <v>0</v>
      </c>
      <c r="K4">
        <f>IF(I4="Nandotsava","(Fast till noon)",INDEX(GCalXMLT[dfestival3],$D4))</f>
        <v>0</v>
      </c>
      <c r="L4">
        <f>IF(I4="Nandotsava", INDEX(GCalXMLT[dfestival3],$D4),INDEX(GCalXMLT[dfestival4],$D4))</f>
        <v>0</v>
      </c>
      <c r="M4" t="str">
        <f>IFERROR(INDEX(Festivals!$S$2:$S$160,AP4),"")</f>
        <v/>
      </c>
      <c r="N4" t="str">
        <f>IFERROR(IF($AQ4&gt;1,INDEX(Festivals!$S$2:$S$160,$AP4+1),""),"")</f>
        <v/>
      </c>
      <c r="O4" t="str">
        <f>IFERROR(IF($AQ4&gt;2,INDEX(Festivals!$S$2:$S$160,$AP4+2),""),"")</f>
        <v/>
      </c>
      <c r="P4" t="str">
        <f>IFERROR(IF($AQ4&gt;3,INDEX(Festivals!$S$2:$S$160,$AP4+3),""),"")</f>
        <v/>
      </c>
      <c r="Q4" t="str">
        <f>IFERROR(IF($AQ4&gt;4,INDEX(Festivals!$S$2:$S$160,$AP4+4),""),"")</f>
        <v/>
      </c>
      <c r="R4" t="str">
        <f>IFERROR(IF($AQ4&gt;5,INDEX(Festivals!$S$2:$S$160,$AP4+5),""),"")</f>
        <v/>
      </c>
      <c r="S4" t="str">
        <f>IFERROR(IF($AQ4&gt;6,INDEX(Festivals!$S$2:$S$160,$AP4+6),""),"")</f>
        <v/>
      </c>
      <c r="T4">
        <f>INDEX(GCalXMLT[dcaturmasya1],$D4)</f>
        <v>0</v>
      </c>
      <c r="U4">
        <f>INDEX(GCalXMLT[dcaturmasya2],$D4)</f>
        <v>0</v>
      </c>
      <c r="V4" t="str">
        <f>INDEX(GCalXMLT[sankrantirasi],$D4) &amp; " " &amp; INDEX(GCalXMLT[sankrantitime],$D4)</f>
        <v xml:space="preserve"> </v>
      </c>
      <c r="W4" t="str">
        <f ca="1">IFERROR(INDEX('Holidays Calc'!$K$2:$K$233,AR4),"")</f>
        <v/>
      </c>
      <c r="X4" t="str">
        <f ca="1">IF(AR4="","",IF(INDEX('Holidays Calc'!$I$2:$I$233,AR4+1)=A4,INDEX('Holidays Calc'!$K$2:$K$233,AR4+1),""))</f>
        <v/>
      </c>
      <c r="Y4" t="str">
        <f ca="1">IF(AR4="","",IF(INDEX('Holidays Calc'!$I$2:$I$233,AR4+2)=A4,INDEX('Holidays Calc'!$K$2:$K$233,AR4+2),""))</f>
        <v/>
      </c>
      <c r="Z4" t="str">
        <f ca="1">IF(AR4="","",IF(INDEX('Holidays Calc'!$I$2:$I$233,AR4+3)=A4,INDEX('Holidays Calc'!$K$2:$K$2333,AR4+3),""))</f>
        <v/>
      </c>
      <c r="AA4" t="str">
        <f>IF(I4="Last day of Bhisma Pancaka","",IF(G4="*",-0.7,IF(ISBLANK(INDEX(GCalXMLT[dclass1],$D4)),"",INDEX(GCalXMLT[dclass1],$D4))))</f>
        <v/>
      </c>
      <c r="AB4" t="str">
        <f>IF(J4="First day of Bhisma Pancaka","",IF(AND(G4="*",NOT(ISERROR(SEARCH("ekadasi",J4)))),-0.7,IF(ISBLANK(INDEX(GCalXMLT[dclass2],$D4)),"",INDEX(GCalXMLT[dclass2],$D4))))</f>
        <v/>
      </c>
      <c r="AC4" t="str">
        <f>IF(I4="Nandotsava",-1,IF(ISBLANK(INDEX(GCalXMLT[dclass3],$D4)),"",INDEX(GCalXMLT[dclass3],$D4)))</f>
        <v/>
      </c>
      <c r="AD4" t="str">
        <f>IF(I4="Nandotsava",IF(ISBLANK(INDEX(GCalXMLT[dclass3],$D4)),"",INDEX(GCalXMLT[dclass3],$D4)),IF(ISBLANK(INDEX(GCalXMLT[dclass4],$D4)),"",INDEX(GCalXMLT[dclass4],$D4)))</f>
        <v/>
      </c>
      <c r="AE4" t="str">
        <f>IFERROR(INDEX(Festivals!$V$2:$V$160,AP4),"")</f>
        <v/>
      </c>
      <c r="AF4" t="str">
        <f>IFERROR(IF($AQ4&gt;1,INDEX(Festivals!$V$2:$V$160,$AP4+1),""),"")</f>
        <v/>
      </c>
      <c r="AG4" t="str">
        <f>IFERROR(IF($AQ4&gt;2,INDEX(Festivals!$V$2:$V$160,$AP4+2),""),"")</f>
        <v/>
      </c>
      <c r="AH4" t="str">
        <f>IFERROR(IF($AQ4&gt;3,INDEX(Festivals!$V$2:$V$160,$AP4+3),""),"")</f>
        <v/>
      </c>
      <c r="AI4" t="str">
        <f>IFERROR(IF($AQ4&gt;4,INDEX(Festivals!$V$2:$V$160,$AP4+4),""),"")</f>
        <v/>
      </c>
      <c r="AJ4" t="str">
        <f>IFERROR(IF($AQ4&gt;5,INDEX(Festivals!$V$2:$V$160,$AP4+5),""),"")</f>
        <v/>
      </c>
      <c r="AK4" t="str">
        <f>IFERROR(IF($AQ4&gt;6,INDEX(Festivals!$V$2:$V$160,$AP4+6),""),"")</f>
        <v/>
      </c>
      <c r="AL4" t="str">
        <f ca="1">IFERROR(INDEX('Holidays Calc'!$J$2:$J$233,MATCH(A4,'Holidays Calc'!$I$2:$I$233,0)),"")</f>
        <v/>
      </c>
      <c r="AM4" t="str">
        <f ca="1">IF(AR4="","",IF(INDEX('Holidays Calc'!$I$2:$I$233,AR4+1)=A4,INDEX('Holidays Calc'!$J$2:$J$233,AR4+1),""))</f>
        <v/>
      </c>
      <c r="AN4" t="str">
        <f ca="1">IF(AR4="","",IF(INDEX('Holidays Calc'!$I$2:$I$233,AR4+2)=A4,INDEX('Holidays Calc'!$J$2:$J$233,AR4+2),""))</f>
        <v/>
      </c>
      <c r="AO4" t="str">
        <f ca="1">IF(AR4="","",IF(INDEX('Holidays Calc'!$I$2:$I$233,AR4+3)=A4,INDEX('Holidays Calc'!$J$2:$J$233,AR4+3),""))</f>
        <v/>
      </c>
      <c r="AP4" t="str">
        <f>IFERROR(IF($E4=E3,"",MATCH($E4,Festivals!$H$2:$H$160,0)),"")</f>
        <v/>
      </c>
      <c r="AQ4" t="str">
        <f>IF(AP4="","",COUNTIF(Festivals!$H$2:$H$160,$E4))</f>
        <v/>
      </c>
      <c r="AR4" t="str">
        <f ca="1">IFERROR(MATCH(A4,'Holidays Calc'!$I$2:$I$233,0),"")</f>
        <v/>
      </c>
      <c r="AS4" t="str">
        <f t="shared" si="2"/>
        <v/>
      </c>
      <c r="AT4" t="str">
        <f t="shared" si="1"/>
        <v/>
      </c>
      <c r="AU4" t="str">
        <f t="shared" ca="1" si="3"/>
        <v/>
      </c>
      <c r="AV4" t="str">
        <f t="shared" ca="1" si="4"/>
        <v/>
      </c>
    </row>
    <row r="5" spans="1:48" x14ac:dyDescent="0.25">
      <c r="A5" s="265">
        <f t="shared" si="0"/>
        <v>43431</v>
      </c>
      <c r="B5" s="265" t="str">
        <f t="shared" si="5"/>
        <v>27 Nov 2018</v>
      </c>
      <c r="C5" s="267">
        <f t="shared" si="6"/>
        <v>48</v>
      </c>
      <c r="D5">
        <f>MATCH(A5,GCalXMLT[daydate],0)</f>
        <v>4</v>
      </c>
      <c r="E5">
        <f>VALUE("1" &amp; Masacod(INDEX(GCalXMLT[gymasa],D5)) &amp; PaksaCod(INDEX(GCalXMLT[mpaksaid],D5)) &amp; TithiCod(INDEX(GCalXMLT[stithiname],D5)))</f>
        <v>109005</v>
      </c>
      <c r="F5" t="str">
        <f ca="1">INDEX(Parameters!$K$2:$K$16,MATCH(AV5,Parameters!$L$2:$L$16,0))</f>
        <v/>
      </c>
      <c r="G5">
        <f>INDEX(GCalXMLT[fastmark],$D5)</f>
        <v>0</v>
      </c>
      <c r="H5" t="str">
        <f ca="1">INDEX(Parameters!$J$2:$J$16,MATCH(AV5,Parameters!$L$2:$L$16,0))</f>
        <v/>
      </c>
      <c r="I5">
        <f>INDEX(GCalXMLT[dfestival1],$D5)</f>
        <v>0</v>
      </c>
      <c r="J5">
        <f>IF(INDEX(GCalXMLT[dfestival2],$D5)="(Fast today)",INDEX(Festivals!$R$2:$R$180,MATCH($I5,Festivals!$R$2:$R$180,0)+1),INDEX(GCalXMLT[dfestival2],$D5))</f>
        <v>0</v>
      </c>
      <c r="K5">
        <f>IF(I5="Nandotsava","(Fast till noon)",INDEX(GCalXMLT[dfestival3],$D5))</f>
        <v>0</v>
      </c>
      <c r="L5">
        <f>IF(I5="Nandotsava", INDEX(GCalXMLT[dfestival3],$D5),INDEX(GCalXMLT[dfestival4],$D5))</f>
        <v>0</v>
      </c>
      <c r="M5" t="str">
        <f>IFERROR(INDEX(Festivals!$S$2:$S$160,AP5),"")</f>
        <v/>
      </c>
      <c r="N5" t="str">
        <f>IFERROR(IF($AQ5&gt;1,INDEX(Festivals!$S$2:$S$160,$AP5+1),""),"")</f>
        <v/>
      </c>
      <c r="O5" t="str">
        <f>IFERROR(IF($AQ5&gt;2,INDEX(Festivals!$S$2:$S$160,$AP5+2),""),"")</f>
        <v/>
      </c>
      <c r="P5" t="str">
        <f>IFERROR(IF($AQ5&gt;3,INDEX(Festivals!$S$2:$S$160,$AP5+3),""),"")</f>
        <v/>
      </c>
      <c r="Q5" t="str">
        <f>IFERROR(IF($AQ5&gt;4,INDEX(Festivals!$S$2:$S$160,$AP5+4),""),"")</f>
        <v/>
      </c>
      <c r="R5" t="str">
        <f>IFERROR(IF($AQ5&gt;5,INDEX(Festivals!$S$2:$S$160,$AP5+5),""),"")</f>
        <v/>
      </c>
      <c r="S5" t="str">
        <f>IFERROR(IF($AQ5&gt;6,INDEX(Festivals!$S$2:$S$160,$AP5+6),""),"")</f>
        <v/>
      </c>
      <c r="T5">
        <f>INDEX(GCalXMLT[dcaturmasya1],$D5)</f>
        <v>0</v>
      </c>
      <c r="U5">
        <f>INDEX(GCalXMLT[dcaturmasya2],$D5)</f>
        <v>0</v>
      </c>
      <c r="V5" t="str">
        <f>INDEX(GCalXMLT[sankrantirasi],$D5) &amp; " " &amp; INDEX(GCalXMLT[sankrantitime],$D5)</f>
        <v xml:space="preserve"> </v>
      </c>
      <c r="W5" t="str">
        <f ca="1">IFERROR(INDEX('Holidays Calc'!$K$2:$K$233,AR5),"")</f>
        <v/>
      </c>
      <c r="X5" t="str">
        <f ca="1">IF(AR5="","",IF(INDEX('Holidays Calc'!$I$2:$I$233,AR5+1)=A5,INDEX('Holidays Calc'!$K$2:$K$233,AR5+1),""))</f>
        <v/>
      </c>
      <c r="Y5" t="str">
        <f ca="1">IF(AR5="","",IF(INDEX('Holidays Calc'!$I$2:$I$233,AR5+2)=A5,INDEX('Holidays Calc'!$K$2:$K$233,AR5+2),""))</f>
        <v/>
      </c>
      <c r="Z5" t="str">
        <f ca="1">IF(AR5="","",IF(INDEX('Holidays Calc'!$I$2:$I$233,AR5+3)=A5,INDEX('Holidays Calc'!$K$2:$K$2333,AR5+3),""))</f>
        <v/>
      </c>
      <c r="AA5" t="str">
        <f>IF(I5="Last day of Bhisma Pancaka","",IF(G5="*",-0.7,IF(ISBLANK(INDEX(GCalXMLT[dclass1],$D5)),"",INDEX(GCalXMLT[dclass1],$D5))))</f>
        <v/>
      </c>
      <c r="AB5" t="str">
        <f>IF(J5="First day of Bhisma Pancaka","",IF(AND(G5="*",NOT(ISERROR(SEARCH("ekadasi",J5)))),-0.7,IF(ISBLANK(INDEX(GCalXMLT[dclass2],$D5)),"",INDEX(GCalXMLT[dclass2],$D5))))</f>
        <v/>
      </c>
      <c r="AC5" t="str">
        <f>IF(I5="Nandotsava",-1,IF(ISBLANK(INDEX(GCalXMLT[dclass3],$D5)),"",INDEX(GCalXMLT[dclass3],$D5)))</f>
        <v/>
      </c>
      <c r="AD5" t="str">
        <f>IF(I5="Nandotsava",IF(ISBLANK(INDEX(GCalXMLT[dclass3],$D5)),"",INDEX(GCalXMLT[dclass3],$D5)),IF(ISBLANK(INDEX(GCalXMLT[dclass4],$D5)),"",INDEX(GCalXMLT[dclass4],$D5)))</f>
        <v/>
      </c>
      <c r="AE5" t="str">
        <f>IFERROR(INDEX(Festivals!$V$2:$V$160,AP5),"")</f>
        <v/>
      </c>
      <c r="AF5" t="str">
        <f>IFERROR(IF($AQ5&gt;1,INDEX(Festivals!$V$2:$V$160,$AP5+1),""),"")</f>
        <v/>
      </c>
      <c r="AG5" t="str">
        <f>IFERROR(IF($AQ5&gt;2,INDEX(Festivals!$V$2:$V$160,$AP5+2),""),"")</f>
        <v/>
      </c>
      <c r="AH5" t="str">
        <f>IFERROR(IF($AQ5&gt;3,INDEX(Festivals!$V$2:$V$160,$AP5+3),""),"")</f>
        <v/>
      </c>
      <c r="AI5" t="str">
        <f>IFERROR(IF($AQ5&gt;4,INDEX(Festivals!$V$2:$V$160,$AP5+4),""),"")</f>
        <v/>
      </c>
      <c r="AJ5" t="str">
        <f>IFERROR(IF($AQ5&gt;5,INDEX(Festivals!$V$2:$V$160,$AP5+5),""),"")</f>
        <v/>
      </c>
      <c r="AK5" t="str">
        <f>IFERROR(IF($AQ5&gt;6,INDEX(Festivals!$V$2:$V$160,$AP5+6),""),"")</f>
        <v/>
      </c>
      <c r="AL5" t="str">
        <f ca="1">IFERROR(INDEX('Holidays Calc'!$J$2:$J$233,MATCH(A5,'Holidays Calc'!$I$2:$I$233,0)),"")</f>
        <v/>
      </c>
      <c r="AM5" t="str">
        <f ca="1">IF(AR5="","",IF(INDEX('Holidays Calc'!$I$2:$I$233,AR5+1)=A5,INDEX('Holidays Calc'!$J$2:$J$233,AR5+1),""))</f>
        <v/>
      </c>
      <c r="AN5" t="str">
        <f ca="1">IF(AR5="","",IF(INDEX('Holidays Calc'!$I$2:$I$233,AR5+2)=A5,INDEX('Holidays Calc'!$J$2:$J$233,AR5+2),""))</f>
        <v/>
      </c>
      <c r="AO5" t="str">
        <f ca="1">IF(AR5="","",IF(INDEX('Holidays Calc'!$I$2:$I$233,AR5+3)=A5,INDEX('Holidays Calc'!$J$2:$J$233,AR5+3),""))</f>
        <v/>
      </c>
      <c r="AP5" t="str">
        <f>IFERROR(IF($E5=E4,"",MATCH($E5,Festivals!$H$2:$H$160,0)),"")</f>
        <v/>
      </c>
      <c r="AQ5" t="str">
        <f>IF(AP5="","",COUNTIF(Festivals!$H$2:$H$160,$E5))</f>
        <v/>
      </c>
      <c r="AR5" t="str">
        <f ca="1">IFERROR(MATCH(A5,'Holidays Calc'!$I$2:$I$233,0),"")</f>
        <v/>
      </c>
      <c r="AS5" t="str">
        <f t="shared" si="2"/>
        <v/>
      </c>
      <c r="AT5" t="str">
        <f t="shared" si="1"/>
        <v/>
      </c>
      <c r="AU5" t="str">
        <f t="shared" ca="1" si="3"/>
        <v/>
      </c>
      <c r="AV5" t="str">
        <f t="shared" ca="1" si="4"/>
        <v/>
      </c>
    </row>
    <row r="6" spans="1:48" x14ac:dyDescent="0.25">
      <c r="A6" s="265">
        <f t="shared" si="0"/>
        <v>43432</v>
      </c>
      <c r="B6" s="265" t="str">
        <f t="shared" si="5"/>
        <v>28 Nov 2018</v>
      </c>
      <c r="C6" s="267">
        <f t="shared" si="6"/>
        <v>48</v>
      </c>
      <c r="D6">
        <f>MATCH(A6,GCalXMLT[daydate],0)</f>
        <v>5</v>
      </c>
      <c r="E6">
        <f>VALUE("1" &amp; Masacod(INDEX(GCalXMLT[gymasa],D6)) &amp; PaksaCod(INDEX(GCalXMLT[mpaksaid],D6)) &amp; TithiCod(INDEX(GCalXMLT[stithiname],D6)))</f>
        <v>109006</v>
      </c>
      <c r="F6" t="str">
        <f ca="1">INDEX(Parameters!$K$2:$K$16,MATCH(AV6,Parameters!$L$2:$L$16,0))</f>
        <v/>
      </c>
      <c r="G6">
        <f>INDEX(GCalXMLT[fastmark],$D6)</f>
        <v>0</v>
      </c>
      <c r="H6" t="str">
        <f ca="1">INDEX(Parameters!$J$2:$J$16,MATCH(AV6,Parameters!$L$2:$L$16,0))</f>
        <v/>
      </c>
      <c r="I6">
        <f>INDEX(GCalXMLT[dfestival1],$D6)</f>
        <v>0</v>
      </c>
      <c r="J6">
        <f>IF(INDEX(GCalXMLT[dfestival2],$D6)="(Fast today)",INDEX(Festivals!$R$2:$R$180,MATCH($I6,Festivals!$R$2:$R$180,0)+1),INDEX(GCalXMLT[dfestival2],$D6))</f>
        <v>0</v>
      </c>
      <c r="K6">
        <f>IF(I6="Nandotsava","(Fast till noon)",INDEX(GCalXMLT[dfestival3],$D6))</f>
        <v>0</v>
      </c>
      <c r="L6">
        <f>IF(I6="Nandotsava", INDEX(GCalXMLT[dfestival3],$D6),INDEX(GCalXMLT[dfestival4],$D6))</f>
        <v>0</v>
      </c>
      <c r="M6" t="str">
        <f>IFERROR(INDEX(Festivals!$S$2:$S$160,AP6),"")</f>
        <v/>
      </c>
      <c r="N6" t="str">
        <f>IFERROR(IF($AQ6&gt;1,INDEX(Festivals!$S$2:$S$160,$AP6+1),""),"")</f>
        <v/>
      </c>
      <c r="O6" t="str">
        <f>IFERROR(IF($AQ6&gt;2,INDEX(Festivals!$S$2:$S$160,$AP6+2),""),"")</f>
        <v/>
      </c>
      <c r="P6" t="str">
        <f>IFERROR(IF($AQ6&gt;3,INDEX(Festivals!$S$2:$S$160,$AP6+3),""),"")</f>
        <v/>
      </c>
      <c r="Q6" t="str">
        <f>IFERROR(IF($AQ6&gt;4,INDEX(Festivals!$S$2:$S$160,$AP6+4),""),"")</f>
        <v/>
      </c>
      <c r="R6" t="str">
        <f>IFERROR(IF($AQ6&gt;5,INDEX(Festivals!$S$2:$S$160,$AP6+5),""),"")</f>
        <v/>
      </c>
      <c r="S6" t="str">
        <f>IFERROR(IF($AQ6&gt;6,INDEX(Festivals!$S$2:$S$160,$AP6+6),""),"")</f>
        <v/>
      </c>
      <c r="T6">
        <f>INDEX(GCalXMLT[dcaturmasya1],$D6)</f>
        <v>0</v>
      </c>
      <c r="U6">
        <f>INDEX(GCalXMLT[dcaturmasya2],$D6)</f>
        <v>0</v>
      </c>
      <c r="V6" t="str">
        <f>INDEX(GCalXMLT[sankrantirasi],$D6) &amp; " " &amp; INDEX(GCalXMLT[sankrantitime],$D6)</f>
        <v xml:space="preserve"> </v>
      </c>
      <c r="W6" t="str">
        <f ca="1">IFERROR(INDEX('Holidays Calc'!$K$2:$K$233,AR6),"")</f>
        <v/>
      </c>
      <c r="X6" t="str">
        <f ca="1">IF(AR6="","",IF(INDEX('Holidays Calc'!$I$2:$I$233,AR6+1)=A6,INDEX('Holidays Calc'!$K$2:$K$233,AR6+1),""))</f>
        <v/>
      </c>
      <c r="Y6" t="str">
        <f ca="1">IF(AR6="","",IF(INDEX('Holidays Calc'!$I$2:$I$233,AR6+2)=A6,INDEX('Holidays Calc'!$K$2:$K$233,AR6+2),""))</f>
        <v/>
      </c>
      <c r="Z6" t="str">
        <f ca="1">IF(AR6="","",IF(INDEX('Holidays Calc'!$I$2:$I$233,AR6+3)=A6,INDEX('Holidays Calc'!$K$2:$K$2333,AR6+3),""))</f>
        <v/>
      </c>
      <c r="AA6" t="str">
        <f>IF(I6="Last day of Bhisma Pancaka","",IF(G6="*",-0.7,IF(ISBLANK(INDEX(GCalXMLT[dclass1],$D6)),"",INDEX(GCalXMLT[dclass1],$D6))))</f>
        <v/>
      </c>
      <c r="AB6" t="str">
        <f>IF(J6="First day of Bhisma Pancaka","",IF(AND(G6="*",NOT(ISERROR(SEARCH("ekadasi",J6)))),-0.7,IF(ISBLANK(INDEX(GCalXMLT[dclass2],$D6)),"",INDEX(GCalXMLT[dclass2],$D6))))</f>
        <v/>
      </c>
      <c r="AC6" t="str">
        <f>IF(I6="Nandotsava",-1,IF(ISBLANK(INDEX(GCalXMLT[dclass3],$D6)),"",INDEX(GCalXMLT[dclass3],$D6)))</f>
        <v/>
      </c>
      <c r="AD6" t="str">
        <f>IF(I6="Nandotsava",IF(ISBLANK(INDEX(GCalXMLT[dclass3],$D6)),"",INDEX(GCalXMLT[dclass3],$D6)),IF(ISBLANK(INDEX(GCalXMLT[dclass4],$D6)),"",INDEX(GCalXMLT[dclass4],$D6)))</f>
        <v/>
      </c>
      <c r="AE6" t="str">
        <f>IFERROR(INDEX(Festivals!$V$2:$V$160,AP6),"")</f>
        <v/>
      </c>
      <c r="AF6" t="str">
        <f>IFERROR(IF($AQ6&gt;1,INDEX(Festivals!$V$2:$V$160,$AP6+1),""),"")</f>
        <v/>
      </c>
      <c r="AG6" t="str">
        <f>IFERROR(IF($AQ6&gt;2,INDEX(Festivals!$V$2:$V$160,$AP6+2),""),"")</f>
        <v/>
      </c>
      <c r="AH6" t="str">
        <f>IFERROR(IF($AQ6&gt;3,INDEX(Festivals!$V$2:$V$160,$AP6+3),""),"")</f>
        <v/>
      </c>
      <c r="AI6" t="str">
        <f>IFERROR(IF($AQ6&gt;4,INDEX(Festivals!$V$2:$V$160,$AP6+4),""),"")</f>
        <v/>
      </c>
      <c r="AJ6" t="str">
        <f>IFERROR(IF($AQ6&gt;5,INDEX(Festivals!$V$2:$V$160,$AP6+5),""),"")</f>
        <v/>
      </c>
      <c r="AK6" t="str">
        <f>IFERROR(IF($AQ6&gt;6,INDEX(Festivals!$V$2:$V$160,$AP6+6),""),"")</f>
        <v/>
      </c>
      <c r="AL6" t="str">
        <f ca="1">IFERROR(INDEX('Holidays Calc'!$J$2:$J$233,MATCH(A6,'Holidays Calc'!$I$2:$I$233,0)),"")</f>
        <v/>
      </c>
      <c r="AM6" t="str">
        <f ca="1">IF(AR6="","",IF(INDEX('Holidays Calc'!$I$2:$I$233,AR6+1)=A6,INDEX('Holidays Calc'!$J$2:$J$233,AR6+1),""))</f>
        <v/>
      </c>
      <c r="AN6" t="str">
        <f ca="1">IF(AR6="","",IF(INDEX('Holidays Calc'!$I$2:$I$233,AR6+2)=A6,INDEX('Holidays Calc'!$J$2:$J$233,AR6+2),""))</f>
        <v/>
      </c>
      <c r="AO6" t="str">
        <f ca="1">IF(AR6="","",IF(INDEX('Holidays Calc'!$I$2:$I$233,AR6+3)=A6,INDEX('Holidays Calc'!$J$2:$J$233,AR6+3),""))</f>
        <v/>
      </c>
      <c r="AP6" t="str">
        <f>IFERROR(IF($E6=E5,"",MATCH($E6,Festivals!$H$2:$H$160,0)),"")</f>
        <v/>
      </c>
      <c r="AQ6" t="str">
        <f>IF(AP6="","",COUNTIF(Festivals!$H$2:$H$160,$E6))</f>
        <v/>
      </c>
      <c r="AR6" t="str">
        <f ca="1">IFERROR(MATCH(A6,'Holidays Calc'!$I$2:$I$233,0),"")</f>
        <v/>
      </c>
      <c r="AS6" t="str">
        <f t="shared" si="2"/>
        <v/>
      </c>
      <c r="AT6" t="str">
        <f t="shared" si="1"/>
        <v/>
      </c>
      <c r="AU6" t="str">
        <f t="shared" ca="1" si="3"/>
        <v/>
      </c>
      <c r="AV6" t="str">
        <f t="shared" ca="1" si="4"/>
        <v/>
      </c>
    </row>
    <row r="7" spans="1:48" x14ac:dyDescent="0.25">
      <c r="A7" s="265">
        <f t="shared" si="0"/>
        <v>43433</v>
      </c>
      <c r="B7" s="265" t="str">
        <f t="shared" si="5"/>
        <v>29 Nov 2018</v>
      </c>
      <c r="C7" s="267">
        <f t="shared" si="6"/>
        <v>48</v>
      </c>
      <c r="D7">
        <f>MATCH(A7,GCalXMLT[daydate],0)</f>
        <v>6</v>
      </c>
      <c r="E7">
        <f>VALUE("1" &amp; Masacod(INDEX(GCalXMLT[gymasa],D7)) &amp; PaksaCod(INDEX(GCalXMLT[mpaksaid],D7)) &amp; TithiCod(INDEX(GCalXMLT[stithiname],D7)))</f>
        <v>109007</v>
      </c>
      <c r="F7" t="str">
        <f ca="1">INDEX(Parameters!$K$2:$K$16,MATCH(AV7,Parameters!$L$2:$L$16,0))</f>
        <v/>
      </c>
      <c r="G7">
        <f>INDEX(GCalXMLT[fastmark],$D7)</f>
        <v>0</v>
      </c>
      <c r="H7" t="str">
        <f ca="1">INDEX(Parameters!$J$2:$J$16,MATCH(AV7,Parameters!$L$2:$L$16,0))</f>
        <v/>
      </c>
      <c r="I7">
        <f>INDEX(GCalXMLT[dfestival1],$D7)</f>
        <v>0</v>
      </c>
      <c r="J7">
        <f>IF(INDEX(GCalXMLT[dfestival2],$D7)="(Fast today)",INDEX(Festivals!$R$2:$R$180,MATCH($I7,Festivals!$R$2:$R$180,0)+1),INDEX(GCalXMLT[dfestival2],$D7))</f>
        <v>0</v>
      </c>
      <c r="K7">
        <f>IF(I7="Nandotsava","(Fast till noon)",INDEX(GCalXMLT[dfestival3],$D7))</f>
        <v>0</v>
      </c>
      <c r="L7">
        <f>IF(I7="Nandotsava", INDEX(GCalXMLT[dfestival3],$D7),INDEX(GCalXMLT[dfestival4],$D7))</f>
        <v>0</v>
      </c>
      <c r="M7" t="str">
        <f>IFERROR(INDEX(Festivals!$S$2:$S$160,AP7),"")</f>
        <v/>
      </c>
      <c r="N7" t="str">
        <f>IFERROR(IF($AQ7&gt;1,INDEX(Festivals!$S$2:$S$160,$AP7+1),""),"")</f>
        <v/>
      </c>
      <c r="O7" t="str">
        <f>IFERROR(IF($AQ7&gt;2,INDEX(Festivals!$S$2:$S$160,$AP7+2),""),"")</f>
        <v/>
      </c>
      <c r="P7" t="str">
        <f>IFERROR(IF($AQ7&gt;3,INDEX(Festivals!$S$2:$S$160,$AP7+3),""),"")</f>
        <v/>
      </c>
      <c r="Q7" t="str">
        <f>IFERROR(IF($AQ7&gt;4,INDEX(Festivals!$S$2:$S$160,$AP7+4),""),"")</f>
        <v/>
      </c>
      <c r="R7" t="str">
        <f>IFERROR(IF($AQ7&gt;5,INDEX(Festivals!$S$2:$S$160,$AP7+5),""),"")</f>
        <v/>
      </c>
      <c r="S7" t="str">
        <f>IFERROR(IF($AQ7&gt;6,INDEX(Festivals!$S$2:$S$160,$AP7+6),""),"")</f>
        <v/>
      </c>
      <c r="T7">
        <f>INDEX(GCalXMLT[dcaturmasya1],$D7)</f>
        <v>0</v>
      </c>
      <c r="U7">
        <f>INDEX(GCalXMLT[dcaturmasya2],$D7)</f>
        <v>0</v>
      </c>
      <c r="V7" t="str">
        <f>INDEX(GCalXMLT[sankrantirasi],$D7) &amp; " " &amp; INDEX(GCalXMLT[sankrantitime],$D7)</f>
        <v xml:space="preserve"> </v>
      </c>
      <c r="W7" t="str">
        <f ca="1">IFERROR(INDEX('Holidays Calc'!$K$2:$K$233,AR7),"")</f>
        <v/>
      </c>
      <c r="X7" t="str">
        <f ca="1">IF(AR7="","",IF(INDEX('Holidays Calc'!$I$2:$I$233,AR7+1)=A7,INDEX('Holidays Calc'!$K$2:$K$233,AR7+1),""))</f>
        <v/>
      </c>
      <c r="Y7" t="str">
        <f ca="1">IF(AR7="","",IF(INDEX('Holidays Calc'!$I$2:$I$233,AR7+2)=A7,INDEX('Holidays Calc'!$K$2:$K$233,AR7+2),""))</f>
        <v/>
      </c>
      <c r="Z7" t="str">
        <f ca="1">IF(AR7="","",IF(INDEX('Holidays Calc'!$I$2:$I$233,AR7+3)=A7,INDEX('Holidays Calc'!$K$2:$K$2333,AR7+3),""))</f>
        <v/>
      </c>
      <c r="AA7" t="str">
        <f>IF(I7="Last day of Bhisma Pancaka","",IF(G7="*",-0.7,IF(ISBLANK(INDEX(GCalXMLT[dclass1],$D7)),"",INDEX(GCalXMLT[dclass1],$D7))))</f>
        <v/>
      </c>
      <c r="AB7" t="str">
        <f>IF(J7="First day of Bhisma Pancaka","",IF(AND(G7="*",NOT(ISERROR(SEARCH("ekadasi",J7)))),-0.7,IF(ISBLANK(INDEX(GCalXMLT[dclass2],$D7)),"",INDEX(GCalXMLT[dclass2],$D7))))</f>
        <v/>
      </c>
      <c r="AC7" t="str">
        <f>IF(I7="Nandotsava",-1,IF(ISBLANK(INDEX(GCalXMLT[dclass3],$D7)),"",INDEX(GCalXMLT[dclass3],$D7)))</f>
        <v/>
      </c>
      <c r="AD7" t="str">
        <f>IF(I7="Nandotsava",IF(ISBLANK(INDEX(GCalXMLT[dclass3],$D7)),"",INDEX(GCalXMLT[dclass3],$D7)),IF(ISBLANK(INDEX(GCalXMLT[dclass4],$D7)),"",INDEX(GCalXMLT[dclass4],$D7)))</f>
        <v/>
      </c>
      <c r="AE7" t="str">
        <f>IFERROR(INDEX(Festivals!$V$2:$V$160,AP7),"")</f>
        <v/>
      </c>
      <c r="AF7" t="str">
        <f>IFERROR(IF($AQ7&gt;1,INDEX(Festivals!$V$2:$V$160,$AP7+1),""),"")</f>
        <v/>
      </c>
      <c r="AG7" t="str">
        <f>IFERROR(IF($AQ7&gt;2,INDEX(Festivals!$V$2:$V$160,$AP7+2),""),"")</f>
        <v/>
      </c>
      <c r="AH7" t="str">
        <f>IFERROR(IF($AQ7&gt;3,INDEX(Festivals!$V$2:$V$160,$AP7+3),""),"")</f>
        <v/>
      </c>
      <c r="AI7" t="str">
        <f>IFERROR(IF($AQ7&gt;4,INDEX(Festivals!$V$2:$V$160,$AP7+4),""),"")</f>
        <v/>
      </c>
      <c r="AJ7" t="str">
        <f>IFERROR(IF($AQ7&gt;5,INDEX(Festivals!$V$2:$V$160,$AP7+5),""),"")</f>
        <v/>
      </c>
      <c r="AK7" t="str">
        <f>IFERROR(IF($AQ7&gt;6,INDEX(Festivals!$V$2:$V$160,$AP7+6),""),"")</f>
        <v/>
      </c>
      <c r="AL7" t="str">
        <f ca="1">IFERROR(INDEX('Holidays Calc'!$J$2:$J$233,MATCH(A7,'Holidays Calc'!$I$2:$I$233,0)),"")</f>
        <v/>
      </c>
      <c r="AM7" t="str">
        <f ca="1">IF(AR7="","",IF(INDEX('Holidays Calc'!$I$2:$I$233,AR7+1)=A7,INDEX('Holidays Calc'!$J$2:$J$233,AR7+1),""))</f>
        <v/>
      </c>
      <c r="AN7" t="str">
        <f ca="1">IF(AR7="","",IF(INDEX('Holidays Calc'!$I$2:$I$233,AR7+2)=A7,INDEX('Holidays Calc'!$J$2:$J$233,AR7+2),""))</f>
        <v/>
      </c>
      <c r="AO7" t="str">
        <f ca="1">IF(AR7="","",IF(INDEX('Holidays Calc'!$I$2:$I$233,AR7+3)=A7,INDEX('Holidays Calc'!$J$2:$J$233,AR7+3),""))</f>
        <v/>
      </c>
      <c r="AP7" t="str">
        <f>IFERROR(IF($E7=E6,"",MATCH($E7,Festivals!$H$2:$H$160,0)),"")</f>
        <v/>
      </c>
      <c r="AQ7" t="str">
        <f>IF(AP7="","",COUNTIF(Festivals!$H$2:$H$160,$E7))</f>
        <v/>
      </c>
      <c r="AR7" t="str">
        <f ca="1">IFERROR(MATCH(A7,'Holidays Calc'!$I$2:$I$233,0),"")</f>
        <v/>
      </c>
      <c r="AS7" t="str">
        <f t="shared" si="2"/>
        <v/>
      </c>
      <c r="AT7" t="str">
        <f t="shared" si="1"/>
        <v/>
      </c>
      <c r="AU7" t="str">
        <f t="shared" ca="1" si="3"/>
        <v/>
      </c>
      <c r="AV7" t="str">
        <f t="shared" ca="1" si="4"/>
        <v/>
      </c>
    </row>
    <row r="8" spans="1:48" x14ac:dyDescent="0.25">
      <c r="A8" s="265">
        <f>A9-1</f>
        <v>43434</v>
      </c>
      <c r="B8" s="265" t="str">
        <f t="shared" si="5"/>
        <v>30 Nov 2018</v>
      </c>
      <c r="C8" s="267">
        <f t="shared" si="6"/>
        <v>48</v>
      </c>
      <c r="D8">
        <f>MATCH(A8,GCalXMLT[daydate],0)</f>
        <v>7</v>
      </c>
      <c r="E8">
        <f>VALUE("1" &amp; Masacod(INDEX(GCalXMLT[gymasa],D8)) &amp; PaksaCod(INDEX(GCalXMLT[mpaksaid],D8)) &amp; TithiCod(INDEX(GCalXMLT[stithiname],D8)))</f>
        <v>109008</v>
      </c>
      <c r="F8" t="str">
        <f ca="1">INDEX(Parameters!$K$2:$K$16,MATCH(AV8,Parameters!$L$2:$L$16,0))</f>
        <v/>
      </c>
      <c r="G8">
        <f>INDEX(GCalXMLT[fastmark],$D8)</f>
        <v>0</v>
      </c>
      <c r="H8" t="str">
        <f ca="1">INDEX(Parameters!$J$2:$J$16,MATCH(AV8,Parameters!$L$2:$L$16,0))</f>
        <v/>
      </c>
      <c r="I8">
        <f>INDEX(GCalXMLT[dfestival1],$D8)</f>
        <v>0</v>
      </c>
      <c r="J8">
        <f>IF(INDEX(GCalXMLT[dfestival2],$D8)="(Fast today)",INDEX(Festivals!$R$2:$R$180,MATCH($I8,Festivals!$R$2:$R$180,0)+1),INDEX(GCalXMLT[dfestival2],$D8))</f>
        <v>0</v>
      </c>
      <c r="K8">
        <f>IF(I8="Nandotsava","(Fast till noon)",INDEX(GCalXMLT[dfestival3],$D8))</f>
        <v>0</v>
      </c>
      <c r="L8">
        <f>IF(I8="Nandotsava", INDEX(GCalXMLT[dfestival3],$D8),INDEX(GCalXMLT[dfestival4],$D8))</f>
        <v>0</v>
      </c>
      <c r="M8" t="str">
        <f>IFERROR(INDEX(Festivals!$S$2:$S$160,AP8),"")</f>
        <v/>
      </c>
      <c r="N8" t="str">
        <f>IFERROR(IF($AQ8&gt;1,INDEX(Festivals!$S$2:$S$160,$AP8+1),""),"")</f>
        <v/>
      </c>
      <c r="O8" t="str">
        <f>IFERROR(IF($AQ8&gt;2,INDEX(Festivals!$S$2:$S$160,$AP8+2),""),"")</f>
        <v/>
      </c>
      <c r="P8" t="str">
        <f>IFERROR(IF($AQ8&gt;3,INDEX(Festivals!$S$2:$S$160,$AP8+3),""),"")</f>
        <v/>
      </c>
      <c r="Q8" t="str">
        <f>IFERROR(IF($AQ8&gt;4,INDEX(Festivals!$S$2:$S$160,$AP8+4),""),"")</f>
        <v/>
      </c>
      <c r="R8" t="str">
        <f>IFERROR(IF($AQ8&gt;5,INDEX(Festivals!$S$2:$S$160,$AP8+5),""),"")</f>
        <v/>
      </c>
      <c r="S8" t="str">
        <f>IFERROR(IF($AQ8&gt;6,INDEX(Festivals!$S$2:$S$160,$AP8+6),""),"")</f>
        <v/>
      </c>
      <c r="T8">
        <f>INDEX(GCalXMLT[dcaturmasya1],$D8)</f>
        <v>0</v>
      </c>
      <c r="U8">
        <f>INDEX(GCalXMLT[dcaturmasya2],$D8)</f>
        <v>0</v>
      </c>
      <c r="V8" t="str">
        <f>INDEX(GCalXMLT[sankrantirasi],$D8) &amp; " " &amp; INDEX(GCalXMLT[sankrantitime],$D8)</f>
        <v xml:space="preserve"> </v>
      </c>
      <c r="W8" t="str">
        <f ca="1">IFERROR(INDEX('Holidays Calc'!$K$2:$K$233,AR8),"")</f>
        <v/>
      </c>
      <c r="X8" t="str">
        <f ca="1">IF(AR8="","",IF(INDEX('Holidays Calc'!$I$2:$I$233,AR8+1)=A8,INDEX('Holidays Calc'!$K$2:$K$233,AR8+1),""))</f>
        <v/>
      </c>
      <c r="Y8" t="str">
        <f ca="1">IF(AR8="","",IF(INDEX('Holidays Calc'!$I$2:$I$233,AR8+2)=A8,INDEX('Holidays Calc'!$K$2:$K$233,AR8+2),""))</f>
        <v/>
      </c>
      <c r="Z8" t="str">
        <f ca="1">IF(AR8="","",IF(INDEX('Holidays Calc'!$I$2:$I$233,AR8+3)=A8,INDEX('Holidays Calc'!$K$2:$K$2333,AR8+3),""))</f>
        <v/>
      </c>
      <c r="AA8" t="str">
        <f>IF(I8="Last day of Bhisma Pancaka","",IF(G8="*",-0.7,IF(ISBLANK(INDEX(GCalXMLT[dclass1],$D8)),"",INDEX(GCalXMLT[dclass1],$D8))))</f>
        <v/>
      </c>
      <c r="AB8" t="str">
        <f>IF(J8="First day of Bhisma Pancaka","",IF(AND(G8="*",NOT(ISERROR(SEARCH("ekadasi",J8)))),-0.7,IF(ISBLANK(INDEX(GCalXMLT[dclass2],$D8)),"",INDEX(GCalXMLT[dclass2],$D8))))</f>
        <v/>
      </c>
      <c r="AC8" t="str">
        <f>IF(I8="Nandotsava",-1,IF(ISBLANK(INDEX(GCalXMLT[dclass3],$D8)),"",INDEX(GCalXMLT[dclass3],$D8)))</f>
        <v/>
      </c>
      <c r="AD8" t="str">
        <f>IF(I8="Nandotsava",IF(ISBLANK(INDEX(GCalXMLT[dclass3],$D8)),"",INDEX(GCalXMLT[dclass3],$D8)),IF(ISBLANK(INDEX(GCalXMLT[dclass4],$D8)),"",INDEX(GCalXMLT[dclass4],$D8)))</f>
        <v/>
      </c>
      <c r="AE8" t="str">
        <f>IFERROR(INDEX(Festivals!$V$2:$V$160,AP8),"")</f>
        <v/>
      </c>
      <c r="AF8" t="str">
        <f>IFERROR(IF($AQ8&gt;1,INDEX(Festivals!$V$2:$V$160,$AP8+1),""),"")</f>
        <v/>
      </c>
      <c r="AG8" t="str">
        <f>IFERROR(IF($AQ8&gt;2,INDEX(Festivals!$V$2:$V$160,$AP8+2),""),"")</f>
        <v/>
      </c>
      <c r="AH8" t="str">
        <f>IFERROR(IF($AQ8&gt;3,INDEX(Festivals!$V$2:$V$160,$AP8+3),""),"")</f>
        <v/>
      </c>
      <c r="AI8" t="str">
        <f>IFERROR(IF($AQ8&gt;4,INDEX(Festivals!$V$2:$V$160,$AP8+4),""),"")</f>
        <v/>
      </c>
      <c r="AJ8" t="str">
        <f>IFERROR(IF($AQ8&gt;5,INDEX(Festivals!$V$2:$V$160,$AP8+5),""),"")</f>
        <v/>
      </c>
      <c r="AK8" t="str">
        <f>IFERROR(IF($AQ8&gt;6,INDEX(Festivals!$V$2:$V$160,$AP8+6),""),"")</f>
        <v/>
      </c>
      <c r="AL8" t="str">
        <f ca="1">IFERROR(INDEX('Holidays Calc'!$J$2:$J$233,MATCH(A8,'Holidays Calc'!$I$2:$I$233,0)),"")</f>
        <v/>
      </c>
      <c r="AM8" t="str">
        <f ca="1">IF(AR8="","",IF(INDEX('Holidays Calc'!$I$2:$I$233,AR8+1)=A8,INDEX('Holidays Calc'!$J$2:$J$233,AR8+1),""))</f>
        <v/>
      </c>
      <c r="AN8" t="str">
        <f ca="1">IF(AR8="","",IF(INDEX('Holidays Calc'!$I$2:$I$233,AR8+2)=A8,INDEX('Holidays Calc'!$J$2:$J$233,AR8+2),""))</f>
        <v/>
      </c>
      <c r="AO8" t="str">
        <f ca="1">IF(AR8="","",IF(INDEX('Holidays Calc'!$I$2:$I$233,AR8+3)=A8,INDEX('Holidays Calc'!$J$2:$J$233,AR8+3),""))</f>
        <v/>
      </c>
      <c r="AP8" t="str">
        <f>IFERROR(IF($E8=E7,"",MATCH($E8,Festivals!$H$2:$H$160,0)),"")</f>
        <v/>
      </c>
      <c r="AQ8" t="str">
        <f>IF(AP8="","",COUNTIF(Festivals!$H$2:$H$160,$E8))</f>
        <v/>
      </c>
      <c r="AR8" t="str">
        <f ca="1">IFERROR(MATCH(A8,'Holidays Calc'!$I$2:$I$233,0),"")</f>
        <v/>
      </c>
      <c r="AS8" t="str">
        <f t="shared" si="2"/>
        <v/>
      </c>
      <c r="AT8" t="str">
        <f t="shared" si="1"/>
        <v/>
      </c>
      <c r="AU8" t="str">
        <f t="shared" ca="1" si="3"/>
        <v/>
      </c>
      <c r="AV8" t="str">
        <f t="shared" ca="1" si="4"/>
        <v/>
      </c>
    </row>
    <row r="9" spans="1:48" x14ac:dyDescent="0.25">
      <c r="A9" s="707">
        <f>EDATE(DATE(Parameters!C19,1,1),-1)</f>
        <v>43435</v>
      </c>
      <c r="B9" s="265" t="str">
        <f t="shared" si="5"/>
        <v>1 Dec 2018</v>
      </c>
      <c r="C9" s="267">
        <f t="shared" si="6"/>
        <v>48</v>
      </c>
      <c r="D9">
        <f>MATCH(A9,GCalXMLT[daydate],0)</f>
        <v>8</v>
      </c>
      <c r="E9">
        <f>VALUE("1" &amp; Masacod(INDEX(GCalXMLT[gymasa],D9)) &amp; PaksaCod(INDEX(GCalXMLT[mpaksaid],D9)) &amp; TithiCod(INDEX(GCalXMLT[stithiname],D9)))</f>
        <v>109009</v>
      </c>
      <c r="F9" t="str">
        <f ca="1">INDEX(Parameters!$K$2:$K$16,MATCH(AV9,Parameters!$L$2:$L$16,0))</f>
        <v/>
      </c>
      <c r="G9">
        <f>INDEX(GCalXMLT[fastmark],$D9)</f>
        <v>0</v>
      </c>
      <c r="H9" t="str">
        <f ca="1">INDEX(Parameters!$J$2:$J$16,MATCH(AV9,Parameters!$L$2:$L$16,0))</f>
        <v/>
      </c>
      <c r="I9">
        <f>INDEX(GCalXMLT[dfestival1],$D9)</f>
        <v>0</v>
      </c>
      <c r="J9">
        <f>IF(INDEX(GCalXMLT[dfestival2],$D9)="(Fast today)",INDEX(Festivals!$R$2:$R$180,MATCH($I9,Festivals!$R$2:$R$180,0)+1),INDEX(GCalXMLT[dfestival2],$D9))</f>
        <v>0</v>
      </c>
      <c r="K9">
        <f>IF(I9="Nandotsava","(Fast till noon)",INDEX(GCalXMLT[dfestival3],$D9))</f>
        <v>0</v>
      </c>
      <c r="L9">
        <f>IF(I9="Nandotsava", INDEX(GCalXMLT[dfestival3],$D9),INDEX(GCalXMLT[dfestival4],$D9))</f>
        <v>0</v>
      </c>
      <c r="M9" t="str">
        <f>IFERROR(INDEX(Festivals!$S$2:$S$160,AP9),"")</f>
        <v/>
      </c>
      <c r="N9" t="str">
        <f>IFERROR(IF($AQ9&gt;1,INDEX(Festivals!$S$2:$S$160,$AP9+1),""),"")</f>
        <v/>
      </c>
      <c r="O9" t="str">
        <f>IFERROR(IF($AQ9&gt;2,INDEX(Festivals!$S$2:$S$160,$AP9+2),""),"")</f>
        <v/>
      </c>
      <c r="P9" t="str">
        <f>IFERROR(IF($AQ9&gt;3,INDEX(Festivals!$S$2:$S$160,$AP9+3),""),"")</f>
        <v/>
      </c>
      <c r="Q9" t="str">
        <f>IFERROR(IF($AQ9&gt;4,INDEX(Festivals!$S$2:$S$160,$AP9+4),""),"")</f>
        <v/>
      </c>
      <c r="R9" t="str">
        <f>IFERROR(IF($AQ9&gt;5,INDEX(Festivals!$S$2:$S$160,$AP9+5),""),"")</f>
        <v/>
      </c>
      <c r="S9" t="str">
        <f>IFERROR(IF($AQ9&gt;6,INDEX(Festivals!$S$2:$S$160,$AP9+6),""),"")</f>
        <v/>
      </c>
      <c r="T9">
        <f>INDEX(GCalXMLT[dcaturmasya1],$D9)</f>
        <v>0</v>
      </c>
      <c r="U9">
        <f>INDEX(GCalXMLT[dcaturmasya2],$D9)</f>
        <v>0</v>
      </c>
      <c r="V9" t="str">
        <f>INDEX(GCalXMLT[sankrantirasi],$D9) &amp; " " &amp; INDEX(GCalXMLT[sankrantitime],$D9)</f>
        <v xml:space="preserve"> </v>
      </c>
      <c r="W9" t="str">
        <f ca="1">IFERROR(INDEX('Holidays Calc'!$K$2:$K$233,AR9),"")</f>
        <v/>
      </c>
      <c r="X9" t="str">
        <f ca="1">IF(AR9="","",IF(INDEX('Holidays Calc'!$I$2:$I$233,AR9+1)=A9,INDEX('Holidays Calc'!$K$2:$K$233,AR9+1),""))</f>
        <v/>
      </c>
      <c r="Y9" t="str">
        <f ca="1">IF(AR9="","",IF(INDEX('Holidays Calc'!$I$2:$I$233,AR9+2)=A9,INDEX('Holidays Calc'!$K$2:$K$233,AR9+2),""))</f>
        <v/>
      </c>
      <c r="Z9" t="str">
        <f ca="1">IF(AR9="","",IF(INDEX('Holidays Calc'!$I$2:$I$233,AR9+3)=A9,INDEX('Holidays Calc'!$K$2:$K$2333,AR9+3),""))</f>
        <v/>
      </c>
      <c r="AA9" t="str">
        <f>IF(I9="Last day of Bhisma Pancaka","",IF(G9="*",-0.7,IF(ISBLANK(INDEX(GCalXMLT[dclass1],$D9)),"",INDEX(GCalXMLT[dclass1],$D9))))</f>
        <v/>
      </c>
      <c r="AB9" t="str">
        <f>IF(J9="First day of Bhisma Pancaka","",IF(AND(G9="*",NOT(ISERROR(SEARCH("ekadasi",J9)))),-0.7,IF(ISBLANK(INDEX(GCalXMLT[dclass2],$D9)),"",INDEX(GCalXMLT[dclass2],$D9))))</f>
        <v/>
      </c>
      <c r="AC9" t="str">
        <f>IF(I9="Nandotsava",-1,IF(ISBLANK(INDEX(GCalXMLT[dclass3],$D9)),"",INDEX(GCalXMLT[dclass3],$D9)))</f>
        <v/>
      </c>
      <c r="AD9" t="str">
        <f>IF(I9="Nandotsava",IF(ISBLANK(INDEX(GCalXMLT[dclass3],$D9)),"",INDEX(GCalXMLT[dclass3],$D9)),IF(ISBLANK(INDEX(GCalXMLT[dclass4],$D9)),"",INDEX(GCalXMLT[dclass4],$D9)))</f>
        <v/>
      </c>
      <c r="AE9" t="str">
        <f>IFERROR(INDEX(Festivals!$V$2:$V$160,AP9),"")</f>
        <v/>
      </c>
      <c r="AF9" t="str">
        <f>IFERROR(IF($AQ9&gt;1,INDEX(Festivals!$V$2:$V$160,$AP9+1),""),"")</f>
        <v/>
      </c>
      <c r="AG9" t="str">
        <f>IFERROR(IF($AQ9&gt;2,INDEX(Festivals!$V$2:$V$160,$AP9+2),""),"")</f>
        <v/>
      </c>
      <c r="AH9" t="str">
        <f>IFERROR(IF($AQ9&gt;3,INDEX(Festivals!$V$2:$V$160,$AP9+3),""),"")</f>
        <v/>
      </c>
      <c r="AI9" t="str">
        <f>IFERROR(IF($AQ9&gt;4,INDEX(Festivals!$V$2:$V$160,$AP9+4),""),"")</f>
        <v/>
      </c>
      <c r="AJ9" t="str">
        <f>IFERROR(IF($AQ9&gt;5,INDEX(Festivals!$V$2:$V$160,$AP9+5),""),"")</f>
        <v/>
      </c>
      <c r="AK9" t="str">
        <f>IFERROR(IF($AQ9&gt;6,INDEX(Festivals!$V$2:$V$160,$AP9+6),""),"")</f>
        <v/>
      </c>
      <c r="AL9" t="str">
        <f ca="1">IFERROR(INDEX('Holidays Calc'!$J$2:$J$233,MATCH(A9,'Holidays Calc'!$I$2:$I$233,0)),"")</f>
        <v/>
      </c>
      <c r="AM9" t="str">
        <f ca="1">IF(AR9="","",IF(INDEX('Holidays Calc'!$I$2:$I$233,AR9+1)=A9,INDEX('Holidays Calc'!$J$2:$J$233,AR9+1),""))</f>
        <v/>
      </c>
      <c r="AN9" t="str">
        <f ca="1">IF(AR9="","",IF(INDEX('Holidays Calc'!$I$2:$I$233,AR9+2)=A9,INDEX('Holidays Calc'!$J$2:$J$233,AR9+2),""))</f>
        <v/>
      </c>
      <c r="AO9" t="str">
        <f ca="1">IF(AR9="","",IF(INDEX('Holidays Calc'!$I$2:$I$233,AR9+3)=A9,INDEX('Holidays Calc'!$J$2:$J$233,AR9+3),""))</f>
        <v/>
      </c>
      <c r="AP9" t="str">
        <f>IFERROR(IF($E9=E8,"",MATCH($E9,Festivals!$H$2:$H$160,0)),"")</f>
        <v/>
      </c>
      <c r="AQ9" t="str">
        <f>IF(AP9="","",COUNTIF(Festivals!$H$2:$H$160,$E9))</f>
        <v/>
      </c>
      <c r="AR9" t="str">
        <f ca="1">IFERROR(MATCH(A9,'Holidays Calc'!$I$2:$I$233,0),"")</f>
        <v/>
      </c>
      <c r="AS9" t="str">
        <f t="shared" si="2"/>
        <v/>
      </c>
      <c r="AT9" t="str">
        <f t="shared" si="1"/>
        <v/>
      </c>
      <c r="AU9" t="str">
        <f t="shared" ca="1" si="3"/>
        <v/>
      </c>
      <c r="AV9" t="str">
        <f t="shared" ca="1" si="4"/>
        <v/>
      </c>
    </row>
    <row r="10" spans="1:48" x14ac:dyDescent="0.25">
      <c r="A10" s="265">
        <f t="shared" ref="A10:A129" si="7">A9+1</f>
        <v>43436</v>
      </c>
      <c r="B10" s="265" t="str">
        <f t="shared" si="5"/>
        <v>2 Dec 2018</v>
      </c>
      <c r="C10" s="267">
        <f t="shared" si="6"/>
        <v>48</v>
      </c>
      <c r="D10">
        <f>MATCH(A10,GCalXMLT[daydate],0)</f>
        <v>9</v>
      </c>
      <c r="E10">
        <f>VALUE("1" &amp; Masacod(INDEX(GCalXMLT[gymasa],D10)) &amp; PaksaCod(INDEX(GCalXMLT[mpaksaid],D10)) &amp; TithiCod(INDEX(GCalXMLT[stithiname],D10)))</f>
        <v>109010</v>
      </c>
      <c r="F10" t="str">
        <f ca="1">INDEX(Parameters!$K$2:$K$16,MATCH(AV10,Parameters!$L$2:$L$16,0))</f>
        <v/>
      </c>
      <c r="G10">
        <f>INDEX(GCalXMLT[fastmark],$D10)</f>
        <v>0</v>
      </c>
      <c r="H10" t="str">
        <f ca="1">INDEX(Parameters!$J$2:$J$16,MATCH(AV10,Parameters!$L$2:$L$16,0))</f>
        <v/>
      </c>
      <c r="I10">
        <f>INDEX(GCalXMLT[dfestival1],$D10)</f>
        <v>0</v>
      </c>
      <c r="J10">
        <f>IF(INDEX(GCalXMLT[dfestival2],$D10)="(Fast today)",INDEX(Festivals!$R$2:$R$180,MATCH($I10,Festivals!$R$2:$R$180,0)+1),INDEX(GCalXMLT[dfestival2],$D10))</f>
        <v>0</v>
      </c>
      <c r="K10">
        <f>IF(I10="Nandotsava","(Fast till noon)",INDEX(GCalXMLT[dfestival3],$D10))</f>
        <v>0</v>
      </c>
      <c r="L10">
        <f>IF(I10="Nandotsava", INDEX(GCalXMLT[dfestival3],$D10),INDEX(GCalXMLT[dfestival4],$D10))</f>
        <v>0</v>
      </c>
      <c r="M10" t="str">
        <f>IFERROR(INDEX(Festivals!$S$2:$S$160,AP10),"")</f>
        <v/>
      </c>
      <c r="N10" t="str">
        <f>IFERROR(IF($AQ10&gt;1,INDEX(Festivals!$S$2:$S$160,$AP10+1),""),"")</f>
        <v/>
      </c>
      <c r="O10" t="str">
        <f>IFERROR(IF($AQ10&gt;2,INDEX(Festivals!$S$2:$S$160,$AP10+2),""),"")</f>
        <v/>
      </c>
      <c r="P10" t="str">
        <f>IFERROR(IF($AQ10&gt;3,INDEX(Festivals!$S$2:$S$160,$AP10+3),""),"")</f>
        <v/>
      </c>
      <c r="Q10" t="str">
        <f>IFERROR(IF($AQ10&gt;4,INDEX(Festivals!$S$2:$S$160,$AP10+4),""),"")</f>
        <v/>
      </c>
      <c r="R10" t="str">
        <f>IFERROR(IF($AQ10&gt;5,INDEX(Festivals!$S$2:$S$160,$AP10+5),""),"")</f>
        <v/>
      </c>
      <c r="S10" t="str">
        <f>IFERROR(IF($AQ10&gt;6,INDEX(Festivals!$S$2:$S$160,$AP10+6),""),"")</f>
        <v/>
      </c>
      <c r="T10">
        <f>INDEX(GCalXMLT[dcaturmasya1],$D10)</f>
        <v>0</v>
      </c>
      <c r="U10">
        <f>INDEX(GCalXMLT[dcaturmasya2],$D10)</f>
        <v>0</v>
      </c>
      <c r="V10" t="str">
        <f>INDEX(GCalXMLT[sankrantirasi],$D10) &amp; " " &amp; INDEX(GCalXMLT[sankrantitime],$D10)</f>
        <v xml:space="preserve"> </v>
      </c>
      <c r="W10" t="str">
        <f ca="1">IFERROR(INDEX('Holidays Calc'!$K$2:$K$233,AR10),"")</f>
        <v/>
      </c>
      <c r="X10" t="str">
        <f ca="1">IF(AR10="","",IF(INDEX('Holidays Calc'!$I$2:$I$233,AR10+1)=A10,INDEX('Holidays Calc'!$K$2:$K$233,AR10+1),""))</f>
        <v/>
      </c>
      <c r="Y10" t="str">
        <f ca="1">IF(AR10="","",IF(INDEX('Holidays Calc'!$I$2:$I$233,AR10+2)=A10,INDEX('Holidays Calc'!$K$2:$K$233,AR10+2),""))</f>
        <v/>
      </c>
      <c r="Z10" t="str">
        <f ca="1">IF(AR10="","",IF(INDEX('Holidays Calc'!$I$2:$I$233,AR10+3)=A10,INDEX('Holidays Calc'!$K$2:$K$2333,AR10+3),""))</f>
        <v/>
      </c>
      <c r="AA10" t="str">
        <f>IF(I10="Last day of Bhisma Pancaka","",IF(G10="*",-0.7,IF(ISBLANK(INDEX(GCalXMLT[dclass1],$D10)),"",INDEX(GCalXMLT[dclass1],$D10))))</f>
        <v/>
      </c>
      <c r="AB10" t="str">
        <f>IF(J10="First day of Bhisma Pancaka","",IF(AND(G10="*",NOT(ISERROR(SEARCH("ekadasi",J10)))),-0.7,IF(ISBLANK(INDEX(GCalXMLT[dclass2],$D10)),"",INDEX(GCalXMLT[dclass2],$D10))))</f>
        <v/>
      </c>
      <c r="AC10" t="str">
        <f>IF(I10="Nandotsava",-1,IF(ISBLANK(INDEX(GCalXMLT[dclass3],$D10)),"",INDEX(GCalXMLT[dclass3],$D10)))</f>
        <v/>
      </c>
      <c r="AD10" t="str">
        <f>IF(I10="Nandotsava",IF(ISBLANK(INDEX(GCalXMLT[dclass3],$D10)),"",INDEX(GCalXMLT[dclass3],$D10)),IF(ISBLANK(INDEX(GCalXMLT[dclass4],$D10)),"",INDEX(GCalXMLT[dclass4],$D10)))</f>
        <v/>
      </c>
      <c r="AE10" t="str">
        <f>IFERROR(INDEX(Festivals!$V$2:$V$160,AP10),"")</f>
        <v/>
      </c>
      <c r="AF10" t="str">
        <f>IFERROR(IF($AQ10&gt;1,INDEX(Festivals!$V$2:$V$160,$AP10+1),""),"")</f>
        <v/>
      </c>
      <c r="AG10" t="str">
        <f>IFERROR(IF($AQ10&gt;2,INDEX(Festivals!$V$2:$V$160,$AP10+2),""),"")</f>
        <v/>
      </c>
      <c r="AH10" t="str">
        <f>IFERROR(IF($AQ10&gt;3,INDEX(Festivals!$V$2:$V$160,$AP10+3),""),"")</f>
        <v/>
      </c>
      <c r="AI10" t="str">
        <f>IFERROR(IF($AQ10&gt;4,INDEX(Festivals!$V$2:$V$160,$AP10+4),""),"")</f>
        <v/>
      </c>
      <c r="AJ10" t="str">
        <f>IFERROR(IF($AQ10&gt;5,INDEX(Festivals!$V$2:$V$160,$AP10+5),""),"")</f>
        <v/>
      </c>
      <c r="AK10" t="str">
        <f>IFERROR(IF($AQ10&gt;6,INDEX(Festivals!$V$2:$V$160,$AP10+6),""),"")</f>
        <v/>
      </c>
      <c r="AL10" t="str">
        <f ca="1">IFERROR(INDEX('Holidays Calc'!$J$2:$J$233,MATCH(A10,'Holidays Calc'!$I$2:$I$233,0)),"")</f>
        <v/>
      </c>
      <c r="AM10" t="str">
        <f ca="1">IF(AR10="","",IF(INDEX('Holidays Calc'!$I$2:$I$233,AR10+1)=A10,INDEX('Holidays Calc'!$J$2:$J$233,AR10+1),""))</f>
        <v/>
      </c>
      <c r="AN10" t="str">
        <f ca="1">IF(AR10="","",IF(INDEX('Holidays Calc'!$I$2:$I$233,AR10+2)=A10,INDEX('Holidays Calc'!$J$2:$J$233,AR10+2),""))</f>
        <v/>
      </c>
      <c r="AO10" t="str">
        <f ca="1">IF(AR10="","",IF(INDEX('Holidays Calc'!$I$2:$I$233,AR10+3)=A10,INDEX('Holidays Calc'!$J$2:$J$233,AR10+3),""))</f>
        <v/>
      </c>
      <c r="AP10" t="str">
        <f>IFERROR(IF($E10=E9,"",MATCH($E10,Festivals!$H$2:$H$160,0)),"")</f>
        <v/>
      </c>
      <c r="AQ10" t="str">
        <f>IF(AP10="","",COUNTIF(Festivals!$H$2:$H$160,$E10))</f>
        <v/>
      </c>
      <c r="AR10" t="str">
        <f ca="1">IFERROR(MATCH(A10,'Holidays Calc'!$I$2:$I$233,0),"")</f>
        <v/>
      </c>
      <c r="AS10" t="str">
        <f t="shared" si="2"/>
        <v/>
      </c>
      <c r="AT10" t="str">
        <f t="shared" si="1"/>
        <v/>
      </c>
      <c r="AU10" t="str">
        <f t="shared" ca="1" si="3"/>
        <v/>
      </c>
      <c r="AV10" t="str">
        <f t="shared" ca="1" si="4"/>
        <v/>
      </c>
    </row>
    <row r="11" spans="1:48" x14ac:dyDescent="0.25">
      <c r="A11" s="265">
        <f t="shared" si="7"/>
        <v>43437</v>
      </c>
      <c r="B11" s="265" t="str">
        <f t="shared" si="5"/>
        <v>3 Dec 2018</v>
      </c>
      <c r="C11" s="267">
        <f t="shared" si="6"/>
        <v>49</v>
      </c>
      <c r="D11">
        <f>MATCH(A11,GCalXMLT[daydate],0)</f>
        <v>10</v>
      </c>
      <c r="E11">
        <f>VALUE("1" &amp; Masacod(INDEX(GCalXMLT[gymasa],D11)) &amp; PaksaCod(INDEX(GCalXMLT[mpaksaid],D11)) &amp; TithiCod(INDEX(GCalXMLT[stithiname],D11)))</f>
        <v>109012</v>
      </c>
      <c r="F11" t="str">
        <f ca="1">INDEX(Parameters!$K$2:$K$16,MATCH(AV11,Parameters!$L$2:$L$16,0))</f>
        <v>E</v>
      </c>
      <c r="G11" t="str">
        <f>INDEX(GCalXMLT[fastmark],$D11)</f>
        <v>*</v>
      </c>
      <c r="H11" t="str">
        <f ca="1">INDEX(Parameters!$J$2:$J$16,MATCH(AV11,Parameters!$L$2:$L$16,0))</f>
        <v>*</v>
      </c>
      <c r="I11" t="str">
        <f>INDEX(GCalXMLT[dfestival1],$D11)</f>
        <v>Fasting for Utpanna Ekadasi</v>
      </c>
      <c r="J11">
        <f>IF(INDEX(GCalXMLT[dfestival2],$D11)="(Fast today)",INDEX(Festivals!$R$2:$R$180,MATCH($I11,Festivals!$R$2:$R$180,0)+1),INDEX(GCalXMLT[dfestival2],$D11))</f>
        <v>0</v>
      </c>
      <c r="K11">
        <f>IF(I11="Nandotsava","(Fast till noon)",INDEX(GCalXMLT[dfestival3],$D11))</f>
        <v>0</v>
      </c>
      <c r="L11">
        <f>IF(I11="Nandotsava", INDEX(GCalXMLT[dfestival3],$D11),INDEX(GCalXMLT[dfestival4],$D11))</f>
        <v>0</v>
      </c>
      <c r="M11" t="str">
        <f>IFERROR(INDEX(Festivals!$S$2:$S$160,AP11),"")</f>
        <v>Sri Kaliya Krsnadasa - Disappearance</v>
      </c>
      <c r="N11" t="str">
        <f>IFERROR(IF($AQ11&gt;1,INDEX(Festivals!$S$2:$S$160,$AP11+1),""),"")</f>
        <v/>
      </c>
      <c r="O11" t="str">
        <f>IFERROR(IF($AQ11&gt;2,INDEX(Festivals!$S$2:$S$160,$AP11+2),""),"")</f>
        <v/>
      </c>
      <c r="P11" t="str">
        <f>IFERROR(IF($AQ11&gt;3,INDEX(Festivals!$S$2:$S$160,$AP11+3),""),"")</f>
        <v/>
      </c>
      <c r="Q11" t="str">
        <f>IFERROR(IF($AQ11&gt;4,INDEX(Festivals!$S$2:$S$160,$AP11+4),""),"")</f>
        <v/>
      </c>
      <c r="R11" t="str">
        <f>IFERROR(IF($AQ11&gt;5,INDEX(Festivals!$S$2:$S$160,$AP11+5),""),"")</f>
        <v/>
      </c>
      <c r="S11" t="str">
        <f>IFERROR(IF($AQ11&gt;6,INDEX(Festivals!$S$2:$S$160,$AP11+6),""),"")</f>
        <v/>
      </c>
      <c r="T11">
        <f>INDEX(GCalXMLT[dcaturmasya1],$D11)</f>
        <v>0</v>
      </c>
      <c r="U11">
        <f>INDEX(GCalXMLT[dcaturmasya2],$D11)</f>
        <v>0</v>
      </c>
      <c r="V11" t="str">
        <f>INDEX(GCalXMLT[sankrantirasi],$D11) &amp; " " &amp; INDEX(GCalXMLT[sankrantitime],$D11)</f>
        <v xml:space="preserve"> </v>
      </c>
      <c r="W11" t="str">
        <f ca="1">IFERROR(INDEX('Holidays Calc'!$K$2:$K$233,AR11),"")</f>
        <v/>
      </c>
      <c r="X11" t="str">
        <f ca="1">IF(AR11="","",IF(INDEX('Holidays Calc'!$I$2:$I$233,AR11+1)=A11,INDEX('Holidays Calc'!$K$2:$K$233,AR11+1),""))</f>
        <v/>
      </c>
      <c r="Y11" t="str">
        <f ca="1">IF(AR11="","",IF(INDEX('Holidays Calc'!$I$2:$I$233,AR11+2)=A11,INDEX('Holidays Calc'!$K$2:$K$233,AR11+2),""))</f>
        <v/>
      </c>
      <c r="Z11" t="str">
        <f ca="1">IF(AR11="","",IF(INDEX('Holidays Calc'!$I$2:$I$233,AR11+3)=A11,INDEX('Holidays Calc'!$K$2:$K$2333,AR11+3),""))</f>
        <v/>
      </c>
      <c r="AA11">
        <f>IF(I11="Last day of Bhisma Pancaka","",IF(G11="*",-0.7,IF(ISBLANK(INDEX(GCalXMLT[dclass1],$D11)),"",INDEX(GCalXMLT[dclass1],$D11))))</f>
        <v>-0.7</v>
      </c>
      <c r="AB11" t="str">
        <f>IF(J11="First day of Bhisma Pancaka","",IF(AND(G11="*",NOT(ISERROR(SEARCH("ekadasi",J11)))),-0.7,IF(ISBLANK(INDEX(GCalXMLT[dclass2],$D11)),"",INDEX(GCalXMLT[dclass2],$D11))))</f>
        <v/>
      </c>
      <c r="AC11" t="str">
        <f>IF(I11="Nandotsava",-1,IF(ISBLANK(INDEX(GCalXMLT[dclass3],$D11)),"",INDEX(GCalXMLT[dclass3],$D11)))</f>
        <v/>
      </c>
      <c r="AD11" t="str">
        <f>IF(I11="Nandotsava",IF(ISBLANK(INDEX(GCalXMLT[dclass3],$D11)),"",INDEX(GCalXMLT[dclass3],$D11)),IF(ISBLANK(INDEX(GCalXMLT[dclass4],$D11)),"",INDEX(GCalXMLT[dclass4],$D11)))</f>
        <v/>
      </c>
      <c r="AE11">
        <f>IFERROR(INDEX(Festivals!$V$2:$V$160,AP11),"")</f>
        <v>3</v>
      </c>
      <c r="AF11" t="str">
        <f>IFERROR(IF($AQ11&gt;1,INDEX(Festivals!$V$2:$V$160,$AP11+1),""),"")</f>
        <v/>
      </c>
      <c r="AG11" t="str">
        <f>IFERROR(IF($AQ11&gt;2,INDEX(Festivals!$V$2:$V$160,$AP11+2),""),"")</f>
        <v/>
      </c>
      <c r="AH11" t="str">
        <f>IFERROR(IF($AQ11&gt;3,INDEX(Festivals!$V$2:$V$160,$AP11+3),""),"")</f>
        <v/>
      </c>
      <c r="AI11" t="str">
        <f>IFERROR(IF($AQ11&gt;4,INDEX(Festivals!$V$2:$V$160,$AP11+4),""),"")</f>
        <v/>
      </c>
      <c r="AJ11" t="str">
        <f>IFERROR(IF($AQ11&gt;5,INDEX(Festivals!$V$2:$V$160,$AP11+5),""),"")</f>
        <v/>
      </c>
      <c r="AK11" t="str">
        <f>IFERROR(IF($AQ11&gt;6,INDEX(Festivals!$V$2:$V$160,$AP11+6),""),"")</f>
        <v/>
      </c>
      <c r="AL11" t="str">
        <f ca="1">IFERROR(INDEX('Holidays Calc'!$J$2:$J$233,MATCH(A11,'Holidays Calc'!$I$2:$I$233,0)),"")</f>
        <v/>
      </c>
      <c r="AM11" t="str">
        <f ca="1">IF(AR11="","",IF(INDEX('Holidays Calc'!$I$2:$I$233,AR11+1)=A11,INDEX('Holidays Calc'!$J$2:$J$233,AR11+1),""))</f>
        <v/>
      </c>
      <c r="AN11" t="str">
        <f ca="1">IF(AR11="","",IF(INDEX('Holidays Calc'!$I$2:$I$233,AR11+2)=A11,INDEX('Holidays Calc'!$J$2:$J$233,AR11+2),""))</f>
        <v/>
      </c>
      <c r="AO11" t="str">
        <f ca="1">IF(AR11="","",IF(INDEX('Holidays Calc'!$I$2:$I$233,AR11+3)=A11,INDEX('Holidays Calc'!$J$2:$J$233,AR11+3),""))</f>
        <v/>
      </c>
      <c r="AP11">
        <f>IFERROR(IF($E11=E10,"",MATCH($E11,Festivals!$H$2:$H$160,0)),"")</f>
        <v>110</v>
      </c>
      <c r="AQ11">
        <f>IF(AP11="","",COUNTIF(Festivals!$H$2:$H$160,$E11))</f>
        <v>1</v>
      </c>
      <c r="AR11" t="str">
        <f ca="1">IFERROR(MATCH(A11,'Holidays Calc'!$I$2:$I$233,0),"")</f>
        <v/>
      </c>
      <c r="AS11">
        <f t="shared" si="2"/>
        <v>-0.7</v>
      </c>
      <c r="AT11">
        <f t="shared" si="1"/>
        <v>-0.7</v>
      </c>
      <c r="AU11" t="str">
        <f t="shared" ca="1" si="3"/>
        <v/>
      </c>
      <c r="AV11">
        <f t="shared" ca="1" si="4"/>
        <v>-0.7</v>
      </c>
    </row>
    <row r="12" spans="1:48" x14ac:dyDescent="0.25">
      <c r="A12" s="265">
        <f t="shared" si="7"/>
        <v>43438</v>
      </c>
      <c r="B12" s="265" t="str">
        <f t="shared" ref="B12:B75" si="8">DAY(A12) &amp; " " &amp; MonthStr(MONTH(A12)) &amp; " " &amp; YEAR(A12)</f>
        <v>4 Dec 2018</v>
      </c>
      <c r="C12" s="267">
        <f t="shared" ref="C12:C75" si="9">WEEKNUM(A12,2)</f>
        <v>49</v>
      </c>
      <c r="D12">
        <f>MATCH(A12,GCalXMLT[daydate],0)</f>
        <v>11</v>
      </c>
      <c r="E12">
        <f>VALUE("1" &amp; Masacod(INDEX(GCalXMLT[gymasa],D12)) &amp; PaksaCod(INDEX(GCalXMLT[mpaksaid],D12)) &amp; TithiCod(INDEX(GCalXMLT[stithiname],D12)))</f>
        <v>109013</v>
      </c>
      <c r="F12" t="str">
        <f ca="1">INDEX(Parameters!$K$2:$K$16,MATCH(AV12,Parameters!$L$2:$L$16,0))</f>
        <v>C</v>
      </c>
      <c r="G12">
        <f>INDEX(GCalXMLT[fastmark],$D12)</f>
        <v>0</v>
      </c>
      <c r="H12" t="str">
        <f ca="1">INDEX(Parameters!$J$2:$J$16,MATCH(AV12,Parameters!$L$2:$L$16,0))</f>
        <v/>
      </c>
      <c r="I12">
        <f>INDEX(GCalXMLT[dfestival1],$D12)</f>
        <v>0</v>
      </c>
      <c r="J12">
        <f>IF(INDEX(GCalXMLT[dfestival2],$D12)="(Fast today)",INDEX(Festivals!$R$2:$R$180,MATCH($I12,Festivals!$R$2:$R$180,0)+1),INDEX(GCalXMLT[dfestival2],$D12))</f>
        <v>0</v>
      </c>
      <c r="K12">
        <f>IF(I12="Nandotsava","(Fast till noon)",INDEX(GCalXMLT[dfestival3],$D12))</f>
        <v>0</v>
      </c>
      <c r="L12">
        <f>IF(I12="Nandotsava", INDEX(GCalXMLT[dfestival3],$D12),INDEX(GCalXMLT[dfestival4],$D12))</f>
        <v>0</v>
      </c>
      <c r="M12" t="str">
        <f>IFERROR(INDEX(Festivals!$S$2:$S$160,AP12),"")</f>
        <v>Sri Saranga Thakura - Disappearance</v>
      </c>
      <c r="N12" t="str">
        <f>IFERROR(IF($AQ12&gt;1,INDEX(Festivals!$S$2:$S$160,$AP12+1),""),"")</f>
        <v/>
      </c>
      <c r="O12" t="str">
        <f>IFERROR(IF($AQ12&gt;2,INDEX(Festivals!$S$2:$S$160,$AP12+2),""),"")</f>
        <v/>
      </c>
      <c r="P12" t="str">
        <f>IFERROR(IF($AQ12&gt;3,INDEX(Festivals!$S$2:$S$160,$AP12+3),""),"")</f>
        <v/>
      </c>
      <c r="Q12" t="str">
        <f>IFERROR(IF($AQ12&gt;4,INDEX(Festivals!$S$2:$S$160,$AP12+4),""),"")</f>
        <v/>
      </c>
      <c r="R12" t="str">
        <f>IFERROR(IF($AQ12&gt;5,INDEX(Festivals!$S$2:$S$160,$AP12+5),""),"")</f>
        <v/>
      </c>
      <c r="S12" t="str">
        <f>IFERROR(IF($AQ12&gt;6,INDEX(Festivals!$S$2:$S$160,$AP12+6),""),"")</f>
        <v/>
      </c>
      <c r="T12">
        <f>INDEX(GCalXMLT[dcaturmasya1],$D12)</f>
        <v>0</v>
      </c>
      <c r="U12">
        <f>INDEX(GCalXMLT[dcaturmasya2],$D12)</f>
        <v>0</v>
      </c>
      <c r="V12" t="str">
        <f>INDEX(GCalXMLT[sankrantirasi],$D12) &amp; " " &amp; INDEX(GCalXMLT[sankrantitime],$D12)</f>
        <v xml:space="preserve"> </v>
      </c>
      <c r="W12" t="str">
        <f ca="1">IFERROR(INDEX('Holidays Calc'!$K$2:$K$233,AR12),"")</f>
        <v/>
      </c>
      <c r="X12" t="str">
        <f ca="1">IF(AR12="","",IF(INDEX('Holidays Calc'!$I$2:$I$233,AR12+1)=A12,INDEX('Holidays Calc'!$K$2:$K$233,AR12+1),""))</f>
        <v/>
      </c>
      <c r="Y12" t="str">
        <f ca="1">IF(AR12="","",IF(INDEX('Holidays Calc'!$I$2:$I$233,AR12+2)=A12,INDEX('Holidays Calc'!$K$2:$K$233,AR12+2),""))</f>
        <v/>
      </c>
      <c r="Z12" t="str">
        <f ca="1">IF(AR12="","",IF(INDEX('Holidays Calc'!$I$2:$I$233,AR12+3)=A12,INDEX('Holidays Calc'!$K$2:$K$2333,AR12+3),""))</f>
        <v/>
      </c>
      <c r="AA12" t="str">
        <f>IF(I12="Last day of Bhisma Pancaka","",IF(G12="*",-0.7,IF(ISBLANK(INDEX(GCalXMLT[dclass1],$D12)),"",INDEX(GCalXMLT[dclass1],$D12))))</f>
        <v/>
      </c>
      <c r="AB12" t="str">
        <f>IF(J12="First day of Bhisma Pancaka","",IF(AND(G12="*",NOT(ISERROR(SEARCH("ekadasi",J12)))),-0.7,IF(ISBLANK(INDEX(GCalXMLT[dclass2],$D12)),"",INDEX(GCalXMLT[dclass2],$D12))))</f>
        <v/>
      </c>
      <c r="AC12" t="str">
        <f>IF(I12="Nandotsava",-1,IF(ISBLANK(INDEX(GCalXMLT[dclass3],$D12)),"",INDEX(GCalXMLT[dclass3],$D12)))</f>
        <v/>
      </c>
      <c r="AD12" t="str">
        <f>IF(I12="Nandotsava",IF(ISBLANK(INDEX(GCalXMLT[dclass3],$D12)),"",INDEX(GCalXMLT[dclass3],$D12)),IF(ISBLANK(INDEX(GCalXMLT[dclass4],$D12)),"",INDEX(GCalXMLT[dclass4],$D12)))</f>
        <v/>
      </c>
      <c r="AE12">
        <f>IFERROR(INDEX(Festivals!$V$2:$V$160,AP12),"")</f>
        <v>3</v>
      </c>
      <c r="AF12" t="str">
        <f>IFERROR(IF($AQ12&gt;1,INDEX(Festivals!$V$2:$V$160,$AP12+1),""),"")</f>
        <v/>
      </c>
      <c r="AG12" t="str">
        <f>IFERROR(IF($AQ12&gt;2,INDEX(Festivals!$V$2:$V$160,$AP12+2),""),"")</f>
        <v/>
      </c>
      <c r="AH12" t="str">
        <f>IFERROR(IF($AQ12&gt;3,INDEX(Festivals!$V$2:$V$160,$AP12+3),""),"")</f>
        <v/>
      </c>
      <c r="AI12" t="str">
        <f>IFERROR(IF($AQ12&gt;4,INDEX(Festivals!$V$2:$V$160,$AP12+4),""),"")</f>
        <v/>
      </c>
      <c r="AJ12" t="str">
        <f>IFERROR(IF($AQ12&gt;5,INDEX(Festivals!$V$2:$V$160,$AP12+5),""),"")</f>
        <v/>
      </c>
      <c r="AK12" t="str">
        <f>IFERROR(IF($AQ12&gt;6,INDEX(Festivals!$V$2:$V$160,$AP12+6),""),"")</f>
        <v/>
      </c>
      <c r="AL12" t="str">
        <f ca="1">IFERROR(INDEX('Holidays Calc'!$J$2:$J$233,MATCH(A12,'Holidays Calc'!$I$2:$I$233,0)),"")</f>
        <v/>
      </c>
      <c r="AM12" t="str">
        <f ca="1">IF(AR12="","",IF(INDEX('Holidays Calc'!$I$2:$I$233,AR12+1)=A12,INDEX('Holidays Calc'!$J$2:$J$233,AR12+1),""))</f>
        <v/>
      </c>
      <c r="AN12" t="str">
        <f ca="1">IF(AR12="","",IF(INDEX('Holidays Calc'!$I$2:$I$233,AR12+2)=A12,INDEX('Holidays Calc'!$J$2:$J$233,AR12+2),""))</f>
        <v/>
      </c>
      <c r="AO12" t="str">
        <f ca="1">IF(AR12="","",IF(INDEX('Holidays Calc'!$I$2:$I$233,AR12+3)=A12,INDEX('Holidays Calc'!$J$2:$J$233,AR12+3),""))</f>
        <v/>
      </c>
      <c r="AP12">
        <f>IFERROR(IF($E12=E11,"",MATCH($E12,Festivals!$H$2:$H$160,0)),"")</f>
        <v>111</v>
      </c>
      <c r="AQ12">
        <f>IF(AP12="","",COUNTIF(Festivals!$H$2:$H$160,$E12))</f>
        <v>1</v>
      </c>
      <c r="AR12" t="str">
        <f ca="1">IFERROR(MATCH(A12,'Holidays Calc'!$I$2:$I$233,0),"")</f>
        <v/>
      </c>
      <c r="AS12">
        <f t="shared" si="2"/>
        <v>3</v>
      </c>
      <c r="AT12">
        <f t="shared" si="1"/>
        <v>3</v>
      </c>
      <c r="AU12" t="str">
        <f t="shared" ca="1" si="3"/>
        <v/>
      </c>
      <c r="AV12">
        <f t="shared" ca="1" si="4"/>
        <v>3</v>
      </c>
    </row>
    <row r="13" spans="1:48" x14ac:dyDescent="0.25">
      <c r="A13" s="265">
        <f t="shared" si="7"/>
        <v>43439</v>
      </c>
      <c r="B13" s="265" t="str">
        <f t="shared" si="8"/>
        <v>5 Dec 2018</v>
      </c>
      <c r="C13" s="267">
        <f t="shared" si="9"/>
        <v>49</v>
      </c>
      <c r="D13">
        <f>MATCH(A13,GCalXMLT[daydate],0)</f>
        <v>12</v>
      </c>
      <c r="E13">
        <f>VALUE("1" &amp; Masacod(INDEX(GCalXMLT[gymasa],D13)) &amp; PaksaCod(INDEX(GCalXMLT[mpaksaid],D13)) &amp; TithiCod(INDEX(GCalXMLT[stithiname],D13)))</f>
        <v>109014</v>
      </c>
      <c r="F13" t="str">
        <f ca="1">INDEX(Parameters!$K$2:$K$16,MATCH(AV13,Parameters!$L$2:$L$16,0))</f>
        <v/>
      </c>
      <c r="G13">
        <f>INDEX(GCalXMLT[fastmark],$D13)</f>
        <v>0</v>
      </c>
      <c r="H13" t="str">
        <f ca="1">INDEX(Parameters!$J$2:$J$16,MATCH(AV13,Parameters!$L$2:$L$16,0))</f>
        <v/>
      </c>
      <c r="I13">
        <f>INDEX(GCalXMLT[dfestival1],$D13)</f>
        <v>0</v>
      </c>
      <c r="J13">
        <f>IF(INDEX(GCalXMLT[dfestival2],$D13)="(Fast today)",INDEX(Festivals!$R$2:$R$180,MATCH($I13,Festivals!$R$2:$R$180,0)+1),INDEX(GCalXMLT[dfestival2],$D13))</f>
        <v>0</v>
      </c>
      <c r="K13">
        <f>IF(I13="Nandotsava","(Fast till noon)",INDEX(GCalXMLT[dfestival3],$D13))</f>
        <v>0</v>
      </c>
      <c r="L13">
        <f>IF(I13="Nandotsava", INDEX(GCalXMLT[dfestival3],$D13),INDEX(GCalXMLT[dfestival4],$D13))</f>
        <v>0</v>
      </c>
      <c r="M13" t="str">
        <f>IFERROR(INDEX(Festivals!$S$2:$S$160,AP13),"")</f>
        <v/>
      </c>
      <c r="N13" t="str">
        <f>IFERROR(IF($AQ13&gt;1,INDEX(Festivals!$S$2:$S$160,$AP13+1),""),"")</f>
        <v/>
      </c>
      <c r="O13" t="str">
        <f>IFERROR(IF($AQ13&gt;2,INDEX(Festivals!$S$2:$S$160,$AP13+2),""),"")</f>
        <v/>
      </c>
      <c r="P13" t="str">
        <f>IFERROR(IF($AQ13&gt;3,INDEX(Festivals!$S$2:$S$160,$AP13+3),""),"")</f>
        <v/>
      </c>
      <c r="Q13" t="str">
        <f>IFERROR(IF($AQ13&gt;4,INDEX(Festivals!$S$2:$S$160,$AP13+4),""),"")</f>
        <v/>
      </c>
      <c r="R13" t="str">
        <f>IFERROR(IF($AQ13&gt;5,INDEX(Festivals!$S$2:$S$160,$AP13+5),""),"")</f>
        <v/>
      </c>
      <c r="S13" t="str">
        <f>IFERROR(IF($AQ13&gt;6,INDEX(Festivals!$S$2:$S$160,$AP13+6),""),"")</f>
        <v/>
      </c>
      <c r="T13">
        <f>INDEX(GCalXMLT[dcaturmasya1],$D13)</f>
        <v>0</v>
      </c>
      <c r="U13">
        <f>INDEX(GCalXMLT[dcaturmasya2],$D13)</f>
        <v>0</v>
      </c>
      <c r="V13" t="str">
        <f>INDEX(GCalXMLT[sankrantirasi],$D13) &amp; " " &amp; INDEX(GCalXMLT[sankrantitime],$D13)</f>
        <v xml:space="preserve"> </v>
      </c>
      <c r="W13" t="str">
        <f ca="1">IFERROR(INDEX('Holidays Calc'!$K$2:$K$233,AR13),"")</f>
        <v/>
      </c>
      <c r="X13" t="str">
        <f ca="1">IF(AR13="","",IF(INDEX('Holidays Calc'!$I$2:$I$233,AR13+1)=A13,INDEX('Holidays Calc'!$K$2:$K$233,AR13+1),""))</f>
        <v/>
      </c>
      <c r="Y13" t="str">
        <f ca="1">IF(AR13="","",IF(INDEX('Holidays Calc'!$I$2:$I$233,AR13+2)=A13,INDEX('Holidays Calc'!$K$2:$K$233,AR13+2),""))</f>
        <v/>
      </c>
      <c r="Z13" t="str">
        <f ca="1">IF(AR13="","",IF(INDEX('Holidays Calc'!$I$2:$I$233,AR13+3)=A13,INDEX('Holidays Calc'!$K$2:$K$2333,AR13+3),""))</f>
        <v/>
      </c>
      <c r="AA13" t="str">
        <f>IF(I13="Last day of Bhisma Pancaka","",IF(G13="*",-0.7,IF(ISBLANK(INDEX(GCalXMLT[dclass1],$D13)),"",INDEX(GCalXMLT[dclass1],$D13))))</f>
        <v/>
      </c>
      <c r="AB13" t="str">
        <f>IF(J13="First day of Bhisma Pancaka","",IF(AND(G13="*",NOT(ISERROR(SEARCH("ekadasi",J13)))),-0.7,IF(ISBLANK(INDEX(GCalXMLT[dclass2],$D13)),"",INDEX(GCalXMLT[dclass2],$D13))))</f>
        <v/>
      </c>
      <c r="AC13" t="str">
        <f>IF(I13="Nandotsava",-1,IF(ISBLANK(INDEX(GCalXMLT[dclass3],$D13)),"",INDEX(GCalXMLT[dclass3],$D13)))</f>
        <v/>
      </c>
      <c r="AD13" t="str">
        <f>IF(I13="Nandotsava",IF(ISBLANK(INDEX(GCalXMLT[dclass3],$D13)),"",INDEX(GCalXMLT[dclass3],$D13)),IF(ISBLANK(INDEX(GCalXMLT[dclass4],$D13)),"",INDEX(GCalXMLT[dclass4],$D13)))</f>
        <v/>
      </c>
      <c r="AE13" t="str">
        <f>IFERROR(INDEX(Festivals!$V$2:$V$160,AP13),"")</f>
        <v/>
      </c>
      <c r="AF13" t="str">
        <f>IFERROR(IF($AQ13&gt;1,INDEX(Festivals!$V$2:$V$160,$AP13+1),""),"")</f>
        <v/>
      </c>
      <c r="AG13" t="str">
        <f>IFERROR(IF($AQ13&gt;2,INDEX(Festivals!$V$2:$V$160,$AP13+2),""),"")</f>
        <v/>
      </c>
      <c r="AH13" t="str">
        <f>IFERROR(IF($AQ13&gt;3,INDEX(Festivals!$V$2:$V$160,$AP13+3),""),"")</f>
        <v/>
      </c>
      <c r="AI13" t="str">
        <f>IFERROR(IF($AQ13&gt;4,INDEX(Festivals!$V$2:$V$160,$AP13+4),""),"")</f>
        <v/>
      </c>
      <c r="AJ13" t="str">
        <f>IFERROR(IF($AQ13&gt;5,INDEX(Festivals!$V$2:$V$160,$AP13+5),""),"")</f>
        <v/>
      </c>
      <c r="AK13" t="str">
        <f>IFERROR(IF($AQ13&gt;6,INDEX(Festivals!$V$2:$V$160,$AP13+6),""),"")</f>
        <v/>
      </c>
      <c r="AL13" t="str">
        <f ca="1">IFERROR(INDEX('Holidays Calc'!$J$2:$J$233,MATCH(A13,'Holidays Calc'!$I$2:$I$233,0)),"")</f>
        <v/>
      </c>
      <c r="AM13" t="str">
        <f ca="1">IF(AR13="","",IF(INDEX('Holidays Calc'!$I$2:$I$233,AR13+1)=A13,INDEX('Holidays Calc'!$J$2:$J$233,AR13+1),""))</f>
        <v/>
      </c>
      <c r="AN13" t="str">
        <f ca="1">IF(AR13="","",IF(INDEX('Holidays Calc'!$I$2:$I$233,AR13+2)=A13,INDEX('Holidays Calc'!$J$2:$J$233,AR13+2),""))</f>
        <v/>
      </c>
      <c r="AO13" t="str">
        <f ca="1">IF(AR13="","",IF(INDEX('Holidays Calc'!$I$2:$I$233,AR13+3)=A13,INDEX('Holidays Calc'!$J$2:$J$233,AR13+3),""))</f>
        <v/>
      </c>
      <c r="AP13" t="str">
        <f>IFERROR(IF($E13=E12,"",MATCH($E13,Festivals!$H$2:$H$160,0)),"")</f>
        <v/>
      </c>
      <c r="AQ13" t="str">
        <f>IF(AP13="","",COUNTIF(Festivals!$H$2:$H$160,$E13))</f>
        <v/>
      </c>
      <c r="AR13" t="str">
        <f ca="1">IFERROR(MATCH(A13,'Holidays Calc'!$I$2:$I$233,0),"")</f>
        <v/>
      </c>
      <c r="AS13" t="str">
        <f t="shared" si="2"/>
        <v/>
      </c>
      <c r="AT13" t="str">
        <f t="shared" si="1"/>
        <v/>
      </c>
      <c r="AU13" t="str">
        <f t="shared" ca="1" si="3"/>
        <v/>
      </c>
      <c r="AV13" t="str">
        <f t="shared" ca="1" si="4"/>
        <v/>
      </c>
    </row>
    <row r="14" spans="1:48" x14ac:dyDescent="0.25">
      <c r="A14" s="265">
        <f t="shared" si="7"/>
        <v>43440</v>
      </c>
      <c r="B14" s="265" t="str">
        <f t="shared" si="8"/>
        <v>6 Dec 2018</v>
      </c>
      <c r="C14" s="267">
        <f t="shared" si="9"/>
        <v>49</v>
      </c>
      <c r="D14">
        <f>MATCH(A14,GCalXMLT[daydate],0)</f>
        <v>13</v>
      </c>
      <c r="E14">
        <f>VALUE("1" &amp; Masacod(INDEX(GCalXMLT[gymasa],D14)) &amp; PaksaCod(INDEX(GCalXMLT[mpaksaid],D14)) &amp; TithiCod(INDEX(GCalXMLT[stithiname],D14)))</f>
        <v>109015</v>
      </c>
      <c r="F14" t="str">
        <f ca="1">INDEX(Parameters!$K$2:$K$16,MATCH(AV14,Parameters!$L$2:$L$16,0))</f>
        <v/>
      </c>
      <c r="G14">
        <f>INDEX(GCalXMLT[fastmark],$D14)</f>
        <v>0</v>
      </c>
      <c r="H14" t="str">
        <f ca="1">INDEX(Parameters!$J$2:$J$16,MATCH(AV14,Parameters!$L$2:$L$16,0))</f>
        <v/>
      </c>
      <c r="I14">
        <f>INDEX(GCalXMLT[dfestival1],$D14)</f>
        <v>0</v>
      </c>
      <c r="J14">
        <f>IF(INDEX(GCalXMLT[dfestival2],$D14)="(Fast today)",INDEX(Festivals!$R$2:$R$180,MATCH($I14,Festivals!$R$2:$R$180,0)+1),INDEX(GCalXMLT[dfestival2],$D14))</f>
        <v>0</v>
      </c>
      <c r="K14">
        <f>IF(I14="Nandotsava","(Fast till noon)",INDEX(GCalXMLT[dfestival3],$D14))</f>
        <v>0</v>
      </c>
      <c r="L14">
        <f>IF(I14="Nandotsava", INDEX(GCalXMLT[dfestival3],$D14),INDEX(GCalXMLT[dfestival4],$D14))</f>
        <v>0</v>
      </c>
      <c r="M14" t="str">
        <f>IFERROR(INDEX(Festivals!$S$2:$S$160,AP14),"")</f>
        <v/>
      </c>
      <c r="N14" t="str">
        <f>IFERROR(IF($AQ14&gt;1,INDEX(Festivals!$S$2:$S$160,$AP14+1),""),"")</f>
        <v/>
      </c>
      <c r="O14" t="str">
        <f>IFERROR(IF($AQ14&gt;2,INDEX(Festivals!$S$2:$S$160,$AP14+2),""),"")</f>
        <v/>
      </c>
      <c r="P14" t="str">
        <f>IFERROR(IF($AQ14&gt;3,INDEX(Festivals!$S$2:$S$160,$AP14+3),""),"")</f>
        <v/>
      </c>
      <c r="Q14" t="str">
        <f>IFERROR(IF($AQ14&gt;4,INDEX(Festivals!$S$2:$S$160,$AP14+4),""),"")</f>
        <v/>
      </c>
      <c r="R14" t="str">
        <f>IFERROR(IF($AQ14&gt;5,INDEX(Festivals!$S$2:$S$160,$AP14+5),""),"")</f>
        <v/>
      </c>
      <c r="S14" t="str">
        <f>IFERROR(IF($AQ14&gt;6,INDEX(Festivals!$S$2:$S$160,$AP14+6),""),"")</f>
        <v/>
      </c>
      <c r="T14">
        <f>INDEX(GCalXMLT[dcaturmasya1],$D14)</f>
        <v>0</v>
      </c>
      <c r="U14">
        <f>INDEX(GCalXMLT[dcaturmasya2],$D14)</f>
        <v>0</v>
      </c>
      <c r="V14" t="str">
        <f>INDEX(GCalXMLT[sankrantirasi],$D14) &amp; " " &amp; INDEX(GCalXMLT[sankrantitime],$D14)</f>
        <v xml:space="preserve"> </v>
      </c>
      <c r="W14" t="str">
        <f ca="1">IFERROR(INDEX('Holidays Calc'!$K$2:$K$233,AR14),"")</f>
        <v/>
      </c>
      <c r="X14" t="str">
        <f ca="1">IF(AR14="","",IF(INDEX('Holidays Calc'!$I$2:$I$233,AR14+1)=A14,INDEX('Holidays Calc'!$K$2:$K$233,AR14+1),""))</f>
        <v/>
      </c>
      <c r="Y14" t="str">
        <f ca="1">IF(AR14="","",IF(INDEX('Holidays Calc'!$I$2:$I$233,AR14+2)=A14,INDEX('Holidays Calc'!$K$2:$K$233,AR14+2),""))</f>
        <v/>
      </c>
      <c r="Z14" t="str">
        <f ca="1">IF(AR14="","",IF(INDEX('Holidays Calc'!$I$2:$I$233,AR14+3)=A14,INDEX('Holidays Calc'!$K$2:$K$2333,AR14+3),""))</f>
        <v/>
      </c>
      <c r="AA14" t="str">
        <f>IF(I14="Last day of Bhisma Pancaka","",IF(G14="*",-0.7,IF(ISBLANK(INDEX(GCalXMLT[dclass1],$D14)),"",INDEX(GCalXMLT[dclass1],$D14))))</f>
        <v/>
      </c>
      <c r="AB14" t="str">
        <f>IF(J14="First day of Bhisma Pancaka","",IF(AND(G14="*",NOT(ISERROR(SEARCH("ekadasi",J14)))),-0.7,IF(ISBLANK(INDEX(GCalXMLT[dclass2],$D14)),"",INDEX(GCalXMLT[dclass2],$D14))))</f>
        <v/>
      </c>
      <c r="AC14" t="str">
        <f>IF(I14="Nandotsava",-1,IF(ISBLANK(INDEX(GCalXMLT[dclass3],$D14)),"",INDEX(GCalXMLT[dclass3],$D14)))</f>
        <v/>
      </c>
      <c r="AD14" t="str">
        <f>IF(I14="Nandotsava",IF(ISBLANK(INDEX(GCalXMLT[dclass3],$D14)),"",INDEX(GCalXMLT[dclass3],$D14)),IF(ISBLANK(INDEX(GCalXMLT[dclass4],$D14)),"",INDEX(GCalXMLT[dclass4],$D14)))</f>
        <v/>
      </c>
      <c r="AE14" t="str">
        <f>IFERROR(INDEX(Festivals!$V$2:$V$160,AP14),"")</f>
        <v/>
      </c>
      <c r="AF14" t="str">
        <f>IFERROR(IF($AQ14&gt;1,INDEX(Festivals!$V$2:$V$160,$AP14+1),""),"")</f>
        <v/>
      </c>
      <c r="AG14" t="str">
        <f>IFERROR(IF($AQ14&gt;2,INDEX(Festivals!$V$2:$V$160,$AP14+2),""),"")</f>
        <v/>
      </c>
      <c r="AH14" t="str">
        <f>IFERROR(IF($AQ14&gt;3,INDEX(Festivals!$V$2:$V$160,$AP14+3),""),"")</f>
        <v/>
      </c>
      <c r="AI14" t="str">
        <f>IFERROR(IF($AQ14&gt;4,INDEX(Festivals!$V$2:$V$160,$AP14+4),""),"")</f>
        <v/>
      </c>
      <c r="AJ14" t="str">
        <f>IFERROR(IF($AQ14&gt;5,INDEX(Festivals!$V$2:$V$160,$AP14+5),""),"")</f>
        <v/>
      </c>
      <c r="AK14" t="str">
        <f>IFERROR(IF($AQ14&gt;6,INDEX(Festivals!$V$2:$V$160,$AP14+6),""),"")</f>
        <v/>
      </c>
      <c r="AL14" t="str">
        <f ca="1">IFERROR(INDEX('Holidays Calc'!$J$2:$J$233,MATCH(A14,'Holidays Calc'!$I$2:$I$233,0)),"")</f>
        <v/>
      </c>
      <c r="AM14" t="str">
        <f ca="1">IF(AR14="","",IF(INDEX('Holidays Calc'!$I$2:$I$233,AR14+1)=A14,INDEX('Holidays Calc'!$J$2:$J$233,AR14+1),""))</f>
        <v/>
      </c>
      <c r="AN14" t="str">
        <f ca="1">IF(AR14="","",IF(INDEX('Holidays Calc'!$I$2:$I$233,AR14+2)=A14,INDEX('Holidays Calc'!$J$2:$J$233,AR14+2),""))</f>
        <v/>
      </c>
      <c r="AO14" t="str">
        <f ca="1">IF(AR14="","",IF(INDEX('Holidays Calc'!$I$2:$I$233,AR14+3)=A14,INDEX('Holidays Calc'!$J$2:$J$233,AR14+3),""))</f>
        <v/>
      </c>
      <c r="AP14" t="str">
        <f>IFERROR(IF($E14=E13,"",MATCH($E14,Festivals!$H$2:$H$160,0)),"")</f>
        <v/>
      </c>
      <c r="AQ14" t="str">
        <f>IF(AP14="","",COUNTIF(Festivals!$H$2:$H$160,$E14))</f>
        <v/>
      </c>
      <c r="AR14" t="str">
        <f ca="1">IFERROR(MATCH(A14,'Holidays Calc'!$I$2:$I$233,0),"")</f>
        <v/>
      </c>
      <c r="AS14" t="str">
        <f t="shared" si="2"/>
        <v/>
      </c>
      <c r="AT14" t="str">
        <f t="shared" si="1"/>
        <v/>
      </c>
      <c r="AU14" t="str">
        <f t="shared" ca="1" si="3"/>
        <v/>
      </c>
      <c r="AV14" t="str">
        <f t="shared" ca="1" si="4"/>
        <v/>
      </c>
    </row>
    <row r="15" spans="1:48" x14ac:dyDescent="0.25">
      <c r="A15" s="265">
        <f t="shared" si="7"/>
        <v>43441</v>
      </c>
      <c r="B15" s="265" t="str">
        <f t="shared" si="8"/>
        <v>7 Dec 2018</v>
      </c>
      <c r="C15" s="267">
        <f t="shared" si="9"/>
        <v>49</v>
      </c>
      <c r="D15">
        <f>MATCH(A15,GCalXMLT[daydate],0)</f>
        <v>14</v>
      </c>
      <c r="E15">
        <f>VALUE("1" &amp; Masacod(INDEX(GCalXMLT[gymasa],D15)) &amp; PaksaCod(INDEX(GCalXMLT[mpaksaid],D15)) &amp; TithiCod(INDEX(GCalXMLT[stithiname],D15)))</f>
        <v>109101</v>
      </c>
      <c r="F15" t="str">
        <f ca="1">INDEX(Parameters!$K$2:$K$16,MATCH(AV15,Parameters!$L$2:$L$16,0))</f>
        <v/>
      </c>
      <c r="G15">
        <f>INDEX(GCalXMLT[fastmark],$D15)</f>
        <v>0</v>
      </c>
      <c r="H15" t="str">
        <f ca="1">INDEX(Parameters!$J$2:$J$16,MATCH(AV15,Parameters!$L$2:$L$16,0))</f>
        <v/>
      </c>
      <c r="I15">
        <f>INDEX(GCalXMLT[dfestival1],$D15)</f>
        <v>0</v>
      </c>
      <c r="J15">
        <f>IF(INDEX(GCalXMLT[dfestival2],$D15)="(Fast today)",INDEX(Festivals!$R$2:$R$180,MATCH($I15,Festivals!$R$2:$R$180,0)+1),INDEX(GCalXMLT[dfestival2],$D15))</f>
        <v>0</v>
      </c>
      <c r="K15">
        <f>IF(I15="Nandotsava","(Fast till noon)",INDEX(GCalXMLT[dfestival3],$D15))</f>
        <v>0</v>
      </c>
      <c r="L15">
        <f>IF(I15="Nandotsava", INDEX(GCalXMLT[dfestival3],$D15),INDEX(GCalXMLT[dfestival4],$D15))</f>
        <v>0</v>
      </c>
      <c r="M15" t="str">
        <f>IFERROR(INDEX(Festivals!$S$2:$S$160,AP15),"")</f>
        <v/>
      </c>
      <c r="N15" t="str">
        <f>IFERROR(IF($AQ15&gt;1,INDEX(Festivals!$S$2:$S$160,$AP15+1),""),"")</f>
        <v/>
      </c>
      <c r="O15" t="str">
        <f>IFERROR(IF($AQ15&gt;2,INDEX(Festivals!$S$2:$S$160,$AP15+2),""),"")</f>
        <v/>
      </c>
      <c r="P15" t="str">
        <f>IFERROR(IF($AQ15&gt;3,INDEX(Festivals!$S$2:$S$160,$AP15+3),""),"")</f>
        <v/>
      </c>
      <c r="Q15" t="str">
        <f>IFERROR(IF($AQ15&gt;4,INDEX(Festivals!$S$2:$S$160,$AP15+4),""),"")</f>
        <v/>
      </c>
      <c r="R15" t="str">
        <f>IFERROR(IF($AQ15&gt;5,INDEX(Festivals!$S$2:$S$160,$AP15+5),""),"")</f>
        <v/>
      </c>
      <c r="S15" t="str">
        <f>IFERROR(IF($AQ15&gt;6,INDEX(Festivals!$S$2:$S$160,$AP15+6),""),"")</f>
        <v/>
      </c>
      <c r="T15">
        <f>INDEX(GCalXMLT[dcaturmasya1],$D15)</f>
        <v>0</v>
      </c>
      <c r="U15">
        <f>INDEX(GCalXMLT[dcaturmasya2],$D15)</f>
        <v>0</v>
      </c>
      <c r="V15" t="str">
        <f>INDEX(GCalXMLT[sankrantirasi],$D15) &amp; " " &amp; INDEX(GCalXMLT[sankrantitime],$D15)</f>
        <v xml:space="preserve"> </v>
      </c>
      <c r="W15" t="str">
        <f ca="1">IFERROR(INDEX('Holidays Calc'!$K$2:$K$233,AR15),"")</f>
        <v/>
      </c>
      <c r="X15" t="str">
        <f ca="1">IF(AR15="","",IF(INDEX('Holidays Calc'!$I$2:$I$233,AR15+1)=A15,INDEX('Holidays Calc'!$K$2:$K$233,AR15+1),""))</f>
        <v/>
      </c>
      <c r="Y15" t="str">
        <f ca="1">IF(AR15="","",IF(INDEX('Holidays Calc'!$I$2:$I$233,AR15+2)=A15,INDEX('Holidays Calc'!$K$2:$K$233,AR15+2),""))</f>
        <v/>
      </c>
      <c r="Z15" t="str">
        <f ca="1">IF(AR15="","",IF(INDEX('Holidays Calc'!$I$2:$I$233,AR15+3)=A15,INDEX('Holidays Calc'!$K$2:$K$2333,AR15+3),""))</f>
        <v/>
      </c>
      <c r="AA15" t="str">
        <f>IF(I15="Last day of Bhisma Pancaka","",IF(G15="*",-0.7,IF(ISBLANK(INDEX(GCalXMLT[dclass1],$D15)),"",INDEX(GCalXMLT[dclass1],$D15))))</f>
        <v/>
      </c>
      <c r="AB15" t="str">
        <f>IF(J15="First day of Bhisma Pancaka","",IF(AND(G15="*",NOT(ISERROR(SEARCH("ekadasi",J15)))),-0.7,IF(ISBLANK(INDEX(GCalXMLT[dclass2],$D15)),"",INDEX(GCalXMLT[dclass2],$D15))))</f>
        <v/>
      </c>
      <c r="AC15" t="str">
        <f>IF(I15="Nandotsava",-1,IF(ISBLANK(INDEX(GCalXMLT[dclass3],$D15)),"",INDEX(GCalXMLT[dclass3],$D15)))</f>
        <v/>
      </c>
      <c r="AD15" t="str">
        <f>IF(I15="Nandotsava",IF(ISBLANK(INDEX(GCalXMLT[dclass3],$D15)),"",INDEX(GCalXMLT[dclass3],$D15)),IF(ISBLANK(INDEX(GCalXMLT[dclass4],$D15)),"",INDEX(GCalXMLT[dclass4],$D15)))</f>
        <v/>
      </c>
      <c r="AE15" t="str">
        <f>IFERROR(INDEX(Festivals!$V$2:$V$160,AP15),"")</f>
        <v/>
      </c>
      <c r="AF15" t="str">
        <f>IFERROR(IF($AQ15&gt;1,INDEX(Festivals!$V$2:$V$160,$AP15+1),""),"")</f>
        <v/>
      </c>
      <c r="AG15" t="str">
        <f>IFERROR(IF($AQ15&gt;2,INDEX(Festivals!$V$2:$V$160,$AP15+2),""),"")</f>
        <v/>
      </c>
      <c r="AH15" t="str">
        <f>IFERROR(IF($AQ15&gt;3,INDEX(Festivals!$V$2:$V$160,$AP15+3),""),"")</f>
        <v/>
      </c>
      <c r="AI15" t="str">
        <f>IFERROR(IF($AQ15&gt;4,INDEX(Festivals!$V$2:$V$160,$AP15+4),""),"")</f>
        <v/>
      </c>
      <c r="AJ15" t="str">
        <f>IFERROR(IF($AQ15&gt;5,INDEX(Festivals!$V$2:$V$160,$AP15+5),""),"")</f>
        <v/>
      </c>
      <c r="AK15" t="str">
        <f>IFERROR(IF($AQ15&gt;6,INDEX(Festivals!$V$2:$V$160,$AP15+6),""),"")</f>
        <v/>
      </c>
      <c r="AL15" t="str">
        <f ca="1">IFERROR(INDEX('Holidays Calc'!$J$2:$J$233,MATCH(A15,'Holidays Calc'!$I$2:$I$233,0)),"")</f>
        <v/>
      </c>
      <c r="AM15" t="str">
        <f ca="1">IF(AR15="","",IF(INDEX('Holidays Calc'!$I$2:$I$233,AR15+1)=A15,INDEX('Holidays Calc'!$J$2:$J$233,AR15+1),""))</f>
        <v/>
      </c>
      <c r="AN15" t="str">
        <f ca="1">IF(AR15="","",IF(INDEX('Holidays Calc'!$I$2:$I$233,AR15+2)=A15,INDEX('Holidays Calc'!$J$2:$J$233,AR15+2),""))</f>
        <v/>
      </c>
      <c r="AO15" t="str">
        <f ca="1">IF(AR15="","",IF(INDEX('Holidays Calc'!$I$2:$I$233,AR15+3)=A15,INDEX('Holidays Calc'!$J$2:$J$233,AR15+3),""))</f>
        <v/>
      </c>
      <c r="AP15" t="str">
        <f>IFERROR(IF($E15=E14,"",MATCH($E15,Festivals!$H$2:$H$160,0)),"")</f>
        <v/>
      </c>
      <c r="AQ15" t="str">
        <f>IF(AP15="","",COUNTIF(Festivals!$H$2:$H$160,$E15))</f>
        <v/>
      </c>
      <c r="AR15" t="str">
        <f ca="1">IFERROR(MATCH(A15,'Holidays Calc'!$I$2:$I$233,0),"")</f>
        <v/>
      </c>
      <c r="AS15" t="str">
        <f t="shared" si="2"/>
        <v/>
      </c>
      <c r="AT15" t="str">
        <f t="shared" si="1"/>
        <v/>
      </c>
      <c r="AU15" t="str">
        <f t="shared" ca="1" si="3"/>
        <v/>
      </c>
      <c r="AV15" t="str">
        <f t="shared" ca="1" si="4"/>
        <v/>
      </c>
    </row>
    <row r="16" spans="1:48" x14ac:dyDescent="0.25">
      <c r="A16" s="265">
        <f t="shared" si="7"/>
        <v>43442</v>
      </c>
      <c r="B16" s="265" t="str">
        <f t="shared" si="8"/>
        <v>8 Dec 2018</v>
      </c>
      <c r="C16" s="267">
        <f t="shared" si="9"/>
        <v>49</v>
      </c>
      <c r="D16">
        <f>MATCH(A16,GCalXMLT[daydate],0)</f>
        <v>15</v>
      </c>
      <c r="E16">
        <f>VALUE("1" &amp; Masacod(INDEX(GCalXMLT[gymasa],D16)) &amp; PaksaCod(INDEX(GCalXMLT[mpaksaid],D16)) &amp; TithiCod(INDEX(GCalXMLT[stithiname],D16)))</f>
        <v>109101</v>
      </c>
      <c r="F16" t="str">
        <f ca="1">INDEX(Parameters!$K$2:$K$16,MATCH(AV16,Parameters!$L$2:$L$16,0))</f>
        <v/>
      </c>
      <c r="G16">
        <f>INDEX(GCalXMLT[fastmark],$D16)</f>
        <v>0</v>
      </c>
      <c r="H16" t="str">
        <f ca="1">INDEX(Parameters!$J$2:$J$16,MATCH(AV16,Parameters!$L$2:$L$16,0))</f>
        <v/>
      </c>
      <c r="I16">
        <f>INDEX(GCalXMLT[dfestival1],$D16)</f>
        <v>0</v>
      </c>
      <c r="J16">
        <f>IF(INDEX(GCalXMLT[dfestival2],$D16)="(Fast today)",INDEX(Festivals!$R$2:$R$180,MATCH($I16,Festivals!$R$2:$R$180,0)+1),INDEX(GCalXMLT[dfestival2],$D16))</f>
        <v>0</v>
      </c>
      <c r="K16">
        <f>IF(I16="Nandotsava","(Fast till noon)",INDEX(GCalXMLT[dfestival3],$D16))</f>
        <v>0</v>
      </c>
      <c r="L16">
        <f>IF(I16="Nandotsava", INDEX(GCalXMLT[dfestival3],$D16),INDEX(GCalXMLT[dfestival4],$D16))</f>
        <v>0</v>
      </c>
      <c r="M16" t="str">
        <f>IFERROR(INDEX(Festivals!$S$2:$S$160,AP16),"")</f>
        <v/>
      </c>
      <c r="N16" t="str">
        <f>IFERROR(IF($AQ16&gt;1,INDEX(Festivals!$S$2:$S$160,$AP16+1),""),"")</f>
        <v/>
      </c>
      <c r="O16" t="str">
        <f>IFERROR(IF($AQ16&gt;2,INDEX(Festivals!$S$2:$S$160,$AP16+2),""),"")</f>
        <v/>
      </c>
      <c r="P16" t="str">
        <f>IFERROR(IF($AQ16&gt;3,INDEX(Festivals!$S$2:$S$160,$AP16+3),""),"")</f>
        <v/>
      </c>
      <c r="Q16" t="str">
        <f>IFERROR(IF($AQ16&gt;4,INDEX(Festivals!$S$2:$S$160,$AP16+4),""),"")</f>
        <v/>
      </c>
      <c r="R16" t="str">
        <f>IFERROR(IF($AQ16&gt;5,INDEX(Festivals!$S$2:$S$160,$AP16+5),""),"")</f>
        <v/>
      </c>
      <c r="S16" t="str">
        <f>IFERROR(IF($AQ16&gt;6,INDEX(Festivals!$S$2:$S$160,$AP16+6),""),"")</f>
        <v/>
      </c>
      <c r="T16">
        <f>INDEX(GCalXMLT[dcaturmasya1],$D16)</f>
        <v>0</v>
      </c>
      <c r="U16">
        <f>INDEX(GCalXMLT[dcaturmasya2],$D16)</f>
        <v>0</v>
      </c>
      <c r="V16" t="str">
        <f>INDEX(GCalXMLT[sankrantirasi],$D16) &amp; " " &amp; INDEX(GCalXMLT[sankrantitime],$D16)</f>
        <v xml:space="preserve"> </v>
      </c>
      <c r="W16" t="str">
        <f ca="1">IFERROR(INDEX('Holidays Calc'!$K$2:$K$233,AR16),"")</f>
        <v/>
      </c>
      <c r="X16" t="str">
        <f ca="1">IF(AR16="","",IF(INDEX('Holidays Calc'!$I$2:$I$233,AR16+1)=A16,INDEX('Holidays Calc'!$K$2:$K$233,AR16+1),""))</f>
        <v/>
      </c>
      <c r="Y16" t="str">
        <f ca="1">IF(AR16="","",IF(INDEX('Holidays Calc'!$I$2:$I$233,AR16+2)=A16,INDEX('Holidays Calc'!$K$2:$K$233,AR16+2),""))</f>
        <v/>
      </c>
      <c r="Z16" t="str">
        <f ca="1">IF(AR16="","",IF(INDEX('Holidays Calc'!$I$2:$I$233,AR16+3)=A16,INDEX('Holidays Calc'!$K$2:$K$2333,AR16+3),""))</f>
        <v/>
      </c>
      <c r="AA16" t="str">
        <f>IF(I16="Last day of Bhisma Pancaka","",IF(G16="*",-0.7,IF(ISBLANK(INDEX(GCalXMLT[dclass1],$D16)),"",INDEX(GCalXMLT[dclass1],$D16))))</f>
        <v/>
      </c>
      <c r="AB16" t="str">
        <f>IF(J16="First day of Bhisma Pancaka","",IF(AND(G16="*",NOT(ISERROR(SEARCH("ekadasi",J16)))),-0.7,IF(ISBLANK(INDEX(GCalXMLT[dclass2],$D16)),"",INDEX(GCalXMLT[dclass2],$D16))))</f>
        <v/>
      </c>
      <c r="AC16" t="str">
        <f>IF(I16="Nandotsava",-1,IF(ISBLANK(INDEX(GCalXMLT[dclass3],$D16)),"",INDEX(GCalXMLT[dclass3],$D16)))</f>
        <v/>
      </c>
      <c r="AD16" t="str">
        <f>IF(I16="Nandotsava",IF(ISBLANK(INDEX(GCalXMLT[dclass3],$D16)),"",INDEX(GCalXMLT[dclass3],$D16)),IF(ISBLANK(INDEX(GCalXMLT[dclass4],$D16)),"",INDEX(GCalXMLT[dclass4],$D16)))</f>
        <v/>
      </c>
      <c r="AE16" t="str">
        <f>IFERROR(INDEX(Festivals!$V$2:$V$160,AP16),"")</f>
        <v/>
      </c>
      <c r="AF16" t="str">
        <f>IFERROR(IF($AQ16&gt;1,INDEX(Festivals!$V$2:$V$160,$AP16+1),""),"")</f>
        <v/>
      </c>
      <c r="AG16" t="str">
        <f>IFERROR(IF($AQ16&gt;2,INDEX(Festivals!$V$2:$V$160,$AP16+2),""),"")</f>
        <v/>
      </c>
      <c r="AH16" t="str">
        <f>IFERROR(IF($AQ16&gt;3,INDEX(Festivals!$V$2:$V$160,$AP16+3),""),"")</f>
        <v/>
      </c>
      <c r="AI16" t="str">
        <f>IFERROR(IF($AQ16&gt;4,INDEX(Festivals!$V$2:$V$160,$AP16+4),""),"")</f>
        <v/>
      </c>
      <c r="AJ16" t="str">
        <f>IFERROR(IF($AQ16&gt;5,INDEX(Festivals!$V$2:$V$160,$AP16+5),""),"")</f>
        <v/>
      </c>
      <c r="AK16" t="str">
        <f>IFERROR(IF($AQ16&gt;6,INDEX(Festivals!$V$2:$V$160,$AP16+6),""),"")</f>
        <v/>
      </c>
      <c r="AL16" t="str">
        <f ca="1">IFERROR(INDEX('Holidays Calc'!$J$2:$J$233,MATCH(A16,'Holidays Calc'!$I$2:$I$233,0)),"")</f>
        <v/>
      </c>
      <c r="AM16" t="str">
        <f ca="1">IF(AR16="","",IF(INDEX('Holidays Calc'!$I$2:$I$233,AR16+1)=A16,INDEX('Holidays Calc'!$J$2:$J$233,AR16+1),""))</f>
        <v/>
      </c>
      <c r="AN16" t="str">
        <f ca="1">IF(AR16="","",IF(INDEX('Holidays Calc'!$I$2:$I$233,AR16+2)=A16,INDEX('Holidays Calc'!$J$2:$J$233,AR16+2),""))</f>
        <v/>
      </c>
      <c r="AO16" t="str">
        <f ca="1">IF(AR16="","",IF(INDEX('Holidays Calc'!$I$2:$I$233,AR16+3)=A16,INDEX('Holidays Calc'!$J$2:$J$233,AR16+3),""))</f>
        <v/>
      </c>
      <c r="AP16" t="str">
        <f>IFERROR(IF($E16=E15,"",MATCH($E16,Festivals!$H$2:$H$160,0)),"")</f>
        <v/>
      </c>
      <c r="AQ16" t="str">
        <f>IF(AP16="","",COUNTIF(Festivals!$H$2:$H$160,$E16))</f>
        <v/>
      </c>
      <c r="AR16" t="str">
        <f ca="1">IFERROR(MATCH(A16,'Holidays Calc'!$I$2:$I$233,0),"")</f>
        <v/>
      </c>
      <c r="AS16" t="str">
        <f t="shared" si="2"/>
        <v/>
      </c>
      <c r="AT16" t="str">
        <f t="shared" si="1"/>
        <v/>
      </c>
      <c r="AU16" t="str">
        <f t="shared" ca="1" si="3"/>
        <v/>
      </c>
      <c r="AV16" t="str">
        <f t="shared" ca="1" si="4"/>
        <v/>
      </c>
    </row>
    <row r="17" spans="1:48" x14ac:dyDescent="0.25">
      <c r="A17" s="265">
        <f t="shared" si="7"/>
        <v>43443</v>
      </c>
      <c r="B17" s="265" t="str">
        <f t="shared" si="8"/>
        <v>9 Dec 2018</v>
      </c>
      <c r="C17" s="267">
        <f t="shared" si="9"/>
        <v>49</v>
      </c>
      <c r="D17">
        <f>MATCH(A17,GCalXMLT[daydate],0)</f>
        <v>16</v>
      </c>
      <c r="E17">
        <f>VALUE("1" &amp; Masacod(INDEX(GCalXMLT[gymasa],D17)) &amp; PaksaCod(INDEX(GCalXMLT[mpaksaid],D17)) &amp; TithiCod(INDEX(GCalXMLT[stithiname],D17)))</f>
        <v>109102</v>
      </c>
      <c r="F17" t="str">
        <f ca="1">INDEX(Parameters!$K$2:$K$16,MATCH(AV17,Parameters!$L$2:$L$16,0))</f>
        <v/>
      </c>
      <c r="G17">
        <f>INDEX(GCalXMLT[fastmark],$D17)</f>
        <v>0</v>
      </c>
      <c r="H17" t="str">
        <f ca="1">INDEX(Parameters!$J$2:$J$16,MATCH(AV17,Parameters!$L$2:$L$16,0))</f>
        <v/>
      </c>
      <c r="I17">
        <f>INDEX(GCalXMLT[dfestival1],$D17)</f>
        <v>0</v>
      </c>
      <c r="J17">
        <f>IF(INDEX(GCalXMLT[dfestival2],$D17)="(Fast today)",INDEX(Festivals!$R$2:$R$180,MATCH($I17,Festivals!$R$2:$R$180,0)+1),INDEX(GCalXMLT[dfestival2],$D17))</f>
        <v>0</v>
      </c>
      <c r="K17">
        <f>IF(I17="Nandotsava","(Fast till noon)",INDEX(GCalXMLT[dfestival3],$D17))</f>
        <v>0</v>
      </c>
      <c r="L17">
        <f>IF(I17="Nandotsava", INDEX(GCalXMLT[dfestival3],$D17),INDEX(GCalXMLT[dfestival4],$D17))</f>
        <v>0</v>
      </c>
      <c r="M17" t="str">
        <f>IFERROR(INDEX(Festivals!$S$2:$S$160,AP17),"")</f>
        <v/>
      </c>
      <c r="N17" t="str">
        <f>IFERROR(IF($AQ17&gt;1,INDEX(Festivals!$S$2:$S$160,$AP17+1),""),"")</f>
        <v/>
      </c>
      <c r="O17" t="str">
        <f>IFERROR(IF($AQ17&gt;2,INDEX(Festivals!$S$2:$S$160,$AP17+2),""),"")</f>
        <v/>
      </c>
      <c r="P17" t="str">
        <f>IFERROR(IF($AQ17&gt;3,INDEX(Festivals!$S$2:$S$160,$AP17+3),""),"")</f>
        <v/>
      </c>
      <c r="Q17" t="str">
        <f>IFERROR(IF($AQ17&gt;4,INDEX(Festivals!$S$2:$S$160,$AP17+4),""),"")</f>
        <v/>
      </c>
      <c r="R17" t="str">
        <f>IFERROR(IF($AQ17&gt;5,INDEX(Festivals!$S$2:$S$160,$AP17+5),""),"")</f>
        <v/>
      </c>
      <c r="S17" t="str">
        <f>IFERROR(IF($AQ17&gt;6,INDEX(Festivals!$S$2:$S$160,$AP17+6),""),"")</f>
        <v/>
      </c>
      <c r="T17">
        <f>INDEX(GCalXMLT[dcaturmasya1],$D17)</f>
        <v>0</v>
      </c>
      <c r="U17">
        <f>INDEX(GCalXMLT[dcaturmasya2],$D17)</f>
        <v>0</v>
      </c>
      <c r="V17" t="str">
        <f>INDEX(GCalXMLT[sankrantirasi],$D17) &amp; " " &amp; INDEX(GCalXMLT[sankrantitime],$D17)</f>
        <v xml:space="preserve"> </v>
      </c>
      <c r="W17" t="str">
        <f ca="1">IFERROR(INDEX('Holidays Calc'!$K$2:$K$233,AR17),"")</f>
        <v/>
      </c>
      <c r="X17" t="str">
        <f ca="1">IF(AR17="","",IF(INDEX('Holidays Calc'!$I$2:$I$233,AR17+1)=A17,INDEX('Holidays Calc'!$K$2:$K$233,AR17+1),""))</f>
        <v/>
      </c>
      <c r="Y17" t="str">
        <f ca="1">IF(AR17="","",IF(INDEX('Holidays Calc'!$I$2:$I$233,AR17+2)=A17,INDEX('Holidays Calc'!$K$2:$K$233,AR17+2),""))</f>
        <v/>
      </c>
      <c r="Z17" t="str">
        <f ca="1">IF(AR17="","",IF(INDEX('Holidays Calc'!$I$2:$I$233,AR17+3)=A17,INDEX('Holidays Calc'!$K$2:$K$2333,AR17+3),""))</f>
        <v/>
      </c>
      <c r="AA17" t="str">
        <f>IF(I17="Last day of Bhisma Pancaka","",IF(G17="*",-0.7,IF(ISBLANK(INDEX(GCalXMLT[dclass1],$D17)),"",INDEX(GCalXMLT[dclass1],$D17))))</f>
        <v/>
      </c>
      <c r="AB17" t="str">
        <f>IF(J17="First day of Bhisma Pancaka","",IF(AND(G17="*",NOT(ISERROR(SEARCH("ekadasi",J17)))),-0.7,IF(ISBLANK(INDEX(GCalXMLT[dclass2],$D17)),"",INDEX(GCalXMLT[dclass2],$D17))))</f>
        <v/>
      </c>
      <c r="AC17" t="str">
        <f>IF(I17="Nandotsava",-1,IF(ISBLANK(INDEX(GCalXMLT[dclass3],$D17)),"",INDEX(GCalXMLT[dclass3],$D17)))</f>
        <v/>
      </c>
      <c r="AD17" t="str">
        <f>IF(I17="Nandotsava",IF(ISBLANK(INDEX(GCalXMLT[dclass3],$D17)),"",INDEX(GCalXMLT[dclass3],$D17)),IF(ISBLANK(INDEX(GCalXMLT[dclass4],$D17)),"",INDEX(GCalXMLT[dclass4],$D17)))</f>
        <v/>
      </c>
      <c r="AE17" t="str">
        <f>IFERROR(INDEX(Festivals!$V$2:$V$160,AP17),"")</f>
        <v/>
      </c>
      <c r="AF17" t="str">
        <f>IFERROR(IF($AQ17&gt;1,INDEX(Festivals!$V$2:$V$160,$AP17+1),""),"")</f>
        <v/>
      </c>
      <c r="AG17" t="str">
        <f>IFERROR(IF($AQ17&gt;2,INDEX(Festivals!$V$2:$V$160,$AP17+2),""),"")</f>
        <v/>
      </c>
      <c r="AH17" t="str">
        <f>IFERROR(IF($AQ17&gt;3,INDEX(Festivals!$V$2:$V$160,$AP17+3),""),"")</f>
        <v/>
      </c>
      <c r="AI17" t="str">
        <f>IFERROR(IF($AQ17&gt;4,INDEX(Festivals!$V$2:$V$160,$AP17+4),""),"")</f>
        <v/>
      </c>
      <c r="AJ17" t="str">
        <f>IFERROR(IF($AQ17&gt;5,INDEX(Festivals!$V$2:$V$160,$AP17+5),""),"")</f>
        <v/>
      </c>
      <c r="AK17" t="str">
        <f>IFERROR(IF($AQ17&gt;6,INDEX(Festivals!$V$2:$V$160,$AP17+6),""),"")</f>
        <v/>
      </c>
      <c r="AL17" t="str">
        <f ca="1">IFERROR(INDEX('Holidays Calc'!$J$2:$J$233,MATCH(A17,'Holidays Calc'!$I$2:$I$233,0)),"")</f>
        <v/>
      </c>
      <c r="AM17" t="str">
        <f ca="1">IF(AR17="","",IF(INDEX('Holidays Calc'!$I$2:$I$233,AR17+1)=A17,INDEX('Holidays Calc'!$J$2:$J$233,AR17+1),""))</f>
        <v/>
      </c>
      <c r="AN17" t="str">
        <f ca="1">IF(AR17="","",IF(INDEX('Holidays Calc'!$I$2:$I$233,AR17+2)=A17,INDEX('Holidays Calc'!$J$2:$J$233,AR17+2),""))</f>
        <v/>
      </c>
      <c r="AO17" t="str">
        <f ca="1">IF(AR17="","",IF(INDEX('Holidays Calc'!$I$2:$I$233,AR17+3)=A17,INDEX('Holidays Calc'!$J$2:$J$233,AR17+3),""))</f>
        <v/>
      </c>
      <c r="AP17" t="str">
        <f>IFERROR(IF($E17=E16,"",MATCH($E17,Festivals!$H$2:$H$160,0)),"")</f>
        <v/>
      </c>
      <c r="AQ17" t="str">
        <f>IF(AP17="","",COUNTIF(Festivals!$H$2:$H$160,$E17))</f>
        <v/>
      </c>
      <c r="AR17" t="str">
        <f ca="1">IFERROR(MATCH(A17,'Holidays Calc'!$I$2:$I$233,0),"")</f>
        <v/>
      </c>
      <c r="AS17" t="str">
        <f t="shared" si="2"/>
        <v/>
      </c>
      <c r="AT17" t="str">
        <f t="shared" si="1"/>
        <v/>
      </c>
      <c r="AU17" t="str">
        <f t="shared" ca="1" si="3"/>
        <v/>
      </c>
      <c r="AV17" t="str">
        <f t="shared" ca="1" si="4"/>
        <v/>
      </c>
    </row>
    <row r="18" spans="1:48" x14ac:dyDescent="0.25">
      <c r="A18" s="265">
        <f t="shared" si="7"/>
        <v>43444</v>
      </c>
      <c r="B18" s="265" t="str">
        <f t="shared" si="8"/>
        <v>10 Dec 2018</v>
      </c>
      <c r="C18" s="267">
        <f t="shared" si="9"/>
        <v>50</v>
      </c>
      <c r="D18">
        <f>MATCH(A18,GCalXMLT[daydate],0)</f>
        <v>17</v>
      </c>
      <c r="E18">
        <f>VALUE("1" &amp; Masacod(INDEX(GCalXMLT[gymasa],D18)) &amp; PaksaCod(INDEX(GCalXMLT[mpaksaid],D18)) &amp; TithiCod(INDEX(GCalXMLT[stithiname],D18)))</f>
        <v>109103</v>
      </c>
      <c r="F18" t="str">
        <f ca="1">INDEX(Parameters!$K$2:$K$16,MATCH(AV18,Parameters!$L$2:$L$16,0))</f>
        <v/>
      </c>
      <c r="G18">
        <f>INDEX(GCalXMLT[fastmark],$D18)</f>
        <v>0</v>
      </c>
      <c r="H18" t="str">
        <f ca="1">INDEX(Parameters!$J$2:$J$16,MATCH(AV18,Parameters!$L$2:$L$16,0))</f>
        <v/>
      </c>
      <c r="I18">
        <f>INDEX(GCalXMLT[dfestival1],$D18)</f>
        <v>0</v>
      </c>
      <c r="J18">
        <f>IF(INDEX(GCalXMLT[dfestival2],$D18)="(Fast today)",INDEX(Festivals!$R$2:$R$180,MATCH($I18,Festivals!$R$2:$R$180,0)+1),INDEX(GCalXMLT[dfestival2],$D18))</f>
        <v>0</v>
      </c>
      <c r="K18">
        <f>IF(I18="Nandotsava","(Fast till noon)",INDEX(GCalXMLT[dfestival3],$D18))</f>
        <v>0</v>
      </c>
      <c r="L18">
        <f>IF(I18="Nandotsava", INDEX(GCalXMLT[dfestival3],$D18),INDEX(GCalXMLT[dfestival4],$D18))</f>
        <v>0</v>
      </c>
      <c r="M18" t="str">
        <f>IFERROR(INDEX(Festivals!$S$2:$S$160,AP18),"")</f>
        <v/>
      </c>
      <c r="N18" t="str">
        <f>IFERROR(IF($AQ18&gt;1,INDEX(Festivals!$S$2:$S$160,$AP18+1),""),"")</f>
        <v/>
      </c>
      <c r="O18" t="str">
        <f>IFERROR(IF($AQ18&gt;2,INDEX(Festivals!$S$2:$S$160,$AP18+2),""),"")</f>
        <v/>
      </c>
      <c r="P18" t="str">
        <f>IFERROR(IF($AQ18&gt;3,INDEX(Festivals!$S$2:$S$160,$AP18+3),""),"")</f>
        <v/>
      </c>
      <c r="Q18" t="str">
        <f>IFERROR(IF($AQ18&gt;4,INDEX(Festivals!$S$2:$S$160,$AP18+4),""),"")</f>
        <v/>
      </c>
      <c r="R18" t="str">
        <f>IFERROR(IF($AQ18&gt;5,INDEX(Festivals!$S$2:$S$160,$AP18+5),""),"")</f>
        <v/>
      </c>
      <c r="S18" t="str">
        <f>IFERROR(IF($AQ18&gt;6,INDEX(Festivals!$S$2:$S$160,$AP18+6),""),"")</f>
        <v/>
      </c>
      <c r="T18">
        <f>INDEX(GCalXMLT[dcaturmasya1],$D18)</f>
        <v>0</v>
      </c>
      <c r="U18">
        <f>INDEX(GCalXMLT[dcaturmasya2],$D18)</f>
        <v>0</v>
      </c>
      <c r="V18" t="str">
        <f>INDEX(GCalXMLT[sankrantirasi],$D18) &amp; " " &amp; INDEX(GCalXMLT[sankrantitime],$D18)</f>
        <v xml:space="preserve"> </v>
      </c>
      <c r="W18" t="str">
        <f ca="1">IFERROR(INDEX('Holidays Calc'!$K$2:$K$233,AR18),"")</f>
        <v/>
      </c>
      <c r="X18" t="str">
        <f ca="1">IF(AR18="","",IF(INDEX('Holidays Calc'!$I$2:$I$233,AR18+1)=A18,INDEX('Holidays Calc'!$K$2:$K$233,AR18+1),""))</f>
        <v/>
      </c>
      <c r="Y18" t="str">
        <f ca="1">IF(AR18="","",IF(INDEX('Holidays Calc'!$I$2:$I$233,AR18+2)=A18,INDEX('Holidays Calc'!$K$2:$K$233,AR18+2),""))</f>
        <v/>
      </c>
      <c r="Z18" t="str">
        <f ca="1">IF(AR18="","",IF(INDEX('Holidays Calc'!$I$2:$I$233,AR18+3)=A18,INDEX('Holidays Calc'!$K$2:$K$2333,AR18+3),""))</f>
        <v/>
      </c>
      <c r="AA18" t="str">
        <f>IF(I18="Last day of Bhisma Pancaka","",IF(G18="*",-0.7,IF(ISBLANK(INDEX(GCalXMLT[dclass1],$D18)),"",INDEX(GCalXMLT[dclass1],$D18))))</f>
        <v/>
      </c>
      <c r="AB18" t="str">
        <f>IF(J18="First day of Bhisma Pancaka","",IF(AND(G18="*",NOT(ISERROR(SEARCH("ekadasi",J18)))),-0.7,IF(ISBLANK(INDEX(GCalXMLT[dclass2],$D18)),"",INDEX(GCalXMLT[dclass2],$D18))))</f>
        <v/>
      </c>
      <c r="AC18" t="str">
        <f>IF(I18="Nandotsava",-1,IF(ISBLANK(INDEX(GCalXMLT[dclass3],$D18)),"",INDEX(GCalXMLT[dclass3],$D18)))</f>
        <v/>
      </c>
      <c r="AD18" t="str">
        <f>IF(I18="Nandotsava",IF(ISBLANK(INDEX(GCalXMLT[dclass3],$D18)),"",INDEX(GCalXMLT[dclass3],$D18)),IF(ISBLANK(INDEX(GCalXMLT[dclass4],$D18)),"",INDEX(GCalXMLT[dclass4],$D18)))</f>
        <v/>
      </c>
      <c r="AE18" t="str">
        <f>IFERROR(INDEX(Festivals!$V$2:$V$160,AP18),"")</f>
        <v/>
      </c>
      <c r="AF18" t="str">
        <f>IFERROR(IF($AQ18&gt;1,INDEX(Festivals!$V$2:$V$160,$AP18+1),""),"")</f>
        <v/>
      </c>
      <c r="AG18" t="str">
        <f>IFERROR(IF($AQ18&gt;2,INDEX(Festivals!$V$2:$V$160,$AP18+2),""),"")</f>
        <v/>
      </c>
      <c r="AH18" t="str">
        <f>IFERROR(IF($AQ18&gt;3,INDEX(Festivals!$V$2:$V$160,$AP18+3),""),"")</f>
        <v/>
      </c>
      <c r="AI18" t="str">
        <f>IFERROR(IF($AQ18&gt;4,INDEX(Festivals!$V$2:$V$160,$AP18+4),""),"")</f>
        <v/>
      </c>
      <c r="AJ18" t="str">
        <f>IFERROR(IF($AQ18&gt;5,INDEX(Festivals!$V$2:$V$160,$AP18+5),""),"")</f>
        <v/>
      </c>
      <c r="AK18" t="str">
        <f>IFERROR(IF($AQ18&gt;6,INDEX(Festivals!$V$2:$V$160,$AP18+6),""),"")</f>
        <v/>
      </c>
      <c r="AL18" t="str">
        <f ca="1">IFERROR(INDEX('Holidays Calc'!$J$2:$J$233,MATCH(A18,'Holidays Calc'!$I$2:$I$233,0)),"")</f>
        <v/>
      </c>
      <c r="AM18" t="str">
        <f ca="1">IF(AR18="","",IF(INDEX('Holidays Calc'!$I$2:$I$233,AR18+1)=A18,INDEX('Holidays Calc'!$J$2:$J$233,AR18+1),""))</f>
        <v/>
      </c>
      <c r="AN18" t="str">
        <f ca="1">IF(AR18="","",IF(INDEX('Holidays Calc'!$I$2:$I$233,AR18+2)=A18,INDEX('Holidays Calc'!$J$2:$J$233,AR18+2),""))</f>
        <v/>
      </c>
      <c r="AO18" t="str">
        <f ca="1">IF(AR18="","",IF(INDEX('Holidays Calc'!$I$2:$I$233,AR18+3)=A18,INDEX('Holidays Calc'!$J$2:$J$233,AR18+3),""))</f>
        <v/>
      </c>
      <c r="AP18" t="str">
        <f>IFERROR(IF($E18=E17,"",MATCH($E18,Festivals!$H$2:$H$160,0)),"")</f>
        <v/>
      </c>
      <c r="AQ18" t="str">
        <f>IF(AP18="","",COUNTIF(Festivals!$H$2:$H$160,$E18))</f>
        <v/>
      </c>
      <c r="AR18" t="str">
        <f ca="1">IFERROR(MATCH(A18,'Holidays Calc'!$I$2:$I$233,0),"")</f>
        <v/>
      </c>
      <c r="AS18" t="str">
        <f t="shared" si="2"/>
        <v/>
      </c>
      <c r="AT18" t="str">
        <f t="shared" si="1"/>
        <v/>
      </c>
      <c r="AU18" t="str">
        <f t="shared" ca="1" si="3"/>
        <v/>
      </c>
      <c r="AV18" t="str">
        <f t="shared" ca="1" si="4"/>
        <v/>
      </c>
    </row>
    <row r="19" spans="1:48" x14ac:dyDescent="0.25">
      <c r="A19" s="265">
        <f t="shared" si="7"/>
        <v>43445</v>
      </c>
      <c r="B19" s="265" t="str">
        <f t="shared" si="8"/>
        <v>11 Dec 2018</v>
      </c>
      <c r="C19" s="267">
        <f t="shared" si="9"/>
        <v>50</v>
      </c>
      <c r="D19">
        <f>MATCH(A19,GCalXMLT[daydate],0)</f>
        <v>18</v>
      </c>
      <c r="E19">
        <f>VALUE("1" &amp; Masacod(INDEX(GCalXMLT[gymasa],D19)) &amp; PaksaCod(INDEX(GCalXMLT[mpaksaid],D19)) &amp; TithiCod(INDEX(GCalXMLT[stithiname],D19)))</f>
        <v>109104</v>
      </c>
      <c r="F19" t="str">
        <f ca="1">INDEX(Parameters!$K$2:$K$16,MATCH(AV19,Parameters!$L$2:$L$16,0))</f>
        <v/>
      </c>
      <c r="G19">
        <f>INDEX(GCalXMLT[fastmark],$D19)</f>
        <v>0</v>
      </c>
      <c r="H19" t="str">
        <f ca="1">INDEX(Parameters!$J$2:$J$16,MATCH(AV19,Parameters!$L$2:$L$16,0))</f>
        <v/>
      </c>
      <c r="I19">
        <f>INDEX(GCalXMLT[dfestival1],$D19)</f>
        <v>0</v>
      </c>
      <c r="J19">
        <f>IF(INDEX(GCalXMLT[dfestival2],$D19)="(Fast today)",INDEX(Festivals!$R$2:$R$180,MATCH($I19,Festivals!$R$2:$R$180,0)+1),INDEX(GCalXMLT[dfestival2],$D19))</f>
        <v>0</v>
      </c>
      <c r="K19">
        <f>IF(I19="Nandotsava","(Fast till noon)",INDEX(GCalXMLT[dfestival3],$D19))</f>
        <v>0</v>
      </c>
      <c r="L19">
        <f>IF(I19="Nandotsava", INDEX(GCalXMLT[dfestival3],$D19),INDEX(GCalXMLT[dfestival4],$D19))</f>
        <v>0</v>
      </c>
      <c r="M19" t="str">
        <f>IFERROR(INDEX(Festivals!$S$2:$S$160,AP19),"")</f>
        <v/>
      </c>
      <c r="N19" t="str">
        <f>IFERROR(IF($AQ19&gt;1,INDEX(Festivals!$S$2:$S$160,$AP19+1),""),"")</f>
        <v/>
      </c>
      <c r="O19" t="str">
        <f>IFERROR(IF($AQ19&gt;2,INDEX(Festivals!$S$2:$S$160,$AP19+2),""),"")</f>
        <v/>
      </c>
      <c r="P19" t="str">
        <f>IFERROR(IF($AQ19&gt;3,INDEX(Festivals!$S$2:$S$160,$AP19+3),""),"")</f>
        <v/>
      </c>
      <c r="Q19" t="str">
        <f>IFERROR(IF($AQ19&gt;4,INDEX(Festivals!$S$2:$S$160,$AP19+4),""),"")</f>
        <v/>
      </c>
      <c r="R19" t="str">
        <f>IFERROR(IF($AQ19&gt;5,INDEX(Festivals!$S$2:$S$160,$AP19+5),""),"")</f>
        <v/>
      </c>
      <c r="S19" t="str">
        <f>IFERROR(IF($AQ19&gt;6,INDEX(Festivals!$S$2:$S$160,$AP19+6),""),"")</f>
        <v/>
      </c>
      <c r="T19">
        <f>INDEX(GCalXMLT[dcaturmasya1],$D19)</f>
        <v>0</v>
      </c>
      <c r="U19">
        <f>INDEX(GCalXMLT[dcaturmasya2],$D19)</f>
        <v>0</v>
      </c>
      <c r="V19" t="str">
        <f>INDEX(GCalXMLT[sankrantirasi],$D19) &amp; " " &amp; INDEX(GCalXMLT[sankrantitime],$D19)</f>
        <v xml:space="preserve"> </v>
      </c>
      <c r="W19" t="str">
        <f ca="1">IFERROR(INDEX('Holidays Calc'!$K$2:$K$233,AR19),"")</f>
        <v/>
      </c>
      <c r="X19" t="str">
        <f ca="1">IF(AR19="","",IF(INDEX('Holidays Calc'!$I$2:$I$233,AR19+1)=A19,INDEX('Holidays Calc'!$K$2:$K$233,AR19+1),""))</f>
        <v/>
      </c>
      <c r="Y19" t="str">
        <f ca="1">IF(AR19="","",IF(INDEX('Holidays Calc'!$I$2:$I$233,AR19+2)=A19,INDEX('Holidays Calc'!$K$2:$K$233,AR19+2),""))</f>
        <v/>
      </c>
      <c r="Z19" t="str">
        <f ca="1">IF(AR19="","",IF(INDEX('Holidays Calc'!$I$2:$I$233,AR19+3)=A19,INDEX('Holidays Calc'!$K$2:$K$2333,AR19+3),""))</f>
        <v/>
      </c>
      <c r="AA19" t="str">
        <f>IF(I19="Last day of Bhisma Pancaka","",IF(G19="*",-0.7,IF(ISBLANK(INDEX(GCalXMLT[dclass1],$D19)),"",INDEX(GCalXMLT[dclass1],$D19))))</f>
        <v/>
      </c>
      <c r="AB19" t="str">
        <f>IF(J19="First day of Bhisma Pancaka","",IF(AND(G19="*",NOT(ISERROR(SEARCH("ekadasi",J19)))),-0.7,IF(ISBLANK(INDEX(GCalXMLT[dclass2],$D19)),"",INDEX(GCalXMLT[dclass2],$D19))))</f>
        <v/>
      </c>
      <c r="AC19" t="str">
        <f>IF(I19="Nandotsava",-1,IF(ISBLANK(INDEX(GCalXMLT[dclass3],$D19)),"",INDEX(GCalXMLT[dclass3],$D19)))</f>
        <v/>
      </c>
      <c r="AD19" t="str">
        <f>IF(I19="Nandotsava",IF(ISBLANK(INDEX(GCalXMLT[dclass3],$D19)),"",INDEX(GCalXMLT[dclass3],$D19)),IF(ISBLANK(INDEX(GCalXMLT[dclass4],$D19)),"",INDEX(GCalXMLT[dclass4],$D19)))</f>
        <v/>
      </c>
      <c r="AE19" t="str">
        <f>IFERROR(INDEX(Festivals!$V$2:$V$160,AP19),"")</f>
        <v/>
      </c>
      <c r="AF19" t="str">
        <f>IFERROR(IF($AQ19&gt;1,INDEX(Festivals!$V$2:$V$160,$AP19+1),""),"")</f>
        <v/>
      </c>
      <c r="AG19" t="str">
        <f>IFERROR(IF($AQ19&gt;2,INDEX(Festivals!$V$2:$V$160,$AP19+2),""),"")</f>
        <v/>
      </c>
      <c r="AH19" t="str">
        <f>IFERROR(IF($AQ19&gt;3,INDEX(Festivals!$V$2:$V$160,$AP19+3),""),"")</f>
        <v/>
      </c>
      <c r="AI19" t="str">
        <f>IFERROR(IF($AQ19&gt;4,INDEX(Festivals!$V$2:$V$160,$AP19+4),""),"")</f>
        <v/>
      </c>
      <c r="AJ19" t="str">
        <f>IFERROR(IF($AQ19&gt;5,INDEX(Festivals!$V$2:$V$160,$AP19+5),""),"")</f>
        <v/>
      </c>
      <c r="AK19" t="str">
        <f>IFERROR(IF($AQ19&gt;6,INDEX(Festivals!$V$2:$V$160,$AP19+6),""),"")</f>
        <v/>
      </c>
      <c r="AL19" t="str">
        <f ca="1">IFERROR(INDEX('Holidays Calc'!$J$2:$J$233,MATCH(A19,'Holidays Calc'!$I$2:$I$233,0)),"")</f>
        <v/>
      </c>
      <c r="AM19" t="str">
        <f ca="1">IF(AR19="","",IF(INDEX('Holidays Calc'!$I$2:$I$233,AR19+1)=A19,INDEX('Holidays Calc'!$J$2:$J$233,AR19+1),""))</f>
        <v/>
      </c>
      <c r="AN19" t="str">
        <f ca="1">IF(AR19="","",IF(INDEX('Holidays Calc'!$I$2:$I$233,AR19+2)=A19,INDEX('Holidays Calc'!$J$2:$J$233,AR19+2),""))</f>
        <v/>
      </c>
      <c r="AO19" t="str">
        <f ca="1">IF(AR19="","",IF(INDEX('Holidays Calc'!$I$2:$I$233,AR19+3)=A19,INDEX('Holidays Calc'!$J$2:$J$233,AR19+3),""))</f>
        <v/>
      </c>
      <c r="AP19" t="str">
        <f>IFERROR(IF($E19=E18,"",MATCH($E19,Festivals!$H$2:$H$160,0)),"")</f>
        <v/>
      </c>
      <c r="AQ19" t="str">
        <f>IF(AP19="","",COUNTIF(Festivals!$H$2:$H$160,$E19))</f>
        <v/>
      </c>
      <c r="AR19" t="str">
        <f ca="1">IFERROR(MATCH(A19,'Holidays Calc'!$I$2:$I$233,0),"")</f>
        <v/>
      </c>
      <c r="AS19" t="str">
        <f t="shared" si="2"/>
        <v/>
      </c>
      <c r="AT19" t="str">
        <f t="shared" si="1"/>
        <v/>
      </c>
      <c r="AU19" t="str">
        <f t="shared" ca="1" si="3"/>
        <v/>
      </c>
      <c r="AV19" t="str">
        <f t="shared" ca="1" si="4"/>
        <v/>
      </c>
    </row>
    <row r="20" spans="1:48" x14ac:dyDescent="0.25">
      <c r="A20" s="265">
        <f t="shared" si="7"/>
        <v>43446</v>
      </c>
      <c r="B20" s="265" t="str">
        <f t="shared" si="8"/>
        <v>12 Dec 2018</v>
      </c>
      <c r="C20" s="267">
        <f t="shared" si="9"/>
        <v>50</v>
      </c>
      <c r="D20">
        <f>MATCH(A20,GCalXMLT[daydate],0)</f>
        <v>19</v>
      </c>
      <c r="E20">
        <f>VALUE("1" &amp; Masacod(INDEX(GCalXMLT[gymasa],D20)) &amp; PaksaCod(INDEX(GCalXMLT[mpaksaid],D20)) &amp; TithiCod(INDEX(GCalXMLT[stithiname],D20)))</f>
        <v>109105</v>
      </c>
      <c r="F20" t="str">
        <f ca="1">INDEX(Parameters!$K$2:$K$16,MATCH(AV20,Parameters!$L$2:$L$16,0))</f>
        <v/>
      </c>
      <c r="G20">
        <f>INDEX(GCalXMLT[fastmark],$D20)</f>
        <v>0</v>
      </c>
      <c r="H20" t="str">
        <f ca="1">INDEX(Parameters!$J$2:$J$16,MATCH(AV20,Parameters!$L$2:$L$16,0))</f>
        <v/>
      </c>
      <c r="I20">
        <f>INDEX(GCalXMLT[dfestival1],$D20)</f>
        <v>0</v>
      </c>
      <c r="J20">
        <f>IF(INDEX(GCalXMLT[dfestival2],$D20)="(Fast today)",INDEX(Festivals!$R$2:$R$180,MATCH($I20,Festivals!$R$2:$R$180,0)+1),INDEX(GCalXMLT[dfestival2],$D20))</f>
        <v>0</v>
      </c>
      <c r="K20">
        <f>IF(I20="Nandotsava","(Fast till noon)",INDEX(GCalXMLT[dfestival3],$D20))</f>
        <v>0</v>
      </c>
      <c r="L20">
        <f>IF(I20="Nandotsava", INDEX(GCalXMLT[dfestival3],$D20),INDEX(GCalXMLT[dfestival4],$D20))</f>
        <v>0</v>
      </c>
      <c r="M20" t="str">
        <f>IFERROR(INDEX(Festivals!$S$2:$S$160,AP20),"")</f>
        <v/>
      </c>
      <c r="N20" t="str">
        <f>IFERROR(IF($AQ20&gt;1,INDEX(Festivals!$S$2:$S$160,$AP20+1),""),"")</f>
        <v/>
      </c>
      <c r="O20" t="str">
        <f>IFERROR(IF($AQ20&gt;2,INDEX(Festivals!$S$2:$S$160,$AP20+2),""),"")</f>
        <v/>
      </c>
      <c r="P20" t="str">
        <f>IFERROR(IF($AQ20&gt;3,INDEX(Festivals!$S$2:$S$160,$AP20+3),""),"")</f>
        <v/>
      </c>
      <c r="Q20" t="str">
        <f>IFERROR(IF($AQ20&gt;4,INDEX(Festivals!$S$2:$S$160,$AP20+4),""),"")</f>
        <v/>
      </c>
      <c r="R20" t="str">
        <f>IFERROR(IF($AQ20&gt;5,INDEX(Festivals!$S$2:$S$160,$AP20+5),""),"")</f>
        <v/>
      </c>
      <c r="S20" t="str">
        <f>IFERROR(IF($AQ20&gt;6,INDEX(Festivals!$S$2:$S$160,$AP20+6),""),"")</f>
        <v/>
      </c>
      <c r="T20">
        <f>INDEX(GCalXMLT[dcaturmasya1],$D20)</f>
        <v>0</v>
      </c>
      <c r="U20">
        <f>INDEX(GCalXMLT[dcaturmasya2],$D20)</f>
        <v>0</v>
      </c>
      <c r="V20" t="str">
        <f>INDEX(GCalXMLT[sankrantirasi],$D20) &amp; " " &amp; INDEX(GCalXMLT[sankrantitime],$D20)</f>
        <v xml:space="preserve"> </v>
      </c>
      <c r="W20" t="str">
        <f ca="1">IFERROR(INDEX('Holidays Calc'!$K$2:$K$233,AR20),"")</f>
        <v/>
      </c>
      <c r="X20" t="str">
        <f ca="1">IF(AR20="","",IF(INDEX('Holidays Calc'!$I$2:$I$233,AR20+1)=A20,INDEX('Holidays Calc'!$K$2:$K$233,AR20+1),""))</f>
        <v/>
      </c>
      <c r="Y20" t="str">
        <f ca="1">IF(AR20="","",IF(INDEX('Holidays Calc'!$I$2:$I$233,AR20+2)=A20,INDEX('Holidays Calc'!$K$2:$K$233,AR20+2),""))</f>
        <v/>
      </c>
      <c r="Z20" t="str">
        <f ca="1">IF(AR20="","",IF(INDEX('Holidays Calc'!$I$2:$I$233,AR20+3)=A20,INDEX('Holidays Calc'!$K$2:$K$2333,AR20+3),""))</f>
        <v/>
      </c>
      <c r="AA20" t="str">
        <f>IF(I20="Last day of Bhisma Pancaka","",IF(G20="*",-0.7,IF(ISBLANK(INDEX(GCalXMLT[dclass1],$D20)),"",INDEX(GCalXMLT[dclass1],$D20))))</f>
        <v/>
      </c>
      <c r="AB20" t="str">
        <f>IF(J20="First day of Bhisma Pancaka","",IF(AND(G20="*",NOT(ISERROR(SEARCH("ekadasi",J20)))),-0.7,IF(ISBLANK(INDEX(GCalXMLT[dclass2],$D20)),"",INDEX(GCalXMLT[dclass2],$D20))))</f>
        <v/>
      </c>
      <c r="AC20" t="str">
        <f>IF(I20="Nandotsava",-1,IF(ISBLANK(INDEX(GCalXMLT[dclass3],$D20)),"",INDEX(GCalXMLT[dclass3],$D20)))</f>
        <v/>
      </c>
      <c r="AD20" t="str">
        <f>IF(I20="Nandotsava",IF(ISBLANK(INDEX(GCalXMLT[dclass3],$D20)),"",INDEX(GCalXMLT[dclass3],$D20)),IF(ISBLANK(INDEX(GCalXMLT[dclass4],$D20)),"",INDEX(GCalXMLT[dclass4],$D20)))</f>
        <v/>
      </c>
      <c r="AE20" t="str">
        <f>IFERROR(INDEX(Festivals!$V$2:$V$160,AP20),"")</f>
        <v/>
      </c>
      <c r="AF20" t="str">
        <f>IFERROR(IF($AQ20&gt;1,INDEX(Festivals!$V$2:$V$160,$AP20+1),""),"")</f>
        <v/>
      </c>
      <c r="AG20" t="str">
        <f>IFERROR(IF($AQ20&gt;2,INDEX(Festivals!$V$2:$V$160,$AP20+2),""),"")</f>
        <v/>
      </c>
      <c r="AH20" t="str">
        <f>IFERROR(IF($AQ20&gt;3,INDEX(Festivals!$V$2:$V$160,$AP20+3),""),"")</f>
        <v/>
      </c>
      <c r="AI20" t="str">
        <f>IFERROR(IF($AQ20&gt;4,INDEX(Festivals!$V$2:$V$160,$AP20+4),""),"")</f>
        <v/>
      </c>
      <c r="AJ20" t="str">
        <f>IFERROR(IF($AQ20&gt;5,INDEX(Festivals!$V$2:$V$160,$AP20+5),""),"")</f>
        <v/>
      </c>
      <c r="AK20" t="str">
        <f>IFERROR(IF($AQ20&gt;6,INDEX(Festivals!$V$2:$V$160,$AP20+6),""),"")</f>
        <v/>
      </c>
      <c r="AL20" t="str">
        <f ca="1">IFERROR(INDEX('Holidays Calc'!$J$2:$J$233,MATCH(A20,'Holidays Calc'!$I$2:$I$233,0)),"")</f>
        <v/>
      </c>
      <c r="AM20" t="str">
        <f ca="1">IF(AR20="","",IF(INDEX('Holidays Calc'!$I$2:$I$233,AR20+1)=A20,INDEX('Holidays Calc'!$J$2:$J$233,AR20+1),""))</f>
        <v/>
      </c>
      <c r="AN20" t="str">
        <f ca="1">IF(AR20="","",IF(INDEX('Holidays Calc'!$I$2:$I$233,AR20+2)=A20,INDEX('Holidays Calc'!$J$2:$J$233,AR20+2),""))</f>
        <v/>
      </c>
      <c r="AO20" t="str">
        <f ca="1">IF(AR20="","",IF(INDEX('Holidays Calc'!$I$2:$I$233,AR20+3)=A20,INDEX('Holidays Calc'!$J$2:$J$233,AR20+3),""))</f>
        <v/>
      </c>
      <c r="AP20" t="str">
        <f>IFERROR(IF($E20=E19,"",MATCH($E20,Festivals!$H$2:$H$160,0)),"")</f>
        <v/>
      </c>
      <c r="AQ20" t="str">
        <f>IF(AP20="","",COUNTIF(Festivals!$H$2:$H$160,$E20))</f>
        <v/>
      </c>
      <c r="AR20" t="str">
        <f ca="1">IFERROR(MATCH(A20,'Holidays Calc'!$I$2:$I$233,0),"")</f>
        <v/>
      </c>
      <c r="AS20" t="str">
        <f t="shared" si="2"/>
        <v/>
      </c>
      <c r="AT20" t="str">
        <f t="shared" si="1"/>
        <v/>
      </c>
      <c r="AU20" t="str">
        <f t="shared" ca="1" si="3"/>
        <v/>
      </c>
      <c r="AV20" t="str">
        <f t="shared" ca="1" si="4"/>
        <v/>
      </c>
    </row>
    <row r="21" spans="1:48" x14ac:dyDescent="0.25">
      <c r="A21" s="265">
        <f t="shared" si="7"/>
        <v>43447</v>
      </c>
      <c r="B21" s="265" t="str">
        <f t="shared" si="8"/>
        <v>13 Dec 2018</v>
      </c>
      <c r="C21" s="267">
        <f t="shared" si="9"/>
        <v>50</v>
      </c>
      <c r="D21">
        <f>MATCH(A21,GCalXMLT[daydate],0)</f>
        <v>20</v>
      </c>
      <c r="E21">
        <f>VALUE("1" &amp; Masacod(INDEX(GCalXMLT[gymasa],D21)) &amp; PaksaCod(INDEX(GCalXMLT[mpaksaid],D21)) &amp; TithiCod(INDEX(GCalXMLT[stithiname],D21)))</f>
        <v>109106</v>
      </c>
      <c r="F21" t="str">
        <f ca="1">INDEX(Parameters!$K$2:$K$16,MATCH(AV21,Parameters!$L$2:$L$16,0))</f>
        <v>C</v>
      </c>
      <c r="G21">
        <f>INDEX(GCalXMLT[fastmark],$D21)</f>
        <v>0</v>
      </c>
      <c r="H21" t="str">
        <f ca="1">INDEX(Parameters!$J$2:$J$16,MATCH(AV21,Parameters!$L$2:$L$16,0))</f>
        <v/>
      </c>
      <c r="I21">
        <f>INDEX(GCalXMLT[dfestival1],$D21)</f>
        <v>0</v>
      </c>
      <c r="J21">
        <f>IF(INDEX(GCalXMLT[dfestival2],$D21)="(Fast today)",INDEX(Festivals!$R$2:$R$180,MATCH($I21,Festivals!$R$2:$R$180,0)+1),INDEX(GCalXMLT[dfestival2],$D21))</f>
        <v>0</v>
      </c>
      <c r="K21">
        <f>IF(I21="Nandotsava","(Fast till noon)",INDEX(GCalXMLT[dfestival3],$D21))</f>
        <v>0</v>
      </c>
      <c r="L21">
        <f>IF(I21="Nandotsava", INDEX(GCalXMLT[dfestival3],$D21),INDEX(GCalXMLT[dfestival4],$D21))</f>
        <v>0</v>
      </c>
      <c r="M21" t="str">
        <f>IFERROR(INDEX(Festivals!$S$2:$S$160,AP21),"")</f>
        <v>Odana sasthi</v>
      </c>
      <c r="N21" t="str">
        <f>IFERROR(IF($AQ21&gt;1,INDEX(Festivals!$S$2:$S$160,$AP21+1),""),"")</f>
        <v/>
      </c>
      <c r="O21" t="str">
        <f>IFERROR(IF($AQ21&gt;2,INDEX(Festivals!$S$2:$S$160,$AP21+2),""),"")</f>
        <v/>
      </c>
      <c r="P21" t="str">
        <f>IFERROR(IF($AQ21&gt;3,INDEX(Festivals!$S$2:$S$160,$AP21+3),""),"")</f>
        <v/>
      </c>
      <c r="Q21" t="str">
        <f>IFERROR(IF($AQ21&gt;4,INDEX(Festivals!$S$2:$S$160,$AP21+4),""),"")</f>
        <v/>
      </c>
      <c r="R21" t="str">
        <f>IFERROR(IF($AQ21&gt;5,INDEX(Festivals!$S$2:$S$160,$AP21+5),""),"")</f>
        <v/>
      </c>
      <c r="S21" t="str">
        <f>IFERROR(IF($AQ21&gt;6,INDEX(Festivals!$S$2:$S$160,$AP21+6),""),"")</f>
        <v/>
      </c>
      <c r="T21">
        <f>INDEX(GCalXMLT[dcaturmasya1],$D21)</f>
        <v>0</v>
      </c>
      <c r="U21">
        <f>INDEX(GCalXMLT[dcaturmasya2],$D21)</f>
        <v>0</v>
      </c>
      <c r="V21" t="str">
        <f>INDEX(GCalXMLT[sankrantirasi],$D21) &amp; " " &amp; INDEX(GCalXMLT[sankrantitime],$D21)</f>
        <v xml:space="preserve"> </v>
      </c>
      <c r="W21" t="str">
        <f ca="1">IFERROR(INDEX('Holidays Calc'!$K$2:$K$233,AR21),"")</f>
        <v/>
      </c>
      <c r="X21" t="str">
        <f ca="1">IF(AR21="","",IF(INDEX('Holidays Calc'!$I$2:$I$233,AR21+1)=A21,INDEX('Holidays Calc'!$K$2:$K$233,AR21+1),""))</f>
        <v/>
      </c>
      <c r="Y21" t="str">
        <f ca="1">IF(AR21="","",IF(INDEX('Holidays Calc'!$I$2:$I$233,AR21+2)=A21,INDEX('Holidays Calc'!$K$2:$K$233,AR21+2),""))</f>
        <v/>
      </c>
      <c r="Z21" t="str">
        <f ca="1">IF(AR21="","",IF(INDEX('Holidays Calc'!$I$2:$I$233,AR21+3)=A21,INDEX('Holidays Calc'!$K$2:$K$2333,AR21+3),""))</f>
        <v/>
      </c>
      <c r="AA21" t="str">
        <f>IF(I21="Last day of Bhisma Pancaka","",IF(G21="*",-0.7,IF(ISBLANK(INDEX(GCalXMLT[dclass1],$D21)),"",INDEX(GCalXMLT[dclass1],$D21))))</f>
        <v/>
      </c>
      <c r="AB21" t="str">
        <f>IF(J21="First day of Bhisma Pancaka","",IF(AND(G21="*",NOT(ISERROR(SEARCH("ekadasi",J21)))),-0.7,IF(ISBLANK(INDEX(GCalXMLT[dclass2],$D21)),"",INDEX(GCalXMLT[dclass2],$D21))))</f>
        <v/>
      </c>
      <c r="AC21" t="str">
        <f>IF(I21="Nandotsava",-1,IF(ISBLANK(INDEX(GCalXMLT[dclass3],$D21)),"",INDEX(GCalXMLT[dclass3],$D21)))</f>
        <v/>
      </c>
      <c r="AD21" t="str">
        <f>IF(I21="Nandotsava",IF(ISBLANK(INDEX(GCalXMLT[dclass3],$D21)),"",INDEX(GCalXMLT[dclass3],$D21)),IF(ISBLANK(INDEX(GCalXMLT[dclass4],$D21)),"",INDEX(GCalXMLT[dclass4],$D21)))</f>
        <v/>
      </c>
      <c r="AE21">
        <f>IFERROR(INDEX(Festivals!$V$2:$V$160,AP21),"")</f>
        <v>1</v>
      </c>
      <c r="AF21" t="str">
        <f>IFERROR(IF($AQ21&gt;1,INDEX(Festivals!$V$2:$V$160,$AP21+1),""),"")</f>
        <v/>
      </c>
      <c r="AG21" t="str">
        <f>IFERROR(IF($AQ21&gt;2,INDEX(Festivals!$V$2:$V$160,$AP21+2),""),"")</f>
        <v/>
      </c>
      <c r="AH21" t="str">
        <f>IFERROR(IF($AQ21&gt;3,INDEX(Festivals!$V$2:$V$160,$AP21+3),""),"")</f>
        <v/>
      </c>
      <c r="AI21" t="str">
        <f>IFERROR(IF($AQ21&gt;4,INDEX(Festivals!$V$2:$V$160,$AP21+4),""),"")</f>
        <v/>
      </c>
      <c r="AJ21" t="str">
        <f>IFERROR(IF($AQ21&gt;5,INDEX(Festivals!$V$2:$V$160,$AP21+5),""),"")</f>
        <v/>
      </c>
      <c r="AK21" t="str">
        <f>IFERROR(IF($AQ21&gt;6,INDEX(Festivals!$V$2:$V$160,$AP21+6),""),"")</f>
        <v/>
      </c>
      <c r="AL21" t="str">
        <f ca="1">IFERROR(INDEX('Holidays Calc'!$J$2:$J$233,MATCH(A21,'Holidays Calc'!$I$2:$I$233,0)),"")</f>
        <v/>
      </c>
      <c r="AM21" t="str">
        <f ca="1">IF(AR21="","",IF(INDEX('Holidays Calc'!$I$2:$I$233,AR21+1)=A21,INDEX('Holidays Calc'!$J$2:$J$233,AR21+1),""))</f>
        <v/>
      </c>
      <c r="AN21" t="str">
        <f ca="1">IF(AR21="","",IF(INDEX('Holidays Calc'!$I$2:$I$233,AR21+2)=A21,INDEX('Holidays Calc'!$J$2:$J$233,AR21+2),""))</f>
        <v/>
      </c>
      <c r="AO21" t="str">
        <f ca="1">IF(AR21="","",IF(INDEX('Holidays Calc'!$I$2:$I$233,AR21+3)=A21,INDEX('Holidays Calc'!$J$2:$J$233,AR21+3),""))</f>
        <v/>
      </c>
      <c r="AP21">
        <f>IFERROR(IF($E21=E20,"",MATCH($E21,Festivals!$H$2:$H$160,0)),"")</f>
        <v>112</v>
      </c>
      <c r="AQ21">
        <f>IF(AP21="","",COUNTIF(Festivals!$H$2:$H$160,$E21))</f>
        <v>1</v>
      </c>
      <c r="AR21" t="str">
        <f ca="1">IFERROR(MATCH(A21,'Holidays Calc'!$I$2:$I$233,0),"")</f>
        <v/>
      </c>
      <c r="AS21">
        <f t="shared" si="2"/>
        <v>1</v>
      </c>
      <c r="AT21">
        <f t="shared" si="1"/>
        <v>1</v>
      </c>
      <c r="AU21" t="str">
        <f t="shared" ca="1" si="3"/>
        <v/>
      </c>
      <c r="AV21">
        <f t="shared" ca="1" si="4"/>
        <v>1</v>
      </c>
    </row>
    <row r="22" spans="1:48" x14ac:dyDescent="0.25">
      <c r="A22" s="265">
        <f t="shared" si="7"/>
        <v>43448</v>
      </c>
      <c r="B22" s="265" t="str">
        <f t="shared" si="8"/>
        <v>14 Dec 2018</v>
      </c>
      <c r="C22" s="267">
        <f t="shared" si="9"/>
        <v>50</v>
      </c>
      <c r="D22">
        <f>MATCH(A22,GCalXMLT[daydate],0)</f>
        <v>21</v>
      </c>
      <c r="E22">
        <f>VALUE("1" &amp; Masacod(INDEX(GCalXMLT[gymasa],D22)) &amp; PaksaCod(INDEX(GCalXMLT[mpaksaid],D22)) &amp; TithiCod(INDEX(GCalXMLT[stithiname],D22)))</f>
        <v>109107</v>
      </c>
      <c r="F22" t="str">
        <f ca="1">INDEX(Parameters!$K$2:$K$16,MATCH(AV22,Parameters!$L$2:$L$16,0))</f>
        <v/>
      </c>
      <c r="G22">
        <f>INDEX(GCalXMLT[fastmark],$D22)</f>
        <v>0</v>
      </c>
      <c r="H22" t="str">
        <f ca="1">INDEX(Parameters!$J$2:$J$16,MATCH(AV22,Parameters!$L$2:$L$16,0))</f>
        <v/>
      </c>
      <c r="I22">
        <f>INDEX(GCalXMLT[dfestival1],$D22)</f>
        <v>0</v>
      </c>
      <c r="J22">
        <f>IF(INDEX(GCalXMLT[dfestival2],$D22)="(Fast today)",INDEX(Festivals!$R$2:$R$180,MATCH($I22,Festivals!$R$2:$R$180,0)+1),INDEX(GCalXMLT[dfestival2],$D22))</f>
        <v>0</v>
      </c>
      <c r="K22">
        <f>IF(I22="Nandotsava","(Fast till noon)",INDEX(GCalXMLT[dfestival3],$D22))</f>
        <v>0</v>
      </c>
      <c r="L22">
        <f>IF(I22="Nandotsava", INDEX(GCalXMLT[dfestival3],$D22),INDEX(GCalXMLT[dfestival4],$D22))</f>
        <v>0</v>
      </c>
      <c r="M22" t="str">
        <f>IFERROR(INDEX(Festivals!$S$2:$S$160,AP22),"")</f>
        <v/>
      </c>
      <c r="N22" t="str">
        <f>IFERROR(IF($AQ22&gt;1,INDEX(Festivals!$S$2:$S$160,$AP22+1),""),"")</f>
        <v/>
      </c>
      <c r="O22" t="str">
        <f>IFERROR(IF($AQ22&gt;2,INDEX(Festivals!$S$2:$S$160,$AP22+2),""),"")</f>
        <v/>
      </c>
      <c r="P22" t="str">
        <f>IFERROR(IF($AQ22&gt;3,INDEX(Festivals!$S$2:$S$160,$AP22+3),""),"")</f>
        <v/>
      </c>
      <c r="Q22" t="str">
        <f>IFERROR(IF($AQ22&gt;4,INDEX(Festivals!$S$2:$S$160,$AP22+4),""),"")</f>
        <v/>
      </c>
      <c r="R22" t="str">
        <f>IFERROR(IF($AQ22&gt;5,INDEX(Festivals!$S$2:$S$160,$AP22+5),""),"")</f>
        <v/>
      </c>
      <c r="S22" t="str">
        <f>IFERROR(IF($AQ22&gt;6,INDEX(Festivals!$S$2:$S$160,$AP22+6),""),"")</f>
        <v/>
      </c>
      <c r="T22">
        <f>INDEX(GCalXMLT[dcaturmasya1],$D22)</f>
        <v>0</v>
      </c>
      <c r="U22">
        <f>INDEX(GCalXMLT[dcaturmasya2],$D22)</f>
        <v>0</v>
      </c>
      <c r="V22" t="str">
        <f>INDEX(GCalXMLT[sankrantirasi],$D22) &amp; " " &amp; INDEX(GCalXMLT[sankrantitime],$D22)</f>
        <v xml:space="preserve"> </v>
      </c>
      <c r="W22" t="str">
        <f ca="1">IFERROR(INDEX('Holidays Calc'!$K$2:$K$233,AR22),"")</f>
        <v/>
      </c>
      <c r="X22" t="str">
        <f ca="1">IF(AR22="","",IF(INDEX('Holidays Calc'!$I$2:$I$233,AR22+1)=A22,INDEX('Holidays Calc'!$K$2:$K$233,AR22+1),""))</f>
        <v/>
      </c>
      <c r="Y22" t="str">
        <f ca="1">IF(AR22="","",IF(INDEX('Holidays Calc'!$I$2:$I$233,AR22+2)=A22,INDEX('Holidays Calc'!$K$2:$K$233,AR22+2),""))</f>
        <v/>
      </c>
      <c r="Z22" t="str">
        <f ca="1">IF(AR22="","",IF(INDEX('Holidays Calc'!$I$2:$I$233,AR22+3)=A22,INDEX('Holidays Calc'!$K$2:$K$2333,AR22+3),""))</f>
        <v/>
      </c>
      <c r="AA22" t="str">
        <f>IF(I22="Last day of Bhisma Pancaka","",IF(G22="*",-0.7,IF(ISBLANK(INDEX(GCalXMLT[dclass1],$D22)),"",INDEX(GCalXMLT[dclass1],$D22))))</f>
        <v/>
      </c>
      <c r="AB22" t="str">
        <f>IF(J22="First day of Bhisma Pancaka","",IF(AND(G22="*",NOT(ISERROR(SEARCH("ekadasi",J22)))),-0.7,IF(ISBLANK(INDEX(GCalXMLT[dclass2],$D22)),"",INDEX(GCalXMLT[dclass2],$D22))))</f>
        <v/>
      </c>
      <c r="AC22" t="str">
        <f>IF(I22="Nandotsava",-1,IF(ISBLANK(INDEX(GCalXMLT[dclass3],$D22)),"",INDEX(GCalXMLT[dclass3],$D22)))</f>
        <v/>
      </c>
      <c r="AD22" t="str">
        <f>IF(I22="Nandotsava",IF(ISBLANK(INDEX(GCalXMLT[dclass3],$D22)),"",INDEX(GCalXMLT[dclass3],$D22)),IF(ISBLANK(INDEX(GCalXMLT[dclass4],$D22)),"",INDEX(GCalXMLT[dclass4],$D22)))</f>
        <v/>
      </c>
      <c r="AE22" t="str">
        <f>IFERROR(INDEX(Festivals!$V$2:$V$160,AP22),"")</f>
        <v/>
      </c>
      <c r="AF22" t="str">
        <f>IFERROR(IF($AQ22&gt;1,INDEX(Festivals!$V$2:$V$160,$AP22+1),""),"")</f>
        <v/>
      </c>
      <c r="AG22" t="str">
        <f>IFERROR(IF($AQ22&gt;2,INDEX(Festivals!$V$2:$V$160,$AP22+2),""),"")</f>
        <v/>
      </c>
      <c r="AH22" t="str">
        <f>IFERROR(IF($AQ22&gt;3,INDEX(Festivals!$V$2:$V$160,$AP22+3),""),"")</f>
        <v/>
      </c>
      <c r="AI22" t="str">
        <f>IFERROR(IF($AQ22&gt;4,INDEX(Festivals!$V$2:$V$160,$AP22+4),""),"")</f>
        <v/>
      </c>
      <c r="AJ22" t="str">
        <f>IFERROR(IF($AQ22&gt;5,INDEX(Festivals!$V$2:$V$160,$AP22+5),""),"")</f>
        <v/>
      </c>
      <c r="AK22" t="str">
        <f>IFERROR(IF($AQ22&gt;6,INDEX(Festivals!$V$2:$V$160,$AP22+6),""),"")</f>
        <v/>
      </c>
      <c r="AL22" t="str">
        <f ca="1">IFERROR(INDEX('Holidays Calc'!$J$2:$J$233,MATCH(A22,'Holidays Calc'!$I$2:$I$233,0)),"")</f>
        <v/>
      </c>
      <c r="AM22" t="str">
        <f ca="1">IF(AR22="","",IF(INDEX('Holidays Calc'!$I$2:$I$233,AR22+1)=A22,INDEX('Holidays Calc'!$J$2:$J$233,AR22+1),""))</f>
        <v/>
      </c>
      <c r="AN22" t="str">
        <f ca="1">IF(AR22="","",IF(INDEX('Holidays Calc'!$I$2:$I$233,AR22+2)=A22,INDEX('Holidays Calc'!$J$2:$J$233,AR22+2),""))</f>
        <v/>
      </c>
      <c r="AO22" t="str">
        <f ca="1">IF(AR22="","",IF(INDEX('Holidays Calc'!$I$2:$I$233,AR22+3)=A22,INDEX('Holidays Calc'!$J$2:$J$233,AR22+3),""))</f>
        <v/>
      </c>
      <c r="AP22" t="str">
        <f>IFERROR(IF($E22=E21,"",MATCH($E22,Festivals!$H$2:$H$160,0)),"")</f>
        <v/>
      </c>
      <c r="AQ22" t="str">
        <f>IF(AP22="","",COUNTIF(Festivals!$H$2:$H$160,$E22))</f>
        <v/>
      </c>
      <c r="AR22" t="str">
        <f ca="1">IFERROR(MATCH(A22,'Holidays Calc'!$I$2:$I$233,0),"")</f>
        <v/>
      </c>
      <c r="AS22" t="str">
        <f t="shared" si="2"/>
        <v/>
      </c>
      <c r="AT22" t="str">
        <f t="shared" si="1"/>
        <v/>
      </c>
      <c r="AU22" t="str">
        <f t="shared" ca="1" si="3"/>
        <v/>
      </c>
      <c r="AV22" t="str">
        <f t="shared" ca="1" si="4"/>
        <v/>
      </c>
    </row>
    <row r="23" spans="1:48" x14ac:dyDescent="0.25">
      <c r="A23" s="265">
        <f t="shared" si="7"/>
        <v>43449</v>
      </c>
      <c r="B23" s="265" t="str">
        <f t="shared" si="8"/>
        <v>15 Dec 2018</v>
      </c>
      <c r="C23" s="267">
        <f t="shared" si="9"/>
        <v>50</v>
      </c>
      <c r="D23">
        <f>MATCH(A23,GCalXMLT[daydate],0)</f>
        <v>22</v>
      </c>
      <c r="E23">
        <f>VALUE("1" &amp; Masacod(INDEX(GCalXMLT[gymasa],D23)) &amp; PaksaCod(INDEX(GCalXMLT[mpaksaid],D23)) &amp; TithiCod(INDEX(GCalXMLT[stithiname],D23)))</f>
        <v>109108</v>
      </c>
      <c r="F23" t="str">
        <f ca="1">INDEX(Parameters!$K$2:$K$16,MATCH(AV23,Parameters!$L$2:$L$16,0))</f>
        <v/>
      </c>
      <c r="G23">
        <f>INDEX(GCalXMLT[fastmark],$D23)</f>
        <v>0</v>
      </c>
      <c r="H23" t="str">
        <f ca="1">INDEX(Parameters!$J$2:$J$16,MATCH(AV23,Parameters!$L$2:$L$16,0))</f>
        <v/>
      </c>
      <c r="I23">
        <f>INDEX(GCalXMLT[dfestival1],$D23)</f>
        <v>0</v>
      </c>
      <c r="J23">
        <f>IF(INDEX(GCalXMLT[dfestival2],$D23)="(Fast today)",INDEX(Festivals!$R$2:$R$180,MATCH($I23,Festivals!$R$2:$R$180,0)+1),INDEX(GCalXMLT[dfestival2],$D23))</f>
        <v>0</v>
      </c>
      <c r="K23">
        <f>IF(I23="Nandotsava","(Fast till noon)",INDEX(GCalXMLT[dfestival3],$D23))</f>
        <v>0</v>
      </c>
      <c r="L23">
        <f>IF(I23="Nandotsava", INDEX(GCalXMLT[dfestival3],$D23),INDEX(GCalXMLT[dfestival4],$D23))</f>
        <v>0</v>
      </c>
      <c r="M23" t="str">
        <f>IFERROR(INDEX(Festivals!$S$2:$S$160,AP23),"")</f>
        <v/>
      </c>
      <c r="N23" t="str">
        <f>IFERROR(IF($AQ23&gt;1,INDEX(Festivals!$S$2:$S$160,$AP23+1),""),"")</f>
        <v/>
      </c>
      <c r="O23" t="str">
        <f>IFERROR(IF($AQ23&gt;2,INDEX(Festivals!$S$2:$S$160,$AP23+2),""),"")</f>
        <v/>
      </c>
      <c r="P23" t="str">
        <f>IFERROR(IF($AQ23&gt;3,INDEX(Festivals!$S$2:$S$160,$AP23+3),""),"")</f>
        <v/>
      </c>
      <c r="Q23" t="str">
        <f>IFERROR(IF($AQ23&gt;4,INDEX(Festivals!$S$2:$S$160,$AP23+4),""),"")</f>
        <v/>
      </c>
      <c r="R23" t="str">
        <f>IFERROR(IF($AQ23&gt;5,INDEX(Festivals!$S$2:$S$160,$AP23+5),""),"")</f>
        <v/>
      </c>
      <c r="S23" t="str">
        <f>IFERROR(IF($AQ23&gt;6,INDEX(Festivals!$S$2:$S$160,$AP23+6),""),"")</f>
        <v/>
      </c>
      <c r="T23">
        <f>INDEX(GCalXMLT[dcaturmasya1],$D23)</f>
        <v>0</v>
      </c>
      <c r="U23">
        <f>INDEX(GCalXMLT[dcaturmasya2],$D23)</f>
        <v>0</v>
      </c>
      <c r="V23" t="str">
        <f>INDEX(GCalXMLT[sankrantirasi],$D23) &amp; " " &amp; INDEX(GCalXMLT[sankrantitime],$D23)</f>
        <v xml:space="preserve"> </v>
      </c>
      <c r="W23" t="str">
        <f ca="1">IFERROR(INDEX('Holidays Calc'!$K$2:$K$233,AR23),"")</f>
        <v/>
      </c>
      <c r="X23" t="str">
        <f ca="1">IF(AR23="","",IF(INDEX('Holidays Calc'!$I$2:$I$233,AR23+1)=A23,INDEX('Holidays Calc'!$K$2:$K$233,AR23+1),""))</f>
        <v/>
      </c>
      <c r="Y23" t="str">
        <f ca="1">IF(AR23="","",IF(INDEX('Holidays Calc'!$I$2:$I$233,AR23+2)=A23,INDEX('Holidays Calc'!$K$2:$K$233,AR23+2),""))</f>
        <v/>
      </c>
      <c r="Z23" t="str">
        <f ca="1">IF(AR23="","",IF(INDEX('Holidays Calc'!$I$2:$I$233,AR23+3)=A23,INDEX('Holidays Calc'!$K$2:$K$2333,AR23+3),""))</f>
        <v/>
      </c>
      <c r="AA23" t="str">
        <f>IF(I23="Last day of Bhisma Pancaka","",IF(G23="*",-0.7,IF(ISBLANK(INDEX(GCalXMLT[dclass1],$D23)),"",INDEX(GCalXMLT[dclass1],$D23))))</f>
        <v/>
      </c>
      <c r="AB23" t="str">
        <f>IF(J23="First day of Bhisma Pancaka","",IF(AND(G23="*",NOT(ISERROR(SEARCH("ekadasi",J23)))),-0.7,IF(ISBLANK(INDEX(GCalXMLT[dclass2],$D23)),"",INDEX(GCalXMLT[dclass2],$D23))))</f>
        <v/>
      </c>
      <c r="AC23" t="str">
        <f>IF(I23="Nandotsava",-1,IF(ISBLANK(INDEX(GCalXMLT[dclass3],$D23)),"",INDEX(GCalXMLT[dclass3],$D23)))</f>
        <v/>
      </c>
      <c r="AD23" t="str">
        <f>IF(I23="Nandotsava",IF(ISBLANK(INDEX(GCalXMLT[dclass3],$D23)),"",INDEX(GCalXMLT[dclass3],$D23)),IF(ISBLANK(INDEX(GCalXMLT[dclass4],$D23)),"",INDEX(GCalXMLT[dclass4],$D23)))</f>
        <v/>
      </c>
      <c r="AE23" t="str">
        <f>IFERROR(INDEX(Festivals!$V$2:$V$160,AP23),"")</f>
        <v/>
      </c>
      <c r="AF23" t="str">
        <f>IFERROR(IF($AQ23&gt;1,INDEX(Festivals!$V$2:$V$160,$AP23+1),""),"")</f>
        <v/>
      </c>
      <c r="AG23" t="str">
        <f>IFERROR(IF($AQ23&gt;2,INDEX(Festivals!$V$2:$V$160,$AP23+2),""),"")</f>
        <v/>
      </c>
      <c r="AH23" t="str">
        <f>IFERROR(IF($AQ23&gt;3,INDEX(Festivals!$V$2:$V$160,$AP23+3),""),"")</f>
        <v/>
      </c>
      <c r="AI23" t="str">
        <f>IFERROR(IF($AQ23&gt;4,INDEX(Festivals!$V$2:$V$160,$AP23+4),""),"")</f>
        <v/>
      </c>
      <c r="AJ23" t="str">
        <f>IFERROR(IF($AQ23&gt;5,INDEX(Festivals!$V$2:$V$160,$AP23+5),""),"")</f>
        <v/>
      </c>
      <c r="AK23" t="str">
        <f>IFERROR(IF($AQ23&gt;6,INDEX(Festivals!$V$2:$V$160,$AP23+6),""),"")</f>
        <v/>
      </c>
      <c r="AL23" t="str">
        <f ca="1">IFERROR(INDEX('Holidays Calc'!$J$2:$J$233,MATCH(A23,'Holidays Calc'!$I$2:$I$233,0)),"")</f>
        <v/>
      </c>
      <c r="AM23" t="str">
        <f ca="1">IF(AR23="","",IF(INDEX('Holidays Calc'!$I$2:$I$233,AR23+1)=A23,INDEX('Holidays Calc'!$J$2:$J$233,AR23+1),""))</f>
        <v/>
      </c>
      <c r="AN23" t="str">
        <f ca="1">IF(AR23="","",IF(INDEX('Holidays Calc'!$I$2:$I$233,AR23+2)=A23,INDEX('Holidays Calc'!$J$2:$J$233,AR23+2),""))</f>
        <v/>
      </c>
      <c r="AO23" t="str">
        <f ca="1">IF(AR23="","",IF(INDEX('Holidays Calc'!$I$2:$I$233,AR23+3)=A23,INDEX('Holidays Calc'!$J$2:$J$233,AR23+3),""))</f>
        <v/>
      </c>
      <c r="AP23" t="str">
        <f>IFERROR(IF($E23=E22,"",MATCH($E23,Festivals!$H$2:$H$160,0)),"")</f>
        <v/>
      </c>
      <c r="AQ23" t="str">
        <f>IF(AP23="","",COUNTIF(Festivals!$H$2:$H$160,$E23))</f>
        <v/>
      </c>
      <c r="AR23" t="str">
        <f ca="1">IFERROR(MATCH(A23,'Holidays Calc'!$I$2:$I$233,0),"")</f>
        <v/>
      </c>
      <c r="AS23" t="str">
        <f t="shared" si="2"/>
        <v/>
      </c>
      <c r="AT23" t="str">
        <f t="shared" si="1"/>
        <v/>
      </c>
      <c r="AU23" t="str">
        <f t="shared" ca="1" si="3"/>
        <v/>
      </c>
      <c r="AV23" t="str">
        <f t="shared" ca="1" si="4"/>
        <v/>
      </c>
    </row>
    <row r="24" spans="1:48" x14ac:dyDescent="0.25">
      <c r="A24" s="265">
        <f t="shared" si="7"/>
        <v>43450</v>
      </c>
      <c r="B24" s="265" t="str">
        <f t="shared" si="8"/>
        <v>16 Dec 2018</v>
      </c>
      <c r="C24" s="267">
        <f t="shared" si="9"/>
        <v>50</v>
      </c>
      <c r="D24">
        <f>MATCH(A24,GCalXMLT[daydate],0)</f>
        <v>23</v>
      </c>
      <c r="E24">
        <f>VALUE("1" &amp; Masacod(INDEX(GCalXMLT[gymasa],D24)) &amp; PaksaCod(INDEX(GCalXMLT[mpaksaid],D24)) &amp; TithiCod(INDEX(GCalXMLT[stithiname],D24)))</f>
        <v>109109</v>
      </c>
      <c r="F24" t="str">
        <f ca="1">INDEX(Parameters!$K$2:$K$16,MATCH(AV24,Parameters!$L$2:$L$16,0))</f>
        <v/>
      </c>
      <c r="G24">
        <f>INDEX(GCalXMLT[fastmark],$D24)</f>
        <v>0</v>
      </c>
      <c r="H24" t="str">
        <f ca="1">INDEX(Parameters!$J$2:$J$16,MATCH(AV24,Parameters!$L$2:$L$16,0))</f>
        <v/>
      </c>
      <c r="I24">
        <f>INDEX(GCalXMLT[dfestival1],$D24)</f>
        <v>0</v>
      </c>
      <c r="J24">
        <f>IF(INDEX(GCalXMLT[dfestival2],$D24)="(Fast today)",INDEX(Festivals!$R$2:$R$180,MATCH($I24,Festivals!$R$2:$R$180,0)+1),INDEX(GCalXMLT[dfestival2],$D24))</f>
        <v>0</v>
      </c>
      <c r="K24">
        <f>IF(I24="Nandotsava","(Fast till noon)",INDEX(GCalXMLT[dfestival3],$D24))</f>
        <v>0</v>
      </c>
      <c r="L24">
        <f>IF(I24="Nandotsava", INDEX(GCalXMLT[dfestival3],$D24),INDEX(GCalXMLT[dfestival4],$D24))</f>
        <v>0</v>
      </c>
      <c r="M24" t="str">
        <f>IFERROR(INDEX(Festivals!$S$2:$S$160,AP24),"")</f>
        <v/>
      </c>
      <c r="N24" t="str">
        <f>IFERROR(IF($AQ24&gt;1,INDEX(Festivals!$S$2:$S$160,$AP24+1),""),"")</f>
        <v/>
      </c>
      <c r="O24" t="str">
        <f>IFERROR(IF($AQ24&gt;2,INDEX(Festivals!$S$2:$S$160,$AP24+2),""),"")</f>
        <v/>
      </c>
      <c r="P24" t="str">
        <f>IFERROR(IF($AQ24&gt;3,INDEX(Festivals!$S$2:$S$160,$AP24+3),""),"")</f>
        <v/>
      </c>
      <c r="Q24" t="str">
        <f>IFERROR(IF($AQ24&gt;4,INDEX(Festivals!$S$2:$S$160,$AP24+4),""),"")</f>
        <v/>
      </c>
      <c r="R24" t="str">
        <f>IFERROR(IF($AQ24&gt;5,INDEX(Festivals!$S$2:$S$160,$AP24+5),""),"")</f>
        <v/>
      </c>
      <c r="S24" t="str">
        <f>IFERROR(IF($AQ24&gt;6,INDEX(Festivals!$S$2:$S$160,$AP24+6),""),"")</f>
        <v/>
      </c>
      <c r="T24">
        <f>INDEX(GCalXMLT[dcaturmasya1],$D24)</f>
        <v>0</v>
      </c>
      <c r="U24">
        <f>INDEX(GCalXMLT[dcaturmasya2],$D24)</f>
        <v>0</v>
      </c>
      <c r="V24" t="str">
        <f>INDEX(GCalXMLT[sankrantirasi],$D24) &amp; " " &amp; INDEX(GCalXMLT[sankrantitime],$D24)</f>
        <v>Dhanus 0,0238657407407407</v>
      </c>
      <c r="W24" t="str">
        <f ca="1">IFERROR(INDEX('Holidays Calc'!$K$2:$K$233,AR24),"")</f>
        <v/>
      </c>
      <c r="X24" t="str">
        <f ca="1">IF(AR24="","",IF(INDEX('Holidays Calc'!$I$2:$I$233,AR24+1)=A24,INDEX('Holidays Calc'!$K$2:$K$233,AR24+1),""))</f>
        <v/>
      </c>
      <c r="Y24" t="str">
        <f ca="1">IF(AR24="","",IF(INDEX('Holidays Calc'!$I$2:$I$233,AR24+2)=A24,INDEX('Holidays Calc'!$K$2:$K$233,AR24+2),""))</f>
        <v/>
      </c>
      <c r="Z24" t="str">
        <f ca="1">IF(AR24="","",IF(INDEX('Holidays Calc'!$I$2:$I$233,AR24+3)=A24,INDEX('Holidays Calc'!$K$2:$K$2333,AR24+3),""))</f>
        <v/>
      </c>
      <c r="AA24" t="str">
        <f>IF(I24="Last day of Bhisma Pancaka","",IF(G24="*",-0.7,IF(ISBLANK(INDEX(GCalXMLT[dclass1],$D24)),"",INDEX(GCalXMLT[dclass1],$D24))))</f>
        <v/>
      </c>
      <c r="AB24" t="str">
        <f>IF(J24="First day of Bhisma Pancaka","",IF(AND(G24="*",NOT(ISERROR(SEARCH("ekadasi",J24)))),-0.7,IF(ISBLANK(INDEX(GCalXMLT[dclass2],$D24)),"",INDEX(GCalXMLT[dclass2],$D24))))</f>
        <v/>
      </c>
      <c r="AC24" t="str">
        <f>IF(I24="Nandotsava",-1,IF(ISBLANK(INDEX(GCalXMLT[dclass3],$D24)),"",INDEX(GCalXMLT[dclass3],$D24)))</f>
        <v/>
      </c>
      <c r="AD24" t="str">
        <f>IF(I24="Nandotsava",IF(ISBLANK(INDEX(GCalXMLT[dclass3],$D24)),"",INDEX(GCalXMLT[dclass3],$D24)),IF(ISBLANK(INDEX(GCalXMLT[dclass4],$D24)),"",INDEX(GCalXMLT[dclass4],$D24)))</f>
        <v/>
      </c>
      <c r="AE24" t="str">
        <f>IFERROR(INDEX(Festivals!$V$2:$V$160,AP24),"")</f>
        <v/>
      </c>
      <c r="AF24" t="str">
        <f>IFERROR(IF($AQ24&gt;1,INDEX(Festivals!$V$2:$V$160,$AP24+1),""),"")</f>
        <v/>
      </c>
      <c r="AG24" t="str">
        <f>IFERROR(IF($AQ24&gt;2,INDEX(Festivals!$V$2:$V$160,$AP24+2),""),"")</f>
        <v/>
      </c>
      <c r="AH24" t="str">
        <f>IFERROR(IF($AQ24&gt;3,INDEX(Festivals!$V$2:$V$160,$AP24+3),""),"")</f>
        <v/>
      </c>
      <c r="AI24" t="str">
        <f>IFERROR(IF($AQ24&gt;4,INDEX(Festivals!$V$2:$V$160,$AP24+4),""),"")</f>
        <v/>
      </c>
      <c r="AJ24" t="str">
        <f>IFERROR(IF($AQ24&gt;5,INDEX(Festivals!$V$2:$V$160,$AP24+5),""),"")</f>
        <v/>
      </c>
      <c r="AK24" t="str">
        <f>IFERROR(IF($AQ24&gt;6,INDEX(Festivals!$V$2:$V$160,$AP24+6),""),"")</f>
        <v/>
      </c>
      <c r="AL24" t="str">
        <f ca="1">IFERROR(INDEX('Holidays Calc'!$J$2:$J$233,MATCH(A24,'Holidays Calc'!$I$2:$I$233,0)),"")</f>
        <v/>
      </c>
      <c r="AM24" t="str">
        <f ca="1">IF(AR24="","",IF(INDEX('Holidays Calc'!$I$2:$I$233,AR24+1)=A24,INDEX('Holidays Calc'!$J$2:$J$233,AR24+1),""))</f>
        <v/>
      </c>
      <c r="AN24" t="str">
        <f ca="1">IF(AR24="","",IF(INDEX('Holidays Calc'!$I$2:$I$233,AR24+2)=A24,INDEX('Holidays Calc'!$J$2:$J$233,AR24+2),""))</f>
        <v/>
      </c>
      <c r="AO24" t="str">
        <f ca="1">IF(AR24="","",IF(INDEX('Holidays Calc'!$I$2:$I$233,AR24+3)=A24,INDEX('Holidays Calc'!$J$2:$J$233,AR24+3),""))</f>
        <v/>
      </c>
      <c r="AP24" t="str">
        <f>IFERROR(IF($E24=E23,"",MATCH($E24,Festivals!$H$2:$H$160,0)),"")</f>
        <v/>
      </c>
      <c r="AQ24" t="str">
        <f>IF(AP24="","",COUNTIF(Festivals!$H$2:$H$160,$E24))</f>
        <v/>
      </c>
      <c r="AR24" t="str">
        <f ca="1">IFERROR(MATCH(A24,'Holidays Calc'!$I$2:$I$233,0),"")</f>
        <v/>
      </c>
      <c r="AS24" t="str">
        <f t="shared" si="2"/>
        <v/>
      </c>
      <c r="AT24" t="str">
        <f t="shared" si="1"/>
        <v/>
      </c>
      <c r="AU24" t="str">
        <f t="shared" ca="1" si="3"/>
        <v/>
      </c>
      <c r="AV24" t="str">
        <f t="shared" ca="1" si="4"/>
        <v/>
      </c>
    </row>
    <row r="25" spans="1:48" x14ac:dyDescent="0.25">
      <c r="A25" s="265">
        <f t="shared" si="7"/>
        <v>43451</v>
      </c>
      <c r="B25" s="265" t="str">
        <f t="shared" si="8"/>
        <v>17 Dec 2018</v>
      </c>
      <c r="C25" s="267">
        <f t="shared" si="9"/>
        <v>51</v>
      </c>
      <c r="D25">
        <f>MATCH(A25,GCalXMLT[daydate],0)</f>
        <v>24</v>
      </c>
      <c r="E25">
        <f>VALUE("1" &amp; Masacod(INDEX(GCalXMLT[gymasa],D25)) &amp; PaksaCod(INDEX(GCalXMLT[mpaksaid],D25)) &amp; TithiCod(INDEX(GCalXMLT[stithiname],D25)))</f>
        <v>109110</v>
      </c>
      <c r="F25" t="str">
        <f ca="1">INDEX(Parameters!$K$2:$K$16,MATCH(AV25,Parameters!$L$2:$L$16,0))</f>
        <v/>
      </c>
      <c r="G25">
        <f>INDEX(GCalXMLT[fastmark],$D25)</f>
        <v>0</v>
      </c>
      <c r="H25" t="str">
        <f ca="1">INDEX(Parameters!$J$2:$J$16,MATCH(AV25,Parameters!$L$2:$L$16,0))</f>
        <v/>
      </c>
      <c r="I25">
        <f>INDEX(GCalXMLT[dfestival1],$D25)</f>
        <v>0</v>
      </c>
      <c r="J25">
        <f>IF(INDEX(GCalXMLT[dfestival2],$D25)="(Fast today)",INDEX(Festivals!$R$2:$R$180,MATCH($I25,Festivals!$R$2:$R$180,0)+1),INDEX(GCalXMLT[dfestival2],$D25))</f>
        <v>0</v>
      </c>
      <c r="K25">
        <f>IF(I25="Nandotsava","(Fast till noon)",INDEX(GCalXMLT[dfestival3],$D25))</f>
        <v>0</v>
      </c>
      <c r="L25">
        <f>IF(I25="Nandotsava", INDEX(GCalXMLT[dfestival3],$D25),INDEX(GCalXMLT[dfestival4],$D25))</f>
        <v>0</v>
      </c>
      <c r="M25" t="str">
        <f>IFERROR(INDEX(Festivals!$S$2:$S$160,AP25),"")</f>
        <v/>
      </c>
      <c r="N25" t="str">
        <f>IFERROR(IF($AQ25&gt;1,INDEX(Festivals!$S$2:$S$160,$AP25+1),""),"")</f>
        <v/>
      </c>
      <c r="O25" t="str">
        <f>IFERROR(IF($AQ25&gt;2,INDEX(Festivals!$S$2:$S$160,$AP25+2),""),"")</f>
        <v/>
      </c>
      <c r="P25" t="str">
        <f>IFERROR(IF($AQ25&gt;3,INDEX(Festivals!$S$2:$S$160,$AP25+3),""),"")</f>
        <v/>
      </c>
      <c r="Q25" t="str">
        <f>IFERROR(IF($AQ25&gt;4,INDEX(Festivals!$S$2:$S$160,$AP25+4),""),"")</f>
        <v/>
      </c>
      <c r="R25" t="str">
        <f>IFERROR(IF($AQ25&gt;5,INDEX(Festivals!$S$2:$S$160,$AP25+5),""),"")</f>
        <v/>
      </c>
      <c r="S25" t="str">
        <f>IFERROR(IF($AQ25&gt;6,INDEX(Festivals!$S$2:$S$160,$AP25+6),""),"")</f>
        <v/>
      </c>
      <c r="T25">
        <f>INDEX(GCalXMLT[dcaturmasya1],$D25)</f>
        <v>0</v>
      </c>
      <c r="U25">
        <f>INDEX(GCalXMLT[dcaturmasya2],$D25)</f>
        <v>0</v>
      </c>
      <c r="V25" t="str">
        <f>INDEX(GCalXMLT[sankrantirasi],$D25) &amp; " " &amp; INDEX(GCalXMLT[sankrantitime],$D25)</f>
        <v xml:space="preserve"> </v>
      </c>
      <c r="W25" t="str">
        <f ca="1">IFERROR(INDEX('Holidays Calc'!$K$2:$K$233,AR25),"")</f>
        <v/>
      </c>
      <c r="X25" t="str">
        <f ca="1">IF(AR25="","",IF(INDEX('Holidays Calc'!$I$2:$I$233,AR25+1)=A25,INDEX('Holidays Calc'!$K$2:$K$233,AR25+1),""))</f>
        <v/>
      </c>
      <c r="Y25" t="str">
        <f ca="1">IF(AR25="","",IF(INDEX('Holidays Calc'!$I$2:$I$233,AR25+2)=A25,INDEX('Holidays Calc'!$K$2:$K$233,AR25+2),""))</f>
        <v/>
      </c>
      <c r="Z25" t="str">
        <f ca="1">IF(AR25="","",IF(INDEX('Holidays Calc'!$I$2:$I$233,AR25+3)=A25,INDEX('Holidays Calc'!$K$2:$K$2333,AR25+3),""))</f>
        <v/>
      </c>
      <c r="AA25" t="str">
        <f>IF(I25="Last day of Bhisma Pancaka","",IF(G25="*",-0.7,IF(ISBLANK(INDEX(GCalXMLT[dclass1],$D25)),"",INDEX(GCalXMLT[dclass1],$D25))))</f>
        <v/>
      </c>
      <c r="AB25" t="str">
        <f>IF(J25="First day of Bhisma Pancaka","",IF(AND(G25="*",NOT(ISERROR(SEARCH("ekadasi",J25)))),-0.7,IF(ISBLANK(INDEX(GCalXMLT[dclass2],$D25)),"",INDEX(GCalXMLT[dclass2],$D25))))</f>
        <v/>
      </c>
      <c r="AC25" t="str">
        <f>IF(I25="Nandotsava",-1,IF(ISBLANK(INDEX(GCalXMLT[dclass3],$D25)),"",INDEX(GCalXMLT[dclass3],$D25)))</f>
        <v/>
      </c>
      <c r="AD25" t="str">
        <f>IF(I25="Nandotsava",IF(ISBLANK(INDEX(GCalXMLT[dclass3],$D25)),"",INDEX(GCalXMLT[dclass3],$D25)),IF(ISBLANK(INDEX(GCalXMLT[dclass4],$D25)),"",INDEX(GCalXMLT[dclass4],$D25)))</f>
        <v/>
      </c>
      <c r="AE25" t="str">
        <f>IFERROR(INDEX(Festivals!$V$2:$V$160,AP25),"")</f>
        <v/>
      </c>
      <c r="AF25" t="str">
        <f>IFERROR(IF($AQ25&gt;1,INDEX(Festivals!$V$2:$V$160,$AP25+1),""),"")</f>
        <v/>
      </c>
      <c r="AG25" t="str">
        <f>IFERROR(IF($AQ25&gt;2,INDEX(Festivals!$V$2:$V$160,$AP25+2),""),"")</f>
        <v/>
      </c>
      <c r="AH25" t="str">
        <f>IFERROR(IF($AQ25&gt;3,INDEX(Festivals!$V$2:$V$160,$AP25+3),""),"")</f>
        <v/>
      </c>
      <c r="AI25" t="str">
        <f>IFERROR(IF($AQ25&gt;4,INDEX(Festivals!$V$2:$V$160,$AP25+4),""),"")</f>
        <v/>
      </c>
      <c r="AJ25" t="str">
        <f>IFERROR(IF($AQ25&gt;5,INDEX(Festivals!$V$2:$V$160,$AP25+5),""),"")</f>
        <v/>
      </c>
      <c r="AK25" t="str">
        <f>IFERROR(IF($AQ25&gt;6,INDEX(Festivals!$V$2:$V$160,$AP25+6),""),"")</f>
        <v/>
      </c>
      <c r="AL25" t="str">
        <f ca="1">IFERROR(INDEX('Holidays Calc'!$J$2:$J$233,MATCH(A25,'Holidays Calc'!$I$2:$I$233,0)),"")</f>
        <v/>
      </c>
      <c r="AM25" t="str">
        <f ca="1">IF(AR25="","",IF(INDEX('Holidays Calc'!$I$2:$I$233,AR25+1)=A25,INDEX('Holidays Calc'!$J$2:$J$233,AR25+1),""))</f>
        <v/>
      </c>
      <c r="AN25" t="str">
        <f ca="1">IF(AR25="","",IF(INDEX('Holidays Calc'!$I$2:$I$233,AR25+2)=A25,INDEX('Holidays Calc'!$J$2:$J$233,AR25+2),""))</f>
        <v/>
      </c>
      <c r="AO25" t="str">
        <f ca="1">IF(AR25="","",IF(INDEX('Holidays Calc'!$I$2:$I$233,AR25+3)=A25,INDEX('Holidays Calc'!$J$2:$J$233,AR25+3),""))</f>
        <v/>
      </c>
      <c r="AP25" t="str">
        <f>IFERROR(IF($E25=E24,"",MATCH($E25,Festivals!$H$2:$H$160,0)),"")</f>
        <v/>
      </c>
      <c r="AQ25" t="str">
        <f>IF(AP25="","",COUNTIF(Festivals!$H$2:$H$160,$E25))</f>
        <v/>
      </c>
      <c r="AR25" t="str">
        <f ca="1">IFERROR(MATCH(A25,'Holidays Calc'!$I$2:$I$233,0),"")</f>
        <v/>
      </c>
      <c r="AS25" t="str">
        <f t="shared" si="2"/>
        <v/>
      </c>
      <c r="AT25" t="str">
        <f t="shared" si="1"/>
        <v/>
      </c>
      <c r="AU25" t="str">
        <f t="shared" ca="1" si="3"/>
        <v/>
      </c>
      <c r="AV25" t="str">
        <f t="shared" ca="1" si="4"/>
        <v/>
      </c>
    </row>
    <row r="26" spans="1:48" x14ac:dyDescent="0.25">
      <c r="A26" s="265">
        <f t="shared" si="7"/>
        <v>43452</v>
      </c>
      <c r="B26" s="265" t="str">
        <f t="shared" si="8"/>
        <v>18 Dec 2018</v>
      </c>
      <c r="C26" s="267">
        <f t="shared" si="9"/>
        <v>51</v>
      </c>
      <c r="D26">
        <f>MATCH(A26,GCalXMLT[daydate],0)</f>
        <v>25</v>
      </c>
      <c r="E26">
        <f>VALUE("1" &amp; Masacod(INDEX(GCalXMLT[gymasa],D26)) &amp; PaksaCod(INDEX(GCalXMLT[mpaksaid],D26)) &amp; TithiCod(INDEX(GCalXMLT[stithiname],D26)))</f>
        <v>109111</v>
      </c>
      <c r="F26" t="str">
        <f ca="1">INDEX(Parameters!$K$2:$K$16,MATCH(AV26,Parameters!$L$2:$L$16,0))</f>
        <v>E</v>
      </c>
      <c r="G26" t="str">
        <f>INDEX(GCalXMLT[fastmark],$D26)</f>
        <v>*</v>
      </c>
      <c r="H26" t="str">
        <f ca="1">INDEX(Parameters!$J$2:$J$16,MATCH(AV26,Parameters!$L$2:$L$16,0))</f>
        <v>*</v>
      </c>
      <c r="I26" t="str">
        <f>INDEX(GCalXMLT[dfestival1],$D26)</f>
        <v>Fasting for Moksada Ekadasi</v>
      </c>
      <c r="J26">
        <f>IF(INDEX(GCalXMLT[dfestival2],$D26)="(Fast today)",INDEX(Festivals!$R$2:$R$180,MATCH($I26,Festivals!$R$2:$R$180,0)+1),INDEX(GCalXMLT[dfestival2],$D26))</f>
        <v>0</v>
      </c>
      <c r="K26">
        <f>IF(I26="Nandotsava","(Fast till noon)",INDEX(GCalXMLT[dfestival3],$D26))</f>
        <v>0</v>
      </c>
      <c r="L26">
        <f>IF(I26="Nandotsava", INDEX(GCalXMLT[dfestival3],$D26),INDEX(GCalXMLT[dfestival4],$D26))</f>
        <v>0</v>
      </c>
      <c r="M26" t="str">
        <f>IFERROR(INDEX(Festivals!$S$2:$S$160,AP26),"")</f>
        <v>Advent of Srimad Bhagavad-gita</v>
      </c>
      <c r="N26" t="str">
        <f>IFERROR(IF($AQ26&gt;1,INDEX(Festivals!$S$2:$S$160,$AP26+1),""),"")</f>
        <v/>
      </c>
      <c r="O26" t="str">
        <f>IFERROR(IF($AQ26&gt;2,INDEX(Festivals!$S$2:$S$160,$AP26+2),""),"")</f>
        <v/>
      </c>
      <c r="P26" t="str">
        <f>IFERROR(IF($AQ26&gt;3,INDEX(Festivals!$S$2:$S$160,$AP26+3),""),"")</f>
        <v/>
      </c>
      <c r="Q26" t="str">
        <f>IFERROR(IF($AQ26&gt;4,INDEX(Festivals!$S$2:$S$160,$AP26+4),""),"")</f>
        <v/>
      </c>
      <c r="R26" t="str">
        <f>IFERROR(IF($AQ26&gt;5,INDEX(Festivals!$S$2:$S$160,$AP26+5),""),"")</f>
        <v/>
      </c>
      <c r="S26" t="str">
        <f>IFERROR(IF($AQ26&gt;6,INDEX(Festivals!$S$2:$S$160,$AP26+6),""),"")</f>
        <v/>
      </c>
      <c r="T26">
        <f>INDEX(GCalXMLT[dcaturmasya1],$D26)</f>
        <v>0</v>
      </c>
      <c r="U26">
        <f>INDEX(GCalXMLT[dcaturmasya2],$D26)</f>
        <v>0</v>
      </c>
      <c r="V26" t="str">
        <f>INDEX(GCalXMLT[sankrantirasi],$D26) &amp; " " &amp; INDEX(GCalXMLT[sankrantitime],$D26)</f>
        <v xml:space="preserve"> </v>
      </c>
      <c r="W26" t="str">
        <f ca="1">IFERROR(INDEX('Holidays Calc'!$K$2:$K$233,AR26),"")</f>
        <v/>
      </c>
      <c r="X26" t="str">
        <f ca="1">IF(AR26="","",IF(INDEX('Holidays Calc'!$I$2:$I$233,AR26+1)=A26,INDEX('Holidays Calc'!$K$2:$K$233,AR26+1),""))</f>
        <v/>
      </c>
      <c r="Y26" t="str">
        <f ca="1">IF(AR26="","",IF(INDEX('Holidays Calc'!$I$2:$I$233,AR26+2)=A26,INDEX('Holidays Calc'!$K$2:$K$233,AR26+2),""))</f>
        <v/>
      </c>
      <c r="Z26" t="str">
        <f ca="1">IF(AR26="","",IF(INDEX('Holidays Calc'!$I$2:$I$233,AR26+3)=A26,INDEX('Holidays Calc'!$K$2:$K$2333,AR26+3),""))</f>
        <v/>
      </c>
      <c r="AA26">
        <f>IF(I26="Last day of Bhisma Pancaka","",IF(G26="*",-0.7,IF(ISBLANK(INDEX(GCalXMLT[dclass1],$D26)),"",INDEX(GCalXMLT[dclass1],$D26))))</f>
        <v>-0.7</v>
      </c>
      <c r="AB26" t="str">
        <f>IF(J26="First day of Bhisma Pancaka","",IF(AND(G26="*",NOT(ISERROR(SEARCH("ekadasi",J26)))),-0.7,IF(ISBLANK(INDEX(GCalXMLT[dclass2],$D26)),"",INDEX(GCalXMLT[dclass2],$D26))))</f>
        <v/>
      </c>
      <c r="AC26" t="str">
        <f>IF(I26="Nandotsava",-1,IF(ISBLANK(INDEX(GCalXMLT[dclass3],$D26)),"",INDEX(GCalXMLT[dclass3],$D26)))</f>
        <v/>
      </c>
      <c r="AD26" t="str">
        <f>IF(I26="Nandotsava",IF(ISBLANK(INDEX(GCalXMLT[dclass3],$D26)),"",INDEX(GCalXMLT[dclass3],$D26)),IF(ISBLANK(INDEX(GCalXMLT[dclass4],$D26)),"",INDEX(GCalXMLT[dclass4],$D26)))</f>
        <v/>
      </c>
      <c r="AE26">
        <f>IFERROR(INDEX(Festivals!$V$2:$V$160,AP26),"")</f>
        <v>1</v>
      </c>
      <c r="AF26" t="str">
        <f>IFERROR(IF($AQ26&gt;1,INDEX(Festivals!$V$2:$V$160,$AP26+1),""),"")</f>
        <v/>
      </c>
      <c r="AG26" t="str">
        <f>IFERROR(IF($AQ26&gt;2,INDEX(Festivals!$V$2:$V$160,$AP26+2),""),"")</f>
        <v/>
      </c>
      <c r="AH26" t="str">
        <f>IFERROR(IF($AQ26&gt;3,INDEX(Festivals!$V$2:$V$160,$AP26+3),""),"")</f>
        <v/>
      </c>
      <c r="AI26" t="str">
        <f>IFERROR(IF($AQ26&gt;4,INDEX(Festivals!$V$2:$V$160,$AP26+4),""),"")</f>
        <v/>
      </c>
      <c r="AJ26" t="str">
        <f>IFERROR(IF($AQ26&gt;5,INDEX(Festivals!$V$2:$V$160,$AP26+5),""),"")</f>
        <v/>
      </c>
      <c r="AK26" t="str">
        <f>IFERROR(IF($AQ26&gt;6,INDEX(Festivals!$V$2:$V$160,$AP26+6),""),"")</f>
        <v/>
      </c>
      <c r="AL26" t="str">
        <f ca="1">IFERROR(INDEX('Holidays Calc'!$J$2:$J$233,MATCH(A26,'Holidays Calc'!$I$2:$I$233,0)),"")</f>
        <v/>
      </c>
      <c r="AM26" t="str">
        <f ca="1">IF(AR26="","",IF(INDEX('Holidays Calc'!$I$2:$I$233,AR26+1)=A26,INDEX('Holidays Calc'!$J$2:$J$233,AR26+1),""))</f>
        <v/>
      </c>
      <c r="AN26" t="str">
        <f ca="1">IF(AR26="","",IF(INDEX('Holidays Calc'!$I$2:$I$233,AR26+2)=A26,INDEX('Holidays Calc'!$J$2:$J$233,AR26+2),""))</f>
        <v/>
      </c>
      <c r="AO26" t="str">
        <f ca="1">IF(AR26="","",IF(INDEX('Holidays Calc'!$I$2:$I$233,AR26+3)=A26,INDEX('Holidays Calc'!$J$2:$J$233,AR26+3),""))</f>
        <v/>
      </c>
      <c r="AP26">
        <f>IFERROR(IF($E26=E25,"",MATCH($E26,Festivals!$H$2:$H$160,0)),"")</f>
        <v>113</v>
      </c>
      <c r="AQ26">
        <f>IF(AP26="","",COUNTIF(Festivals!$H$2:$H$160,$E26))</f>
        <v>1</v>
      </c>
      <c r="AR26" t="str">
        <f ca="1">IFERROR(MATCH(A26,'Holidays Calc'!$I$2:$I$233,0),"")</f>
        <v/>
      </c>
      <c r="AS26">
        <f t="shared" si="2"/>
        <v>-0.7</v>
      </c>
      <c r="AT26">
        <f t="shared" si="1"/>
        <v>-0.7</v>
      </c>
      <c r="AU26" t="str">
        <f t="shared" ca="1" si="3"/>
        <v/>
      </c>
      <c r="AV26">
        <f t="shared" ca="1" si="4"/>
        <v>-0.7</v>
      </c>
    </row>
    <row r="27" spans="1:48" x14ac:dyDescent="0.25">
      <c r="A27" s="265">
        <f t="shared" si="7"/>
        <v>43453</v>
      </c>
      <c r="B27" s="265" t="str">
        <f t="shared" si="8"/>
        <v>19 Dec 2018</v>
      </c>
      <c r="C27" s="267">
        <f t="shared" si="9"/>
        <v>51</v>
      </c>
      <c r="D27">
        <f>MATCH(A27,GCalXMLT[daydate],0)</f>
        <v>26</v>
      </c>
      <c r="E27">
        <f>VALUE("1" &amp; Masacod(INDEX(GCalXMLT[gymasa],D27)) &amp; PaksaCod(INDEX(GCalXMLT[mpaksaid],D27)) &amp; TithiCod(INDEX(GCalXMLT[stithiname],D27)))</f>
        <v>109112</v>
      </c>
      <c r="F27" t="str">
        <f ca="1">INDEX(Parameters!$K$2:$K$16,MATCH(AV27,Parameters!$L$2:$L$16,0))</f>
        <v/>
      </c>
      <c r="G27">
        <f>INDEX(GCalXMLT[fastmark],$D27)</f>
        <v>0</v>
      </c>
      <c r="H27" t="str">
        <f ca="1">INDEX(Parameters!$J$2:$J$16,MATCH(AV27,Parameters!$L$2:$L$16,0))</f>
        <v/>
      </c>
      <c r="I27">
        <f>INDEX(GCalXMLT[dfestival1],$D27)</f>
        <v>0</v>
      </c>
      <c r="J27">
        <f>IF(INDEX(GCalXMLT[dfestival2],$D27)="(Fast today)",INDEX(Festivals!$R$2:$R$180,MATCH($I27,Festivals!$R$2:$R$180,0)+1),INDEX(GCalXMLT[dfestival2],$D27))</f>
        <v>0</v>
      </c>
      <c r="K27">
        <f>IF(I27="Nandotsava","(Fast till noon)",INDEX(GCalXMLT[dfestival3],$D27))</f>
        <v>0</v>
      </c>
      <c r="L27">
        <f>IF(I27="Nandotsava", INDEX(GCalXMLT[dfestival3],$D27),INDEX(GCalXMLT[dfestival4],$D27))</f>
        <v>0</v>
      </c>
      <c r="M27" t="str">
        <f>IFERROR(INDEX(Festivals!$S$2:$S$160,AP27),"")</f>
        <v/>
      </c>
      <c r="N27" t="str">
        <f>IFERROR(IF($AQ27&gt;1,INDEX(Festivals!$S$2:$S$160,$AP27+1),""),"")</f>
        <v/>
      </c>
      <c r="O27" t="str">
        <f>IFERROR(IF($AQ27&gt;2,INDEX(Festivals!$S$2:$S$160,$AP27+2),""),"")</f>
        <v/>
      </c>
      <c r="P27" t="str">
        <f>IFERROR(IF($AQ27&gt;3,INDEX(Festivals!$S$2:$S$160,$AP27+3),""),"")</f>
        <v/>
      </c>
      <c r="Q27" t="str">
        <f>IFERROR(IF($AQ27&gt;4,INDEX(Festivals!$S$2:$S$160,$AP27+4),""),"")</f>
        <v/>
      </c>
      <c r="R27" t="str">
        <f>IFERROR(IF($AQ27&gt;5,INDEX(Festivals!$S$2:$S$160,$AP27+5),""),"")</f>
        <v/>
      </c>
      <c r="S27" t="str">
        <f>IFERROR(IF($AQ27&gt;6,INDEX(Festivals!$S$2:$S$160,$AP27+6),""),"")</f>
        <v/>
      </c>
      <c r="T27">
        <f>INDEX(GCalXMLT[dcaturmasya1],$D27)</f>
        <v>0</v>
      </c>
      <c r="U27">
        <f>INDEX(GCalXMLT[dcaturmasya2],$D27)</f>
        <v>0</v>
      </c>
      <c r="V27" t="str">
        <f>INDEX(GCalXMLT[sankrantirasi],$D27) &amp; " " &amp; INDEX(GCalXMLT[sankrantitime],$D27)</f>
        <v xml:space="preserve"> </v>
      </c>
      <c r="W27" t="str">
        <f ca="1">IFERROR(INDEX('Holidays Calc'!$K$2:$K$233,AR27),"")</f>
        <v/>
      </c>
      <c r="X27" t="str">
        <f ca="1">IF(AR27="","",IF(INDEX('Holidays Calc'!$I$2:$I$233,AR27+1)=A27,INDEX('Holidays Calc'!$K$2:$K$233,AR27+1),""))</f>
        <v/>
      </c>
      <c r="Y27" t="str">
        <f ca="1">IF(AR27="","",IF(INDEX('Holidays Calc'!$I$2:$I$233,AR27+2)=A27,INDEX('Holidays Calc'!$K$2:$K$233,AR27+2),""))</f>
        <v/>
      </c>
      <c r="Z27" t="str">
        <f ca="1">IF(AR27="","",IF(INDEX('Holidays Calc'!$I$2:$I$233,AR27+3)=A27,INDEX('Holidays Calc'!$K$2:$K$2333,AR27+3),""))</f>
        <v/>
      </c>
      <c r="AA27" t="str">
        <f>IF(I27="Last day of Bhisma Pancaka","",IF(G27="*",-0.7,IF(ISBLANK(INDEX(GCalXMLT[dclass1],$D27)),"",INDEX(GCalXMLT[dclass1],$D27))))</f>
        <v/>
      </c>
      <c r="AB27" t="str">
        <f>IF(J27="First day of Bhisma Pancaka","",IF(AND(G27="*",NOT(ISERROR(SEARCH("ekadasi",J27)))),-0.7,IF(ISBLANK(INDEX(GCalXMLT[dclass2],$D27)),"",INDEX(GCalXMLT[dclass2],$D27))))</f>
        <v/>
      </c>
      <c r="AC27" t="str">
        <f>IF(I27="Nandotsava",-1,IF(ISBLANK(INDEX(GCalXMLT[dclass3],$D27)),"",INDEX(GCalXMLT[dclass3],$D27)))</f>
        <v/>
      </c>
      <c r="AD27" t="str">
        <f>IF(I27="Nandotsava",IF(ISBLANK(INDEX(GCalXMLT[dclass3],$D27)),"",INDEX(GCalXMLT[dclass3],$D27)),IF(ISBLANK(INDEX(GCalXMLT[dclass4],$D27)),"",INDEX(GCalXMLT[dclass4],$D27)))</f>
        <v/>
      </c>
      <c r="AE27" t="str">
        <f>IFERROR(INDEX(Festivals!$V$2:$V$160,AP27),"")</f>
        <v/>
      </c>
      <c r="AF27" t="str">
        <f>IFERROR(IF($AQ27&gt;1,INDEX(Festivals!$V$2:$V$160,$AP27+1),""),"")</f>
        <v/>
      </c>
      <c r="AG27" t="str">
        <f>IFERROR(IF($AQ27&gt;2,INDEX(Festivals!$V$2:$V$160,$AP27+2),""),"")</f>
        <v/>
      </c>
      <c r="AH27" t="str">
        <f>IFERROR(IF($AQ27&gt;3,INDEX(Festivals!$V$2:$V$160,$AP27+3),""),"")</f>
        <v/>
      </c>
      <c r="AI27" t="str">
        <f>IFERROR(IF($AQ27&gt;4,INDEX(Festivals!$V$2:$V$160,$AP27+4),""),"")</f>
        <v/>
      </c>
      <c r="AJ27" t="str">
        <f>IFERROR(IF($AQ27&gt;5,INDEX(Festivals!$V$2:$V$160,$AP27+5),""),"")</f>
        <v/>
      </c>
      <c r="AK27" t="str">
        <f>IFERROR(IF($AQ27&gt;6,INDEX(Festivals!$V$2:$V$160,$AP27+6),""),"")</f>
        <v/>
      </c>
      <c r="AL27" t="str">
        <f ca="1">IFERROR(INDEX('Holidays Calc'!$J$2:$J$233,MATCH(A27,'Holidays Calc'!$I$2:$I$233,0)),"")</f>
        <v/>
      </c>
      <c r="AM27" t="str">
        <f ca="1">IF(AR27="","",IF(INDEX('Holidays Calc'!$I$2:$I$233,AR27+1)=A27,INDEX('Holidays Calc'!$J$2:$J$233,AR27+1),""))</f>
        <v/>
      </c>
      <c r="AN27" t="str">
        <f ca="1">IF(AR27="","",IF(INDEX('Holidays Calc'!$I$2:$I$233,AR27+2)=A27,INDEX('Holidays Calc'!$J$2:$J$233,AR27+2),""))</f>
        <v/>
      </c>
      <c r="AO27" t="str">
        <f ca="1">IF(AR27="","",IF(INDEX('Holidays Calc'!$I$2:$I$233,AR27+3)=A27,INDEX('Holidays Calc'!$J$2:$J$233,AR27+3),""))</f>
        <v/>
      </c>
      <c r="AP27" t="str">
        <f>IFERROR(IF($E27=E26,"",MATCH($E27,Festivals!$H$2:$H$160,0)),"")</f>
        <v/>
      </c>
      <c r="AQ27" t="str">
        <f>IF(AP27="","",COUNTIF(Festivals!$H$2:$H$160,$E27))</f>
        <v/>
      </c>
      <c r="AR27" t="str">
        <f ca="1">IFERROR(MATCH(A27,'Holidays Calc'!$I$2:$I$233,0),"")</f>
        <v/>
      </c>
      <c r="AS27" t="str">
        <f t="shared" si="2"/>
        <v/>
      </c>
      <c r="AT27" t="str">
        <f t="shared" si="1"/>
        <v/>
      </c>
      <c r="AU27" t="str">
        <f t="shared" ca="1" si="3"/>
        <v/>
      </c>
      <c r="AV27" t="str">
        <f t="shared" ca="1" si="4"/>
        <v/>
      </c>
    </row>
    <row r="28" spans="1:48" x14ac:dyDescent="0.25">
      <c r="A28" s="265">
        <f t="shared" si="7"/>
        <v>43454</v>
      </c>
      <c r="B28" s="265" t="str">
        <f t="shared" si="8"/>
        <v>20 Dec 2018</v>
      </c>
      <c r="C28" s="267">
        <f t="shared" si="9"/>
        <v>51</v>
      </c>
      <c r="D28">
        <f>MATCH(A28,GCalXMLT[daydate],0)</f>
        <v>27</v>
      </c>
      <c r="E28">
        <f>VALUE("1" &amp; Masacod(INDEX(GCalXMLT[gymasa],D28)) &amp; PaksaCod(INDEX(GCalXMLT[mpaksaid],D28)) &amp; TithiCod(INDEX(GCalXMLT[stithiname],D28)))</f>
        <v>109113</v>
      </c>
      <c r="F28" t="str">
        <f ca="1">INDEX(Parameters!$K$2:$K$16,MATCH(AV28,Parameters!$L$2:$L$16,0))</f>
        <v/>
      </c>
      <c r="G28">
        <f>INDEX(GCalXMLT[fastmark],$D28)</f>
        <v>0</v>
      </c>
      <c r="H28" t="str">
        <f ca="1">INDEX(Parameters!$J$2:$J$16,MATCH(AV28,Parameters!$L$2:$L$16,0))</f>
        <v/>
      </c>
      <c r="I28">
        <f>INDEX(GCalXMLT[dfestival1],$D28)</f>
        <v>0</v>
      </c>
      <c r="J28">
        <f>IF(INDEX(GCalXMLT[dfestival2],$D28)="(Fast today)",INDEX(Festivals!$R$2:$R$180,MATCH($I28,Festivals!$R$2:$R$180,0)+1),INDEX(GCalXMLT[dfestival2],$D28))</f>
        <v>0</v>
      </c>
      <c r="K28">
        <f>IF(I28="Nandotsava","(Fast till noon)",INDEX(GCalXMLT[dfestival3],$D28))</f>
        <v>0</v>
      </c>
      <c r="L28">
        <f>IF(I28="Nandotsava", INDEX(GCalXMLT[dfestival3],$D28),INDEX(GCalXMLT[dfestival4],$D28))</f>
        <v>0</v>
      </c>
      <c r="M28" t="str">
        <f>IFERROR(INDEX(Festivals!$S$2:$S$160,AP28),"")</f>
        <v/>
      </c>
      <c r="N28" t="str">
        <f>IFERROR(IF($AQ28&gt;1,INDEX(Festivals!$S$2:$S$160,$AP28+1),""),"")</f>
        <v/>
      </c>
      <c r="O28" t="str">
        <f>IFERROR(IF($AQ28&gt;2,INDEX(Festivals!$S$2:$S$160,$AP28+2),""),"")</f>
        <v/>
      </c>
      <c r="P28" t="str">
        <f>IFERROR(IF($AQ28&gt;3,INDEX(Festivals!$S$2:$S$160,$AP28+3),""),"")</f>
        <v/>
      </c>
      <c r="Q28" t="str">
        <f>IFERROR(IF($AQ28&gt;4,INDEX(Festivals!$S$2:$S$160,$AP28+4),""),"")</f>
        <v/>
      </c>
      <c r="R28" t="str">
        <f>IFERROR(IF($AQ28&gt;5,INDEX(Festivals!$S$2:$S$160,$AP28+5),""),"")</f>
        <v/>
      </c>
      <c r="S28" t="str">
        <f>IFERROR(IF($AQ28&gt;6,INDEX(Festivals!$S$2:$S$160,$AP28+6),""),"")</f>
        <v/>
      </c>
      <c r="T28">
        <f>INDEX(GCalXMLT[dcaturmasya1],$D28)</f>
        <v>0</v>
      </c>
      <c r="U28">
        <f>INDEX(GCalXMLT[dcaturmasya2],$D28)</f>
        <v>0</v>
      </c>
      <c r="V28" t="str">
        <f>INDEX(GCalXMLT[sankrantirasi],$D28) &amp; " " &amp; INDEX(GCalXMLT[sankrantitime],$D28)</f>
        <v xml:space="preserve"> </v>
      </c>
      <c r="W28" t="str">
        <f ca="1">IFERROR(INDEX('Holidays Calc'!$K$2:$K$233,AR28),"")</f>
        <v/>
      </c>
      <c r="X28" t="str">
        <f ca="1">IF(AR28="","",IF(INDEX('Holidays Calc'!$I$2:$I$233,AR28+1)=A28,INDEX('Holidays Calc'!$K$2:$K$233,AR28+1),""))</f>
        <v/>
      </c>
      <c r="Y28" t="str">
        <f ca="1">IF(AR28="","",IF(INDEX('Holidays Calc'!$I$2:$I$233,AR28+2)=A28,INDEX('Holidays Calc'!$K$2:$K$233,AR28+2),""))</f>
        <v/>
      </c>
      <c r="Z28" t="str">
        <f ca="1">IF(AR28="","",IF(INDEX('Holidays Calc'!$I$2:$I$233,AR28+3)=A28,INDEX('Holidays Calc'!$K$2:$K$2333,AR28+3),""))</f>
        <v/>
      </c>
      <c r="AA28" t="str">
        <f>IF(I28="Last day of Bhisma Pancaka","",IF(G28="*",-0.7,IF(ISBLANK(INDEX(GCalXMLT[dclass1],$D28)),"",INDEX(GCalXMLT[dclass1],$D28))))</f>
        <v/>
      </c>
      <c r="AB28" t="str">
        <f>IF(J28="First day of Bhisma Pancaka","",IF(AND(G28="*",NOT(ISERROR(SEARCH("ekadasi",J28)))),-0.7,IF(ISBLANK(INDEX(GCalXMLT[dclass2],$D28)),"",INDEX(GCalXMLT[dclass2],$D28))))</f>
        <v/>
      </c>
      <c r="AC28" t="str">
        <f>IF(I28="Nandotsava",-1,IF(ISBLANK(INDEX(GCalXMLT[dclass3],$D28)),"",INDEX(GCalXMLT[dclass3],$D28)))</f>
        <v/>
      </c>
      <c r="AD28" t="str">
        <f>IF(I28="Nandotsava",IF(ISBLANK(INDEX(GCalXMLT[dclass3],$D28)),"",INDEX(GCalXMLT[dclass3],$D28)),IF(ISBLANK(INDEX(GCalXMLT[dclass4],$D28)),"",INDEX(GCalXMLT[dclass4],$D28)))</f>
        <v/>
      </c>
      <c r="AE28" t="str">
        <f>IFERROR(INDEX(Festivals!$V$2:$V$160,AP28),"")</f>
        <v/>
      </c>
      <c r="AF28" t="str">
        <f>IFERROR(IF($AQ28&gt;1,INDEX(Festivals!$V$2:$V$160,$AP28+1),""),"")</f>
        <v/>
      </c>
      <c r="AG28" t="str">
        <f>IFERROR(IF($AQ28&gt;2,INDEX(Festivals!$V$2:$V$160,$AP28+2),""),"")</f>
        <v/>
      </c>
      <c r="AH28" t="str">
        <f>IFERROR(IF($AQ28&gt;3,INDEX(Festivals!$V$2:$V$160,$AP28+3),""),"")</f>
        <v/>
      </c>
      <c r="AI28" t="str">
        <f>IFERROR(IF($AQ28&gt;4,INDEX(Festivals!$V$2:$V$160,$AP28+4),""),"")</f>
        <v/>
      </c>
      <c r="AJ28" t="str">
        <f>IFERROR(IF($AQ28&gt;5,INDEX(Festivals!$V$2:$V$160,$AP28+5),""),"")</f>
        <v/>
      </c>
      <c r="AK28" t="str">
        <f>IFERROR(IF($AQ28&gt;6,INDEX(Festivals!$V$2:$V$160,$AP28+6),""),"")</f>
        <v/>
      </c>
      <c r="AL28" t="str">
        <f ca="1">IFERROR(INDEX('Holidays Calc'!$J$2:$J$233,MATCH(A28,'Holidays Calc'!$I$2:$I$233,0)),"")</f>
        <v/>
      </c>
      <c r="AM28" t="str">
        <f ca="1">IF(AR28="","",IF(INDEX('Holidays Calc'!$I$2:$I$233,AR28+1)=A28,INDEX('Holidays Calc'!$J$2:$J$233,AR28+1),""))</f>
        <v/>
      </c>
      <c r="AN28" t="str">
        <f ca="1">IF(AR28="","",IF(INDEX('Holidays Calc'!$I$2:$I$233,AR28+2)=A28,INDEX('Holidays Calc'!$J$2:$J$233,AR28+2),""))</f>
        <v/>
      </c>
      <c r="AO28" t="str">
        <f ca="1">IF(AR28="","",IF(INDEX('Holidays Calc'!$I$2:$I$233,AR28+3)=A28,INDEX('Holidays Calc'!$J$2:$J$233,AR28+3),""))</f>
        <v/>
      </c>
      <c r="AP28" t="str">
        <f>IFERROR(IF($E28=E27,"",MATCH($E28,Festivals!$H$2:$H$160,0)),"")</f>
        <v/>
      </c>
      <c r="AQ28" t="str">
        <f>IF(AP28="","",COUNTIF(Festivals!$H$2:$H$160,$E28))</f>
        <v/>
      </c>
      <c r="AR28" t="str">
        <f ca="1">IFERROR(MATCH(A28,'Holidays Calc'!$I$2:$I$233,0),"")</f>
        <v/>
      </c>
      <c r="AS28" t="str">
        <f t="shared" si="2"/>
        <v/>
      </c>
      <c r="AT28" t="str">
        <f t="shared" si="1"/>
        <v/>
      </c>
      <c r="AU28" t="str">
        <f t="shared" ca="1" si="3"/>
        <v/>
      </c>
      <c r="AV28" t="str">
        <f t="shared" ca="1" si="4"/>
        <v/>
      </c>
    </row>
    <row r="29" spans="1:48" x14ac:dyDescent="0.25">
      <c r="A29" s="265">
        <f t="shared" si="7"/>
        <v>43455</v>
      </c>
      <c r="B29" s="265" t="str">
        <f t="shared" si="8"/>
        <v>21 Dec 2018</v>
      </c>
      <c r="C29" s="267">
        <f t="shared" si="9"/>
        <v>51</v>
      </c>
      <c r="D29">
        <f>MATCH(A29,GCalXMLT[daydate],0)</f>
        <v>28</v>
      </c>
      <c r="E29">
        <f>VALUE("1" &amp; Masacod(INDEX(GCalXMLT[gymasa],D29)) &amp; PaksaCod(INDEX(GCalXMLT[mpaksaid],D29)) &amp; TithiCod(INDEX(GCalXMLT[stithiname],D29)))</f>
        <v>109114</v>
      </c>
      <c r="F29" t="str">
        <f ca="1">INDEX(Parameters!$K$2:$K$16,MATCH(AV29,Parameters!$L$2:$L$16,0))</f>
        <v>C</v>
      </c>
      <c r="G29">
        <f>INDEX(GCalXMLT[fastmark],$D29)</f>
        <v>0</v>
      </c>
      <c r="H29" t="str">
        <f ca="1">INDEX(Parameters!$J$2:$J$16,MATCH(AV29,Parameters!$L$2:$L$16,0))</f>
        <v/>
      </c>
      <c r="I29">
        <f>INDEX(GCalXMLT[dfestival1],$D29)</f>
        <v>0</v>
      </c>
      <c r="J29">
        <f>IF(INDEX(GCalXMLT[dfestival2],$D29)="(Fast today)",INDEX(Festivals!$R$2:$R$180,MATCH($I29,Festivals!$R$2:$R$180,0)+1),INDEX(GCalXMLT[dfestival2],$D29))</f>
        <v>0</v>
      </c>
      <c r="K29">
        <f>IF(I29="Nandotsava","(Fast till noon)",INDEX(GCalXMLT[dfestival3],$D29))</f>
        <v>0</v>
      </c>
      <c r="L29">
        <f>IF(I29="Nandotsava", INDEX(GCalXMLT[dfestival3],$D29),INDEX(GCalXMLT[dfestival4],$D29))</f>
        <v>0</v>
      </c>
      <c r="M29" t="str">
        <f>IFERROR(INDEX(Festivals!$S$2:$S$160,AP29),"")</f>
        <v/>
      </c>
      <c r="N29" t="str">
        <f>IFERROR(IF($AQ29&gt;1,INDEX(Festivals!$S$2:$S$160,$AP29+1),""),"")</f>
        <v/>
      </c>
      <c r="O29" t="str">
        <f>IFERROR(IF($AQ29&gt;2,INDEX(Festivals!$S$2:$S$160,$AP29+2),""),"")</f>
        <v/>
      </c>
      <c r="P29" t="str">
        <f>IFERROR(IF($AQ29&gt;3,INDEX(Festivals!$S$2:$S$160,$AP29+3),""),"")</f>
        <v/>
      </c>
      <c r="Q29" t="str">
        <f>IFERROR(IF($AQ29&gt;4,INDEX(Festivals!$S$2:$S$160,$AP29+4),""),"")</f>
        <v/>
      </c>
      <c r="R29" t="str">
        <f>IFERROR(IF($AQ29&gt;5,INDEX(Festivals!$S$2:$S$160,$AP29+5),""),"")</f>
        <v/>
      </c>
      <c r="S29" t="str">
        <f>IFERROR(IF($AQ29&gt;6,INDEX(Festivals!$S$2:$S$160,$AP29+6),""),"")</f>
        <v/>
      </c>
      <c r="T29">
        <f>INDEX(GCalXMLT[dcaturmasya1],$D29)</f>
        <v>0</v>
      </c>
      <c r="U29">
        <f>INDEX(GCalXMLT[dcaturmasya2],$D29)</f>
        <v>0</v>
      </c>
      <c r="V29" t="str">
        <f>INDEX(GCalXMLT[sankrantirasi],$D29) &amp; " " &amp; INDEX(GCalXMLT[sankrantitime],$D29)</f>
        <v xml:space="preserve"> </v>
      </c>
      <c r="W29" t="str">
        <f ca="1">IFERROR(INDEX('Holidays Calc'!$K$2:$K$233,AR29),"")</f>
        <v>Verão</v>
      </c>
      <c r="X29" t="str">
        <f ca="1">IF(AR29="","",IF(INDEX('Holidays Calc'!$I$2:$I$233,AR29+1)=A29,INDEX('Holidays Calc'!$K$2:$K$233,AR29+1),""))</f>
        <v/>
      </c>
      <c r="Y29" t="str">
        <f ca="1">IF(AR29="","",IF(INDEX('Holidays Calc'!$I$2:$I$233,AR29+2)=A29,INDEX('Holidays Calc'!$K$2:$K$233,AR29+2),""))</f>
        <v/>
      </c>
      <c r="Z29" t="str">
        <f ca="1">IF(AR29="","",IF(INDEX('Holidays Calc'!$I$2:$I$233,AR29+3)=A29,INDEX('Holidays Calc'!$K$2:$K$2333,AR29+3),""))</f>
        <v/>
      </c>
      <c r="AA29" t="str">
        <f>IF(I29="Last day of Bhisma Pancaka","",IF(G29="*",-0.7,IF(ISBLANK(INDEX(GCalXMLT[dclass1],$D29)),"",INDEX(GCalXMLT[dclass1],$D29))))</f>
        <v/>
      </c>
      <c r="AB29" t="str">
        <f>IF(J29="First day of Bhisma Pancaka","",IF(AND(G29="*",NOT(ISERROR(SEARCH("ekadasi",J29)))),-0.7,IF(ISBLANK(INDEX(GCalXMLT[dclass2],$D29)),"",INDEX(GCalXMLT[dclass2],$D29))))</f>
        <v/>
      </c>
      <c r="AC29" t="str">
        <f>IF(I29="Nandotsava",-1,IF(ISBLANK(INDEX(GCalXMLT[dclass3],$D29)),"",INDEX(GCalXMLT[dclass3],$D29)))</f>
        <v/>
      </c>
      <c r="AD29" t="str">
        <f>IF(I29="Nandotsava",IF(ISBLANK(INDEX(GCalXMLT[dclass3],$D29)),"",INDEX(GCalXMLT[dclass3],$D29)),IF(ISBLANK(INDEX(GCalXMLT[dclass4],$D29)),"",INDEX(GCalXMLT[dclass4],$D29)))</f>
        <v/>
      </c>
      <c r="AE29" t="str">
        <f>IFERROR(INDEX(Festivals!$V$2:$V$160,AP29),"")</f>
        <v/>
      </c>
      <c r="AF29" t="str">
        <f>IFERROR(IF($AQ29&gt;1,INDEX(Festivals!$V$2:$V$160,$AP29+1),""),"")</f>
        <v/>
      </c>
      <c r="AG29" t="str">
        <f>IFERROR(IF($AQ29&gt;2,INDEX(Festivals!$V$2:$V$160,$AP29+2),""),"")</f>
        <v/>
      </c>
      <c r="AH29" t="str">
        <f>IFERROR(IF($AQ29&gt;3,INDEX(Festivals!$V$2:$V$160,$AP29+3),""),"")</f>
        <v/>
      </c>
      <c r="AI29" t="str">
        <f>IFERROR(IF($AQ29&gt;4,INDEX(Festivals!$V$2:$V$160,$AP29+4),""),"")</f>
        <v/>
      </c>
      <c r="AJ29" t="str">
        <f>IFERROR(IF($AQ29&gt;5,INDEX(Festivals!$V$2:$V$160,$AP29+5),""),"")</f>
        <v/>
      </c>
      <c r="AK29" t="str">
        <f>IFERROR(IF($AQ29&gt;6,INDEX(Festivals!$V$2:$V$160,$AP29+6),""),"")</f>
        <v/>
      </c>
      <c r="AL29">
        <f ca="1">IFERROR(INDEX('Holidays Calc'!$J$2:$J$233,MATCH(A29,'Holidays Calc'!$I$2:$I$233,0)),"")</f>
        <v>0.5</v>
      </c>
      <c r="AM29" t="str">
        <f ca="1">IF(AR29="","",IF(INDEX('Holidays Calc'!$I$2:$I$233,AR29+1)=A29,INDEX('Holidays Calc'!$J$2:$J$233,AR29+1),""))</f>
        <v/>
      </c>
      <c r="AN29" t="str">
        <f ca="1">IF(AR29="","",IF(INDEX('Holidays Calc'!$I$2:$I$233,AR29+2)=A29,INDEX('Holidays Calc'!$J$2:$J$233,AR29+2),""))</f>
        <v/>
      </c>
      <c r="AO29" t="str">
        <f ca="1">IF(AR29="","",IF(INDEX('Holidays Calc'!$I$2:$I$233,AR29+3)=A29,INDEX('Holidays Calc'!$J$2:$J$233,AR29+3),""))</f>
        <v/>
      </c>
      <c r="AP29" t="str">
        <f>IFERROR(IF($E29=E28,"",MATCH($E29,Festivals!$H$2:$H$160,0)),"")</f>
        <v/>
      </c>
      <c r="AQ29" t="str">
        <f>IF(AP29="","",COUNTIF(Festivals!$H$2:$H$160,$E29))</f>
        <v/>
      </c>
      <c r="AR29">
        <f ca="1">IFERROR(MATCH(A29,'Holidays Calc'!$I$2:$I$233,0),"")</f>
        <v>35</v>
      </c>
      <c r="AS29" t="str">
        <f t="shared" si="2"/>
        <v/>
      </c>
      <c r="AT29" t="str">
        <f t="shared" si="1"/>
        <v/>
      </c>
      <c r="AU29">
        <f t="shared" ca="1" si="3"/>
        <v>0.5</v>
      </c>
      <c r="AV29">
        <f t="shared" ca="1" si="4"/>
        <v>0.5</v>
      </c>
    </row>
    <row r="30" spans="1:48" x14ac:dyDescent="0.25">
      <c r="A30" s="265">
        <f t="shared" si="7"/>
        <v>43456</v>
      </c>
      <c r="B30" s="265" t="str">
        <f t="shared" si="8"/>
        <v>22 Dec 2018</v>
      </c>
      <c r="C30" s="267">
        <f t="shared" si="9"/>
        <v>51</v>
      </c>
      <c r="D30">
        <f>MATCH(A30,GCalXMLT[daydate],0)</f>
        <v>29</v>
      </c>
      <c r="E30">
        <f>VALUE("1" &amp; Masacod(INDEX(GCalXMLT[gymasa],D30)) &amp; PaksaCod(INDEX(GCalXMLT[mpaksaid],D30)) &amp; TithiCod(INDEX(GCalXMLT[stithiname],D30)))</f>
        <v>109115</v>
      </c>
      <c r="F30" t="str">
        <f ca="1">INDEX(Parameters!$K$2:$K$16,MATCH(AV30,Parameters!$L$2:$L$16,0))</f>
        <v>C</v>
      </c>
      <c r="G30">
        <f>INDEX(GCalXMLT[fastmark],$D30)</f>
        <v>0</v>
      </c>
      <c r="H30" t="str">
        <f ca="1">INDEX(Parameters!$J$2:$J$16,MATCH(AV30,Parameters!$L$2:$L$16,0))</f>
        <v/>
      </c>
      <c r="I30">
        <f>INDEX(GCalXMLT[dfestival1],$D30)</f>
        <v>0</v>
      </c>
      <c r="J30">
        <f>IF(INDEX(GCalXMLT[dfestival2],$D30)="(Fast today)",INDEX(Festivals!$R$2:$R$180,MATCH($I30,Festivals!$R$2:$R$180,0)+1),INDEX(GCalXMLT[dfestival2],$D30))</f>
        <v>0</v>
      </c>
      <c r="K30">
        <f>IF(I30="Nandotsava","(Fast till noon)",INDEX(GCalXMLT[dfestival3],$D30))</f>
        <v>0</v>
      </c>
      <c r="L30">
        <f>IF(I30="Nandotsava", INDEX(GCalXMLT[dfestival3],$D30),INDEX(GCalXMLT[dfestival4],$D30))</f>
        <v>0</v>
      </c>
      <c r="M30" t="str">
        <f>IFERROR(INDEX(Festivals!$S$2:$S$160,AP30),"")</f>
        <v>Katyayani vrata ends</v>
      </c>
      <c r="N30" t="str">
        <f>IFERROR(IF($AQ30&gt;1,INDEX(Festivals!$S$2:$S$160,$AP30+1),""),"")</f>
        <v/>
      </c>
      <c r="O30" t="str">
        <f>IFERROR(IF($AQ30&gt;2,INDEX(Festivals!$S$2:$S$160,$AP30+2),""),"")</f>
        <v/>
      </c>
      <c r="P30" t="str">
        <f>IFERROR(IF($AQ30&gt;3,INDEX(Festivals!$S$2:$S$160,$AP30+3),""),"")</f>
        <v/>
      </c>
      <c r="Q30" t="str">
        <f>IFERROR(IF($AQ30&gt;4,INDEX(Festivals!$S$2:$S$160,$AP30+4),""),"")</f>
        <v/>
      </c>
      <c r="R30" t="str">
        <f>IFERROR(IF($AQ30&gt;5,INDEX(Festivals!$S$2:$S$160,$AP30+5),""),"")</f>
        <v/>
      </c>
      <c r="S30" t="str">
        <f>IFERROR(IF($AQ30&gt;6,INDEX(Festivals!$S$2:$S$160,$AP30+6),""),"")</f>
        <v/>
      </c>
      <c r="T30">
        <f>INDEX(GCalXMLT[dcaturmasya1],$D30)</f>
        <v>0</v>
      </c>
      <c r="U30">
        <f>INDEX(GCalXMLT[dcaturmasya2],$D30)</f>
        <v>0</v>
      </c>
      <c r="V30" t="str">
        <f>INDEX(GCalXMLT[sankrantirasi],$D30) &amp; " " &amp; INDEX(GCalXMLT[sankrantitime],$D30)</f>
        <v xml:space="preserve"> </v>
      </c>
      <c r="W30" t="str">
        <f ca="1">IFERROR(INDEX('Holidays Calc'!$K$2:$K$233,AR30),"")</f>
        <v/>
      </c>
      <c r="X30" t="str">
        <f ca="1">IF(AR30="","",IF(INDEX('Holidays Calc'!$I$2:$I$233,AR30+1)=A30,INDEX('Holidays Calc'!$K$2:$K$233,AR30+1),""))</f>
        <v/>
      </c>
      <c r="Y30" t="str">
        <f ca="1">IF(AR30="","",IF(INDEX('Holidays Calc'!$I$2:$I$233,AR30+2)=A30,INDEX('Holidays Calc'!$K$2:$K$233,AR30+2),""))</f>
        <v/>
      </c>
      <c r="Z30" t="str">
        <f ca="1">IF(AR30="","",IF(INDEX('Holidays Calc'!$I$2:$I$233,AR30+3)=A30,INDEX('Holidays Calc'!$K$2:$K$2333,AR30+3),""))</f>
        <v/>
      </c>
      <c r="AA30" t="str">
        <f>IF(I30="Last day of Bhisma Pancaka","",IF(G30="*",-0.7,IF(ISBLANK(INDEX(GCalXMLT[dclass1],$D30)),"",INDEX(GCalXMLT[dclass1],$D30))))</f>
        <v/>
      </c>
      <c r="AB30" t="str">
        <f>IF(J30="First day of Bhisma Pancaka","",IF(AND(G30="*",NOT(ISERROR(SEARCH("ekadasi",J30)))),-0.7,IF(ISBLANK(INDEX(GCalXMLT[dclass2],$D30)),"",INDEX(GCalXMLT[dclass2],$D30))))</f>
        <v/>
      </c>
      <c r="AC30" t="str">
        <f>IF(I30="Nandotsava",-1,IF(ISBLANK(INDEX(GCalXMLT[dclass3],$D30)),"",INDEX(GCalXMLT[dclass3],$D30)))</f>
        <v/>
      </c>
      <c r="AD30" t="str">
        <f>IF(I30="Nandotsava",IF(ISBLANK(INDEX(GCalXMLT[dclass3],$D30)),"",INDEX(GCalXMLT[dclass3],$D30)),IF(ISBLANK(INDEX(GCalXMLT[dclass4],$D30)),"",INDEX(GCalXMLT[dclass4],$D30)))</f>
        <v/>
      </c>
      <c r="AE30">
        <f>IFERROR(INDEX(Festivals!$V$2:$V$160,AP30),"")</f>
        <v>1</v>
      </c>
      <c r="AF30" t="str">
        <f>IFERROR(IF($AQ30&gt;1,INDEX(Festivals!$V$2:$V$160,$AP30+1),""),"")</f>
        <v/>
      </c>
      <c r="AG30" t="str">
        <f>IFERROR(IF($AQ30&gt;2,INDEX(Festivals!$V$2:$V$160,$AP30+2),""),"")</f>
        <v/>
      </c>
      <c r="AH30" t="str">
        <f>IFERROR(IF($AQ30&gt;3,INDEX(Festivals!$V$2:$V$160,$AP30+3),""),"")</f>
        <v/>
      </c>
      <c r="AI30" t="str">
        <f>IFERROR(IF($AQ30&gt;4,INDEX(Festivals!$V$2:$V$160,$AP30+4),""),"")</f>
        <v/>
      </c>
      <c r="AJ30" t="str">
        <f>IFERROR(IF($AQ30&gt;5,INDEX(Festivals!$V$2:$V$160,$AP30+5),""),"")</f>
        <v/>
      </c>
      <c r="AK30" t="str">
        <f>IFERROR(IF($AQ30&gt;6,INDEX(Festivals!$V$2:$V$160,$AP30+6),""),"")</f>
        <v/>
      </c>
      <c r="AL30" t="str">
        <f ca="1">IFERROR(INDEX('Holidays Calc'!$J$2:$J$233,MATCH(A30,'Holidays Calc'!$I$2:$I$233,0)),"")</f>
        <v/>
      </c>
      <c r="AM30" t="str">
        <f ca="1">IF(AR30="","",IF(INDEX('Holidays Calc'!$I$2:$I$233,AR30+1)=A30,INDEX('Holidays Calc'!$J$2:$J$233,AR30+1),""))</f>
        <v/>
      </c>
      <c r="AN30" t="str">
        <f ca="1">IF(AR30="","",IF(INDEX('Holidays Calc'!$I$2:$I$233,AR30+2)=A30,INDEX('Holidays Calc'!$J$2:$J$233,AR30+2),""))</f>
        <v/>
      </c>
      <c r="AO30" t="str">
        <f ca="1">IF(AR30="","",IF(INDEX('Holidays Calc'!$I$2:$I$233,AR30+3)=A30,INDEX('Holidays Calc'!$J$2:$J$233,AR30+3),""))</f>
        <v/>
      </c>
      <c r="AP30">
        <f>IFERROR(IF($E30=E29,"",MATCH($E30,Festivals!$H$2:$H$160,0)),"")</f>
        <v>114</v>
      </c>
      <c r="AQ30">
        <f>IF(AP30="","",COUNTIF(Festivals!$H$2:$H$160,$E30))</f>
        <v>1</v>
      </c>
      <c r="AR30" t="str">
        <f ca="1">IFERROR(MATCH(A30,'Holidays Calc'!$I$2:$I$233,0),"")</f>
        <v/>
      </c>
      <c r="AS30">
        <f t="shared" si="2"/>
        <v>1</v>
      </c>
      <c r="AT30">
        <f t="shared" si="1"/>
        <v>1</v>
      </c>
      <c r="AU30" t="str">
        <f t="shared" ca="1" si="3"/>
        <v/>
      </c>
      <c r="AV30">
        <f t="shared" ca="1" si="4"/>
        <v>1</v>
      </c>
    </row>
    <row r="31" spans="1:48" x14ac:dyDescent="0.25">
      <c r="A31" s="265">
        <f t="shared" si="7"/>
        <v>43457</v>
      </c>
      <c r="B31" s="265" t="str">
        <f t="shared" si="8"/>
        <v>23 Dec 2018</v>
      </c>
      <c r="C31" s="267">
        <f t="shared" si="9"/>
        <v>51</v>
      </c>
      <c r="D31">
        <f>MATCH(A31,GCalXMLT[daydate],0)</f>
        <v>30</v>
      </c>
      <c r="E31">
        <f>VALUE("1" &amp; Masacod(INDEX(GCalXMLT[gymasa],D31)) &amp; PaksaCod(INDEX(GCalXMLT[mpaksaid],D31)) &amp; TithiCod(INDEX(GCalXMLT[stithiname],D31)))</f>
        <v>110001</v>
      </c>
      <c r="F31" t="str">
        <f ca="1">INDEX(Parameters!$K$2:$K$16,MATCH(AV31,Parameters!$L$2:$L$16,0))</f>
        <v/>
      </c>
      <c r="G31">
        <f>INDEX(GCalXMLT[fastmark],$D31)</f>
        <v>0</v>
      </c>
      <c r="H31" t="str">
        <f ca="1">INDEX(Parameters!$J$2:$J$16,MATCH(AV31,Parameters!$L$2:$L$16,0))</f>
        <v/>
      </c>
      <c r="I31">
        <f>INDEX(GCalXMLT[dfestival1],$D31)</f>
        <v>0</v>
      </c>
      <c r="J31">
        <f>IF(INDEX(GCalXMLT[dfestival2],$D31)="(Fast today)",INDEX(Festivals!$R$2:$R$180,MATCH($I31,Festivals!$R$2:$R$180,0)+1),INDEX(GCalXMLT[dfestival2],$D31))</f>
        <v>0</v>
      </c>
      <c r="K31">
        <f>IF(I31="Nandotsava","(Fast till noon)",INDEX(GCalXMLT[dfestival3],$D31))</f>
        <v>0</v>
      </c>
      <c r="L31">
        <f>IF(I31="Nandotsava", INDEX(GCalXMLT[dfestival3],$D31),INDEX(GCalXMLT[dfestival4],$D31))</f>
        <v>0</v>
      </c>
      <c r="M31" t="str">
        <f>IFERROR(INDEX(Festivals!$S$2:$S$160,AP31),"")</f>
        <v/>
      </c>
      <c r="N31" t="str">
        <f>IFERROR(IF($AQ31&gt;1,INDEX(Festivals!$S$2:$S$160,$AP31+1),""),"")</f>
        <v/>
      </c>
      <c r="O31" t="str">
        <f>IFERROR(IF($AQ31&gt;2,INDEX(Festivals!$S$2:$S$160,$AP31+2),""),"")</f>
        <v/>
      </c>
      <c r="P31" t="str">
        <f>IFERROR(IF($AQ31&gt;3,INDEX(Festivals!$S$2:$S$160,$AP31+3),""),"")</f>
        <v/>
      </c>
      <c r="Q31" t="str">
        <f>IFERROR(IF($AQ31&gt;4,INDEX(Festivals!$S$2:$S$160,$AP31+4),""),"")</f>
        <v/>
      </c>
      <c r="R31" t="str">
        <f>IFERROR(IF($AQ31&gt;5,INDEX(Festivals!$S$2:$S$160,$AP31+5),""),"")</f>
        <v/>
      </c>
      <c r="S31" t="str">
        <f>IFERROR(IF($AQ31&gt;6,INDEX(Festivals!$S$2:$S$160,$AP31+6),""),"")</f>
        <v/>
      </c>
      <c r="T31">
        <f>INDEX(GCalXMLT[dcaturmasya1],$D31)</f>
        <v>0</v>
      </c>
      <c r="U31">
        <f>INDEX(GCalXMLT[dcaturmasya2],$D31)</f>
        <v>0</v>
      </c>
      <c r="V31" t="str">
        <f>INDEX(GCalXMLT[sankrantirasi],$D31) &amp; " " &amp; INDEX(GCalXMLT[sankrantitime],$D31)</f>
        <v xml:space="preserve"> </v>
      </c>
      <c r="W31" t="str">
        <f ca="1">IFERROR(INDEX('Holidays Calc'!$K$2:$K$233,AR31),"")</f>
        <v/>
      </c>
      <c r="X31" t="str">
        <f ca="1">IF(AR31="","",IF(INDEX('Holidays Calc'!$I$2:$I$233,AR31+1)=A31,INDEX('Holidays Calc'!$K$2:$K$233,AR31+1),""))</f>
        <v/>
      </c>
      <c r="Y31" t="str">
        <f ca="1">IF(AR31="","",IF(INDEX('Holidays Calc'!$I$2:$I$233,AR31+2)=A31,INDEX('Holidays Calc'!$K$2:$K$233,AR31+2),""))</f>
        <v/>
      </c>
      <c r="Z31" t="str">
        <f ca="1">IF(AR31="","",IF(INDEX('Holidays Calc'!$I$2:$I$233,AR31+3)=A31,INDEX('Holidays Calc'!$K$2:$K$2333,AR31+3),""))</f>
        <v/>
      </c>
      <c r="AA31" t="str">
        <f>IF(I31="Last day of Bhisma Pancaka","",IF(G31="*",-0.7,IF(ISBLANK(INDEX(GCalXMLT[dclass1],$D31)),"",INDEX(GCalXMLT[dclass1],$D31))))</f>
        <v/>
      </c>
      <c r="AB31" t="str">
        <f>IF(J31="First day of Bhisma Pancaka","",IF(AND(G31="*",NOT(ISERROR(SEARCH("ekadasi",J31)))),-0.7,IF(ISBLANK(INDEX(GCalXMLT[dclass2],$D31)),"",INDEX(GCalXMLT[dclass2],$D31))))</f>
        <v/>
      </c>
      <c r="AC31" t="str">
        <f>IF(I31="Nandotsava",-1,IF(ISBLANK(INDEX(GCalXMLT[dclass3],$D31)),"",INDEX(GCalXMLT[dclass3],$D31)))</f>
        <v/>
      </c>
      <c r="AD31" t="str">
        <f>IF(I31="Nandotsava",IF(ISBLANK(INDEX(GCalXMLT[dclass3],$D31)),"",INDEX(GCalXMLT[dclass3],$D31)),IF(ISBLANK(INDEX(GCalXMLT[dclass4],$D31)),"",INDEX(GCalXMLT[dclass4],$D31)))</f>
        <v/>
      </c>
      <c r="AE31" t="str">
        <f>IFERROR(INDEX(Festivals!$V$2:$V$160,AP31),"")</f>
        <v/>
      </c>
      <c r="AF31" t="str">
        <f>IFERROR(IF($AQ31&gt;1,INDEX(Festivals!$V$2:$V$160,$AP31+1),""),"")</f>
        <v/>
      </c>
      <c r="AG31" t="str">
        <f>IFERROR(IF($AQ31&gt;2,INDEX(Festivals!$V$2:$V$160,$AP31+2),""),"")</f>
        <v/>
      </c>
      <c r="AH31" t="str">
        <f>IFERROR(IF($AQ31&gt;3,INDEX(Festivals!$V$2:$V$160,$AP31+3),""),"")</f>
        <v/>
      </c>
      <c r="AI31" t="str">
        <f>IFERROR(IF($AQ31&gt;4,INDEX(Festivals!$V$2:$V$160,$AP31+4),""),"")</f>
        <v/>
      </c>
      <c r="AJ31" t="str">
        <f>IFERROR(IF($AQ31&gt;5,INDEX(Festivals!$V$2:$V$160,$AP31+5),""),"")</f>
        <v/>
      </c>
      <c r="AK31" t="str">
        <f>IFERROR(IF($AQ31&gt;6,INDEX(Festivals!$V$2:$V$160,$AP31+6),""),"")</f>
        <v/>
      </c>
      <c r="AL31" t="str">
        <f ca="1">IFERROR(INDEX('Holidays Calc'!$J$2:$J$233,MATCH(A31,'Holidays Calc'!$I$2:$I$233,0)),"")</f>
        <v/>
      </c>
      <c r="AM31" t="str">
        <f ca="1">IF(AR31="","",IF(INDEX('Holidays Calc'!$I$2:$I$233,AR31+1)=A31,INDEX('Holidays Calc'!$J$2:$J$233,AR31+1),""))</f>
        <v/>
      </c>
      <c r="AN31" t="str">
        <f ca="1">IF(AR31="","",IF(INDEX('Holidays Calc'!$I$2:$I$233,AR31+2)=A31,INDEX('Holidays Calc'!$J$2:$J$233,AR31+2),""))</f>
        <v/>
      </c>
      <c r="AO31" t="str">
        <f ca="1">IF(AR31="","",IF(INDEX('Holidays Calc'!$I$2:$I$233,AR31+3)=A31,INDEX('Holidays Calc'!$J$2:$J$233,AR31+3),""))</f>
        <v/>
      </c>
      <c r="AP31" t="str">
        <f>IFERROR(IF($E31=E30,"",MATCH($E31,Festivals!$H$2:$H$160,0)),"")</f>
        <v/>
      </c>
      <c r="AQ31" t="str">
        <f>IF(AP31="","",COUNTIF(Festivals!$H$2:$H$160,$E31))</f>
        <v/>
      </c>
      <c r="AR31" t="str">
        <f ca="1">IFERROR(MATCH(A31,'Holidays Calc'!$I$2:$I$233,0),"")</f>
        <v/>
      </c>
      <c r="AS31" t="str">
        <f t="shared" si="2"/>
        <v/>
      </c>
      <c r="AT31" t="str">
        <f t="shared" si="1"/>
        <v/>
      </c>
      <c r="AU31" t="str">
        <f t="shared" ca="1" si="3"/>
        <v/>
      </c>
      <c r="AV31" t="str">
        <f t="shared" ca="1" si="4"/>
        <v/>
      </c>
    </row>
    <row r="32" spans="1:48" x14ac:dyDescent="0.25">
      <c r="A32" s="265">
        <f t="shared" si="7"/>
        <v>43458</v>
      </c>
      <c r="B32" s="265" t="str">
        <f t="shared" si="8"/>
        <v>24 Dec 2018</v>
      </c>
      <c r="C32" s="267">
        <f t="shared" si="9"/>
        <v>52</v>
      </c>
      <c r="D32">
        <f>MATCH(A32,GCalXMLT[daydate],0)</f>
        <v>31</v>
      </c>
      <c r="E32">
        <f>VALUE("1" &amp; Masacod(INDEX(GCalXMLT[gymasa],D32)) &amp; PaksaCod(INDEX(GCalXMLT[mpaksaid],D32)) &amp; TithiCod(INDEX(GCalXMLT[stithiname],D32)))</f>
        <v>110002</v>
      </c>
      <c r="F32" t="str">
        <f ca="1">INDEX(Parameters!$K$2:$K$16,MATCH(AV32,Parameters!$L$2:$L$16,0))</f>
        <v/>
      </c>
      <c r="G32">
        <f>INDEX(GCalXMLT[fastmark],$D32)</f>
        <v>0</v>
      </c>
      <c r="H32" t="str">
        <f ca="1">INDEX(Parameters!$J$2:$J$16,MATCH(AV32,Parameters!$L$2:$L$16,0))</f>
        <v/>
      </c>
      <c r="I32">
        <f>INDEX(GCalXMLT[dfestival1],$D32)</f>
        <v>0</v>
      </c>
      <c r="J32">
        <f>IF(INDEX(GCalXMLT[dfestival2],$D32)="(Fast today)",INDEX(Festivals!$R$2:$R$180,MATCH($I32,Festivals!$R$2:$R$180,0)+1),INDEX(GCalXMLT[dfestival2],$D32))</f>
        <v>0</v>
      </c>
      <c r="K32">
        <f>IF(I32="Nandotsava","(Fast till noon)",INDEX(GCalXMLT[dfestival3],$D32))</f>
        <v>0</v>
      </c>
      <c r="L32">
        <f>IF(I32="Nandotsava", INDEX(GCalXMLT[dfestival3],$D32),INDEX(GCalXMLT[dfestival4],$D32))</f>
        <v>0</v>
      </c>
      <c r="M32" t="str">
        <f>IFERROR(INDEX(Festivals!$S$2:$S$160,AP32),"")</f>
        <v/>
      </c>
      <c r="N32" t="str">
        <f>IFERROR(IF($AQ32&gt;1,INDEX(Festivals!$S$2:$S$160,$AP32+1),""),"")</f>
        <v/>
      </c>
      <c r="O32" t="str">
        <f>IFERROR(IF($AQ32&gt;2,INDEX(Festivals!$S$2:$S$160,$AP32+2),""),"")</f>
        <v/>
      </c>
      <c r="P32" t="str">
        <f>IFERROR(IF($AQ32&gt;3,INDEX(Festivals!$S$2:$S$160,$AP32+3),""),"")</f>
        <v/>
      </c>
      <c r="Q32" t="str">
        <f>IFERROR(IF($AQ32&gt;4,INDEX(Festivals!$S$2:$S$160,$AP32+4),""),"")</f>
        <v/>
      </c>
      <c r="R32" t="str">
        <f>IFERROR(IF($AQ32&gt;5,INDEX(Festivals!$S$2:$S$160,$AP32+5),""),"")</f>
        <v/>
      </c>
      <c r="S32" t="str">
        <f>IFERROR(IF($AQ32&gt;6,INDEX(Festivals!$S$2:$S$160,$AP32+6),""),"")</f>
        <v/>
      </c>
      <c r="T32">
        <f>INDEX(GCalXMLT[dcaturmasya1],$D32)</f>
        <v>0</v>
      </c>
      <c r="U32">
        <f>INDEX(GCalXMLT[dcaturmasya2],$D32)</f>
        <v>0</v>
      </c>
      <c r="V32" t="str">
        <f>INDEX(GCalXMLT[sankrantirasi],$D32) &amp; " " &amp; INDEX(GCalXMLT[sankrantitime],$D32)</f>
        <v xml:space="preserve"> </v>
      </c>
      <c r="W32" t="str">
        <f ca="1">IFERROR(INDEX('Holidays Calc'!$K$2:$K$233,AR32),"")</f>
        <v/>
      </c>
      <c r="X32" t="str">
        <f ca="1">IF(AR32="","",IF(INDEX('Holidays Calc'!$I$2:$I$233,AR32+1)=A32,INDEX('Holidays Calc'!$K$2:$K$233,AR32+1),""))</f>
        <v/>
      </c>
      <c r="Y32" t="str">
        <f ca="1">IF(AR32="","",IF(INDEX('Holidays Calc'!$I$2:$I$233,AR32+2)=A32,INDEX('Holidays Calc'!$K$2:$K$233,AR32+2),""))</f>
        <v/>
      </c>
      <c r="Z32" t="str">
        <f ca="1">IF(AR32="","",IF(INDEX('Holidays Calc'!$I$2:$I$233,AR32+3)=A32,INDEX('Holidays Calc'!$K$2:$K$2333,AR32+3),""))</f>
        <v/>
      </c>
      <c r="AA32" t="str">
        <f>IF(I32="Last day of Bhisma Pancaka","",IF(G32="*",-0.7,IF(ISBLANK(INDEX(GCalXMLT[dclass1],$D32)),"",INDEX(GCalXMLT[dclass1],$D32))))</f>
        <v/>
      </c>
      <c r="AB32" t="str">
        <f>IF(J32="First day of Bhisma Pancaka","",IF(AND(G32="*",NOT(ISERROR(SEARCH("ekadasi",J32)))),-0.7,IF(ISBLANK(INDEX(GCalXMLT[dclass2],$D32)),"",INDEX(GCalXMLT[dclass2],$D32))))</f>
        <v/>
      </c>
      <c r="AC32" t="str">
        <f>IF(I32="Nandotsava",-1,IF(ISBLANK(INDEX(GCalXMLT[dclass3],$D32)),"",INDEX(GCalXMLT[dclass3],$D32)))</f>
        <v/>
      </c>
      <c r="AD32" t="str">
        <f>IF(I32="Nandotsava",IF(ISBLANK(INDEX(GCalXMLT[dclass3],$D32)),"",INDEX(GCalXMLT[dclass3],$D32)),IF(ISBLANK(INDEX(GCalXMLT[dclass4],$D32)),"",INDEX(GCalXMLT[dclass4],$D32)))</f>
        <v/>
      </c>
      <c r="AE32" t="str">
        <f>IFERROR(INDEX(Festivals!$V$2:$V$160,AP32),"")</f>
        <v/>
      </c>
      <c r="AF32" t="str">
        <f>IFERROR(IF($AQ32&gt;1,INDEX(Festivals!$V$2:$V$160,$AP32+1),""),"")</f>
        <v/>
      </c>
      <c r="AG32" t="str">
        <f>IFERROR(IF($AQ32&gt;2,INDEX(Festivals!$V$2:$V$160,$AP32+2),""),"")</f>
        <v/>
      </c>
      <c r="AH32" t="str">
        <f>IFERROR(IF($AQ32&gt;3,INDEX(Festivals!$V$2:$V$160,$AP32+3),""),"")</f>
        <v/>
      </c>
      <c r="AI32" t="str">
        <f>IFERROR(IF($AQ32&gt;4,INDEX(Festivals!$V$2:$V$160,$AP32+4),""),"")</f>
        <v/>
      </c>
      <c r="AJ32" t="str">
        <f>IFERROR(IF($AQ32&gt;5,INDEX(Festivals!$V$2:$V$160,$AP32+5),""),"")</f>
        <v/>
      </c>
      <c r="AK32" t="str">
        <f>IFERROR(IF($AQ32&gt;6,INDEX(Festivals!$V$2:$V$160,$AP32+6),""),"")</f>
        <v/>
      </c>
      <c r="AL32" t="str">
        <f ca="1">IFERROR(INDEX('Holidays Calc'!$J$2:$J$233,MATCH(A32,'Holidays Calc'!$I$2:$I$233,0)),"")</f>
        <v/>
      </c>
      <c r="AM32" t="str">
        <f ca="1">IF(AR32="","",IF(INDEX('Holidays Calc'!$I$2:$I$233,AR32+1)=A32,INDEX('Holidays Calc'!$J$2:$J$233,AR32+1),""))</f>
        <v/>
      </c>
      <c r="AN32" t="str">
        <f ca="1">IF(AR32="","",IF(INDEX('Holidays Calc'!$I$2:$I$233,AR32+2)=A32,INDEX('Holidays Calc'!$J$2:$J$233,AR32+2),""))</f>
        <v/>
      </c>
      <c r="AO32" t="str">
        <f ca="1">IF(AR32="","",IF(INDEX('Holidays Calc'!$I$2:$I$233,AR32+3)=A32,INDEX('Holidays Calc'!$J$2:$J$233,AR32+3),""))</f>
        <v/>
      </c>
      <c r="AP32" t="str">
        <f>IFERROR(IF($E32=E31,"",MATCH($E32,Festivals!$H$2:$H$160,0)),"")</f>
        <v/>
      </c>
      <c r="AQ32" t="str">
        <f>IF(AP32="","",COUNTIF(Festivals!$H$2:$H$160,$E32))</f>
        <v/>
      </c>
      <c r="AR32" t="str">
        <f ca="1">IFERROR(MATCH(A32,'Holidays Calc'!$I$2:$I$233,0),"")</f>
        <v/>
      </c>
      <c r="AS32" t="str">
        <f t="shared" si="2"/>
        <v/>
      </c>
      <c r="AT32" t="str">
        <f t="shared" si="1"/>
        <v/>
      </c>
      <c r="AU32" t="str">
        <f t="shared" ca="1" si="3"/>
        <v/>
      </c>
      <c r="AV32" t="str">
        <f t="shared" ca="1" si="4"/>
        <v/>
      </c>
    </row>
    <row r="33" spans="1:48" x14ac:dyDescent="0.25">
      <c r="A33" s="265">
        <f t="shared" si="7"/>
        <v>43459</v>
      </c>
      <c r="B33" s="265" t="str">
        <f t="shared" si="8"/>
        <v>25 Dec 2018</v>
      </c>
      <c r="C33" s="267">
        <f t="shared" si="9"/>
        <v>52</v>
      </c>
      <c r="D33">
        <f>MATCH(A33,GCalXMLT[daydate],0)</f>
        <v>32</v>
      </c>
      <c r="E33">
        <f>VALUE("1" &amp; Masacod(INDEX(GCalXMLT[gymasa],D33)) &amp; PaksaCod(INDEX(GCalXMLT[mpaksaid],D33)) &amp; TithiCod(INDEX(GCalXMLT[stithiname],D33)))</f>
        <v>110003</v>
      </c>
      <c r="F33" t="str">
        <f ca="1">INDEX(Parameters!$K$2:$K$16,MATCH(AV33,Parameters!$L$2:$L$16,0))</f>
        <v>H</v>
      </c>
      <c r="G33">
        <f>INDEX(GCalXMLT[fastmark],$D33)</f>
        <v>0</v>
      </c>
      <c r="H33" t="str">
        <f ca="1">INDEX(Parameters!$J$2:$J$16,MATCH(AV33,Parameters!$L$2:$L$16,0))</f>
        <v/>
      </c>
      <c r="I33">
        <f>INDEX(GCalXMLT[dfestival1],$D33)</f>
        <v>0</v>
      </c>
      <c r="J33">
        <f>IF(INDEX(GCalXMLT[dfestival2],$D33)="(Fast today)",INDEX(Festivals!$R$2:$R$180,MATCH($I33,Festivals!$R$2:$R$180,0)+1),INDEX(GCalXMLT[dfestival2],$D33))</f>
        <v>0</v>
      </c>
      <c r="K33">
        <f>IF(I33="Nandotsava","(Fast till noon)",INDEX(GCalXMLT[dfestival3],$D33))</f>
        <v>0</v>
      </c>
      <c r="L33">
        <f>IF(I33="Nandotsava", INDEX(GCalXMLT[dfestival3],$D33),INDEX(GCalXMLT[dfestival4],$D33))</f>
        <v>0</v>
      </c>
      <c r="M33" t="str">
        <f>IFERROR(INDEX(Festivals!$S$2:$S$160,AP33),"")</f>
        <v/>
      </c>
      <c r="N33" t="str">
        <f>IFERROR(IF($AQ33&gt;1,INDEX(Festivals!$S$2:$S$160,$AP33+1),""),"")</f>
        <v/>
      </c>
      <c r="O33" t="str">
        <f>IFERROR(IF($AQ33&gt;2,INDEX(Festivals!$S$2:$S$160,$AP33+2),""),"")</f>
        <v/>
      </c>
      <c r="P33" t="str">
        <f>IFERROR(IF($AQ33&gt;3,INDEX(Festivals!$S$2:$S$160,$AP33+3),""),"")</f>
        <v/>
      </c>
      <c r="Q33" t="str">
        <f>IFERROR(IF($AQ33&gt;4,INDEX(Festivals!$S$2:$S$160,$AP33+4),""),"")</f>
        <v/>
      </c>
      <c r="R33" t="str">
        <f>IFERROR(IF($AQ33&gt;5,INDEX(Festivals!$S$2:$S$160,$AP33+5),""),"")</f>
        <v/>
      </c>
      <c r="S33" t="str">
        <f>IFERROR(IF($AQ33&gt;6,INDEX(Festivals!$S$2:$S$160,$AP33+6),""),"")</f>
        <v/>
      </c>
      <c r="T33">
        <f>INDEX(GCalXMLT[dcaturmasya1],$D33)</f>
        <v>0</v>
      </c>
      <c r="U33">
        <f>INDEX(GCalXMLT[dcaturmasya2],$D33)</f>
        <v>0</v>
      </c>
      <c r="V33" t="str">
        <f>INDEX(GCalXMLT[sankrantirasi],$D33) &amp; " " &amp; INDEX(GCalXMLT[sankrantitime],$D33)</f>
        <v xml:space="preserve"> </v>
      </c>
      <c r="W33" t="str">
        <f ca="1">IFERROR(INDEX('Holidays Calc'!$K$2:$K$233,AR33),"")</f>
        <v>Natal</v>
      </c>
      <c r="X33" t="str">
        <f ca="1">IF(AR33="","",IF(INDEX('Holidays Calc'!$I$2:$I$233,AR33+1)=A33,INDEX('Holidays Calc'!$K$2:$K$233,AR33+1),""))</f>
        <v/>
      </c>
      <c r="Y33" t="str">
        <f ca="1">IF(AR33="","",IF(INDEX('Holidays Calc'!$I$2:$I$233,AR33+2)=A33,INDEX('Holidays Calc'!$K$2:$K$233,AR33+2),""))</f>
        <v/>
      </c>
      <c r="Z33" t="str">
        <f ca="1">IF(AR33="","",IF(INDEX('Holidays Calc'!$I$2:$I$233,AR33+3)=A33,INDEX('Holidays Calc'!$K$2:$K$2333,AR33+3),""))</f>
        <v/>
      </c>
      <c r="AA33" t="str">
        <f>IF(I33="Last day of Bhisma Pancaka","",IF(G33="*",-0.7,IF(ISBLANK(INDEX(GCalXMLT[dclass1],$D33)),"",INDEX(GCalXMLT[dclass1],$D33))))</f>
        <v/>
      </c>
      <c r="AB33" t="str">
        <f>IF(J33="First day of Bhisma Pancaka","",IF(AND(G33="*",NOT(ISERROR(SEARCH("ekadasi",J33)))),-0.7,IF(ISBLANK(INDEX(GCalXMLT[dclass2],$D33)),"",INDEX(GCalXMLT[dclass2],$D33))))</f>
        <v/>
      </c>
      <c r="AC33" t="str">
        <f>IF(I33="Nandotsava",-1,IF(ISBLANK(INDEX(GCalXMLT[dclass3],$D33)),"",INDEX(GCalXMLT[dclass3],$D33)))</f>
        <v/>
      </c>
      <c r="AD33" t="str">
        <f>IF(I33="Nandotsava",IF(ISBLANK(INDEX(GCalXMLT[dclass3],$D33)),"",INDEX(GCalXMLT[dclass3],$D33)),IF(ISBLANK(INDEX(GCalXMLT[dclass4],$D33)),"",INDEX(GCalXMLT[dclass4],$D33)))</f>
        <v/>
      </c>
      <c r="AE33" t="str">
        <f>IFERROR(INDEX(Festivals!$V$2:$V$160,AP33),"")</f>
        <v/>
      </c>
      <c r="AF33" t="str">
        <f>IFERROR(IF($AQ33&gt;1,INDEX(Festivals!$V$2:$V$160,$AP33+1),""),"")</f>
        <v/>
      </c>
      <c r="AG33" t="str">
        <f>IFERROR(IF($AQ33&gt;2,INDEX(Festivals!$V$2:$V$160,$AP33+2),""),"")</f>
        <v/>
      </c>
      <c r="AH33" t="str">
        <f>IFERROR(IF($AQ33&gt;3,INDEX(Festivals!$V$2:$V$160,$AP33+3),""),"")</f>
        <v/>
      </c>
      <c r="AI33" t="str">
        <f>IFERROR(IF($AQ33&gt;4,INDEX(Festivals!$V$2:$V$160,$AP33+4),""),"")</f>
        <v/>
      </c>
      <c r="AJ33" t="str">
        <f>IFERROR(IF($AQ33&gt;5,INDEX(Festivals!$V$2:$V$160,$AP33+5),""),"")</f>
        <v/>
      </c>
      <c r="AK33" t="str">
        <f>IFERROR(IF($AQ33&gt;6,INDEX(Festivals!$V$2:$V$160,$AP33+6),""),"")</f>
        <v/>
      </c>
      <c r="AL33">
        <f ca="1">IFERROR(INDEX('Holidays Calc'!$J$2:$J$233,MATCH(A33,'Holidays Calc'!$I$2:$I$233,0)),"")</f>
        <v>-11</v>
      </c>
      <c r="AM33" t="str">
        <f ca="1">IF(AR33="","",IF(INDEX('Holidays Calc'!$I$2:$I$233,AR33+1)=A33,INDEX('Holidays Calc'!$J$2:$J$233,AR33+1),""))</f>
        <v/>
      </c>
      <c r="AN33" t="str">
        <f ca="1">IF(AR33="","",IF(INDEX('Holidays Calc'!$I$2:$I$233,AR33+2)=A33,INDEX('Holidays Calc'!$J$2:$J$233,AR33+2),""))</f>
        <v/>
      </c>
      <c r="AO33" t="str">
        <f ca="1">IF(AR33="","",IF(INDEX('Holidays Calc'!$I$2:$I$233,AR33+3)=A33,INDEX('Holidays Calc'!$J$2:$J$233,AR33+3),""))</f>
        <v/>
      </c>
      <c r="AP33" t="str">
        <f>IFERROR(IF($E33=E32,"",MATCH($E33,Festivals!$H$2:$H$160,0)),"")</f>
        <v/>
      </c>
      <c r="AQ33" t="str">
        <f>IF(AP33="","",COUNTIF(Festivals!$H$2:$H$160,$E33))</f>
        <v/>
      </c>
      <c r="AR33">
        <f ca="1">IFERROR(MATCH(A33,'Holidays Calc'!$I$2:$I$233,0),"")</f>
        <v>36</v>
      </c>
      <c r="AS33" t="str">
        <f t="shared" si="2"/>
        <v/>
      </c>
      <c r="AT33" t="str">
        <f t="shared" si="1"/>
        <v/>
      </c>
      <c r="AU33">
        <f t="shared" ca="1" si="3"/>
        <v>-11</v>
      </c>
      <c r="AV33">
        <f t="shared" ca="1" si="4"/>
        <v>-11</v>
      </c>
    </row>
    <row r="34" spans="1:48" x14ac:dyDescent="0.25">
      <c r="A34" s="265">
        <f t="shared" si="7"/>
        <v>43460</v>
      </c>
      <c r="B34" s="265" t="str">
        <f t="shared" si="8"/>
        <v>26 Dec 2018</v>
      </c>
      <c r="C34" s="267">
        <f t="shared" si="9"/>
        <v>52</v>
      </c>
      <c r="D34">
        <f>MATCH(A34,GCalXMLT[daydate],0)</f>
        <v>33</v>
      </c>
      <c r="E34">
        <f>VALUE("1" &amp; Masacod(INDEX(GCalXMLT[gymasa],D34)) &amp; PaksaCod(INDEX(GCalXMLT[mpaksaid],D34)) &amp; TithiCod(INDEX(GCalXMLT[stithiname],D34)))</f>
        <v>110005</v>
      </c>
      <c r="F34" t="str">
        <f ca="1">INDEX(Parameters!$K$2:$K$16,MATCH(AV34,Parameters!$L$2:$L$16,0))</f>
        <v/>
      </c>
      <c r="G34">
        <f>INDEX(GCalXMLT[fastmark],$D34)</f>
        <v>0</v>
      </c>
      <c r="H34" t="str">
        <f ca="1">INDEX(Parameters!$J$2:$J$16,MATCH(AV34,Parameters!$L$2:$L$16,0))</f>
        <v/>
      </c>
      <c r="I34">
        <f>INDEX(GCalXMLT[dfestival1],$D34)</f>
        <v>0</v>
      </c>
      <c r="J34">
        <f>IF(INDEX(GCalXMLT[dfestival2],$D34)="(Fast today)",INDEX(Festivals!$R$2:$R$180,MATCH($I34,Festivals!$R$2:$R$180,0)+1),INDEX(GCalXMLT[dfestival2],$D34))</f>
        <v>0</v>
      </c>
      <c r="K34">
        <f>IF(I34="Nandotsava","(Fast till noon)",INDEX(GCalXMLT[dfestival3],$D34))</f>
        <v>0</v>
      </c>
      <c r="L34">
        <f>IF(I34="Nandotsava", INDEX(GCalXMLT[dfestival3],$D34),INDEX(GCalXMLT[dfestival4],$D34))</f>
        <v>0</v>
      </c>
      <c r="M34" t="str">
        <f>IFERROR(INDEX(Festivals!$S$2:$S$160,AP34),"")</f>
        <v/>
      </c>
      <c r="N34" t="str">
        <f>IFERROR(IF($AQ34&gt;1,INDEX(Festivals!$S$2:$S$160,$AP34+1),""),"")</f>
        <v/>
      </c>
      <c r="O34" t="str">
        <f>IFERROR(IF($AQ34&gt;2,INDEX(Festivals!$S$2:$S$160,$AP34+2),""),"")</f>
        <v/>
      </c>
      <c r="P34" t="str">
        <f>IFERROR(IF($AQ34&gt;3,INDEX(Festivals!$S$2:$S$160,$AP34+3),""),"")</f>
        <v/>
      </c>
      <c r="Q34" t="str">
        <f>IFERROR(IF($AQ34&gt;4,INDEX(Festivals!$S$2:$S$160,$AP34+4),""),"")</f>
        <v/>
      </c>
      <c r="R34" t="str">
        <f>IFERROR(IF($AQ34&gt;5,INDEX(Festivals!$S$2:$S$160,$AP34+5),""),"")</f>
        <v/>
      </c>
      <c r="S34" t="str">
        <f>IFERROR(IF($AQ34&gt;6,INDEX(Festivals!$S$2:$S$160,$AP34+6),""),"")</f>
        <v/>
      </c>
      <c r="T34">
        <f>INDEX(GCalXMLT[dcaturmasya1],$D34)</f>
        <v>0</v>
      </c>
      <c r="U34">
        <f>INDEX(GCalXMLT[dcaturmasya2],$D34)</f>
        <v>0</v>
      </c>
      <c r="V34" t="str">
        <f>INDEX(GCalXMLT[sankrantirasi],$D34) &amp; " " &amp; INDEX(GCalXMLT[sankrantitime],$D34)</f>
        <v xml:space="preserve"> </v>
      </c>
      <c r="W34" t="str">
        <f ca="1">IFERROR(INDEX('Holidays Calc'!$K$2:$K$233,AR34),"")</f>
        <v/>
      </c>
      <c r="X34" t="str">
        <f ca="1">IF(AR34="","",IF(INDEX('Holidays Calc'!$I$2:$I$233,AR34+1)=A34,INDEX('Holidays Calc'!$K$2:$K$233,AR34+1),""))</f>
        <v/>
      </c>
      <c r="Y34" t="str">
        <f ca="1">IF(AR34="","",IF(INDEX('Holidays Calc'!$I$2:$I$233,AR34+2)=A34,INDEX('Holidays Calc'!$K$2:$K$233,AR34+2),""))</f>
        <v/>
      </c>
      <c r="Z34" t="str">
        <f ca="1">IF(AR34="","",IF(INDEX('Holidays Calc'!$I$2:$I$233,AR34+3)=A34,INDEX('Holidays Calc'!$K$2:$K$2333,AR34+3),""))</f>
        <v/>
      </c>
      <c r="AA34" t="str">
        <f>IF(I34="Last day of Bhisma Pancaka","",IF(G34="*",-0.7,IF(ISBLANK(INDEX(GCalXMLT[dclass1],$D34)),"",INDEX(GCalXMLT[dclass1],$D34))))</f>
        <v/>
      </c>
      <c r="AB34" t="str">
        <f>IF(J34="First day of Bhisma Pancaka","",IF(AND(G34="*",NOT(ISERROR(SEARCH("ekadasi",J34)))),-0.7,IF(ISBLANK(INDEX(GCalXMLT[dclass2],$D34)),"",INDEX(GCalXMLT[dclass2],$D34))))</f>
        <v/>
      </c>
      <c r="AC34" t="str">
        <f>IF(I34="Nandotsava",-1,IF(ISBLANK(INDEX(GCalXMLT[dclass3],$D34)),"",INDEX(GCalXMLT[dclass3],$D34)))</f>
        <v/>
      </c>
      <c r="AD34" t="str">
        <f>IF(I34="Nandotsava",IF(ISBLANK(INDEX(GCalXMLT[dclass3],$D34)),"",INDEX(GCalXMLT[dclass3],$D34)),IF(ISBLANK(INDEX(GCalXMLT[dclass4],$D34)),"",INDEX(GCalXMLT[dclass4],$D34)))</f>
        <v/>
      </c>
      <c r="AE34" t="str">
        <f>IFERROR(INDEX(Festivals!$V$2:$V$160,AP34),"")</f>
        <v/>
      </c>
      <c r="AF34" t="str">
        <f>IFERROR(IF($AQ34&gt;1,INDEX(Festivals!$V$2:$V$160,$AP34+1),""),"")</f>
        <v/>
      </c>
      <c r="AG34" t="str">
        <f>IFERROR(IF($AQ34&gt;2,INDEX(Festivals!$V$2:$V$160,$AP34+2),""),"")</f>
        <v/>
      </c>
      <c r="AH34" t="str">
        <f>IFERROR(IF($AQ34&gt;3,INDEX(Festivals!$V$2:$V$160,$AP34+3),""),"")</f>
        <v/>
      </c>
      <c r="AI34" t="str">
        <f>IFERROR(IF($AQ34&gt;4,INDEX(Festivals!$V$2:$V$160,$AP34+4),""),"")</f>
        <v/>
      </c>
      <c r="AJ34" t="str">
        <f>IFERROR(IF($AQ34&gt;5,INDEX(Festivals!$V$2:$V$160,$AP34+5),""),"")</f>
        <v/>
      </c>
      <c r="AK34" t="str">
        <f>IFERROR(IF($AQ34&gt;6,INDEX(Festivals!$V$2:$V$160,$AP34+6),""),"")</f>
        <v/>
      </c>
      <c r="AL34" t="str">
        <f ca="1">IFERROR(INDEX('Holidays Calc'!$J$2:$J$233,MATCH(A34,'Holidays Calc'!$I$2:$I$233,0)),"")</f>
        <v/>
      </c>
      <c r="AM34" t="str">
        <f ca="1">IF(AR34="","",IF(INDEX('Holidays Calc'!$I$2:$I$233,AR34+1)=A34,INDEX('Holidays Calc'!$J$2:$J$233,AR34+1),""))</f>
        <v/>
      </c>
      <c r="AN34" t="str">
        <f ca="1">IF(AR34="","",IF(INDEX('Holidays Calc'!$I$2:$I$233,AR34+2)=A34,INDEX('Holidays Calc'!$J$2:$J$233,AR34+2),""))</f>
        <v/>
      </c>
      <c r="AO34" t="str">
        <f ca="1">IF(AR34="","",IF(INDEX('Holidays Calc'!$I$2:$I$233,AR34+3)=A34,INDEX('Holidays Calc'!$J$2:$J$233,AR34+3),""))</f>
        <v/>
      </c>
      <c r="AP34" t="str">
        <f>IFERROR(IF($E34=E33,"",MATCH($E34,Festivals!$H$2:$H$160,0)),"")</f>
        <v/>
      </c>
      <c r="AQ34" t="str">
        <f>IF(AP34="","",COUNTIF(Festivals!$H$2:$H$160,$E34))</f>
        <v/>
      </c>
      <c r="AR34" t="str">
        <f ca="1">IFERROR(MATCH(A34,'Holidays Calc'!$I$2:$I$233,0),"")</f>
        <v/>
      </c>
      <c r="AS34" t="str">
        <f t="shared" si="2"/>
        <v/>
      </c>
      <c r="AT34" t="str">
        <f t="shared" si="1"/>
        <v/>
      </c>
      <c r="AU34" t="str">
        <f t="shared" ca="1" si="3"/>
        <v/>
      </c>
      <c r="AV34" t="str">
        <f t="shared" ca="1" si="4"/>
        <v/>
      </c>
    </row>
    <row r="35" spans="1:48" x14ac:dyDescent="0.25">
      <c r="A35" s="265">
        <f t="shared" si="7"/>
        <v>43461</v>
      </c>
      <c r="B35" s="265" t="str">
        <f t="shared" si="8"/>
        <v>27 Dec 2018</v>
      </c>
      <c r="C35" s="267">
        <f t="shared" si="9"/>
        <v>52</v>
      </c>
      <c r="D35">
        <f>MATCH(A35,GCalXMLT[daydate],0)</f>
        <v>34</v>
      </c>
      <c r="E35">
        <f>VALUE("1" &amp; Masacod(INDEX(GCalXMLT[gymasa],D35)) &amp; PaksaCod(INDEX(GCalXMLT[mpaksaid],D35)) &amp; TithiCod(INDEX(GCalXMLT[stithiname],D35)))</f>
        <v>110006</v>
      </c>
      <c r="F35" t="str">
        <f ca="1">INDEX(Parameters!$K$2:$K$16,MATCH(AV35,Parameters!$L$2:$L$16,0))</f>
        <v/>
      </c>
      <c r="G35">
        <f>INDEX(GCalXMLT[fastmark],$D35)</f>
        <v>0</v>
      </c>
      <c r="H35" t="str">
        <f ca="1">INDEX(Parameters!$J$2:$J$16,MATCH(AV35,Parameters!$L$2:$L$16,0))</f>
        <v/>
      </c>
      <c r="I35">
        <f>INDEX(GCalXMLT[dfestival1],$D35)</f>
        <v>0</v>
      </c>
      <c r="J35">
        <f>IF(INDEX(GCalXMLT[dfestival2],$D35)="(Fast today)",INDEX(Festivals!$R$2:$R$180,MATCH($I35,Festivals!$R$2:$R$180,0)+1),INDEX(GCalXMLT[dfestival2],$D35))</f>
        <v>0</v>
      </c>
      <c r="K35">
        <f>IF(I35="Nandotsava","(Fast till noon)",INDEX(GCalXMLT[dfestival3],$D35))</f>
        <v>0</v>
      </c>
      <c r="L35">
        <f>IF(I35="Nandotsava", INDEX(GCalXMLT[dfestival3],$D35),INDEX(GCalXMLT[dfestival4],$D35))</f>
        <v>0</v>
      </c>
      <c r="M35" t="str">
        <f>IFERROR(INDEX(Festivals!$S$2:$S$160,AP35),"")</f>
        <v/>
      </c>
      <c r="N35" t="str">
        <f>IFERROR(IF($AQ35&gt;1,INDEX(Festivals!$S$2:$S$160,$AP35+1),""),"")</f>
        <v/>
      </c>
      <c r="O35" t="str">
        <f>IFERROR(IF($AQ35&gt;2,INDEX(Festivals!$S$2:$S$160,$AP35+2),""),"")</f>
        <v/>
      </c>
      <c r="P35" t="str">
        <f>IFERROR(IF($AQ35&gt;3,INDEX(Festivals!$S$2:$S$160,$AP35+3),""),"")</f>
        <v/>
      </c>
      <c r="Q35" t="str">
        <f>IFERROR(IF($AQ35&gt;4,INDEX(Festivals!$S$2:$S$160,$AP35+4),""),"")</f>
        <v/>
      </c>
      <c r="R35" t="str">
        <f>IFERROR(IF($AQ35&gt;5,INDEX(Festivals!$S$2:$S$160,$AP35+5),""),"")</f>
        <v/>
      </c>
      <c r="S35" t="str">
        <f>IFERROR(IF($AQ35&gt;6,INDEX(Festivals!$S$2:$S$160,$AP35+6),""),"")</f>
        <v/>
      </c>
      <c r="T35">
        <f>INDEX(GCalXMLT[dcaturmasya1],$D35)</f>
        <v>0</v>
      </c>
      <c r="U35">
        <f>INDEX(GCalXMLT[dcaturmasya2],$D35)</f>
        <v>0</v>
      </c>
      <c r="V35" t="str">
        <f>INDEX(GCalXMLT[sankrantirasi],$D35) &amp; " " &amp; INDEX(GCalXMLT[sankrantitime],$D35)</f>
        <v xml:space="preserve"> </v>
      </c>
      <c r="W35" t="str">
        <f ca="1">IFERROR(INDEX('Holidays Calc'!$K$2:$K$233,AR35),"")</f>
        <v/>
      </c>
      <c r="X35" t="str">
        <f ca="1">IF(AR35="","",IF(INDEX('Holidays Calc'!$I$2:$I$233,AR35+1)=A35,INDEX('Holidays Calc'!$K$2:$K$233,AR35+1),""))</f>
        <v/>
      </c>
      <c r="Y35" t="str">
        <f ca="1">IF(AR35="","",IF(INDEX('Holidays Calc'!$I$2:$I$233,AR35+2)=A35,INDEX('Holidays Calc'!$K$2:$K$233,AR35+2),""))</f>
        <v/>
      </c>
      <c r="Z35" t="str">
        <f ca="1">IF(AR35="","",IF(INDEX('Holidays Calc'!$I$2:$I$233,AR35+3)=A35,INDEX('Holidays Calc'!$K$2:$K$2333,AR35+3),""))</f>
        <v/>
      </c>
      <c r="AA35" t="str">
        <f>IF(I35="Last day of Bhisma Pancaka","",IF(G35="*",-0.7,IF(ISBLANK(INDEX(GCalXMLT[dclass1],$D35)),"",INDEX(GCalXMLT[dclass1],$D35))))</f>
        <v/>
      </c>
      <c r="AB35" t="str">
        <f>IF(J35="First day of Bhisma Pancaka","",IF(AND(G35="*",NOT(ISERROR(SEARCH("ekadasi",J35)))),-0.7,IF(ISBLANK(INDEX(GCalXMLT[dclass2],$D35)),"",INDEX(GCalXMLT[dclass2],$D35))))</f>
        <v/>
      </c>
      <c r="AC35" t="str">
        <f>IF(I35="Nandotsava",-1,IF(ISBLANK(INDEX(GCalXMLT[dclass3],$D35)),"",INDEX(GCalXMLT[dclass3],$D35)))</f>
        <v/>
      </c>
      <c r="AD35" t="str">
        <f>IF(I35="Nandotsava",IF(ISBLANK(INDEX(GCalXMLT[dclass3],$D35)),"",INDEX(GCalXMLT[dclass3],$D35)),IF(ISBLANK(INDEX(GCalXMLT[dclass4],$D35)),"",INDEX(GCalXMLT[dclass4],$D35)))</f>
        <v/>
      </c>
      <c r="AE35" t="str">
        <f>IFERROR(INDEX(Festivals!$V$2:$V$160,AP35),"")</f>
        <v/>
      </c>
      <c r="AF35" t="str">
        <f>IFERROR(IF($AQ35&gt;1,INDEX(Festivals!$V$2:$V$160,$AP35+1),""),"")</f>
        <v/>
      </c>
      <c r="AG35" t="str">
        <f>IFERROR(IF($AQ35&gt;2,INDEX(Festivals!$V$2:$V$160,$AP35+2),""),"")</f>
        <v/>
      </c>
      <c r="AH35" t="str">
        <f>IFERROR(IF($AQ35&gt;3,INDEX(Festivals!$V$2:$V$160,$AP35+3),""),"")</f>
        <v/>
      </c>
      <c r="AI35" t="str">
        <f>IFERROR(IF($AQ35&gt;4,INDEX(Festivals!$V$2:$V$160,$AP35+4),""),"")</f>
        <v/>
      </c>
      <c r="AJ35" t="str">
        <f>IFERROR(IF($AQ35&gt;5,INDEX(Festivals!$V$2:$V$160,$AP35+5),""),"")</f>
        <v/>
      </c>
      <c r="AK35" t="str">
        <f>IFERROR(IF($AQ35&gt;6,INDEX(Festivals!$V$2:$V$160,$AP35+6),""),"")</f>
        <v/>
      </c>
      <c r="AL35" t="str">
        <f ca="1">IFERROR(INDEX('Holidays Calc'!$J$2:$J$233,MATCH(A35,'Holidays Calc'!$I$2:$I$233,0)),"")</f>
        <v/>
      </c>
      <c r="AM35" t="str">
        <f ca="1">IF(AR35="","",IF(INDEX('Holidays Calc'!$I$2:$I$233,AR35+1)=A35,INDEX('Holidays Calc'!$J$2:$J$233,AR35+1),""))</f>
        <v/>
      </c>
      <c r="AN35" t="str">
        <f ca="1">IF(AR35="","",IF(INDEX('Holidays Calc'!$I$2:$I$233,AR35+2)=A35,INDEX('Holidays Calc'!$J$2:$J$233,AR35+2),""))</f>
        <v/>
      </c>
      <c r="AO35" t="str">
        <f ca="1">IF(AR35="","",IF(INDEX('Holidays Calc'!$I$2:$I$233,AR35+3)=A35,INDEX('Holidays Calc'!$J$2:$J$233,AR35+3),""))</f>
        <v/>
      </c>
      <c r="AP35" t="str">
        <f>IFERROR(IF($E35=E34,"",MATCH($E35,Festivals!$H$2:$H$160,0)),"")</f>
        <v/>
      </c>
      <c r="AQ35" t="str">
        <f>IF(AP35="","",COUNTIF(Festivals!$H$2:$H$160,$E35))</f>
        <v/>
      </c>
      <c r="AR35" t="str">
        <f ca="1">IFERROR(MATCH(A35,'Holidays Calc'!$I$2:$I$233,0),"")</f>
        <v/>
      </c>
      <c r="AS35" t="str">
        <f t="shared" si="2"/>
        <v/>
      </c>
      <c r="AT35" t="str">
        <f t="shared" si="1"/>
        <v/>
      </c>
      <c r="AU35" t="str">
        <f t="shared" ca="1" si="3"/>
        <v/>
      </c>
      <c r="AV35" t="str">
        <f t="shared" ca="1" si="4"/>
        <v/>
      </c>
    </row>
    <row r="36" spans="1:48" x14ac:dyDescent="0.25">
      <c r="A36" s="265">
        <f t="shared" si="7"/>
        <v>43462</v>
      </c>
      <c r="B36" s="265" t="str">
        <f t="shared" si="8"/>
        <v>28 Dec 2018</v>
      </c>
      <c r="C36" s="267">
        <f t="shared" si="9"/>
        <v>52</v>
      </c>
      <c r="D36">
        <f>MATCH(A36,GCalXMLT[daydate],0)</f>
        <v>35</v>
      </c>
      <c r="E36">
        <f>VALUE("1" &amp; Masacod(INDEX(GCalXMLT[gymasa],D36)) &amp; PaksaCod(INDEX(GCalXMLT[mpaksaid],D36)) &amp; TithiCod(INDEX(GCalXMLT[stithiname],D36)))</f>
        <v>110007</v>
      </c>
      <c r="F36" t="str">
        <f ca="1">INDEX(Parameters!$K$2:$K$16,MATCH(AV36,Parameters!$L$2:$L$16,0))</f>
        <v/>
      </c>
      <c r="G36">
        <f>INDEX(GCalXMLT[fastmark],$D36)</f>
        <v>0</v>
      </c>
      <c r="H36" t="str">
        <f ca="1">INDEX(Parameters!$J$2:$J$16,MATCH(AV36,Parameters!$L$2:$L$16,0))</f>
        <v/>
      </c>
      <c r="I36">
        <f>INDEX(GCalXMLT[dfestival1],$D36)</f>
        <v>0</v>
      </c>
      <c r="J36">
        <f>IF(INDEX(GCalXMLT[dfestival2],$D36)="(Fast today)",INDEX(Festivals!$R$2:$R$180,MATCH($I36,Festivals!$R$2:$R$180,0)+1),INDEX(GCalXMLT[dfestival2],$D36))</f>
        <v>0</v>
      </c>
      <c r="K36">
        <f>IF(I36="Nandotsava","(Fast till noon)",INDEX(GCalXMLT[dfestival3],$D36))</f>
        <v>0</v>
      </c>
      <c r="L36">
        <f>IF(I36="Nandotsava", INDEX(GCalXMLT[dfestival3],$D36),INDEX(GCalXMLT[dfestival4],$D36))</f>
        <v>0</v>
      </c>
      <c r="M36" t="str">
        <f>IFERROR(INDEX(Festivals!$S$2:$S$160,AP36),"")</f>
        <v/>
      </c>
      <c r="N36" t="str">
        <f>IFERROR(IF($AQ36&gt;1,INDEX(Festivals!$S$2:$S$160,$AP36+1),""),"")</f>
        <v/>
      </c>
      <c r="O36" t="str">
        <f>IFERROR(IF($AQ36&gt;2,INDEX(Festivals!$S$2:$S$160,$AP36+2),""),"")</f>
        <v/>
      </c>
      <c r="P36" t="str">
        <f>IFERROR(IF($AQ36&gt;3,INDEX(Festivals!$S$2:$S$160,$AP36+3),""),"")</f>
        <v/>
      </c>
      <c r="Q36" t="str">
        <f>IFERROR(IF($AQ36&gt;4,INDEX(Festivals!$S$2:$S$160,$AP36+4),""),"")</f>
        <v/>
      </c>
      <c r="R36" t="str">
        <f>IFERROR(IF($AQ36&gt;5,INDEX(Festivals!$S$2:$S$160,$AP36+5),""),"")</f>
        <v/>
      </c>
      <c r="S36" t="str">
        <f>IFERROR(IF($AQ36&gt;6,INDEX(Festivals!$S$2:$S$160,$AP36+6),""),"")</f>
        <v/>
      </c>
      <c r="T36">
        <f>INDEX(GCalXMLT[dcaturmasya1],$D36)</f>
        <v>0</v>
      </c>
      <c r="U36">
        <f>INDEX(GCalXMLT[dcaturmasya2],$D36)</f>
        <v>0</v>
      </c>
      <c r="V36" t="str">
        <f>INDEX(GCalXMLT[sankrantirasi],$D36) &amp; " " &amp; INDEX(GCalXMLT[sankrantitime],$D36)</f>
        <v xml:space="preserve"> </v>
      </c>
      <c r="W36" t="str">
        <f ca="1">IFERROR(INDEX('Holidays Calc'!$K$2:$K$233,AR36),"")</f>
        <v/>
      </c>
      <c r="X36" t="str">
        <f ca="1">IF(AR36="","",IF(INDEX('Holidays Calc'!$I$2:$I$233,AR36+1)=A36,INDEX('Holidays Calc'!$K$2:$K$233,AR36+1),""))</f>
        <v/>
      </c>
      <c r="Y36" t="str">
        <f ca="1">IF(AR36="","",IF(INDEX('Holidays Calc'!$I$2:$I$233,AR36+2)=A36,INDEX('Holidays Calc'!$K$2:$K$233,AR36+2),""))</f>
        <v/>
      </c>
      <c r="Z36" t="str">
        <f ca="1">IF(AR36="","",IF(INDEX('Holidays Calc'!$I$2:$I$233,AR36+3)=A36,INDEX('Holidays Calc'!$K$2:$K$2333,AR36+3),""))</f>
        <v/>
      </c>
      <c r="AA36" t="str">
        <f>IF(I36="Last day of Bhisma Pancaka","",IF(G36="*",-0.7,IF(ISBLANK(INDEX(GCalXMLT[dclass1],$D36)),"",INDEX(GCalXMLT[dclass1],$D36))))</f>
        <v/>
      </c>
      <c r="AB36" t="str">
        <f>IF(J36="First day of Bhisma Pancaka","",IF(AND(G36="*",NOT(ISERROR(SEARCH("ekadasi",J36)))),-0.7,IF(ISBLANK(INDEX(GCalXMLT[dclass2],$D36)),"",INDEX(GCalXMLT[dclass2],$D36))))</f>
        <v/>
      </c>
      <c r="AC36" t="str">
        <f>IF(I36="Nandotsava",-1,IF(ISBLANK(INDEX(GCalXMLT[dclass3],$D36)),"",INDEX(GCalXMLT[dclass3],$D36)))</f>
        <v/>
      </c>
      <c r="AD36" t="str">
        <f>IF(I36="Nandotsava",IF(ISBLANK(INDEX(GCalXMLT[dclass3],$D36)),"",INDEX(GCalXMLT[dclass3],$D36)),IF(ISBLANK(INDEX(GCalXMLT[dclass4],$D36)),"",INDEX(GCalXMLT[dclass4],$D36)))</f>
        <v/>
      </c>
      <c r="AE36" t="str">
        <f>IFERROR(INDEX(Festivals!$V$2:$V$160,AP36),"")</f>
        <v/>
      </c>
      <c r="AF36" t="str">
        <f>IFERROR(IF($AQ36&gt;1,INDEX(Festivals!$V$2:$V$160,$AP36+1),""),"")</f>
        <v/>
      </c>
      <c r="AG36" t="str">
        <f>IFERROR(IF($AQ36&gt;2,INDEX(Festivals!$V$2:$V$160,$AP36+2),""),"")</f>
        <v/>
      </c>
      <c r="AH36" t="str">
        <f>IFERROR(IF($AQ36&gt;3,INDEX(Festivals!$V$2:$V$160,$AP36+3),""),"")</f>
        <v/>
      </c>
      <c r="AI36" t="str">
        <f>IFERROR(IF($AQ36&gt;4,INDEX(Festivals!$V$2:$V$160,$AP36+4),""),"")</f>
        <v/>
      </c>
      <c r="AJ36" t="str">
        <f>IFERROR(IF($AQ36&gt;5,INDEX(Festivals!$V$2:$V$160,$AP36+5),""),"")</f>
        <v/>
      </c>
      <c r="AK36" t="str">
        <f>IFERROR(IF($AQ36&gt;6,INDEX(Festivals!$V$2:$V$160,$AP36+6),""),"")</f>
        <v/>
      </c>
      <c r="AL36" t="str">
        <f ca="1">IFERROR(INDEX('Holidays Calc'!$J$2:$J$233,MATCH(A36,'Holidays Calc'!$I$2:$I$233,0)),"")</f>
        <v/>
      </c>
      <c r="AM36" t="str">
        <f ca="1">IF(AR36="","",IF(INDEX('Holidays Calc'!$I$2:$I$233,AR36+1)=A36,INDEX('Holidays Calc'!$J$2:$J$233,AR36+1),""))</f>
        <v/>
      </c>
      <c r="AN36" t="str">
        <f ca="1">IF(AR36="","",IF(INDEX('Holidays Calc'!$I$2:$I$233,AR36+2)=A36,INDEX('Holidays Calc'!$J$2:$J$233,AR36+2),""))</f>
        <v/>
      </c>
      <c r="AO36" t="str">
        <f ca="1">IF(AR36="","",IF(INDEX('Holidays Calc'!$I$2:$I$233,AR36+3)=A36,INDEX('Holidays Calc'!$J$2:$J$233,AR36+3),""))</f>
        <v/>
      </c>
      <c r="AP36" t="str">
        <f>IFERROR(IF($E36=E35,"",MATCH($E36,Festivals!$H$2:$H$160,0)),"")</f>
        <v/>
      </c>
      <c r="AQ36" t="str">
        <f>IF(AP36="","",COUNTIF(Festivals!$H$2:$H$160,$E36))</f>
        <v/>
      </c>
      <c r="AR36" t="str">
        <f ca="1">IFERROR(MATCH(A36,'Holidays Calc'!$I$2:$I$233,0),"")</f>
        <v/>
      </c>
      <c r="AS36" t="str">
        <f t="shared" si="2"/>
        <v/>
      </c>
      <c r="AT36" t="str">
        <f t="shared" si="1"/>
        <v/>
      </c>
      <c r="AU36" t="str">
        <f t="shared" ca="1" si="3"/>
        <v/>
      </c>
      <c r="AV36" t="str">
        <f t="shared" ca="1" si="4"/>
        <v/>
      </c>
    </row>
    <row r="37" spans="1:48" x14ac:dyDescent="0.25">
      <c r="A37" s="265">
        <f t="shared" si="7"/>
        <v>43463</v>
      </c>
      <c r="B37" s="265" t="str">
        <f t="shared" si="8"/>
        <v>29 Dec 2018</v>
      </c>
      <c r="C37" s="267">
        <f t="shared" si="9"/>
        <v>52</v>
      </c>
      <c r="D37">
        <f>MATCH(A37,GCalXMLT[daydate],0)</f>
        <v>36</v>
      </c>
      <c r="E37">
        <f>VALUE("1" &amp; Masacod(INDEX(GCalXMLT[gymasa],D37)) &amp; PaksaCod(INDEX(GCalXMLT[mpaksaid],D37)) &amp; TithiCod(INDEX(GCalXMLT[stithiname],D37)))</f>
        <v>110008</v>
      </c>
      <c r="F37" t="str">
        <f ca="1">INDEX(Parameters!$K$2:$K$16,MATCH(AV37,Parameters!$L$2:$L$16,0))</f>
        <v/>
      </c>
      <c r="G37">
        <f>INDEX(GCalXMLT[fastmark],$D37)</f>
        <v>0</v>
      </c>
      <c r="H37" t="str">
        <f ca="1">INDEX(Parameters!$J$2:$J$16,MATCH(AV37,Parameters!$L$2:$L$16,0))</f>
        <v/>
      </c>
      <c r="I37">
        <f>INDEX(GCalXMLT[dfestival1],$D37)</f>
        <v>0</v>
      </c>
      <c r="J37">
        <f>IF(INDEX(GCalXMLT[dfestival2],$D37)="(Fast today)",INDEX(Festivals!$R$2:$R$180,MATCH($I37,Festivals!$R$2:$R$180,0)+1),INDEX(GCalXMLT[dfestival2],$D37))</f>
        <v>0</v>
      </c>
      <c r="K37">
        <f>IF(I37="Nandotsava","(Fast till noon)",INDEX(GCalXMLT[dfestival3],$D37))</f>
        <v>0</v>
      </c>
      <c r="L37">
        <f>IF(I37="Nandotsava", INDEX(GCalXMLT[dfestival3],$D37),INDEX(GCalXMLT[dfestival4],$D37))</f>
        <v>0</v>
      </c>
      <c r="M37" t="str">
        <f>IFERROR(INDEX(Festivals!$S$2:$S$160,AP37),"")</f>
        <v/>
      </c>
      <c r="N37" t="str">
        <f>IFERROR(IF($AQ37&gt;1,INDEX(Festivals!$S$2:$S$160,$AP37+1),""),"")</f>
        <v/>
      </c>
      <c r="O37" t="str">
        <f>IFERROR(IF($AQ37&gt;2,INDEX(Festivals!$S$2:$S$160,$AP37+2),""),"")</f>
        <v/>
      </c>
      <c r="P37" t="str">
        <f>IFERROR(IF($AQ37&gt;3,INDEX(Festivals!$S$2:$S$160,$AP37+3),""),"")</f>
        <v/>
      </c>
      <c r="Q37" t="str">
        <f>IFERROR(IF($AQ37&gt;4,INDEX(Festivals!$S$2:$S$160,$AP37+4),""),"")</f>
        <v/>
      </c>
      <c r="R37" t="str">
        <f>IFERROR(IF($AQ37&gt;5,INDEX(Festivals!$S$2:$S$160,$AP37+5),""),"")</f>
        <v/>
      </c>
      <c r="S37" t="str">
        <f>IFERROR(IF($AQ37&gt;6,INDEX(Festivals!$S$2:$S$160,$AP37+6),""),"")</f>
        <v/>
      </c>
      <c r="T37">
        <f>INDEX(GCalXMLT[dcaturmasya1],$D37)</f>
        <v>0</v>
      </c>
      <c r="U37">
        <f>INDEX(GCalXMLT[dcaturmasya2],$D37)</f>
        <v>0</v>
      </c>
      <c r="V37" t="str">
        <f>INDEX(GCalXMLT[sankrantirasi],$D37) &amp; " " &amp; INDEX(GCalXMLT[sankrantitime],$D37)</f>
        <v xml:space="preserve"> </v>
      </c>
      <c r="W37" t="str">
        <f ca="1">IFERROR(INDEX('Holidays Calc'!$K$2:$K$233,AR37),"")</f>
        <v/>
      </c>
      <c r="X37" t="str">
        <f ca="1">IF(AR37="","",IF(INDEX('Holidays Calc'!$I$2:$I$233,AR37+1)=A37,INDEX('Holidays Calc'!$K$2:$K$233,AR37+1),""))</f>
        <v/>
      </c>
      <c r="Y37" t="str">
        <f ca="1">IF(AR37="","",IF(INDEX('Holidays Calc'!$I$2:$I$233,AR37+2)=A37,INDEX('Holidays Calc'!$K$2:$K$233,AR37+2),""))</f>
        <v/>
      </c>
      <c r="Z37" t="str">
        <f ca="1">IF(AR37="","",IF(INDEX('Holidays Calc'!$I$2:$I$233,AR37+3)=A37,INDEX('Holidays Calc'!$K$2:$K$2333,AR37+3),""))</f>
        <v/>
      </c>
      <c r="AA37" t="str">
        <f>IF(I37="Last day of Bhisma Pancaka","",IF(G37="*",-0.7,IF(ISBLANK(INDEX(GCalXMLT[dclass1],$D37)),"",INDEX(GCalXMLT[dclass1],$D37))))</f>
        <v/>
      </c>
      <c r="AB37" t="str">
        <f>IF(J37="First day of Bhisma Pancaka","",IF(AND(G37="*",NOT(ISERROR(SEARCH("ekadasi",J37)))),-0.7,IF(ISBLANK(INDEX(GCalXMLT[dclass2],$D37)),"",INDEX(GCalXMLT[dclass2],$D37))))</f>
        <v/>
      </c>
      <c r="AC37" t="str">
        <f>IF(I37="Nandotsava",-1,IF(ISBLANK(INDEX(GCalXMLT[dclass3],$D37)),"",INDEX(GCalXMLT[dclass3],$D37)))</f>
        <v/>
      </c>
      <c r="AD37" t="str">
        <f>IF(I37="Nandotsava",IF(ISBLANK(INDEX(GCalXMLT[dclass3],$D37)),"",INDEX(GCalXMLT[dclass3],$D37)),IF(ISBLANK(INDEX(GCalXMLT[dclass4],$D37)),"",INDEX(GCalXMLT[dclass4],$D37)))</f>
        <v/>
      </c>
      <c r="AE37" t="str">
        <f>IFERROR(INDEX(Festivals!$V$2:$V$160,AP37),"")</f>
        <v/>
      </c>
      <c r="AF37" t="str">
        <f>IFERROR(IF($AQ37&gt;1,INDEX(Festivals!$V$2:$V$160,$AP37+1),""),"")</f>
        <v/>
      </c>
      <c r="AG37" t="str">
        <f>IFERROR(IF($AQ37&gt;2,INDEX(Festivals!$V$2:$V$160,$AP37+2),""),"")</f>
        <v/>
      </c>
      <c r="AH37" t="str">
        <f>IFERROR(IF($AQ37&gt;3,INDEX(Festivals!$V$2:$V$160,$AP37+3),""),"")</f>
        <v/>
      </c>
      <c r="AI37" t="str">
        <f>IFERROR(IF($AQ37&gt;4,INDEX(Festivals!$V$2:$V$160,$AP37+4),""),"")</f>
        <v/>
      </c>
      <c r="AJ37" t="str">
        <f>IFERROR(IF($AQ37&gt;5,INDEX(Festivals!$V$2:$V$160,$AP37+5),""),"")</f>
        <v/>
      </c>
      <c r="AK37" t="str">
        <f>IFERROR(IF($AQ37&gt;6,INDEX(Festivals!$V$2:$V$160,$AP37+6),""),"")</f>
        <v/>
      </c>
      <c r="AL37" t="str">
        <f ca="1">IFERROR(INDEX('Holidays Calc'!$J$2:$J$233,MATCH(A37,'Holidays Calc'!$I$2:$I$233,0)),"")</f>
        <v/>
      </c>
      <c r="AM37" t="str">
        <f ca="1">IF(AR37="","",IF(INDEX('Holidays Calc'!$I$2:$I$233,AR37+1)=A37,INDEX('Holidays Calc'!$J$2:$J$233,AR37+1),""))</f>
        <v/>
      </c>
      <c r="AN37" t="str">
        <f ca="1">IF(AR37="","",IF(INDEX('Holidays Calc'!$I$2:$I$233,AR37+2)=A37,INDEX('Holidays Calc'!$J$2:$J$233,AR37+2),""))</f>
        <v/>
      </c>
      <c r="AO37" t="str">
        <f ca="1">IF(AR37="","",IF(INDEX('Holidays Calc'!$I$2:$I$233,AR37+3)=A37,INDEX('Holidays Calc'!$J$2:$J$233,AR37+3),""))</f>
        <v/>
      </c>
      <c r="AP37" t="str">
        <f>IFERROR(IF($E37=E36,"",MATCH($E37,Festivals!$H$2:$H$160,0)),"")</f>
        <v/>
      </c>
      <c r="AQ37" t="str">
        <f>IF(AP37="","",COUNTIF(Festivals!$H$2:$H$160,$E37))</f>
        <v/>
      </c>
      <c r="AR37" t="str">
        <f ca="1">IFERROR(MATCH(A37,'Holidays Calc'!$I$2:$I$233,0),"")</f>
        <v/>
      </c>
      <c r="AS37" t="str">
        <f t="shared" si="2"/>
        <v/>
      </c>
      <c r="AT37" t="str">
        <f t="shared" si="1"/>
        <v/>
      </c>
      <c r="AU37" t="str">
        <f t="shared" ca="1" si="3"/>
        <v/>
      </c>
      <c r="AV37" t="str">
        <f t="shared" ca="1" si="4"/>
        <v/>
      </c>
    </row>
    <row r="38" spans="1:48" x14ac:dyDescent="0.25">
      <c r="A38" s="265">
        <f t="shared" si="7"/>
        <v>43464</v>
      </c>
      <c r="B38" s="265" t="str">
        <f t="shared" si="8"/>
        <v>30 Dec 2018</v>
      </c>
      <c r="C38" s="267">
        <f t="shared" si="9"/>
        <v>52</v>
      </c>
      <c r="D38">
        <f>MATCH(A38,GCalXMLT[daydate],0)</f>
        <v>37</v>
      </c>
      <c r="E38">
        <f>VALUE("1" &amp; Masacod(INDEX(GCalXMLT[gymasa],D38)) &amp; PaksaCod(INDEX(GCalXMLT[mpaksaid],D38)) &amp; TithiCod(INDEX(GCalXMLT[stithiname],D38)))</f>
        <v>110009</v>
      </c>
      <c r="F38" t="str">
        <f ca="1">INDEX(Parameters!$K$2:$K$16,MATCH(AV38,Parameters!$L$2:$L$16,0))</f>
        <v/>
      </c>
      <c r="G38">
        <f>INDEX(GCalXMLT[fastmark],$D38)</f>
        <v>0</v>
      </c>
      <c r="H38" t="str">
        <f ca="1">INDEX(Parameters!$J$2:$J$16,MATCH(AV38,Parameters!$L$2:$L$16,0))</f>
        <v/>
      </c>
      <c r="I38">
        <f>INDEX(GCalXMLT[dfestival1],$D38)</f>
        <v>0</v>
      </c>
      <c r="J38">
        <f>IF(INDEX(GCalXMLT[dfestival2],$D38)="(Fast today)",INDEX(Festivals!$R$2:$R$180,MATCH($I38,Festivals!$R$2:$R$180,0)+1),INDEX(GCalXMLT[dfestival2],$D38))</f>
        <v>0</v>
      </c>
      <c r="K38">
        <f>IF(I38="Nandotsava","(Fast till noon)",INDEX(GCalXMLT[dfestival3],$D38))</f>
        <v>0</v>
      </c>
      <c r="L38">
        <f>IF(I38="Nandotsava", INDEX(GCalXMLT[dfestival3],$D38),INDEX(GCalXMLT[dfestival4],$D38))</f>
        <v>0</v>
      </c>
      <c r="M38" t="str">
        <f>IFERROR(INDEX(Festivals!$S$2:$S$160,AP38),"")</f>
        <v/>
      </c>
      <c r="N38" t="str">
        <f>IFERROR(IF($AQ38&gt;1,INDEX(Festivals!$S$2:$S$160,$AP38+1),""),"")</f>
        <v/>
      </c>
      <c r="O38" t="str">
        <f>IFERROR(IF($AQ38&gt;2,INDEX(Festivals!$S$2:$S$160,$AP38+2),""),"")</f>
        <v/>
      </c>
      <c r="P38" t="str">
        <f>IFERROR(IF($AQ38&gt;3,INDEX(Festivals!$S$2:$S$160,$AP38+3),""),"")</f>
        <v/>
      </c>
      <c r="Q38" t="str">
        <f>IFERROR(IF($AQ38&gt;4,INDEX(Festivals!$S$2:$S$160,$AP38+4),""),"")</f>
        <v/>
      </c>
      <c r="R38" t="str">
        <f>IFERROR(IF($AQ38&gt;5,INDEX(Festivals!$S$2:$S$160,$AP38+5),""),"")</f>
        <v/>
      </c>
      <c r="S38" t="str">
        <f>IFERROR(IF($AQ38&gt;6,INDEX(Festivals!$S$2:$S$160,$AP38+6),""),"")</f>
        <v/>
      </c>
      <c r="T38">
        <f>INDEX(GCalXMLT[dcaturmasya1],$D38)</f>
        <v>0</v>
      </c>
      <c r="U38">
        <f>INDEX(GCalXMLT[dcaturmasya2],$D38)</f>
        <v>0</v>
      </c>
      <c r="V38" t="str">
        <f>INDEX(GCalXMLT[sankrantirasi],$D38) &amp; " " &amp; INDEX(GCalXMLT[sankrantitime],$D38)</f>
        <v xml:space="preserve"> </v>
      </c>
      <c r="W38" t="str">
        <f ca="1">IFERROR(INDEX('Holidays Calc'!$K$2:$K$233,AR38),"")</f>
        <v/>
      </c>
      <c r="X38" t="str">
        <f ca="1">IF(AR38="","",IF(INDEX('Holidays Calc'!$I$2:$I$233,AR38+1)=A38,INDEX('Holidays Calc'!$K$2:$K$233,AR38+1),""))</f>
        <v/>
      </c>
      <c r="Y38" t="str">
        <f ca="1">IF(AR38="","",IF(INDEX('Holidays Calc'!$I$2:$I$233,AR38+2)=A38,INDEX('Holidays Calc'!$K$2:$K$233,AR38+2),""))</f>
        <v/>
      </c>
      <c r="Z38" t="str">
        <f ca="1">IF(AR38="","",IF(INDEX('Holidays Calc'!$I$2:$I$233,AR38+3)=A38,INDEX('Holidays Calc'!$K$2:$K$2333,AR38+3),""))</f>
        <v/>
      </c>
      <c r="AA38" t="str">
        <f>IF(I38="Last day of Bhisma Pancaka","",IF(G38="*",-0.7,IF(ISBLANK(INDEX(GCalXMLT[dclass1],$D38)),"",INDEX(GCalXMLT[dclass1],$D38))))</f>
        <v/>
      </c>
      <c r="AB38" t="str">
        <f>IF(J38="First day of Bhisma Pancaka","",IF(AND(G38="*",NOT(ISERROR(SEARCH("ekadasi",J38)))),-0.7,IF(ISBLANK(INDEX(GCalXMLT[dclass2],$D38)),"",INDEX(GCalXMLT[dclass2],$D38))))</f>
        <v/>
      </c>
      <c r="AC38" t="str">
        <f>IF(I38="Nandotsava",-1,IF(ISBLANK(INDEX(GCalXMLT[dclass3],$D38)),"",INDEX(GCalXMLT[dclass3],$D38)))</f>
        <v/>
      </c>
      <c r="AD38" t="str">
        <f>IF(I38="Nandotsava",IF(ISBLANK(INDEX(GCalXMLT[dclass3],$D38)),"",INDEX(GCalXMLT[dclass3],$D38)),IF(ISBLANK(INDEX(GCalXMLT[dclass4],$D38)),"",INDEX(GCalXMLT[dclass4],$D38)))</f>
        <v/>
      </c>
      <c r="AE38" t="str">
        <f>IFERROR(INDEX(Festivals!$V$2:$V$160,AP38),"")</f>
        <v/>
      </c>
      <c r="AF38" t="str">
        <f>IFERROR(IF($AQ38&gt;1,INDEX(Festivals!$V$2:$V$160,$AP38+1),""),"")</f>
        <v/>
      </c>
      <c r="AG38" t="str">
        <f>IFERROR(IF($AQ38&gt;2,INDEX(Festivals!$V$2:$V$160,$AP38+2),""),"")</f>
        <v/>
      </c>
      <c r="AH38" t="str">
        <f>IFERROR(IF($AQ38&gt;3,INDEX(Festivals!$V$2:$V$160,$AP38+3),""),"")</f>
        <v/>
      </c>
      <c r="AI38" t="str">
        <f>IFERROR(IF($AQ38&gt;4,INDEX(Festivals!$V$2:$V$160,$AP38+4),""),"")</f>
        <v/>
      </c>
      <c r="AJ38" t="str">
        <f>IFERROR(IF($AQ38&gt;5,INDEX(Festivals!$V$2:$V$160,$AP38+5),""),"")</f>
        <v/>
      </c>
      <c r="AK38" t="str">
        <f>IFERROR(IF($AQ38&gt;6,INDEX(Festivals!$V$2:$V$160,$AP38+6),""),"")</f>
        <v/>
      </c>
      <c r="AL38" t="str">
        <f ca="1">IFERROR(INDEX('Holidays Calc'!$J$2:$J$233,MATCH(A38,'Holidays Calc'!$I$2:$I$233,0)),"")</f>
        <v/>
      </c>
      <c r="AM38" t="str">
        <f ca="1">IF(AR38="","",IF(INDEX('Holidays Calc'!$I$2:$I$233,AR38+1)=A38,INDEX('Holidays Calc'!$J$2:$J$233,AR38+1),""))</f>
        <v/>
      </c>
      <c r="AN38" t="str">
        <f ca="1">IF(AR38="","",IF(INDEX('Holidays Calc'!$I$2:$I$233,AR38+2)=A38,INDEX('Holidays Calc'!$J$2:$J$233,AR38+2),""))</f>
        <v/>
      </c>
      <c r="AO38" t="str">
        <f ca="1">IF(AR38="","",IF(INDEX('Holidays Calc'!$I$2:$I$233,AR38+3)=A38,INDEX('Holidays Calc'!$J$2:$J$233,AR38+3),""))</f>
        <v/>
      </c>
      <c r="AP38" t="str">
        <f>IFERROR(IF($E38=E37,"",MATCH($E38,Festivals!$H$2:$H$160,0)),"")</f>
        <v/>
      </c>
      <c r="AQ38" t="str">
        <f>IF(AP38="","",COUNTIF(Festivals!$H$2:$H$160,$E38))</f>
        <v/>
      </c>
      <c r="AR38" t="str">
        <f ca="1">IFERROR(MATCH(A38,'Holidays Calc'!$I$2:$I$233,0),"")</f>
        <v/>
      </c>
      <c r="AS38" t="str">
        <f t="shared" si="2"/>
        <v/>
      </c>
      <c r="AT38" t="str">
        <f t="shared" si="1"/>
        <v/>
      </c>
      <c r="AU38" t="str">
        <f t="shared" ca="1" si="3"/>
        <v/>
      </c>
      <c r="AV38" t="str">
        <f t="shared" ca="1" si="4"/>
        <v/>
      </c>
    </row>
    <row r="39" spans="1:48" x14ac:dyDescent="0.25">
      <c r="A39" s="265">
        <f t="shared" si="7"/>
        <v>43465</v>
      </c>
      <c r="B39" s="265" t="str">
        <f t="shared" si="8"/>
        <v>31 Dec 2018</v>
      </c>
      <c r="C39" s="267">
        <f t="shared" si="9"/>
        <v>53</v>
      </c>
      <c r="D39">
        <f>MATCH(A39,GCalXMLT[daydate],0)</f>
        <v>38</v>
      </c>
      <c r="E39">
        <f>VALUE("1" &amp; Masacod(INDEX(GCalXMLT[gymasa],D39)) &amp; PaksaCod(INDEX(GCalXMLT[mpaksaid],D39)) &amp; TithiCod(INDEX(GCalXMLT[stithiname],D39)))</f>
        <v>110010</v>
      </c>
      <c r="F39" t="str">
        <f ca="1">INDEX(Parameters!$K$2:$K$16,MATCH(AV39,Parameters!$L$2:$L$16,0))</f>
        <v/>
      </c>
      <c r="G39">
        <f>INDEX(GCalXMLT[fastmark],$D39)</f>
        <v>0</v>
      </c>
      <c r="H39" t="str">
        <f ca="1">INDEX(Parameters!$J$2:$J$16,MATCH(AV39,Parameters!$L$2:$L$16,0))</f>
        <v/>
      </c>
      <c r="I39">
        <f>INDEX(GCalXMLT[dfestival1],$D39)</f>
        <v>0</v>
      </c>
      <c r="J39">
        <f>IF(INDEX(GCalXMLT[dfestival2],$D39)="(Fast today)",INDEX(Festivals!$R$2:$R$180,MATCH($I39,Festivals!$R$2:$R$180,0)+1),INDEX(GCalXMLT[dfestival2],$D39))</f>
        <v>0</v>
      </c>
      <c r="K39">
        <f>IF(I39="Nandotsava","(Fast till noon)",INDEX(GCalXMLT[dfestival3],$D39))</f>
        <v>0</v>
      </c>
      <c r="L39">
        <f>IF(I39="Nandotsava", INDEX(GCalXMLT[dfestival3],$D39),INDEX(GCalXMLT[dfestival4],$D39))</f>
        <v>0</v>
      </c>
      <c r="M39" t="str">
        <f>IFERROR(INDEX(Festivals!$S$2:$S$160,AP39),"")</f>
        <v/>
      </c>
      <c r="N39" t="str">
        <f>IFERROR(IF($AQ39&gt;1,INDEX(Festivals!$S$2:$S$160,$AP39+1),""),"")</f>
        <v/>
      </c>
      <c r="O39" t="str">
        <f>IFERROR(IF($AQ39&gt;2,INDEX(Festivals!$S$2:$S$160,$AP39+2),""),"")</f>
        <v/>
      </c>
      <c r="P39" t="str">
        <f>IFERROR(IF($AQ39&gt;3,INDEX(Festivals!$S$2:$S$160,$AP39+3),""),"")</f>
        <v/>
      </c>
      <c r="Q39" t="str">
        <f>IFERROR(IF($AQ39&gt;4,INDEX(Festivals!$S$2:$S$160,$AP39+4),""),"")</f>
        <v/>
      </c>
      <c r="R39" t="str">
        <f>IFERROR(IF($AQ39&gt;5,INDEX(Festivals!$S$2:$S$160,$AP39+5),""),"")</f>
        <v/>
      </c>
      <c r="S39" t="str">
        <f>IFERROR(IF($AQ39&gt;6,INDEX(Festivals!$S$2:$S$160,$AP39+6),""),"")</f>
        <v/>
      </c>
      <c r="T39">
        <f>INDEX(GCalXMLT[dcaturmasya1],$D39)</f>
        <v>0</v>
      </c>
      <c r="U39">
        <f>INDEX(GCalXMLT[dcaturmasya2],$D39)</f>
        <v>0</v>
      </c>
      <c r="V39" t="str">
        <f>INDEX(GCalXMLT[sankrantirasi],$D39) &amp; " " &amp; INDEX(GCalXMLT[sankrantitime],$D39)</f>
        <v xml:space="preserve"> </v>
      </c>
      <c r="W39" t="str">
        <f ca="1">IFERROR(INDEX('Holidays Calc'!$K$2:$K$233,AR39),"")</f>
        <v/>
      </c>
      <c r="X39" t="str">
        <f ca="1">IF(AR39="","",IF(INDEX('Holidays Calc'!$I$2:$I$233,AR39+1)=A39,INDEX('Holidays Calc'!$K$2:$K$233,AR39+1),""))</f>
        <v/>
      </c>
      <c r="Y39" t="str">
        <f ca="1">IF(AR39="","",IF(INDEX('Holidays Calc'!$I$2:$I$233,AR39+2)=A39,INDEX('Holidays Calc'!$K$2:$K$233,AR39+2),""))</f>
        <v/>
      </c>
      <c r="Z39" t="str">
        <f ca="1">IF(AR39="","",IF(INDEX('Holidays Calc'!$I$2:$I$233,AR39+3)=A39,INDEX('Holidays Calc'!$K$2:$K$2333,AR39+3),""))</f>
        <v/>
      </c>
      <c r="AA39" t="str">
        <f>IF(I39="Last day of Bhisma Pancaka","",IF(G39="*",-0.7,IF(ISBLANK(INDEX(GCalXMLT[dclass1],$D39)),"",INDEX(GCalXMLT[dclass1],$D39))))</f>
        <v/>
      </c>
      <c r="AB39" t="str">
        <f>IF(J39="First day of Bhisma Pancaka","",IF(AND(G39="*",NOT(ISERROR(SEARCH("ekadasi",J39)))),-0.7,IF(ISBLANK(INDEX(GCalXMLT[dclass2],$D39)),"",INDEX(GCalXMLT[dclass2],$D39))))</f>
        <v/>
      </c>
      <c r="AC39" t="str">
        <f>IF(I39="Nandotsava",-1,IF(ISBLANK(INDEX(GCalXMLT[dclass3],$D39)),"",INDEX(GCalXMLT[dclass3],$D39)))</f>
        <v/>
      </c>
      <c r="AD39" t="str">
        <f>IF(I39="Nandotsava",IF(ISBLANK(INDEX(GCalXMLT[dclass3],$D39)),"",INDEX(GCalXMLT[dclass3],$D39)),IF(ISBLANK(INDEX(GCalXMLT[dclass4],$D39)),"",INDEX(GCalXMLT[dclass4],$D39)))</f>
        <v/>
      </c>
      <c r="AE39" t="str">
        <f>IFERROR(INDEX(Festivals!$V$2:$V$160,AP39),"")</f>
        <v/>
      </c>
      <c r="AF39" t="str">
        <f>IFERROR(IF($AQ39&gt;1,INDEX(Festivals!$V$2:$V$160,$AP39+1),""),"")</f>
        <v/>
      </c>
      <c r="AG39" t="str">
        <f>IFERROR(IF($AQ39&gt;2,INDEX(Festivals!$V$2:$V$160,$AP39+2),""),"")</f>
        <v/>
      </c>
      <c r="AH39" t="str">
        <f>IFERROR(IF($AQ39&gt;3,INDEX(Festivals!$V$2:$V$160,$AP39+3),""),"")</f>
        <v/>
      </c>
      <c r="AI39" t="str">
        <f>IFERROR(IF($AQ39&gt;4,INDEX(Festivals!$V$2:$V$160,$AP39+4),""),"")</f>
        <v/>
      </c>
      <c r="AJ39" t="str">
        <f>IFERROR(IF($AQ39&gt;5,INDEX(Festivals!$V$2:$V$160,$AP39+5),""),"")</f>
        <v/>
      </c>
      <c r="AK39" t="str">
        <f>IFERROR(IF($AQ39&gt;6,INDEX(Festivals!$V$2:$V$160,$AP39+6),""),"")</f>
        <v/>
      </c>
      <c r="AL39" t="str">
        <f ca="1">IFERROR(INDEX('Holidays Calc'!$J$2:$J$233,MATCH(A39,'Holidays Calc'!$I$2:$I$233,0)),"")</f>
        <v/>
      </c>
      <c r="AM39" t="str">
        <f ca="1">IF(AR39="","",IF(INDEX('Holidays Calc'!$I$2:$I$233,AR39+1)=A39,INDEX('Holidays Calc'!$J$2:$J$233,AR39+1),""))</f>
        <v/>
      </c>
      <c r="AN39" t="str">
        <f ca="1">IF(AR39="","",IF(INDEX('Holidays Calc'!$I$2:$I$233,AR39+2)=A39,INDEX('Holidays Calc'!$J$2:$J$233,AR39+2),""))</f>
        <v/>
      </c>
      <c r="AO39" t="str">
        <f ca="1">IF(AR39="","",IF(INDEX('Holidays Calc'!$I$2:$I$233,AR39+3)=A39,INDEX('Holidays Calc'!$J$2:$J$233,AR39+3),""))</f>
        <v/>
      </c>
      <c r="AP39" t="str">
        <f>IFERROR(IF($E39=E38,"",MATCH($E39,Festivals!$H$2:$H$160,0)),"")</f>
        <v/>
      </c>
      <c r="AQ39" t="str">
        <f>IF(AP39="","",COUNTIF(Festivals!$H$2:$H$160,$E39))</f>
        <v/>
      </c>
      <c r="AR39" t="str">
        <f ca="1">IFERROR(MATCH(A39,'Holidays Calc'!$I$2:$I$233,0),"")</f>
        <v/>
      </c>
      <c r="AS39" t="str">
        <f t="shared" si="2"/>
        <v/>
      </c>
      <c r="AT39" t="str">
        <f t="shared" si="1"/>
        <v/>
      </c>
      <c r="AU39" t="str">
        <f t="shared" ca="1" si="3"/>
        <v/>
      </c>
      <c r="AV39" t="str">
        <f t="shared" ca="1" si="4"/>
        <v/>
      </c>
    </row>
    <row r="40" spans="1:48" x14ac:dyDescent="0.25">
      <c r="A40" s="265">
        <f t="shared" si="7"/>
        <v>43466</v>
      </c>
      <c r="B40" s="265" t="str">
        <f t="shared" si="8"/>
        <v>1 Jan 2019</v>
      </c>
      <c r="C40" s="267">
        <f t="shared" si="9"/>
        <v>1</v>
      </c>
      <c r="D40">
        <f>MATCH(A40,GCalXMLT[daydate],0)</f>
        <v>39</v>
      </c>
      <c r="E40">
        <f>VALUE("1" &amp; Masacod(INDEX(GCalXMLT[gymasa],D40)) &amp; PaksaCod(INDEX(GCalXMLT[mpaksaid],D40)) &amp; TithiCod(INDEX(GCalXMLT[stithiname],D40)))</f>
        <v>110011</v>
      </c>
      <c r="F40" t="str">
        <f ca="1">INDEX(Parameters!$K$2:$K$16,MATCH(AV40,Parameters!$L$2:$L$16,0))</f>
        <v>S</v>
      </c>
      <c r="G40" t="str">
        <f>INDEX(GCalXMLT[fastmark],$D40)</f>
        <v>*</v>
      </c>
      <c r="H40" t="str">
        <f ca="1">INDEX(Parameters!$J$2:$J$16,MATCH(AV40,Parameters!$L$2:$L$16,0))</f>
        <v>*</v>
      </c>
      <c r="I40" t="str">
        <f>INDEX(GCalXMLT[dfestival1],$D40)</f>
        <v>Fasting for Saphala Ekadasi</v>
      </c>
      <c r="J40">
        <f>IF(INDEX(GCalXMLT[dfestival2],$D40)="(Fast today)",INDEX(Festivals!$R$2:$R$180,MATCH($I40,Festivals!$R$2:$R$180,0)+1),INDEX(GCalXMLT[dfestival2],$D40))</f>
        <v>0</v>
      </c>
      <c r="K40">
        <f>IF(I40="Nandotsava","(Fast till noon)",INDEX(GCalXMLT[dfestival3],$D40))</f>
        <v>0</v>
      </c>
      <c r="L40">
        <f>IF(I40="Nandotsava", INDEX(GCalXMLT[dfestival3],$D40),INDEX(GCalXMLT[dfestival4],$D40))</f>
        <v>0</v>
      </c>
      <c r="M40" t="str">
        <f>IFERROR(INDEX(Festivals!$S$2:$S$160,AP40),"")</f>
        <v>Sri Devananda Pandita - Disappearance</v>
      </c>
      <c r="N40" t="str">
        <f>IFERROR(IF($AQ40&gt;1,INDEX(Festivals!$S$2:$S$160,$AP40+1),""),"")</f>
        <v/>
      </c>
      <c r="O40" t="str">
        <f>IFERROR(IF($AQ40&gt;2,INDEX(Festivals!$S$2:$S$160,$AP40+2),""),"")</f>
        <v/>
      </c>
      <c r="P40" t="str">
        <f>IFERROR(IF($AQ40&gt;3,INDEX(Festivals!$S$2:$S$160,$AP40+3),""),"")</f>
        <v/>
      </c>
      <c r="Q40" t="str">
        <f>IFERROR(IF($AQ40&gt;4,INDEX(Festivals!$S$2:$S$160,$AP40+4),""),"")</f>
        <v/>
      </c>
      <c r="R40" t="str">
        <f>IFERROR(IF($AQ40&gt;5,INDEX(Festivals!$S$2:$S$160,$AP40+5),""),"")</f>
        <v/>
      </c>
      <c r="S40" t="str">
        <f>IFERROR(IF($AQ40&gt;6,INDEX(Festivals!$S$2:$S$160,$AP40+6),""),"")</f>
        <v/>
      </c>
      <c r="T40">
        <f>INDEX(GCalXMLT[dcaturmasya1],$D40)</f>
        <v>0</v>
      </c>
      <c r="U40">
        <f>INDEX(GCalXMLT[dcaturmasya2],$D40)</f>
        <v>0</v>
      </c>
      <c r="V40" t="str">
        <f>INDEX(GCalXMLT[sankrantirasi],$D40) &amp; " " &amp; INDEX(GCalXMLT[sankrantitime],$D40)</f>
        <v xml:space="preserve"> </v>
      </c>
      <c r="W40" t="str">
        <f ca="1">IFERROR(INDEX('Holidays Calc'!$K$2:$K$233,AR40),"")</f>
        <v>Confraternização Universal</v>
      </c>
      <c r="X40" t="str">
        <f ca="1">IF(AR40="","",IF(INDEX('Holidays Calc'!$I$2:$I$233,AR40+1)=A40,INDEX('Holidays Calc'!$K$2:$K$233,AR40+1),""))</f>
        <v/>
      </c>
      <c r="Y40" t="str">
        <f ca="1">IF(AR40="","",IF(INDEX('Holidays Calc'!$I$2:$I$233,AR40+2)=A40,INDEX('Holidays Calc'!$K$2:$K$233,AR40+2),""))</f>
        <v/>
      </c>
      <c r="Z40" t="str">
        <f ca="1">IF(AR40="","",IF(INDEX('Holidays Calc'!$I$2:$I$233,AR40+3)=A40,INDEX('Holidays Calc'!$K$2:$K$2333,AR40+3),""))</f>
        <v/>
      </c>
      <c r="AA40">
        <f>IF(I40="Last day of Bhisma Pancaka","",IF(G40="*",-0.7,IF(ISBLANK(INDEX(GCalXMLT[dclass1],$D40)),"",INDEX(GCalXMLT[dclass1],$D40))))</f>
        <v>-0.7</v>
      </c>
      <c r="AB40" t="str">
        <f>IF(J40="First day of Bhisma Pancaka","",IF(AND(G40="*",NOT(ISERROR(SEARCH("ekadasi",J40)))),-0.7,IF(ISBLANK(INDEX(GCalXMLT[dclass2],$D40)),"",INDEX(GCalXMLT[dclass2],$D40))))</f>
        <v/>
      </c>
      <c r="AC40" t="str">
        <f>IF(I40="Nandotsava",-1,IF(ISBLANK(INDEX(GCalXMLT[dclass3],$D40)),"",INDEX(GCalXMLT[dclass3],$D40)))</f>
        <v/>
      </c>
      <c r="AD40" t="str">
        <f>IF(I40="Nandotsava",IF(ISBLANK(INDEX(GCalXMLT[dclass3],$D40)),"",INDEX(GCalXMLT[dclass3],$D40)),IF(ISBLANK(INDEX(GCalXMLT[dclass4],$D40)),"",INDEX(GCalXMLT[dclass4],$D40)))</f>
        <v/>
      </c>
      <c r="AE40">
        <f>IFERROR(INDEX(Festivals!$V$2:$V$160,AP40),"")</f>
        <v>3</v>
      </c>
      <c r="AF40" t="str">
        <f>IFERROR(IF($AQ40&gt;1,INDEX(Festivals!$V$2:$V$160,$AP40+1),""),"")</f>
        <v/>
      </c>
      <c r="AG40" t="str">
        <f>IFERROR(IF($AQ40&gt;2,INDEX(Festivals!$V$2:$V$160,$AP40+2),""),"")</f>
        <v/>
      </c>
      <c r="AH40" t="str">
        <f>IFERROR(IF($AQ40&gt;3,INDEX(Festivals!$V$2:$V$160,$AP40+3),""),"")</f>
        <v/>
      </c>
      <c r="AI40" t="str">
        <f>IFERROR(IF($AQ40&gt;4,INDEX(Festivals!$V$2:$V$160,$AP40+4),""),"")</f>
        <v/>
      </c>
      <c r="AJ40" t="str">
        <f>IFERROR(IF($AQ40&gt;5,INDEX(Festivals!$V$2:$V$160,$AP40+5),""),"")</f>
        <v/>
      </c>
      <c r="AK40" t="str">
        <f>IFERROR(IF($AQ40&gt;6,INDEX(Festivals!$V$2:$V$160,$AP40+6),""),"")</f>
        <v/>
      </c>
      <c r="AL40">
        <f ca="1">IFERROR(INDEX('Holidays Calc'!$J$2:$J$233,MATCH(A40,'Holidays Calc'!$I$2:$I$233,0)),"")</f>
        <v>-11</v>
      </c>
      <c r="AM40" t="str">
        <f ca="1">IF(AR40="","",IF(INDEX('Holidays Calc'!$I$2:$I$233,AR40+1)=A40,INDEX('Holidays Calc'!$J$2:$J$233,AR40+1),""))</f>
        <v/>
      </c>
      <c r="AN40" t="str">
        <f ca="1">IF(AR40="","",IF(INDEX('Holidays Calc'!$I$2:$I$233,AR40+2)=A40,INDEX('Holidays Calc'!$J$2:$J$233,AR40+2),""))</f>
        <v/>
      </c>
      <c r="AO40" t="str">
        <f ca="1">IF(AR40="","",IF(INDEX('Holidays Calc'!$I$2:$I$233,AR40+3)=A40,INDEX('Holidays Calc'!$J$2:$J$233,AR40+3),""))</f>
        <v/>
      </c>
      <c r="AP40">
        <f>IFERROR(IF($E40=E39,"",MATCH($E40,Festivals!$H$2:$H$160,0)),"")</f>
        <v>117</v>
      </c>
      <c r="AQ40">
        <f>IF(AP40="","",COUNTIF(Festivals!$H$2:$H$160,$E40))</f>
        <v>1</v>
      </c>
      <c r="AR40">
        <f ca="1">IFERROR(MATCH(A40,'Holidays Calc'!$I$2:$I$233,0),"")</f>
        <v>37</v>
      </c>
      <c r="AS40">
        <f t="shared" si="2"/>
        <v>-0.7</v>
      </c>
      <c r="AT40">
        <f t="shared" si="1"/>
        <v>-0.7</v>
      </c>
      <c r="AU40">
        <f t="shared" ca="1" si="3"/>
        <v>-11</v>
      </c>
      <c r="AV40">
        <f t="shared" ca="1" si="4"/>
        <v>-21</v>
      </c>
    </row>
    <row r="41" spans="1:48" x14ac:dyDescent="0.25">
      <c r="A41" s="265">
        <f t="shared" si="7"/>
        <v>43467</v>
      </c>
      <c r="B41" s="265" t="str">
        <f t="shared" si="8"/>
        <v>2 Jan 2019</v>
      </c>
      <c r="C41" s="267">
        <f t="shared" si="9"/>
        <v>1</v>
      </c>
      <c r="D41">
        <f>MATCH(A41,GCalXMLT[daydate],0)</f>
        <v>40</v>
      </c>
      <c r="E41">
        <f>VALUE("1" &amp; Masacod(INDEX(GCalXMLT[gymasa],D41)) &amp; PaksaCod(INDEX(GCalXMLT[mpaksaid],D41)) &amp; TithiCod(INDEX(GCalXMLT[stithiname],D41)))</f>
        <v>110012</v>
      </c>
      <c r="F41" t="str">
        <f ca="1">INDEX(Parameters!$K$2:$K$16,MATCH(AV41,Parameters!$L$2:$L$16,0))</f>
        <v/>
      </c>
      <c r="G41">
        <f>INDEX(GCalXMLT[fastmark],$D41)</f>
        <v>0</v>
      </c>
      <c r="H41" t="str">
        <f ca="1">INDEX(Parameters!$J$2:$J$16,MATCH(AV41,Parameters!$L$2:$L$16,0))</f>
        <v/>
      </c>
      <c r="I41">
        <f>INDEX(GCalXMLT[dfestival1],$D41)</f>
        <v>0</v>
      </c>
      <c r="J41">
        <f>IF(INDEX(GCalXMLT[dfestival2],$D41)="(Fast today)",INDEX(Festivals!$R$2:$R$180,MATCH($I41,Festivals!$R$2:$R$180,0)+1),INDEX(GCalXMLT[dfestival2],$D41))</f>
        <v>0</v>
      </c>
      <c r="K41">
        <f>IF(I41="Nandotsava","(Fast till noon)",INDEX(GCalXMLT[dfestival3],$D41))</f>
        <v>0</v>
      </c>
      <c r="L41">
        <f>IF(I41="Nandotsava", INDEX(GCalXMLT[dfestival3],$D41),INDEX(GCalXMLT[dfestival4],$D41))</f>
        <v>0</v>
      </c>
      <c r="M41" t="str">
        <f>IFERROR(INDEX(Festivals!$S$2:$S$160,AP41),"")</f>
        <v/>
      </c>
      <c r="N41" t="str">
        <f>IFERROR(IF($AQ41&gt;1,INDEX(Festivals!$S$2:$S$160,$AP41+1),""),"")</f>
        <v/>
      </c>
      <c r="O41" t="str">
        <f>IFERROR(IF($AQ41&gt;2,INDEX(Festivals!$S$2:$S$160,$AP41+2),""),"")</f>
        <v/>
      </c>
      <c r="P41" t="str">
        <f>IFERROR(IF($AQ41&gt;3,INDEX(Festivals!$S$2:$S$160,$AP41+3),""),"")</f>
        <v/>
      </c>
      <c r="Q41" t="str">
        <f>IFERROR(IF($AQ41&gt;4,INDEX(Festivals!$S$2:$S$160,$AP41+4),""),"")</f>
        <v/>
      </c>
      <c r="R41" t="str">
        <f>IFERROR(IF($AQ41&gt;5,INDEX(Festivals!$S$2:$S$160,$AP41+5),""),"")</f>
        <v/>
      </c>
      <c r="S41" t="str">
        <f>IFERROR(IF($AQ41&gt;6,INDEX(Festivals!$S$2:$S$160,$AP41+6),""),"")</f>
        <v/>
      </c>
      <c r="T41">
        <f>INDEX(GCalXMLT[dcaturmasya1],$D41)</f>
        <v>0</v>
      </c>
      <c r="U41">
        <f>INDEX(GCalXMLT[dcaturmasya2],$D41)</f>
        <v>0</v>
      </c>
      <c r="V41" t="str">
        <f>INDEX(GCalXMLT[sankrantirasi],$D41) &amp; " " &amp; INDEX(GCalXMLT[sankrantitime],$D41)</f>
        <v xml:space="preserve"> </v>
      </c>
      <c r="W41" t="str">
        <f ca="1">IFERROR(INDEX('Holidays Calc'!$K$2:$K$233,AR41),"")</f>
        <v/>
      </c>
      <c r="X41" t="str">
        <f ca="1">IF(AR41="","",IF(INDEX('Holidays Calc'!$I$2:$I$233,AR41+1)=A41,INDEX('Holidays Calc'!$K$2:$K$233,AR41+1),""))</f>
        <v/>
      </c>
      <c r="Y41" t="str">
        <f ca="1">IF(AR41="","",IF(INDEX('Holidays Calc'!$I$2:$I$233,AR41+2)=A41,INDEX('Holidays Calc'!$K$2:$K$233,AR41+2),""))</f>
        <v/>
      </c>
      <c r="Z41" t="str">
        <f ca="1">IF(AR41="","",IF(INDEX('Holidays Calc'!$I$2:$I$233,AR41+3)=A41,INDEX('Holidays Calc'!$K$2:$K$2333,AR41+3),""))</f>
        <v/>
      </c>
      <c r="AA41" t="str">
        <f>IF(I41="Last day of Bhisma Pancaka","",IF(G41="*",-0.7,IF(ISBLANK(INDEX(GCalXMLT[dclass1],$D41)),"",INDEX(GCalXMLT[dclass1],$D41))))</f>
        <v/>
      </c>
      <c r="AB41" t="str">
        <f>IF(J41="First day of Bhisma Pancaka","",IF(AND(G41="*",NOT(ISERROR(SEARCH("ekadasi",J41)))),-0.7,IF(ISBLANK(INDEX(GCalXMLT[dclass2],$D41)),"",INDEX(GCalXMLT[dclass2],$D41))))</f>
        <v/>
      </c>
      <c r="AC41" t="str">
        <f>IF(I41="Nandotsava",-1,IF(ISBLANK(INDEX(GCalXMLT[dclass3],$D41)),"",INDEX(GCalXMLT[dclass3],$D41)))</f>
        <v/>
      </c>
      <c r="AD41" t="str">
        <f>IF(I41="Nandotsava",IF(ISBLANK(INDEX(GCalXMLT[dclass3],$D41)),"",INDEX(GCalXMLT[dclass3],$D41)),IF(ISBLANK(INDEX(GCalXMLT[dclass4],$D41)),"",INDEX(GCalXMLT[dclass4],$D41)))</f>
        <v/>
      </c>
      <c r="AE41" t="str">
        <f>IFERROR(INDEX(Festivals!$V$2:$V$160,AP41),"")</f>
        <v/>
      </c>
      <c r="AF41" t="str">
        <f>IFERROR(IF($AQ41&gt;1,INDEX(Festivals!$V$2:$V$160,$AP41+1),""),"")</f>
        <v/>
      </c>
      <c r="AG41" t="str">
        <f>IFERROR(IF($AQ41&gt;2,INDEX(Festivals!$V$2:$V$160,$AP41+2),""),"")</f>
        <v/>
      </c>
      <c r="AH41" t="str">
        <f>IFERROR(IF($AQ41&gt;3,INDEX(Festivals!$V$2:$V$160,$AP41+3),""),"")</f>
        <v/>
      </c>
      <c r="AI41" t="str">
        <f>IFERROR(IF($AQ41&gt;4,INDEX(Festivals!$V$2:$V$160,$AP41+4),""),"")</f>
        <v/>
      </c>
      <c r="AJ41" t="str">
        <f>IFERROR(IF($AQ41&gt;5,INDEX(Festivals!$V$2:$V$160,$AP41+5),""),"")</f>
        <v/>
      </c>
      <c r="AK41" t="str">
        <f>IFERROR(IF($AQ41&gt;6,INDEX(Festivals!$V$2:$V$160,$AP41+6),""),"")</f>
        <v/>
      </c>
      <c r="AL41" t="str">
        <f ca="1">IFERROR(INDEX('Holidays Calc'!$J$2:$J$233,MATCH(A41,'Holidays Calc'!$I$2:$I$233,0)),"")</f>
        <v/>
      </c>
      <c r="AM41" t="str">
        <f ca="1">IF(AR41="","",IF(INDEX('Holidays Calc'!$I$2:$I$233,AR41+1)=A41,INDEX('Holidays Calc'!$J$2:$J$233,AR41+1),""))</f>
        <v/>
      </c>
      <c r="AN41" t="str">
        <f ca="1">IF(AR41="","",IF(INDEX('Holidays Calc'!$I$2:$I$233,AR41+2)=A41,INDEX('Holidays Calc'!$J$2:$J$233,AR41+2),""))</f>
        <v/>
      </c>
      <c r="AO41" t="str">
        <f ca="1">IF(AR41="","",IF(INDEX('Holidays Calc'!$I$2:$I$233,AR41+3)=A41,INDEX('Holidays Calc'!$J$2:$J$233,AR41+3),""))</f>
        <v/>
      </c>
      <c r="AP41" t="str">
        <f>IFERROR(IF($E41=E40,"",MATCH($E41,Festivals!$H$2:$H$160,0)),"")</f>
        <v/>
      </c>
      <c r="AQ41" t="str">
        <f>IF(AP41="","",COUNTIF(Festivals!$H$2:$H$160,$E41))</f>
        <v/>
      </c>
      <c r="AR41" t="str">
        <f ca="1">IFERROR(MATCH(A41,'Holidays Calc'!$I$2:$I$233,0),"")</f>
        <v/>
      </c>
      <c r="AS41" t="str">
        <f t="shared" si="2"/>
        <v/>
      </c>
      <c r="AT41" t="str">
        <f t="shared" si="1"/>
        <v/>
      </c>
      <c r="AU41" t="str">
        <f t="shared" ca="1" si="3"/>
        <v/>
      </c>
      <c r="AV41" t="str">
        <f t="shared" ca="1" si="4"/>
        <v/>
      </c>
    </row>
    <row r="42" spans="1:48" x14ac:dyDescent="0.25">
      <c r="A42" s="265">
        <f t="shared" si="7"/>
        <v>43468</v>
      </c>
      <c r="B42" s="265" t="str">
        <f t="shared" si="8"/>
        <v>3 Jan 2019</v>
      </c>
      <c r="C42" s="267">
        <f t="shared" si="9"/>
        <v>1</v>
      </c>
      <c r="D42">
        <f>MATCH(A42,GCalXMLT[daydate],0)</f>
        <v>41</v>
      </c>
      <c r="E42">
        <f>VALUE("1" &amp; Masacod(INDEX(GCalXMLT[gymasa],D42)) &amp; PaksaCod(INDEX(GCalXMLT[mpaksaid],D42)) &amp; TithiCod(INDEX(GCalXMLT[stithiname],D42)))</f>
        <v>110013</v>
      </c>
      <c r="F42" t="str">
        <f ca="1">INDEX(Parameters!$K$2:$K$16,MATCH(AV42,Parameters!$L$2:$L$16,0))</f>
        <v>C</v>
      </c>
      <c r="G42">
        <f>INDEX(GCalXMLT[fastmark],$D42)</f>
        <v>0</v>
      </c>
      <c r="H42" t="str">
        <f ca="1">INDEX(Parameters!$J$2:$J$16,MATCH(AV42,Parameters!$L$2:$L$16,0))</f>
        <v/>
      </c>
      <c r="I42">
        <f>INDEX(GCalXMLT[dfestival1],$D42)</f>
        <v>0</v>
      </c>
      <c r="J42">
        <f>IF(INDEX(GCalXMLT[dfestival2],$D42)="(Fast today)",INDEX(Festivals!$R$2:$R$180,MATCH($I42,Festivals!$R$2:$R$180,0)+1),INDEX(GCalXMLT[dfestival2],$D42))</f>
        <v>0</v>
      </c>
      <c r="K42">
        <f>IF(I42="Nandotsava","(Fast till noon)",INDEX(GCalXMLT[dfestival3],$D42))</f>
        <v>0</v>
      </c>
      <c r="L42">
        <f>IF(I42="Nandotsava", INDEX(GCalXMLT[dfestival3],$D42),INDEX(GCalXMLT[dfestival4],$D42))</f>
        <v>0</v>
      </c>
      <c r="M42" t="str">
        <f>IFERROR(INDEX(Festivals!$S$2:$S$160,AP42),"")</f>
        <v>Sri Mahesa Pandita - Disappearance</v>
      </c>
      <c r="N42" t="str">
        <f>IFERROR(IF($AQ42&gt;1,INDEX(Festivals!$S$2:$S$160,$AP42+1),""),"")</f>
        <v>Sri Uddharana Datta Thakura - Disappearance</v>
      </c>
      <c r="O42" t="str">
        <f>IFERROR(IF($AQ42&gt;2,INDEX(Festivals!$S$2:$S$160,$AP42+2),""),"")</f>
        <v/>
      </c>
      <c r="P42" t="str">
        <f>IFERROR(IF($AQ42&gt;3,INDEX(Festivals!$S$2:$S$160,$AP42+3),""),"")</f>
        <v/>
      </c>
      <c r="Q42" t="str">
        <f>IFERROR(IF($AQ42&gt;4,INDEX(Festivals!$S$2:$S$160,$AP42+4),""),"")</f>
        <v/>
      </c>
      <c r="R42" t="str">
        <f>IFERROR(IF($AQ42&gt;5,INDEX(Festivals!$S$2:$S$160,$AP42+5),""),"")</f>
        <v/>
      </c>
      <c r="S42" t="str">
        <f>IFERROR(IF($AQ42&gt;6,INDEX(Festivals!$S$2:$S$160,$AP42+6),""),"")</f>
        <v/>
      </c>
      <c r="T42">
        <f>INDEX(GCalXMLT[dcaturmasya1],$D42)</f>
        <v>0</v>
      </c>
      <c r="U42">
        <f>INDEX(GCalXMLT[dcaturmasya2],$D42)</f>
        <v>0</v>
      </c>
      <c r="V42" t="str">
        <f>INDEX(GCalXMLT[sankrantirasi],$D42) &amp; " " &amp; INDEX(GCalXMLT[sankrantitime],$D42)</f>
        <v xml:space="preserve"> </v>
      </c>
      <c r="W42" t="str">
        <f ca="1">IFERROR(INDEX('Holidays Calc'!$K$2:$K$233,AR42),"")</f>
        <v/>
      </c>
      <c r="X42" t="str">
        <f ca="1">IF(AR42="","",IF(INDEX('Holidays Calc'!$I$2:$I$233,AR42+1)=A42,INDEX('Holidays Calc'!$K$2:$K$233,AR42+1),""))</f>
        <v/>
      </c>
      <c r="Y42" t="str">
        <f ca="1">IF(AR42="","",IF(INDEX('Holidays Calc'!$I$2:$I$233,AR42+2)=A42,INDEX('Holidays Calc'!$K$2:$K$233,AR42+2),""))</f>
        <v/>
      </c>
      <c r="Z42" t="str">
        <f ca="1">IF(AR42="","",IF(INDEX('Holidays Calc'!$I$2:$I$233,AR42+3)=A42,INDEX('Holidays Calc'!$K$2:$K$2333,AR42+3),""))</f>
        <v/>
      </c>
      <c r="AA42" t="str">
        <f>IF(I42="Last day of Bhisma Pancaka","",IF(G42="*",-0.7,IF(ISBLANK(INDEX(GCalXMLT[dclass1],$D42)),"",INDEX(GCalXMLT[dclass1],$D42))))</f>
        <v/>
      </c>
      <c r="AB42" t="str">
        <f>IF(J42="First day of Bhisma Pancaka","",IF(AND(G42="*",NOT(ISERROR(SEARCH("ekadasi",J42)))),-0.7,IF(ISBLANK(INDEX(GCalXMLT[dclass2],$D42)),"",INDEX(GCalXMLT[dclass2],$D42))))</f>
        <v/>
      </c>
      <c r="AC42" t="str">
        <f>IF(I42="Nandotsava",-1,IF(ISBLANK(INDEX(GCalXMLT[dclass3],$D42)),"",INDEX(GCalXMLT[dclass3],$D42)))</f>
        <v/>
      </c>
      <c r="AD42" t="str">
        <f>IF(I42="Nandotsava",IF(ISBLANK(INDEX(GCalXMLT[dclass3],$D42)),"",INDEX(GCalXMLT[dclass3],$D42)),IF(ISBLANK(INDEX(GCalXMLT[dclass4],$D42)),"",INDEX(GCalXMLT[dclass4],$D42)))</f>
        <v/>
      </c>
      <c r="AE42">
        <f>IFERROR(INDEX(Festivals!$V$2:$V$160,AP42),"")</f>
        <v>3</v>
      </c>
      <c r="AF42">
        <f>IFERROR(IF($AQ42&gt;1,INDEX(Festivals!$V$2:$V$160,$AP42+1),""),"")</f>
        <v>3</v>
      </c>
      <c r="AG42" t="str">
        <f>IFERROR(IF($AQ42&gt;2,INDEX(Festivals!$V$2:$V$160,$AP42+2),""),"")</f>
        <v/>
      </c>
      <c r="AH42" t="str">
        <f>IFERROR(IF($AQ42&gt;3,INDEX(Festivals!$V$2:$V$160,$AP42+3),""),"")</f>
        <v/>
      </c>
      <c r="AI42" t="str">
        <f>IFERROR(IF($AQ42&gt;4,INDEX(Festivals!$V$2:$V$160,$AP42+4),""),"")</f>
        <v/>
      </c>
      <c r="AJ42" t="str">
        <f>IFERROR(IF($AQ42&gt;5,INDEX(Festivals!$V$2:$V$160,$AP42+5),""),"")</f>
        <v/>
      </c>
      <c r="AK42" t="str">
        <f>IFERROR(IF($AQ42&gt;6,INDEX(Festivals!$V$2:$V$160,$AP42+6),""),"")</f>
        <v/>
      </c>
      <c r="AL42" t="str">
        <f ca="1">IFERROR(INDEX('Holidays Calc'!$J$2:$J$233,MATCH(A42,'Holidays Calc'!$I$2:$I$233,0)),"")</f>
        <v/>
      </c>
      <c r="AM42" t="str">
        <f ca="1">IF(AR42="","",IF(INDEX('Holidays Calc'!$I$2:$I$233,AR42+1)=A42,INDEX('Holidays Calc'!$J$2:$J$233,AR42+1),""))</f>
        <v/>
      </c>
      <c r="AN42" t="str">
        <f ca="1">IF(AR42="","",IF(INDEX('Holidays Calc'!$I$2:$I$233,AR42+2)=A42,INDEX('Holidays Calc'!$J$2:$J$233,AR42+2),""))</f>
        <v/>
      </c>
      <c r="AO42" t="str">
        <f ca="1">IF(AR42="","",IF(INDEX('Holidays Calc'!$I$2:$I$233,AR42+3)=A42,INDEX('Holidays Calc'!$J$2:$J$233,AR42+3),""))</f>
        <v/>
      </c>
      <c r="AP42">
        <f>IFERROR(IF($E42=E41,"",MATCH($E42,Festivals!$H$2:$H$160,0)),"")</f>
        <v>118</v>
      </c>
      <c r="AQ42">
        <f>IF(AP42="","",COUNTIF(Festivals!$H$2:$H$160,$E42))</f>
        <v>2</v>
      </c>
      <c r="AR42" t="str">
        <f ca="1">IFERROR(MATCH(A42,'Holidays Calc'!$I$2:$I$233,0),"")</f>
        <v/>
      </c>
      <c r="AS42">
        <f t="shared" si="2"/>
        <v>3</v>
      </c>
      <c r="AT42">
        <f t="shared" si="1"/>
        <v>3</v>
      </c>
      <c r="AU42" t="str">
        <f t="shared" ca="1" si="3"/>
        <v/>
      </c>
      <c r="AV42">
        <f t="shared" ca="1" si="4"/>
        <v>3</v>
      </c>
    </row>
    <row r="43" spans="1:48" x14ac:dyDescent="0.25">
      <c r="A43" s="265">
        <f t="shared" si="7"/>
        <v>43469</v>
      </c>
      <c r="B43" s="265" t="str">
        <f t="shared" si="8"/>
        <v>4 Jan 2019</v>
      </c>
      <c r="C43" s="267">
        <f t="shared" si="9"/>
        <v>1</v>
      </c>
      <c r="D43">
        <f>MATCH(A43,GCalXMLT[daydate],0)</f>
        <v>42</v>
      </c>
      <c r="E43">
        <f>VALUE("1" &amp; Masacod(INDEX(GCalXMLT[gymasa],D43)) &amp; PaksaCod(INDEX(GCalXMLT[mpaksaid],D43)) &amp; TithiCod(INDEX(GCalXMLT[stithiname],D43)))</f>
        <v>110014</v>
      </c>
      <c r="F43" t="str">
        <f ca="1">INDEX(Parameters!$K$2:$K$16,MATCH(AV43,Parameters!$L$2:$L$16,0))</f>
        <v/>
      </c>
      <c r="G43">
        <f>INDEX(GCalXMLT[fastmark],$D43)</f>
        <v>0</v>
      </c>
      <c r="H43" t="str">
        <f ca="1">INDEX(Parameters!$J$2:$J$16,MATCH(AV43,Parameters!$L$2:$L$16,0))</f>
        <v/>
      </c>
      <c r="I43">
        <f>INDEX(GCalXMLT[dfestival1],$D43)</f>
        <v>0</v>
      </c>
      <c r="J43">
        <f>IF(INDEX(GCalXMLT[dfestival2],$D43)="(Fast today)",INDEX(Festivals!$R$2:$R$180,MATCH($I43,Festivals!$R$2:$R$180,0)+1),INDEX(GCalXMLT[dfestival2],$D43))</f>
        <v>0</v>
      </c>
      <c r="K43">
        <f>IF(I43="Nandotsava","(Fast till noon)",INDEX(GCalXMLT[dfestival3],$D43))</f>
        <v>0</v>
      </c>
      <c r="L43">
        <f>IF(I43="Nandotsava", INDEX(GCalXMLT[dfestival3],$D43),INDEX(GCalXMLT[dfestival4],$D43))</f>
        <v>0</v>
      </c>
      <c r="M43" t="str">
        <f>IFERROR(INDEX(Festivals!$S$2:$S$160,AP43),"")</f>
        <v/>
      </c>
      <c r="N43" t="str">
        <f>IFERROR(IF($AQ43&gt;1,INDEX(Festivals!$S$2:$S$160,$AP43+1),""),"")</f>
        <v/>
      </c>
      <c r="O43" t="str">
        <f>IFERROR(IF($AQ43&gt;2,INDEX(Festivals!$S$2:$S$160,$AP43+2),""),"")</f>
        <v/>
      </c>
      <c r="P43" t="str">
        <f>IFERROR(IF($AQ43&gt;3,INDEX(Festivals!$S$2:$S$160,$AP43+3),""),"")</f>
        <v/>
      </c>
      <c r="Q43" t="str">
        <f>IFERROR(IF($AQ43&gt;4,INDEX(Festivals!$S$2:$S$160,$AP43+4),""),"")</f>
        <v/>
      </c>
      <c r="R43" t="str">
        <f>IFERROR(IF($AQ43&gt;5,INDEX(Festivals!$S$2:$S$160,$AP43+5),""),"")</f>
        <v/>
      </c>
      <c r="S43" t="str">
        <f>IFERROR(IF($AQ43&gt;6,INDEX(Festivals!$S$2:$S$160,$AP43+6),""),"")</f>
        <v/>
      </c>
      <c r="T43">
        <f>INDEX(GCalXMLT[dcaturmasya1],$D43)</f>
        <v>0</v>
      </c>
      <c r="U43">
        <f>INDEX(GCalXMLT[dcaturmasya2],$D43)</f>
        <v>0</v>
      </c>
      <c r="V43" t="str">
        <f>INDEX(GCalXMLT[sankrantirasi],$D43) &amp; " " &amp; INDEX(GCalXMLT[sankrantitime],$D43)</f>
        <v xml:space="preserve"> </v>
      </c>
      <c r="W43" t="str">
        <f ca="1">IFERROR(INDEX('Holidays Calc'!$K$2:$K$233,AR43),"")</f>
        <v/>
      </c>
      <c r="X43" t="str">
        <f ca="1">IF(AR43="","",IF(INDEX('Holidays Calc'!$I$2:$I$233,AR43+1)=A43,INDEX('Holidays Calc'!$K$2:$K$233,AR43+1),""))</f>
        <v/>
      </c>
      <c r="Y43" t="str">
        <f ca="1">IF(AR43="","",IF(INDEX('Holidays Calc'!$I$2:$I$233,AR43+2)=A43,INDEX('Holidays Calc'!$K$2:$K$233,AR43+2),""))</f>
        <v/>
      </c>
      <c r="Z43" t="str">
        <f ca="1">IF(AR43="","",IF(INDEX('Holidays Calc'!$I$2:$I$233,AR43+3)=A43,INDEX('Holidays Calc'!$K$2:$K$2333,AR43+3),""))</f>
        <v/>
      </c>
      <c r="AA43" t="str">
        <f>IF(I43="Last day of Bhisma Pancaka","",IF(G43="*",-0.7,IF(ISBLANK(INDEX(GCalXMLT[dclass1],$D43)),"",INDEX(GCalXMLT[dclass1],$D43))))</f>
        <v/>
      </c>
      <c r="AB43" t="str">
        <f>IF(J43="First day of Bhisma Pancaka","",IF(AND(G43="*",NOT(ISERROR(SEARCH("ekadasi",J43)))),-0.7,IF(ISBLANK(INDEX(GCalXMLT[dclass2],$D43)),"",INDEX(GCalXMLT[dclass2],$D43))))</f>
        <v/>
      </c>
      <c r="AC43" t="str">
        <f>IF(I43="Nandotsava",-1,IF(ISBLANK(INDEX(GCalXMLT[dclass3],$D43)),"",INDEX(GCalXMLT[dclass3],$D43)))</f>
        <v/>
      </c>
      <c r="AD43" t="str">
        <f>IF(I43="Nandotsava",IF(ISBLANK(INDEX(GCalXMLT[dclass3],$D43)),"",INDEX(GCalXMLT[dclass3],$D43)),IF(ISBLANK(INDEX(GCalXMLT[dclass4],$D43)),"",INDEX(GCalXMLT[dclass4],$D43)))</f>
        <v/>
      </c>
      <c r="AE43" t="str">
        <f>IFERROR(INDEX(Festivals!$V$2:$V$160,AP43),"")</f>
        <v/>
      </c>
      <c r="AF43" t="str">
        <f>IFERROR(IF($AQ43&gt;1,INDEX(Festivals!$V$2:$V$160,$AP43+1),""),"")</f>
        <v/>
      </c>
      <c r="AG43" t="str">
        <f>IFERROR(IF($AQ43&gt;2,INDEX(Festivals!$V$2:$V$160,$AP43+2),""),"")</f>
        <v/>
      </c>
      <c r="AH43" t="str">
        <f>IFERROR(IF($AQ43&gt;3,INDEX(Festivals!$V$2:$V$160,$AP43+3),""),"")</f>
        <v/>
      </c>
      <c r="AI43" t="str">
        <f>IFERROR(IF($AQ43&gt;4,INDEX(Festivals!$V$2:$V$160,$AP43+4),""),"")</f>
        <v/>
      </c>
      <c r="AJ43" t="str">
        <f>IFERROR(IF($AQ43&gt;5,INDEX(Festivals!$V$2:$V$160,$AP43+5),""),"")</f>
        <v/>
      </c>
      <c r="AK43" t="str">
        <f>IFERROR(IF($AQ43&gt;6,INDEX(Festivals!$V$2:$V$160,$AP43+6),""),"")</f>
        <v/>
      </c>
      <c r="AL43" t="str">
        <f ca="1">IFERROR(INDEX('Holidays Calc'!$J$2:$J$233,MATCH(A43,'Holidays Calc'!$I$2:$I$233,0)),"")</f>
        <v/>
      </c>
      <c r="AM43" t="str">
        <f ca="1">IF(AR43="","",IF(INDEX('Holidays Calc'!$I$2:$I$233,AR43+1)=A43,INDEX('Holidays Calc'!$J$2:$J$233,AR43+1),""))</f>
        <v/>
      </c>
      <c r="AN43" t="str">
        <f ca="1">IF(AR43="","",IF(INDEX('Holidays Calc'!$I$2:$I$233,AR43+2)=A43,INDEX('Holidays Calc'!$J$2:$J$233,AR43+2),""))</f>
        <v/>
      </c>
      <c r="AO43" t="str">
        <f ca="1">IF(AR43="","",IF(INDEX('Holidays Calc'!$I$2:$I$233,AR43+3)=A43,INDEX('Holidays Calc'!$J$2:$J$233,AR43+3),""))</f>
        <v/>
      </c>
      <c r="AP43" t="str">
        <f>IFERROR(IF($E43=E42,"",MATCH($E43,Festivals!$H$2:$H$160,0)),"")</f>
        <v/>
      </c>
      <c r="AQ43" t="str">
        <f>IF(AP43="","",COUNTIF(Festivals!$H$2:$H$160,$E43))</f>
        <v/>
      </c>
      <c r="AR43" t="str">
        <f ca="1">IFERROR(MATCH(A43,'Holidays Calc'!$I$2:$I$233,0),"")</f>
        <v/>
      </c>
      <c r="AS43" t="str">
        <f t="shared" si="2"/>
        <v/>
      </c>
      <c r="AT43" t="str">
        <f t="shared" si="1"/>
        <v/>
      </c>
      <c r="AU43" t="str">
        <f t="shared" ca="1" si="3"/>
        <v/>
      </c>
      <c r="AV43" t="str">
        <f t="shared" ca="1" si="4"/>
        <v/>
      </c>
    </row>
    <row r="44" spans="1:48" x14ac:dyDescent="0.25">
      <c r="A44" s="265">
        <f t="shared" si="7"/>
        <v>43470</v>
      </c>
      <c r="B44" s="265" t="str">
        <f t="shared" si="8"/>
        <v>5 Jan 2019</v>
      </c>
      <c r="C44" s="267">
        <f t="shared" si="9"/>
        <v>1</v>
      </c>
      <c r="D44">
        <f>MATCH(A44,GCalXMLT[daydate],0)</f>
        <v>43</v>
      </c>
      <c r="E44">
        <f>VALUE("1" &amp; Masacod(INDEX(GCalXMLT[gymasa],D44)) &amp; PaksaCod(INDEX(GCalXMLT[mpaksaid],D44)) &amp; TithiCod(INDEX(GCalXMLT[stithiname],D44)))</f>
        <v>110015</v>
      </c>
      <c r="F44" t="str">
        <f ca="1">INDEX(Parameters!$K$2:$K$16,MATCH(AV44,Parameters!$L$2:$L$16,0))</f>
        <v/>
      </c>
      <c r="G44">
        <f>INDEX(GCalXMLT[fastmark],$D44)</f>
        <v>0</v>
      </c>
      <c r="H44" t="str">
        <f ca="1">INDEX(Parameters!$J$2:$J$16,MATCH(AV44,Parameters!$L$2:$L$16,0))</f>
        <v/>
      </c>
      <c r="I44">
        <f>INDEX(GCalXMLT[dfestival1],$D44)</f>
        <v>0</v>
      </c>
      <c r="J44">
        <f>IF(INDEX(GCalXMLT[dfestival2],$D44)="(Fast today)",INDEX(Festivals!$R$2:$R$180,MATCH($I44,Festivals!$R$2:$R$180,0)+1),INDEX(GCalXMLT[dfestival2],$D44))</f>
        <v>0</v>
      </c>
      <c r="K44">
        <f>IF(I44="Nandotsava","(Fast till noon)",INDEX(GCalXMLT[dfestival3],$D44))</f>
        <v>0</v>
      </c>
      <c r="L44">
        <f>IF(I44="Nandotsava", INDEX(GCalXMLT[dfestival3],$D44),INDEX(GCalXMLT[dfestival4],$D44))</f>
        <v>0</v>
      </c>
      <c r="M44" t="str">
        <f>IFERROR(INDEX(Festivals!$S$2:$S$160,AP44),"")</f>
        <v/>
      </c>
      <c r="N44" t="str">
        <f>IFERROR(IF($AQ44&gt;1,INDEX(Festivals!$S$2:$S$160,$AP44+1),""),"")</f>
        <v/>
      </c>
      <c r="O44" t="str">
        <f>IFERROR(IF($AQ44&gt;2,INDEX(Festivals!$S$2:$S$160,$AP44+2),""),"")</f>
        <v/>
      </c>
      <c r="P44" t="str">
        <f>IFERROR(IF($AQ44&gt;3,INDEX(Festivals!$S$2:$S$160,$AP44+3),""),"")</f>
        <v/>
      </c>
      <c r="Q44" t="str">
        <f>IFERROR(IF($AQ44&gt;4,INDEX(Festivals!$S$2:$S$160,$AP44+4),""),"")</f>
        <v/>
      </c>
      <c r="R44" t="str">
        <f>IFERROR(IF($AQ44&gt;5,INDEX(Festivals!$S$2:$S$160,$AP44+5),""),"")</f>
        <v/>
      </c>
      <c r="S44" t="str">
        <f>IFERROR(IF($AQ44&gt;6,INDEX(Festivals!$S$2:$S$160,$AP44+6),""),"")</f>
        <v/>
      </c>
      <c r="T44">
        <f>INDEX(GCalXMLT[dcaturmasya1],$D44)</f>
        <v>0</v>
      </c>
      <c r="U44">
        <f>INDEX(GCalXMLT[dcaturmasya2],$D44)</f>
        <v>0</v>
      </c>
      <c r="V44" t="str">
        <f>INDEX(GCalXMLT[sankrantirasi],$D44) &amp; " " &amp; INDEX(GCalXMLT[sankrantitime],$D44)</f>
        <v xml:space="preserve"> </v>
      </c>
      <c r="W44" t="str">
        <f ca="1">IFERROR(INDEX('Holidays Calc'!$K$2:$K$233,AR44),"")</f>
        <v/>
      </c>
      <c r="X44" t="str">
        <f ca="1">IF(AR44="","",IF(INDEX('Holidays Calc'!$I$2:$I$233,AR44+1)=A44,INDEX('Holidays Calc'!$K$2:$K$233,AR44+1),""))</f>
        <v/>
      </c>
      <c r="Y44" t="str">
        <f ca="1">IF(AR44="","",IF(INDEX('Holidays Calc'!$I$2:$I$233,AR44+2)=A44,INDEX('Holidays Calc'!$K$2:$K$233,AR44+2),""))</f>
        <v/>
      </c>
      <c r="Z44" t="str">
        <f ca="1">IF(AR44="","",IF(INDEX('Holidays Calc'!$I$2:$I$233,AR44+3)=A44,INDEX('Holidays Calc'!$K$2:$K$2333,AR44+3),""))</f>
        <v/>
      </c>
      <c r="AA44" t="str">
        <f>IF(I44="Last day of Bhisma Pancaka","",IF(G44="*",-0.7,IF(ISBLANK(INDEX(GCalXMLT[dclass1],$D44)),"",INDEX(GCalXMLT[dclass1],$D44))))</f>
        <v/>
      </c>
      <c r="AB44" t="str">
        <f>IF(J44="First day of Bhisma Pancaka","",IF(AND(G44="*",NOT(ISERROR(SEARCH("ekadasi",J44)))),-0.7,IF(ISBLANK(INDEX(GCalXMLT[dclass2],$D44)),"",INDEX(GCalXMLT[dclass2],$D44))))</f>
        <v/>
      </c>
      <c r="AC44" t="str">
        <f>IF(I44="Nandotsava",-1,IF(ISBLANK(INDEX(GCalXMLT[dclass3],$D44)),"",INDEX(GCalXMLT[dclass3],$D44)))</f>
        <v/>
      </c>
      <c r="AD44" t="str">
        <f>IF(I44="Nandotsava",IF(ISBLANK(INDEX(GCalXMLT[dclass3],$D44)),"",INDEX(GCalXMLT[dclass3],$D44)),IF(ISBLANK(INDEX(GCalXMLT[dclass4],$D44)),"",INDEX(GCalXMLT[dclass4],$D44)))</f>
        <v/>
      </c>
      <c r="AE44" t="str">
        <f>IFERROR(INDEX(Festivals!$V$2:$V$160,AP44),"")</f>
        <v/>
      </c>
      <c r="AF44" t="str">
        <f>IFERROR(IF($AQ44&gt;1,INDEX(Festivals!$V$2:$V$160,$AP44+1),""),"")</f>
        <v/>
      </c>
      <c r="AG44" t="str">
        <f>IFERROR(IF($AQ44&gt;2,INDEX(Festivals!$V$2:$V$160,$AP44+2),""),"")</f>
        <v/>
      </c>
      <c r="AH44" t="str">
        <f>IFERROR(IF($AQ44&gt;3,INDEX(Festivals!$V$2:$V$160,$AP44+3),""),"")</f>
        <v/>
      </c>
      <c r="AI44" t="str">
        <f>IFERROR(IF($AQ44&gt;4,INDEX(Festivals!$V$2:$V$160,$AP44+4),""),"")</f>
        <v/>
      </c>
      <c r="AJ44" t="str">
        <f>IFERROR(IF($AQ44&gt;5,INDEX(Festivals!$V$2:$V$160,$AP44+5),""),"")</f>
        <v/>
      </c>
      <c r="AK44" t="str">
        <f>IFERROR(IF($AQ44&gt;6,INDEX(Festivals!$V$2:$V$160,$AP44+6),""),"")</f>
        <v/>
      </c>
      <c r="AL44" t="str">
        <f ca="1">IFERROR(INDEX('Holidays Calc'!$J$2:$J$233,MATCH(A44,'Holidays Calc'!$I$2:$I$233,0)),"")</f>
        <v/>
      </c>
      <c r="AM44" t="str">
        <f ca="1">IF(AR44="","",IF(INDEX('Holidays Calc'!$I$2:$I$233,AR44+1)=A44,INDEX('Holidays Calc'!$J$2:$J$233,AR44+1),""))</f>
        <v/>
      </c>
      <c r="AN44" t="str">
        <f ca="1">IF(AR44="","",IF(INDEX('Holidays Calc'!$I$2:$I$233,AR44+2)=A44,INDEX('Holidays Calc'!$J$2:$J$233,AR44+2),""))</f>
        <v/>
      </c>
      <c r="AO44" t="str">
        <f ca="1">IF(AR44="","",IF(INDEX('Holidays Calc'!$I$2:$I$233,AR44+3)=A44,INDEX('Holidays Calc'!$J$2:$J$233,AR44+3),""))</f>
        <v/>
      </c>
      <c r="AP44" t="str">
        <f>IFERROR(IF($E44=E43,"",MATCH($E44,Festivals!$H$2:$H$160,0)),"")</f>
        <v/>
      </c>
      <c r="AQ44" t="str">
        <f>IF(AP44="","",COUNTIF(Festivals!$H$2:$H$160,$E44))</f>
        <v/>
      </c>
      <c r="AR44" t="str">
        <f ca="1">IFERROR(MATCH(A44,'Holidays Calc'!$I$2:$I$233,0),"")</f>
        <v/>
      </c>
      <c r="AS44" t="str">
        <f t="shared" si="2"/>
        <v/>
      </c>
      <c r="AT44" t="str">
        <f t="shared" si="1"/>
        <v/>
      </c>
      <c r="AU44" t="str">
        <f t="shared" ca="1" si="3"/>
        <v/>
      </c>
      <c r="AV44" t="str">
        <f t="shared" ca="1" si="4"/>
        <v/>
      </c>
    </row>
    <row r="45" spans="1:48" x14ac:dyDescent="0.25">
      <c r="A45" s="265">
        <f t="shared" si="7"/>
        <v>43471</v>
      </c>
      <c r="B45" s="265" t="str">
        <f t="shared" si="8"/>
        <v>6 Jan 2019</v>
      </c>
      <c r="C45" s="267">
        <f t="shared" si="9"/>
        <v>1</v>
      </c>
      <c r="D45">
        <f>MATCH(A45,GCalXMLT[daydate],0)</f>
        <v>44</v>
      </c>
      <c r="E45">
        <f>VALUE("1" &amp; Masacod(INDEX(GCalXMLT[gymasa],D45)) &amp; PaksaCod(INDEX(GCalXMLT[mpaksaid],D45)) &amp; TithiCod(INDEX(GCalXMLT[stithiname],D45)))</f>
        <v>110101</v>
      </c>
      <c r="F45" t="str">
        <f ca="1">INDEX(Parameters!$K$2:$K$16,MATCH(AV45,Parameters!$L$2:$L$16,0))</f>
        <v>C</v>
      </c>
      <c r="G45">
        <f>INDEX(GCalXMLT[fastmark],$D45)</f>
        <v>0</v>
      </c>
      <c r="H45" t="str">
        <f ca="1">INDEX(Parameters!$J$2:$J$16,MATCH(AV45,Parameters!$L$2:$L$16,0))</f>
        <v/>
      </c>
      <c r="I45">
        <f>INDEX(GCalXMLT[dfestival1],$D45)</f>
        <v>0</v>
      </c>
      <c r="J45">
        <f>IF(INDEX(GCalXMLT[dfestival2],$D45)="(Fast today)",INDEX(Festivals!$R$2:$R$180,MATCH($I45,Festivals!$R$2:$R$180,0)+1),INDEX(GCalXMLT[dfestival2],$D45))</f>
        <v>0</v>
      </c>
      <c r="K45">
        <f>IF(I45="Nandotsava","(Fast till noon)",INDEX(GCalXMLT[dfestival3],$D45))</f>
        <v>0</v>
      </c>
      <c r="L45">
        <f>IF(I45="Nandotsava", INDEX(GCalXMLT[dfestival3],$D45),INDEX(GCalXMLT[dfestival4],$D45))</f>
        <v>0</v>
      </c>
      <c r="M45" t="str">
        <f>IFERROR(INDEX(Festivals!$S$2:$S$160,AP45),"")</f>
        <v>Sri Locana Dasa Thakura - Appearance</v>
      </c>
      <c r="N45" t="str">
        <f>IFERROR(IF($AQ45&gt;1,INDEX(Festivals!$S$2:$S$160,$AP45+1),""),"")</f>
        <v/>
      </c>
      <c r="O45" t="str">
        <f>IFERROR(IF($AQ45&gt;2,INDEX(Festivals!$S$2:$S$160,$AP45+2),""),"")</f>
        <v/>
      </c>
      <c r="P45" t="str">
        <f>IFERROR(IF($AQ45&gt;3,INDEX(Festivals!$S$2:$S$160,$AP45+3),""),"")</f>
        <v/>
      </c>
      <c r="Q45" t="str">
        <f>IFERROR(IF($AQ45&gt;4,INDEX(Festivals!$S$2:$S$160,$AP45+4),""),"")</f>
        <v/>
      </c>
      <c r="R45" t="str">
        <f>IFERROR(IF($AQ45&gt;5,INDEX(Festivals!$S$2:$S$160,$AP45+5),""),"")</f>
        <v/>
      </c>
      <c r="S45" t="str">
        <f>IFERROR(IF($AQ45&gt;6,INDEX(Festivals!$S$2:$S$160,$AP45+6),""),"")</f>
        <v/>
      </c>
      <c r="T45">
        <f>INDEX(GCalXMLT[dcaturmasya1],$D45)</f>
        <v>0</v>
      </c>
      <c r="U45">
        <f>INDEX(GCalXMLT[dcaturmasya2],$D45)</f>
        <v>0</v>
      </c>
      <c r="V45" t="str">
        <f>INDEX(GCalXMLT[sankrantirasi],$D45) &amp; " " &amp; INDEX(GCalXMLT[sankrantitime],$D45)</f>
        <v xml:space="preserve"> </v>
      </c>
      <c r="W45" t="str">
        <f ca="1">IFERROR(INDEX('Holidays Calc'!$K$2:$K$233,AR45),"")</f>
        <v/>
      </c>
      <c r="X45" t="str">
        <f ca="1">IF(AR45="","",IF(INDEX('Holidays Calc'!$I$2:$I$233,AR45+1)=A45,INDEX('Holidays Calc'!$K$2:$K$233,AR45+1),""))</f>
        <v/>
      </c>
      <c r="Y45" t="str">
        <f ca="1">IF(AR45="","",IF(INDEX('Holidays Calc'!$I$2:$I$233,AR45+2)=A45,INDEX('Holidays Calc'!$K$2:$K$233,AR45+2),""))</f>
        <v/>
      </c>
      <c r="Z45" t="str">
        <f ca="1">IF(AR45="","",IF(INDEX('Holidays Calc'!$I$2:$I$233,AR45+3)=A45,INDEX('Holidays Calc'!$K$2:$K$2333,AR45+3),""))</f>
        <v/>
      </c>
      <c r="AA45" t="str">
        <f>IF(I45="Last day of Bhisma Pancaka","",IF(G45="*",-0.7,IF(ISBLANK(INDEX(GCalXMLT[dclass1],$D45)),"",INDEX(GCalXMLT[dclass1],$D45))))</f>
        <v/>
      </c>
      <c r="AB45" t="str">
        <f>IF(J45="First day of Bhisma Pancaka","",IF(AND(G45="*",NOT(ISERROR(SEARCH("ekadasi",J45)))),-0.7,IF(ISBLANK(INDEX(GCalXMLT[dclass2],$D45)),"",INDEX(GCalXMLT[dclass2],$D45))))</f>
        <v/>
      </c>
      <c r="AC45" t="str">
        <f>IF(I45="Nandotsava",-1,IF(ISBLANK(INDEX(GCalXMLT[dclass3],$D45)),"",INDEX(GCalXMLT[dclass3],$D45)))</f>
        <v/>
      </c>
      <c r="AD45" t="str">
        <f>IF(I45="Nandotsava",IF(ISBLANK(INDEX(GCalXMLT[dclass3],$D45)),"",INDEX(GCalXMLT[dclass3],$D45)),IF(ISBLANK(INDEX(GCalXMLT[dclass4],$D45)),"",INDEX(GCalXMLT[dclass4],$D45)))</f>
        <v/>
      </c>
      <c r="AE45">
        <f>IFERROR(INDEX(Festivals!$V$2:$V$160,AP45),"")</f>
        <v>3</v>
      </c>
      <c r="AF45" t="str">
        <f>IFERROR(IF($AQ45&gt;1,INDEX(Festivals!$V$2:$V$160,$AP45+1),""),"")</f>
        <v/>
      </c>
      <c r="AG45" t="str">
        <f>IFERROR(IF($AQ45&gt;2,INDEX(Festivals!$V$2:$V$160,$AP45+2),""),"")</f>
        <v/>
      </c>
      <c r="AH45" t="str">
        <f>IFERROR(IF($AQ45&gt;3,INDEX(Festivals!$V$2:$V$160,$AP45+3),""),"")</f>
        <v/>
      </c>
      <c r="AI45" t="str">
        <f>IFERROR(IF($AQ45&gt;4,INDEX(Festivals!$V$2:$V$160,$AP45+4),""),"")</f>
        <v/>
      </c>
      <c r="AJ45" t="str">
        <f>IFERROR(IF($AQ45&gt;5,INDEX(Festivals!$V$2:$V$160,$AP45+5),""),"")</f>
        <v/>
      </c>
      <c r="AK45" t="str">
        <f>IFERROR(IF($AQ45&gt;6,INDEX(Festivals!$V$2:$V$160,$AP45+6),""),"")</f>
        <v/>
      </c>
      <c r="AL45" t="str">
        <f ca="1">IFERROR(INDEX('Holidays Calc'!$J$2:$J$233,MATCH(A45,'Holidays Calc'!$I$2:$I$233,0)),"")</f>
        <v/>
      </c>
      <c r="AM45" t="str">
        <f ca="1">IF(AR45="","",IF(INDEX('Holidays Calc'!$I$2:$I$233,AR45+1)=A45,INDEX('Holidays Calc'!$J$2:$J$233,AR45+1),""))</f>
        <v/>
      </c>
      <c r="AN45" t="str">
        <f ca="1">IF(AR45="","",IF(INDEX('Holidays Calc'!$I$2:$I$233,AR45+2)=A45,INDEX('Holidays Calc'!$J$2:$J$233,AR45+2),""))</f>
        <v/>
      </c>
      <c r="AO45" t="str">
        <f ca="1">IF(AR45="","",IF(INDEX('Holidays Calc'!$I$2:$I$233,AR45+3)=A45,INDEX('Holidays Calc'!$J$2:$J$233,AR45+3),""))</f>
        <v/>
      </c>
      <c r="AP45">
        <f>IFERROR(IF($E45=E44,"",MATCH($E45,Festivals!$H$2:$H$160,0)),"")</f>
        <v>120</v>
      </c>
      <c r="AQ45">
        <f>IF(AP45="","",COUNTIF(Festivals!$H$2:$H$160,$E45))</f>
        <v>1</v>
      </c>
      <c r="AR45" t="str">
        <f ca="1">IFERROR(MATCH(A45,'Holidays Calc'!$I$2:$I$233,0),"")</f>
        <v/>
      </c>
      <c r="AS45">
        <f t="shared" si="2"/>
        <v>3</v>
      </c>
      <c r="AT45">
        <f t="shared" si="1"/>
        <v>3</v>
      </c>
      <c r="AU45" t="str">
        <f t="shared" ca="1" si="3"/>
        <v/>
      </c>
      <c r="AV45">
        <f t="shared" ca="1" si="4"/>
        <v>3</v>
      </c>
    </row>
    <row r="46" spans="1:48" x14ac:dyDescent="0.25">
      <c r="A46" s="265">
        <f t="shared" si="7"/>
        <v>43472</v>
      </c>
      <c r="B46" s="265" t="str">
        <f t="shared" si="8"/>
        <v>7 Jan 2019</v>
      </c>
      <c r="C46" s="267">
        <f t="shared" si="9"/>
        <v>2</v>
      </c>
      <c r="D46">
        <f>MATCH(A46,GCalXMLT[daydate],0)</f>
        <v>45</v>
      </c>
      <c r="E46">
        <f>VALUE("1" &amp; Masacod(INDEX(GCalXMLT[gymasa],D46)) &amp; PaksaCod(INDEX(GCalXMLT[mpaksaid],D46)) &amp; TithiCod(INDEX(GCalXMLT[stithiname],D46)))</f>
        <v>110102</v>
      </c>
      <c r="F46" t="str">
        <f ca="1">INDEX(Parameters!$K$2:$K$16,MATCH(AV46,Parameters!$L$2:$L$16,0))</f>
        <v/>
      </c>
      <c r="G46">
        <f>INDEX(GCalXMLT[fastmark],$D46)</f>
        <v>0</v>
      </c>
      <c r="H46" t="str">
        <f ca="1">INDEX(Parameters!$J$2:$J$16,MATCH(AV46,Parameters!$L$2:$L$16,0))</f>
        <v/>
      </c>
      <c r="I46">
        <f>INDEX(GCalXMLT[dfestival1],$D46)</f>
        <v>0</v>
      </c>
      <c r="J46">
        <f>IF(INDEX(GCalXMLT[dfestival2],$D46)="(Fast today)",INDEX(Festivals!$R$2:$R$180,MATCH($I46,Festivals!$R$2:$R$180,0)+1),INDEX(GCalXMLT[dfestival2],$D46))</f>
        <v>0</v>
      </c>
      <c r="K46">
        <f>IF(I46="Nandotsava","(Fast till noon)",INDEX(GCalXMLT[dfestival3],$D46))</f>
        <v>0</v>
      </c>
      <c r="L46">
        <f>IF(I46="Nandotsava", INDEX(GCalXMLT[dfestival3],$D46),INDEX(GCalXMLT[dfestival4],$D46))</f>
        <v>0</v>
      </c>
      <c r="M46" t="str">
        <f>IFERROR(INDEX(Festivals!$S$2:$S$160,AP46),"")</f>
        <v/>
      </c>
      <c r="N46" t="str">
        <f>IFERROR(IF($AQ46&gt;1,INDEX(Festivals!$S$2:$S$160,$AP46+1),""),"")</f>
        <v/>
      </c>
      <c r="O46" t="str">
        <f>IFERROR(IF($AQ46&gt;2,INDEX(Festivals!$S$2:$S$160,$AP46+2),""),"")</f>
        <v/>
      </c>
      <c r="P46" t="str">
        <f>IFERROR(IF($AQ46&gt;3,INDEX(Festivals!$S$2:$S$160,$AP46+3),""),"")</f>
        <v/>
      </c>
      <c r="Q46" t="str">
        <f>IFERROR(IF($AQ46&gt;4,INDEX(Festivals!$S$2:$S$160,$AP46+4),""),"")</f>
        <v/>
      </c>
      <c r="R46" t="str">
        <f>IFERROR(IF($AQ46&gt;5,INDEX(Festivals!$S$2:$S$160,$AP46+5),""),"")</f>
        <v/>
      </c>
      <c r="S46" t="str">
        <f>IFERROR(IF($AQ46&gt;6,INDEX(Festivals!$S$2:$S$160,$AP46+6),""),"")</f>
        <v/>
      </c>
      <c r="T46">
        <f>INDEX(GCalXMLT[dcaturmasya1],$D46)</f>
        <v>0</v>
      </c>
      <c r="U46">
        <f>INDEX(GCalXMLT[dcaturmasya2],$D46)</f>
        <v>0</v>
      </c>
      <c r="V46" t="str">
        <f>INDEX(GCalXMLT[sankrantirasi],$D46) &amp; " " &amp; INDEX(GCalXMLT[sankrantitime],$D46)</f>
        <v xml:space="preserve"> </v>
      </c>
      <c r="W46" t="str">
        <f ca="1">IFERROR(INDEX('Holidays Calc'!$K$2:$K$233,AR46),"")</f>
        <v/>
      </c>
      <c r="X46" t="str">
        <f ca="1">IF(AR46="","",IF(INDEX('Holidays Calc'!$I$2:$I$233,AR46+1)=A46,INDEX('Holidays Calc'!$K$2:$K$233,AR46+1),""))</f>
        <v/>
      </c>
      <c r="Y46" t="str">
        <f ca="1">IF(AR46="","",IF(INDEX('Holidays Calc'!$I$2:$I$233,AR46+2)=A46,INDEX('Holidays Calc'!$K$2:$K$233,AR46+2),""))</f>
        <v/>
      </c>
      <c r="Z46" t="str">
        <f ca="1">IF(AR46="","",IF(INDEX('Holidays Calc'!$I$2:$I$233,AR46+3)=A46,INDEX('Holidays Calc'!$K$2:$K$2333,AR46+3),""))</f>
        <v/>
      </c>
      <c r="AA46" t="str">
        <f>IF(I46="Last day of Bhisma Pancaka","",IF(G46="*",-0.7,IF(ISBLANK(INDEX(GCalXMLT[dclass1],$D46)),"",INDEX(GCalXMLT[dclass1],$D46))))</f>
        <v/>
      </c>
      <c r="AB46" t="str">
        <f>IF(J46="First day of Bhisma Pancaka","",IF(AND(G46="*",NOT(ISERROR(SEARCH("ekadasi",J46)))),-0.7,IF(ISBLANK(INDEX(GCalXMLT[dclass2],$D46)),"",INDEX(GCalXMLT[dclass2],$D46))))</f>
        <v/>
      </c>
      <c r="AC46" t="str">
        <f>IF(I46="Nandotsava",-1,IF(ISBLANK(INDEX(GCalXMLT[dclass3],$D46)),"",INDEX(GCalXMLT[dclass3],$D46)))</f>
        <v/>
      </c>
      <c r="AD46" t="str">
        <f>IF(I46="Nandotsava",IF(ISBLANK(INDEX(GCalXMLT[dclass3],$D46)),"",INDEX(GCalXMLT[dclass3],$D46)),IF(ISBLANK(INDEX(GCalXMLT[dclass4],$D46)),"",INDEX(GCalXMLT[dclass4],$D46)))</f>
        <v/>
      </c>
      <c r="AE46" t="str">
        <f>IFERROR(INDEX(Festivals!$V$2:$V$160,AP46),"")</f>
        <v/>
      </c>
      <c r="AF46" t="str">
        <f>IFERROR(IF($AQ46&gt;1,INDEX(Festivals!$V$2:$V$160,$AP46+1),""),"")</f>
        <v/>
      </c>
      <c r="AG46" t="str">
        <f>IFERROR(IF($AQ46&gt;2,INDEX(Festivals!$V$2:$V$160,$AP46+2),""),"")</f>
        <v/>
      </c>
      <c r="AH46" t="str">
        <f>IFERROR(IF($AQ46&gt;3,INDEX(Festivals!$V$2:$V$160,$AP46+3),""),"")</f>
        <v/>
      </c>
      <c r="AI46" t="str">
        <f>IFERROR(IF($AQ46&gt;4,INDEX(Festivals!$V$2:$V$160,$AP46+4),""),"")</f>
        <v/>
      </c>
      <c r="AJ46" t="str">
        <f>IFERROR(IF($AQ46&gt;5,INDEX(Festivals!$V$2:$V$160,$AP46+5),""),"")</f>
        <v/>
      </c>
      <c r="AK46" t="str">
        <f>IFERROR(IF($AQ46&gt;6,INDEX(Festivals!$V$2:$V$160,$AP46+6),""),"")</f>
        <v/>
      </c>
      <c r="AL46" t="str">
        <f ca="1">IFERROR(INDEX('Holidays Calc'!$J$2:$J$233,MATCH(A46,'Holidays Calc'!$I$2:$I$233,0)),"")</f>
        <v/>
      </c>
      <c r="AM46" t="str">
        <f ca="1">IF(AR46="","",IF(INDEX('Holidays Calc'!$I$2:$I$233,AR46+1)=A46,INDEX('Holidays Calc'!$J$2:$J$233,AR46+1),""))</f>
        <v/>
      </c>
      <c r="AN46" t="str">
        <f ca="1">IF(AR46="","",IF(INDEX('Holidays Calc'!$I$2:$I$233,AR46+2)=A46,INDEX('Holidays Calc'!$J$2:$J$233,AR46+2),""))</f>
        <v/>
      </c>
      <c r="AO46" t="str">
        <f ca="1">IF(AR46="","",IF(INDEX('Holidays Calc'!$I$2:$I$233,AR46+3)=A46,INDEX('Holidays Calc'!$J$2:$J$233,AR46+3),""))</f>
        <v/>
      </c>
      <c r="AP46" t="str">
        <f>IFERROR(IF($E46=E45,"",MATCH($E46,Festivals!$H$2:$H$160,0)),"")</f>
        <v/>
      </c>
      <c r="AQ46" t="str">
        <f>IF(AP46="","",COUNTIF(Festivals!$H$2:$H$160,$E46))</f>
        <v/>
      </c>
      <c r="AR46" t="str">
        <f ca="1">IFERROR(MATCH(A46,'Holidays Calc'!$I$2:$I$233,0),"")</f>
        <v/>
      </c>
      <c r="AS46" t="str">
        <f t="shared" si="2"/>
        <v/>
      </c>
      <c r="AT46" t="str">
        <f t="shared" si="1"/>
        <v/>
      </c>
      <c r="AU46" t="str">
        <f t="shared" ca="1" si="3"/>
        <v/>
      </c>
      <c r="AV46" t="str">
        <f t="shared" ca="1" si="4"/>
        <v/>
      </c>
    </row>
    <row r="47" spans="1:48" x14ac:dyDescent="0.25">
      <c r="A47" s="265">
        <f t="shared" si="7"/>
        <v>43473</v>
      </c>
      <c r="B47" s="265" t="str">
        <f t="shared" si="8"/>
        <v>8 Jan 2019</v>
      </c>
      <c r="C47" s="267">
        <f t="shared" si="9"/>
        <v>2</v>
      </c>
      <c r="D47">
        <f>MATCH(A47,GCalXMLT[daydate],0)</f>
        <v>46</v>
      </c>
      <c r="E47">
        <f>VALUE("1" &amp; Masacod(INDEX(GCalXMLT[gymasa],D47)) &amp; PaksaCod(INDEX(GCalXMLT[mpaksaid],D47)) &amp; TithiCod(INDEX(GCalXMLT[stithiname],D47)))</f>
        <v>110103</v>
      </c>
      <c r="F47" t="str">
        <f ca="1">INDEX(Parameters!$K$2:$K$16,MATCH(AV47,Parameters!$L$2:$L$16,0))</f>
        <v>C</v>
      </c>
      <c r="G47">
        <f>INDEX(GCalXMLT[fastmark],$D47)</f>
        <v>0</v>
      </c>
      <c r="H47" t="str">
        <f ca="1">INDEX(Parameters!$J$2:$J$16,MATCH(AV47,Parameters!$L$2:$L$16,0))</f>
        <v/>
      </c>
      <c r="I47">
        <f>INDEX(GCalXMLT[dfestival1],$D47)</f>
        <v>0</v>
      </c>
      <c r="J47">
        <f>IF(INDEX(GCalXMLT[dfestival2],$D47)="(Fast today)",INDEX(Festivals!$R$2:$R$180,MATCH($I47,Festivals!$R$2:$R$180,0)+1),INDEX(GCalXMLT[dfestival2],$D47))</f>
        <v>0</v>
      </c>
      <c r="K47">
        <f>IF(I47="Nandotsava","(Fast till noon)",INDEX(GCalXMLT[dfestival3],$D47))</f>
        <v>0</v>
      </c>
      <c r="L47">
        <f>IF(I47="Nandotsava", INDEX(GCalXMLT[dfestival3],$D47),INDEX(GCalXMLT[dfestival4],$D47))</f>
        <v>0</v>
      </c>
      <c r="M47" t="str">
        <f>IFERROR(INDEX(Festivals!$S$2:$S$160,AP47),"")</f>
        <v>Srila Jiva Gosvami - Disappearance</v>
      </c>
      <c r="N47" t="str">
        <f>IFERROR(IF($AQ47&gt;1,INDEX(Festivals!$S$2:$S$160,$AP47+1),""),"")</f>
        <v>Sri Jagadisa Pandita - Disappearance</v>
      </c>
      <c r="O47" t="str">
        <f>IFERROR(IF($AQ47&gt;2,INDEX(Festivals!$S$2:$S$160,$AP47+2),""),"")</f>
        <v/>
      </c>
      <c r="P47" t="str">
        <f>IFERROR(IF($AQ47&gt;3,INDEX(Festivals!$S$2:$S$160,$AP47+3),""),"")</f>
        <v/>
      </c>
      <c r="Q47" t="str">
        <f>IFERROR(IF($AQ47&gt;4,INDEX(Festivals!$S$2:$S$160,$AP47+4),""),"")</f>
        <v/>
      </c>
      <c r="R47" t="str">
        <f>IFERROR(IF($AQ47&gt;5,INDEX(Festivals!$S$2:$S$160,$AP47+5),""),"")</f>
        <v/>
      </c>
      <c r="S47" t="str">
        <f>IFERROR(IF($AQ47&gt;6,INDEX(Festivals!$S$2:$S$160,$AP47+6),""),"")</f>
        <v/>
      </c>
      <c r="T47">
        <f>INDEX(GCalXMLT[dcaturmasya1],$D47)</f>
        <v>0</v>
      </c>
      <c r="U47">
        <f>INDEX(GCalXMLT[dcaturmasya2],$D47)</f>
        <v>0</v>
      </c>
      <c r="V47" t="str">
        <f>INDEX(GCalXMLT[sankrantirasi],$D47) &amp; " " &amp; INDEX(GCalXMLT[sankrantitime],$D47)</f>
        <v xml:space="preserve"> </v>
      </c>
      <c r="W47" t="str">
        <f ca="1">IFERROR(INDEX('Holidays Calc'!$K$2:$K$233,AR47),"")</f>
        <v/>
      </c>
      <c r="X47" t="str">
        <f ca="1">IF(AR47="","",IF(INDEX('Holidays Calc'!$I$2:$I$233,AR47+1)=A47,INDEX('Holidays Calc'!$K$2:$K$233,AR47+1),""))</f>
        <v/>
      </c>
      <c r="Y47" t="str">
        <f ca="1">IF(AR47="","",IF(INDEX('Holidays Calc'!$I$2:$I$233,AR47+2)=A47,INDEX('Holidays Calc'!$K$2:$K$233,AR47+2),""))</f>
        <v/>
      </c>
      <c r="Z47" t="str">
        <f ca="1">IF(AR47="","",IF(INDEX('Holidays Calc'!$I$2:$I$233,AR47+3)=A47,INDEX('Holidays Calc'!$K$2:$K$2333,AR47+3),""))</f>
        <v/>
      </c>
      <c r="AA47" t="str">
        <f>IF(I47="Last day of Bhisma Pancaka","",IF(G47="*",-0.7,IF(ISBLANK(INDEX(GCalXMLT[dclass1],$D47)),"",INDEX(GCalXMLT[dclass1],$D47))))</f>
        <v/>
      </c>
      <c r="AB47" t="str">
        <f>IF(J47="First day of Bhisma Pancaka","",IF(AND(G47="*",NOT(ISERROR(SEARCH("ekadasi",J47)))),-0.7,IF(ISBLANK(INDEX(GCalXMLT[dclass2],$D47)),"",INDEX(GCalXMLT[dclass2],$D47))))</f>
        <v/>
      </c>
      <c r="AC47" t="str">
        <f>IF(I47="Nandotsava",-1,IF(ISBLANK(INDEX(GCalXMLT[dclass3],$D47)),"",INDEX(GCalXMLT[dclass3],$D47)))</f>
        <v/>
      </c>
      <c r="AD47" t="str">
        <f>IF(I47="Nandotsava",IF(ISBLANK(INDEX(GCalXMLT[dclass3],$D47)),"",INDEX(GCalXMLT[dclass3],$D47)),IF(ISBLANK(INDEX(GCalXMLT[dclass4],$D47)),"",INDEX(GCalXMLT[dclass4],$D47)))</f>
        <v/>
      </c>
      <c r="AE47">
        <f>IFERROR(INDEX(Festivals!$V$2:$V$160,AP47),"")</f>
        <v>3</v>
      </c>
      <c r="AF47">
        <f>IFERROR(IF($AQ47&gt;1,INDEX(Festivals!$V$2:$V$160,$AP47+1),""),"")</f>
        <v>3</v>
      </c>
      <c r="AG47" t="str">
        <f>IFERROR(IF($AQ47&gt;2,INDEX(Festivals!$V$2:$V$160,$AP47+2),""),"")</f>
        <v/>
      </c>
      <c r="AH47" t="str">
        <f>IFERROR(IF($AQ47&gt;3,INDEX(Festivals!$V$2:$V$160,$AP47+3),""),"")</f>
        <v/>
      </c>
      <c r="AI47" t="str">
        <f>IFERROR(IF($AQ47&gt;4,INDEX(Festivals!$V$2:$V$160,$AP47+4),""),"")</f>
        <v/>
      </c>
      <c r="AJ47" t="str">
        <f>IFERROR(IF($AQ47&gt;5,INDEX(Festivals!$V$2:$V$160,$AP47+5),""),"")</f>
        <v/>
      </c>
      <c r="AK47" t="str">
        <f>IFERROR(IF($AQ47&gt;6,INDEX(Festivals!$V$2:$V$160,$AP47+6),""),"")</f>
        <v/>
      </c>
      <c r="AL47" t="str">
        <f ca="1">IFERROR(INDEX('Holidays Calc'!$J$2:$J$233,MATCH(A47,'Holidays Calc'!$I$2:$I$233,0)),"")</f>
        <v/>
      </c>
      <c r="AM47" t="str">
        <f ca="1">IF(AR47="","",IF(INDEX('Holidays Calc'!$I$2:$I$233,AR47+1)=A47,INDEX('Holidays Calc'!$J$2:$J$233,AR47+1),""))</f>
        <v/>
      </c>
      <c r="AN47" t="str">
        <f ca="1">IF(AR47="","",IF(INDEX('Holidays Calc'!$I$2:$I$233,AR47+2)=A47,INDEX('Holidays Calc'!$J$2:$J$233,AR47+2),""))</f>
        <v/>
      </c>
      <c r="AO47" t="str">
        <f ca="1">IF(AR47="","",IF(INDEX('Holidays Calc'!$I$2:$I$233,AR47+3)=A47,INDEX('Holidays Calc'!$J$2:$J$233,AR47+3),""))</f>
        <v/>
      </c>
      <c r="AP47">
        <f>IFERROR(IF($E47=E46,"",MATCH($E47,Festivals!$H$2:$H$160,0)),"")</f>
        <v>121</v>
      </c>
      <c r="AQ47">
        <f>IF(AP47="","",COUNTIF(Festivals!$H$2:$H$160,$E47))</f>
        <v>2</v>
      </c>
      <c r="AR47" t="str">
        <f ca="1">IFERROR(MATCH(A47,'Holidays Calc'!$I$2:$I$233,0),"")</f>
        <v/>
      </c>
      <c r="AS47">
        <f t="shared" si="2"/>
        <v>3</v>
      </c>
      <c r="AT47">
        <f t="shared" si="1"/>
        <v>3</v>
      </c>
      <c r="AU47" t="str">
        <f t="shared" ca="1" si="3"/>
        <v/>
      </c>
      <c r="AV47">
        <f t="shared" ca="1" si="4"/>
        <v>3</v>
      </c>
    </row>
    <row r="48" spans="1:48" x14ac:dyDescent="0.25">
      <c r="A48" s="265">
        <f t="shared" si="7"/>
        <v>43474</v>
      </c>
      <c r="B48" s="265" t="str">
        <f t="shared" si="8"/>
        <v>9 Jan 2019</v>
      </c>
      <c r="C48" s="267">
        <f t="shared" si="9"/>
        <v>2</v>
      </c>
      <c r="D48">
        <f>MATCH(A48,GCalXMLT[daydate],0)</f>
        <v>47</v>
      </c>
      <c r="E48">
        <f>VALUE("1" &amp; Masacod(INDEX(GCalXMLT[gymasa],D48)) &amp; PaksaCod(INDEX(GCalXMLT[mpaksaid],D48)) &amp; TithiCod(INDEX(GCalXMLT[stithiname],D48)))</f>
        <v>110103</v>
      </c>
      <c r="F48" t="str">
        <f ca="1">INDEX(Parameters!$K$2:$K$16,MATCH(AV48,Parameters!$L$2:$L$16,0))</f>
        <v/>
      </c>
      <c r="G48">
        <f>INDEX(GCalXMLT[fastmark],$D48)</f>
        <v>0</v>
      </c>
      <c r="H48" t="str">
        <f ca="1">INDEX(Parameters!$J$2:$J$16,MATCH(AV48,Parameters!$L$2:$L$16,0))</f>
        <v/>
      </c>
      <c r="I48">
        <f>INDEX(GCalXMLT[dfestival1],$D48)</f>
        <v>0</v>
      </c>
      <c r="J48">
        <f>IF(INDEX(GCalXMLT[dfestival2],$D48)="(Fast today)",INDEX(Festivals!$R$2:$R$180,MATCH($I48,Festivals!$R$2:$R$180,0)+1),INDEX(GCalXMLT[dfestival2],$D48))</f>
        <v>0</v>
      </c>
      <c r="K48">
        <f>IF(I48="Nandotsava","(Fast till noon)",INDEX(GCalXMLT[dfestival3],$D48))</f>
        <v>0</v>
      </c>
      <c r="L48">
        <f>IF(I48="Nandotsava", INDEX(GCalXMLT[dfestival3],$D48),INDEX(GCalXMLT[dfestival4],$D48))</f>
        <v>0</v>
      </c>
      <c r="M48" t="str">
        <f>IFERROR(INDEX(Festivals!$S$2:$S$160,AP48),"")</f>
        <v/>
      </c>
      <c r="N48" t="str">
        <f>IFERROR(IF($AQ48&gt;1,INDEX(Festivals!$S$2:$S$160,$AP48+1),""),"")</f>
        <v/>
      </c>
      <c r="O48" t="str">
        <f>IFERROR(IF($AQ48&gt;2,INDEX(Festivals!$S$2:$S$160,$AP48+2),""),"")</f>
        <v/>
      </c>
      <c r="P48" t="str">
        <f>IFERROR(IF($AQ48&gt;3,INDEX(Festivals!$S$2:$S$160,$AP48+3),""),"")</f>
        <v/>
      </c>
      <c r="Q48" t="str">
        <f>IFERROR(IF($AQ48&gt;4,INDEX(Festivals!$S$2:$S$160,$AP48+4),""),"")</f>
        <v/>
      </c>
      <c r="R48" t="str">
        <f>IFERROR(IF($AQ48&gt;5,INDEX(Festivals!$S$2:$S$160,$AP48+5),""),"")</f>
        <v/>
      </c>
      <c r="S48" t="str">
        <f>IFERROR(IF($AQ48&gt;6,INDEX(Festivals!$S$2:$S$160,$AP48+6),""),"")</f>
        <v/>
      </c>
      <c r="T48">
        <f>INDEX(GCalXMLT[dcaturmasya1],$D48)</f>
        <v>0</v>
      </c>
      <c r="U48">
        <f>INDEX(GCalXMLT[dcaturmasya2],$D48)</f>
        <v>0</v>
      </c>
      <c r="V48" t="str">
        <f>INDEX(GCalXMLT[sankrantirasi],$D48) &amp; " " &amp; INDEX(GCalXMLT[sankrantitime],$D48)</f>
        <v xml:space="preserve"> </v>
      </c>
      <c r="W48" t="str">
        <f ca="1">IFERROR(INDEX('Holidays Calc'!$K$2:$K$233,AR48),"")</f>
        <v/>
      </c>
      <c r="X48" t="str">
        <f ca="1">IF(AR48="","",IF(INDEX('Holidays Calc'!$I$2:$I$233,AR48+1)=A48,INDEX('Holidays Calc'!$K$2:$K$233,AR48+1),""))</f>
        <v/>
      </c>
      <c r="Y48" t="str">
        <f ca="1">IF(AR48="","",IF(INDEX('Holidays Calc'!$I$2:$I$233,AR48+2)=A48,INDEX('Holidays Calc'!$K$2:$K$233,AR48+2),""))</f>
        <v/>
      </c>
      <c r="Z48" t="str">
        <f ca="1">IF(AR48="","",IF(INDEX('Holidays Calc'!$I$2:$I$233,AR48+3)=A48,INDEX('Holidays Calc'!$K$2:$K$2333,AR48+3),""))</f>
        <v/>
      </c>
      <c r="AA48" t="str">
        <f>IF(I48="Last day of Bhisma Pancaka","",IF(G48="*",-0.7,IF(ISBLANK(INDEX(GCalXMLT[dclass1],$D48)),"",INDEX(GCalXMLT[dclass1],$D48))))</f>
        <v/>
      </c>
      <c r="AB48" t="str">
        <f>IF(J48="First day of Bhisma Pancaka","",IF(AND(G48="*",NOT(ISERROR(SEARCH("ekadasi",J48)))),-0.7,IF(ISBLANK(INDEX(GCalXMLT[dclass2],$D48)),"",INDEX(GCalXMLT[dclass2],$D48))))</f>
        <v/>
      </c>
      <c r="AC48" t="str">
        <f>IF(I48="Nandotsava",-1,IF(ISBLANK(INDEX(GCalXMLT[dclass3],$D48)),"",INDEX(GCalXMLT[dclass3],$D48)))</f>
        <v/>
      </c>
      <c r="AD48" t="str">
        <f>IF(I48="Nandotsava",IF(ISBLANK(INDEX(GCalXMLT[dclass3],$D48)),"",INDEX(GCalXMLT[dclass3],$D48)),IF(ISBLANK(INDEX(GCalXMLT[dclass4],$D48)),"",INDEX(GCalXMLT[dclass4],$D48)))</f>
        <v/>
      </c>
      <c r="AE48" t="str">
        <f>IFERROR(INDEX(Festivals!$V$2:$V$160,AP48),"")</f>
        <v/>
      </c>
      <c r="AF48" t="str">
        <f>IFERROR(IF($AQ48&gt;1,INDEX(Festivals!$V$2:$V$160,$AP48+1),""),"")</f>
        <v/>
      </c>
      <c r="AG48" t="str">
        <f>IFERROR(IF($AQ48&gt;2,INDEX(Festivals!$V$2:$V$160,$AP48+2),""),"")</f>
        <v/>
      </c>
      <c r="AH48" t="str">
        <f>IFERROR(IF($AQ48&gt;3,INDEX(Festivals!$V$2:$V$160,$AP48+3),""),"")</f>
        <v/>
      </c>
      <c r="AI48" t="str">
        <f>IFERROR(IF($AQ48&gt;4,INDEX(Festivals!$V$2:$V$160,$AP48+4),""),"")</f>
        <v/>
      </c>
      <c r="AJ48" t="str">
        <f>IFERROR(IF($AQ48&gt;5,INDEX(Festivals!$V$2:$V$160,$AP48+5),""),"")</f>
        <v/>
      </c>
      <c r="AK48" t="str">
        <f>IFERROR(IF($AQ48&gt;6,INDEX(Festivals!$V$2:$V$160,$AP48+6),""),"")</f>
        <v/>
      </c>
      <c r="AL48" t="str">
        <f ca="1">IFERROR(INDEX('Holidays Calc'!$J$2:$J$233,MATCH(A48,'Holidays Calc'!$I$2:$I$233,0)),"")</f>
        <v/>
      </c>
      <c r="AM48" t="str">
        <f ca="1">IF(AR48="","",IF(INDEX('Holidays Calc'!$I$2:$I$233,AR48+1)=A48,INDEX('Holidays Calc'!$J$2:$J$233,AR48+1),""))</f>
        <v/>
      </c>
      <c r="AN48" t="str">
        <f ca="1">IF(AR48="","",IF(INDEX('Holidays Calc'!$I$2:$I$233,AR48+2)=A48,INDEX('Holidays Calc'!$J$2:$J$233,AR48+2),""))</f>
        <v/>
      </c>
      <c r="AO48" t="str">
        <f ca="1">IF(AR48="","",IF(INDEX('Holidays Calc'!$I$2:$I$233,AR48+3)=A48,INDEX('Holidays Calc'!$J$2:$J$233,AR48+3),""))</f>
        <v/>
      </c>
      <c r="AP48" t="str">
        <f>IFERROR(IF($E48=E47,"",MATCH($E48,Festivals!$H$2:$H$160,0)),"")</f>
        <v/>
      </c>
      <c r="AQ48" t="str">
        <f>IF(AP48="","",COUNTIF(Festivals!$H$2:$H$160,$E48))</f>
        <v/>
      </c>
      <c r="AR48" t="str">
        <f ca="1">IFERROR(MATCH(A48,'Holidays Calc'!$I$2:$I$233,0),"")</f>
        <v/>
      </c>
      <c r="AS48" t="str">
        <f t="shared" si="2"/>
        <v/>
      </c>
      <c r="AT48" t="str">
        <f t="shared" si="1"/>
        <v/>
      </c>
      <c r="AU48" t="str">
        <f t="shared" ca="1" si="3"/>
        <v/>
      </c>
      <c r="AV48" t="str">
        <f t="shared" ca="1" si="4"/>
        <v/>
      </c>
    </row>
    <row r="49" spans="1:48" x14ac:dyDescent="0.25">
      <c r="A49" s="265">
        <f t="shared" si="7"/>
        <v>43475</v>
      </c>
      <c r="B49" s="265" t="str">
        <f t="shared" si="8"/>
        <v>10 Jan 2019</v>
      </c>
      <c r="C49" s="267">
        <f t="shared" si="9"/>
        <v>2</v>
      </c>
      <c r="D49">
        <f>MATCH(A49,GCalXMLT[daydate],0)</f>
        <v>48</v>
      </c>
      <c r="E49">
        <f>VALUE("1" &amp; Masacod(INDEX(GCalXMLT[gymasa],D49)) &amp; PaksaCod(INDEX(GCalXMLT[mpaksaid],D49)) &amp; TithiCod(INDEX(GCalXMLT[stithiname],D49)))</f>
        <v>110104</v>
      </c>
      <c r="F49" t="str">
        <f ca="1">INDEX(Parameters!$K$2:$K$16,MATCH(AV49,Parameters!$L$2:$L$16,0))</f>
        <v/>
      </c>
      <c r="G49">
        <f>INDEX(GCalXMLT[fastmark],$D49)</f>
        <v>0</v>
      </c>
      <c r="H49" t="str">
        <f ca="1">INDEX(Parameters!$J$2:$J$16,MATCH(AV49,Parameters!$L$2:$L$16,0))</f>
        <v/>
      </c>
      <c r="I49">
        <f>INDEX(GCalXMLT[dfestival1],$D49)</f>
        <v>0</v>
      </c>
      <c r="J49">
        <f>IF(INDEX(GCalXMLT[dfestival2],$D49)="(Fast today)",INDEX(Festivals!$R$2:$R$180,MATCH($I49,Festivals!$R$2:$R$180,0)+1),INDEX(GCalXMLT[dfestival2],$D49))</f>
        <v>0</v>
      </c>
      <c r="K49">
        <f>IF(I49="Nandotsava","(Fast till noon)",INDEX(GCalXMLT[dfestival3],$D49))</f>
        <v>0</v>
      </c>
      <c r="L49">
        <f>IF(I49="Nandotsava", INDEX(GCalXMLT[dfestival3],$D49),INDEX(GCalXMLT[dfestival4],$D49))</f>
        <v>0</v>
      </c>
      <c r="M49" t="str">
        <f>IFERROR(INDEX(Festivals!$S$2:$S$160,AP49),"")</f>
        <v/>
      </c>
      <c r="N49" t="str">
        <f>IFERROR(IF($AQ49&gt;1,INDEX(Festivals!$S$2:$S$160,$AP49+1),""),"")</f>
        <v/>
      </c>
      <c r="O49" t="str">
        <f>IFERROR(IF($AQ49&gt;2,INDEX(Festivals!$S$2:$S$160,$AP49+2),""),"")</f>
        <v/>
      </c>
      <c r="P49" t="str">
        <f>IFERROR(IF($AQ49&gt;3,INDEX(Festivals!$S$2:$S$160,$AP49+3),""),"")</f>
        <v/>
      </c>
      <c r="Q49" t="str">
        <f>IFERROR(IF($AQ49&gt;4,INDEX(Festivals!$S$2:$S$160,$AP49+4),""),"")</f>
        <v/>
      </c>
      <c r="R49" t="str">
        <f>IFERROR(IF($AQ49&gt;5,INDEX(Festivals!$S$2:$S$160,$AP49+5),""),"")</f>
        <v/>
      </c>
      <c r="S49" t="str">
        <f>IFERROR(IF($AQ49&gt;6,INDEX(Festivals!$S$2:$S$160,$AP49+6),""),"")</f>
        <v/>
      </c>
      <c r="T49">
        <f>INDEX(GCalXMLT[dcaturmasya1],$D49)</f>
        <v>0</v>
      </c>
      <c r="U49">
        <f>INDEX(GCalXMLT[dcaturmasya2],$D49)</f>
        <v>0</v>
      </c>
      <c r="V49" t="str">
        <f>INDEX(GCalXMLT[sankrantirasi],$D49) &amp; " " &amp; INDEX(GCalXMLT[sankrantitime],$D49)</f>
        <v xml:space="preserve"> </v>
      </c>
      <c r="W49" t="str">
        <f ca="1">IFERROR(INDEX('Holidays Calc'!$K$2:$K$233,AR49),"")</f>
        <v/>
      </c>
      <c r="X49" t="str">
        <f ca="1">IF(AR49="","",IF(INDEX('Holidays Calc'!$I$2:$I$233,AR49+1)=A49,INDEX('Holidays Calc'!$K$2:$K$233,AR49+1),""))</f>
        <v/>
      </c>
      <c r="Y49" t="str">
        <f ca="1">IF(AR49="","",IF(INDEX('Holidays Calc'!$I$2:$I$233,AR49+2)=A49,INDEX('Holidays Calc'!$K$2:$K$233,AR49+2),""))</f>
        <v/>
      </c>
      <c r="Z49" t="str">
        <f ca="1">IF(AR49="","",IF(INDEX('Holidays Calc'!$I$2:$I$233,AR49+3)=A49,INDEX('Holidays Calc'!$K$2:$K$2333,AR49+3),""))</f>
        <v/>
      </c>
      <c r="AA49" t="str">
        <f>IF(I49="Last day of Bhisma Pancaka","",IF(G49="*",-0.7,IF(ISBLANK(INDEX(GCalXMLT[dclass1],$D49)),"",INDEX(GCalXMLT[dclass1],$D49))))</f>
        <v/>
      </c>
      <c r="AB49" t="str">
        <f>IF(J49="First day of Bhisma Pancaka","",IF(AND(G49="*",NOT(ISERROR(SEARCH("ekadasi",J49)))),-0.7,IF(ISBLANK(INDEX(GCalXMLT[dclass2],$D49)),"",INDEX(GCalXMLT[dclass2],$D49))))</f>
        <v/>
      </c>
      <c r="AC49" t="str">
        <f>IF(I49="Nandotsava",-1,IF(ISBLANK(INDEX(GCalXMLT[dclass3],$D49)),"",INDEX(GCalXMLT[dclass3],$D49)))</f>
        <v/>
      </c>
      <c r="AD49" t="str">
        <f>IF(I49="Nandotsava",IF(ISBLANK(INDEX(GCalXMLT[dclass3],$D49)),"",INDEX(GCalXMLT[dclass3],$D49)),IF(ISBLANK(INDEX(GCalXMLT[dclass4],$D49)),"",INDEX(GCalXMLT[dclass4],$D49)))</f>
        <v/>
      </c>
      <c r="AE49" t="str">
        <f>IFERROR(INDEX(Festivals!$V$2:$V$160,AP49),"")</f>
        <v/>
      </c>
      <c r="AF49" t="str">
        <f>IFERROR(IF($AQ49&gt;1,INDEX(Festivals!$V$2:$V$160,$AP49+1),""),"")</f>
        <v/>
      </c>
      <c r="AG49" t="str">
        <f>IFERROR(IF($AQ49&gt;2,INDEX(Festivals!$V$2:$V$160,$AP49+2),""),"")</f>
        <v/>
      </c>
      <c r="AH49" t="str">
        <f>IFERROR(IF($AQ49&gt;3,INDEX(Festivals!$V$2:$V$160,$AP49+3),""),"")</f>
        <v/>
      </c>
      <c r="AI49" t="str">
        <f>IFERROR(IF($AQ49&gt;4,INDEX(Festivals!$V$2:$V$160,$AP49+4),""),"")</f>
        <v/>
      </c>
      <c r="AJ49" t="str">
        <f>IFERROR(IF($AQ49&gt;5,INDEX(Festivals!$V$2:$V$160,$AP49+5),""),"")</f>
        <v/>
      </c>
      <c r="AK49" t="str">
        <f>IFERROR(IF($AQ49&gt;6,INDEX(Festivals!$V$2:$V$160,$AP49+6),""),"")</f>
        <v/>
      </c>
      <c r="AL49" t="str">
        <f ca="1">IFERROR(INDEX('Holidays Calc'!$J$2:$J$233,MATCH(A49,'Holidays Calc'!$I$2:$I$233,0)),"")</f>
        <v/>
      </c>
      <c r="AM49" t="str">
        <f ca="1">IF(AR49="","",IF(INDEX('Holidays Calc'!$I$2:$I$233,AR49+1)=A49,INDEX('Holidays Calc'!$J$2:$J$233,AR49+1),""))</f>
        <v/>
      </c>
      <c r="AN49" t="str">
        <f ca="1">IF(AR49="","",IF(INDEX('Holidays Calc'!$I$2:$I$233,AR49+2)=A49,INDEX('Holidays Calc'!$J$2:$J$233,AR49+2),""))</f>
        <v/>
      </c>
      <c r="AO49" t="str">
        <f ca="1">IF(AR49="","",IF(INDEX('Holidays Calc'!$I$2:$I$233,AR49+3)=A49,INDEX('Holidays Calc'!$J$2:$J$233,AR49+3),""))</f>
        <v/>
      </c>
      <c r="AP49" t="str">
        <f>IFERROR(IF($E49=E48,"",MATCH($E49,Festivals!$H$2:$H$160,0)),"")</f>
        <v/>
      </c>
      <c r="AQ49" t="str">
        <f>IF(AP49="","",COUNTIF(Festivals!$H$2:$H$160,$E49))</f>
        <v/>
      </c>
      <c r="AR49" t="str">
        <f ca="1">IFERROR(MATCH(A49,'Holidays Calc'!$I$2:$I$233,0),"")</f>
        <v/>
      </c>
      <c r="AS49" t="str">
        <f t="shared" si="2"/>
        <v/>
      </c>
      <c r="AT49" t="str">
        <f t="shared" si="1"/>
        <v/>
      </c>
      <c r="AU49" t="str">
        <f t="shared" ca="1" si="3"/>
        <v/>
      </c>
      <c r="AV49" t="str">
        <f t="shared" ca="1" si="4"/>
        <v/>
      </c>
    </row>
    <row r="50" spans="1:48" x14ac:dyDescent="0.25">
      <c r="A50" s="265">
        <f t="shared" si="7"/>
        <v>43476</v>
      </c>
      <c r="B50" s="265" t="str">
        <f t="shared" si="8"/>
        <v>11 Jan 2019</v>
      </c>
      <c r="C50" s="267">
        <f t="shared" si="9"/>
        <v>2</v>
      </c>
      <c r="D50">
        <f>MATCH(A50,GCalXMLT[daydate],0)</f>
        <v>49</v>
      </c>
      <c r="E50">
        <f>VALUE("1" &amp; Masacod(INDEX(GCalXMLT[gymasa],D50)) &amp; PaksaCod(INDEX(GCalXMLT[mpaksaid],D50)) &amp; TithiCod(INDEX(GCalXMLT[stithiname],D50)))</f>
        <v>110105</v>
      </c>
      <c r="F50" t="str">
        <f ca="1">INDEX(Parameters!$K$2:$K$16,MATCH(AV50,Parameters!$L$2:$L$16,0))</f>
        <v/>
      </c>
      <c r="G50">
        <f>INDEX(GCalXMLT[fastmark],$D50)</f>
        <v>0</v>
      </c>
      <c r="H50" t="str">
        <f ca="1">INDEX(Parameters!$J$2:$J$16,MATCH(AV50,Parameters!$L$2:$L$16,0))</f>
        <v/>
      </c>
      <c r="I50">
        <f>INDEX(GCalXMLT[dfestival1],$D50)</f>
        <v>0</v>
      </c>
      <c r="J50">
        <f>IF(INDEX(GCalXMLT[dfestival2],$D50)="(Fast today)",INDEX(Festivals!$R$2:$R$180,MATCH($I50,Festivals!$R$2:$R$180,0)+1),INDEX(GCalXMLT[dfestival2],$D50))</f>
        <v>0</v>
      </c>
      <c r="K50">
        <f>IF(I50="Nandotsava","(Fast till noon)",INDEX(GCalXMLT[dfestival3],$D50))</f>
        <v>0</v>
      </c>
      <c r="L50">
        <f>IF(I50="Nandotsava", INDEX(GCalXMLT[dfestival3],$D50),INDEX(GCalXMLT[dfestival4],$D50))</f>
        <v>0</v>
      </c>
      <c r="M50" t="str">
        <f>IFERROR(INDEX(Festivals!$S$2:$S$160,AP50),"")</f>
        <v/>
      </c>
      <c r="N50" t="str">
        <f>IFERROR(IF($AQ50&gt;1,INDEX(Festivals!$S$2:$S$160,$AP50+1),""),"")</f>
        <v/>
      </c>
      <c r="O50" t="str">
        <f>IFERROR(IF($AQ50&gt;2,INDEX(Festivals!$S$2:$S$160,$AP50+2),""),"")</f>
        <v/>
      </c>
      <c r="P50" t="str">
        <f>IFERROR(IF($AQ50&gt;3,INDEX(Festivals!$S$2:$S$160,$AP50+3),""),"")</f>
        <v/>
      </c>
      <c r="Q50" t="str">
        <f>IFERROR(IF($AQ50&gt;4,INDEX(Festivals!$S$2:$S$160,$AP50+4),""),"")</f>
        <v/>
      </c>
      <c r="R50" t="str">
        <f>IFERROR(IF($AQ50&gt;5,INDEX(Festivals!$S$2:$S$160,$AP50+5),""),"")</f>
        <v/>
      </c>
      <c r="S50" t="str">
        <f>IFERROR(IF($AQ50&gt;6,INDEX(Festivals!$S$2:$S$160,$AP50+6),""),"")</f>
        <v/>
      </c>
      <c r="T50">
        <f>INDEX(GCalXMLT[dcaturmasya1],$D50)</f>
        <v>0</v>
      </c>
      <c r="U50">
        <f>INDEX(GCalXMLT[dcaturmasya2],$D50)</f>
        <v>0</v>
      </c>
      <c r="V50" t="str">
        <f>INDEX(GCalXMLT[sankrantirasi],$D50) &amp; " " &amp; INDEX(GCalXMLT[sankrantitime],$D50)</f>
        <v xml:space="preserve"> </v>
      </c>
      <c r="W50" t="str">
        <f ca="1">IFERROR(INDEX('Holidays Calc'!$K$2:$K$233,AR50),"")</f>
        <v/>
      </c>
      <c r="X50" t="str">
        <f ca="1">IF(AR50="","",IF(INDEX('Holidays Calc'!$I$2:$I$233,AR50+1)=A50,INDEX('Holidays Calc'!$K$2:$K$233,AR50+1),""))</f>
        <v/>
      </c>
      <c r="Y50" t="str">
        <f ca="1">IF(AR50="","",IF(INDEX('Holidays Calc'!$I$2:$I$233,AR50+2)=A50,INDEX('Holidays Calc'!$K$2:$K$233,AR50+2),""))</f>
        <v/>
      </c>
      <c r="Z50" t="str">
        <f ca="1">IF(AR50="","",IF(INDEX('Holidays Calc'!$I$2:$I$233,AR50+3)=A50,INDEX('Holidays Calc'!$K$2:$K$2333,AR50+3),""))</f>
        <v/>
      </c>
      <c r="AA50" t="str">
        <f>IF(I50="Last day of Bhisma Pancaka","",IF(G50="*",-0.7,IF(ISBLANK(INDEX(GCalXMLT[dclass1],$D50)),"",INDEX(GCalXMLT[dclass1],$D50))))</f>
        <v/>
      </c>
      <c r="AB50" t="str">
        <f>IF(J50="First day of Bhisma Pancaka","",IF(AND(G50="*",NOT(ISERROR(SEARCH("ekadasi",J50)))),-0.7,IF(ISBLANK(INDEX(GCalXMLT[dclass2],$D50)),"",INDEX(GCalXMLT[dclass2],$D50))))</f>
        <v/>
      </c>
      <c r="AC50" t="str">
        <f>IF(I50="Nandotsava",-1,IF(ISBLANK(INDEX(GCalXMLT[dclass3],$D50)),"",INDEX(GCalXMLT[dclass3],$D50)))</f>
        <v/>
      </c>
      <c r="AD50" t="str">
        <f>IF(I50="Nandotsava",IF(ISBLANK(INDEX(GCalXMLT[dclass3],$D50)),"",INDEX(GCalXMLT[dclass3],$D50)),IF(ISBLANK(INDEX(GCalXMLT[dclass4],$D50)),"",INDEX(GCalXMLT[dclass4],$D50)))</f>
        <v/>
      </c>
      <c r="AE50" t="str">
        <f>IFERROR(INDEX(Festivals!$V$2:$V$160,AP50),"")</f>
        <v/>
      </c>
      <c r="AF50" t="str">
        <f>IFERROR(IF($AQ50&gt;1,INDEX(Festivals!$V$2:$V$160,$AP50+1),""),"")</f>
        <v/>
      </c>
      <c r="AG50" t="str">
        <f>IFERROR(IF($AQ50&gt;2,INDEX(Festivals!$V$2:$V$160,$AP50+2),""),"")</f>
        <v/>
      </c>
      <c r="AH50" t="str">
        <f>IFERROR(IF($AQ50&gt;3,INDEX(Festivals!$V$2:$V$160,$AP50+3),""),"")</f>
        <v/>
      </c>
      <c r="AI50" t="str">
        <f>IFERROR(IF($AQ50&gt;4,INDEX(Festivals!$V$2:$V$160,$AP50+4),""),"")</f>
        <v/>
      </c>
      <c r="AJ50" t="str">
        <f>IFERROR(IF($AQ50&gt;5,INDEX(Festivals!$V$2:$V$160,$AP50+5),""),"")</f>
        <v/>
      </c>
      <c r="AK50" t="str">
        <f>IFERROR(IF($AQ50&gt;6,INDEX(Festivals!$V$2:$V$160,$AP50+6),""),"")</f>
        <v/>
      </c>
      <c r="AL50" t="str">
        <f ca="1">IFERROR(INDEX('Holidays Calc'!$J$2:$J$233,MATCH(A50,'Holidays Calc'!$I$2:$I$233,0)),"")</f>
        <v/>
      </c>
      <c r="AM50" t="str">
        <f ca="1">IF(AR50="","",IF(INDEX('Holidays Calc'!$I$2:$I$233,AR50+1)=A50,INDEX('Holidays Calc'!$J$2:$J$233,AR50+1),""))</f>
        <v/>
      </c>
      <c r="AN50" t="str">
        <f ca="1">IF(AR50="","",IF(INDEX('Holidays Calc'!$I$2:$I$233,AR50+2)=A50,INDEX('Holidays Calc'!$J$2:$J$233,AR50+2),""))</f>
        <v/>
      </c>
      <c r="AO50" t="str">
        <f ca="1">IF(AR50="","",IF(INDEX('Holidays Calc'!$I$2:$I$233,AR50+3)=A50,INDEX('Holidays Calc'!$J$2:$J$233,AR50+3),""))</f>
        <v/>
      </c>
      <c r="AP50" t="str">
        <f>IFERROR(IF($E50=E49,"",MATCH($E50,Festivals!$H$2:$H$160,0)),"")</f>
        <v/>
      </c>
      <c r="AQ50" t="str">
        <f>IF(AP50="","",COUNTIF(Festivals!$H$2:$H$160,$E50))</f>
        <v/>
      </c>
      <c r="AR50" t="str">
        <f ca="1">IFERROR(MATCH(A50,'Holidays Calc'!$I$2:$I$233,0),"")</f>
        <v/>
      </c>
      <c r="AS50" t="str">
        <f t="shared" si="2"/>
        <v/>
      </c>
      <c r="AT50" t="str">
        <f t="shared" si="1"/>
        <v/>
      </c>
      <c r="AU50" t="str">
        <f t="shared" ca="1" si="3"/>
        <v/>
      </c>
      <c r="AV50" t="str">
        <f t="shared" ca="1" si="4"/>
        <v/>
      </c>
    </row>
    <row r="51" spans="1:48" x14ac:dyDescent="0.25">
      <c r="A51" s="265">
        <f t="shared" si="7"/>
        <v>43477</v>
      </c>
      <c r="B51" s="265" t="str">
        <f t="shared" si="8"/>
        <v>12 Jan 2019</v>
      </c>
      <c r="C51" s="267">
        <f t="shared" si="9"/>
        <v>2</v>
      </c>
      <c r="D51">
        <f>MATCH(A51,GCalXMLT[daydate],0)</f>
        <v>50</v>
      </c>
      <c r="E51">
        <f>VALUE("1" &amp; Masacod(INDEX(GCalXMLT[gymasa],D51)) &amp; PaksaCod(INDEX(GCalXMLT[mpaksaid],D51)) &amp; TithiCod(INDEX(GCalXMLT[stithiname],D51)))</f>
        <v>110106</v>
      </c>
      <c r="F51" t="str">
        <f ca="1">INDEX(Parameters!$K$2:$K$16,MATCH(AV51,Parameters!$L$2:$L$16,0))</f>
        <v/>
      </c>
      <c r="G51">
        <f>INDEX(GCalXMLT[fastmark],$D51)</f>
        <v>0</v>
      </c>
      <c r="H51" t="str">
        <f ca="1">INDEX(Parameters!$J$2:$J$16,MATCH(AV51,Parameters!$L$2:$L$16,0))</f>
        <v/>
      </c>
      <c r="I51">
        <f>INDEX(GCalXMLT[dfestival1],$D51)</f>
        <v>0</v>
      </c>
      <c r="J51">
        <f>IF(INDEX(GCalXMLT[dfestival2],$D51)="(Fast today)",INDEX(Festivals!$R$2:$R$180,MATCH($I51,Festivals!$R$2:$R$180,0)+1),INDEX(GCalXMLT[dfestival2],$D51))</f>
        <v>0</v>
      </c>
      <c r="K51">
        <f>IF(I51="Nandotsava","(Fast till noon)",INDEX(GCalXMLT[dfestival3],$D51))</f>
        <v>0</v>
      </c>
      <c r="L51">
        <f>IF(I51="Nandotsava", INDEX(GCalXMLT[dfestival3],$D51),INDEX(GCalXMLT[dfestival4],$D51))</f>
        <v>0</v>
      </c>
      <c r="M51" t="str">
        <f>IFERROR(INDEX(Festivals!$S$2:$S$160,AP51),"")</f>
        <v/>
      </c>
      <c r="N51" t="str">
        <f>IFERROR(IF($AQ51&gt;1,INDEX(Festivals!$S$2:$S$160,$AP51+1),""),"")</f>
        <v/>
      </c>
      <c r="O51" t="str">
        <f>IFERROR(IF($AQ51&gt;2,INDEX(Festivals!$S$2:$S$160,$AP51+2),""),"")</f>
        <v/>
      </c>
      <c r="P51" t="str">
        <f>IFERROR(IF($AQ51&gt;3,INDEX(Festivals!$S$2:$S$160,$AP51+3),""),"")</f>
        <v/>
      </c>
      <c r="Q51" t="str">
        <f>IFERROR(IF($AQ51&gt;4,INDEX(Festivals!$S$2:$S$160,$AP51+4),""),"")</f>
        <v/>
      </c>
      <c r="R51" t="str">
        <f>IFERROR(IF($AQ51&gt;5,INDEX(Festivals!$S$2:$S$160,$AP51+5),""),"")</f>
        <v/>
      </c>
      <c r="S51" t="str">
        <f>IFERROR(IF($AQ51&gt;6,INDEX(Festivals!$S$2:$S$160,$AP51+6),""),"")</f>
        <v/>
      </c>
      <c r="T51">
        <f>INDEX(GCalXMLT[dcaturmasya1],$D51)</f>
        <v>0</v>
      </c>
      <c r="U51">
        <f>INDEX(GCalXMLT[dcaturmasya2],$D51)</f>
        <v>0</v>
      </c>
      <c r="V51" t="str">
        <f>INDEX(GCalXMLT[sankrantirasi],$D51) &amp; " " &amp; INDEX(GCalXMLT[sankrantitime],$D51)</f>
        <v xml:space="preserve"> </v>
      </c>
      <c r="W51" t="str">
        <f ca="1">IFERROR(INDEX('Holidays Calc'!$K$2:$K$233,AR51),"")</f>
        <v/>
      </c>
      <c r="X51" t="str">
        <f ca="1">IF(AR51="","",IF(INDEX('Holidays Calc'!$I$2:$I$233,AR51+1)=A51,INDEX('Holidays Calc'!$K$2:$K$233,AR51+1),""))</f>
        <v/>
      </c>
      <c r="Y51" t="str">
        <f ca="1">IF(AR51="","",IF(INDEX('Holidays Calc'!$I$2:$I$233,AR51+2)=A51,INDEX('Holidays Calc'!$K$2:$K$233,AR51+2),""))</f>
        <v/>
      </c>
      <c r="Z51" t="str">
        <f ca="1">IF(AR51="","",IF(INDEX('Holidays Calc'!$I$2:$I$233,AR51+3)=A51,INDEX('Holidays Calc'!$K$2:$K$2333,AR51+3),""))</f>
        <v/>
      </c>
      <c r="AA51" t="str">
        <f>IF(I51="Last day of Bhisma Pancaka","",IF(G51="*",-0.7,IF(ISBLANK(INDEX(GCalXMLT[dclass1],$D51)),"",INDEX(GCalXMLT[dclass1],$D51))))</f>
        <v/>
      </c>
      <c r="AB51" t="str">
        <f>IF(J51="First day of Bhisma Pancaka","",IF(AND(G51="*",NOT(ISERROR(SEARCH("ekadasi",J51)))),-0.7,IF(ISBLANK(INDEX(GCalXMLT[dclass2],$D51)),"",INDEX(GCalXMLT[dclass2],$D51))))</f>
        <v/>
      </c>
      <c r="AC51" t="str">
        <f>IF(I51="Nandotsava",-1,IF(ISBLANK(INDEX(GCalXMLT[dclass3],$D51)),"",INDEX(GCalXMLT[dclass3],$D51)))</f>
        <v/>
      </c>
      <c r="AD51" t="str">
        <f>IF(I51="Nandotsava",IF(ISBLANK(INDEX(GCalXMLT[dclass3],$D51)),"",INDEX(GCalXMLT[dclass3],$D51)),IF(ISBLANK(INDEX(GCalXMLT[dclass4],$D51)),"",INDEX(GCalXMLT[dclass4],$D51)))</f>
        <v/>
      </c>
      <c r="AE51" t="str">
        <f>IFERROR(INDEX(Festivals!$V$2:$V$160,AP51),"")</f>
        <v/>
      </c>
      <c r="AF51" t="str">
        <f>IFERROR(IF($AQ51&gt;1,INDEX(Festivals!$V$2:$V$160,$AP51+1),""),"")</f>
        <v/>
      </c>
      <c r="AG51" t="str">
        <f>IFERROR(IF($AQ51&gt;2,INDEX(Festivals!$V$2:$V$160,$AP51+2),""),"")</f>
        <v/>
      </c>
      <c r="AH51" t="str">
        <f>IFERROR(IF($AQ51&gt;3,INDEX(Festivals!$V$2:$V$160,$AP51+3),""),"")</f>
        <v/>
      </c>
      <c r="AI51" t="str">
        <f>IFERROR(IF($AQ51&gt;4,INDEX(Festivals!$V$2:$V$160,$AP51+4),""),"")</f>
        <v/>
      </c>
      <c r="AJ51" t="str">
        <f>IFERROR(IF($AQ51&gt;5,INDEX(Festivals!$V$2:$V$160,$AP51+5),""),"")</f>
        <v/>
      </c>
      <c r="AK51" t="str">
        <f>IFERROR(IF($AQ51&gt;6,INDEX(Festivals!$V$2:$V$160,$AP51+6),""),"")</f>
        <v/>
      </c>
      <c r="AL51" t="str">
        <f ca="1">IFERROR(INDEX('Holidays Calc'!$J$2:$J$233,MATCH(A51,'Holidays Calc'!$I$2:$I$233,0)),"")</f>
        <v/>
      </c>
      <c r="AM51" t="str">
        <f ca="1">IF(AR51="","",IF(INDEX('Holidays Calc'!$I$2:$I$233,AR51+1)=A51,INDEX('Holidays Calc'!$J$2:$J$233,AR51+1),""))</f>
        <v/>
      </c>
      <c r="AN51" t="str">
        <f ca="1">IF(AR51="","",IF(INDEX('Holidays Calc'!$I$2:$I$233,AR51+2)=A51,INDEX('Holidays Calc'!$J$2:$J$233,AR51+2),""))</f>
        <v/>
      </c>
      <c r="AO51" t="str">
        <f ca="1">IF(AR51="","",IF(INDEX('Holidays Calc'!$I$2:$I$233,AR51+3)=A51,INDEX('Holidays Calc'!$J$2:$J$233,AR51+3),""))</f>
        <v/>
      </c>
      <c r="AP51" t="str">
        <f>IFERROR(IF($E51=E50,"",MATCH($E51,Festivals!$H$2:$H$160,0)),"")</f>
        <v/>
      </c>
      <c r="AQ51" t="str">
        <f>IF(AP51="","",COUNTIF(Festivals!$H$2:$H$160,$E51))</f>
        <v/>
      </c>
      <c r="AR51" t="str">
        <f ca="1">IFERROR(MATCH(A51,'Holidays Calc'!$I$2:$I$233,0),"")</f>
        <v/>
      </c>
      <c r="AS51" t="str">
        <f t="shared" si="2"/>
        <v/>
      </c>
      <c r="AT51" t="str">
        <f t="shared" si="1"/>
        <v/>
      </c>
      <c r="AU51" t="str">
        <f t="shared" ca="1" si="3"/>
        <v/>
      </c>
      <c r="AV51" t="str">
        <f t="shared" ca="1" si="4"/>
        <v/>
      </c>
    </row>
    <row r="52" spans="1:48" x14ac:dyDescent="0.25">
      <c r="A52" s="265">
        <f t="shared" si="7"/>
        <v>43478</v>
      </c>
      <c r="B52" s="265" t="str">
        <f t="shared" si="8"/>
        <v>13 Jan 2019</v>
      </c>
      <c r="C52" s="267">
        <f t="shared" si="9"/>
        <v>2</v>
      </c>
      <c r="D52">
        <f>MATCH(A52,GCalXMLT[daydate],0)</f>
        <v>51</v>
      </c>
      <c r="E52">
        <f>VALUE("1" &amp; Masacod(INDEX(GCalXMLT[gymasa],D52)) &amp; PaksaCod(INDEX(GCalXMLT[mpaksaid],D52)) &amp; TithiCod(INDEX(GCalXMLT[stithiname],D52)))</f>
        <v>110107</v>
      </c>
      <c r="F52" t="str">
        <f ca="1">INDEX(Parameters!$K$2:$K$16,MATCH(AV52,Parameters!$L$2:$L$16,0))</f>
        <v/>
      </c>
      <c r="G52">
        <f>INDEX(GCalXMLT[fastmark],$D52)</f>
        <v>0</v>
      </c>
      <c r="H52" t="str">
        <f ca="1">INDEX(Parameters!$J$2:$J$16,MATCH(AV52,Parameters!$L$2:$L$16,0))</f>
        <v/>
      </c>
      <c r="I52">
        <f>INDEX(GCalXMLT[dfestival1],$D52)</f>
        <v>0</v>
      </c>
      <c r="J52">
        <f>IF(INDEX(GCalXMLT[dfestival2],$D52)="(Fast today)",INDEX(Festivals!$R$2:$R$180,MATCH($I52,Festivals!$R$2:$R$180,0)+1),INDEX(GCalXMLT[dfestival2],$D52))</f>
        <v>0</v>
      </c>
      <c r="K52">
        <f>IF(I52="Nandotsava","(Fast till noon)",INDEX(GCalXMLT[dfestival3],$D52))</f>
        <v>0</v>
      </c>
      <c r="L52">
        <f>IF(I52="Nandotsava", INDEX(GCalXMLT[dfestival3],$D52),INDEX(GCalXMLT[dfestival4],$D52))</f>
        <v>0</v>
      </c>
      <c r="M52" t="str">
        <f>IFERROR(INDEX(Festivals!$S$2:$S$160,AP52),"")</f>
        <v/>
      </c>
      <c r="N52" t="str">
        <f>IFERROR(IF($AQ52&gt;1,INDEX(Festivals!$S$2:$S$160,$AP52+1),""),"")</f>
        <v/>
      </c>
      <c r="O52" t="str">
        <f>IFERROR(IF($AQ52&gt;2,INDEX(Festivals!$S$2:$S$160,$AP52+2),""),"")</f>
        <v/>
      </c>
      <c r="P52" t="str">
        <f>IFERROR(IF($AQ52&gt;3,INDEX(Festivals!$S$2:$S$160,$AP52+3),""),"")</f>
        <v/>
      </c>
      <c r="Q52" t="str">
        <f>IFERROR(IF($AQ52&gt;4,INDEX(Festivals!$S$2:$S$160,$AP52+4),""),"")</f>
        <v/>
      </c>
      <c r="R52" t="str">
        <f>IFERROR(IF($AQ52&gt;5,INDEX(Festivals!$S$2:$S$160,$AP52+5),""),"")</f>
        <v/>
      </c>
      <c r="S52" t="str">
        <f>IFERROR(IF($AQ52&gt;6,INDEX(Festivals!$S$2:$S$160,$AP52+6),""),"")</f>
        <v/>
      </c>
      <c r="T52">
        <f>INDEX(GCalXMLT[dcaturmasya1],$D52)</f>
        <v>0</v>
      </c>
      <c r="U52">
        <f>INDEX(GCalXMLT[dcaturmasya2],$D52)</f>
        <v>0</v>
      </c>
      <c r="V52" t="str">
        <f>INDEX(GCalXMLT[sankrantirasi],$D52) &amp; " " &amp; INDEX(GCalXMLT[sankrantitime],$D52)</f>
        <v xml:space="preserve"> </v>
      </c>
      <c r="W52" t="str">
        <f ca="1">IFERROR(INDEX('Holidays Calc'!$K$2:$K$233,AR52),"")</f>
        <v/>
      </c>
      <c r="X52" t="str">
        <f ca="1">IF(AR52="","",IF(INDEX('Holidays Calc'!$I$2:$I$233,AR52+1)=A52,INDEX('Holidays Calc'!$K$2:$K$233,AR52+1),""))</f>
        <v/>
      </c>
      <c r="Y52" t="str">
        <f ca="1">IF(AR52="","",IF(INDEX('Holidays Calc'!$I$2:$I$233,AR52+2)=A52,INDEX('Holidays Calc'!$K$2:$K$233,AR52+2),""))</f>
        <v/>
      </c>
      <c r="Z52" t="str">
        <f ca="1">IF(AR52="","",IF(INDEX('Holidays Calc'!$I$2:$I$233,AR52+3)=A52,INDEX('Holidays Calc'!$K$2:$K$2333,AR52+3),""))</f>
        <v/>
      </c>
      <c r="AA52" t="str">
        <f>IF(I52="Last day of Bhisma Pancaka","",IF(G52="*",-0.7,IF(ISBLANK(INDEX(GCalXMLT[dclass1],$D52)),"",INDEX(GCalXMLT[dclass1],$D52))))</f>
        <v/>
      </c>
      <c r="AB52" t="str">
        <f>IF(J52="First day of Bhisma Pancaka","",IF(AND(G52="*",NOT(ISERROR(SEARCH("ekadasi",J52)))),-0.7,IF(ISBLANK(INDEX(GCalXMLT[dclass2],$D52)),"",INDEX(GCalXMLT[dclass2],$D52))))</f>
        <v/>
      </c>
      <c r="AC52" t="str">
        <f>IF(I52="Nandotsava",-1,IF(ISBLANK(INDEX(GCalXMLT[dclass3],$D52)),"",INDEX(GCalXMLT[dclass3],$D52)))</f>
        <v/>
      </c>
      <c r="AD52" t="str">
        <f>IF(I52="Nandotsava",IF(ISBLANK(INDEX(GCalXMLT[dclass3],$D52)),"",INDEX(GCalXMLT[dclass3],$D52)),IF(ISBLANK(INDEX(GCalXMLT[dclass4],$D52)),"",INDEX(GCalXMLT[dclass4],$D52)))</f>
        <v/>
      </c>
      <c r="AE52" t="str">
        <f>IFERROR(INDEX(Festivals!$V$2:$V$160,AP52),"")</f>
        <v/>
      </c>
      <c r="AF52" t="str">
        <f>IFERROR(IF($AQ52&gt;1,INDEX(Festivals!$V$2:$V$160,$AP52+1),""),"")</f>
        <v/>
      </c>
      <c r="AG52" t="str">
        <f>IFERROR(IF($AQ52&gt;2,INDEX(Festivals!$V$2:$V$160,$AP52+2),""),"")</f>
        <v/>
      </c>
      <c r="AH52" t="str">
        <f>IFERROR(IF($AQ52&gt;3,INDEX(Festivals!$V$2:$V$160,$AP52+3),""),"")</f>
        <v/>
      </c>
      <c r="AI52" t="str">
        <f>IFERROR(IF($AQ52&gt;4,INDEX(Festivals!$V$2:$V$160,$AP52+4),""),"")</f>
        <v/>
      </c>
      <c r="AJ52" t="str">
        <f>IFERROR(IF($AQ52&gt;5,INDEX(Festivals!$V$2:$V$160,$AP52+5),""),"")</f>
        <v/>
      </c>
      <c r="AK52" t="str">
        <f>IFERROR(IF($AQ52&gt;6,INDEX(Festivals!$V$2:$V$160,$AP52+6),""),"")</f>
        <v/>
      </c>
      <c r="AL52" t="str">
        <f ca="1">IFERROR(INDEX('Holidays Calc'!$J$2:$J$233,MATCH(A52,'Holidays Calc'!$I$2:$I$233,0)),"")</f>
        <v/>
      </c>
      <c r="AM52" t="str">
        <f ca="1">IF(AR52="","",IF(INDEX('Holidays Calc'!$I$2:$I$233,AR52+1)=A52,INDEX('Holidays Calc'!$J$2:$J$233,AR52+1),""))</f>
        <v/>
      </c>
      <c r="AN52" t="str">
        <f ca="1">IF(AR52="","",IF(INDEX('Holidays Calc'!$I$2:$I$233,AR52+2)=A52,INDEX('Holidays Calc'!$J$2:$J$233,AR52+2),""))</f>
        <v/>
      </c>
      <c r="AO52" t="str">
        <f ca="1">IF(AR52="","",IF(INDEX('Holidays Calc'!$I$2:$I$233,AR52+3)=A52,INDEX('Holidays Calc'!$J$2:$J$233,AR52+3),""))</f>
        <v/>
      </c>
      <c r="AP52" t="str">
        <f>IFERROR(IF($E52=E51,"",MATCH($E52,Festivals!$H$2:$H$160,0)),"")</f>
        <v/>
      </c>
      <c r="AQ52" t="str">
        <f>IF(AP52="","",COUNTIF(Festivals!$H$2:$H$160,$E52))</f>
        <v/>
      </c>
      <c r="AR52" t="str">
        <f ca="1">IFERROR(MATCH(A52,'Holidays Calc'!$I$2:$I$233,0),"")</f>
        <v/>
      </c>
      <c r="AS52" t="str">
        <f t="shared" si="2"/>
        <v/>
      </c>
      <c r="AT52" t="str">
        <f t="shared" si="1"/>
        <v/>
      </c>
      <c r="AU52" t="str">
        <f t="shared" ca="1" si="3"/>
        <v/>
      </c>
      <c r="AV52" t="str">
        <f t="shared" ca="1" si="4"/>
        <v/>
      </c>
    </row>
    <row r="53" spans="1:48" x14ac:dyDescent="0.25">
      <c r="A53" s="265">
        <f t="shared" si="7"/>
        <v>43479</v>
      </c>
      <c r="B53" s="265" t="str">
        <f t="shared" si="8"/>
        <v>14 Jan 2019</v>
      </c>
      <c r="C53" s="267">
        <f t="shared" si="9"/>
        <v>3</v>
      </c>
      <c r="D53">
        <f>MATCH(A53,GCalXMLT[daydate],0)</f>
        <v>52</v>
      </c>
      <c r="E53">
        <f>VALUE("1" &amp; Masacod(INDEX(GCalXMLT[gymasa],D53)) &amp; PaksaCod(INDEX(GCalXMLT[mpaksaid],D53)) &amp; TithiCod(INDEX(GCalXMLT[stithiname],D53)))</f>
        <v>110108</v>
      </c>
      <c r="F53" t="str">
        <f ca="1">INDEX(Parameters!$K$2:$K$16,MATCH(AV53,Parameters!$L$2:$L$16,0))</f>
        <v>C</v>
      </c>
      <c r="G53">
        <f>INDEX(GCalXMLT[fastmark],$D53)</f>
        <v>0</v>
      </c>
      <c r="H53" t="str">
        <f ca="1">INDEX(Parameters!$J$2:$J$16,MATCH(AV53,Parameters!$L$2:$L$16,0))</f>
        <v/>
      </c>
      <c r="I53" t="str">
        <f>INDEX(GCalXMLT[dfestival1],$D53)</f>
        <v>Ganga Sagara Mela</v>
      </c>
      <c r="J53">
        <f>IF(INDEX(GCalXMLT[dfestival2],$D53)="(Fast today)",INDEX(Festivals!$R$2:$R$180,MATCH($I53,Festivals!$R$2:$R$180,0)+1),INDEX(GCalXMLT[dfestival2],$D53))</f>
        <v>0</v>
      </c>
      <c r="K53">
        <f>IF(I53="Nandotsava","(Fast till noon)",INDEX(GCalXMLT[dfestival3],$D53))</f>
        <v>0</v>
      </c>
      <c r="L53">
        <f>IF(I53="Nandotsava", INDEX(GCalXMLT[dfestival3],$D53),INDEX(GCalXMLT[dfestival4],$D53))</f>
        <v>0</v>
      </c>
      <c r="M53" t="str">
        <f>IFERROR(INDEX(Festivals!$S$2:$S$160,AP53),"")</f>
        <v/>
      </c>
      <c r="N53" t="str">
        <f>IFERROR(IF($AQ53&gt;1,INDEX(Festivals!$S$2:$S$160,$AP53+1),""),"")</f>
        <v/>
      </c>
      <c r="O53" t="str">
        <f>IFERROR(IF($AQ53&gt;2,INDEX(Festivals!$S$2:$S$160,$AP53+2),""),"")</f>
        <v/>
      </c>
      <c r="P53" t="str">
        <f>IFERROR(IF($AQ53&gt;3,INDEX(Festivals!$S$2:$S$160,$AP53+3),""),"")</f>
        <v/>
      </c>
      <c r="Q53" t="str">
        <f>IFERROR(IF($AQ53&gt;4,INDEX(Festivals!$S$2:$S$160,$AP53+4),""),"")</f>
        <v/>
      </c>
      <c r="R53" t="str">
        <f>IFERROR(IF($AQ53&gt;5,INDEX(Festivals!$S$2:$S$160,$AP53+5),""),"")</f>
        <v/>
      </c>
      <c r="S53" t="str">
        <f>IFERROR(IF($AQ53&gt;6,INDEX(Festivals!$S$2:$S$160,$AP53+6),""),"")</f>
        <v/>
      </c>
      <c r="T53">
        <f>INDEX(GCalXMLT[dcaturmasya1],$D53)</f>
        <v>0</v>
      </c>
      <c r="U53">
        <f>INDEX(GCalXMLT[dcaturmasya2],$D53)</f>
        <v>0</v>
      </c>
      <c r="V53" t="str">
        <f>INDEX(GCalXMLT[sankrantirasi],$D53) &amp; " " &amp; INDEX(GCalXMLT[sankrantitime],$D53)</f>
        <v>Makara 0,470763888888889</v>
      </c>
      <c r="W53" t="str">
        <f ca="1">IFERROR(INDEX('Holidays Calc'!$K$2:$K$233,AR53),"")</f>
        <v/>
      </c>
      <c r="X53" t="str">
        <f ca="1">IF(AR53="","",IF(INDEX('Holidays Calc'!$I$2:$I$233,AR53+1)=A53,INDEX('Holidays Calc'!$K$2:$K$233,AR53+1),""))</f>
        <v/>
      </c>
      <c r="Y53" t="str">
        <f ca="1">IF(AR53="","",IF(INDEX('Holidays Calc'!$I$2:$I$233,AR53+2)=A53,INDEX('Holidays Calc'!$K$2:$K$233,AR53+2),""))</f>
        <v/>
      </c>
      <c r="Z53" t="str">
        <f ca="1">IF(AR53="","",IF(INDEX('Holidays Calc'!$I$2:$I$233,AR53+3)=A53,INDEX('Holidays Calc'!$K$2:$K$2333,AR53+3),""))</f>
        <v/>
      </c>
      <c r="AA53">
        <f>IF(I53="Last day of Bhisma Pancaka","",IF(G53="*",-0.7,IF(ISBLANK(INDEX(GCalXMLT[dclass1],$D53)),"",INDEX(GCalXMLT[dclass1],$D53))))</f>
        <v>5</v>
      </c>
      <c r="AB53" t="str">
        <f>IF(J53="First day of Bhisma Pancaka","",IF(AND(G53="*",NOT(ISERROR(SEARCH("ekadasi",J53)))),-0.7,IF(ISBLANK(INDEX(GCalXMLT[dclass2],$D53)),"",INDEX(GCalXMLT[dclass2],$D53))))</f>
        <v/>
      </c>
      <c r="AC53" t="str">
        <f>IF(I53="Nandotsava",-1,IF(ISBLANK(INDEX(GCalXMLT[dclass3],$D53)),"",INDEX(GCalXMLT[dclass3],$D53)))</f>
        <v/>
      </c>
      <c r="AD53" t="str">
        <f>IF(I53="Nandotsava",IF(ISBLANK(INDEX(GCalXMLT[dclass3],$D53)),"",INDEX(GCalXMLT[dclass3],$D53)),IF(ISBLANK(INDEX(GCalXMLT[dclass4],$D53)),"",INDEX(GCalXMLT[dclass4],$D53)))</f>
        <v/>
      </c>
      <c r="AE53" t="str">
        <f>IFERROR(INDEX(Festivals!$V$2:$V$160,AP53),"")</f>
        <v/>
      </c>
      <c r="AF53" t="str">
        <f>IFERROR(IF($AQ53&gt;1,INDEX(Festivals!$V$2:$V$160,$AP53+1),""),"")</f>
        <v/>
      </c>
      <c r="AG53" t="str">
        <f>IFERROR(IF($AQ53&gt;2,INDEX(Festivals!$V$2:$V$160,$AP53+2),""),"")</f>
        <v/>
      </c>
      <c r="AH53" t="str">
        <f>IFERROR(IF($AQ53&gt;3,INDEX(Festivals!$V$2:$V$160,$AP53+3),""),"")</f>
        <v/>
      </c>
      <c r="AI53" t="str">
        <f>IFERROR(IF($AQ53&gt;4,INDEX(Festivals!$V$2:$V$160,$AP53+4),""),"")</f>
        <v/>
      </c>
      <c r="AJ53" t="str">
        <f>IFERROR(IF($AQ53&gt;5,INDEX(Festivals!$V$2:$V$160,$AP53+5),""),"")</f>
        <v/>
      </c>
      <c r="AK53" t="str">
        <f>IFERROR(IF($AQ53&gt;6,INDEX(Festivals!$V$2:$V$160,$AP53+6),""),"")</f>
        <v/>
      </c>
      <c r="AL53" t="str">
        <f ca="1">IFERROR(INDEX('Holidays Calc'!$J$2:$J$233,MATCH(A53,'Holidays Calc'!$I$2:$I$233,0)),"")</f>
        <v/>
      </c>
      <c r="AM53" t="str">
        <f ca="1">IF(AR53="","",IF(INDEX('Holidays Calc'!$I$2:$I$233,AR53+1)=A53,INDEX('Holidays Calc'!$J$2:$J$233,AR53+1),""))</f>
        <v/>
      </c>
      <c r="AN53" t="str">
        <f ca="1">IF(AR53="","",IF(INDEX('Holidays Calc'!$I$2:$I$233,AR53+2)=A53,INDEX('Holidays Calc'!$J$2:$J$233,AR53+2),""))</f>
        <v/>
      </c>
      <c r="AO53" t="str">
        <f ca="1">IF(AR53="","",IF(INDEX('Holidays Calc'!$I$2:$I$233,AR53+3)=A53,INDEX('Holidays Calc'!$J$2:$J$233,AR53+3),""))</f>
        <v/>
      </c>
      <c r="AP53" t="str">
        <f>IFERROR(IF($E53=E52,"",MATCH($E53,Festivals!$H$2:$H$160,0)),"")</f>
        <v/>
      </c>
      <c r="AQ53" t="str">
        <f>IF(AP53="","",COUNTIF(Festivals!$H$2:$H$160,$E53))</f>
        <v/>
      </c>
      <c r="AR53" t="str">
        <f ca="1">IFERROR(MATCH(A53,'Holidays Calc'!$I$2:$I$233,0),"")</f>
        <v/>
      </c>
      <c r="AS53">
        <f t="shared" si="2"/>
        <v>5</v>
      </c>
      <c r="AT53">
        <f t="shared" si="1"/>
        <v>5</v>
      </c>
      <c r="AU53" t="str">
        <f t="shared" ca="1" si="3"/>
        <v/>
      </c>
      <c r="AV53">
        <f t="shared" ca="1" si="4"/>
        <v>5</v>
      </c>
    </row>
    <row r="54" spans="1:48" x14ac:dyDescent="0.25">
      <c r="A54" s="265">
        <f t="shared" si="7"/>
        <v>43480</v>
      </c>
      <c r="B54" s="265" t="str">
        <f t="shared" si="8"/>
        <v>15 Jan 2019</v>
      </c>
      <c r="C54" s="267">
        <f t="shared" si="9"/>
        <v>3</v>
      </c>
      <c r="D54">
        <f>MATCH(A54,GCalXMLT[daydate],0)</f>
        <v>53</v>
      </c>
      <c r="E54">
        <f>VALUE("1" &amp; Masacod(INDEX(GCalXMLT[gymasa],D54)) &amp; PaksaCod(INDEX(GCalXMLT[mpaksaid],D54)) &amp; TithiCod(INDEX(GCalXMLT[stithiname],D54)))</f>
        <v>110109</v>
      </c>
      <c r="F54" t="str">
        <f ca="1">INDEX(Parameters!$K$2:$K$16,MATCH(AV54,Parameters!$L$2:$L$16,0))</f>
        <v/>
      </c>
      <c r="G54">
        <f>INDEX(GCalXMLT[fastmark],$D54)</f>
        <v>0</v>
      </c>
      <c r="H54" t="str">
        <f ca="1">INDEX(Parameters!$J$2:$J$16,MATCH(AV54,Parameters!$L$2:$L$16,0))</f>
        <v/>
      </c>
      <c r="I54">
        <f>INDEX(GCalXMLT[dfestival1],$D54)</f>
        <v>0</v>
      </c>
      <c r="J54">
        <f>IF(INDEX(GCalXMLT[dfestival2],$D54)="(Fast today)",INDEX(Festivals!$R$2:$R$180,MATCH($I54,Festivals!$R$2:$R$180,0)+1),INDEX(GCalXMLT[dfestival2],$D54))</f>
        <v>0</v>
      </c>
      <c r="K54">
        <f>IF(I54="Nandotsava","(Fast till noon)",INDEX(GCalXMLT[dfestival3],$D54))</f>
        <v>0</v>
      </c>
      <c r="L54">
        <f>IF(I54="Nandotsava", INDEX(GCalXMLT[dfestival3],$D54),INDEX(GCalXMLT[dfestival4],$D54))</f>
        <v>0</v>
      </c>
      <c r="M54" t="str">
        <f>IFERROR(INDEX(Festivals!$S$2:$S$160,AP54),"")</f>
        <v/>
      </c>
      <c r="N54" t="str">
        <f>IFERROR(IF($AQ54&gt;1,INDEX(Festivals!$S$2:$S$160,$AP54+1),""),"")</f>
        <v/>
      </c>
      <c r="O54" t="str">
        <f>IFERROR(IF($AQ54&gt;2,INDEX(Festivals!$S$2:$S$160,$AP54+2),""),"")</f>
        <v/>
      </c>
      <c r="P54" t="str">
        <f>IFERROR(IF($AQ54&gt;3,INDEX(Festivals!$S$2:$S$160,$AP54+3),""),"")</f>
        <v/>
      </c>
      <c r="Q54" t="str">
        <f>IFERROR(IF($AQ54&gt;4,INDEX(Festivals!$S$2:$S$160,$AP54+4),""),"")</f>
        <v/>
      </c>
      <c r="R54" t="str">
        <f>IFERROR(IF($AQ54&gt;5,INDEX(Festivals!$S$2:$S$160,$AP54+5),""),"")</f>
        <v/>
      </c>
      <c r="S54" t="str">
        <f>IFERROR(IF($AQ54&gt;6,INDEX(Festivals!$S$2:$S$160,$AP54+6),""),"")</f>
        <v/>
      </c>
      <c r="T54">
        <f>INDEX(GCalXMLT[dcaturmasya1],$D54)</f>
        <v>0</v>
      </c>
      <c r="U54">
        <f>INDEX(GCalXMLT[dcaturmasya2],$D54)</f>
        <v>0</v>
      </c>
      <c r="V54" t="str">
        <f>INDEX(GCalXMLT[sankrantirasi],$D54) &amp; " " &amp; INDEX(GCalXMLT[sankrantitime],$D54)</f>
        <v xml:space="preserve"> </v>
      </c>
      <c r="W54" t="str">
        <f ca="1">IFERROR(INDEX('Holidays Calc'!$K$2:$K$233,AR54),"")</f>
        <v/>
      </c>
      <c r="X54" t="str">
        <f ca="1">IF(AR54="","",IF(INDEX('Holidays Calc'!$I$2:$I$233,AR54+1)=A54,INDEX('Holidays Calc'!$K$2:$K$233,AR54+1),""))</f>
        <v/>
      </c>
      <c r="Y54" t="str">
        <f ca="1">IF(AR54="","",IF(INDEX('Holidays Calc'!$I$2:$I$233,AR54+2)=A54,INDEX('Holidays Calc'!$K$2:$K$233,AR54+2),""))</f>
        <v/>
      </c>
      <c r="Z54" t="str">
        <f ca="1">IF(AR54="","",IF(INDEX('Holidays Calc'!$I$2:$I$233,AR54+3)=A54,INDEX('Holidays Calc'!$K$2:$K$2333,AR54+3),""))</f>
        <v/>
      </c>
      <c r="AA54" t="str">
        <f>IF(I54="Last day of Bhisma Pancaka","",IF(G54="*",-0.7,IF(ISBLANK(INDEX(GCalXMLT[dclass1],$D54)),"",INDEX(GCalXMLT[dclass1],$D54))))</f>
        <v/>
      </c>
      <c r="AB54" t="str">
        <f>IF(J54="First day of Bhisma Pancaka","",IF(AND(G54="*",NOT(ISERROR(SEARCH("ekadasi",J54)))),-0.7,IF(ISBLANK(INDEX(GCalXMLT[dclass2],$D54)),"",INDEX(GCalXMLT[dclass2],$D54))))</f>
        <v/>
      </c>
      <c r="AC54" t="str">
        <f>IF(I54="Nandotsava",-1,IF(ISBLANK(INDEX(GCalXMLT[dclass3],$D54)),"",INDEX(GCalXMLT[dclass3],$D54)))</f>
        <v/>
      </c>
      <c r="AD54" t="str">
        <f>IF(I54="Nandotsava",IF(ISBLANK(INDEX(GCalXMLT[dclass3],$D54)),"",INDEX(GCalXMLT[dclass3],$D54)),IF(ISBLANK(INDEX(GCalXMLT[dclass4],$D54)),"",INDEX(GCalXMLT[dclass4],$D54)))</f>
        <v/>
      </c>
      <c r="AE54" t="str">
        <f>IFERROR(INDEX(Festivals!$V$2:$V$160,AP54),"")</f>
        <v/>
      </c>
      <c r="AF54" t="str">
        <f>IFERROR(IF($AQ54&gt;1,INDEX(Festivals!$V$2:$V$160,$AP54+1),""),"")</f>
        <v/>
      </c>
      <c r="AG54" t="str">
        <f>IFERROR(IF($AQ54&gt;2,INDEX(Festivals!$V$2:$V$160,$AP54+2),""),"")</f>
        <v/>
      </c>
      <c r="AH54" t="str">
        <f>IFERROR(IF($AQ54&gt;3,INDEX(Festivals!$V$2:$V$160,$AP54+3),""),"")</f>
        <v/>
      </c>
      <c r="AI54" t="str">
        <f>IFERROR(IF($AQ54&gt;4,INDEX(Festivals!$V$2:$V$160,$AP54+4),""),"")</f>
        <v/>
      </c>
      <c r="AJ54" t="str">
        <f>IFERROR(IF($AQ54&gt;5,INDEX(Festivals!$V$2:$V$160,$AP54+5),""),"")</f>
        <v/>
      </c>
      <c r="AK54" t="str">
        <f>IFERROR(IF($AQ54&gt;6,INDEX(Festivals!$V$2:$V$160,$AP54+6),""),"")</f>
        <v/>
      </c>
      <c r="AL54" t="str">
        <f ca="1">IFERROR(INDEX('Holidays Calc'!$J$2:$J$233,MATCH(A54,'Holidays Calc'!$I$2:$I$233,0)),"")</f>
        <v/>
      </c>
      <c r="AM54" t="str">
        <f ca="1">IF(AR54="","",IF(INDEX('Holidays Calc'!$I$2:$I$233,AR54+1)=A54,INDEX('Holidays Calc'!$J$2:$J$233,AR54+1),""))</f>
        <v/>
      </c>
      <c r="AN54" t="str">
        <f ca="1">IF(AR54="","",IF(INDEX('Holidays Calc'!$I$2:$I$233,AR54+2)=A54,INDEX('Holidays Calc'!$J$2:$J$233,AR54+2),""))</f>
        <v/>
      </c>
      <c r="AO54" t="str">
        <f ca="1">IF(AR54="","",IF(INDEX('Holidays Calc'!$I$2:$I$233,AR54+3)=A54,INDEX('Holidays Calc'!$J$2:$J$233,AR54+3),""))</f>
        <v/>
      </c>
      <c r="AP54" t="str">
        <f>IFERROR(IF($E54=E53,"",MATCH($E54,Festivals!$H$2:$H$160,0)),"")</f>
        <v/>
      </c>
      <c r="AQ54" t="str">
        <f>IF(AP54="","",COUNTIF(Festivals!$H$2:$H$160,$E54))</f>
        <v/>
      </c>
      <c r="AR54" t="str">
        <f ca="1">IFERROR(MATCH(A54,'Holidays Calc'!$I$2:$I$233,0),"")</f>
        <v/>
      </c>
      <c r="AS54" t="str">
        <f t="shared" si="2"/>
        <v/>
      </c>
      <c r="AT54" t="str">
        <f t="shared" si="1"/>
        <v/>
      </c>
      <c r="AU54" t="str">
        <f t="shared" ca="1" si="3"/>
        <v/>
      </c>
      <c r="AV54" t="str">
        <f t="shared" ca="1" si="4"/>
        <v/>
      </c>
    </row>
    <row r="55" spans="1:48" x14ac:dyDescent="0.25">
      <c r="A55" s="265">
        <f t="shared" si="7"/>
        <v>43481</v>
      </c>
      <c r="B55" s="265" t="str">
        <f t="shared" si="8"/>
        <v>16 Jan 2019</v>
      </c>
      <c r="C55" s="267">
        <f t="shared" si="9"/>
        <v>3</v>
      </c>
      <c r="D55">
        <f>MATCH(A55,GCalXMLT[daydate],0)</f>
        <v>54</v>
      </c>
      <c r="E55">
        <f>VALUE("1" &amp; Masacod(INDEX(GCalXMLT[gymasa],D55)) &amp; PaksaCod(INDEX(GCalXMLT[mpaksaid],D55)) &amp; TithiCod(INDEX(GCalXMLT[stithiname],D55)))</f>
        <v>110110</v>
      </c>
      <c r="F55" t="str">
        <f ca="1">INDEX(Parameters!$K$2:$K$16,MATCH(AV55,Parameters!$L$2:$L$16,0))</f>
        <v/>
      </c>
      <c r="G55">
        <f>INDEX(GCalXMLT[fastmark],$D55)</f>
        <v>0</v>
      </c>
      <c r="H55" t="str">
        <f ca="1">INDEX(Parameters!$J$2:$J$16,MATCH(AV55,Parameters!$L$2:$L$16,0))</f>
        <v/>
      </c>
      <c r="I55">
        <f>INDEX(GCalXMLT[dfestival1],$D55)</f>
        <v>0</v>
      </c>
      <c r="J55">
        <f>IF(INDEX(GCalXMLT[dfestival2],$D55)="(Fast today)",INDEX(Festivals!$R$2:$R$180,MATCH($I55,Festivals!$R$2:$R$180,0)+1),INDEX(GCalXMLT[dfestival2],$D55))</f>
        <v>0</v>
      </c>
      <c r="K55">
        <f>IF(I55="Nandotsava","(Fast till noon)",INDEX(GCalXMLT[dfestival3],$D55))</f>
        <v>0</v>
      </c>
      <c r="L55">
        <f>IF(I55="Nandotsava", INDEX(GCalXMLT[dfestival3],$D55),INDEX(GCalXMLT[dfestival4],$D55))</f>
        <v>0</v>
      </c>
      <c r="M55" t="str">
        <f>IFERROR(INDEX(Festivals!$S$2:$S$160,AP55),"")</f>
        <v/>
      </c>
      <c r="N55" t="str">
        <f>IFERROR(IF($AQ55&gt;1,INDEX(Festivals!$S$2:$S$160,$AP55+1),""),"")</f>
        <v/>
      </c>
      <c r="O55" t="str">
        <f>IFERROR(IF($AQ55&gt;2,INDEX(Festivals!$S$2:$S$160,$AP55+2),""),"")</f>
        <v/>
      </c>
      <c r="P55" t="str">
        <f>IFERROR(IF($AQ55&gt;3,INDEX(Festivals!$S$2:$S$160,$AP55+3),""),"")</f>
        <v/>
      </c>
      <c r="Q55" t="str">
        <f>IFERROR(IF($AQ55&gt;4,INDEX(Festivals!$S$2:$S$160,$AP55+4),""),"")</f>
        <v/>
      </c>
      <c r="R55" t="str">
        <f>IFERROR(IF($AQ55&gt;5,INDEX(Festivals!$S$2:$S$160,$AP55+5),""),"")</f>
        <v/>
      </c>
      <c r="S55" t="str">
        <f>IFERROR(IF($AQ55&gt;6,INDEX(Festivals!$S$2:$S$160,$AP55+6),""),"")</f>
        <v/>
      </c>
      <c r="T55">
        <f>INDEX(GCalXMLT[dcaturmasya1],$D55)</f>
        <v>0</v>
      </c>
      <c r="U55">
        <f>INDEX(GCalXMLT[dcaturmasya2],$D55)</f>
        <v>0</v>
      </c>
      <c r="V55" t="str">
        <f>INDEX(GCalXMLT[sankrantirasi],$D55) &amp; " " &amp; INDEX(GCalXMLT[sankrantitime],$D55)</f>
        <v xml:space="preserve"> </v>
      </c>
      <c r="W55" t="str">
        <f ca="1">IFERROR(INDEX('Holidays Calc'!$K$2:$K$233,AR55),"")</f>
        <v/>
      </c>
      <c r="X55" t="str">
        <f ca="1">IF(AR55="","",IF(INDEX('Holidays Calc'!$I$2:$I$233,AR55+1)=A55,INDEX('Holidays Calc'!$K$2:$K$233,AR55+1),""))</f>
        <v/>
      </c>
      <c r="Y55" t="str">
        <f ca="1">IF(AR55="","",IF(INDEX('Holidays Calc'!$I$2:$I$233,AR55+2)=A55,INDEX('Holidays Calc'!$K$2:$K$233,AR55+2),""))</f>
        <v/>
      </c>
      <c r="Z55" t="str">
        <f ca="1">IF(AR55="","",IF(INDEX('Holidays Calc'!$I$2:$I$233,AR55+3)=A55,INDEX('Holidays Calc'!$K$2:$K$2333,AR55+3),""))</f>
        <v/>
      </c>
      <c r="AA55" t="str">
        <f>IF(I55="Last day of Bhisma Pancaka","",IF(G55="*",-0.7,IF(ISBLANK(INDEX(GCalXMLT[dclass1],$D55)),"",INDEX(GCalXMLT[dclass1],$D55))))</f>
        <v/>
      </c>
      <c r="AB55" t="str">
        <f>IF(J55="First day of Bhisma Pancaka","",IF(AND(G55="*",NOT(ISERROR(SEARCH("ekadasi",J55)))),-0.7,IF(ISBLANK(INDEX(GCalXMLT[dclass2],$D55)),"",INDEX(GCalXMLT[dclass2],$D55))))</f>
        <v/>
      </c>
      <c r="AC55" t="str">
        <f>IF(I55="Nandotsava",-1,IF(ISBLANK(INDEX(GCalXMLT[dclass3],$D55)),"",INDEX(GCalXMLT[dclass3],$D55)))</f>
        <v/>
      </c>
      <c r="AD55" t="str">
        <f>IF(I55="Nandotsava",IF(ISBLANK(INDEX(GCalXMLT[dclass3],$D55)),"",INDEX(GCalXMLT[dclass3],$D55)),IF(ISBLANK(INDEX(GCalXMLT[dclass4],$D55)),"",INDEX(GCalXMLT[dclass4],$D55)))</f>
        <v/>
      </c>
      <c r="AE55" t="str">
        <f>IFERROR(INDEX(Festivals!$V$2:$V$160,AP55),"")</f>
        <v/>
      </c>
      <c r="AF55" t="str">
        <f>IFERROR(IF($AQ55&gt;1,INDEX(Festivals!$V$2:$V$160,$AP55+1),""),"")</f>
        <v/>
      </c>
      <c r="AG55" t="str">
        <f>IFERROR(IF($AQ55&gt;2,INDEX(Festivals!$V$2:$V$160,$AP55+2),""),"")</f>
        <v/>
      </c>
      <c r="AH55" t="str">
        <f>IFERROR(IF($AQ55&gt;3,INDEX(Festivals!$V$2:$V$160,$AP55+3),""),"")</f>
        <v/>
      </c>
      <c r="AI55" t="str">
        <f>IFERROR(IF($AQ55&gt;4,INDEX(Festivals!$V$2:$V$160,$AP55+4),""),"")</f>
        <v/>
      </c>
      <c r="AJ55" t="str">
        <f>IFERROR(IF($AQ55&gt;5,INDEX(Festivals!$V$2:$V$160,$AP55+5),""),"")</f>
        <v/>
      </c>
      <c r="AK55" t="str">
        <f>IFERROR(IF($AQ55&gt;6,INDEX(Festivals!$V$2:$V$160,$AP55+6),""),"")</f>
        <v/>
      </c>
      <c r="AL55" t="str">
        <f ca="1">IFERROR(INDEX('Holidays Calc'!$J$2:$J$233,MATCH(A55,'Holidays Calc'!$I$2:$I$233,0)),"")</f>
        <v/>
      </c>
      <c r="AM55" t="str">
        <f ca="1">IF(AR55="","",IF(INDEX('Holidays Calc'!$I$2:$I$233,AR55+1)=A55,INDEX('Holidays Calc'!$J$2:$J$233,AR55+1),""))</f>
        <v/>
      </c>
      <c r="AN55" t="str">
        <f ca="1">IF(AR55="","",IF(INDEX('Holidays Calc'!$I$2:$I$233,AR55+2)=A55,INDEX('Holidays Calc'!$J$2:$J$233,AR55+2),""))</f>
        <v/>
      </c>
      <c r="AO55" t="str">
        <f ca="1">IF(AR55="","",IF(INDEX('Holidays Calc'!$I$2:$I$233,AR55+3)=A55,INDEX('Holidays Calc'!$J$2:$J$233,AR55+3),""))</f>
        <v/>
      </c>
      <c r="AP55" t="str">
        <f>IFERROR(IF($E55=E54,"",MATCH($E55,Festivals!$H$2:$H$160,0)),"")</f>
        <v/>
      </c>
      <c r="AQ55" t="str">
        <f>IF(AP55="","",COUNTIF(Festivals!$H$2:$H$160,$E55))</f>
        <v/>
      </c>
      <c r="AR55" t="str">
        <f ca="1">IFERROR(MATCH(A55,'Holidays Calc'!$I$2:$I$233,0),"")</f>
        <v/>
      </c>
      <c r="AS55" t="str">
        <f t="shared" si="2"/>
        <v/>
      </c>
      <c r="AT55" t="str">
        <f t="shared" si="1"/>
        <v/>
      </c>
      <c r="AU55" t="str">
        <f t="shared" ca="1" si="3"/>
        <v/>
      </c>
      <c r="AV55" t="str">
        <f t="shared" ca="1" si="4"/>
        <v/>
      </c>
    </row>
    <row r="56" spans="1:48" x14ac:dyDescent="0.25">
      <c r="A56" s="265">
        <f t="shared" si="7"/>
        <v>43482</v>
      </c>
      <c r="B56" s="265" t="str">
        <f t="shared" si="8"/>
        <v>17 Jan 2019</v>
      </c>
      <c r="C56" s="267">
        <f t="shared" si="9"/>
        <v>3</v>
      </c>
      <c r="D56">
        <f>MATCH(A56,GCalXMLT[daydate],0)</f>
        <v>55</v>
      </c>
      <c r="E56">
        <f>VALUE("1" &amp; Masacod(INDEX(GCalXMLT[gymasa],D56)) &amp; PaksaCod(INDEX(GCalXMLT[mpaksaid],D56)) &amp; TithiCod(INDEX(GCalXMLT[stithiname],D56)))</f>
        <v>110111</v>
      </c>
      <c r="F56" t="str">
        <f ca="1">INDEX(Parameters!$K$2:$K$16,MATCH(AV56,Parameters!$L$2:$L$16,0))</f>
        <v>E</v>
      </c>
      <c r="G56" t="str">
        <f>INDEX(GCalXMLT[fastmark],$D56)</f>
        <v>*</v>
      </c>
      <c r="H56" t="str">
        <f ca="1">INDEX(Parameters!$J$2:$J$16,MATCH(AV56,Parameters!$L$2:$L$16,0))</f>
        <v>*</v>
      </c>
      <c r="I56" t="str">
        <f>INDEX(GCalXMLT[dfestival1],$D56)</f>
        <v>Fasting for Putrada Ekadasi</v>
      </c>
      <c r="J56">
        <f>IF(INDEX(GCalXMLT[dfestival2],$D56)="(Fast today)",INDEX(Festivals!$R$2:$R$180,MATCH($I56,Festivals!$R$2:$R$180,0)+1),INDEX(GCalXMLT[dfestival2],$D56))</f>
        <v>0</v>
      </c>
      <c r="K56">
        <f>IF(I56="Nandotsava","(Fast till noon)",INDEX(GCalXMLT[dfestival3],$D56))</f>
        <v>0</v>
      </c>
      <c r="L56">
        <f>IF(I56="Nandotsava", INDEX(GCalXMLT[dfestival3],$D56),INDEX(GCalXMLT[dfestival4],$D56))</f>
        <v>0</v>
      </c>
      <c r="M56" t="str">
        <f>IFERROR(INDEX(Festivals!$S$2:$S$160,AP56),"")</f>
        <v/>
      </c>
      <c r="N56" t="str">
        <f>IFERROR(IF($AQ56&gt;1,INDEX(Festivals!$S$2:$S$160,$AP56+1),""),"")</f>
        <v/>
      </c>
      <c r="O56" t="str">
        <f>IFERROR(IF($AQ56&gt;2,INDEX(Festivals!$S$2:$S$160,$AP56+2),""),"")</f>
        <v/>
      </c>
      <c r="P56" t="str">
        <f>IFERROR(IF($AQ56&gt;3,INDEX(Festivals!$S$2:$S$160,$AP56+3),""),"")</f>
        <v/>
      </c>
      <c r="Q56" t="str">
        <f>IFERROR(IF($AQ56&gt;4,INDEX(Festivals!$S$2:$S$160,$AP56+4),""),"")</f>
        <v/>
      </c>
      <c r="R56" t="str">
        <f>IFERROR(IF($AQ56&gt;5,INDEX(Festivals!$S$2:$S$160,$AP56+5),""),"")</f>
        <v/>
      </c>
      <c r="S56" t="str">
        <f>IFERROR(IF($AQ56&gt;6,INDEX(Festivals!$S$2:$S$160,$AP56+6),""),"")</f>
        <v/>
      </c>
      <c r="T56">
        <f>INDEX(GCalXMLT[dcaturmasya1],$D56)</f>
        <v>0</v>
      </c>
      <c r="U56">
        <f>INDEX(GCalXMLT[dcaturmasya2],$D56)</f>
        <v>0</v>
      </c>
      <c r="V56" t="str">
        <f>INDEX(GCalXMLT[sankrantirasi],$D56) &amp; " " &amp; INDEX(GCalXMLT[sankrantitime],$D56)</f>
        <v xml:space="preserve"> </v>
      </c>
      <c r="W56" t="str">
        <f ca="1">IFERROR(INDEX('Holidays Calc'!$K$2:$K$233,AR56),"")</f>
        <v/>
      </c>
      <c r="X56" t="str">
        <f ca="1">IF(AR56="","",IF(INDEX('Holidays Calc'!$I$2:$I$233,AR56+1)=A56,INDEX('Holidays Calc'!$K$2:$K$233,AR56+1),""))</f>
        <v/>
      </c>
      <c r="Y56" t="str">
        <f ca="1">IF(AR56="","",IF(INDEX('Holidays Calc'!$I$2:$I$233,AR56+2)=A56,INDEX('Holidays Calc'!$K$2:$K$233,AR56+2),""))</f>
        <v/>
      </c>
      <c r="Z56" t="str">
        <f ca="1">IF(AR56="","",IF(INDEX('Holidays Calc'!$I$2:$I$233,AR56+3)=A56,INDEX('Holidays Calc'!$K$2:$K$2333,AR56+3),""))</f>
        <v/>
      </c>
      <c r="AA56">
        <f>IF(I56="Last day of Bhisma Pancaka","",IF(G56="*",-0.7,IF(ISBLANK(INDEX(GCalXMLT[dclass1],$D56)),"",INDEX(GCalXMLT[dclass1],$D56))))</f>
        <v>-0.7</v>
      </c>
      <c r="AB56" t="str">
        <f>IF(J56="First day of Bhisma Pancaka","",IF(AND(G56="*",NOT(ISERROR(SEARCH("ekadasi",J56)))),-0.7,IF(ISBLANK(INDEX(GCalXMLT[dclass2],$D56)),"",INDEX(GCalXMLT[dclass2],$D56))))</f>
        <v/>
      </c>
      <c r="AC56" t="str">
        <f>IF(I56="Nandotsava",-1,IF(ISBLANK(INDEX(GCalXMLT[dclass3],$D56)),"",INDEX(GCalXMLT[dclass3],$D56)))</f>
        <v/>
      </c>
      <c r="AD56" t="str">
        <f>IF(I56="Nandotsava",IF(ISBLANK(INDEX(GCalXMLT[dclass3],$D56)),"",INDEX(GCalXMLT[dclass3],$D56)),IF(ISBLANK(INDEX(GCalXMLT[dclass4],$D56)),"",INDEX(GCalXMLT[dclass4],$D56)))</f>
        <v/>
      </c>
      <c r="AE56" t="str">
        <f>IFERROR(INDEX(Festivals!$V$2:$V$160,AP56),"")</f>
        <v/>
      </c>
      <c r="AF56" t="str">
        <f>IFERROR(IF($AQ56&gt;1,INDEX(Festivals!$V$2:$V$160,$AP56+1),""),"")</f>
        <v/>
      </c>
      <c r="AG56" t="str">
        <f>IFERROR(IF($AQ56&gt;2,INDEX(Festivals!$V$2:$V$160,$AP56+2),""),"")</f>
        <v/>
      </c>
      <c r="AH56" t="str">
        <f>IFERROR(IF($AQ56&gt;3,INDEX(Festivals!$V$2:$V$160,$AP56+3),""),"")</f>
        <v/>
      </c>
      <c r="AI56" t="str">
        <f>IFERROR(IF($AQ56&gt;4,INDEX(Festivals!$V$2:$V$160,$AP56+4),""),"")</f>
        <v/>
      </c>
      <c r="AJ56" t="str">
        <f>IFERROR(IF($AQ56&gt;5,INDEX(Festivals!$V$2:$V$160,$AP56+5),""),"")</f>
        <v/>
      </c>
      <c r="AK56" t="str">
        <f>IFERROR(IF($AQ56&gt;6,INDEX(Festivals!$V$2:$V$160,$AP56+6),""),"")</f>
        <v/>
      </c>
      <c r="AL56" t="str">
        <f ca="1">IFERROR(INDEX('Holidays Calc'!$J$2:$J$233,MATCH(A56,'Holidays Calc'!$I$2:$I$233,0)),"")</f>
        <v/>
      </c>
      <c r="AM56" t="str">
        <f ca="1">IF(AR56="","",IF(INDEX('Holidays Calc'!$I$2:$I$233,AR56+1)=A56,INDEX('Holidays Calc'!$J$2:$J$233,AR56+1),""))</f>
        <v/>
      </c>
      <c r="AN56" t="str">
        <f ca="1">IF(AR56="","",IF(INDEX('Holidays Calc'!$I$2:$I$233,AR56+2)=A56,INDEX('Holidays Calc'!$J$2:$J$233,AR56+2),""))</f>
        <v/>
      </c>
      <c r="AO56" t="str">
        <f ca="1">IF(AR56="","",IF(INDEX('Holidays Calc'!$I$2:$I$233,AR56+3)=A56,INDEX('Holidays Calc'!$J$2:$J$233,AR56+3),""))</f>
        <v/>
      </c>
      <c r="AP56" t="str">
        <f>IFERROR(IF($E56=E55,"",MATCH($E56,Festivals!$H$2:$H$160,0)),"")</f>
        <v/>
      </c>
      <c r="AQ56" t="str">
        <f>IF(AP56="","",COUNTIF(Festivals!$H$2:$H$160,$E56))</f>
        <v/>
      </c>
      <c r="AR56" t="str">
        <f ca="1">IFERROR(MATCH(A56,'Holidays Calc'!$I$2:$I$233,0),"")</f>
        <v/>
      </c>
      <c r="AS56">
        <f t="shared" si="2"/>
        <v>-0.7</v>
      </c>
      <c r="AT56">
        <f t="shared" si="1"/>
        <v>-0.7</v>
      </c>
      <c r="AU56" t="str">
        <f t="shared" ca="1" si="3"/>
        <v/>
      </c>
      <c r="AV56">
        <f t="shared" ca="1" si="4"/>
        <v>-0.7</v>
      </c>
    </row>
    <row r="57" spans="1:48" x14ac:dyDescent="0.25">
      <c r="A57" s="265">
        <f t="shared" si="7"/>
        <v>43483</v>
      </c>
      <c r="B57" s="265" t="str">
        <f t="shared" si="8"/>
        <v>18 Jan 2019</v>
      </c>
      <c r="C57" s="267">
        <f t="shared" si="9"/>
        <v>3</v>
      </c>
      <c r="D57">
        <f>MATCH(A57,GCalXMLT[daydate],0)</f>
        <v>56</v>
      </c>
      <c r="E57">
        <f>VALUE("1" &amp; Masacod(INDEX(GCalXMLT[gymasa],D57)) &amp; PaksaCod(INDEX(GCalXMLT[mpaksaid],D57)) &amp; TithiCod(INDEX(GCalXMLT[stithiname],D57)))</f>
        <v>110112</v>
      </c>
      <c r="F57" t="str">
        <f ca="1">INDEX(Parameters!$K$2:$K$16,MATCH(AV57,Parameters!$L$2:$L$16,0))</f>
        <v>C</v>
      </c>
      <c r="G57">
        <f>INDEX(GCalXMLT[fastmark],$D57)</f>
        <v>0</v>
      </c>
      <c r="H57" t="str">
        <f ca="1">INDEX(Parameters!$J$2:$J$16,MATCH(AV57,Parameters!$L$2:$L$16,0))</f>
        <v/>
      </c>
      <c r="I57">
        <f>INDEX(GCalXMLT[dfestival1],$D57)</f>
        <v>0</v>
      </c>
      <c r="J57">
        <f>IF(INDEX(GCalXMLT[dfestival2],$D57)="(Fast today)",INDEX(Festivals!$R$2:$R$180,MATCH($I57,Festivals!$R$2:$R$180,0)+1),INDEX(GCalXMLT[dfestival2],$D57))</f>
        <v>0</v>
      </c>
      <c r="K57">
        <f>IF(I57="Nandotsava","(Fast till noon)",INDEX(GCalXMLT[dfestival3],$D57))</f>
        <v>0</v>
      </c>
      <c r="L57">
        <f>IF(I57="Nandotsava", INDEX(GCalXMLT[dfestival3],$D57),INDEX(GCalXMLT[dfestival4],$D57))</f>
        <v>0</v>
      </c>
      <c r="M57" t="str">
        <f>IFERROR(INDEX(Festivals!$S$2:$S$160,AP57),"")</f>
        <v>Sri Jagadisa Pandita - Appearance</v>
      </c>
      <c r="N57" t="str">
        <f>IFERROR(IF($AQ57&gt;1,INDEX(Festivals!$S$2:$S$160,$AP57+1),""),"")</f>
        <v/>
      </c>
      <c r="O57" t="str">
        <f>IFERROR(IF($AQ57&gt;2,INDEX(Festivals!$S$2:$S$160,$AP57+2),""),"")</f>
        <v/>
      </c>
      <c r="P57" t="str">
        <f>IFERROR(IF($AQ57&gt;3,INDEX(Festivals!$S$2:$S$160,$AP57+3),""),"")</f>
        <v/>
      </c>
      <c r="Q57" t="str">
        <f>IFERROR(IF($AQ57&gt;4,INDEX(Festivals!$S$2:$S$160,$AP57+4),""),"")</f>
        <v/>
      </c>
      <c r="R57" t="str">
        <f>IFERROR(IF($AQ57&gt;5,INDEX(Festivals!$S$2:$S$160,$AP57+5),""),"")</f>
        <v/>
      </c>
      <c r="S57" t="str">
        <f>IFERROR(IF($AQ57&gt;6,INDEX(Festivals!$S$2:$S$160,$AP57+6),""),"")</f>
        <v/>
      </c>
      <c r="T57">
        <f>INDEX(GCalXMLT[dcaturmasya1],$D57)</f>
        <v>0</v>
      </c>
      <c r="U57">
        <f>INDEX(GCalXMLT[dcaturmasya2],$D57)</f>
        <v>0</v>
      </c>
      <c r="V57" t="str">
        <f>INDEX(GCalXMLT[sankrantirasi],$D57) &amp; " " &amp; INDEX(GCalXMLT[sankrantitime],$D57)</f>
        <v xml:space="preserve"> </v>
      </c>
      <c r="W57" t="str">
        <f ca="1">IFERROR(INDEX('Holidays Calc'!$K$2:$K$233,AR57),"")</f>
        <v/>
      </c>
      <c r="X57" t="str">
        <f ca="1">IF(AR57="","",IF(INDEX('Holidays Calc'!$I$2:$I$233,AR57+1)=A57,INDEX('Holidays Calc'!$K$2:$K$233,AR57+1),""))</f>
        <v/>
      </c>
      <c r="Y57" t="str">
        <f ca="1">IF(AR57="","",IF(INDEX('Holidays Calc'!$I$2:$I$233,AR57+2)=A57,INDEX('Holidays Calc'!$K$2:$K$233,AR57+2),""))</f>
        <v/>
      </c>
      <c r="Z57" t="str">
        <f ca="1">IF(AR57="","",IF(INDEX('Holidays Calc'!$I$2:$I$233,AR57+3)=A57,INDEX('Holidays Calc'!$K$2:$K$2333,AR57+3),""))</f>
        <v/>
      </c>
      <c r="AA57" t="str">
        <f>IF(I57="Last day of Bhisma Pancaka","",IF(G57="*",-0.7,IF(ISBLANK(INDEX(GCalXMLT[dclass1],$D57)),"",INDEX(GCalXMLT[dclass1],$D57))))</f>
        <v/>
      </c>
      <c r="AB57" t="str">
        <f>IF(J57="First day of Bhisma Pancaka","",IF(AND(G57="*",NOT(ISERROR(SEARCH("ekadasi",J57)))),-0.7,IF(ISBLANK(INDEX(GCalXMLT[dclass2],$D57)),"",INDEX(GCalXMLT[dclass2],$D57))))</f>
        <v/>
      </c>
      <c r="AC57" t="str">
        <f>IF(I57="Nandotsava",-1,IF(ISBLANK(INDEX(GCalXMLT[dclass3],$D57)),"",INDEX(GCalXMLT[dclass3],$D57)))</f>
        <v/>
      </c>
      <c r="AD57" t="str">
        <f>IF(I57="Nandotsava",IF(ISBLANK(INDEX(GCalXMLT[dclass3],$D57)),"",INDEX(GCalXMLT[dclass3],$D57)),IF(ISBLANK(INDEX(GCalXMLT[dclass4],$D57)),"",INDEX(GCalXMLT[dclass4],$D57)))</f>
        <v/>
      </c>
      <c r="AE57">
        <f>IFERROR(INDEX(Festivals!$V$2:$V$160,AP57),"")</f>
        <v>3</v>
      </c>
      <c r="AF57" t="str">
        <f>IFERROR(IF($AQ57&gt;1,INDEX(Festivals!$V$2:$V$160,$AP57+1),""),"")</f>
        <v/>
      </c>
      <c r="AG57" t="str">
        <f>IFERROR(IF($AQ57&gt;2,INDEX(Festivals!$V$2:$V$160,$AP57+2),""),"")</f>
        <v/>
      </c>
      <c r="AH57" t="str">
        <f>IFERROR(IF($AQ57&gt;3,INDEX(Festivals!$V$2:$V$160,$AP57+3),""),"")</f>
        <v/>
      </c>
      <c r="AI57" t="str">
        <f>IFERROR(IF($AQ57&gt;4,INDEX(Festivals!$V$2:$V$160,$AP57+4),""),"")</f>
        <v/>
      </c>
      <c r="AJ57" t="str">
        <f>IFERROR(IF($AQ57&gt;5,INDEX(Festivals!$V$2:$V$160,$AP57+5),""),"")</f>
        <v/>
      </c>
      <c r="AK57" t="str">
        <f>IFERROR(IF($AQ57&gt;6,INDEX(Festivals!$V$2:$V$160,$AP57+6),""),"")</f>
        <v/>
      </c>
      <c r="AL57" t="str">
        <f ca="1">IFERROR(INDEX('Holidays Calc'!$J$2:$J$233,MATCH(A57,'Holidays Calc'!$I$2:$I$233,0)),"")</f>
        <v/>
      </c>
      <c r="AM57" t="str">
        <f ca="1">IF(AR57="","",IF(INDEX('Holidays Calc'!$I$2:$I$233,AR57+1)=A57,INDEX('Holidays Calc'!$J$2:$J$233,AR57+1),""))</f>
        <v/>
      </c>
      <c r="AN57" t="str">
        <f ca="1">IF(AR57="","",IF(INDEX('Holidays Calc'!$I$2:$I$233,AR57+2)=A57,INDEX('Holidays Calc'!$J$2:$J$233,AR57+2),""))</f>
        <v/>
      </c>
      <c r="AO57" t="str">
        <f ca="1">IF(AR57="","",IF(INDEX('Holidays Calc'!$I$2:$I$233,AR57+3)=A57,INDEX('Holidays Calc'!$J$2:$J$233,AR57+3),""))</f>
        <v/>
      </c>
      <c r="AP57">
        <f>IFERROR(IF($E57=E56,"",MATCH($E57,Festivals!$H$2:$H$160,0)),"")</f>
        <v>123</v>
      </c>
      <c r="AQ57">
        <f>IF(AP57="","",COUNTIF(Festivals!$H$2:$H$160,$E57))</f>
        <v>1</v>
      </c>
      <c r="AR57" t="str">
        <f ca="1">IFERROR(MATCH(A57,'Holidays Calc'!$I$2:$I$233,0),"")</f>
        <v/>
      </c>
      <c r="AS57">
        <f t="shared" si="2"/>
        <v>3</v>
      </c>
      <c r="AT57">
        <f t="shared" si="1"/>
        <v>3</v>
      </c>
      <c r="AU57" t="str">
        <f t="shared" ca="1" si="3"/>
        <v/>
      </c>
      <c r="AV57">
        <f t="shared" ca="1" si="4"/>
        <v>3</v>
      </c>
    </row>
    <row r="58" spans="1:48" x14ac:dyDescent="0.25">
      <c r="A58" s="265">
        <f t="shared" si="7"/>
        <v>43484</v>
      </c>
      <c r="B58" s="265" t="str">
        <f t="shared" si="8"/>
        <v>19 Jan 2019</v>
      </c>
      <c r="C58" s="267">
        <f t="shared" si="9"/>
        <v>3</v>
      </c>
      <c r="D58">
        <f>MATCH(A58,GCalXMLT[daydate],0)</f>
        <v>57</v>
      </c>
      <c r="E58">
        <f>VALUE("1" &amp; Masacod(INDEX(GCalXMLT[gymasa],D58)) &amp; PaksaCod(INDEX(GCalXMLT[mpaksaid],D58)) &amp; TithiCod(INDEX(GCalXMLT[stithiname],D58)))</f>
        <v>110113</v>
      </c>
      <c r="F58" t="str">
        <f ca="1">INDEX(Parameters!$K$2:$K$16,MATCH(AV58,Parameters!$L$2:$L$16,0))</f>
        <v/>
      </c>
      <c r="G58">
        <f>INDEX(GCalXMLT[fastmark],$D58)</f>
        <v>0</v>
      </c>
      <c r="H58" t="str">
        <f ca="1">INDEX(Parameters!$J$2:$J$16,MATCH(AV58,Parameters!$L$2:$L$16,0))</f>
        <v/>
      </c>
      <c r="I58">
        <f>INDEX(GCalXMLT[dfestival1],$D58)</f>
        <v>0</v>
      </c>
      <c r="J58">
        <f>IF(INDEX(GCalXMLT[dfestival2],$D58)="(Fast today)",INDEX(Festivals!$R$2:$R$180,MATCH($I58,Festivals!$R$2:$R$180,0)+1),INDEX(GCalXMLT[dfestival2],$D58))</f>
        <v>0</v>
      </c>
      <c r="K58">
        <f>IF(I58="Nandotsava","(Fast till noon)",INDEX(GCalXMLT[dfestival3],$D58))</f>
        <v>0</v>
      </c>
      <c r="L58">
        <f>IF(I58="Nandotsava", INDEX(GCalXMLT[dfestival3],$D58),INDEX(GCalXMLT[dfestival4],$D58))</f>
        <v>0</v>
      </c>
      <c r="M58" t="str">
        <f>IFERROR(INDEX(Festivals!$S$2:$S$160,AP58),"")</f>
        <v/>
      </c>
      <c r="N58" t="str">
        <f>IFERROR(IF($AQ58&gt;1,INDEX(Festivals!$S$2:$S$160,$AP58+1),""),"")</f>
        <v/>
      </c>
      <c r="O58" t="str">
        <f>IFERROR(IF($AQ58&gt;2,INDEX(Festivals!$S$2:$S$160,$AP58+2),""),"")</f>
        <v/>
      </c>
      <c r="P58" t="str">
        <f>IFERROR(IF($AQ58&gt;3,INDEX(Festivals!$S$2:$S$160,$AP58+3),""),"")</f>
        <v/>
      </c>
      <c r="Q58" t="str">
        <f>IFERROR(IF($AQ58&gt;4,INDEX(Festivals!$S$2:$S$160,$AP58+4),""),"")</f>
        <v/>
      </c>
      <c r="R58" t="str">
        <f>IFERROR(IF($AQ58&gt;5,INDEX(Festivals!$S$2:$S$160,$AP58+5),""),"")</f>
        <v/>
      </c>
      <c r="S58" t="str">
        <f>IFERROR(IF($AQ58&gt;6,INDEX(Festivals!$S$2:$S$160,$AP58+6),""),"")</f>
        <v/>
      </c>
      <c r="T58">
        <f>INDEX(GCalXMLT[dcaturmasya1],$D58)</f>
        <v>0</v>
      </c>
      <c r="U58">
        <f>INDEX(GCalXMLT[dcaturmasya2],$D58)</f>
        <v>0</v>
      </c>
      <c r="V58" t="str">
        <f>INDEX(GCalXMLT[sankrantirasi],$D58) &amp; " " &amp; INDEX(GCalXMLT[sankrantitime],$D58)</f>
        <v xml:space="preserve"> </v>
      </c>
      <c r="W58" t="str">
        <f ca="1">IFERROR(INDEX('Holidays Calc'!$K$2:$K$233,AR58),"")</f>
        <v/>
      </c>
      <c r="X58" t="str">
        <f ca="1">IF(AR58="","",IF(INDEX('Holidays Calc'!$I$2:$I$233,AR58+1)=A58,INDEX('Holidays Calc'!$K$2:$K$233,AR58+1),""))</f>
        <v/>
      </c>
      <c r="Y58" t="str">
        <f ca="1">IF(AR58="","",IF(INDEX('Holidays Calc'!$I$2:$I$233,AR58+2)=A58,INDEX('Holidays Calc'!$K$2:$K$233,AR58+2),""))</f>
        <v/>
      </c>
      <c r="Z58" t="str">
        <f ca="1">IF(AR58="","",IF(INDEX('Holidays Calc'!$I$2:$I$233,AR58+3)=A58,INDEX('Holidays Calc'!$K$2:$K$2333,AR58+3),""))</f>
        <v/>
      </c>
      <c r="AA58" t="str">
        <f>IF(I58="Last day of Bhisma Pancaka","",IF(G58="*",-0.7,IF(ISBLANK(INDEX(GCalXMLT[dclass1],$D58)),"",INDEX(GCalXMLT[dclass1],$D58))))</f>
        <v/>
      </c>
      <c r="AB58" t="str">
        <f>IF(J58="First day of Bhisma Pancaka","",IF(AND(G58="*",NOT(ISERROR(SEARCH("ekadasi",J58)))),-0.7,IF(ISBLANK(INDEX(GCalXMLT[dclass2],$D58)),"",INDEX(GCalXMLT[dclass2],$D58))))</f>
        <v/>
      </c>
      <c r="AC58" t="str">
        <f>IF(I58="Nandotsava",-1,IF(ISBLANK(INDEX(GCalXMLT[dclass3],$D58)),"",INDEX(GCalXMLT[dclass3],$D58)))</f>
        <v/>
      </c>
      <c r="AD58" t="str">
        <f>IF(I58="Nandotsava",IF(ISBLANK(INDEX(GCalXMLT[dclass3],$D58)),"",INDEX(GCalXMLT[dclass3],$D58)),IF(ISBLANK(INDEX(GCalXMLT[dclass4],$D58)),"",INDEX(GCalXMLT[dclass4],$D58)))</f>
        <v/>
      </c>
      <c r="AE58" t="str">
        <f>IFERROR(INDEX(Festivals!$V$2:$V$160,AP58),"")</f>
        <v/>
      </c>
      <c r="AF58" t="str">
        <f>IFERROR(IF($AQ58&gt;1,INDEX(Festivals!$V$2:$V$160,$AP58+1),""),"")</f>
        <v/>
      </c>
      <c r="AG58" t="str">
        <f>IFERROR(IF($AQ58&gt;2,INDEX(Festivals!$V$2:$V$160,$AP58+2),""),"")</f>
        <v/>
      </c>
      <c r="AH58" t="str">
        <f>IFERROR(IF($AQ58&gt;3,INDEX(Festivals!$V$2:$V$160,$AP58+3),""),"")</f>
        <v/>
      </c>
      <c r="AI58" t="str">
        <f>IFERROR(IF($AQ58&gt;4,INDEX(Festivals!$V$2:$V$160,$AP58+4),""),"")</f>
        <v/>
      </c>
      <c r="AJ58" t="str">
        <f>IFERROR(IF($AQ58&gt;5,INDEX(Festivals!$V$2:$V$160,$AP58+5),""),"")</f>
        <v/>
      </c>
      <c r="AK58" t="str">
        <f>IFERROR(IF($AQ58&gt;6,INDEX(Festivals!$V$2:$V$160,$AP58+6),""),"")</f>
        <v/>
      </c>
      <c r="AL58" t="str">
        <f ca="1">IFERROR(INDEX('Holidays Calc'!$J$2:$J$233,MATCH(A58,'Holidays Calc'!$I$2:$I$233,0)),"")</f>
        <v/>
      </c>
      <c r="AM58" t="str">
        <f ca="1">IF(AR58="","",IF(INDEX('Holidays Calc'!$I$2:$I$233,AR58+1)=A58,INDEX('Holidays Calc'!$J$2:$J$233,AR58+1),""))</f>
        <v/>
      </c>
      <c r="AN58" t="str">
        <f ca="1">IF(AR58="","",IF(INDEX('Holidays Calc'!$I$2:$I$233,AR58+2)=A58,INDEX('Holidays Calc'!$J$2:$J$233,AR58+2),""))</f>
        <v/>
      </c>
      <c r="AO58" t="str">
        <f ca="1">IF(AR58="","",IF(INDEX('Holidays Calc'!$I$2:$I$233,AR58+3)=A58,INDEX('Holidays Calc'!$J$2:$J$233,AR58+3),""))</f>
        <v/>
      </c>
      <c r="AP58" t="str">
        <f>IFERROR(IF($E58=E57,"",MATCH($E58,Festivals!$H$2:$H$160,0)),"")</f>
        <v/>
      </c>
      <c r="AQ58" t="str">
        <f>IF(AP58="","",COUNTIF(Festivals!$H$2:$H$160,$E58))</f>
        <v/>
      </c>
      <c r="AR58" t="str">
        <f ca="1">IFERROR(MATCH(A58,'Holidays Calc'!$I$2:$I$233,0),"")</f>
        <v/>
      </c>
      <c r="AS58" t="str">
        <f t="shared" si="2"/>
        <v/>
      </c>
      <c r="AT58" t="str">
        <f t="shared" si="1"/>
        <v/>
      </c>
      <c r="AU58" t="str">
        <f t="shared" ca="1" si="3"/>
        <v/>
      </c>
      <c r="AV58" t="str">
        <f t="shared" ca="1" si="4"/>
        <v/>
      </c>
    </row>
    <row r="59" spans="1:48" x14ac:dyDescent="0.25">
      <c r="A59" s="265">
        <f t="shared" si="7"/>
        <v>43485</v>
      </c>
      <c r="B59" s="265" t="str">
        <f t="shared" si="8"/>
        <v>20 Jan 2019</v>
      </c>
      <c r="C59" s="267">
        <f t="shared" si="9"/>
        <v>3</v>
      </c>
      <c r="D59">
        <f>MATCH(A59,GCalXMLT[daydate],0)</f>
        <v>58</v>
      </c>
      <c r="E59">
        <f>VALUE("1" &amp; Masacod(INDEX(GCalXMLT[gymasa],D59)) &amp; PaksaCod(INDEX(GCalXMLT[mpaksaid],D59)) &amp; TithiCod(INDEX(GCalXMLT[stithiname],D59)))</f>
        <v>110114</v>
      </c>
      <c r="F59" t="str">
        <f ca="1">INDEX(Parameters!$K$2:$K$16,MATCH(AV59,Parameters!$L$2:$L$16,0))</f>
        <v/>
      </c>
      <c r="G59">
        <f>INDEX(GCalXMLT[fastmark],$D59)</f>
        <v>0</v>
      </c>
      <c r="H59" t="str">
        <f ca="1">INDEX(Parameters!$J$2:$J$16,MATCH(AV59,Parameters!$L$2:$L$16,0))</f>
        <v/>
      </c>
      <c r="I59">
        <f>INDEX(GCalXMLT[dfestival1],$D59)</f>
        <v>0</v>
      </c>
      <c r="J59">
        <f>IF(INDEX(GCalXMLT[dfestival2],$D59)="(Fast today)",INDEX(Festivals!$R$2:$R$180,MATCH($I59,Festivals!$R$2:$R$180,0)+1),INDEX(GCalXMLT[dfestival2],$D59))</f>
        <v>0</v>
      </c>
      <c r="K59">
        <f>IF(I59="Nandotsava","(Fast till noon)",INDEX(GCalXMLT[dfestival3],$D59))</f>
        <v>0</v>
      </c>
      <c r="L59">
        <f>IF(I59="Nandotsava", INDEX(GCalXMLT[dfestival3],$D59),INDEX(GCalXMLT[dfestival4],$D59))</f>
        <v>0</v>
      </c>
      <c r="M59" t="str">
        <f>IFERROR(INDEX(Festivals!$S$2:$S$160,AP59),"")</f>
        <v/>
      </c>
      <c r="N59" t="str">
        <f>IFERROR(IF($AQ59&gt;1,INDEX(Festivals!$S$2:$S$160,$AP59+1),""),"")</f>
        <v/>
      </c>
      <c r="O59" t="str">
        <f>IFERROR(IF($AQ59&gt;2,INDEX(Festivals!$S$2:$S$160,$AP59+2),""),"")</f>
        <v/>
      </c>
      <c r="P59" t="str">
        <f>IFERROR(IF($AQ59&gt;3,INDEX(Festivals!$S$2:$S$160,$AP59+3),""),"")</f>
        <v/>
      </c>
      <c r="Q59" t="str">
        <f>IFERROR(IF($AQ59&gt;4,INDEX(Festivals!$S$2:$S$160,$AP59+4),""),"")</f>
        <v/>
      </c>
      <c r="R59" t="str">
        <f>IFERROR(IF($AQ59&gt;5,INDEX(Festivals!$S$2:$S$160,$AP59+5),""),"")</f>
        <v/>
      </c>
      <c r="S59" t="str">
        <f>IFERROR(IF($AQ59&gt;6,INDEX(Festivals!$S$2:$S$160,$AP59+6),""),"")</f>
        <v/>
      </c>
      <c r="T59">
        <f>INDEX(GCalXMLT[dcaturmasya1],$D59)</f>
        <v>0</v>
      </c>
      <c r="U59">
        <f>INDEX(GCalXMLT[dcaturmasya2],$D59)</f>
        <v>0</v>
      </c>
      <c r="V59" t="str">
        <f>INDEX(GCalXMLT[sankrantirasi],$D59) &amp; " " &amp; INDEX(GCalXMLT[sankrantitime],$D59)</f>
        <v xml:space="preserve"> </v>
      </c>
      <c r="W59" t="str">
        <f ca="1">IFERROR(INDEX('Holidays Calc'!$K$2:$K$233,AR59),"")</f>
        <v/>
      </c>
      <c r="X59" t="str">
        <f ca="1">IF(AR59="","",IF(INDEX('Holidays Calc'!$I$2:$I$233,AR59+1)=A59,INDEX('Holidays Calc'!$K$2:$K$233,AR59+1),""))</f>
        <v/>
      </c>
      <c r="Y59" t="str">
        <f ca="1">IF(AR59="","",IF(INDEX('Holidays Calc'!$I$2:$I$233,AR59+2)=A59,INDEX('Holidays Calc'!$K$2:$K$233,AR59+2),""))</f>
        <v/>
      </c>
      <c r="Z59" t="str">
        <f ca="1">IF(AR59="","",IF(INDEX('Holidays Calc'!$I$2:$I$233,AR59+3)=A59,INDEX('Holidays Calc'!$K$2:$K$2333,AR59+3),""))</f>
        <v/>
      </c>
      <c r="AA59" t="str">
        <f>IF(I59="Last day of Bhisma Pancaka","",IF(G59="*",-0.7,IF(ISBLANK(INDEX(GCalXMLT[dclass1],$D59)),"",INDEX(GCalXMLT[dclass1],$D59))))</f>
        <v/>
      </c>
      <c r="AB59" t="str">
        <f>IF(J59="First day of Bhisma Pancaka","",IF(AND(G59="*",NOT(ISERROR(SEARCH("ekadasi",J59)))),-0.7,IF(ISBLANK(INDEX(GCalXMLT[dclass2],$D59)),"",INDEX(GCalXMLT[dclass2],$D59))))</f>
        <v/>
      </c>
      <c r="AC59" t="str">
        <f>IF(I59="Nandotsava",-1,IF(ISBLANK(INDEX(GCalXMLT[dclass3],$D59)),"",INDEX(GCalXMLT[dclass3],$D59)))</f>
        <v/>
      </c>
      <c r="AD59" t="str">
        <f>IF(I59="Nandotsava",IF(ISBLANK(INDEX(GCalXMLT[dclass3],$D59)),"",INDEX(GCalXMLT[dclass3],$D59)),IF(ISBLANK(INDEX(GCalXMLT[dclass4],$D59)),"",INDEX(GCalXMLT[dclass4],$D59)))</f>
        <v/>
      </c>
      <c r="AE59" t="str">
        <f>IFERROR(INDEX(Festivals!$V$2:$V$160,AP59),"")</f>
        <v/>
      </c>
      <c r="AF59" t="str">
        <f>IFERROR(IF($AQ59&gt;1,INDEX(Festivals!$V$2:$V$160,$AP59+1),""),"")</f>
        <v/>
      </c>
      <c r="AG59" t="str">
        <f>IFERROR(IF($AQ59&gt;2,INDEX(Festivals!$V$2:$V$160,$AP59+2),""),"")</f>
        <v/>
      </c>
      <c r="AH59" t="str">
        <f>IFERROR(IF($AQ59&gt;3,INDEX(Festivals!$V$2:$V$160,$AP59+3),""),"")</f>
        <v/>
      </c>
      <c r="AI59" t="str">
        <f>IFERROR(IF($AQ59&gt;4,INDEX(Festivals!$V$2:$V$160,$AP59+4),""),"")</f>
        <v/>
      </c>
      <c r="AJ59" t="str">
        <f>IFERROR(IF($AQ59&gt;5,INDEX(Festivals!$V$2:$V$160,$AP59+5),""),"")</f>
        <v/>
      </c>
      <c r="AK59" t="str">
        <f>IFERROR(IF($AQ59&gt;6,INDEX(Festivals!$V$2:$V$160,$AP59+6),""),"")</f>
        <v/>
      </c>
      <c r="AL59" t="str">
        <f ca="1">IFERROR(INDEX('Holidays Calc'!$J$2:$J$233,MATCH(A59,'Holidays Calc'!$I$2:$I$233,0)),"")</f>
        <v/>
      </c>
      <c r="AM59" t="str">
        <f ca="1">IF(AR59="","",IF(INDEX('Holidays Calc'!$I$2:$I$233,AR59+1)=A59,INDEX('Holidays Calc'!$J$2:$J$233,AR59+1),""))</f>
        <v/>
      </c>
      <c r="AN59" t="str">
        <f ca="1">IF(AR59="","",IF(INDEX('Holidays Calc'!$I$2:$I$233,AR59+2)=A59,INDEX('Holidays Calc'!$J$2:$J$233,AR59+2),""))</f>
        <v/>
      </c>
      <c r="AO59" t="str">
        <f ca="1">IF(AR59="","",IF(INDEX('Holidays Calc'!$I$2:$I$233,AR59+3)=A59,INDEX('Holidays Calc'!$J$2:$J$233,AR59+3),""))</f>
        <v/>
      </c>
      <c r="AP59" t="str">
        <f>IFERROR(IF($E59=E58,"",MATCH($E59,Festivals!$H$2:$H$160,0)),"")</f>
        <v/>
      </c>
      <c r="AQ59" t="str">
        <f>IF(AP59="","",COUNTIF(Festivals!$H$2:$H$160,$E59))</f>
        <v/>
      </c>
      <c r="AR59" t="str">
        <f ca="1">IFERROR(MATCH(A59,'Holidays Calc'!$I$2:$I$233,0),"")</f>
        <v/>
      </c>
      <c r="AS59" t="str">
        <f t="shared" si="2"/>
        <v/>
      </c>
      <c r="AT59" t="str">
        <f t="shared" si="1"/>
        <v/>
      </c>
      <c r="AU59" t="str">
        <f t="shared" ca="1" si="3"/>
        <v/>
      </c>
      <c r="AV59" t="str">
        <f t="shared" ca="1" si="4"/>
        <v/>
      </c>
    </row>
    <row r="60" spans="1:48" x14ac:dyDescent="0.25">
      <c r="A60" s="265">
        <f t="shared" si="7"/>
        <v>43486</v>
      </c>
      <c r="B60" s="265" t="str">
        <f t="shared" si="8"/>
        <v>21 Jan 2019</v>
      </c>
      <c r="C60" s="267">
        <f t="shared" si="9"/>
        <v>4</v>
      </c>
      <c r="D60">
        <f>MATCH(A60,GCalXMLT[daydate],0)</f>
        <v>59</v>
      </c>
      <c r="E60">
        <f>VALUE("1" &amp; Masacod(INDEX(GCalXMLT[gymasa],D60)) &amp; PaksaCod(INDEX(GCalXMLT[mpaksaid],D60)) &amp; TithiCod(INDEX(GCalXMLT[stithiname],D60)))</f>
        <v>111001</v>
      </c>
      <c r="F60" t="str">
        <f ca="1">INDEX(Parameters!$K$2:$K$16,MATCH(AV60,Parameters!$L$2:$L$16,0))</f>
        <v/>
      </c>
      <c r="G60">
        <f>INDEX(GCalXMLT[fastmark],$D60)</f>
        <v>0</v>
      </c>
      <c r="H60" t="str">
        <f ca="1">INDEX(Parameters!$J$2:$J$16,MATCH(AV60,Parameters!$L$2:$L$16,0))</f>
        <v/>
      </c>
      <c r="I60">
        <f>INDEX(GCalXMLT[dfestival1],$D60)</f>
        <v>0</v>
      </c>
      <c r="J60">
        <f>IF(INDEX(GCalXMLT[dfestival2],$D60)="(Fast today)",INDEX(Festivals!$R$2:$R$180,MATCH($I60,Festivals!$R$2:$R$180,0)+1),INDEX(GCalXMLT[dfestival2],$D60))</f>
        <v>0</v>
      </c>
      <c r="K60">
        <f>IF(I60="Nandotsava","(Fast till noon)",INDEX(GCalXMLT[dfestival3],$D60))</f>
        <v>0</v>
      </c>
      <c r="L60">
        <f>IF(I60="Nandotsava", INDEX(GCalXMLT[dfestival3],$D60),INDEX(GCalXMLT[dfestival4],$D60))</f>
        <v>0</v>
      </c>
      <c r="M60" t="str">
        <f>IFERROR(INDEX(Festivals!$S$2:$S$160,AP60),"")</f>
        <v/>
      </c>
      <c r="N60" t="str">
        <f>IFERROR(IF($AQ60&gt;1,INDEX(Festivals!$S$2:$S$160,$AP60+1),""),"")</f>
        <v/>
      </c>
      <c r="O60" t="str">
        <f>IFERROR(IF($AQ60&gt;2,INDEX(Festivals!$S$2:$S$160,$AP60+2),""),"")</f>
        <v/>
      </c>
      <c r="P60" t="str">
        <f>IFERROR(IF($AQ60&gt;3,INDEX(Festivals!$S$2:$S$160,$AP60+3),""),"")</f>
        <v/>
      </c>
      <c r="Q60" t="str">
        <f>IFERROR(IF($AQ60&gt;4,INDEX(Festivals!$S$2:$S$160,$AP60+4),""),"")</f>
        <v/>
      </c>
      <c r="R60" t="str">
        <f>IFERROR(IF($AQ60&gt;5,INDEX(Festivals!$S$2:$S$160,$AP60+5),""),"")</f>
        <v/>
      </c>
      <c r="S60" t="str">
        <f>IFERROR(IF($AQ60&gt;6,INDEX(Festivals!$S$2:$S$160,$AP60+6),""),"")</f>
        <v/>
      </c>
      <c r="T60">
        <f>INDEX(GCalXMLT[dcaturmasya1],$D60)</f>
        <v>0</v>
      </c>
      <c r="U60">
        <f>INDEX(GCalXMLT[dcaturmasya2],$D60)</f>
        <v>0</v>
      </c>
      <c r="V60" t="str">
        <f>INDEX(GCalXMLT[sankrantirasi],$D60) &amp; " " &amp; INDEX(GCalXMLT[sankrantitime],$D60)</f>
        <v xml:space="preserve"> </v>
      </c>
      <c r="W60" t="str">
        <f ca="1">IFERROR(INDEX('Holidays Calc'!$K$2:$K$233,AR60),"")</f>
        <v/>
      </c>
      <c r="X60" t="str">
        <f ca="1">IF(AR60="","",IF(INDEX('Holidays Calc'!$I$2:$I$233,AR60+1)=A60,INDEX('Holidays Calc'!$K$2:$K$233,AR60+1),""))</f>
        <v/>
      </c>
      <c r="Y60" t="str">
        <f ca="1">IF(AR60="","",IF(INDEX('Holidays Calc'!$I$2:$I$233,AR60+2)=A60,INDEX('Holidays Calc'!$K$2:$K$233,AR60+2),""))</f>
        <v/>
      </c>
      <c r="Z60" t="str">
        <f ca="1">IF(AR60="","",IF(INDEX('Holidays Calc'!$I$2:$I$233,AR60+3)=A60,INDEX('Holidays Calc'!$K$2:$K$2333,AR60+3),""))</f>
        <v/>
      </c>
      <c r="AA60" t="str">
        <f>IF(I60="Last day of Bhisma Pancaka","",IF(G60="*",-0.7,IF(ISBLANK(INDEX(GCalXMLT[dclass1],$D60)),"",INDEX(GCalXMLT[dclass1],$D60))))</f>
        <v/>
      </c>
      <c r="AB60" t="str">
        <f>IF(J60="First day of Bhisma Pancaka","",IF(AND(G60="*",NOT(ISERROR(SEARCH("ekadasi",J60)))),-0.7,IF(ISBLANK(INDEX(GCalXMLT[dclass2],$D60)),"",INDEX(GCalXMLT[dclass2],$D60))))</f>
        <v/>
      </c>
      <c r="AC60" t="str">
        <f>IF(I60="Nandotsava",-1,IF(ISBLANK(INDEX(GCalXMLT[dclass3],$D60)),"",INDEX(GCalXMLT[dclass3],$D60)))</f>
        <v/>
      </c>
      <c r="AD60" t="str">
        <f>IF(I60="Nandotsava",IF(ISBLANK(INDEX(GCalXMLT[dclass3],$D60)),"",INDEX(GCalXMLT[dclass3],$D60)),IF(ISBLANK(INDEX(GCalXMLT[dclass4],$D60)),"",INDEX(GCalXMLT[dclass4],$D60)))</f>
        <v/>
      </c>
      <c r="AE60" t="str">
        <f>IFERROR(INDEX(Festivals!$V$2:$V$160,AP60),"")</f>
        <v/>
      </c>
      <c r="AF60" t="str">
        <f>IFERROR(IF($AQ60&gt;1,INDEX(Festivals!$V$2:$V$160,$AP60+1),""),"")</f>
        <v/>
      </c>
      <c r="AG60" t="str">
        <f>IFERROR(IF($AQ60&gt;2,INDEX(Festivals!$V$2:$V$160,$AP60+2),""),"")</f>
        <v/>
      </c>
      <c r="AH60" t="str">
        <f>IFERROR(IF($AQ60&gt;3,INDEX(Festivals!$V$2:$V$160,$AP60+3),""),"")</f>
        <v/>
      </c>
      <c r="AI60" t="str">
        <f>IFERROR(IF($AQ60&gt;4,INDEX(Festivals!$V$2:$V$160,$AP60+4),""),"")</f>
        <v/>
      </c>
      <c r="AJ60" t="str">
        <f>IFERROR(IF($AQ60&gt;5,INDEX(Festivals!$V$2:$V$160,$AP60+5),""),"")</f>
        <v/>
      </c>
      <c r="AK60" t="str">
        <f>IFERROR(IF($AQ60&gt;6,INDEX(Festivals!$V$2:$V$160,$AP60+6),""),"")</f>
        <v/>
      </c>
      <c r="AL60" t="str">
        <f ca="1">IFERROR(INDEX('Holidays Calc'!$J$2:$J$233,MATCH(A60,'Holidays Calc'!$I$2:$I$233,0)),"")</f>
        <v/>
      </c>
      <c r="AM60" t="str">
        <f ca="1">IF(AR60="","",IF(INDEX('Holidays Calc'!$I$2:$I$233,AR60+1)=A60,INDEX('Holidays Calc'!$J$2:$J$233,AR60+1),""))</f>
        <v/>
      </c>
      <c r="AN60" t="str">
        <f ca="1">IF(AR60="","",IF(INDEX('Holidays Calc'!$I$2:$I$233,AR60+2)=A60,INDEX('Holidays Calc'!$J$2:$J$233,AR60+2),""))</f>
        <v/>
      </c>
      <c r="AO60" t="str">
        <f ca="1">IF(AR60="","",IF(INDEX('Holidays Calc'!$I$2:$I$233,AR60+3)=A60,INDEX('Holidays Calc'!$J$2:$J$233,AR60+3),""))</f>
        <v/>
      </c>
      <c r="AP60" t="str">
        <f>IFERROR(IF($E60=E59,"",MATCH($E60,Festivals!$H$2:$H$160,0)),"")</f>
        <v/>
      </c>
      <c r="AQ60" t="str">
        <f>IF(AP60="","",COUNTIF(Festivals!$H$2:$H$160,$E60))</f>
        <v/>
      </c>
      <c r="AR60" t="str">
        <f ca="1">IFERROR(MATCH(A60,'Holidays Calc'!$I$2:$I$233,0),"")</f>
        <v/>
      </c>
      <c r="AS60" t="str">
        <f t="shared" si="2"/>
        <v/>
      </c>
      <c r="AT60" t="str">
        <f t="shared" si="1"/>
        <v/>
      </c>
      <c r="AU60" t="str">
        <f t="shared" ca="1" si="3"/>
        <v/>
      </c>
      <c r="AV60" t="str">
        <f t="shared" ca="1" si="4"/>
        <v/>
      </c>
    </row>
    <row r="61" spans="1:48" x14ac:dyDescent="0.25">
      <c r="A61" s="265">
        <f t="shared" si="7"/>
        <v>43487</v>
      </c>
      <c r="B61" s="265" t="str">
        <f t="shared" si="8"/>
        <v>22 Jan 2019</v>
      </c>
      <c r="C61" s="267">
        <f t="shared" si="9"/>
        <v>4</v>
      </c>
      <c r="D61">
        <f>MATCH(A61,GCalXMLT[daydate],0)</f>
        <v>60</v>
      </c>
      <c r="E61">
        <f>VALUE("1" &amp; Masacod(INDEX(GCalXMLT[gymasa],D61)) &amp; PaksaCod(INDEX(GCalXMLT[mpaksaid],D61)) &amp; TithiCod(INDEX(GCalXMLT[stithiname],D61)))</f>
        <v>111002</v>
      </c>
      <c r="F61" t="str">
        <f ca="1">INDEX(Parameters!$K$2:$K$16,MATCH(AV61,Parameters!$L$2:$L$16,0))</f>
        <v/>
      </c>
      <c r="G61">
        <f>INDEX(GCalXMLT[fastmark],$D61)</f>
        <v>0</v>
      </c>
      <c r="H61" t="str">
        <f ca="1">INDEX(Parameters!$J$2:$J$16,MATCH(AV61,Parameters!$L$2:$L$16,0))</f>
        <v/>
      </c>
      <c r="I61">
        <f>INDEX(GCalXMLT[dfestival1],$D61)</f>
        <v>0</v>
      </c>
      <c r="J61">
        <f>IF(INDEX(GCalXMLT[dfestival2],$D61)="(Fast today)",INDEX(Festivals!$R$2:$R$180,MATCH($I61,Festivals!$R$2:$R$180,0)+1),INDEX(GCalXMLT[dfestival2],$D61))</f>
        <v>0</v>
      </c>
      <c r="K61">
        <f>IF(I61="Nandotsava","(Fast till noon)",INDEX(GCalXMLT[dfestival3],$D61))</f>
        <v>0</v>
      </c>
      <c r="L61">
        <f>IF(I61="Nandotsava", INDEX(GCalXMLT[dfestival3],$D61),INDEX(GCalXMLT[dfestival4],$D61))</f>
        <v>0</v>
      </c>
      <c r="M61" t="str">
        <f>IFERROR(INDEX(Festivals!$S$2:$S$160,AP61),"")</f>
        <v/>
      </c>
      <c r="N61" t="str">
        <f>IFERROR(IF($AQ61&gt;1,INDEX(Festivals!$S$2:$S$160,$AP61+1),""),"")</f>
        <v/>
      </c>
      <c r="O61" t="str">
        <f>IFERROR(IF($AQ61&gt;2,INDEX(Festivals!$S$2:$S$160,$AP61+2),""),"")</f>
        <v/>
      </c>
      <c r="P61" t="str">
        <f>IFERROR(IF($AQ61&gt;3,INDEX(Festivals!$S$2:$S$160,$AP61+3),""),"")</f>
        <v/>
      </c>
      <c r="Q61" t="str">
        <f>IFERROR(IF($AQ61&gt;4,INDEX(Festivals!$S$2:$S$160,$AP61+4),""),"")</f>
        <v/>
      </c>
      <c r="R61" t="str">
        <f>IFERROR(IF($AQ61&gt;5,INDEX(Festivals!$S$2:$S$160,$AP61+5),""),"")</f>
        <v/>
      </c>
      <c r="S61" t="str">
        <f>IFERROR(IF($AQ61&gt;6,INDEX(Festivals!$S$2:$S$160,$AP61+6),""),"")</f>
        <v/>
      </c>
      <c r="T61">
        <f>INDEX(GCalXMLT[dcaturmasya1],$D61)</f>
        <v>0</v>
      </c>
      <c r="U61">
        <f>INDEX(GCalXMLT[dcaturmasya2],$D61)</f>
        <v>0</v>
      </c>
      <c r="V61" t="str">
        <f>INDEX(GCalXMLT[sankrantirasi],$D61) &amp; " " &amp; INDEX(GCalXMLT[sankrantitime],$D61)</f>
        <v xml:space="preserve"> </v>
      </c>
      <c r="W61" t="str">
        <f ca="1">IFERROR(INDEX('Holidays Calc'!$K$2:$K$233,AR61),"")</f>
        <v/>
      </c>
      <c r="X61" t="str">
        <f ca="1">IF(AR61="","",IF(INDEX('Holidays Calc'!$I$2:$I$233,AR61+1)=A61,INDEX('Holidays Calc'!$K$2:$K$233,AR61+1),""))</f>
        <v/>
      </c>
      <c r="Y61" t="str">
        <f ca="1">IF(AR61="","",IF(INDEX('Holidays Calc'!$I$2:$I$233,AR61+2)=A61,INDEX('Holidays Calc'!$K$2:$K$233,AR61+2),""))</f>
        <v/>
      </c>
      <c r="Z61" t="str">
        <f ca="1">IF(AR61="","",IF(INDEX('Holidays Calc'!$I$2:$I$233,AR61+3)=A61,INDEX('Holidays Calc'!$K$2:$K$2333,AR61+3),""))</f>
        <v/>
      </c>
      <c r="AA61" t="str">
        <f>IF(I61="Last day of Bhisma Pancaka","",IF(G61="*",-0.7,IF(ISBLANK(INDEX(GCalXMLT[dclass1],$D61)),"",INDEX(GCalXMLT[dclass1],$D61))))</f>
        <v/>
      </c>
      <c r="AB61" t="str">
        <f>IF(J61="First day of Bhisma Pancaka","",IF(AND(G61="*",NOT(ISERROR(SEARCH("ekadasi",J61)))),-0.7,IF(ISBLANK(INDEX(GCalXMLT[dclass2],$D61)),"",INDEX(GCalXMLT[dclass2],$D61))))</f>
        <v/>
      </c>
      <c r="AC61" t="str">
        <f>IF(I61="Nandotsava",-1,IF(ISBLANK(INDEX(GCalXMLT[dclass3],$D61)),"",INDEX(GCalXMLT[dclass3],$D61)))</f>
        <v/>
      </c>
      <c r="AD61" t="str">
        <f>IF(I61="Nandotsava",IF(ISBLANK(INDEX(GCalXMLT[dclass3],$D61)),"",INDEX(GCalXMLT[dclass3],$D61)),IF(ISBLANK(INDEX(GCalXMLT[dclass4],$D61)),"",INDEX(GCalXMLT[dclass4],$D61)))</f>
        <v/>
      </c>
      <c r="AE61" t="str">
        <f>IFERROR(INDEX(Festivals!$V$2:$V$160,AP61),"")</f>
        <v/>
      </c>
      <c r="AF61" t="str">
        <f>IFERROR(IF($AQ61&gt;1,INDEX(Festivals!$V$2:$V$160,$AP61+1),""),"")</f>
        <v/>
      </c>
      <c r="AG61" t="str">
        <f>IFERROR(IF($AQ61&gt;2,INDEX(Festivals!$V$2:$V$160,$AP61+2),""),"")</f>
        <v/>
      </c>
      <c r="AH61" t="str">
        <f>IFERROR(IF($AQ61&gt;3,INDEX(Festivals!$V$2:$V$160,$AP61+3),""),"")</f>
        <v/>
      </c>
      <c r="AI61" t="str">
        <f>IFERROR(IF($AQ61&gt;4,INDEX(Festivals!$V$2:$V$160,$AP61+4),""),"")</f>
        <v/>
      </c>
      <c r="AJ61" t="str">
        <f>IFERROR(IF($AQ61&gt;5,INDEX(Festivals!$V$2:$V$160,$AP61+5),""),"")</f>
        <v/>
      </c>
      <c r="AK61" t="str">
        <f>IFERROR(IF($AQ61&gt;6,INDEX(Festivals!$V$2:$V$160,$AP61+6),""),"")</f>
        <v/>
      </c>
      <c r="AL61" t="str">
        <f ca="1">IFERROR(INDEX('Holidays Calc'!$J$2:$J$233,MATCH(A61,'Holidays Calc'!$I$2:$I$233,0)),"")</f>
        <v/>
      </c>
      <c r="AM61" t="str">
        <f ca="1">IF(AR61="","",IF(INDEX('Holidays Calc'!$I$2:$I$233,AR61+1)=A61,INDEX('Holidays Calc'!$J$2:$J$233,AR61+1),""))</f>
        <v/>
      </c>
      <c r="AN61" t="str">
        <f ca="1">IF(AR61="","",IF(INDEX('Holidays Calc'!$I$2:$I$233,AR61+2)=A61,INDEX('Holidays Calc'!$J$2:$J$233,AR61+2),""))</f>
        <v/>
      </c>
      <c r="AO61" t="str">
        <f ca="1">IF(AR61="","",IF(INDEX('Holidays Calc'!$I$2:$I$233,AR61+3)=A61,INDEX('Holidays Calc'!$J$2:$J$233,AR61+3),""))</f>
        <v/>
      </c>
      <c r="AP61" t="str">
        <f>IFERROR(IF($E61=E60,"",MATCH($E61,Festivals!$H$2:$H$160,0)),"")</f>
        <v/>
      </c>
      <c r="AQ61" t="str">
        <f>IF(AP61="","",COUNTIF(Festivals!$H$2:$H$160,$E61))</f>
        <v/>
      </c>
      <c r="AR61" t="str">
        <f ca="1">IFERROR(MATCH(A61,'Holidays Calc'!$I$2:$I$233,0),"")</f>
        <v/>
      </c>
      <c r="AS61" t="str">
        <f t="shared" si="2"/>
        <v/>
      </c>
      <c r="AT61" t="str">
        <f t="shared" si="1"/>
        <v/>
      </c>
      <c r="AU61" t="str">
        <f t="shared" ca="1" si="3"/>
        <v/>
      </c>
      <c r="AV61" t="str">
        <f t="shared" ca="1" si="4"/>
        <v/>
      </c>
    </row>
    <row r="62" spans="1:48" x14ac:dyDescent="0.25">
      <c r="A62" s="265">
        <f t="shared" si="7"/>
        <v>43488</v>
      </c>
      <c r="B62" s="265" t="str">
        <f t="shared" si="8"/>
        <v>23 Jan 2019</v>
      </c>
      <c r="C62" s="267">
        <f t="shared" si="9"/>
        <v>4</v>
      </c>
      <c r="D62">
        <f>MATCH(A62,GCalXMLT[daydate],0)</f>
        <v>61</v>
      </c>
      <c r="E62">
        <f>VALUE("1" &amp; Masacod(INDEX(GCalXMLT[gymasa],D62)) &amp; PaksaCod(INDEX(GCalXMLT[mpaksaid],D62)) &amp; TithiCod(INDEX(GCalXMLT[stithiname],D62)))</f>
        <v>111003</v>
      </c>
      <c r="F62" t="str">
        <f ca="1">INDEX(Parameters!$K$2:$K$16,MATCH(AV62,Parameters!$L$2:$L$16,0))</f>
        <v/>
      </c>
      <c r="G62">
        <f>INDEX(GCalXMLT[fastmark],$D62)</f>
        <v>0</v>
      </c>
      <c r="H62" t="str">
        <f ca="1">INDEX(Parameters!$J$2:$J$16,MATCH(AV62,Parameters!$L$2:$L$16,0))</f>
        <v/>
      </c>
      <c r="I62">
        <f>INDEX(GCalXMLT[dfestival1],$D62)</f>
        <v>0</v>
      </c>
      <c r="J62">
        <f>IF(INDEX(GCalXMLT[dfestival2],$D62)="(Fast today)",INDEX(Festivals!$R$2:$R$180,MATCH($I62,Festivals!$R$2:$R$180,0)+1),INDEX(GCalXMLT[dfestival2],$D62))</f>
        <v>0</v>
      </c>
      <c r="K62">
        <f>IF(I62="Nandotsava","(Fast till noon)",INDEX(GCalXMLT[dfestival3],$D62))</f>
        <v>0</v>
      </c>
      <c r="L62">
        <f>IF(I62="Nandotsava", INDEX(GCalXMLT[dfestival3],$D62),INDEX(GCalXMLT[dfestival4],$D62))</f>
        <v>0</v>
      </c>
      <c r="M62" t="str">
        <f>IFERROR(INDEX(Festivals!$S$2:$S$160,AP62),"")</f>
        <v/>
      </c>
      <c r="N62" t="str">
        <f>IFERROR(IF($AQ62&gt;1,INDEX(Festivals!$S$2:$S$160,$AP62+1),""),"")</f>
        <v/>
      </c>
      <c r="O62" t="str">
        <f>IFERROR(IF($AQ62&gt;2,INDEX(Festivals!$S$2:$S$160,$AP62+2),""),"")</f>
        <v/>
      </c>
      <c r="P62" t="str">
        <f>IFERROR(IF($AQ62&gt;3,INDEX(Festivals!$S$2:$S$160,$AP62+3),""),"")</f>
        <v/>
      </c>
      <c r="Q62" t="str">
        <f>IFERROR(IF($AQ62&gt;4,INDEX(Festivals!$S$2:$S$160,$AP62+4),""),"")</f>
        <v/>
      </c>
      <c r="R62" t="str">
        <f>IFERROR(IF($AQ62&gt;5,INDEX(Festivals!$S$2:$S$160,$AP62+5),""),"")</f>
        <v/>
      </c>
      <c r="S62" t="str">
        <f>IFERROR(IF($AQ62&gt;6,INDEX(Festivals!$S$2:$S$160,$AP62+6),""),"")</f>
        <v/>
      </c>
      <c r="T62">
        <f>INDEX(GCalXMLT[dcaturmasya1],$D62)</f>
        <v>0</v>
      </c>
      <c r="U62">
        <f>INDEX(GCalXMLT[dcaturmasya2],$D62)</f>
        <v>0</v>
      </c>
      <c r="V62" t="str">
        <f>INDEX(GCalXMLT[sankrantirasi],$D62) &amp; " " &amp; INDEX(GCalXMLT[sankrantitime],$D62)</f>
        <v xml:space="preserve"> </v>
      </c>
      <c r="W62" t="str">
        <f ca="1">IFERROR(INDEX('Holidays Calc'!$K$2:$K$233,AR62),"")</f>
        <v/>
      </c>
      <c r="X62" t="str">
        <f ca="1">IF(AR62="","",IF(INDEX('Holidays Calc'!$I$2:$I$233,AR62+1)=A62,INDEX('Holidays Calc'!$K$2:$K$233,AR62+1),""))</f>
        <v/>
      </c>
      <c r="Y62" t="str">
        <f ca="1">IF(AR62="","",IF(INDEX('Holidays Calc'!$I$2:$I$233,AR62+2)=A62,INDEX('Holidays Calc'!$K$2:$K$233,AR62+2),""))</f>
        <v/>
      </c>
      <c r="Z62" t="str">
        <f ca="1">IF(AR62="","",IF(INDEX('Holidays Calc'!$I$2:$I$233,AR62+3)=A62,INDEX('Holidays Calc'!$K$2:$K$2333,AR62+3),""))</f>
        <v/>
      </c>
      <c r="AA62" t="str">
        <f>IF(I62="Last day of Bhisma Pancaka","",IF(G62="*",-0.7,IF(ISBLANK(INDEX(GCalXMLT[dclass1],$D62)),"",INDEX(GCalXMLT[dclass1],$D62))))</f>
        <v/>
      </c>
      <c r="AB62" t="str">
        <f>IF(J62="First day of Bhisma Pancaka","",IF(AND(G62="*",NOT(ISERROR(SEARCH("ekadasi",J62)))),-0.7,IF(ISBLANK(INDEX(GCalXMLT[dclass2],$D62)),"",INDEX(GCalXMLT[dclass2],$D62))))</f>
        <v/>
      </c>
      <c r="AC62" t="str">
        <f>IF(I62="Nandotsava",-1,IF(ISBLANK(INDEX(GCalXMLT[dclass3],$D62)),"",INDEX(GCalXMLT[dclass3],$D62)))</f>
        <v/>
      </c>
      <c r="AD62" t="str">
        <f>IF(I62="Nandotsava",IF(ISBLANK(INDEX(GCalXMLT[dclass3],$D62)),"",INDEX(GCalXMLT[dclass3],$D62)),IF(ISBLANK(INDEX(GCalXMLT[dclass4],$D62)),"",INDEX(GCalXMLT[dclass4],$D62)))</f>
        <v/>
      </c>
      <c r="AE62" t="str">
        <f>IFERROR(INDEX(Festivals!$V$2:$V$160,AP62),"")</f>
        <v/>
      </c>
      <c r="AF62" t="str">
        <f>IFERROR(IF($AQ62&gt;1,INDEX(Festivals!$V$2:$V$160,$AP62+1),""),"")</f>
        <v/>
      </c>
      <c r="AG62" t="str">
        <f>IFERROR(IF($AQ62&gt;2,INDEX(Festivals!$V$2:$V$160,$AP62+2),""),"")</f>
        <v/>
      </c>
      <c r="AH62" t="str">
        <f>IFERROR(IF($AQ62&gt;3,INDEX(Festivals!$V$2:$V$160,$AP62+3),""),"")</f>
        <v/>
      </c>
      <c r="AI62" t="str">
        <f>IFERROR(IF($AQ62&gt;4,INDEX(Festivals!$V$2:$V$160,$AP62+4),""),"")</f>
        <v/>
      </c>
      <c r="AJ62" t="str">
        <f>IFERROR(IF($AQ62&gt;5,INDEX(Festivals!$V$2:$V$160,$AP62+5),""),"")</f>
        <v/>
      </c>
      <c r="AK62" t="str">
        <f>IFERROR(IF($AQ62&gt;6,INDEX(Festivals!$V$2:$V$160,$AP62+6),""),"")</f>
        <v/>
      </c>
      <c r="AL62" t="str">
        <f ca="1">IFERROR(INDEX('Holidays Calc'!$J$2:$J$233,MATCH(A62,'Holidays Calc'!$I$2:$I$233,0)),"")</f>
        <v/>
      </c>
      <c r="AM62" t="str">
        <f ca="1">IF(AR62="","",IF(INDEX('Holidays Calc'!$I$2:$I$233,AR62+1)=A62,INDEX('Holidays Calc'!$J$2:$J$233,AR62+1),""))</f>
        <v/>
      </c>
      <c r="AN62" t="str">
        <f ca="1">IF(AR62="","",IF(INDEX('Holidays Calc'!$I$2:$I$233,AR62+2)=A62,INDEX('Holidays Calc'!$J$2:$J$233,AR62+2),""))</f>
        <v/>
      </c>
      <c r="AO62" t="str">
        <f ca="1">IF(AR62="","",IF(INDEX('Holidays Calc'!$I$2:$I$233,AR62+3)=A62,INDEX('Holidays Calc'!$J$2:$J$233,AR62+3),""))</f>
        <v/>
      </c>
      <c r="AP62" t="str">
        <f>IFERROR(IF($E62=E61,"",MATCH($E62,Festivals!$H$2:$H$160,0)),"")</f>
        <v/>
      </c>
      <c r="AQ62" t="str">
        <f>IF(AP62="","",COUNTIF(Festivals!$H$2:$H$160,$E62))</f>
        <v/>
      </c>
      <c r="AR62" t="str">
        <f ca="1">IFERROR(MATCH(A62,'Holidays Calc'!$I$2:$I$233,0),"")</f>
        <v/>
      </c>
      <c r="AS62" t="str">
        <f t="shared" si="2"/>
        <v/>
      </c>
      <c r="AT62" t="str">
        <f t="shared" si="1"/>
        <v/>
      </c>
      <c r="AU62" t="str">
        <f t="shared" ca="1" si="3"/>
        <v/>
      </c>
      <c r="AV62" t="str">
        <f t="shared" ca="1" si="4"/>
        <v/>
      </c>
    </row>
    <row r="63" spans="1:48" x14ac:dyDescent="0.25">
      <c r="A63" s="265">
        <f t="shared" si="7"/>
        <v>43489</v>
      </c>
      <c r="B63" s="265" t="str">
        <f t="shared" si="8"/>
        <v>24 Jan 2019</v>
      </c>
      <c r="C63" s="267">
        <f t="shared" si="9"/>
        <v>4</v>
      </c>
      <c r="D63">
        <f>MATCH(A63,GCalXMLT[daydate],0)</f>
        <v>62</v>
      </c>
      <c r="E63">
        <f>VALUE("1" &amp; Masacod(INDEX(GCalXMLT[gymasa],D63)) &amp; PaksaCod(INDEX(GCalXMLT[mpaksaid],D63)) &amp; TithiCod(INDEX(GCalXMLT[stithiname],D63)))</f>
        <v>111004</v>
      </c>
      <c r="F63" t="str">
        <f ca="1">INDEX(Parameters!$K$2:$K$16,MATCH(AV63,Parameters!$L$2:$L$16,0))</f>
        <v/>
      </c>
      <c r="G63">
        <f>INDEX(GCalXMLT[fastmark],$D63)</f>
        <v>0</v>
      </c>
      <c r="H63" t="str">
        <f ca="1">INDEX(Parameters!$J$2:$J$16,MATCH(AV63,Parameters!$L$2:$L$16,0))</f>
        <v/>
      </c>
      <c r="I63">
        <f>INDEX(GCalXMLT[dfestival1],$D63)</f>
        <v>0</v>
      </c>
      <c r="J63">
        <f>IF(INDEX(GCalXMLT[dfestival2],$D63)="(Fast today)",INDEX(Festivals!$R$2:$R$180,MATCH($I63,Festivals!$R$2:$R$180,0)+1),INDEX(GCalXMLT[dfestival2],$D63))</f>
        <v>0</v>
      </c>
      <c r="K63">
        <f>IF(I63="Nandotsava","(Fast till noon)",INDEX(GCalXMLT[dfestival3],$D63))</f>
        <v>0</v>
      </c>
      <c r="L63">
        <f>IF(I63="Nandotsava", INDEX(GCalXMLT[dfestival3],$D63),INDEX(GCalXMLT[dfestival4],$D63))</f>
        <v>0</v>
      </c>
      <c r="M63" t="str">
        <f>IFERROR(INDEX(Festivals!$S$2:$S$160,AP63),"")</f>
        <v/>
      </c>
      <c r="N63" t="str">
        <f>IFERROR(IF($AQ63&gt;1,INDEX(Festivals!$S$2:$S$160,$AP63+1),""),"")</f>
        <v/>
      </c>
      <c r="O63" t="str">
        <f>IFERROR(IF($AQ63&gt;2,INDEX(Festivals!$S$2:$S$160,$AP63+2),""),"")</f>
        <v/>
      </c>
      <c r="P63" t="str">
        <f>IFERROR(IF($AQ63&gt;3,INDEX(Festivals!$S$2:$S$160,$AP63+3),""),"")</f>
        <v/>
      </c>
      <c r="Q63" t="str">
        <f>IFERROR(IF($AQ63&gt;4,INDEX(Festivals!$S$2:$S$160,$AP63+4),""),"")</f>
        <v/>
      </c>
      <c r="R63" t="str">
        <f>IFERROR(IF($AQ63&gt;5,INDEX(Festivals!$S$2:$S$160,$AP63+5),""),"")</f>
        <v/>
      </c>
      <c r="S63" t="str">
        <f>IFERROR(IF($AQ63&gt;6,INDEX(Festivals!$S$2:$S$160,$AP63+6),""),"")</f>
        <v/>
      </c>
      <c r="T63">
        <f>INDEX(GCalXMLT[dcaturmasya1],$D63)</f>
        <v>0</v>
      </c>
      <c r="U63">
        <f>INDEX(GCalXMLT[dcaturmasya2],$D63)</f>
        <v>0</v>
      </c>
      <c r="V63" t="str">
        <f>INDEX(GCalXMLT[sankrantirasi],$D63) &amp; " " &amp; INDEX(GCalXMLT[sankrantitime],$D63)</f>
        <v xml:space="preserve"> </v>
      </c>
      <c r="W63" t="str">
        <f ca="1">IFERROR(INDEX('Holidays Calc'!$K$2:$K$233,AR63),"")</f>
        <v/>
      </c>
      <c r="X63" t="str">
        <f ca="1">IF(AR63="","",IF(INDEX('Holidays Calc'!$I$2:$I$233,AR63+1)=A63,INDEX('Holidays Calc'!$K$2:$K$233,AR63+1),""))</f>
        <v/>
      </c>
      <c r="Y63" t="str">
        <f ca="1">IF(AR63="","",IF(INDEX('Holidays Calc'!$I$2:$I$233,AR63+2)=A63,INDEX('Holidays Calc'!$K$2:$K$233,AR63+2),""))</f>
        <v/>
      </c>
      <c r="Z63" t="str">
        <f ca="1">IF(AR63="","",IF(INDEX('Holidays Calc'!$I$2:$I$233,AR63+3)=A63,INDEX('Holidays Calc'!$K$2:$K$2333,AR63+3),""))</f>
        <v/>
      </c>
      <c r="AA63" t="str">
        <f>IF(I63="Last day of Bhisma Pancaka","",IF(G63="*",-0.7,IF(ISBLANK(INDEX(GCalXMLT[dclass1],$D63)),"",INDEX(GCalXMLT[dclass1],$D63))))</f>
        <v/>
      </c>
      <c r="AB63" t="str">
        <f>IF(J63="First day of Bhisma Pancaka","",IF(AND(G63="*",NOT(ISERROR(SEARCH("ekadasi",J63)))),-0.7,IF(ISBLANK(INDEX(GCalXMLT[dclass2],$D63)),"",INDEX(GCalXMLT[dclass2],$D63))))</f>
        <v/>
      </c>
      <c r="AC63" t="str">
        <f>IF(I63="Nandotsava",-1,IF(ISBLANK(INDEX(GCalXMLT[dclass3],$D63)),"",INDEX(GCalXMLT[dclass3],$D63)))</f>
        <v/>
      </c>
      <c r="AD63" t="str">
        <f>IF(I63="Nandotsava",IF(ISBLANK(INDEX(GCalXMLT[dclass3],$D63)),"",INDEX(GCalXMLT[dclass3],$D63)),IF(ISBLANK(INDEX(GCalXMLT[dclass4],$D63)),"",INDEX(GCalXMLT[dclass4],$D63)))</f>
        <v/>
      </c>
      <c r="AE63" t="str">
        <f>IFERROR(INDEX(Festivals!$V$2:$V$160,AP63),"")</f>
        <v/>
      </c>
      <c r="AF63" t="str">
        <f>IFERROR(IF($AQ63&gt;1,INDEX(Festivals!$V$2:$V$160,$AP63+1),""),"")</f>
        <v/>
      </c>
      <c r="AG63" t="str">
        <f>IFERROR(IF($AQ63&gt;2,INDEX(Festivals!$V$2:$V$160,$AP63+2),""),"")</f>
        <v/>
      </c>
      <c r="AH63" t="str">
        <f>IFERROR(IF($AQ63&gt;3,INDEX(Festivals!$V$2:$V$160,$AP63+3),""),"")</f>
        <v/>
      </c>
      <c r="AI63" t="str">
        <f>IFERROR(IF($AQ63&gt;4,INDEX(Festivals!$V$2:$V$160,$AP63+4),""),"")</f>
        <v/>
      </c>
      <c r="AJ63" t="str">
        <f>IFERROR(IF($AQ63&gt;5,INDEX(Festivals!$V$2:$V$160,$AP63+5),""),"")</f>
        <v/>
      </c>
      <c r="AK63" t="str">
        <f>IFERROR(IF($AQ63&gt;6,INDEX(Festivals!$V$2:$V$160,$AP63+6),""),"")</f>
        <v/>
      </c>
      <c r="AL63" t="str">
        <f ca="1">IFERROR(INDEX('Holidays Calc'!$J$2:$J$233,MATCH(A63,'Holidays Calc'!$I$2:$I$233,0)),"")</f>
        <v/>
      </c>
      <c r="AM63" t="str">
        <f ca="1">IF(AR63="","",IF(INDEX('Holidays Calc'!$I$2:$I$233,AR63+1)=A63,INDEX('Holidays Calc'!$J$2:$J$233,AR63+1),""))</f>
        <v/>
      </c>
      <c r="AN63" t="str">
        <f ca="1">IF(AR63="","",IF(INDEX('Holidays Calc'!$I$2:$I$233,AR63+2)=A63,INDEX('Holidays Calc'!$J$2:$J$233,AR63+2),""))</f>
        <v/>
      </c>
      <c r="AO63" t="str">
        <f ca="1">IF(AR63="","",IF(INDEX('Holidays Calc'!$I$2:$I$233,AR63+3)=A63,INDEX('Holidays Calc'!$J$2:$J$233,AR63+3),""))</f>
        <v/>
      </c>
      <c r="AP63" t="str">
        <f>IFERROR(IF($E63=E62,"",MATCH($E63,Festivals!$H$2:$H$160,0)),"")</f>
        <v/>
      </c>
      <c r="AQ63" t="str">
        <f>IF(AP63="","",COUNTIF(Festivals!$H$2:$H$160,$E63))</f>
        <v/>
      </c>
      <c r="AR63" t="str">
        <f ca="1">IFERROR(MATCH(A63,'Holidays Calc'!$I$2:$I$233,0),"")</f>
        <v/>
      </c>
      <c r="AS63" t="str">
        <f t="shared" si="2"/>
        <v/>
      </c>
      <c r="AT63" t="str">
        <f t="shared" si="1"/>
        <v/>
      </c>
      <c r="AU63" t="str">
        <f t="shared" ca="1" si="3"/>
        <v/>
      </c>
      <c r="AV63" t="str">
        <f t="shared" ca="1" si="4"/>
        <v/>
      </c>
    </row>
    <row r="64" spans="1:48" x14ac:dyDescent="0.25">
      <c r="A64" s="265">
        <f t="shared" si="7"/>
        <v>43490</v>
      </c>
      <c r="B64" s="265" t="str">
        <f t="shared" si="8"/>
        <v>25 Jan 2019</v>
      </c>
      <c r="C64" s="267">
        <f t="shared" si="9"/>
        <v>4</v>
      </c>
      <c r="D64">
        <f>MATCH(A64,GCalXMLT[daydate],0)</f>
        <v>63</v>
      </c>
      <c r="E64">
        <f>VALUE("1" &amp; Masacod(INDEX(GCalXMLT[gymasa],D64)) &amp; PaksaCod(INDEX(GCalXMLT[mpaksaid],D64)) &amp; TithiCod(INDEX(GCalXMLT[stithiname],D64)))</f>
        <v>111005</v>
      </c>
      <c r="F64" t="str">
        <f ca="1">INDEX(Parameters!$K$2:$K$16,MATCH(AV64,Parameters!$L$2:$L$16,0))</f>
        <v>C</v>
      </c>
      <c r="G64">
        <f>INDEX(GCalXMLT[fastmark],$D64)</f>
        <v>0</v>
      </c>
      <c r="H64" t="str">
        <f ca="1">INDEX(Parameters!$J$2:$J$16,MATCH(AV64,Parameters!$L$2:$L$16,0))</f>
        <v/>
      </c>
      <c r="I64">
        <f>INDEX(GCalXMLT[dfestival1],$D64)</f>
        <v>0</v>
      </c>
      <c r="J64">
        <f>IF(INDEX(GCalXMLT[dfestival2],$D64)="(Fast today)",INDEX(Festivals!$R$2:$R$180,MATCH($I64,Festivals!$R$2:$R$180,0)+1),INDEX(GCalXMLT[dfestival2],$D64))</f>
        <v>0</v>
      </c>
      <c r="K64">
        <f>IF(I64="Nandotsava","(Fast till noon)",INDEX(GCalXMLT[dfestival3],$D64))</f>
        <v>0</v>
      </c>
      <c r="L64">
        <f>IF(I64="Nandotsava", INDEX(GCalXMLT[dfestival3],$D64),INDEX(GCalXMLT[dfestival4],$D64))</f>
        <v>0</v>
      </c>
      <c r="M64" t="str">
        <f>IFERROR(INDEX(Festivals!$S$2:$S$160,AP64),"")</f>
        <v>Sri Ramacandra Kaviraja - Disappearance</v>
      </c>
      <c r="N64" t="str">
        <f>IFERROR(IF($AQ64&gt;1,INDEX(Festivals!$S$2:$S$160,$AP64+1),""),"")</f>
        <v>Srila Gopala Bhatta Gosvami - Appearance</v>
      </c>
      <c r="O64" t="str">
        <f>IFERROR(IF($AQ64&gt;2,INDEX(Festivals!$S$2:$S$160,$AP64+2),""),"")</f>
        <v/>
      </c>
      <c r="P64" t="str">
        <f>IFERROR(IF($AQ64&gt;3,INDEX(Festivals!$S$2:$S$160,$AP64+3),""),"")</f>
        <v/>
      </c>
      <c r="Q64" t="str">
        <f>IFERROR(IF($AQ64&gt;4,INDEX(Festivals!$S$2:$S$160,$AP64+4),""),"")</f>
        <v/>
      </c>
      <c r="R64" t="str">
        <f>IFERROR(IF($AQ64&gt;5,INDEX(Festivals!$S$2:$S$160,$AP64+5),""),"")</f>
        <v/>
      </c>
      <c r="S64" t="str">
        <f>IFERROR(IF($AQ64&gt;6,INDEX(Festivals!$S$2:$S$160,$AP64+6),""),"")</f>
        <v/>
      </c>
      <c r="T64">
        <f>INDEX(GCalXMLT[dcaturmasya1],$D64)</f>
        <v>0</v>
      </c>
      <c r="U64">
        <f>INDEX(GCalXMLT[dcaturmasya2],$D64)</f>
        <v>0</v>
      </c>
      <c r="V64" t="str">
        <f>INDEX(GCalXMLT[sankrantirasi],$D64) &amp; " " &amp; INDEX(GCalXMLT[sankrantitime],$D64)</f>
        <v xml:space="preserve"> </v>
      </c>
      <c r="W64" t="str">
        <f ca="1">IFERROR(INDEX('Holidays Calc'!$K$2:$K$233,AR64),"")</f>
        <v/>
      </c>
      <c r="X64" t="str">
        <f ca="1">IF(AR64="","",IF(INDEX('Holidays Calc'!$I$2:$I$233,AR64+1)=A64,INDEX('Holidays Calc'!$K$2:$K$233,AR64+1),""))</f>
        <v/>
      </c>
      <c r="Y64" t="str">
        <f ca="1">IF(AR64="","",IF(INDEX('Holidays Calc'!$I$2:$I$233,AR64+2)=A64,INDEX('Holidays Calc'!$K$2:$K$233,AR64+2),""))</f>
        <v/>
      </c>
      <c r="Z64" t="str">
        <f ca="1">IF(AR64="","",IF(INDEX('Holidays Calc'!$I$2:$I$233,AR64+3)=A64,INDEX('Holidays Calc'!$K$2:$K$2333,AR64+3),""))</f>
        <v/>
      </c>
      <c r="AA64" t="str">
        <f>IF(I64="Last day of Bhisma Pancaka","",IF(G64="*",-0.7,IF(ISBLANK(INDEX(GCalXMLT[dclass1],$D64)),"",INDEX(GCalXMLT[dclass1],$D64))))</f>
        <v/>
      </c>
      <c r="AB64" t="str">
        <f>IF(J64="First day of Bhisma Pancaka","",IF(AND(G64="*",NOT(ISERROR(SEARCH("ekadasi",J64)))),-0.7,IF(ISBLANK(INDEX(GCalXMLT[dclass2],$D64)),"",INDEX(GCalXMLT[dclass2],$D64))))</f>
        <v/>
      </c>
      <c r="AC64" t="str">
        <f>IF(I64="Nandotsava",-1,IF(ISBLANK(INDEX(GCalXMLT[dclass3],$D64)),"",INDEX(GCalXMLT[dclass3],$D64)))</f>
        <v/>
      </c>
      <c r="AD64" t="str">
        <f>IF(I64="Nandotsava",IF(ISBLANK(INDEX(GCalXMLT[dclass3],$D64)),"",INDEX(GCalXMLT[dclass3],$D64)),IF(ISBLANK(INDEX(GCalXMLT[dclass4],$D64)),"",INDEX(GCalXMLT[dclass4],$D64)))</f>
        <v/>
      </c>
      <c r="AE64">
        <f>IFERROR(INDEX(Festivals!$V$2:$V$160,AP64),"")</f>
        <v>3</v>
      </c>
      <c r="AF64">
        <f>IFERROR(IF($AQ64&gt;1,INDEX(Festivals!$V$2:$V$160,$AP64+1),""),"")</f>
        <v>3</v>
      </c>
      <c r="AG64" t="str">
        <f>IFERROR(IF($AQ64&gt;2,INDEX(Festivals!$V$2:$V$160,$AP64+2),""),"")</f>
        <v/>
      </c>
      <c r="AH64" t="str">
        <f>IFERROR(IF($AQ64&gt;3,INDEX(Festivals!$V$2:$V$160,$AP64+3),""),"")</f>
        <v/>
      </c>
      <c r="AI64" t="str">
        <f>IFERROR(IF($AQ64&gt;4,INDEX(Festivals!$V$2:$V$160,$AP64+4),""),"")</f>
        <v/>
      </c>
      <c r="AJ64" t="str">
        <f>IFERROR(IF($AQ64&gt;5,INDEX(Festivals!$V$2:$V$160,$AP64+5),""),"")</f>
        <v/>
      </c>
      <c r="AK64" t="str">
        <f>IFERROR(IF($AQ64&gt;6,INDEX(Festivals!$V$2:$V$160,$AP64+6),""),"")</f>
        <v/>
      </c>
      <c r="AL64" t="str">
        <f ca="1">IFERROR(INDEX('Holidays Calc'!$J$2:$J$233,MATCH(A64,'Holidays Calc'!$I$2:$I$233,0)),"")</f>
        <v/>
      </c>
      <c r="AM64" t="str">
        <f ca="1">IF(AR64="","",IF(INDEX('Holidays Calc'!$I$2:$I$233,AR64+1)=A64,INDEX('Holidays Calc'!$J$2:$J$233,AR64+1),""))</f>
        <v/>
      </c>
      <c r="AN64" t="str">
        <f ca="1">IF(AR64="","",IF(INDEX('Holidays Calc'!$I$2:$I$233,AR64+2)=A64,INDEX('Holidays Calc'!$J$2:$J$233,AR64+2),""))</f>
        <v/>
      </c>
      <c r="AO64" t="str">
        <f ca="1">IF(AR64="","",IF(INDEX('Holidays Calc'!$I$2:$I$233,AR64+3)=A64,INDEX('Holidays Calc'!$J$2:$J$233,AR64+3),""))</f>
        <v/>
      </c>
      <c r="AP64">
        <f>IFERROR(IF($E64=E63,"",MATCH($E64,Festivals!$H$2:$H$160,0)),"")</f>
        <v>125</v>
      </c>
      <c r="AQ64">
        <f>IF(AP64="","",COUNTIF(Festivals!$H$2:$H$160,$E64))</f>
        <v>2</v>
      </c>
      <c r="AR64" t="str">
        <f ca="1">IFERROR(MATCH(A64,'Holidays Calc'!$I$2:$I$233,0),"")</f>
        <v/>
      </c>
      <c r="AS64">
        <f t="shared" si="2"/>
        <v>3</v>
      </c>
      <c r="AT64">
        <f t="shared" si="1"/>
        <v>3</v>
      </c>
      <c r="AU64" t="str">
        <f t="shared" ca="1" si="3"/>
        <v/>
      </c>
      <c r="AV64">
        <f t="shared" ca="1" si="4"/>
        <v>3</v>
      </c>
    </row>
    <row r="65" spans="1:48" x14ac:dyDescent="0.25">
      <c r="A65" s="265">
        <f t="shared" si="7"/>
        <v>43491</v>
      </c>
      <c r="B65" s="265" t="str">
        <f t="shared" si="8"/>
        <v>26 Jan 2019</v>
      </c>
      <c r="C65" s="267">
        <f t="shared" si="9"/>
        <v>4</v>
      </c>
      <c r="D65">
        <f>MATCH(A65,GCalXMLT[daydate],0)</f>
        <v>64</v>
      </c>
      <c r="E65">
        <f>VALUE("1" &amp; Masacod(INDEX(GCalXMLT[gymasa],D65)) &amp; PaksaCod(INDEX(GCalXMLT[mpaksaid],D65)) &amp; TithiCod(INDEX(GCalXMLT[stithiname],D65)))</f>
        <v>111006</v>
      </c>
      <c r="F65" t="str">
        <f ca="1">INDEX(Parameters!$K$2:$K$16,MATCH(AV65,Parameters!$L$2:$L$16,0))</f>
        <v>C</v>
      </c>
      <c r="G65">
        <f>INDEX(GCalXMLT[fastmark],$D65)</f>
        <v>0</v>
      </c>
      <c r="H65" t="str">
        <f ca="1">INDEX(Parameters!$J$2:$J$16,MATCH(AV65,Parameters!$L$2:$L$16,0))</f>
        <v/>
      </c>
      <c r="I65">
        <f>INDEX(GCalXMLT[dfestival1],$D65)</f>
        <v>0</v>
      </c>
      <c r="J65">
        <f>IF(INDEX(GCalXMLT[dfestival2],$D65)="(Fast today)",INDEX(Festivals!$R$2:$R$180,MATCH($I65,Festivals!$R$2:$R$180,0)+1),INDEX(GCalXMLT[dfestival2],$D65))</f>
        <v>0</v>
      </c>
      <c r="K65">
        <f>IF(I65="Nandotsava","(Fast till noon)",INDEX(GCalXMLT[dfestival3],$D65))</f>
        <v>0</v>
      </c>
      <c r="L65">
        <f>IF(I65="Nandotsava", INDEX(GCalXMLT[dfestival3],$D65),INDEX(GCalXMLT[dfestival4],$D65))</f>
        <v>0</v>
      </c>
      <c r="M65" t="str">
        <f>IFERROR(INDEX(Festivals!$S$2:$S$160,AP65),"")</f>
        <v>Sri Jayadeva Gosvami - Disappearance</v>
      </c>
      <c r="N65" t="str">
        <f>IFERROR(IF($AQ65&gt;1,INDEX(Festivals!$S$2:$S$160,$AP65+1),""),"")</f>
        <v/>
      </c>
      <c r="O65" t="str">
        <f>IFERROR(IF($AQ65&gt;2,INDEX(Festivals!$S$2:$S$160,$AP65+2),""),"")</f>
        <v/>
      </c>
      <c r="P65" t="str">
        <f>IFERROR(IF($AQ65&gt;3,INDEX(Festivals!$S$2:$S$160,$AP65+3),""),"")</f>
        <v/>
      </c>
      <c r="Q65" t="str">
        <f>IFERROR(IF($AQ65&gt;4,INDEX(Festivals!$S$2:$S$160,$AP65+4),""),"")</f>
        <v/>
      </c>
      <c r="R65" t="str">
        <f>IFERROR(IF($AQ65&gt;5,INDEX(Festivals!$S$2:$S$160,$AP65+5),""),"")</f>
        <v/>
      </c>
      <c r="S65" t="str">
        <f>IFERROR(IF($AQ65&gt;6,INDEX(Festivals!$S$2:$S$160,$AP65+6),""),"")</f>
        <v/>
      </c>
      <c r="T65">
        <f>INDEX(GCalXMLT[dcaturmasya1],$D65)</f>
        <v>0</v>
      </c>
      <c r="U65">
        <f>INDEX(GCalXMLT[dcaturmasya2],$D65)</f>
        <v>0</v>
      </c>
      <c r="V65" t="str">
        <f>INDEX(GCalXMLT[sankrantirasi],$D65) &amp; " " &amp; INDEX(GCalXMLT[sankrantitime],$D65)</f>
        <v xml:space="preserve"> </v>
      </c>
      <c r="W65" t="str">
        <f ca="1">IFERROR(INDEX('Holidays Calc'!$K$2:$K$233,AR65),"")</f>
        <v/>
      </c>
      <c r="X65" t="str">
        <f ca="1">IF(AR65="","",IF(INDEX('Holidays Calc'!$I$2:$I$233,AR65+1)=A65,INDEX('Holidays Calc'!$K$2:$K$233,AR65+1),""))</f>
        <v/>
      </c>
      <c r="Y65" t="str">
        <f ca="1">IF(AR65="","",IF(INDEX('Holidays Calc'!$I$2:$I$233,AR65+2)=A65,INDEX('Holidays Calc'!$K$2:$K$233,AR65+2),""))</f>
        <v/>
      </c>
      <c r="Z65" t="str">
        <f ca="1">IF(AR65="","",IF(INDEX('Holidays Calc'!$I$2:$I$233,AR65+3)=A65,INDEX('Holidays Calc'!$K$2:$K$2333,AR65+3),""))</f>
        <v/>
      </c>
      <c r="AA65" t="str">
        <f>IF(I65="Last day of Bhisma Pancaka","",IF(G65="*",-0.7,IF(ISBLANK(INDEX(GCalXMLT[dclass1],$D65)),"",INDEX(GCalXMLT[dclass1],$D65))))</f>
        <v/>
      </c>
      <c r="AB65" t="str">
        <f>IF(J65="First day of Bhisma Pancaka","",IF(AND(G65="*",NOT(ISERROR(SEARCH("ekadasi",J65)))),-0.7,IF(ISBLANK(INDEX(GCalXMLT[dclass2],$D65)),"",INDEX(GCalXMLT[dclass2],$D65))))</f>
        <v/>
      </c>
      <c r="AC65" t="str">
        <f>IF(I65="Nandotsava",-1,IF(ISBLANK(INDEX(GCalXMLT[dclass3],$D65)),"",INDEX(GCalXMLT[dclass3],$D65)))</f>
        <v/>
      </c>
      <c r="AD65" t="str">
        <f>IF(I65="Nandotsava",IF(ISBLANK(INDEX(GCalXMLT[dclass3],$D65)),"",INDEX(GCalXMLT[dclass3],$D65)),IF(ISBLANK(INDEX(GCalXMLT[dclass4],$D65)),"",INDEX(GCalXMLT[dclass4],$D65)))</f>
        <v/>
      </c>
      <c r="AE65">
        <f>IFERROR(INDEX(Festivals!$V$2:$V$160,AP65),"")</f>
        <v>3</v>
      </c>
      <c r="AF65" t="str">
        <f>IFERROR(IF($AQ65&gt;1,INDEX(Festivals!$V$2:$V$160,$AP65+1),""),"")</f>
        <v/>
      </c>
      <c r="AG65" t="str">
        <f>IFERROR(IF($AQ65&gt;2,INDEX(Festivals!$V$2:$V$160,$AP65+2),""),"")</f>
        <v/>
      </c>
      <c r="AH65" t="str">
        <f>IFERROR(IF($AQ65&gt;3,INDEX(Festivals!$V$2:$V$160,$AP65+3),""),"")</f>
        <v/>
      </c>
      <c r="AI65" t="str">
        <f>IFERROR(IF($AQ65&gt;4,INDEX(Festivals!$V$2:$V$160,$AP65+4),""),"")</f>
        <v/>
      </c>
      <c r="AJ65" t="str">
        <f>IFERROR(IF($AQ65&gt;5,INDEX(Festivals!$V$2:$V$160,$AP65+5),""),"")</f>
        <v/>
      </c>
      <c r="AK65" t="str">
        <f>IFERROR(IF($AQ65&gt;6,INDEX(Festivals!$V$2:$V$160,$AP65+6),""),"")</f>
        <v/>
      </c>
      <c r="AL65" t="str">
        <f ca="1">IFERROR(INDEX('Holidays Calc'!$J$2:$J$233,MATCH(A65,'Holidays Calc'!$I$2:$I$233,0)),"")</f>
        <v/>
      </c>
      <c r="AM65" t="str">
        <f ca="1">IF(AR65="","",IF(INDEX('Holidays Calc'!$I$2:$I$233,AR65+1)=A65,INDEX('Holidays Calc'!$J$2:$J$233,AR65+1),""))</f>
        <v/>
      </c>
      <c r="AN65" t="str">
        <f ca="1">IF(AR65="","",IF(INDEX('Holidays Calc'!$I$2:$I$233,AR65+2)=A65,INDEX('Holidays Calc'!$J$2:$J$233,AR65+2),""))</f>
        <v/>
      </c>
      <c r="AO65" t="str">
        <f ca="1">IF(AR65="","",IF(INDEX('Holidays Calc'!$I$2:$I$233,AR65+3)=A65,INDEX('Holidays Calc'!$J$2:$J$233,AR65+3),""))</f>
        <v/>
      </c>
      <c r="AP65">
        <f>IFERROR(IF($E65=E64,"",MATCH($E65,Festivals!$H$2:$H$160,0)),"")</f>
        <v>127</v>
      </c>
      <c r="AQ65">
        <f>IF(AP65="","",COUNTIF(Festivals!$H$2:$H$160,$E65))</f>
        <v>1</v>
      </c>
      <c r="AR65" t="str">
        <f ca="1">IFERROR(MATCH(A65,'Holidays Calc'!$I$2:$I$233,0),"")</f>
        <v/>
      </c>
      <c r="AS65">
        <f t="shared" si="2"/>
        <v>3</v>
      </c>
      <c r="AT65">
        <f t="shared" si="1"/>
        <v>3</v>
      </c>
      <c r="AU65" t="str">
        <f t="shared" ca="1" si="3"/>
        <v/>
      </c>
      <c r="AV65">
        <f t="shared" ca="1" si="4"/>
        <v>3</v>
      </c>
    </row>
    <row r="66" spans="1:48" x14ac:dyDescent="0.25">
      <c r="A66" s="265">
        <f t="shared" si="7"/>
        <v>43492</v>
      </c>
      <c r="B66" s="265" t="str">
        <f t="shared" si="8"/>
        <v>27 Jan 2019</v>
      </c>
      <c r="C66" s="267">
        <f t="shared" si="9"/>
        <v>4</v>
      </c>
      <c r="D66">
        <f>MATCH(A66,GCalXMLT[daydate],0)</f>
        <v>65</v>
      </c>
      <c r="E66">
        <f>VALUE("1" &amp; Masacod(INDEX(GCalXMLT[gymasa],D66)) &amp; PaksaCod(INDEX(GCalXMLT[mpaksaid],D66)) &amp; TithiCod(INDEX(GCalXMLT[stithiname],D66)))</f>
        <v>111007</v>
      </c>
      <c r="F66" t="str">
        <f ca="1">INDEX(Parameters!$K$2:$K$16,MATCH(AV66,Parameters!$L$2:$L$16,0))</f>
        <v>C</v>
      </c>
      <c r="G66">
        <f>INDEX(GCalXMLT[fastmark],$D66)</f>
        <v>0</v>
      </c>
      <c r="H66" t="str">
        <f ca="1">INDEX(Parameters!$J$2:$J$16,MATCH(AV66,Parameters!$L$2:$L$16,0))</f>
        <v/>
      </c>
      <c r="I66">
        <f>INDEX(GCalXMLT[dfestival1],$D66)</f>
        <v>0</v>
      </c>
      <c r="J66">
        <f>IF(INDEX(GCalXMLT[dfestival2],$D66)="(Fast today)",INDEX(Festivals!$R$2:$R$180,MATCH($I66,Festivals!$R$2:$R$180,0)+1),INDEX(GCalXMLT[dfestival2],$D66))</f>
        <v>0</v>
      </c>
      <c r="K66">
        <f>IF(I66="Nandotsava","(Fast till noon)",INDEX(GCalXMLT[dfestival3],$D66))</f>
        <v>0</v>
      </c>
      <c r="L66">
        <f>IF(I66="Nandotsava", INDEX(GCalXMLT[dfestival3],$D66),INDEX(GCalXMLT[dfestival4],$D66))</f>
        <v>0</v>
      </c>
      <c r="M66" t="str">
        <f>IFERROR(INDEX(Festivals!$S$2:$S$160,AP66),"")</f>
        <v>Sri Locana Dasa Thakura - Disappearance</v>
      </c>
      <c r="N66" t="str">
        <f>IFERROR(IF($AQ66&gt;1,INDEX(Festivals!$S$2:$S$160,$AP66+1),""),"")</f>
        <v/>
      </c>
      <c r="O66" t="str">
        <f>IFERROR(IF($AQ66&gt;2,INDEX(Festivals!$S$2:$S$160,$AP66+2),""),"")</f>
        <v/>
      </c>
      <c r="P66" t="str">
        <f>IFERROR(IF($AQ66&gt;3,INDEX(Festivals!$S$2:$S$160,$AP66+3),""),"")</f>
        <v/>
      </c>
      <c r="Q66" t="str">
        <f>IFERROR(IF($AQ66&gt;4,INDEX(Festivals!$S$2:$S$160,$AP66+4),""),"")</f>
        <v/>
      </c>
      <c r="R66" t="str">
        <f>IFERROR(IF($AQ66&gt;5,INDEX(Festivals!$S$2:$S$160,$AP66+5),""),"")</f>
        <v/>
      </c>
      <c r="S66" t="str">
        <f>IFERROR(IF($AQ66&gt;6,INDEX(Festivals!$S$2:$S$160,$AP66+6),""),"")</f>
        <v/>
      </c>
      <c r="T66">
        <f>INDEX(GCalXMLT[dcaturmasya1],$D66)</f>
        <v>0</v>
      </c>
      <c r="U66">
        <f>INDEX(GCalXMLT[dcaturmasya2],$D66)</f>
        <v>0</v>
      </c>
      <c r="V66" t="str">
        <f>INDEX(GCalXMLT[sankrantirasi],$D66) &amp; " " &amp; INDEX(GCalXMLT[sankrantitime],$D66)</f>
        <v xml:space="preserve"> </v>
      </c>
      <c r="W66" t="str">
        <f ca="1">IFERROR(INDEX('Holidays Calc'!$K$2:$K$233,AR66),"")</f>
        <v/>
      </c>
      <c r="X66" t="str">
        <f ca="1">IF(AR66="","",IF(INDEX('Holidays Calc'!$I$2:$I$233,AR66+1)=A66,INDEX('Holidays Calc'!$K$2:$K$233,AR66+1),""))</f>
        <v/>
      </c>
      <c r="Y66" t="str">
        <f ca="1">IF(AR66="","",IF(INDEX('Holidays Calc'!$I$2:$I$233,AR66+2)=A66,INDEX('Holidays Calc'!$K$2:$K$233,AR66+2),""))</f>
        <v/>
      </c>
      <c r="Z66" t="str">
        <f ca="1">IF(AR66="","",IF(INDEX('Holidays Calc'!$I$2:$I$233,AR66+3)=A66,INDEX('Holidays Calc'!$K$2:$K$2333,AR66+3),""))</f>
        <v/>
      </c>
      <c r="AA66" t="str">
        <f>IF(I66="Last day of Bhisma Pancaka","",IF(G66="*",-0.7,IF(ISBLANK(INDEX(GCalXMLT[dclass1],$D66)),"",INDEX(GCalXMLT[dclass1],$D66))))</f>
        <v/>
      </c>
      <c r="AB66" t="str">
        <f>IF(J66="First day of Bhisma Pancaka","",IF(AND(G66="*",NOT(ISERROR(SEARCH("ekadasi",J66)))),-0.7,IF(ISBLANK(INDEX(GCalXMLT[dclass2],$D66)),"",INDEX(GCalXMLT[dclass2],$D66))))</f>
        <v/>
      </c>
      <c r="AC66" t="str">
        <f>IF(I66="Nandotsava",-1,IF(ISBLANK(INDEX(GCalXMLT[dclass3],$D66)),"",INDEX(GCalXMLT[dclass3],$D66)))</f>
        <v/>
      </c>
      <c r="AD66" t="str">
        <f>IF(I66="Nandotsava",IF(ISBLANK(INDEX(GCalXMLT[dclass3],$D66)),"",INDEX(GCalXMLT[dclass3],$D66)),IF(ISBLANK(INDEX(GCalXMLT[dclass4],$D66)),"",INDEX(GCalXMLT[dclass4],$D66)))</f>
        <v/>
      </c>
      <c r="AE66">
        <f>IFERROR(INDEX(Festivals!$V$2:$V$160,AP66),"")</f>
        <v>3</v>
      </c>
      <c r="AF66" t="str">
        <f>IFERROR(IF($AQ66&gt;1,INDEX(Festivals!$V$2:$V$160,$AP66+1),""),"")</f>
        <v/>
      </c>
      <c r="AG66" t="str">
        <f>IFERROR(IF($AQ66&gt;2,INDEX(Festivals!$V$2:$V$160,$AP66+2),""),"")</f>
        <v/>
      </c>
      <c r="AH66" t="str">
        <f>IFERROR(IF($AQ66&gt;3,INDEX(Festivals!$V$2:$V$160,$AP66+3),""),"")</f>
        <v/>
      </c>
      <c r="AI66" t="str">
        <f>IFERROR(IF($AQ66&gt;4,INDEX(Festivals!$V$2:$V$160,$AP66+4),""),"")</f>
        <v/>
      </c>
      <c r="AJ66" t="str">
        <f>IFERROR(IF($AQ66&gt;5,INDEX(Festivals!$V$2:$V$160,$AP66+5),""),"")</f>
        <v/>
      </c>
      <c r="AK66" t="str">
        <f>IFERROR(IF($AQ66&gt;6,INDEX(Festivals!$V$2:$V$160,$AP66+6),""),"")</f>
        <v/>
      </c>
      <c r="AL66" t="str">
        <f ca="1">IFERROR(INDEX('Holidays Calc'!$J$2:$J$233,MATCH(A66,'Holidays Calc'!$I$2:$I$233,0)),"")</f>
        <v/>
      </c>
      <c r="AM66" t="str">
        <f ca="1">IF(AR66="","",IF(INDEX('Holidays Calc'!$I$2:$I$233,AR66+1)=A66,INDEX('Holidays Calc'!$J$2:$J$233,AR66+1),""))</f>
        <v/>
      </c>
      <c r="AN66" t="str">
        <f ca="1">IF(AR66="","",IF(INDEX('Holidays Calc'!$I$2:$I$233,AR66+2)=A66,INDEX('Holidays Calc'!$J$2:$J$233,AR66+2),""))</f>
        <v/>
      </c>
      <c r="AO66" t="str">
        <f ca="1">IF(AR66="","",IF(INDEX('Holidays Calc'!$I$2:$I$233,AR66+3)=A66,INDEX('Holidays Calc'!$J$2:$J$233,AR66+3),""))</f>
        <v/>
      </c>
      <c r="AP66">
        <f>IFERROR(IF($E66=E65,"",MATCH($E66,Festivals!$H$2:$H$160,0)),"")</f>
        <v>128</v>
      </c>
      <c r="AQ66">
        <f>IF(AP66="","",COUNTIF(Festivals!$H$2:$H$160,$E66))</f>
        <v>1</v>
      </c>
      <c r="AR66" t="str">
        <f ca="1">IFERROR(MATCH(A66,'Holidays Calc'!$I$2:$I$233,0),"")</f>
        <v/>
      </c>
      <c r="AS66">
        <f t="shared" si="2"/>
        <v>3</v>
      </c>
      <c r="AT66">
        <f t="shared" ref="AT66:AT129" si="10">IF(AND(G66 = "*", AS66 &lt;= -1 ), -2, IF(AND(G65 = "*", AS66 &lt;= -1), -0.3, AS66))</f>
        <v>3</v>
      </c>
      <c r="AU66" t="str">
        <f t="shared" ca="1" si="3"/>
        <v/>
      </c>
      <c r="AV66">
        <f t="shared" ca="1" si="4"/>
        <v>3</v>
      </c>
    </row>
    <row r="67" spans="1:48" x14ac:dyDescent="0.25">
      <c r="A67" s="265">
        <f t="shared" si="7"/>
        <v>43493</v>
      </c>
      <c r="B67" s="265" t="str">
        <f t="shared" si="8"/>
        <v>28 Jan 2019</v>
      </c>
      <c r="C67" s="267">
        <f t="shared" si="9"/>
        <v>5</v>
      </c>
      <c r="D67">
        <f>MATCH(A67,GCalXMLT[daydate],0)</f>
        <v>66</v>
      </c>
      <c r="E67">
        <f>VALUE("1" &amp; Masacod(INDEX(GCalXMLT[gymasa],D67)) &amp; PaksaCod(INDEX(GCalXMLT[mpaksaid],D67)) &amp; TithiCod(INDEX(GCalXMLT[stithiname],D67)))</f>
        <v>111008</v>
      </c>
      <c r="F67" t="str">
        <f ca="1">INDEX(Parameters!$K$2:$K$16,MATCH(AV67,Parameters!$L$2:$L$16,0))</f>
        <v/>
      </c>
      <c r="G67">
        <f>INDEX(GCalXMLT[fastmark],$D67)</f>
        <v>0</v>
      </c>
      <c r="H67" t="str">
        <f ca="1">INDEX(Parameters!$J$2:$J$16,MATCH(AV67,Parameters!$L$2:$L$16,0))</f>
        <v/>
      </c>
      <c r="I67">
        <f>INDEX(GCalXMLT[dfestival1],$D67)</f>
        <v>0</v>
      </c>
      <c r="J67">
        <f>IF(INDEX(GCalXMLT[dfestival2],$D67)="(Fast today)",INDEX(Festivals!$R$2:$R$180,MATCH($I67,Festivals!$R$2:$R$180,0)+1),INDEX(GCalXMLT[dfestival2],$D67))</f>
        <v>0</v>
      </c>
      <c r="K67">
        <f>IF(I67="Nandotsava","(Fast till noon)",INDEX(GCalXMLT[dfestival3],$D67))</f>
        <v>0</v>
      </c>
      <c r="L67">
        <f>IF(I67="Nandotsava", INDEX(GCalXMLT[dfestival3],$D67),INDEX(GCalXMLT[dfestival4],$D67))</f>
        <v>0</v>
      </c>
      <c r="M67" t="str">
        <f>IFERROR(INDEX(Festivals!$S$2:$S$160,AP67),"")</f>
        <v/>
      </c>
      <c r="N67" t="str">
        <f>IFERROR(IF($AQ67&gt;1,INDEX(Festivals!$S$2:$S$160,$AP67+1),""),"")</f>
        <v/>
      </c>
      <c r="O67" t="str">
        <f>IFERROR(IF($AQ67&gt;2,INDEX(Festivals!$S$2:$S$160,$AP67+2),""),"")</f>
        <v/>
      </c>
      <c r="P67" t="str">
        <f>IFERROR(IF($AQ67&gt;3,INDEX(Festivals!$S$2:$S$160,$AP67+3),""),"")</f>
        <v/>
      </c>
      <c r="Q67" t="str">
        <f>IFERROR(IF($AQ67&gt;4,INDEX(Festivals!$S$2:$S$160,$AP67+4),""),"")</f>
        <v/>
      </c>
      <c r="R67" t="str">
        <f>IFERROR(IF($AQ67&gt;5,INDEX(Festivals!$S$2:$S$160,$AP67+5),""),"")</f>
        <v/>
      </c>
      <c r="S67" t="str">
        <f>IFERROR(IF($AQ67&gt;6,INDEX(Festivals!$S$2:$S$160,$AP67+6),""),"")</f>
        <v/>
      </c>
      <c r="T67">
        <f>INDEX(GCalXMLT[dcaturmasya1],$D67)</f>
        <v>0</v>
      </c>
      <c r="U67">
        <f>INDEX(GCalXMLT[dcaturmasya2],$D67)</f>
        <v>0</v>
      </c>
      <c r="V67" t="str">
        <f>INDEX(GCalXMLT[sankrantirasi],$D67) &amp; " " &amp; INDEX(GCalXMLT[sankrantitime],$D67)</f>
        <v xml:space="preserve"> </v>
      </c>
      <c r="W67" t="str">
        <f ca="1">IFERROR(INDEX('Holidays Calc'!$K$2:$K$233,AR67),"")</f>
        <v/>
      </c>
      <c r="X67" t="str">
        <f ca="1">IF(AR67="","",IF(INDEX('Holidays Calc'!$I$2:$I$233,AR67+1)=A67,INDEX('Holidays Calc'!$K$2:$K$233,AR67+1),""))</f>
        <v/>
      </c>
      <c r="Y67" t="str">
        <f ca="1">IF(AR67="","",IF(INDEX('Holidays Calc'!$I$2:$I$233,AR67+2)=A67,INDEX('Holidays Calc'!$K$2:$K$233,AR67+2),""))</f>
        <v/>
      </c>
      <c r="Z67" t="str">
        <f ca="1">IF(AR67="","",IF(INDEX('Holidays Calc'!$I$2:$I$233,AR67+3)=A67,INDEX('Holidays Calc'!$K$2:$K$2333,AR67+3),""))</f>
        <v/>
      </c>
      <c r="AA67" t="str">
        <f>IF(I67="Last day of Bhisma Pancaka","",IF(G67="*",-0.7,IF(ISBLANK(INDEX(GCalXMLT[dclass1],$D67)),"",INDEX(GCalXMLT[dclass1],$D67))))</f>
        <v/>
      </c>
      <c r="AB67" t="str">
        <f>IF(J67="First day of Bhisma Pancaka","",IF(AND(G67="*",NOT(ISERROR(SEARCH("ekadasi",J67)))),-0.7,IF(ISBLANK(INDEX(GCalXMLT[dclass2],$D67)),"",INDEX(GCalXMLT[dclass2],$D67))))</f>
        <v/>
      </c>
      <c r="AC67" t="str">
        <f>IF(I67="Nandotsava",-1,IF(ISBLANK(INDEX(GCalXMLT[dclass3],$D67)),"",INDEX(GCalXMLT[dclass3],$D67)))</f>
        <v/>
      </c>
      <c r="AD67" t="str">
        <f>IF(I67="Nandotsava",IF(ISBLANK(INDEX(GCalXMLT[dclass3],$D67)),"",INDEX(GCalXMLT[dclass3],$D67)),IF(ISBLANK(INDEX(GCalXMLT[dclass4],$D67)),"",INDEX(GCalXMLT[dclass4],$D67)))</f>
        <v/>
      </c>
      <c r="AE67" t="str">
        <f>IFERROR(INDEX(Festivals!$V$2:$V$160,AP67),"")</f>
        <v/>
      </c>
      <c r="AF67" t="str">
        <f>IFERROR(IF($AQ67&gt;1,INDEX(Festivals!$V$2:$V$160,$AP67+1),""),"")</f>
        <v/>
      </c>
      <c r="AG67" t="str">
        <f>IFERROR(IF($AQ67&gt;2,INDEX(Festivals!$V$2:$V$160,$AP67+2),""),"")</f>
        <v/>
      </c>
      <c r="AH67" t="str">
        <f>IFERROR(IF($AQ67&gt;3,INDEX(Festivals!$V$2:$V$160,$AP67+3),""),"")</f>
        <v/>
      </c>
      <c r="AI67" t="str">
        <f>IFERROR(IF($AQ67&gt;4,INDEX(Festivals!$V$2:$V$160,$AP67+4),""),"")</f>
        <v/>
      </c>
      <c r="AJ67" t="str">
        <f>IFERROR(IF($AQ67&gt;5,INDEX(Festivals!$V$2:$V$160,$AP67+5),""),"")</f>
        <v/>
      </c>
      <c r="AK67" t="str">
        <f>IFERROR(IF($AQ67&gt;6,INDEX(Festivals!$V$2:$V$160,$AP67+6),""),"")</f>
        <v/>
      </c>
      <c r="AL67" t="str">
        <f ca="1">IFERROR(INDEX('Holidays Calc'!$J$2:$J$233,MATCH(A67,'Holidays Calc'!$I$2:$I$233,0)),"")</f>
        <v/>
      </c>
      <c r="AM67" t="str">
        <f ca="1">IF(AR67="","",IF(INDEX('Holidays Calc'!$I$2:$I$233,AR67+1)=A67,INDEX('Holidays Calc'!$J$2:$J$233,AR67+1),""))</f>
        <v/>
      </c>
      <c r="AN67" t="str">
        <f ca="1">IF(AR67="","",IF(INDEX('Holidays Calc'!$I$2:$I$233,AR67+2)=A67,INDEX('Holidays Calc'!$J$2:$J$233,AR67+2),""))</f>
        <v/>
      </c>
      <c r="AO67" t="str">
        <f ca="1">IF(AR67="","",IF(INDEX('Holidays Calc'!$I$2:$I$233,AR67+3)=A67,INDEX('Holidays Calc'!$J$2:$J$233,AR67+3),""))</f>
        <v/>
      </c>
      <c r="AP67" t="str">
        <f>IFERROR(IF($E67=E66,"",MATCH($E67,Festivals!$H$2:$H$160,0)),"")</f>
        <v/>
      </c>
      <c r="AQ67" t="str">
        <f>IF(AP67="","",COUNTIF(Festivals!$H$2:$H$160,$E67))</f>
        <v/>
      </c>
      <c r="AR67" t="str">
        <f ca="1">IFERROR(MATCH(A67,'Holidays Calc'!$I$2:$I$233,0),"")</f>
        <v/>
      </c>
      <c r="AS67" t="str">
        <f t="shared" ref="AS67:AS130" si="11">IF(COUNT(AA67:AK67)&lt;1,"",MIN(AA67:AK67))</f>
        <v/>
      </c>
      <c r="AT67" t="str">
        <f t="shared" si="10"/>
        <v/>
      </c>
      <c r="AU67" t="str">
        <f t="shared" ref="AU67:AU130" ca="1" si="12">IF(COUNT(AL67:AO67)&lt;1,"",MIN(AL67:AO67))</f>
        <v/>
      </c>
      <c r="AV67" t="str">
        <f t="shared" ref="AV67:AV130" ca="1" si="13">IF(AND(AU67 &lt; -10,AT67 &lt; -0.5),-21,IF(COUNT(AT67:AU67)&lt;1,"",MIN(AT67:AU67)))</f>
        <v/>
      </c>
    </row>
    <row r="68" spans="1:48" x14ac:dyDescent="0.25">
      <c r="A68" s="265">
        <f t="shared" si="7"/>
        <v>43494</v>
      </c>
      <c r="B68" s="265" t="str">
        <f t="shared" si="8"/>
        <v>29 Jan 2019</v>
      </c>
      <c r="C68" s="267">
        <f t="shared" si="9"/>
        <v>5</v>
      </c>
      <c r="D68">
        <f>MATCH(A68,GCalXMLT[daydate],0)</f>
        <v>67</v>
      </c>
      <c r="E68">
        <f>VALUE("1" &amp; Masacod(INDEX(GCalXMLT[gymasa],D68)) &amp; PaksaCod(INDEX(GCalXMLT[mpaksaid],D68)) &amp; TithiCod(INDEX(GCalXMLT[stithiname],D68)))</f>
        <v>111009</v>
      </c>
      <c r="F68" t="str">
        <f ca="1">INDEX(Parameters!$K$2:$K$16,MATCH(AV68,Parameters!$L$2:$L$16,0))</f>
        <v/>
      </c>
      <c r="G68">
        <f>INDEX(GCalXMLT[fastmark],$D68)</f>
        <v>0</v>
      </c>
      <c r="H68" t="str">
        <f ca="1">INDEX(Parameters!$J$2:$J$16,MATCH(AV68,Parameters!$L$2:$L$16,0))</f>
        <v/>
      </c>
      <c r="I68">
        <f>INDEX(GCalXMLT[dfestival1],$D68)</f>
        <v>0</v>
      </c>
      <c r="J68">
        <f>IF(INDEX(GCalXMLT[dfestival2],$D68)="(Fast today)",INDEX(Festivals!$R$2:$R$180,MATCH($I68,Festivals!$R$2:$R$180,0)+1),INDEX(GCalXMLT[dfestival2],$D68))</f>
        <v>0</v>
      </c>
      <c r="K68">
        <f>IF(I68="Nandotsava","(Fast till noon)",INDEX(GCalXMLT[dfestival3],$D68))</f>
        <v>0</v>
      </c>
      <c r="L68">
        <f>IF(I68="Nandotsava", INDEX(GCalXMLT[dfestival3],$D68),INDEX(GCalXMLT[dfestival4],$D68))</f>
        <v>0</v>
      </c>
      <c r="M68" t="str">
        <f>IFERROR(INDEX(Festivals!$S$2:$S$160,AP68),"")</f>
        <v/>
      </c>
      <c r="N68" t="str">
        <f>IFERROR(IF($AQ68&gt;1,INDEX(Festivals!$S$2:$S$160,$AP68+1),""),"")</f>
        <v/>
      </c>
      <c r="O68" t="str">
        <f>IFERROR(IF($AQ68&gt;2,INDEX(Festivals!$S$2:$S$160,$AP68+2),""),"")</f>
        <v/>
      </c>
      <c r="P68" t="str">
        <f>IFERROR(IF($AQ68&gt;3,INDEX(Festivals!$S$2:$S$160,$AP68+3),""),"")</f>
        <v/>
      </c>
      <c r="Q68" t="str">
        <f>IFERROR(IF($AQ68&gt;4,INDEX(Festivals!$S$2:$S$160,$AP68+4),""),"")</f>
        <v/>
      </c>
      <c r="R68" t="str">
        <f>IFERROR(IF($AQ68&gt;5,INDEX(Festivals!$S$2:$S$160,$AP68+5),""),"")</f>
        <v/>
      </c>
      <c r="S68" t="str">
        <f>IFERROR(IF($AQ68&gt;6,INDEX(Festivals!$S$2:$S$160,$AP68+6),""),"")</f>
        <v/>
      </c>
      <c r="T68">
        <f>INDEX(GCalXMLT[dcaturmasya1],$D68)</f>
        <v>0</v>
      </c>
      <c r="U68">
        <f>INDEX(GCalXMLT[dcaturmasya2],$D68)</f>
        <v>0</v>
      </c>
      <c r="V68" t="str">
        <f>INDEX(GCalXMLT[sankrantirasi],$D68) &amp; " " &amp; INDEX(GCalXMLT[sankrantitime],$D68)</f>
        <v xml:space="preserve"> </v>
      </c>
      <c r="W68" t="str">
        <f ca="1">IFERROR(INDEX('Holidays Calc'!$K$2:$K$233,AR68),"")</f>
        <v/>
      </c>
      <c r="X68" t="str">
        <f ca="1">IF(AR68="","",IF(INDEX('Holidays Calc'!$I$2:$I$233,AR68+1)=A68,INDEX('Holidays Calc'!$K$2:$K$233,AR68+1),""))</f>
        <v/>
      </c>
      <c r="Y68" t="str">
        <f ca="1">IF(AR68="","",IF(INDEX('Holidays Calc'!$I$2:$I$233,AR68+2)=A68,INDEX('Holidays Calc'!$K$2:$K$233,AR68+2),""))</f>
        <v/>
      </c>
      <c r="Z68" t="str">
        <f ca="1">IF(AR68="","",IF(INDEX('Holidays Calc'!$I$2:$I$233,AR68+3)=A68,INDEX('Holidays Calc'!$K$2:$K$2333,AR68+3),""))</f>
        <v/>
      </c>
      <c r="AA68" t="str">
        <f>IF(I68="Last day of Bhisma Pancaka","",IF(G68="*",-0.7,IF(ISBLANK(INDEX(GCalXMLT[dclass1],$D68)),"",INDEX(GCalXMLT[dclass1],$D68))))</f>
        <v/>
      </c>
      <c r="AB68" t="str">
        <f>IF(J68="First day of Bhisma Pancaka","",IF(AND(G68="*",NOT(ISERROR(SEARCH("ekadasi",J68)))),-0.7,IF(ISBLANK(INDEX(GCalXMLT[dclass2],$D68)),"",INDEX(GCalXMLT[dclass2],$D68))))</f>
        <v/>
      </c>
      <c r="AC68" t="str">
        <f>IF(I68="Nandotsava",-1,IF(ISBLANK(INDEX(GCalXMLT[dclass3],$D68)),"",INDEX(GCalXMLT[dclass3],$D68)))</f>
        <v/>
      </c>
      <c r="AD68" t="str">
        <f>IF(I68="Nandotsava",IF(ISBLANK(INDEX(GCalXMLT[dclass3],$D68)),"",INDEX(GCalXMLT[dclass3],$D68)),IF(ISBLANK(INDEX(GCalXMLT[dclass4],$D68)),"",INDEX(GCalXMLT[dclass4],$D68)))</f>
        <v/>
      </c>
      <c r="AE68" t="str">
        <f>IFERROR(INDEX(Festivals!$V$2:$V$160,AP68),"")</f>
        <v/>
      </c>
      <c r="AF68" t="str">
        <f>IFERROR(IF($AQ68&gt;1,INDEX(Festivals!$V$2:$V$160,$AP68+1),""),"")</f>
        <v/>
      </c>
      <c r="AG68" t="str">
        <f>IFERROR(IF($AQ68&gt;2,INDEX(Festivals!$V$2:$V$160,$AP68+2),""),"")</f>
        <v/>
      </c>
      <c r="AH68" t="str">
        <f>IFERROR(IF($AQ68&gt;3,INDEX(Festivals!$V$2:$V$160,$AP68+3),""),"")</f>
        <v/>
      </c>
      <c r="AI68" t="str">
        <f>IFERROR(IF($AQ68&gt;4,INDEX(Festivals!$V$2:$V$160,$AP68+4),""),"")</f>
        <v/>
      </c>
      <c r="AJ68" t="str">
        <f>IFERROR(IF($AQ68&gt;5,INDEX(Festivals!$V$2:$V$160,$AP68+5),""),"")</f>
        <v/>
      </c>
      <c r="AK68" t="str">
        <f>IFERROR(IF($AQ68&gt;6,INDEX(Festivals!$V$2:$V$160,$AP68+6),""),"")</f>
        <v/>
      </c>
      <c r="AL68" t="str">
        <f ca="1">IFERROR(INDEX('Holidays Calc'!$J$2:$J$233,MATCH(A68,'Holidays Calc'!$I$2:$I$233,0)),"")</f>
        <v/>
      </c>
      <c r="AM68" t="str">
        <f ca="1">IF(AR68="","",IF(INDEX('Holidays Calc'!$I$2:$I$233,AR68+1)=A68,INDEX('Holidays Calc'!$J$2:$J$233,AR68+1),""))</f>
        <v/>
      </c>
      <c r="AN68" t="str">
        <f ca="1">IF(AR68="","",IF(INDEX('Holidays Calc'!$I$2:$I$233,AR68+2)=A68,INDEX('Holidays Calc'!$J$2:$J$233,AR68+2),""))</f>
        <v/>
      </c>
      <c r="AO68" t="str">
        <f ca="1">IF(AR68="","",IF(INDEX('Holidays Calc'!$I$2:$I$233,AR68+3)=A68,INDEX('Holidays Calc'!$J$2:$J$233,AR68+3),""))</f>
        <v/>
      </c>
      <c r="AP68" t="str">
        <f>IFERROR(IF($E68=E67,"",MATCH($E68,Festivals!$H$2:$H$160,0)),"")</f>
        <v/>
      </c>
      <c r="AQ68" t="str">
        <f>IF(AP68="","",COUNTIF(Festivals!$H$2:$H$160,$E68))</f>
        <v/>
      </c>
      <c r="AR68" t="str">
        <f ca="1">IFERROR(MATCH(A68,'Holidays Calc'!$I$2:$I$233,0),"")</f>
        <v/>
      </c>
      <c r="AS68" t="str">
        <f t="shared" si="11"/>
        <v/>
      </c>
      <c r="AT68" t="str">
        <f t="shared" si="10"/>
        <v/>
      </c>
      <c r="AU68" t="str">
        <f t="shared" ca="1" si="12"/>
        <v/>
      </c>
      <c r="AV68" t="str">
        <f t="shared" ca="1" si="13"/>
        <v/>
      </c>
    </row>
    <row r="69" spans="1:48" x14ac:dyDescent="0.25">
      <c r="A69" s="265">
        <f t="shared" si="7"/>
        <v>43495</v>
      </c>
      <c r="B69" s="265" t="str">
        <f t="shared" si="8"/>
        <v>30 Jan 2019</v>
      </c>
      <c r="C69" s="267">
        <f t="shared" si="9"/>
        <v>5</v>
      </c>
      <c r="D69">
        <f>MATCH(A69,GCalXMLT[daydate],0)</f>
        <v>68</v>
      </c>
      <c r="E69">
        <f>VALUE("1" &amp; Masacod(INDEX(GCalXMLT[gymasa],D69)) &amp; PaksaCod(INDEX(GCalXMLT[mpaksaid],D69)) &amp; TithiCod(INDEX(GCalXMLT[stithiname],D69)))</f>
        <v>111010</v>
      </c>
      <c r="F69" t="str">
        <f ca="1">INDEX(Parameters!$K$2:$K$16,MATCH(AV69,Parameters!$L$2:$L$16,0))</f>
        <v/>
      </c>
      <c r="G69">
        <f>INDEX(GCalXMLT[fastmark],$D69)</f>
        <v>0</v>
      </c>
      <c r="H69" t="str">
        <f ca="1">INDEX(Parameters!$J$2:$J$16,MATCH(AV69,Parameters!$L$2:$L$16,0))</f>
        <v/>
      </c>
      <c r="I69">
        <f>INDEX(GCalXMLT[dfestival1],$D69)</f>
        <v>0</v>
      </c>
      <c r="J69">
        <f>IF(INDEX(GCalXMLT[dfestival2],$D69)="(Fast today)",INDEX(Festivals!$R$2:$R$180,MATCH($I69,Festivals!$R$2:$R$180,0)+1),INDEX(GCalXMLT[dfestival2],$D69))</f>
        <v>0</v>
      </c>
      <c r="K69">
        <f>IF(I69="Nandotsava","(Fast till noon)",INDEX(GCalXMLT[dfestival3],$D69))</f>
        <v>0</v>
      </c>
      <c r="L69">
        <f>IF(I69="Nandotsava", INDEX(GCalXMLT[dfestival3],$D69),INDEX(GCalXMLT[dfestival4],$D69))</f>
        <v>0</v>
      </c>
      <c r="M69" t="str">
        <f>IFERROR(INDEX(Festivals!$S$2:$S$160,AP69),"")</f>
        <v/>
      </c>
      <c r="N69" t="str">
        <f>IFERROR(IF($AQ69&gt;1,INDEX(Festivals!$S$2:$S$160,$AP69+1),""),"")</f>
        <v/>
      </c>
      <c r="O69" t="str">
        <f>IFERROR(IF($AQ69&gt;2,INDEX(Festivals!$S$2:$S$160,$AP69+2),""),"")</f>
        <v/>
      </c>
      <c r="P69" t="str">
        <f>IFERROR(IF($AQ69&gt;3,INDEX(Festivals!$S$2:$S$160,$AP69+3),""),"")</f>
        <v/>
      </c>
      <c r="Q69" t="str">
        <f>IFERROR(IF($AQ69&gt;4,INDEX(Festivals!$S$2:$S$160,$AP69+4),""),"")</f>
        <v/>
      </c>
      <c r="R69" t="str">
        <f>IFERROR(IF($AQ69&gt;5,INDEX(Festivals!$S$2:$S$160,$AP69+5),""),"")</f>
        <v/>
      </c>
      <c r="S69" t="str">
        <f>IFERROR(IF($AQ69&gt;6,INDEX(Festivals!$S$2:$S$160,$AP69+6),""),"")</f>
        <v/>
      </c>
      <c r="T69">
        <f>INDEX(GCalXMLT[dcaturmasya1],$D69)</f>
        <v>0</v>
      </c>
      <c r="U69">
        <f>INDEX(GCalXMLT[dcaturmasya2],$D69)</f>
        <v>0</v>
      </c>
      <c r="V69" t="str">
        <f>INDEX(GCalXMLT[sankrantirasi],$D69) &amp; " " &amp; INDEX(GCalXMLT[sankrantitime],$D69)</f>
        <v xml:space="preserve"> </v>
      </c>
      <c r="W69" t="str">
        <f ca="1">IFERROR(INDEX('Holidays Calc'!$K$2:$K$233,AR69),"")</f>
        <v/>
      </c>
      <c r="X69" t="str">
        <f ca="1">IF(AR69="","",IF(INDEX('Holidays Calc'!$I$2:$I$233,AR69+1)=A69,INDEX('Holidays Calc'!$K$2:$K$233,AR69+1),""))</f>
        <v/>
      </c>
      <c r="Y69" t="str">
        <f ca="1">IF(AR69="","",IF(INDEX('Holidays Calc'!$I$2:$I$233,AR69+2)=A69,INDEX('Holidays Calc'!$K$2:$K$233,AR69+2),""))</f>
        <v/>
      </c>
      <c r="Z69" t="str">
        <f ca="1">IF(AR69="","",IF(INDEX('Holidays Calc'!$I$2:$I$233,AR69+3)=A69,INDEX('Holidays Calc'!$K$2:$K$2333,AR69+3),""))</f>
        <v/>
      </c>
      <c r="AA69" t="str">
        <f>IF(I69="Last day of Bhisma Pancaka","",IF(G69="*",-0.7,IF(ISBLANK(INDEX(GCalXMLT[dclass1],$D69)),"",INDEX(GCalXMLT[dclass1],$D69))))</f>
        <v/>
      </c>
      <c r="AB69" t="str">
        <f>IF(J69="First day of Bhisma Pancaka","",IF(AND(G69="*",NOT(ISERROR(SEARCH("ekadasi",J69)))),-0.7,IF(ISBLANK(INDEX(GCalXMLT[dclass2],$D69)),"",INDEX(GCalXMLT[dclass2],$D69))))</f>
        <v/>
      </c>
      <c r="AC69" t="str">
        <f>IF(I69="Nandotsava",-1,IF(ISBLANK(INDEX(GCalXMLT[dclass3],$D69)),"",INDEX(GCalXMLT[dclass3],$D69)))</f>
        <v/>
      </c>
      <c r="AD69" t="str">
        <f>IF(I69="Nandotsava",IF(ISBLANK(INDEX(GCalXMLT[dclass3],$D69)),"",INDEX(GCalXMLT[dclass3],$D69)),IF(ISBLANK(INDEX(GCalXMLT[dclass4],$D69)),"",INDEX(GCalXMLT[dclass4],$D69)))</f>
        <v/>
      </c>
      <c r="AE69" t="str">
        <f>IFERROR(INDEX(Festivals!$V$2:$V$160,AP69),"")</f>
        <v/>
      </c>
      <c r="AF69" t="str">
        <f>IFERROR(IF($AQ69&gt;1,INDEX(Festivals!$V$2:$V$160,$AP69+1),""),"")</f>
        <v/>
      </c>
      <c r="AG69" t="str">
        <f>IFERROR(IF($AQ69&gt;2,INDEX(Festivals!$V$2:$V$160,$AP69+2),""),"")</f>
        <v/>
      </c>
      <c r="AH69" t="str">
        <f>IFERROR(IF($AQ69&gt;3,INDEX(Festivals!$V$2:$V$160,$AP69+3),""),"")</f>
        <v/>
      </c>
      <c r="AI69" t="str">
        <f>IFERROR(IF($AQ69&gt;4,INDEX(Festivals!$V$2:$V$160,$AP69+4),""),"")</f>
        <v/>
      </c>
      <c r="AJ69" t="str">
        <f>IFERROR(IF($AQ69&gt;5,INDEX(Festivals!$V$2:$V$160,$AP69+5),""),"")</f>
        <v/>
      </c>
      <c r="AK69" t="str">
        <f>IFERROR(IF($AQ69&gt;6,INDEX(Festivals!$V$2:$V$160,$AP69+6),""),"")</f>
        <v/>
      </c>
      <c r="AL69" t="str">
        <f ca="1">IFERROR(INDEX('Holidays Calc'!$J$2:$J$233,MATCH(A69,'Holidays Calc'!$I$2:$I$233,0)),"")</f>
        <v/>
      </c>
      <c r="AM69" t="str">
        <f ca="1">IF(AR69="","",IF(INDEX('Holidays Calc'!$I$2:$I$233,AR69+1)=A69,INDEX('Holidays Calc'!$J$2:$J$233,AR69+1),""))</f>
        <v/>
      </c>
      <c r="AN69" t="str">
        <f ca="1">IF(AR69="","",IF(INDEX('Holidays Calc'!$I$2:$I$233,AR69+2)=A69,INDEX('Holidays Calc'!$J$2:$J$233,AR69+2),""))</f>
        <v/>
      </c>
      <c r="AO69" t="str">
        <f ca="1">IF(AR69="","",IF(INDEX('Holidays Calc'!$I$2:$I$233,AR69+3)=A69,INDEX('Holidays Calc'!$J$2:$J$233,AR69+3),""))</f>
        <v/>
      </c>
      <c r="AP69" t="str">
        <f>IFERROR(IF($E69=E68,"",MATCH($E69,Festivals!$H$2:$H$160,0)),"")</f>
        <v/>
      </c>
      <c r="AQ69" t="str">
        <f>IF(AP69="","",COUNTIF(Festivals!$H$2:$H$160,$E69))</f>
        <v/>
      </c>
      <c r="AR69" t="str">
        <f ca="1">IFERROR(MATCH(A69,'Holidays Calc'!$I$2:$I$233,0),"")</f>
        <v/>
      </c>
      <c r="AS69" t="str">
        <f t="shared" si="11"/>
        <v/>
      </c>
      <c r="AT69" t="str">
        <f t="shared" si="10"/>
        <v/>
      </c>
      <c r="AU69" t="str">
        <f t="shared" ca="1" si="12"/>
        <v/>
      </c>
      <c r="AV69" t="str">
        <f t="shared" ca="1" si="13"/>
        <v/>
      </c>
    </row>
    <row r="70" spans="1:48" x14ac:dyDescent="0.25">
      <c r="A70" s="265">
        <f t="shared" si="7"/>
        <v>43496</v>
      </c>
      <c r="B70" s="265" t="str">
        <f t="shared" si="8"/>
        <v>31 Jan 2019</v>
      </c>
      <c r="C70" s="267">
        <f t="shared" si="9"/>
        <v>5</v>
      </c>
      <c r="D70">
        <f>MATCH(A70,GCalXMLT[daydate],0)</f>
        <v>69</v>
      </c>
      <c r="E70">
        <f>VALUE("1" &amp; Masacod(INDEX(GCalXMLT[gymasa],D70)) &amp; PaksaCod(INDEX(GCalXMLT[mpaksaid],D70)) &amp; TithiCod(INDEX(GCalXMLT[stithiname],D70)))</f>
        <v>111011</v>
      </c>
      <c r="F70" t="str">
        <f ca="1">INDEX(Parameters!$K$2:$K$16,MATCH(AV70,Parameters!$L$2:$L$16,0))</f>
        <v>E</v>
      </c>
      <c r="G70" t="str">
        <f>INDEX(GCalXMLT[fastmark],$D70)</f>
        <v>*</v>
      </c>
      <c r="H70" t="str">
        <f ca="1">INDEX(Parameters!$J$2:$J$16,MATCH(AV70,Parameters!$L$2:$L$16,0))</f>
        <v>*</v>
      </c>
      <c r="I70" t="str">
        <f>INDEX(GCalXMLT[dfestival1],$D70)</f>
        <v>Fasting for Sat-tila Ekadasi</v>
      </c>
      <c r="J70">
        <f>IF(INDEX(GCalXMLT[dfestival2],$D70)="(Fast today)",INDEX(Festivals!$R$2:$R$180,MATCH($I70,Festivals!$R$2:$R$180,0)+1),INDEX(GCalXMLT[dfestival2],$D70))</f>
        <v>0</v>
      </c>
      <c r="K70">
        <f>IF(I70="Nandotsava","(Fast till noon)",INDEX(GCalXMLT[dfestival3],$D70))</f>
        <v>0</v>
      </c>
      <c r="L70">
        <f>IF(I70="Nandotsava", INDEX(GCalXMLT[dfestival3],$D70),INDEX(GCalXMLT[dfestival4],$D70))</f>
        <v>0</v>
      </c>
      <c r="M70" t="str">
        <f>IFERROR(INDEX(Festivals!$S$2:$S$160,AP70),"")</f>
        <v/>
      </c>
      <c r="N70" t="str">
        <f>IFERROR(IF($AQ70&gt;1,INDEX(Festivals!$S$2:$S$160,$AP70+1),""),"")</f>
        <v/>
      </c>
      <c r="O70" t="str">
        <f>IFERROR(IF($AQ70&gt;2,INDEX(Festivals!$S$2:$S$160,$AP70+2),""),"")</f>
        <v/>
      </c>
      <c r="P70" t="str">
        <f>IFERROR(IF($AQ70&gt;3,INDEX(Festivals!$S$2:$S$160,$AP70+3),""),"")</f>
        <v/>
      </c>
      <c r="Q70" t="str">
        <f>IFERROR(IF($AQ70&gt;4,INDEX(Festivals!$S$2:$S$160,$AP70+4),""),"")</f>
        <v/>
      </c>
      <c r="R70" t="str">
        <f>IFERROR(IF($AQ70&gt;5,INDEX(Festivals!$S$2:$S$160,$AP70+5),""),"")</f>
        <v/>
      </c>
      <c r="S70" t="str">
        <f>IFERROR(IF($AQ70&gt;6,INDEX(Festivals!$S$2:$S$160,$AP70+6),""),"")</f>
        <v/>
      </c>
      <c r="T70">
        <f>INDEX(GCalXMLT[dcaturmasya1],$D70)</f>
        <v>0</v>
      </c>
      <c r="U70">
        <f>INDEX(GCalXMLT[dcaturmasya2],$D70)</f>
        <v>0</v>
      </c>
      <c r="V70" t="str">
        <f>INDEX(GCalXMLT[sankrantirasi],$D70) &amp; " " &amp; INDEX(GCalXMLT[sankrantitime],$D70)</f>
        <v xml:space="preserve"> </v>
      </c>
      <c r="W70" t="str">
        <f ca="1">IFERROR(INDEX('Holidays Calc'!$K$2:$K$233,AR70),"")</f>
        <v/>
      </c>
      <c r="X70" t="str">
        <f ca="1">IF(AR70="","",IF(INDEX('Holidays Calc'!$I$2:$I$233,AR70+1)=A70,INDEX('Holidays Calc'!$K$2:$K$233,AR70+1),""))</f>
        <v/>
      </c>
      <c r="Y70" t="str">
        <f ca="1">IF(AR70="","",IF(INDEX('Holidays Calc'!$I$2:$I$233,AR70+2)=A70,INDEX('Holidays Calc'!$K$2:$K$233,AR70+2),""))</f>
        <v/>
      </c>
      <c r="Z70" t="str">
        <f ca="1">IF(AR70="","",IF(INDEX('Holidays Calc'!$I$2:$I$233,AR70+3)=A70,INDEX('Holidays Calc'!$K$2:$K$2333,AR70+3),""))</f>
        <v/>
      </c>
      <c r="AA70">
        <f>IF(I70="Last day of Bhisma Pancaka","",IF(G70="*",-0.7,IF(ISBLANK(INDEX(GCalXMLT[dclass1],$D70)),"",INDEX(GCalXMLT[dclass1],$D70))))</f>
        <v>-0.7</v>
      </c>
      <c r="AB70" t="str">
        <f>IF(J70="First day of Bhisma Pancaka","",IF(AND(G70="*",NOT(ISERROR(SEARCH("ekadasi",J70)))),-0.7,IF(ISBLANK(INDEX(GCalXMLT[dclass2],$D70)),"",INDEX(GCalXMLT[dclass2],$D70))))</f>
        <v/>
      </c>
      <c r="AC70" t="str">
        <f>IF(I70="Nandotsava",-1,IF(ISBLANK(INDEX(GCalXMLT[dclass3],$D70)),"",INDEX(GCalXMLT[dclass3],$D70)))</f>
        <v/>
      </c>
      <c r="AD70" t="str">
        <f>IF(I70="Nandotsava",IF(ISBLANK(INDEX(GCalXMLT[dclass3],$D70)),"",INDEX(GCalXMLT[dclass3],$D70)),IF(ISBLANK(INDEX(GCalXMLT[dclass4],$D70)),"",INDEX(GCalXMLT[dclass4],$D70)))</f>
        <v/>
      </c>
      <c r="AE70" t="str">
        <f>IFERROR(INDEX(Festivals!$V$2:$V$160,AP70),"")</f>
        <v/>
      </c>
      <c r="AF70" t="str">
        <f>IFERROR(IF($AQ70&gt;1,INDEX(Festivals!$V$2:$V$160,$AP70+1),""),"")</f>
        <v/>
      </c>
      <c r="AG70" t="str">
        <f>IFERROR(IF($AQ70&gt;2,INDEX(Festivals!$V$2:$V$160,$AP70+2),""),"")</f>
        <v/>
      </c>
      <c r="AH70" t="str">
        <f>IFERROR(IF($AQ70&gt;3,INDEX(Festivals!$V$2:$V$160,$AP70+3),""),"")</f>
        <v/>
      </c>
      <c r="AI70" t="str">
        <f>IFERROR(IF($AQ70&gt;4,INDEX(Festivals!$V$2:$V$160,$AP70+4),""),"")</f>
        <v/>
      </c>
      <c r="AJ70" t="str">
        <f>IFERROR(IF($AQ70&gt;5,INDEX(Festivals!$V$2:$V$160,$AP70+5),""),"")</f>
        <v/>
      </c>
      <c r="AK70" t="str">
        <f>IFERROR(IF($AQ70&gt;6,INDEX(Festivals!$V$2:$V$160,$AP70+6),""),"")</f>
        <v/>
      </c>
      <c r="AL70" t="str">
        <f ca="1">IFERROR(INDEX('Holidays Calc'!$J$2:$J$233,MATCH(A70,'Holidays Calc'!$I$2:$I$233,0)),"")</f>
        <v/>
      </c>
      <c r="AM70" t="str">
        <f ca="1">IF(AR70="","",IF(INDEX('Holidays Calc'!$I$2:$I$233,AR70+1)=A70,INDEX('Holidays Calc'!$J$2:$J$233,AR70+1),""))</f>
        <v/>
      </c>
      <c r="AN70" t="str">
        <f ca="1">IF(AR70="","",IF(INDEX('Holidays Calc'!$I$2:$I$233,AR70+2)=A70,INDEX('Holidays Calc'!$J$2:$J$233,AR70+2),""))</f>
        <v/>
      </c>
      <c r="AO70" t="str">
        <f ca="1">IF(AR70="","",IF(INDEX('Holidays Calc'!$I$2:$I$233,AR70+3)=A70,INDEX('Holidays Calc'!$J$2:$J$233,AR70+3),""))</f>
        <v/>
      </c>
      <c r="AP70" t="str">
        <f>IFERROR(IF($E70=E69,"",MATCH($E70,Festivals!$H$2:$H$160,0)),"")</f>
        <v/>
      </c>
      <c r="AQ70" t="str">
        <f>IF(AP70="","",COUNTIF(Festivals!$H$2:$H$160,$E70))</f>
        <v/>
      </c>
      <c r="AR70" t="str">
        <f ca="1">IFERROR(MATCH(A70,'Holidays Calc'!$I$2:$I$233,0),"")</f>
        <v/>
      </c>
      <c r="AS70">
        <f t="shared" si="11"/>
        <v>-0.7</v>
      </c>
      <c r="AT70">
        <f t="shared" si="10"/>
        <v>-0.7</v>
      </c>
      <c r="AU70" t="str">
        <f t="shared" ca="1" si="12"/>
        <v/>
      </c>
      <c r="AV70">
        <f t="shared" ca="1" si="13"/>
        <v>-0.7</v>
      </c>
    </row>
    <row r="71" spans="1:48" x14ac:dyDescent="0.25">
      <c r="A71" s="265">
        <f t="shared" si="7"/>
        <v>43497</v>
      </c>
      <c r="B71" s="265" t="str">
        <f t="shared" si="8"/>
        <v>1 Feb 2019</v>
      </c>
      <c r="C71" s="267">
        <f t="shared" si="9"/>
        <v>5</v>
      </c>
      <c r="D71">
        <f>MATCH(A71,GCalXMLT[daydate],0)</f>
        <v>70</v>
      </c>
      <c r="E71">
        <f>VALUE("1" &amp; Masacod(INDEX(GCalXMLT[gymasa],D71)) &amp; PaksaCod(INDEX(GCalXMLT[mpaksaid],D71)) &amp; TithiCod(INDEX(GCalXMLT[stithiname],D71)))</f>
        <v>111012</v>
      </c>
      <c r="F71" t="str">
        <f ca="1">INDEX(Parameters!$K$2:$K$16,MATCH(AV71,Parameters!$L$2:$L$16,0))</f>
        <v/>
      </c>
      <c r="G71">
        <f>INDEX(GCalXMLT[fastmark],$D71)</f>
        <v>0</v>
      </c>
      <c r="H71" t="str">
        <f ca="1">INDEX(Parameters!$J$2:$J$16,MATCH(AV71,Parameters!$L$2:$L$16,0))</f>
        <v/>
      </c>
      <c r="I71">
        <f>INDEX(GCalXMLT[dfestival1],$D71)</f>
        <v>0</v>
      </c>
      <c r="J71">
        <f>IF(INDEX(GCalXMLT[dfestival2],$D71)="(Fast today)",INDEX(Festivals!$R$2:$R$180,MATCH($I71,Festivals!$R$2:$R$180,0)+1),INDEX(GCalXMLT[dfestival2],$D71))</f>
        <v>0</v>
      </c>
      <c r="K71">
        <f>IF(I71="Nandotsava","(Fast till noon)",INDEX(GCalXMLT[dfestival3],$D71))</f>
        <v>0</v>
      </c>
      <c r="L71">
        <f>IF(I71="Nandotsava", INDEX(GCalXMLT[dfestival3],$D71),INDEX(GCalXMLT[dfestival4],$D71))</f>
        <v>0</v>
      </c>
      <c r="M71" t="str">
        <f>IFERROR(INDEX(Festivals!$S$2:$S$160,AP71),"")</f>
        <v/>
      </c>
      <c r="N71" t="str">
        <f>IFERROR(IF($AQ71&gt;1,INDEX(Festivals!$S$2:$S$160,$AP71+1),""),"")</f>
        <v/>
      </c>
      <c r="O71" t="str">
        <f>IFERROR(IF($AQ71&gt;2,INDEX(Festivals!$S$2:$S$160,$AP71+2),""),"")</f>
        <v/>
      </c>
      <c r="P71" t="str">
        <f>IFERROR(IF($AQ71&gt;3,INDEX(Festivals!$S$2:$S$160,$AP71+3),""),"")</f>
        <v/>
      </c>
      <c r="Q71" t="str">
        <f>IFERROR(IF($AQ71&gt;4,INDEX(Festivals!$S$2:$S$160,$AP71+4),""),"")</f>
        <v/>
      </c>
      <c r="R71" t="str">
        <f>IFERROR(IF($AQ71&gt;5,INDEX(Festivals!$S$2:$S$160,$AP71+5),""),"")</f>
        <v/>
      </c>
      <c r="S71" t="str">
        <f>IFERROR(IF($AQ71&gt;6,INDEX(Festivals!$S$2:$S$160,$AP71+6),""),"")</f>
        <v/>
      </c>
      <c r="T71">
        <f>INDEX(GCalXMLT[dcaturmasya1],$D71)</f>
        <v>0</v>
      </c>
      <c r="U71">
        <f>INDEX(GCalXMLT[dcaturmasya2],$D71)</f>
        <v>0</v>
      </c>
      <c r="V71" t="str">
        <f>INDEX(GCalXMLT[sankrantirasi],$D71) &amp; " " &amp; INDEX(GCalXMLT[sankrantitime],$D71)</f>
        <v xml:space="preserve"> </v>
      </c>
      <c r="W71" t="str">
        <f ca="1">IFERROR(INDEX('Holidays Calc'!$K$2:$K$233,AR71),"")</f>
        <v/>
      </c>
      <c r="X71" t="str">
        <f ca="1">IF(AR71="","",IF(INDEX('Holidays Calc'!$I$2:$I$233,AR71+1)=A71,INDEX('Holidays Calc'!$K$2:$K$233,AR71+1),""))</f>
        <v/>
      </c>
      <c r="Y71" t="str">
        <f ca="1">IF(AR71="","",IF(INDEX('Holidays Calc'!$I$2:$I$233,AR71+2)=A71,INDEX('Holidays Calc'!$K$2:$K$233,AR71+2),""))</f>
        <v/>
      </c>
      <c r="Z71" t="str">
        <f ca="1">IF(AR71="","",IF(INDEX('Holidays Calc'!$I$2:$I$233,AR71+3)=A71,INDEX('Holidays Calc'!$K$2:$K$2333,AR71+3),""))</f>
        <v/>
      </c>
      <c r="AA71" t="str">
        <f>IF(I71="Last day of Bhisma Pancaka","",IF(G71="*",-0.7,IF(ISBLANK(INDEX(GCalXMLT[dclass1],$D71)),"",INDEX(GCalXMLT[dclass1],$D71))))</f>
        <v/>
      </c>
      <c r="AB71" t="str">
        <f>IF(J71="First day of Bhisma Pancaka","",IF(AND(G71="*",NOT(ISERROR(SEARCH("ekadasi",J71)))),-0.7,IF(ISBLANK(INDEX(GCalXMLT[dclass2],$D71)),"",INDEX(GCalXMLT[dclass2],$D71))))</f>
        <v/>
      </c>
      <c r="AC71" t="str">
        <f>IF(I71="Nandotsava",-1,IF(ISBLANK(INDEX(GCalXMLT[dclass3],$D71)),"",INDEX(GCalXMLT[dclass3],$D71)))</f>
        <v/>
      </c>
      <c r="AD71" t="str">
        <f>IF(I71="Nandotsava",IF(ISBLANK(INDEX(GCalXMLT[dclass3],$D71)),"",INDEX(GCalXMLT[dclass3],$D71)),IF(ISBLANK(INDEX(GCalXMLT[dclass4],$D71)),"",INDEX(GCalXMLT[dclass4],$D71)))</f>
        <v/>
      </c>
      <c r="AE71" t="str">
        <f>IFERROR(INDEX(Festivals!$V$2:$V$160,AP71),"")</f>
        <v/>
      </c>
      <c r="AF71" t="str">
        <f>IFERROR(IF($AQ71&gt;1,INDEX(Festivals!$V$2:$V$160,$AP71+1),""),"")</f>
        <v/>
      </c>
      <c r="AG71" t="str">
        <f>IFERROR(IF($AQ71&gt;2,INDEX(Festivals!$V$2:$V$160,$AP71+2),""),"")</f>
        <v/>
      </c>
      <c r="AH71" t="str">
        <f>IFERROR(IF($AQ71&gt;3,INDEX(Festivals!$V$2:$V$160,$AP71+3),""),"")</f>
        <v/>
      </c>
      <c r="AI71" t="str">
        <f>IFERROR(IF($AQ71&gt;4,INDEX(Festivals!$V$2:$V$160,$AP71+4),""),"")</f>
        <v/>
      </c>
      <c r="AJ71" t="str">
        <f>IFERROR(IF($AQ71&gt;5,INDEX(Festivals!$V$2:$V$160,$AP71+5),""),"")</f>
        <v/>
      </c>
      <c r="AK71" t="str">
        <f>IFERROR(IF($AQ71&gt;6,INDEX(Festivals!$V$2:$V$160,$AP71+6),""),"")</f>
        <v/>
      </c>
      <c r="AL71" t="str">
        <f ca="1">IFERROR(INDEX('Holidays Calc'!$J$2:$J$233,MATCH(A71,'Holidays Calc'!$I$2:$I$233,0)),"")</f>
        <v/>
      </c>
      <c r="AM71" t="str">
        <f ca="1">IF(AR71="","",IF(INDEX('Holidays Calc'!$I$2:$I$233,AR71+1)=A71,INDEX('Holidays Calc'!$J$2:$J$233,AR71+1),""))</f>
        <v/>
      </c>
      <c r="AN71" t="str">
        <f ca="1">IF(AR71="","",IF(INDEX('Holidays Calc'!$I$2:$I$233,AR71+2)=A71,INDEX('Holidays Calc'!$J$2:$J$233,AR71+2),""))</f>
        <v/>
      </c>
      <c r="AO71" t="str">
        <f ca="1">IF(AR71="","",IF(INDEX('Holidays Calc'!$I$2:$I$233,AR71+3)=A71,INDEX('Holidays Calc'!$J$2:$J$233,AR71+3),""))</f>
        <v/>
      </c>
      <c r="AP71" t="str">
        <f>IFERROR(IF($E71=E70,"",MATCH($E71,Festivals!$H$2:$H$160,0)),"")</f>
        <v/>
      </c>
      <c r="AQ71" t="str">
        <f>IF(AP71="","",COUNTIF(Festivals!$H$2:$H$160,$E71))</f>
        <v/>
      </c>
      <c r="AR71" t="str">
        <f ca="1">IFERROR(MATCH(A71,'Holidays Calc'!$I$2:$I$233,0),"")</f>
        <v/>
      </c>
      <c r="AS71" t="str">
        <f t="shared" si="11"/>
        <v/>
      </c>
      <c r="AT71" t="str">
        <f t="shared" si="10"/>
        <v/>
      </c>
      <c r="AU71" t="str">
        <f t="shared" ca="1" si="12"/>
        <v/>
      </c>
      <c r="AV71" t="str">
        <f t="shared" ca="1" si="13"/>
        <v/>
      </c>
    </row>
    <row r="72" spans="1:48" x14ac:dyDescent="0.25">
      <c r="A72" s="265">
        <f t="shared" si="7"/>
        <v>43498</v>
      </c>
      <c r="B72" s="265" t="str">
        <f t="shared" si="8"/>
        <v>2 Feb 2019</v>
      </c>
      <c r="C72" s="267">
        <f t="shared" si="9"/>
        <v>5</v>
      </c>
      <c r="D72">
        <f>MATCH(A72,GCalXMLT[daydate],0)</f>
        <v>71</v>
      </c>
      <c r="E72">
        <f>VALUE("1" &amp; Masacod(INDEX(GCalXMLT[gymasa],D72)) &amp; PaksaCod(INDEX(GCalXMLT[mpaksaid],D72)) &amp; TithiCod(INDEX(GCalXMLT[stithiname],D72)))</f>
        <v>111013</v>
      </c>
      <c r="F72" t="str">
        <f ca="1">INDEX(Parameters!$K$2:$K$16,MATCH(AV72,Parameters!$L$2:$L$16,0))</f>
        <v/>
      </c>
      <c r="G72">
        <f>INDEX(GCalXMLT[fastmark],$D72)</f>
        <v>0</v>
      </c>
      <c r="H72" t="str">
        <f ca="1">INDEX(Parameters!$J$2:$J$16,MATCH(AV72,Parameters!$L$2:$L$16,0))</f>
        <v/>
      </c>
      <c r="I72">
        <f>INDEX(GCalXMLT[dfestival1],$D72)</f>
        <v>0</v>
      </c>
      <c r="J72">
        <f>IF(INDEX(GCalXMLT[dfestival2],$D72)="(Fast today)",INDEX(Festivals!$R$2:$R$180,MATCH($I72,Festivals!$R$2:$R$180,0)+1),INDEX(GCalXMLT[dfestival2],$D72))</f>
        <v>0</v>
      </c>
      <c r="K72">
        <f>IF(I72="Nandotsava","(Fast till noon)",INDEX(GCalXMLT[dfestival3],$D72))</f>
        <v>0</v>
      </c>
      <c r="L72">
        <f>IF(I72="Nandotsava", INDEX(GCalXMLT[dfestival3],$D72),INDEX(GCalXMLT[dfestival4],$D72))</f>
        <v>0</v>
      </c>
      <c r="M72" t="str">
        <f>IFERROR(INDEX(Festivals!$S$2:$S$160,AP72),"")</f>
        <v/>
      </c>
      <c r="N72" t="str">
        <f>IFERROR(IF($AQ72&gt;1,INDEX(Festivals!$S$2:$S$160,$AP72+1),""),"")</f>
        <v/>
      </c>
      <c r="O72" t="str">
        <f>IFERROR(IF($AQ72&gt;2,INDEX(Festivals!$S$2:$S$160,$AP72+2),""),"")</f>
        <v/>
      </c>
      <c r="P72" t="str">
        <f>IFERROR(IF($AQ72&gt;3,INDEX(Festivals!$S$2:$S$160,$AP72+3),""),"")</f>
        <v/>
      </c>
      <c r="Q72" t="str">
        <f>IFERROR(IF($AQ72&gt;4,INDEX(Festivals!$S$2:$S$160,$AP72+4),""),"")</f>
        <v/>
      </c>
      <c r="R72" t="str">
        <f>IFERROR(IF($AQ72&gt;5,INDEX(Festivals!$S$2:$S$160,$AP72+5),""),"")</f>
        <v/>
      </c>
      <c r="S72" t="str">
        <f>IFERROR(IF($AQ72&gt;6,INDEX(Festivals!$S$2:$S$160,$AP72+6),""),"")</f>
        <v/>
      </c>
      <c r="T72">
        <f>INDEX(GCalXMLT[dcaturmasya1],$D72)</f>
        <v>0</v>
      </c>
      <c r="U72">
        <f>INDEX(GCalXMLT[dcaturmasya2],$D72)</f>
        <v>0</v>
      </c>
      <c r="V72" t="str">
        <f>INDEX(GCalXMLT[sankrantirasi],$D72) &amp; " " &amp; INDEX(GCalXMLT[sankrantitime],$D72)</f>
        <v xml:space="preserve"> </v>
      </c>
      <c r="W72" t="str">
        <f ca="1">IFERROR(INDEX('Holidays Calc'!$K$2:$K$233,AR72),"")</f>
        <v/>
      </c>
      <c r="X72" t="str">
        <f ca="1">IF(AR72="","",IF(INDEX('Holidays Calc'!$I$2:$I$233,AR72+1)=A72,INDEX('Holidays Calc'!$K$2:$K$233,AR72+1),""))</f>
        <v/>
      </c>
      <c r="Y72" t="str">
        <f ca="1">IF(AR72="","",IF(INDEX('Holidays Calc'!$I$2:$I$233,AR72+2)=A72,INDEX('Holidays Calc'!$K$2:$K$233,AR72+2),""))</f>
        <v/>
      </c>
      <c r="Z72" t="str">
        <f ca="1">IF(AR72="","",IF(INDEX('Holidays Calc'!$I$2:$I$233,AR72+3)=A72,INDEX('Holidays Calc'!$K$2:$K$2333,AR72+3),""))</f>
        <v/>
      </c>
      <c r="AA72" t="str">
        <f>IF(I72="Last day of Bhisma Pancaka","",IF(G72="*",-0.7,IF(ISBLANK(INDEX(GCalXMLT[dclass1],$D72)),"",INDEX(GCalXMLT[dclass1],$D72))))</f>
        <v/>
      </c>
      <c r="AB72" t="str">
        <f>IF(J72="First day of Bhisma Pancaka","",IF(AND(G72="*",NOT(ISERROR(SEARCH("ekadasi",J72)))),-0.7,IF(ISBLANK(INDEX(GCalXMLT[dclass2],$D72)),"",INDEX(GCalXMLT[dclass2],$D72))))</f>
        <v/>
      </c>
      <c r="AC72" t="str">
        <f>IF(I72="Nandotsava",-1,IF(ISBLANK(INDEX(GCalXMLT[dclass3],$D72)),"",INDEX(GCalXMLT[dclass3],$D72)))</f>
        <v/>
      </c>
      <c r="AD72" t="str">
        <f>IF(I72="Nandotsava",IF(ISBLANK(INDEX(GCalXMLT[dclass3],$D72)),"",INDEX(GCalXMLT[dclass3],$D72)),IF(ISBLANK(INDEX(GCalXMLT[dclass4],$D72)),"",INDEX(GCalXMLT[dclass4],$D72)))</f>
        <v/>
      </c>
      <c r="AE72" t="str">
        <f>IFERROR(INDEX(Festivals!$V$2:$V$160,AP72),"")</f>
        <v/>
      </c>
      <c r="AF72" t="str">
        <f>IFERROR(IF($AQ72&gt;1,INDEX(Festivals!$V$2:$V$160,$AP72+1),""),"")</f>
        <v/>
      </c>
      <c r="AG72" t="str">
        <f>IFERROR(IF($AQ72&gt;2,INDEX(Festivals!$V$2:$V$160,$AP72+2),""),"")</f>
        <v/>
      </c>
      <c r="AH72" t="str">
        <f>IFERROR(IF($AQ72&gt;3,INDEX(Festivals!$V$2:$V$160,$AP72+3),""),"")</f>
        <v/>
      </c>
      <c r="AI72" t="str">
        <f>IFERROR(IF($AQ72&gt;4,INDEX(Festivals!$V$2:$V$160,$AP72+4),""),"")</f>
        <v/>
      </c>
      <c r="AJ72" t="str">
        <f>IFERROR(IF($AQ72&gt;5,INDEX(Festivals!$V$2:$V$160,$AP72+5),""),"")</f>
        <v/>
      </c>
      <c r="AK72" t="str">
        <f>IFERROR(IF($AQ72&gt;6,INDEX(Festivals!$V$2:$V$160,$AP72+6),""),"")</f>
        <v/>
      </c>
      <c r="AL72" t="str">
        <f ca="1">IFERROR(INDEX('Holidays Calc'!$J$2:$J$233,MATCH(A72,'Holidays Calc'!$I$2:$I$233,0)),"")</f>
        <v/>
      </c>
      <c r="AM72" t="str">
        <f ca="1">IF(AR72="","",IF(INDEX('Holidays Calc'!$I$2:$I$233,AR72+1)=A72,INDEX('Holidays Calc'!$J$2:$J$233,AR72+1),""))</f>
        <v/>
      </c>
      <c r="AN72" t="str">
        <f ca="1">IF(AR72="","",IF(INDEX('Holidays Calc'!$I$2:$I$233,AR72+2)=A72,INDEX('Holidays Calc'!$J$2:$J$233,AR72+2),""))</f>
        <v/>
      </c>
      <c r="AO72" t="str">
        <f ca="1">IF(AR72="","",IF(INDEX('Holidays Calc'!$I$2:$I$233,AR72+3)=A72,INDEX('Holidays Calc'!$J$2:$J$233,AR72+3),""))</f>
        <v/>
      </c>
      <c r="AP72" t="str">
        <f>IFERROR(IF($E72=E71,"",MATCH($E72,Festivals!$H$2:$H$160,0)),"")</f>
        <v/>
      </c>
      <c r="AQ72" t="str">
        <f>IF(AP72="","",COUNTIF(Festivals!$H$2:$H$160,$E72))</f>
        <v/>
      </c>
      <c r="AR72" t="str">
        <f ca="1">IFERROR(MATCH(A72,'Holidays Calc'!$I$2:$I$233,0),"")</f>
        <v/>
      </c>
      <c r="AS72" t="str">
        <f t="shared" si="11"/>
        <v/>
      </c>
      <c r="AT72" t="str">
        <f t="shared" si="10"/>
        <v/>
      </c>
      <c r="AU72" t="str">
        <f t="shared" ca="1" si="12"/>
        <v/>
      </c>
      <c r="AV72" t="str">
        <f t="shared" ca="1" si="13"/>
        <v/>
      </c>
    </row>
    <row r="73" spans="1:48" x14ac:dyDescent="0.25">
      <c r="A73" s="265">
        <f t="shared" si="7"/>
        <v>43499</v>
      </c>
      <c r="B73" s="265" t="str">
        <f t="shared" si="8"/>
        <v>3 Feb 2019</v>
      </c>
      <c r="C73" s="267">
        <f t="shared" si="9"/>
        <v>5</v>
      </c>
      <c r="D73">
        <f>MATCH(A73,GCalXMLT[daydate],0)</f>
        <v>72</v>
      </c>
      <c r="E73">
        <f>VALUE("1" &amp; Masacod(INDEX(GCalXMLT[gymasa],D73)) &amp; PaksaCod(INDEX(GCalXMLT[mpaksaid],D73)) &amp; TithiCod(INDEX(GCalXMLT[stithiname],D73)))</f>
        <v>111014</v>
      </c>
      <c r="F73" t="str">
        <f ca="1">INDEX(Parameters!$K$2:$K$16,MATCH(AV73,Parameters!$L$2:$L$16,0))</f>
        <v/>
      </c>
      <c r="G73">
        <f>INDEX(GCalXMLT[fastmark],$D73)</f>
        <v>0</v>
      </c>
      <c r="H73" t="str">
        <f ca="1">INDEX(Parameters!$J$2:$J$16,MATCH(AV73,Parameters!$L$2:$L$16,0))</f>
        <v/>
      </c>
      <c r="I73">
        <f>INDEX(GCalXMLT[dfestival1],$D73)</f>
        <v>0</v>
      </c>
      <c r="J73">
        <f>IF(INDEX(GCalXMLT[dfestival2],$D73)="(Fast today)",INDEX(Festivals!$R$2:$R$180,MATCH($I73,Festivals!$R$2:$R$180,0)+1),INDEX(GCalXMLT[dfestival2],$D73))</f>
        <v>0</v>
      </c>
      <c r="K73">
        <f>IF(I73="Nandotsava","(Fast till noon)",INDEX(GCalXMLT[dfestival3],$D73))</f>
        <v>0</v>
      </c>
      <c r="L73">
        <f>IF(I73="Nandotsava", INDEX(GCalXMLT[dfestival3],$D73),INDEX(GCalXMLT[dfestival4],$D73))</f>
        <v>0</v>
      </c>
      <c r="M73" t="str">
        <f>IFERROR(INDEX(Festivals!$S$2:$S$160,AP73),"")</f>
        <v/>
      </c>
      <c r="N73" t="str">
        <f>IFERROR(IF($AQ73&gt;1,INDEX(Festivals!$S$2:$S$160,$AP73+1),""),"")</f>
        <v/>
      </c>
      <c r="O73" t="str">
        <f>IFERROR(IF($AQ73&gt;2,INDEX(Festivals!$S$2:$S$160,$AP73+2),""),"")</f>
        <v/>
      </c>
      <c r="P73" t="str">
        <f>IFERROR(IF($AQ73&gt;3,INDEX(Festivals!$S$2:$S$160,$AP73+3),""),"")</f>
        <v/>
      </c>
      <c r="Q73" t="str">
        <f>IFERROR(IF($AQ73&gt;4,INDEX(Festivals!$S$2:$S$160,$AP73+4),""),"")</f>
        <v/>
      </c>
      <c r="R73" t="str">
        <f>IFERROR(IF($AQ73&gt;5,INDEX(Festivals!$S$2:$S$160,$AP73+5),""),"")</f>
        <v/>
      </c>
      <c r="S73" t="str">
        <f>IFERROR(IF($AQ73&gt;6,INDEX(Festivals!$S$2:$S$160,$AP73+6),""),"")</f>
        <v/>
      </c>
      <c r="T73">
        <f>INDEX(GCalXMLT[dcaturmasya1],$D73)</f>
        <v>0</v>
      </c>
      <c r="U73">
        <f>INDEX(GCalXMLT[dcaturmasya2],$D73)</f>
        <v>0</v>
      </c>
      <c r="V73" t="str">
        <f>INDEX(GCalXMLT[sankrantirasi],$D73) &amp; " " &amp; INDEX(GCalXMLT[sankrantitime],$D73)</f>
        <v xml:space="preserve"> </v>
      </c>
      <c r="W73" t="str">
        <f ca="1">IFERROR(INDEX('Holidays Calc'!$K$2:$K$233,AR73),"")</f>
        <v/>
      </c>
      <c r="X73" t="str">
        <f ca="1">IF(AR73="","",IF(INDEX('Holidays Calc'!$I$2:$I$233,AR73+1)=A73,INDEX('Holidays Calc'!$K$2:$K$233,AR73+1),""))</f>
        <v/>
      </c>
      <c r="Y73" t="str">
        <f ca="1">IF(AR73="","",IF(INDEX('Holidays Calc'!$I$2:$I$233,AR73+2)=A73,INDEX('Holidays Calc'!$K$2:$K$233,AR73+2),""))</f>
        <v/>
      </c>
      <c r="Z73" t="str">
        <f ca="1">IF(AR73="","",IF(INDEX('Holidays Calc'!$I$2:$I$233,AR73+3)=A73,INDEX('Holidays Calc'!$K$2:$K$2333,AR73+3),""))</f>
        <v/>
      </c>
      <c r="AA73" t="str">
        <f>IF(I73="Last day of Bhisma Pancaka","",IF(G73="*",-0.7,IF(ISBLANK(INDEX(GCalXMLT[dclass1],$D73)),"",INDEX(GCalXMLT[dclass1],$D73))))</f>
        <v/>
      </c>
      <c r="AB73" t="str">
        <f>IF(J73="First day of Bhisma Pancaka","",IF(AND(G73="*",NOT(ISERROR(SEARCH("ekadasi",J73)))),-0.7,IF(ISBLANK(INDEX(GCalXMLT[dclass2],$D73)),"",INDEX(GCalXMLT[dclass2],$D73))))</f>
        <v/>
      </c>
      <c r="AC73" t="str">
        <f>IF(I73="Nandotsava",-1,IF(ISBLANK(INDEX(GCalXMLT[dclass3],$D73)),"",INDEX(GCalXMLT[dclass3],$D73)))</f>
        <v/>
      </c>
      <c r="AD73" t="str">
        <f>IF(I73="Nandotsava",IF(ISBLANK(INDEX(GCalXMLT[dclass3],$D73)),"",INDEX(GCalXMLT[dclass3],$D73)),IF(ISBLANK(INDEX(GCalXMLT[dclass4],$D73)),"",INDEX(GCalXMLT[dclass4],$D73)))</f>
        <v/>
      </c>
      <c r="AE73" t="str">
        <f>IFERROR(INDEX(Festivals!$V$2:$V$160,AP73),"")</f>
        <v/>
      </c>
      <c r="AF73" t="str">
        <f>IFERROR(IF($AQ73&gt;1,INDEX(Festivals!$V$2:$V$160,$AP73+1),""),"")</f>
        <v/>
      </c>
      <c r="AG73" t="str">
        <f>IFERROR(IF($AQ73&gt;2,INDEX(Festivals!$V$2:$V$160,$AP73+2),""),"")</f>
        <v/>
      </c>
      <c r="AH73" t="str">
        <f>IFERROR(IF($AQ73&gt;3,INDEX(Festivals!$V$2:$V$160,$AP73+3),""),"")</f>
        <v/>
      </c>
      <c r="AI73" t="str">
        <f>IFERROR(IF($AQ73&gt;4,INDEX(Festivals!$V$2:$V$160,$AP73+4),""),"")</f>
        <v/>
      </c>
      <c r="AJ73" t="str">
        <f>IFERROR(IF($AQ73&gt;5,INDEX(Festivals!$V$2:$V$160,$AP73+5),""),"")</f>
        <v/>
      </c>
      <c r="AK73" t="str">
        <f>IFERROR(IF($AQ73&gt;6,INDEX(Festivals!$V$2:$V$160,$AP73+6),""),"")</f>
        <v/>
      </c>
      <c r="AL73" t="str">
        <f ca="1">IFERROR(INDEX('Holidays Calc'!$J$2:$J$233,MATCH(A73,'Holidays Calc'!$I$2:$I$233,0)),"")</f>
        <v/>
      </c>
      <c r="AM73" t="str">
        <f ca="1">IF(AR73="","",IF(INDEX('Holidays Calc'!$I$2:$I$233,AR73+1)=A73,INDEX('Holidays Calc'!$J$2:$J$233,AR73+1),""))</f>
        <v/>
      </c>
      <c r="AN73" t="str">
        <f ca="1">IF(AR73="","",IF(INDEX('Holidays Calc'!$I$2:$I$233,AR73+2)=A73,INDEX('Holidays Calc'!$J$2:$J$233,AR73+2),""))</f>
        <v/>
      </c>
      <c r="AO73" t="str">
        <f ca="1">IF(AR73="","",IF(INDEX('Holidays Calc'!$I$2:$I$233,AR73+3)=A73,INDEX('Holidays Calc'!$J$2:$J$233,AR73+3),""))</f>
        <v/>
      </c>
      <c r="AP73" t="str">
        <f>IFERROR(IF($E73=E72,"",MATCH($E73,Festivals!$H$2:$H$160,0)),"")</f>
        <v/>
      </c>
      <c r="AQ73" t="str">
        <f>IF(AP73="","",COUNTIF(Festivals!$H$2:$H$160,$E73))</f>
        <v/>
      </c>
      <c r="AR73" t="str">
        <f ca="1">IFERROR(MATCH(A73,'Holidays Calc'!$I$2:$I$233,0),"")</f>
        <v/>
      </c>
      <c r="AS73" t="str">
        <f t="shared" si="11"/>
        <v/>
      </c>
      <c r="AT73" t="str">
        <f t="shared" si="10"/>
        <v/>
      </c>
      <c r="AU73" t="str">
        <f t="shared" ca="1" si="12"/>
        <v/>
      </c>
      <c r="AV73" t="str">
        <f t="shared" ca="1" si="13"/>
        <v/>
      </c>
    </row>
    <row r="74" spans="1:48" x14ac:dyDescent="0.25">
      <c r="A74" s="265">
        <f t="shared" si="7"/>
        <v>43500</v>
      </c>
      <c r="B74" s="265" t="str">
        <f t="shared" si="8"/>
        <v>4 Feb 2019</v>
      </c>
      <c r="C74" s="267">
        <f t="shared" si="9"/>
        <v>6</v>
      </c>
      <c r="D74">
        <f>MATCH(A74,GCalXMLT[daydate],0)</f>
        <v>73</v>
      </c>
      <c r="E74">
        <f>VALUE("1" &amp; Masacod(INDEX(GCalXMLT[gymasa],D74)) &amp; PaksaCod(INDEX(GCalXMLT[mpaksaid],D74)) &amp; TithiCod(INDEX(GCalXMLT[stithiname],D74)))</f>
        <v>111015</v>
      </c>
      <c r="F74" t="str">
        <f ca="1">INDEX(Parameters!$K$2:$K$16,MATCH(AV74,Parameters!$L$2:$L$16,0))</f>
        <v/>
      </c>
      <c r="G74">
        <f>INDEX(GCalXMLT[fastmark],$D74)</f>
        <v>0</v>
      </c>
      <c r="H74" t="str">
        <f ca="1">INDEX(Parameters!$J$2:$J$16,MATCH(AV74,Parameters!$L$2:$L$16,0))</f>
        <v/>
      </c>
      <c r="I74">
        <f>INDEX(GCalXMLT[dfestival1],$D74)</f>
        <v>0</v>
      </c>
      <c r="J74">
        <f>IF(INDEX(GCalXMLT[dfestival2],$D74)="(Fast today)",INDEX(Festivals!$R$2:$R$180,MATCH($I74,Festivals!$R$2:$R$180,0)+1),INDEX(GCalXMLT[dfestival2],$D74))</f>
        <v>0</v>
      </c>
      <c r="K74">
        <f>IF(I74="Nandotsava","(Fast till noon)",INDEX(GCalXMLT[dfestival3],$D74))</f>
        <v>0</v>
      </c>
      <c r="L74">
        <f>IF(I74="Nandotsava", INDEX(GCalXMLT[dfestival3],$D74),INDEX(GCalXMLT[dfestival4],$D74))</f>
        <v>0</v>
      </c>
      <c r="M74" t="str">
        <f>IFERROR(INDEX(Festivals!$S$2:$S$160,AP74),"")</f>
        <v/>
      </c>
      <c r="N74" t="str">
        <f>IFERROR(IF($AQ74&gt;1,INDEX(Festivals!$S$2:$S$160,$AP74+1),""),"")</f>
        <v/>
      </c>
      <c r="O74" t="str">
        <f>IFERROR(IF($AQ74&gt;2,INDEX(Festivals!$S$2:$S$160,$AP74+2),""),"")</f>
        <v/>
      </c>
      <c r="P74" t="str">
        <f>IFERROR(IF($AQ74&gt;3,INDEX(Festivals!$S$2:$S$160,$AP74+3),""),"")</f>
        <v/>
      </c>
      <c r="Q74" t="str">
        <f>IFERROR(IF($AQ74&gt;4,INDEX(Festivals!$S$2:$S$160,$AP74+4),""),"")</f>
        <v/>
      </c>
      <c r="R74" t="str">
        <f>IFERROR(IF($AQ74&gt;5,INDEX(Festivals!$S$2:$S$160,$AP74+5),""),"")</f>
        <v/>
      </c>
      <c r="S74" t="str">
        <f>IFERROR(IF($AQ74&gt;6,INDEX(Festivals!$S$2:$S$160,$AP74+6),""),"")</f>
        <v/>
      </c>
      <c r="T74">
        <f>INDEX(GCalXMLT[dcaturmasya1],$D74)</f>
        <v>0</v>
      </c>
      <c r="U74">
        <f>INDEX(GCalXMLT[dcaturmasya2],$D74)</f>
        <v>0</v>
      </c>
      <c r="V74" t="str">
        <f>INDEX(GCalXMLT[sankrantirasi],$D74) &amp; " " &amp; INDEX(GCalXMLT[sankrantitime],$D74)</f>
        <v xml:space="preserve"> </v>
      </c>
      <c r="W74" t="str">
        <f ca="1">IFERROR(INDEX('Holidays Calc'!$K$2:$K$233,AR74),"")</f>
        <v/>
      </c>
      <c r="X74" t="str">
        <f ca="1">IF(AR74="","",IF(INDEX('Holidays Calc'!$I$2:$I$233,AR74+1)=A74,INDEX('Holidays Calc'!$K$2:$K$233,AR74+1),""))</f>
        <v/>
      </c>
      <c r="Y74" t="str">
        <f ca="1">IF(AR74="","",IF(INDEX('Holidays Calc'!$I$2:$I$233,AR74+2)=A74,INDEX('Holidays Calc'!$K$2:$K$233,AR74+2),""))</f>
        <v/>
      </c>
      <c r="Z74" t="str">
        <f ca="1">IF(AR74="","",IF(INDEX('Holidays Calc'!$I$2:$I$233,AR74+3)=A74,INDEX('Holidays Calc'!$K$2:$K$2333,AR74+3),""))</f>
        <v/>
      </c>
      <c r="AA74" t="str">
        <f>IF(I74="Last day of Bhisma Pancaka","",IF(G74="*",-0.7,IF(ISBLANK(INDEX(GCalXMLT[dclass1],$D74)),"",INDEX(GCalXMLT[dclass1],$D74))))</f>
        <v/>
      </c>
      <c r="AB74" t="str">
        <f>IF(J74="First day of Bhisma Pancaka","",IF(AND(G74="*",NOT(ISERROR(SEARCH("ekadasi",J74)))),-0.7,IF(ISBLANK(INDEX(GCalXMLT[dclass2],$D74)),"",INDEX(GCalXMLT[dclass2],$D74))))</f>
        <v/>
      </c>
      <c r="AC74" t="str">
        <f>IF(I74="Nandotsava",-1,IF(ISBLANK(INDEX(GCalXMLT[dclass3],$D74)),"",INDEX(GCalXMLT[dclass3],$D74)))</f>
        <v/>
      </c>
      <c r="AD74" t="str">
        <f>IF(I74="Nandotsava",IF(ISBLANK(INDEX(GCalXMLT[dclass3],$D74)),"",INDEX(GCalXMLT[dclass3],$D74)),IF(ISBLANK(INDEX(GCalXMLT[dclass4],$D74)),"",INDEX(GCalXMLT[dclass4],$D74)))</f>
        <v/>
      </c>
      <c r="AE74" t="str">
        <f>IFERROR(INDEX(Festivals!$V$2:$V$160,AP74),"")</f>
        <v/>
      </c>
      <c r="AF74" t="str">
        <f>IFERROR(IF($AQ74&gt;1,INDEX(Festivals!$V$2:$V$160,$AP74+1),""),"")</f>
        <v/>
      </c>
      <c r="AG74" t="str">
        <f>IFERROR(IF($AQ74&gt;2,INDEX(Festivals!$V$2:$V$160,$AP74+2),""),"")</f>
        <v/>
      </c>
      <c r="AH74" t="str">
        <f>IFERROR(IF($AQ74&gt;3,INDEX(Festivals!$V$2:$V$160,$AP74+3),""),"")</f>
        <v/>
      </c>
      <c r="AI74" t="str">
        <f>IFERROR(IF($AQ74&gt;4,INDEX(Festivals!$V$2:$V$160,$AP74+4),""),"")</f>
        <v/>
      </c>
      <c r="AJ74" t="str">
        <f>IFERROR(IF($AQ74&gt;5,INDEX(Festivals!$V$2:$V$160,$AP74+5),""),"")</f>
        <v/>
      </c>
      <c r="AK74" t="str">
        <f>IFERROR(IF($AQ74&gt;6,INDEX(Festivals!$V$2:$V$160,$AP74+6),""),"")</f>
        <v/>
      </c>
      <c r="AL74" t="str">
        <f ca="1">IFERROR(INDEX('Holidays Calc'!$J$2:$J$233,MATCH(A74,'Holidays Calc'!$I$2:$I$233,0)),"")</f>
        <v/>
      </c>
      <c r="AM74" t="str">
        <f ca="1">IF(AR74="","",IF(INDEX('Holidays Calc'!$I$2:$I$233,AR74+1)=A74,INDEX('Holidays Calc'!$J$2:$J$233,AR74+1),""))</f>
        <v/>
      </c>
      <c r="AN74" t="str">
        <f ca="1">IF(AR74="","",IF(INDEX('Holidays Calc'!$I$2:$I$233,AR74+2)=A74,INDEX('Holidays Calc'!$J$2:$J$233,AR74+2),""))</f>
        <v/>
      </c>
      <c r="AO74" t="str">
        <f ca="1">IF(AR74="","",IF(INDEX('Holidays Calc'!$I$2:$I$233,AR74+3)=A74,INDEX('Holidays Calc'!$J$2:$J$233,AR74+3),""))</f>
        <v/>
      </c>
      <c r="AP74" t="str">
        <f>IFERROR(IF($E74=E73,"",MATCH($E74,Festivals!$H$2:$H$160,0)),"")</f>
        <v/>
      </c>
      <c r="AQ74" t="str">
        <f>IF(AP74="","",COUNTIF(Festivals!$H$2:$H$160,$E74))</f>
        <v/>
      </c>
      <c r="AR74" t="str">
        <f ca="1">IFERROR(MATCH(A74,'Holidays Calc'!$I$2:$I$233,0),"")</f>
        <v/>
      </c>
      <c r="AS74" t="str">
        <f t="shared" si="11"/>
        <v/>
      </c>
      <c r="AT74" t="str">
        <f t="shared" si="10"/>
        <v/>
      </c>
      <c r="AU74" t="str">
        <f t="shared" ca="1" si="12"/>
        <v/>
      </c>
      <c r="AV74" t="str">
        <f t="shared" ca="1" si="13"/>
        <v/>
      </c>
    </row>
    <row r="75" spans="1:48" x14ac:dyDescent="0.25">
      <c r="A75" s="265">
        <f t="shared" si="7"/>
        <v>43501</v>
      </c>
      <c r="B75" s="265" t="str">
        <f t="shared" si="8"/>
        <v>5 Feb 2019</v>
      </c>
      <c r="C75" s="267">
        <f t="shared" si="9"/>
        <v>6</v>
      </c>
      <c r="D75">
        <f>MATCH(A75,GCalXMLT[daydate],0)</f>
        <v>74</v>
      </c>
      <c r="E75">
        <f>VALUE("1" &amp; Masacod(INDEX(GCalXMLT[gymasa],D75)) &amp; PaksaCod(INDEX(GCalXMLT[mpaksaid],D75)) &amp; TithiCod(INDEX(GCalXMLT[stithiname],D75)))</f>
        <v>111101</v>
      </c>
      <c r="F75" t="str">
        <f ca="1">INDEX(Parameters!$K$2:$K$16,MATCH(AV75,Parameters!$L$2:$L$16,0))</f>
        <v/>
      </c>
      <c r="G75">
        <f>INDEX(GCalXMLT[fastmark],$D75)</f>
        <v>0</v>
      </c>
      <c r="H75" t="str">
        <f ca="1">INDEX(Parameters!$J$2:$J$16,MATCH(AV75,Parameters!$L$2:$L$16,0))</f>
        <v/>
      </c>
      <c r="I75">
        <f>INDEX(GCalXMLT[dfestival1],$D75)</f>
        <v>0</v>
      </c>
      <c r="J75">
        <f>IF(INDEX(GCalXMLT[dfestival2],$D75)="(Fast today)",INDEX(Festivals!$R$2:$R$180,MATCH($I75,Festivals!$R$2:$R$180,0)+1),INDEX(GCalXMLT[dfestival2],$D75))</f>
        <v>0</v>
      </c>
      <c r="K75">
        <f>IF(I75="Nandotsava","(Fast till noon)",INDEX(GCalXMLT[dfestival3],$D75))</f>
        <v>0</v>
      </c>
      <c r="L75">
        <f>IF(I75="Nandotsava", INDEX(GCalXMLT[dfestival3],$D75),INDEX(GCalXMLT[dfestival4],$D75))</f>
        <v>0</v>
      </c>
      <c r="M75" t="str">
        <f>IFERROR(INDEX(Festivals!$S$2:$S$160,AP75),"")</f>
        <v/>
      </c>
      <c r="N75" t="str">
        <f>IFERROR(IF($AQ75&gt;1,INDEX(Festivals!$S$2:$S$160,$AP75+1),""),"")</f>
        <v/>
      </c>
      <c r="O75" t="str">
        <f>IFERROR(IF($AQ75&gt;2,INDEX(Festivals!$S$2:$S$160,$AP75+2),""),"")</f>
        <v/>
      </c>
      <c r="P75" t="str">
        <f>IFERROR(IF($AQ75&gt;3,INDEX(Festivals!$S$2:$S$160,$AP75+3),""),"")</f>
        <v/>
      </c>
      <c r="Q75" t="str">
        <f>IFERROR(IF($AQ75&gt;4,INDEX(Festivals!$S$2:$S$160,$AP75+4),""),"")</f>
        <v/>
      </c>
      <c r="R75" t="str">
        <f>IFERROR(IF($AQ75&gt;5,INDEX(Festivals!$S$2:$S$160,$AP75+5),""),"")</f>
        <v/>
      </c>
      <c r="S75" t="str">
        <f>IFERROR(IF($AQ75&gt;6,INDEX(Festivals!$S$2:$S$160,$AP75+6),""),"")</f>
        <v/>
      </c>
      <c r="T75">
        <f>INDEX(GCalXMLT[dcaturmasya1],$D75)</f>
        <v>0</v>
      </c>
      <c r="U75">
        <f>INDEX(GCalXMLT[dcaturmasya2],$D75)</f>
        <v>0</v>
      </c>
      <c r="V75" t="str">
        <f>INDEX(GCalXMLT[sankrantirasi],$D75) &amp; " " &amp; INDEX(GCalXMLT[sankrantitime],$D75)</f>
        <v xml:space="preserve"> </v>
      </c>
      <c r="W75" t="str">
        <f ca="1">IFERROR(INDEX('Holidays Calc'!$K$2:$K$233,AR75),"")</f>
        <v/>
      </c>
      <c r="X75" t="str">
        <f ca="1">IF(AR75="","",IF(INDEX('Holidays Calc'!$I$2:$I$233,AR75+1)=A75,INDEX('Holidays Calc'!$K$2:$K$233,AR75+1),""))</f>
        <v/>
      </c>
      <c r="Y75" t="str">
        <f ca="1">IF(AR75="","",IF(INDEX('Holidays Calc'!$I$2:$I$233,AR75+2)=A75,INDEX('Holidays Calc'!$K$2:$K$233,AR75+2),""))</f>
        <v/>
      </c>
      <c r="Z75" t="str">
        <f ca="1">IF(AR75="","",IF(INDEX('Holidays Calc'!$I$2:$I$233,AR75+3)=A75,INDEX('Holidays Calc'!$K$2:$K$2333,AR75+3),""))</f>
        <v/>
      </c>
      <c r="AA75" t="str">
        <f>IF(I75="Last day of Bhisma Pancaka","",IF(G75="*",-0.7,IF(ISBLANK(INDEX(GCalXMLT[dclass1],$D75)),"",INDEX(GCalXMLT[dclass1],$D75))))</f>
        <v/>
      </c>
      <c r="AB75" t="str">
        <f>IF(J75="First day of Bhisma Pancaka","",IF(AND(G75="*",NOT(ISERROR(SEARCH("ekadasi",J75)))),-0.7,IF(ISBLANK(INDEX(GCalXMLT[dclass2],$D75)),"",INDEX(GCalXMLT[dclass2],$D75))))</f>
        <v/>
      </c>
      <c r="AC75" t="str">
        <f>IF(I75="Nandotsava",-1,IF(ISBLANK(INDEX(GCalXMLT[dclass3],$D75)),"",INDEX(GCalXMLT[dclass3],$D75)))</f>
        <v/>
      </c>
      <c r="AD75" t="str">
        <f>IF(I75="Nandotsava",IF(ISBLANK(INDEX(GCalXMLT[dclass3],$D75)),"",INDEX(GCalXMLT[dclass3],$D75)),IF(ISBLANK(INDEX(GCalXMLT[dclass4],$D75)),"",INDEX(GCalXMLT[dclass4],$D75)))</f>
        <v/>
      </c>
      <c r="AE75" t="str">
        <f>IFERROR(INDEX(Festivals!$V$2:$V$160,AP75),"")</f>
        <v/>
      </c>
      <c r="AF75" t="str">
        <f>IFERROR(IF($AQ75&gt;1,INDEX(Festivals!$V$2:$V$160,$AP75+1),""),"")</f>
        <v/>
      </c>
      <c r="AG75" t="str">
        <f>IFERROR(IF($AQ75&gt;2,INDEX(Festivals!$V$2:$V$160,$AP75+2),""),"")</f>
        <v/>
      </c>
      <c r="AH75" t="str">
        <f>IFERROR(IF($AQ75&gt;3,INDEX(Festivals!$V$2:$V$160,$AP75+3),""),"")</f>
        <v/>
      </c>
      <c r="AI75" t="str">
        <f>IFERROR(IF($AQ75&gt;4,INDEX(Festivals!$V$2:$V$160,$AP75+4),""),"")</f>
        <v/>
      </c>
      <c r="AJ75" t="str">
        <f>IFERROR(IF($AQ75&gt;5,INDEX(Festivals!$V$2:$V$160,$AP75+5),""),"")</f>
        <v/>
      </c>
      <c r="AK75" t="str">
        <f>IFERROR(IF($AQ75&gt;6,INDEX(Festivals!$V$2:$V$160,$AP75+6),""),"")</f>
        <v/>
      </c>
      <c r="AL75" t="str">
        <f ca="1">IFERROR(INDEX('Holidays Calc'!$J$2:$J$233,MATCH(A75,'Holidays Calc'!$I$2:$I$233,0)),"")</f>
        <v/>
      </c>
      <c r="AM75" t="str">
        <f ca="1">IF(AR75="","",IF(INDEX('Holidays Calc'!$I$2:$I$233,AR75+1)=A75,INDEX('Holidays Calc'!$J$2:$J$233,AR75+1),""))</f>
        <v/>
      </c>
      <c r="AN75" t="str">
        <f ca="1">IF(AR75="","",IF(INDEX('Holidays Calc'!$I$2:$I$233,AR75+2)=A75,INDEX('Holidays Calc'!$J$2:$J$233,AR75+2),""))</f>
        <v/>
      </c>
      <c r="AO75" t="str">
        <f ca="1">IF(AR75="","",IF(INDEX('Holidays Calc'!$I$2:$I$233,AR75+3)=A75,INDEX('Holidays Calc'!$J$2:$J$233,AR75+3),""))</f>
        <v/>
      </c>
      <c r="AP75" t="str">
        <f>IFERROR(IF($E75=E74,"",MATCH($E75,Festivals!$H$2:$H$160,0)),"")</f>
        <v/>
      </c>
      <c r="AQ75" t="str">
        <f>IF(AP75="","",COUNTIF(Festivals!$H$2:$H$160,$E75))</f>
        <v/>
      </c>
      <c r="AR75" t="str">
        <f ca="1">IFERROR(MATCH(A75,'Holidays Calc'!$I$2:$I$233,0),"")</f>
        <v/>
      </c>
      <c r="AS75" t="str">
        <f t="shared" si="11"/>
        <v/>
      </c>
      <c r="AT75" t="str">
        <f t="shared" si="10"/>
        <v/>
      </c>
      <c r="AU75" t="str">
        <f t="shared" ca="1" si="12"/>
        <v/>
      </c>
      <c r="AV75" t="str">
        <f t="shared" ca="1" si="13"/>
        <v/>
      </c>
    </row>
    <row r="76" spans="1:48" x14ac:dyDescent="0.25">
      <c r="A76" s="265">
        <f t="shared" si="7"/>
        <v>43502</v>
      </c>
      <c r="B76" s="265" t="str">
        <f t="shared" ref="B76:B139" si="14">DAY(A76) &amp; " " &amp; MonthStr(MONTH(A76)) &amp; " " &amp; YEAR(A76)</f>
        <v>6 Feb 2019</v>
      </c>
      <c r="C76" s="267">
        <f t="shared" ref="C76:C139" si="15">WEEKNUM(A76,2)</f>
        <v>6</v>
      </c>
      <c r="D76">
        <f>MATCH(A76,GCalXMLT[daydate],0)</f>
        <v>75</v>
      </c>
      <c r="E76">
        <f>VALUE("1" &amp; Masacod(INDEX(GCalXMLT[gymasa],D76)) &amp; PaksaCod(INDEX(GCalXMLT[mpaksaid],D76)) &amp; TithiCod(INDEX(GCalXMLT[stithiname],D76)))</f>
        <v>111102</v>
      </c>
      <c r="F76" t="str">
        <f ca="1">INDEX(Parameters!$K$2:$K$16,MATCH(AV76,Parameters!$L$2:$L$16,0))</f>
        <v/>
      </c>
      <c r="G76">
        <f>INDEX(GCalXMLT[fastmark],$D76)</f>
        <v>0</v>
      </c>
      <c r="H76" t="str">
        <f ca="1">INDEX(Parameters!$J$2:$J$16,MATCH(AV76,Parameters!$L$2:$L$16,0))</f>
        <v/>
      </c>
      <c r="I76">
        <f>INDEX(GCalXMLT[dfestival1],$D76)</f>
        <v>0</v>
      </c>
      <c r="J76">
        <f>IF(INDEX(GCalXMLT[dfestival2],$D76)="(Fast today)",INDEX(Festivals!$R$2:$R$180,MATCH($I76,Festivals!$R$2:$R$180,0)+1),INDEX(GCalXMLT[dfestival2],$D76))</f>
        <v>0</v>
      </c>
      <c r="K76">
        <f>IF(I76="Nandotsava","(Fast till noon)",INDEX(GCalXMLT[dfestival3],$D76))</f>
        <v>0</v>
      </c>
      <c r="L76">
        <f>IF(I76="Nandotsava", INDEX(GCalXMLT[dfestival3],$D76),INDEX(GCalXMLT[dfestival4],$D76))</f>
        <v>0</v>
      </c>
      <c r="M76" t="str">
        <f>IFERROR(INDEX(Festivals!$S$2:$S$160,AP76),"")</f>
        <v/>
      </c>
      <c r="N76" t="str">
        <f>IFERROR(IF($AQ76&gt;1,INDEX(Festivals!$S$2:$S$160,$AP76+1),""),"")</f>
        <v/>
      </c>
      <c r="O76" t="str">
        <f>IFERROR(IF($AQ76&gt;2,INDEX(Festivals!$S$2:$S$160,$AP76+2),""),"")</f>
        <v/>
      </c>
      <c r="P76" t="str">
        <f>IFERROR(IF($AQ76&gt;3,INDEX(Festivals!$S$2:$S$160,$AP76+3),""),"")</f>
        <v/>
      </c>
      <c r="Q76" t="str">
        <f>IFERROR(IF($AQ76&gt;4,INDEX(Festivals!$S$2:$S$160,$AP76+4),""),"")</f>
        <v/>
      </c>
      <c r="R76" t="str">
        <f>IFERROR(IF($AQ76&gt;5,INDEX(Festivals!$S$2:$S$160,$AP76+5),""),"")</f>
        <v/>
      </c>
      <c r="S76" t="str">
        <f>IFERROR(IF($AQ76&gt;6,INDEX(Festivals!$S$2:$S$160,$AP76+6),""),"")</f>
        <v/>
      </c>
      <c r="T76">
        <f>INDEX(GCalXMLT[dcaturmasya1],$D76)</f>
        <v>0</v>
      </c>
      <c r="U76">
        <f>INDEX(GCalXMLT[dcaturmasya2],$D76)</f>
        <v>0</v>
      </c>
      <c r="V76" t="str">
        <f>INDEX(GCalXMLT[sankrantirasi],$D76) &amp; " " &amp; INDEX(GCalXMLT[sankrantitime],$D76)</f>
        <v xml:space="preserve"> </v>
      </c>
      <c r="W76" t="str">
        <f ca="1">IFERROR(INDEX('Holidays Calc'!$K$2:$K$233,AR76),"")</f>
        <v/>
      </c>
      <c r="X76" t="str">
        <f ca="1">IF(AR76="","",IF(INDEX('Holidays Calc'!$I$2:$I$233,AR76+1)=A76,INDEX('Holidays Calc'!$K$2:$K$233,AR76+1),""))</f>
        <v/>
      </c>
      <c r="Y76" t="str">
        <f ca="1">IF(AR76="","",IF(INDEX('Holidays Calc'!$I$2:$I$233,AR76+2)=A76,INDEX('Holidays Calc'!$K$2:$K$233,AR76+2),""))</f>
        <v/>
      </c>
      <c r="Z76" t="str">
        <f ca="1">IF(AR76="","",IF(INDEX('Holidays Calc'!$I$2:$I$233,AR76+3)=A76,INDEX('Holidays Calc'!$K$2:$K$2333,AR76+3),""))</f>
        <v/>
      </c>
      <c r="AA76" t="str">
        <f>IF(I76="Last day of Bhisma Pancaka","",IF(G76="*",-0.7,IF(ISBLANK(INDEX(GCalXMLT[dclass1],$D76)),"",INDEX(GCalXMLT[dclass1],$D76))))</f>
        <v/>
      </c>
      <c r="AB76" t="str">
        <f>IF(J76="First day of Bhisma Pancaka","",IF(AND(G76="*",NOT(ISERROR(SEARCH("ekadasi",J76)))),-0.7,IF(ISBLANK(INDEX(GCalXMLT[dclass2],$D76)),"",INDEX(GCalXMLT[dclass2],$D76))))</f>
        <v/>
      </c>
      <c r="AC76" t="str">
        <f>IF(I76="Nandotsava",-1,IF(ISBLANK(INDEX(GCalXMLT[dclass3],$D76)),"",INDEX(GCalXMLT[dclass3],$D76)))</f>
        <v/>
      </c>
      <c r="AD76" t="str">
        <f>IF(I76="Nandotsava",IF(ISBLANK(INDEX(GCalXMLT[dclass3],$D76)),"",INDEX(GCalXMLT[dclass3],$D76)),IF(ISBLANK(INDEX(GCalXMLT[dclass4],$D76)),"",INDEX(GCalXMLT[dclass4],$D76)))</f>
        <v/>
      </c>
      <c r="AE76" t="str">
        <f>IFERROR(INDEX(Festivals!$V$2:$V$160,AP76),"")</f>
        <v/>
      </c>
      <c r="AF76" t="str">
        <f>IFERROR(IF($AQ76&gt;1,INDEX(Festivals!$V$2:$V$160,$AP76+1),""),"")</f>
        <v/>
      </c>
      <c r="AG76" t="str">
        <f>IFERROR(IF($AQ76&gt;2,INDEX(Festivals!$V$2:$V$160,$AP76+2),""),"")</f>
        <v/>
      </c>
      <c r="AH76" t="str">
        <f>IFERROR(IF($AQ76&gt;3,INDEX(Festivals!$V$2:$V$160,$AP76+3),""),"")</f>
        <v/>
      </c>
      <c r="AI76" t="str">
        <f>IFERROR(IF($AQ76&gt;4,INDEX(Festivals!$V$2:$V$160,$AP76+4),""),"")</f>
        <v/>
      </c>
      <c r="AJ76" t="str">
        <f>IFERROR(IF($AQ76&gt;5,INDEX(Festivals!$V$2:$V$160,$AP76+5),""),"")</f>
        <v/>
      </c>
      <c r="AK76" t="str">
        <f>IFERROR(IF($AQ76&gt;6,INDEX(Festivals!$V$2:$V$160,$AP76+6),""),"")</f>
        <v/>
      </c>
      <c r="AL76" t="str">
        <f ca="1">IFERROR(INDEX('Holidays Calc'!$J$2:$J$233,MATCH(A76,'Holidays Calc'!$I$2:$I$233,0)),"")</f>
        <v/>
      </c>
      <c r="AM76" t="str">
        <f ca="1">IF(AR76="","",IF(INDEX('Holidays Calc'!$I$2:$I$233,AR76+1)=A76,INDEX('Holidays Calc'!$J$2:$J$233,AR76+1),""))</f>
        <v/>
      </c>
      <c r="AN76" t="str">
        <f ca="1">IF(AR76="","",IF(INDEX('Holidays Calc'!$I$2:$I$233,AR76+2)=A76,INDEX('Holidays Calc'!$J$2:$J$233,AR76+2),""))</f>
        <v/>
      </c>
      <c r="AO76" t="str">
        <f ca="1">IF(AR76="","",IF(INDEX('Holidays Calc'!$I$2:$I$233,AR76+3)=A76,INDEX('Holidays Calc'!$J$2:$J$233,AR76+3),""))</f>
        <v/>
      </c>
      <c r="AP76" t="str">
        <f>IFERROR(IF($E76=E75,"",MATCH($E76,Festivals!$H$2:$H$160,0)),"")</f>
        <v/>
      </c>
      <c r="AQ76" t="str">
        <f>IF(AP76="","",COUNTIF(Festivals!$H$2:$H$160,$E76))</f>
        <v/>
      </c>
      <c r="AR76" t="str">
        <f ca="1">IFERROR(MATCH(A76,'Holidays Calc'!$I$2:$I$233,0),"")</f>
        <v/>
      </c>
      <c r="AS76" t="str">
        <f t="shared" si="11"/>
        <v/>
      </c>
      <c r="AT76" t="str">
        <f t="shared" si="10"/>
        <v/>
      </c>
      <c r="AU76" t="str">
        <f t="shared" ca="1" si="12"/>
        <v/>
      </c>
      <c r="AV76" t="str">
        <f t="shared" ca="1" si="13"/>
        <v/>
      </c>
    </row>
    <row r="77" spans="1:48" x14ac:dyDescent="0.25">
      <c r="A77" s="265">
        <f t="shared" si="7"/>
        <v>43503</v>
      </c>
      <c r="B77" s="265" t="str">
        <f t="shared" si="14"/>
        <v>7 Feb 2019</v>
      </c>
      <c r="C77" s="267">
        <f t="shared" si="15"/>
        <v>6</v>
      </c>
      <c r="D77">
        <f>MATCH(A77,GCalXMLT[daydate],0)</f>
        <v>76</v>
      </c>
      <c r="E77">
        <f>VALUE("1" &amp; Masacod(INDEX(GCalXMLT[gymasa],D77)) &amp; PaksaCod(INDEX(GCalXMLT[mpaksaid],D77)) &amp; TithiCod(INDEX(GCalXMLT[stithiname],D77)))</f>
        <v>111103</v>
      </c>
      <c r="F77" t="str">
        <f ca="1">INDEX(Parameters!$K$2:$K$16,MATCH(AV77,Parameters!$L$2:$L$16,0))</f>
        <v/>
      </c>
      <c r="G77">
        <f>INDEX(GCalXMLT[fastmark],$D77)</f>
        <v>0</v>
      </c>
      <c r="H77" t="str">
        <f ca="1">INDEX(Parameters!$J$2:$J$16,MATCH(AV77,Parameters!$L$2:$L$16,0))</f>
        <v/>
      </c>
      <c r="I77">
        <f>INDEX(GCalXMLT[dfestival1],$D77)</f>
        <v>0</v>
      </c>
      <c r="J77">
        <f>IF(INDEX(GCalXMLT[dfestival2],$D77)="(Fast today)",INDEX(Festivals!$R$2:$R$180,MATCH($I77,Festivals!$R$2:$R$180,0)+1),INDEX(GCalXMLT[dfestival2],$D77))</f>
        <v>0</v>
      </c>
      <c r="K77">
        <f>IF(I77="Nandotsava","(Fast till noon)",INDEX(GCalXMLT[dfestival3],$D77))</f>
        <v>0</v>
      </c>
      <c r="L77">
        <f>IF(I77="Nandotsava", INDEX(GCalXMLT[dfestival3],$D77),INDEX(GCalXMLT[dfestival4],$D77))</f>
        <v>0</v>
      </c>
      <c r="M77" t="str">
        <f>IFERROR(INDEX(Festivals!$S$2:$S$160,AP77),"")</f>
        <v/>
      </c>
      <c r="N77" t="str">
        <f>IFERROR(IF($AQ77&gt;1,INDEX(Festivals!$S$2:$S$160,$AP77+1),""),"")</f>
        <v/>
      </c>
      <c r="O77" t="str">
        <f>IFERROR(IF($AQ77&gt;2,INDEX(Festivals!$S$2:$S$160,$AP77+2),""),"")</f>
        <v/>
      </c>
      <c r="P77" t="str">
        <f>IFERROR(IF($AQ77&gt;3,INDEX(Festivals!$S$2:$S$160,$AP77+3),""),"")</f>
        <v/>
      </c>
      <c r="Q77" t="str">
        <f>IFERROR(IF($AQ77&gt;4,INDEX(Festivals!$S$2:$S$160,$AP77+4),""),"")</f>
        <v/>
      </c>
      <c r="R77" t="str">
        <f>IFERROR(IF($AQ77&gt;5,INDEX(Festivals!$S$2:$S$160,$AP77+5),""),"")</f>
        <v/>
      </c>
      <c r="S77" t="str">
        <f>IFERROR(IF($AQ77&gt;6,INDEX(Festivals!$S$2:$S$160,$AP77+6),""),"")</f>
        <v/>
      </c>
      <c r="T77">
        <f>INDEX(GCalXMLT[dcaturmasya1],$D77)</f>
        <v>0</v>
      </c>
      <c r="U77">
        <f>INDEX(GCalXMLT[dcaturmasya2],$D77)</f>
        <v>0</v>
      </c>
      <c r="V77" t="str">
        <f>INDEX(GCalXMLT[sankrantirasi],$D77) &amp; " " &amp; INDEX(GCalXMLT[sankrantitime],$D77)</f>
        <v xml:space="preserve"> </v>
      </c>
      <c r="W77" t="str">
        <f ca="1">IFERROR(INDEX('Holidays Calc'!$K$2:$K$233,AR77),"")</f>
        <v/>
      </c>
      <c r="X77" t="str">
        <f ca="1">IF(AR77="","",IF(INDEX('Holidays Calc'!$I$2:$I$233,AR77+1)=A77,INDEX('Holidays Calc'!$K$2:$K$233,AR77+1),""))</f>
        <v/>
      </c>
      <c r="Y77" t="str">
        <f ca="1">IF(AR77="","",IF(INDEX('Holidays Calc'!$I$2:$I$233,AR77+2)=A77,INDEX('Holidays Calc'!$K$2:$K$233,AR77+2),""))</f>
        <v/>
      </c>
      <c r="Z77" t="str">
        <f ca="1">IF(AR77="","",IF(INDEX('Holidays Calc'!$I$2:$I$233,AR77+3)=A77,INDEX('Holidays Calc'!$K$2:$K$2333,AR77+3),""))</f>
        <v/>
      </c>
      <c r="AA77" t="str">
        <f>IF(I77="Last day of Bhisma Pancaka","",IF(G77="*",-0.7,IF(ISBLANK(INDEX(GCalXMLT[dclass1],$D77)),"",INDEX(GCalXMLT[dclass1],$D77))))</f>
        <v/>
      </c>
      <c r="AB77" t="str">
        <f>IF(J77="First day of Bhisma Pancaka","",IF(AND(G77="*",NOT(ISERROR(SEARCH("ekadasi",J77)))),-0.7,IF(ISBLANK(INDEX(GCalXMLT[dclass2],$D77)),"",INDEX(GCalXMLT[dclass2],$D77))))</f>
        <v/>
      </c>
      <c r="AC77" t="str">
        <f>IF(I77="Nandotsava",-1,IF(ISBLANK(INDEX(GCalXMLT[dclass3],$D77)),"",INDEX(GCalXMLT[dclass3],$D77)))</f>
        <v/>
      </c>
      <c r="AD77" t="str">
        <f>IF(I77="Nandotsava",IF(ISBLANK(INDEX(GCalXMLT[dclass3],$D77)),"",INDEX(GCalXMLT[dclass3],$D77)),IF(ISBLANK(INDEX(GCalXMLT[dclass4],$D77)),"",INDEX(GCalXMLT[dclass4],$D77)))</f>
        <v/>
      </c>
      <c r="AE77" t="str">
        <f>IFERROR(INDEX(Festivals!$V$2:$V$160,AP77),"")</f>
        <v/>
      </c>
      <c r="AF77" t="str">
        <f>IFERROR(IF($AQ77&gt;1,INDEX(Festivals!$V$2:$V$160,$AP77+1),""),"")</f>
        <v/>
      </c>
      <c r="AG77" t="str">
        <f>IFERROR(IF($AQ77&gt;2,INDEX(Festivals!$V$2:$V$160,$AP77+2),""),"")</f>
        <v/>
      </c>
      <c r="AH77" t="str">
        <f>IFERROR(IF($AQ77&gt;3,INDEX(Festivals!$V$2:$V$160,$AP77+3),""),"")</f>
        <v/>
      </c>
      <c r="AI77" t="str">
        <f>IFERROR(IF($AQ77&gt;4,INDEX(Festivals!$V$2:$V$160,$AP77+4),""),"")</f>
        <v/>
      </c>
      <c r="AJ77" t="str">
        <f>IFERROR(IF($AQ77&gt;5,INDEX(Festivals!$V$2:$V$160,$AP77+5),""),"")</f>
        <v/>
      </c>
      <c r="AK77" t="str">
        <f>IFERROR(IF($AQ77&gt;6,INDEX(Festivals!$V$2:$V$160,$AP77+6),""),"")</f>
        <v/>
      </c>
      <c r="AL77" t="str">
        <f ca="1">IFERROR(INDEX('Holidays Calc'!$J$2:$J$233,MATCH(A77,'Holidays Calc'!$I$2:$I$233,0)),"")</f>
        <v/>
      </c>
      <c r="AM77" t="str">
        <f ca="1">IF(AR77="","",IF(INDEX('Holidays Calc'!$I$2:$I$233,AR77+1)=A77,INDEX('Holidays Calc'!$J$2:$J$233,AR77+1),""))</f>
        <v/>
      </c>
      <c r="AN77" t="str">
        <f ca="1">IF(AR77="","",IF(INDEX('Holidays Calc'!$I$2:$I$233,AR77+2)=A77,INDEX('Holidays Calc'!$J$2:$J$233,AR77+2),""))</f>
        <v/>
      </c>
      <c r="AO77" t="str">
        <f ca="1">IF(AR77="","",IF(INDEX('Holidays Calc'!$I$2:$I$233,AR77+3)=A77,INDEX('Holidays Calc'!$J$2:$J$233,AR77+3),""))</f>
        <v/>
      </c>
      <c r="AP77" t="str">
        <f>IFERROR(IF($E77=E76,"",MATCH($E77,Festivals!$H$2:$H$160,0)),"")</f>
        <v/>
      </c>
      <c r="AQ77" t="str">
        <f>IF(AP77="","",COUNTIF(Festivals!$H$2:$H$160,$E77))</f>
        <v/>
      </c>
      <c r="AR77" t="str">
        <f ca="1">IFERROR(MATCH(A77,'Holidays Calc'!$I$2:$I$233,0),"")</f>
        <v/>
      </c>
      <c r="AS77" t="str">
        <f t="shared" si="11"/>
        <v/>
      </c>
      <c r="AT77" t="str">
        <f t="shared" si="10"/>
        <v/>
      </c>
      <c r="AU77" t="str">
        <f t="shared" ca="1" si="12"/>
        <v/>
      </c>
      <c r="AV77" t="str">
        <f t="shared" ca="1" si="13"/>
        <v/>
      </c>
    </row>
    <row r="78" spans="1:48" x14ac:dyDescent="0.25">
      <c r="A78" s="265">
        <f t="shared" si="7"/>
        <v>43504</v>
      </c>
      <c r="B78" s="265" t="str">
        <f t="shared" si="14"/>
        <v>8 Feb 2019</v>
      </c>
      <c r="C78" s="267">
        <f t="shared" si="15"/>
        <v>6</v>
      </c>
      <c r="D78">
        <f>MATCH(A78,GCalXMLT[daydate],0)</f>
        <v>77</v>
      </c>
      <c r="E78">
        <f>VALUE("1" &amp; Masacod(INDEX(GCalXMLT[gymasa],D78)) &amp; PaksaCod(INDEX(GCalXMLT[mpaksaid],D78)) &amp; TithiCod(INDEX(GCalXMLT[stithiname],D78)))</f>
        <v>111104</v>
      </c>
      <c r="F78" t="str">
        <f ca="1">INDEX(Parameters!$K$2:$K$16,MATCH(AV78,Parameters!$L$2:$L$16,0))</f>
        <v/>
      </c>
      <c r="G78">
        <f>INDEX(GCalXMLT[fastmark],$D78)</f>
        <v>0</v>
      </c>
      <c r="H78" t="str">
        <f ca="1">INDEX(Parameters!$J$2:$J$16,MATCH(AV78,Parameters!$L$2:$L$16,0))</f>
        <v/>
      </c>
      <c r="I78">
        <f>INDEX(GCalXMLT[dfestival1],$D78)</f>
        <v>0</v>
      </c>
      <c r="J78">
        <f>IF(INDEX(GCalXMLT[dfestival2],$D78)="(Fast today)",INDEX(Festivals!$R$2:$R$180,MATCH($I78,Festivals!$R$2:$R$180,0)+1),INDEX(GCalXMLT[dfestival2],$D78))</f>
        <v>0</v>
      </c>
      <c r="K78">
        <f>IF(I78="Nandotsava","(Fast till noon)",INDEX(GCalXMLT[dfestival3],$D78))</f>
        <v>0</v>
      </c>
      <c r="L78">
        <f>IF(I78="Nandotsava", INDEX(GCalXMLT[dfestival3],$D78),INDEX(GCalXMLT[dfestival4],$D78))</f>
        <v>0</v>
      </c>
      <c r="M78" t="str">
        <f>IFERROR(INDEX(Festivals!$S$2:$S$160,AP78),"")</f>
        <v/>
      </c>
      <c r="N78" t="str">
        <f>IFERROR(IF($AQ78&gt;1,INDEX(Festivals!$S$2:$S$160,$AP78+1),""),"")</f>
        <v/>
      </c>
      <c r="O78" t="str">
        <f>IFERROR(IF($AQ78&gt;2,INDEX(Festivals!$S$2:$S$160,$AP78+2),""),"")</f>
        <v/>
      </c>
      <c r="P78" t="str">
        <f>IFERROR(IF($AQ78&gt;3,INDEX(Festivals!$S$2:$S$160,$AP78+3),""),"")</f>
        <v/>
      </c>
      <c r="Q78" t="str">
        <f>IFERROR(IF($AQ78&gt;4,INDEX(Festivals!$S$2:$S$160,$AP78+4),""),"")</f>
        <v/>
      </c>
      <c r="R78" t="str">
        <f>IFERROR(IF($AQ78&gt;5,INDEX(Festivals!$S$2:$S$160,$AP78+5),""),"")</f>
        <v/>
      </c>
      <c r="S78" t="str">
        <f>IFERROR(IF($AQ78&gt;6,INDEX(Festivals!$S$2:$S$160,$AP78+6),""),"")</f>
        <v/>
      </c>
      <c r="T78">
        <f>INDEX(GCalXMLT[dcaturmasya1],$D78)</f>
        <v>0</v>
      </c>
      <c r="U78">
        <f>INDEX(GCalXMLT[dcaturmasya2],$D78)</f>
        <v>0</v>
      </c>
      <c r="V78" t="str">
        <f>INDEX(GCalXMLT[sankrantirasi],$D78) &amp; " " &amp; INDEX(GCalXMLT[sankrantitime],$D78)</f>
        <v xml:space="preserve"> </v>
      </c>
      <c r="W78" t="str">
        <f ca="1">IFERROR(INDEX('Holidays Calc'!$K$2:$K$233,AR78),"")</f>
        <v/>
      </c>
      <c r="X78" t="str">
        <f ca="1">IF(AR78="","",IF(INDEX('Holidays Calc'!$I$2:$I$233,AR78+1)=A78,INDEX('Holidays Calc'!$K$2:$K$233,AR78+1),""))</f>
        <v/>
      </c>
      <c r="Y78" t="str">
        <f ca="1">IF(AR78="","",IF(INDEX('Holidays Calc'!$I$2:$I$233,AR78+2)=A78,INDEX('Holidays Calc'!$K$2:$K$233,AR78+2),""))</f>
        <v/>
      </c>
      <c r="Z78" t="str">
        <f ca="1">IF(AR78="","",IF(INDEX('Holidays Calc'!$I$2:$I$233,AR78+3)=A78,INDEX('Holidays Calc'!$K$2:$K$2333,AR78+3),""))</f>
        <v/>
      </c>
      <c r="AA78" t="str">
        <f>IF(I78="Last day of Bhisma Pancaka","",IF(G78="*",-0.7,IF(ISBLANK(INDEX(GCalXMLT[dclass1],$D78)),"",INDEX(GCalXMLT[dclass1],$D78))))</f>
        <v/>
      </c>
      <c r="AB78" t="str">
        <f>IF(J78="First day of Bhisma Pancaka","",IF(AND(G78="*",NOT(ISERROR(SEARCH("ekadasi",J78)))),-0.7,IF(ISBLANK(INDEX(GCalXMLT[dclass2],$D78)),"",INDEX(GCalXMLT[dclass2],$D78))))</f>
        <v/>
      </c>
      <c r="AC78" t="str">
        <f>IF(I78="Nandotsava",-1,IF(ISBLANK(INDEX(GCalXMLT[dclass3],$D78)),"",INDEX(GCalXMLT[dclass3],$D78)))</f>
        <v/>
      </c>
      <c r="AD78" t="str">
        <f>IF(I78="Nandotsava",IF(ISBLANK(INDEX(GCalXMLT[dclass3],$D78)),"",INDEX(GCalXMLT[dclass3],$D78)),IF(ISBLANK(INDEX(GCalXMLT[dclass4],$D78)),"",INDEX(GCalXMLT[dclass4],$D78)))</f>
        <v/>
      </c>
      <c r="AE78" t="str">
        <f>IFERROR(INDEX(Festivals!$V$2:$V$160,AP78),"")</f>
        <v/>
      </c>
      <c r="AF78" t="str">
        <f>IFERROR(IF($AQ78&gt;1,INDEX(Festivals!$V$2:$V$160,$AP78+1),""),"")</f>
        <v/>
      </c>
      <c r="AG78" t="str">
        <f>IFERROR(IF($AQ78&gt;2,INDEX(Festivals!$V$2:$V$160,$AP78+2),""),"")</f>
        <v/>
      </c>
      <c r="AH78" t="str">
        <f>IFERROR(IF($AQ78&gt;3,INDEX(Festivals!$V$2:$V$160,$AP78+3),""),"")</f>
        <v/>
      </c>
      <c r="AI78" t="str">
        <f>IFERROR(IF($AQ78&gt;4,INDEX(Festivals!$V$2:$V$160,$AP78+4),""),"")</f>
        <v/>
      </c>
      <c r="AJ78" t="str">
        <f>IFERROR(IF($AQ78&gt;5,INDEX(Festivals!$V$2:$V$160,$AP78+5),""),"")</f>
        <v/>
      </c>
      <c r="AK78" t="str">
        <f>IFERROR(IF($AQ78&gt;6,INDEX(Festivals!$V$2:$V$160,$AP78+6),""),"")</f>
        <v/>
      </c>
      <c r="AL78" t="str">
        <f ca="1">IFERROR(INDEX('Holidays Calc'!$J$2:$J$233,MATCH(A78,'Holidays Calc'!$I$2:$I$233,0)),"")</f>
        <v/>
      </c>
      <c r="AM78" t="str">
        <f ca="1">IF(AR78="","",IF(INDEX('Holidays Calc'!$I$2:$I$233,AR78+1)=A78,INDEX('Holidays Calc'!$J$2:$J$233,AR78+1),""))</f>
        <v/>
      </c>
      <c r="AN78" t="str">
        <f ca="1">IF(AR78="","",IF(INDEX('Holidays Calc'!$I$2:$I$233,AR78+2)=A78,INDEX('Holidays Calc'!$J$2:$J$233,AR78+2),""))</f>
        <v/>
      </c>
      <c r="AO78" t="str">
        <f ca="1">IF(AR78="","",IF(INDEX('Holidays Calc'!$I$2:$I$233,AR78+3)=A78,INDEX('Holidays Calc'!$J$2:$J$233,AR78+3),""))</f>
        <v/>
      </c>
      <c r="AP78" t="str">
        <f>IFERROR(IF($E78=E77,"",MATCH($E78,Festivals!$H$2:$H$160,0)),"")</f>
        <v/>
      </c>
      <c r="AQ78" t="str">
        <f>IF(AP78="","",COUNTIF(Festivals!$H$2:$H$160,$E78))</f>
        <v/>
      </c>
      <c r="AR78" t="str">
        <f ca="1">IFERROR(MATCH(A78,'Holidays Calc'!$I$2:$I$233,0),"")</f>
        <v/>
      </c>
      <c r="AS78" t="str">
        <f t="shared" si="11"/>
        <v/>
      </c>
      <c r="AT78" t="str">
        <f t="shared" si="10"/>
        <v/>
      </c>
      <c r="AU78" t="str">
        <f t="shared" ca="1" si="12"/>
        <v/>
      </c>
      <c r="AV78" t="str">
        <f t="shared" ca="1" si="13"/>
        <v/>
      </c>
    </row>
    <row r="79" spans="1:48" x14ac:dyDescent="0.25">
      <c r="A79" s="265">
        <f t="shared" si="7"/>
        <v>43505</v>
      </c>
      <c r="B79" s="265" t="str">
        <f t="shared" si="14"/>
        <v>9 Feb 2019</v>
      </c>
      <c r="C79" s="267">
        <f t="shared" si="15"/>
        <v>6</v>
      </c>
      <c r="D79">
        <f>MATCH(A79,GCalXMLT[daydate],0)</f>
        <v>78</v>
      </c>
      <c r="E79">
        <f>VALUE("1" &amp; Masacod(INDEX(GCalXMLT[gymasa],D79)) &amp; PaksaCod(INDEX(GCalXMLT[mpaksaid],D79)) &amp; TithiCod(INDEX(GCalXMLT[stithiname],D79)))</f>
        <v>111105</v>
      </c>
      <c r="F79" t="str">
        <f ca="1">INDEX(Parameters!$K$2:$K$16,MATCH(AV79,Parameters!$L$2:$L$16,0))</f>
        <v>C</v>
      </c>
      <c r="G79">
        <f>INDEX(GCalXMLT[fastmark],$D79)</f>
        <v>0</v>
      </c>
      <c r="H79" t="str">
        <f ca="1">INDEX(Parameters!$J$2:$J$16,MATCH(AV79,Parameters!$L$2:$L$16,0))</f>
        <v/>
      </c>
      <c r="I79">
        <f>INDEX(GCalXMLT[dfestival1],$D79)</f>
        <v>0</v>
      </c>
      <c r="J79">
        <f>IF(INDEX(GCalXMLT[dfestival2],$D79)="(Fast today)",INDEX(Festivals!$R$2:$R$180,MATCH($I79,Festivals!$R$2:$R$180,0)+1),INDEX(GCalXMLT[dfestival2],$D79))</f>
        <v>0</v>
      </c>
      <c r="K79">
        <f>IF(I79="Nandotsava","(Fast till noon)",INDEX(GCalXMLT[dfestival3],$D79))</f>
        <v>0</v>
      </c>
      <c r="L79">
        <f>IF(I79="Nandotsava", INDEX(GCalXMLT[dfestival3],$D79),INDEX(GCalXMLT[dfestival4],$D79))</f>
        <v>0</v>
      </c>
      <c r="M79" t="str">
        <f>IFERROR(INDEX(Festivals!$S$2:$S$160,AP79),"")</f>
        <v>Vasanta Pancami</v>
      </c>
      <c r="N79" t="str">
        <f>IFERROR(IF($AQ79&gt;1,INDEX(Festivals!$S$2:$S$160,$AP79+1),""),"")</f>
        <v>Srimati Visnupriya Devi - Appearance</v>
      </c>
      <c r="O79" t="str">
        <f>IFERROR(IF($AQ79&gt;2,INDEX(Festivals!$S$2:$S$160,$AP79+2),""),"")</f>
        <v>Sarasvati Puja</v>
      </c>
      <c r="P79" t="str">
        <f>IFERROR(IF($AQ79&gt;3,INDEX(Festivals!$S$2:$S$160,$AP79+3),""),"")</f>
        <v>Srila Visvanatha Cakravarti Thakura - Disappearance</v>
      </c>
      <c r="Q79" t="str">
        <f>IFERROR(IF($AQ79&gt;4,INDEX(Festivals!$S$2:$S$160,$AP79+4),""),"")</f>
        <v>Sri Pundarika Vidyanidhi - Appearance</v>
      </c>
      <c r="R79" t="str">
        <f>IFERROR(IF($AQ79&gt;5,INDEX(Festivals!$S$2:$S$160,$AP79+5),""),"")</f>
        <v>Sri Raghunandana Thakura - Appearance</v>
      </c>
      <c r="S79" t="str">
        <f>IFERROR(IF($AQ79&gt;6,INDEX(Festivals!$S$2:$S$160,$AP79+6),""),"")</f>
        <v>Srila Raghunatha Dasa Gosvami - Appearance</v>
      </c>
      <c r="T79">
        <f>INDEX(GCalXMLT[dcaturmasya1],$D79)</f>
        <v>0</v>
      </c>
      <c r="U79">
        <f>INDEX(GCalXMLT[dcaturmasya2],$D79)</f>
        <v>0</v>
      </c>
      <c r="V79" t="str">
        <f>INDEX(GCalXMLT[sankrantirasi],$D79) &amp; " " &amp; INDEX(GCalXMLT[sankrantitime],$D79)</f>
        <v xml:space="preserve"> </v>
      </c>
      <c r="W79" t="str">
        <f ca="1">IFERROR(INDEX('Holidays Calc'!$K$2:$K$233,AR79),"")</f>
        <v/>
      </c>
      <c r="X79" t="str">
        <f ca="1">IF(AR79="","",IF(INDEX('Holidays Calc'!$I$2:$I$233,AR79+1)=A79,INDEX('Holidays Calc'!$K$2:$K$233,AR79+1),""))</f>
        <v/>
      </c>
      <c r="Y79" t="str">
        <f ca="1">IF(AR79="","",IF(INDEX('Holidays Calc'!$I$2:$I$233,AR79+2)=A79,INDEX('Holidays Calc'!$K$2:$K$233,AR79+2),""))</f>
        <v/>
      </c>
      <c r="Z79" t="str">
        <f ca="1">IF(AR79="","",IF(INDEX('Holidays Calc'!$I$2:$I$233,AR79+3)=A79,INDEX('Holidays Calc'!$K$2:$K$2333,AR79+3),""))</f>
        <v/>
      </c>
      <c r="AA79" t="str">
        <f>IF(I79="Last day of Bhisma Pancaka","",IF(G79="*",-0.7,IF(ISBLANK(INDEX(GCalXMLT[dclass1],$D79)),"",INDEX(GCalXMLT[dclass1],$D79))))</f>
        <v/>
      </c>
      <c r="AB79" t="str">
        <f>IF(J79="First day of Bhisma Pancaka","",IF(AND(G79="*",NOT(ISERROR(SEARCH("ekadasi",J79)))),-0.7,IF(ISBLANK(INDEX(GCalXMLT[dclass2],$D79)),"",INDEX(GCalXMLT[dclass2],$D79))))</f>
        <v/>
      </c>
      <c r="AC79" t="str">
        <f>IF(I79="Nandotsava",-1,IF(ISBLANK(INDEX(GCalXMLT[dclass3],$D79)),"",INDEX(GCalXMLT[dclass3],$D79)))</f>
        <v/>
      </c>
      <c r="AD79" t="str">
        <f>IF(I79="Nandotsava",IF(ISBLANK(INDEX(GCalXMLT[dclass3],$D79)),"",INDEX(GCalXMLT[dclass3],$D79)),IF(ISBLANK(INDEX(GCalXMLT[dclass4],$D79)),"",INDEX(GCalXMLT[dclass4],$D79)))</f>
        <v/>
      </c>
      <c r="AE79">
        <f>IFERROR(INDEX(Festivals!$V$2:$V$160,AP79),"")</f>
        <v>1</v>
      </c>
      <c r="AF79">
        <f>IFERROR(IF($AQ79&gt;1,INDEX(Festivals!$V$2:$V$160,$AP79+1),""),"")</f>
        <v>3</v>
      </c>
      <c r="AG79">
        <f>IFERROR(IF($AQ79&gt;2,INDEX(Festivals!$V$2:$V$160,$AP79+2),""),"")</f>
        <v>5</v>
      </c>
      <c r="AH79">
        <f>IFERROR(IF($AQ79&gt;3,INDEX(Festivals!$V$2:$V$160,$AP79+3),""),"")</f>
        <v>3</v>
      </c>
      <c r="AI79">
        <f>IFERROR(IF($AQ79&gt;4,INDEX(Festivals!$V$2:$V$160,$AP79+4),""),"")</f>
        <v>3</v>
      </c>
      <c r="AJ79">
        <f>IFERROR(IF($AQ79&gt;5,INDEX(Festivals!$V$2:$V$160,$AP79+5),""),"")</f>
        <v>3</v>
      </c>
      <c r="AK79">
        <f>IFERROR(IF($AQ79&gt;6,INDEX(Festivals!$V$2:$V$160,$AP79+6),""),"")</f>
        <v>3</v>
      </c>
      <c r="AL79" t="str">
        <f ca="1">IFERROR(INDEX('Holidays Calc'!$J$2:$J$233,MATCH(A79,'Holidays Calc'!$I$2:$I$233,0)),"")</f>
        <v/>
      </c>
      <c r="AM79" t="str">
        <f ca="1">IF(AR79="","",IF(INDEX('Holidays Calc'!$I$2:$I$233,AR79+1)=A79,INDEX('Holidays Calc'!$J$2:$J$233,AR79+1),""))</f>
        <v/>
      </c>
      <c r="AN79" t="str">
        <f ca="1">IF(AR79="","",IF(INDEX('Holidays Calc'!$I$2:$I$233,AR79+2)=A79,INDEX('Holidays Calc'!$J$2:$J$233,AR79+2),""))</f>
        <v/>
      </c>
      <c r="AO79" t="str">
        <f ca="1">IF(AR79="","",IF(INDEX('Holidays Calc'!$I$2:$I$233,AR79+3)=A79,INDEX('Holidays Calc'!$J$2:$J$233,AR79+3),""))</f>
        <v/>
      </c>
      <c r="AP79">
        <f>IFERROR(IF($E79=E78,"",MATCH($E79,Festivals!$H$2:$H$160,0)),"")</f>
        <v>129</v>
      </c>
      <c r="AQ79">
        <f>IF(AP79="","",COUNTIF(Festivals!$H$2:$H$160,$E79))</f>
        <v>7</v>
      </c>
      <c r="AR79" t="str">
        <f ca="1">IFERROR(MATCH(A79,'Holidays Calc'!$I$2:$I$233,0),"")</f>
        <v/>
      </c>
      <c r="AS79">
        <f t="shared" si="11"/>
        <v>1</v>
      </c>
      <c r="AT79">
        <f t="shared" si="10"/>
        <v>1</v>
      </c>
      <c r="AU79" t="str">
        <f t="shared" ca="1" si="12"/>
        <v/>
      </c>
      <c r="AV79">
        <f t="shared" ca="1" si="13"/>
        <v>1</v>
      </c>
    </row>
    <row r="80" spans="1:48" x14ac:dyDescent="0.25">
      <c r="A80" s="265">
        <f t="shared" si="7"/>
        <v>43506</v>
      </c>
      <c r="B80" s="265" t="str">
        <f t="shared" si="14"/>
        <v>10 Feb 2019</v>
      </c>
      <c r="C80" s="267">
        <f t="shared" si="15"/>
        <v>6</v>
      </c>
      <c r="D80">
        <f>MATCH(A80,GCalXMLT[daydate],0)</f>
        <v>79</v>
      </c>
      <c r="E80">
        <f>VALUE("1" &amp; Masacod(INDEX(GCalXMLT[gymasa],D80)) &amp; PaksaCod(INDEX(GCalXMLT[mpaksaid],D80)) &amp; TithiCod(INDEX(GCalXMLT[stithiname],D80)))</f>
        <v>111105</v>
      </c>
      <c r="F80" t="str">
        <f ca="1">INDEX(Parameters!$K$2:$K$16,MATCH(AV80,Parameters!$L$2:$L$16,0))</f>
        <v/>
      </c>
      <c r="G80">
        <f>INDEX(GCalXMLT[fastmark],$D80)</f>
        <v>0</v>
      </c>
      <c r="H80" t="str">
        <f ca="1">INDEX(Parameters!$J$2:$J$16,MATCH(AV80,Parameters!$L$2:$L$16,0))</f>
        <v/>
      </c>
      <c r="I80">
        <f>INDEX(GCalXMLT[dfestival1],$D80)</f>
        <v>0</v>
      </c>
      <c r="J80">
        <f>IF(INDEX(GCalXMLT[dfestival2],$D80)="(Fast today)",INDEX(Festivals!$R$2:$R$180,MATCH($I80,Festivals!$R$2:$R$180,0)+1),INDEX(GCalXMLT[dfestival2],$D80))</f>
        <v>0</v>
      </c>
      <c r="K80">
        <f>IF(I80="Nandotsava","(Fast till noon)",INDEX(GCalXMLT[dfestival3],$D80))</f>
        <v>0</v>
      </c>
      <c r="L80">
        <f>IF(I80="Nandotsava", INDEX(GCalXMLT[dfestival3],$D80),INDEX(GCalXMLT[dfestival4],$D80))</f>
        <v>0</v>
      </c>
      <c r="M80" t="str">
        <f>IFERROR(INDEX(Festivals!$S$2:$S$160,AP80),"")</f>
        <v/>
      </c>
      <c r="N80" t="str">
        <f>IFERROR(IF($AQ80&gt;1,INDEX(Festivals!$S$2:$S$160,$AP80+1),""),"")</f>
        <v/>
      </c>
      <c r="O80" t="str">
        <f>IFERROR(IF($AQ80&gt;2,INDEX(Festivals!$S$2:$S$160,$AP80+2),""),"")</f>
        <v/>
      </c>
      <c r="P80" t="str">
        <f>IFERROR(IF($AQ80&gt;3,INDEX(Festivals!$S$2:$S$160,$AP80+3),""),"")</f>
        <v/>
      </c>
      <c r="Q80" t="str">
        <f>IFERROR(IF($AQ80&gt;4,INDEX(Festivals!$S$2:$S$160,$AP80+4),""),"")</f>
        <v/>
      </c>
      <c r="R80" t="str">
        <f>IFERROR(IF($AQ80&gt;5,INDEX(Festivals!$S$2:$S$160,$AP80+5),""),"")</f>
        <v/>
      </c>
      <c r="S80" t="str">
        <f>IFERROR(IF($AQ80&gt;6,INDEX(Festivals!$S$2:$S$160,$AP80+6),""),"")</f>
        <v/>
      </c>
      <c r="T80">
        <f>INDEX(GCalXMLT[dcaturmasya1],$D80)</f>
        <v>0</v>
      </c>
      <c r="U80">
        <f>INDEX(GCalXMLT[dcaturmasya2],$D80)</f>
        <v>0</v>
      </c>
      <c r="V80" t="str">
        <f>INDEX(GCalXMLT[sankrantirasi],$D80) &amp; " " &amp; INDEX(GCalXMLT[sankrantitime],$D80)</f>
        <v xml:space="preserve"> </v>
      </c>
      <c r="W80" t="str">
        <f ca="1">IFERROR(INDEX('Holidays Calc'!$K$2:$K$233,AR80),"")</f>
        <v/>
      </c>
      <c r="X80" t="str">
        <f ca="1">IF(AR80="","",IF(INDEX('Holidays Calc'!$I$2:$I$233,AR80+1)=A80,INDEX('Holidays Calc'!$K$2:$K$233,AR80+1),""))</f>
        <v/>
      </c>
      <c r="Y80" t="str">
        <f ca="1">IF(AR80="","",IF(INDEX('Holidays Calc'!$I$2:$I$233,AR80+2)=A80,INDEX('Holidays Calc'!$K$2:$K$233,AR80+2),""))</f>
        <v/>
      </c>
      <c r="Z80" t="str">
        <f ca="1">IF(AR80="","",IF(INDEX('Holidays Calc'!$I$2:$I$233,AR80+3)=A80,INDEX('Holidays Calc'!$K$2:$K$2333,AR80+3),""))</f>
        <v/>
      </c>
      <c r="AA80" t="str">
        <f>IF(I80="Last day of Bhisma Pancaka","",IF(G80="*",-0.7,IF(ISBLANK(INDEX(GCalXMLT[dclass1],$D80)),"",INDEX(GCalXMLT[dclass1],$D80))))</f>
        <v/>
      </c>
      <c r="AB80" t="str">
        <f>IF(J80="First day of Bhisma Pancaka","",IF(AND(G80="*",NOT(ISERROR(SEARCH("ekadasi",J80)))),-0.7,IF(ISBLANK(INDEX(GCalXMLT[dclass2],$D80)),"",INDEX(GCalXMLT[dclass2],$D80))))</f>
        <v/>
      </c>
      <c r="AC80" t="str">
        <f>IF(I80="Nandotsava",-1,IF(ISBLANK(INDEX(GCalXMLT[dclass3],$D80)),"",INDEX(GCalXMLT[dclass3],$D80)))</f>
        <v/>
      </c>
      <c r="AD80" t="str">
        <f>IF(I80="Nandotsava",IF(ISBLANK(INDEX(GCalXMLT[dclass3],$D80)),"",INDEX(GCalXMLT[dclass3],$D80)),IF(ISBLANK(INDEX(GCalXMLT[dclass4],$D80)),"",INDEX(GCalXMLT[dclass4],$D80)))</f>
        <v/>
      </c>
      <c r="AE80" t="str">
        <f>IFERROR(INDEX(Festivals!$V$2:$V$160,AP80),"")</f>
        <v/>
      </c>
      <c r="AF80" t="str">
        <f>IFERROR(IF($AQ80&gt;1,INDEX(Festivals!$V$2:$V$160,$AP80+1),""),"")</f>
        <v/>
      </c>
      <c r="AG80" t="str">
        <f>IFERROR(IF($AQ80&gt;2,INDEX(Festivals!$V$2:$V$160,$AP80+2),""),"")</f>
        <v/>
      </c>
      <c r="AH80" t="str">
        <f>IFERROR(IF($AQ80&gt;3,INDEX(Festivals!$V$2:$V$160,$AP80+3),""),"")</f>
        <v/>
      </c>
      <c r="AI80" t="str">
        <f>IFERROR(IF($AQ80&gt;4,INDEX(Festivals!$V$2:$V$160,$AP80+4),""),"")</f>
        <v/>
      </c>
      <c r="AJ80" t="str">
        <f>IFERROR(IF($AQ80&gt;5,INDEX(Festivals!$V$2:$V$160,$AP80+5),""),"")</f>
        <v/>
      </c>
      <c r="AK80" t="str">
        <f>IFERROR(IF($AQ80&gt;6,INDEX(Festivals!$V$2:$V$160,$AP80+6),""),"")</f>
        <v/>
      </c>
      <c r="AL80" t="str">
        <f ca="1">IFERROR(INDEX('Holidays Calc'!$J$2:$J$233,MATCH(A80,'Holidays Calc'!$I$2:$I$233,0)),"")</f>
        <v/>
      </c>
      <c r="AM80" t="str">
        <f ca="1">IF(AR80="","",IF(INDEX('Holidays Calc'!$I$2:$I$233,AR80+1)=A80,INDEX('Holidays Calc'!$J$2:$J$233,AR80+1),""))</f>
        <v/>
      </c>
      <c r="AN80" t="str">
        <f ca="1">IF(AR80="","",IF(INDEX('Holidays Calc'!$I$2:$I$233,AR80+2)=A80,INDEX('Holidays Calc'!$J$2:$J$233,AR80+2),""))</f>
        <v/>
      </c>
      <c r="AO80" t="str">
        <f ca="1">IF(AR80="","",IF(INDEX('Holidays Calc'!$I$2:$I$233,AR80+3)=A80,INDEX('Holidays Calc'!$J$2:$J$233,AR80+3),""))</f>
        <v/>
      </c>
      <c r="AP80" t="str">
        <f>IFERROR(IF($E80=E79,"",MATCH($E80,Festivals!$H$2:$H$160,0)),"")</f>
        <v/>
      </c>
      <c r="AQ80" t="str">
        <f>IF(AP80="","",COUNTIF(Festivals!$H$2:$H$160,$E80))</f>
        <v/>
      </c>
      <c r="AR80" t="str">
        <f ca="1">IFERROR(MATCH(A80,'Holidays Calc'!$I$2:$I$233,0),"")</f>
        <v/>
      </c>
      <c r="AS80" t="str">
        <f t="shared" si="11"/>
        <v/>
      </c>
      <c r="AT80" t="str">
        <f t="shared" si="10"/>
        <v/>
      </c>
      <c r="AU80" t="str">
        <f t="shared" ca="1" si="12"/>
        <v/>
      </c>
      <c r="AV80" t="str">
        <f t="shared" ca="1" si="13"/>
        <v/>
      </c>
    </row>
    <row r="81" spans="1:48" x14ac:dyDescent="0.25">
      <c r="A81" s="265">
        <f t="shared" si="7"/>
        <v>43507</v>
      </c>
      <c r="B81" s="265" t="str">
        <f t="shared" si="14"/>
        <v>11 Feb 2019</v>
      </c>
      <c r="C81" s="267">
        <f t="shared" si="15"/>
        <v>7</v>
      </c>
      <c r="D81">
        <f>MATCH(A81,GCalXMLT[daydate],0)</f>
        <v>80</v>
      </c>
      <c r="E81">
        <f>VALUE("1" &amp; Masacod(INDEX(GCalXMLT[gymasa],D81)) &amp; PaksaCod(INDEX(GCalXMLT[mpaksaid],D81)) &amp; TithiCod(INDEX(GCalXMLT[stithiname],D81)))</f>
        <v>111106</v>
      </c>
      <c r="F81" t="str">
        <f ca="1">INDEX(Parameters!$K$2:$K$16,MATCH(AV81,Parameters!$L$2:$L$16,0))</f>
        <v/>
      </c>
      <c r="G81">
        <f>INDEX(GCalXMLT[fastmark],$D81)</f>
        <v>0</v>
      </c>
      <c r="H81" t="str">
        <f ca="1">INDEX(Parameters!$J$2:$J$16,MATCH(AV81,Parameters!$L$2:$L$16,0))</f>
        <v/>
      </c>
      <c r="I81">
        <f>INDEX(GCalXMLT[dfestival1],$D81)</f>
        <v>0</v>
      </c>
      <c r="J81">
        <f>IF(INDEX(GCalXMLT[dfestival2],$D81)="(Fast today)",INDEX(Festivals!$R$2:$R$180,MATCH($I81,Festivals!$R$2:$R$180,0)+1),INDEX(GCalXMLT[dfestival2],$D81))</f>
        <v>0</v>
      </c>
      <c r="K81">
        <f>IF(I81="Nandotsava","(Fast till noon)",INDEX(GCalXMLT[dfestival3],$D81))</f>
        <v>0</v>
      </c>
      <c r="L81">
        <f>IF(I81="Nandotsava", INDEX(GCalXMLT[dfestival3],$D81),INDEX(GCalXMLT[dfestival4],$D81))</f>
        <v>0</v>
      </c>
      <c r="M81" t="str">
        <f>IFERROR(INDEX(Festivals!$S$2:$S$160,AP81),"")</f>
        <v/>
      </c>
      <c r="N81" t="str">
        <f>IFERROR(IF($AQ81&gt;1,INDEX(Festivals!$S$2:$S$160,$AP81+1),""),"")</f>
        <v/>
      </c>
      <c r="O81" t="str">
        <f>IFERROR(IF($AQ81&gt;2,INDEX(Festivals!$S$2:$S$160,$AP81+2),""),"")</f>
        <v/>
      </c>
      <c r="P81" t="str">
        <f>IFERROR(IF($AQ81&gt;3,INDEX(Festivals!$S$2:$S$160,$AP81+3),""),"")</f>
        <v/>
      </c>
      <c r="Q81" t="str">
        <f>IFERROR(IF($AQ81&gt;4,INDEX(Festivals!$S$2:$S$160,$AP81+4),""),"")</f>
        <v/>
      </c>
      <c r="R81" t="str">
        <f>IFERROR(IF($AQ81&gt;5,INDEX(Festivals!$S$2:$S$160,$AP81+5),""),"")</f>
        <v/>
      </c>
      <c r="S81" t="str">
        <f>IFERROR(IF($AQ81&gt;6,INDEX(Festivals!$S$2:$S$160,$AP81+6),""),"")</f>
        <v/>
      </c>
      <c r="T81">
        <f>INDEX(GCalXMLT[dcaturmasya1],$D81)</f>
        <v>0</v>
      </c>
      <c r="U81">
        <f>INDEX(GCalXMLT[dcaturmasya2],$D81)</f>
        <v>0</v>
      </c>
      <c r="V81" t="str">
        <f>INDEX(GCalXMLT[sankrantirasi],$D81) &amp; " " &amp; INDEX(GCalXMLT[sankrantitime],$D81)</f>
        <v xml:space="preserve"> </v>
      </c>
      <c r="W81" t="str">
        <f ca="1">IFERROR(INDEX('Holidays Calc'!$K$2:$K$233,AR81),"")</f>
        <v/>
      </c>
      <c r="X81" t="str">
        <f ca="1">IF(AR81="","",IF(INDEX('Holidays Calc'!$I$2:$I$233,AR81+1)=A81,INDEX('Holidays Calc'!$K$2:$K$233,AR81+1),""))</f>
        <v/>
      </c>
      <c r="Y81" t="str">
        <f ca="1">IF(AR81="","",IF(INDEX('Holidays Calc'!$I$2:$I$233,AR81+2)=A81,INDEX('Holidays Calc'!$K$2:$K$233,AR81+2),""))</f>
        <v/>
      </c>
      <c r="Z81" t="str">
        <f ca="1">IF(AR81="","",IF(INDEX('Holidays Calc'!$I$2:$I$233,AR81+3)=A81,INDEX('Holidays Calc'!$K$2:$K$2333,AR81+3),""))</f>
        <v/>
      </c>
      <c r="AA81" t="str">
        <f>IF(I81="Last day of Bhisma Pancaka","",IF(G81="*",-0.7,IF(ISBLANK(INDEX(GCalXMLT[dclass1],$D81)),"",INDEX(GCalXMLT[dclass1],$D81))))</f>
        <v/>
      </c>
      <c r="AB81" t="str">
        <f>IF(J81="First day of Bhisma Pancaka","",IF(AND(G81="*",NOT(ISERROR(SEARCH("ekadasi",J81)))),-0.7,IF(ISBLANK(INDEX(GCalXMLT[dclass2],$D81)),"",INDEX(GCalXMLT[dclass2],$D81))))</f>
        <v/>
      </c>
      <c r="AC81" t="str">
        <f>IF(I81="Nandotsava",-1,IF(ISBLANK(INDEX(GCalXMLT[dclass3],$D81)),"",INDEX(GCalXMLT[dclass3],$D81)))</f>
        <v/>
      </c>
      <c r="AD81" t="str">
        <f>IF(I81="Nandotsava",IF(ISBLANK(INDEX(GCalXMLT[dclass3],$D81)),"",INDEX(GCalXMLT[dclass3],$D81)),IF(ISBLANK(INDEX(GCalXMLT[dclass4],$D81)),"",INDEX(GCalXMLT[dclass4],$D81)))</f>
        <v/>
      </c>
      <c r="AE81" t="str">
        <f>IFERROR(INDEX(Festivals!$V$2:$V$160,AP81),"")</f>
        <v/>
      </c>
      <c r="AF81" t="str">
        <f>IFERROR(IF($AQ81&gt;1,INDEX(Festivals!$V$2:$V$160,$AP81+1),""),"")</f>
        <v/>
      </c>
      <c r="AG81" t="str">
        <f>IFERROR(IF($AQ81&gt;2,INDEX(Festivals!$V$2:$V$160,$AP81+2),""),"")</f>
        <v/>
      </c>
      <c r="AH81" t="str">
        <f>IFERROR(IF($AQ81&gt;3,INDEX(Festivals!$V$2:$V$160,$AP81+3),""),"")</f>
        <v/>
      </c>
      <c r="AI81" t="str">
        <f>IFERROR(IF($AQ81&gt;4,INDEX(Festivals!$V$2:$V$160,$AP81+4),""),"")</f>
        <v/>
      </c>
      <c r="AJ81" t="str">
        <f>IFERROR(IF($AQ81&gt;5,INDEX(Festivals!$V$2:$V$160,$AP81+5),""),"")</f>
        <v/>
      </c>
      <c r="AK81" t="str">
        <f>IFERROR(IF($AQ81&gt;6,INDEX(Festivals!$V$2:$V$160,$AP81+6),""),"")</f>
        <v/>
      </c>
      <c r="AL81" t="str">
        <f ca="1">IFERROR(INDEX('Holidays Calc'!$J$2:$J$233,MATCH(A81,'Holidays Calc'!$I$2:$I$233,0)),"")</f>
        <v/>
      </c>
      <c r="AM81" t="str">
        <f ca="1">IF(AR81="","",IF(INDEX('Holidays Calc'!$I$2:$I$233,AR81+1)=A81,INDEX('Holidays Calc'!$J$2:$J$233,AR81+1),""))</f>
        <v/>
      </c>
      <c r="AN81" t="str">
        <f ca="1">IF(AR81="","",IF(INDEX('Holidays Calc'!$I$2:$I$233,AR81+2)=A81,INDEX('Holidays Calc'!$J$2:$J$233,AR81+2),""))</f>
        <v/>
      </c>
      <c r="AO81" t="str">
        <f ca="1">IF(AR81="","",IF(INDEX('Holidays Calc'!$I$2:$I$233,AR81+3)=A81,INDEX('Holidays Calc'!$J$2:$J$233,AR81+3),""))</f>
        <v/>
      </c>
      <c r="AP81" t="str">
        <f>IFERROR(IF($E81=E80,"",MATCH($E81,Festivals!$H$2:$H$160,0)),"")</f>
        <v/>
      </c>
      <c r="AQ81" t="str">
        <f>IF(AP81="","",COUNTIF(Festivals!$H$2:$H$160,$E81))</f>
        <v/>
      </c>
      <c r="AR81" t="str">
        <f ca="1">IFERROR(MATCH(A81,'Holidays Calc'!$I$2:$I$233,0),"")</f>
        <v/>
      </c>
      <c r="AS81" t="str">
        <f t="shared" si="11"/>
        <v/>
      </c>
      <c r="AT81" t="str">
        <f t="shared" si="10"/>
        <v/>
      </c>
      <c r="AU81" t="str">
        <f t="shared" ca="1" si="12"/>
        <v/>
      </c>
      <c r="AV81" t="str">
        <f t="shared" ca="1" si="13"/>
        <v/>
      </c>
    </row>
    <row r="82" spans="1:48" x14ac:dyDescent="0.25">
      <c r="A82" s="265">
        <f t="shared" si="7"/>
        <v>43508</v>
      </c>
      <c r="B82" s="265" t="str">
        <f t="shared" si="14"/>
        <v>12 Feb 2019</v>
      </c>
      <c r="C82" s="267">
        <f t="shared" si="15"/>
        <v>7</v>
      </c>
      <c r="D82">
        <f>MATCH(A82,GCalXMLT[daydate],0)</f>
        <v>81</v>
      </c>
      <c r="E82">
        <f>VALUE("1" &amp; Masacod(INDEX(GCalXMLT[gymasa],D82)) &amp; PaksaCod(INDEX(GCalXMLT[mpaksaid],D82)) &amp; TithiCod(INDEX(GCalXMLT[stithiname],D82)))</f>
        <v>111107</v>
      </c>
      <c r="F82" t="str">
        <f ca="1">INDEX(Parameters!$K$2:$K$16,MATCH(AV82,Parameters!$L$2:$L$16,0))</f>
        <v>P</v>
      </c>
      <c r="G82">
        <f>INDEX(GCalXMLT[fastmark],$D82)</f>
        <v>0</v>
      </c>
      <c r="H82" t="str">
        <f ca="1">INDEX(Parameters!$J$2:$J$16,MATCH(AV82,Parameters!$L$2:$L$16,0))</f>
        <v>*</v>
      </c>
      <c r="I82">
        <f>INDEX(GCalXMLT[dfestival1],$D82)</f>
        <v>0</v>
      </c>
      <c r="J82">
        <f>IF(INDEX(GCalXMLT[dfestival2],$D82)="(Fast today)",INDEX(Festivals!$R$2:$R$180,MATCH($I82,Festivals!$R$2:$R$180,0)+1),INDEX(GCalXMLT[dfestival2],$D82))</f>
        <v>0</v>
      </c>
      <c r="K82">
        <f>IF(I82="Nandotsava","(Fast till noon)",INDEX(GCalXMLT[dfestival3],$D82))</f>
        <v>0</v>
      </c>
      <c r="L82">
        <f>IF(I82="Nandotsava", INDEX(GCalXMLT[dfestival3],$D82),INDEX(GCalXMLT[dfestival4],$D82))</f>
        <v>0</v>
      </c>
      <c r="M82" t="str">
        <f>IFERROR(INDEX(Festivals!$S$2:$S$160,AP82),"")</f>
        <v>Sri Advaita Acarya - Appearance</v>
      </c>
      <c r="N82" t="str">
        <f>IFERROR(IF($AQ82&gt;1,INDEX(Festivals!$S$2:$S$160,$AP82+1),""),"")</f>
        <v>(Fast till noon)</v>
      </c>
      <c r="O82" t="str">
        <f>IFERROR(IF($AQ82&gt;2,INDEX(Festivals!$S$2:$S$160,$AP82+2),""),"")</f>
        <v/>
      </c>
      <c r="P82" t="str">
        <f>IFERROR(IF($AQ82&gt;3,INDEX(Festivals!$S$2:$S$160,$AP82+3),""),"")</f>
        <v/>
      </c>
      <c r="Q82" t="str">
        <f>IFERROR(IF($AQ82&gt;4,INDEX(Festivals!$S$2:$S$160,$AP82+4),""),"")</f>
        <v/>
      </c>
      <c r="R82" t="str">
        <f>IFERROR(IF($AQ82&gt;5,INDEX(Festivals!$S$2:$S$160,$AP82+5),""),"")</f>
        <v/>
      </c>
      <c r="S82" t="str">
        <f>IFERROR(IF($AQ82&gt;6,INDEX(Festivals!$S$2:$S$160,$AP82+6),""),"")</f>
        <v/>
      </c>
      <c r="T82">
        <f>INDEX(GCalXMLT[dcaturmasya1],$D82)</f>
        <v>0</v>
      </c>
      <c r="U82">
        <f>INDEX(GCalXMLT[dcaturmasya2],$D82)</f>
        <v>0</v>
      </c>
      <c r="V82" t="str">
        <f>INDEX(GCalXMLT[sankrantirasi],$D82) &amp; " " &amp; INDEX(GCalXMLT[sankrantitime],$D82)</f>
        <v xml:space="preserve"> </v>
      </c>
      <c r="W82" t="str">
        <f ca="1">IFERROR(INDEX('Holidays Calc'!$K$2:$K$233,AR82),"")</f>
        <v/>
      </c>
      <c r="X82" t="str">
        <f ca="1">IF(AR82="","",IF(INDEX('Holidays Calc'!$I$2:$I$233,AR82+1)=A82,INDEX('Holidays Calc'!$K$2:$K$233,AR82+1),""))</f>
        <v/>
      </c>
      <c r="Y82" t="str">
        <f ca="1">IF(AR82="","",IF(INDEX('Holidays Calc'!$I$2:$I$233,AR82+2)=A82,INDEX('Holidays Calc'!$K$2:$K$233,AR82+2),""))</f>
        <v/>
      </c>
      <c r="Z82" t="str">
        <f ca="1">IF(AR82="","",IF(INDEX('Holidays Calc'!$I$2:$I$233,AR82+3)=A82,INDEX('Holidays Calc'!$K$2:$K$2333,AR82+3),""))</f>
        <v/>
      </c>
      <c r="AA82" t="str">
        <f>IF(I82="Last day of Bhisma Pancaka","",IF(G82="*",-0.7,IF(ISBLANK(INDEX(GCalXMLT[dclass1],$D82)),"",INDEX(GCalXMLT[dclass1],$D82))))</f>
        <v/>
      </c>
      <c r="AB82" t="str">
        <f>IF(J82="First day of Bhisma Pancaka","",IF(AND(G82="*",NOT(ISERROR(SEARCH("ekadasi",J82)))),-0.7,IF(ISBLANK(INDEX(GCalXMLT[dclass2],$D82)),"",INDEX(GCalXMLT[dclass2],$D82))))</f>
        <v/>
      </c>
      <c r="AC82" t="str">
        <f>IF(I82="Nandotsava",-1,IF(ISBLANK(INDEX(GCalXMLT[dclass3],$D82)),"",INDEX(GCalXMLT[dclass3],$D82)))</f>
        <v/>
      </c>
      <c r="AD82" t="str">
        <f>IF(I82="Nandotsava",IF(ISBLANK(INDEX(GCalXMLT[dclass3],$D82)),"",INDEX(GCalXMLT[dclass3],$D82)),IF(ISBLANK(INDEX(GCalXMLT[dclass4],$D82)),"",INDEX(GCalXMLT[dclass4],$D82)))</f>
        <v/>
      </c>
      <c r="AE82">
        <f>IFERROR(INDEX(Festivals!$V$2:$V$160,AP82),"")</f>
        <v>0</v>
      </c>
      <c r="AF82">
        <f>IFERROR(IF($AQ82&gt;1,INDEX(Festivals!$V$2:$V$160,$AP82+1),""),"")</f>
        <v>-1</v>
      </c>
      <c r="AG82" t="str">
        <f>IFERROR(IF($AQ82&gt;2,INDEX(Festivals!$V$2:$V$160,$AP82+2),""),"")</f>
        <v/>
      </c>
      <c r="AH82" t="str">
        <f>IFERROR(IF($AQ82&gt;3,INDEX(Festivals!$V$2:$V$160,$AP82+3),""),"")</f>
        <v/>
      </c>
      <c r="AI82" t="str">
        <f>IFERROR(IF($AQ82&gt;4,INDEX(Festivals!$V$2:$V$160,$AP82+4),""),"")</f>
        <v/>
      </c>
      <c r="AJ82" t="str">
        <f>IFERROR(IF($AQ82&gt;5,INDEX(Festivals!$V$2:$V$160,$AP82+5),""),"")</f>
        <v/>
      </c>
      <c r="AK82" t="str">
        <f>IFERROR(IF($AQ82&gt;6,INDEX(Festivals!$V$2:$V$160,$AP82+6),""),"")</f>
        <v/>
      </c>
      <c r="AL82" t="str">
        <f ca="1">IFERROR(INDEX('Holidays Calc'!$J$2:$J$233,MATCH(A82,'Holidays Calc'!$I$2:$I$233,0)),"")</f>
        <v/>
      </c>
      <c r="AM82" t="str">
        <f ca="1">IF(AR82="","",IF(INDEX('Holidays Calc'!$I$2:$I$233,AR82+1)=A82,INDEX('Holidays Calc'!$J$2:$J$233,AR82+1),""))</f>
        <v/>
      </c>
      <c r="AN82" t="str">
        <f ca="1">IF(AR82="","",IF(INDEX('Holidays Calc'!$I$2:$I$233,AR82+2)=A82,INDEX('Holidays Calc'!$J$2:$J$233,AR82+2),""))</f>
        <v/>
      </c>
      <c r="AO82" t="str">
        <f ca="1">IF(AR82="","",IF(INDEX('Holidays Calc'!$I$2:$I$233,AR82+3)=A82,INDEX('Holidays Calc'!$J$2:$J$233,AR82+3),""))</f>
        <v/>
      </c>
      <c r="AP82">
        <f>IFERROR(IF($E82=E81,"",MATCH($E82,Festivals!$H$2:$H$160,0)),"")</f>
        <v>136</v>
      </c>
      <c r="AQ82">
        <f>IF(AP82="","",COUNTIF(Festivals!$H$2:$H$160,$E82))</f>
        <v>2</v>
      </c>
      <c r="AR82" t="str">
        <f ca="1">IFERROR(MATCH(A82,'Holidays Calc'!$I$2:$I$233,0),"")</f>
        <v/>
      </c>
      <c r="AS82">
        <f t="shared" si="11"/>
        <v>-1</v>
      </c>
      <c r="AT82">
        <f t="shared" si="10"/>
        <v>-1</v>
      </c>
      <c r="AU82" t="str">
        <f t="shared" ca="1" si="12"/>
        <v/>
      </c>
      <c r="AV82">
        <f t="shared" ca="1" si="13"/>
        <v>-1</v>
      </c>
    </row>
    <row r="83" spans="1:48" x14ac:dyDescent="0.25">
      <c r="A83" s="265">
        <f t="shared" si="7"/>
        <v>43509</v>
      </c>
      <c r="B83" s="265" t="str">
        <f t="shared" si="14"/>
        <v>13 Feb 2019</v>
      </c>
      <c r="C83" s="267">
        <f t="shared" si="15"/>
        <v>7</v>
      </c>
      <c r="D83">
        <f>MATCH(A83,GCalXMLT[daydate],0)</f>
        <v>82</v>
      </c>
      <c r="E83">
        <f>VALUE("1" &amp; Masacod(INDEX(GCalXMLT[gymasa],D83)) &amp; PaksaCod(INDEX(GCalXMLT[mpaksaid],D83)) &amp; TithiCod(INDEX(GCalXMLT[stithiname],D83)))</f>
        <v>111108</v>
      </c>
      <c r="F83" t="str">
        <f ca="1">INDEX(Parameters!$K$2:$K$16,MATCH(AV83,Parameters!$L$2:$L$16,0))</f>
        <v>C</v>
      </c>
      <c r="G83">
        <f>INDEX(GCalXMLT[fastmark],$D83)</f>
        <v>0</v>
      </c>
      <c r="H83" t="str">
        <f ca="1">INDEX(Parameters!$J$2:$J$16,MATCH(AV83,Parameters!$L$2:$L$16,0))</f>
        <v/>
      </c>
      <c r="I83">
        <f>INDEX(GCalXMLT[dfestival1],$D83)</f>
        <v>0</v>
      </c>
      <c r="J83">
        <f>IF(INDEX(GCalXMLT[dfestival2],$D83)="(Fast today)",INDEX(Festivals!$R$2:$R$180,MATCH($I83,Festivals!$R$2:$R$180,0)+1),INDEX(GCalXMLT[dfestival2],$D83))</f>
        <v>0</v>
      </c>
      <c r="K83">
        <f>IF(I83="Nandotsava","(Fast till noon)",INDEX(GCalXMLT[dfestival3],$D83))</f>
        <v>0</v>
      </c>
      <c r="L83">
        <f>IF(I83="Nandotsava", INDEX(GCalXMLT[dfestival3],$D83),INDEX(GCalXMLT[dfestival4],$D83))</f>
        <v>0</v>
      </c>
      <c r="M83" t="str">
        <f>IFERROR(INDEX(Festivals!$S$2:$S$160,AP83),"")</f>
        <v>Bhismastami</v>
      </c>
      <c r="N83" t="str">
        <f>IFERROR(IF($AQ83&gt;1,INDEX(Festivals!$S$2:$S$160,$AP83+1),""),"")</f>
        <v/>
      </c>
      <c r="O83" t="str">
        <f>IFERROR(IF($AQ83&gt;2,INDEX(Festivals!$S$2:$S$160,$AP83+2),""),"")</f>
        <v/>
      </c>
      <c r="P83" t="str">
        <f>IFERROR(IF($AQ83&gt;3,INDEX(Festivals!$S$2:$S$160,$AP83+3),""),"")</f>
        <v/>
      </c>
      <c r="Q83" t="str">
        <f>IFERROR(IF($AQ83&gt;4,INDEX(Festivals!$S$2:$S$160,$AP83+4),""),"")</f>
        <v/>
      </c>
      <c r="R83" t="str">
        <f>IFERROR(IF($AQ83&gt;5,INDEX(Festivals!$S$2:$S$160,$AP83+5),""),"")</f>
        <v/>
      </c>
      <c r="S83" t="str">
        <f>IFERROR(IF($AQ83&gt;6,INDEX(Festivals!$S$2:$S$160,$AP83+6),""),"")</f>
        <v/>
      </c>
      <c r="T83">
        <f>INDEX(GCalXMLT[dcaturmasya1],$D83)</f>
        <v>0</v>
      </c>
      <c r="U83">
        <f>INDEX(GCalXMLT[dcaturmasya2],$D83)</f>
        <v>0</v>
      </c>
      <c r="V83" t="str">
        <f>INDEX(GCalXMLT[sankrantirasi],$D83) &amp; " " &amp; INDEX(GCalXMLT[sankrantitime],$D83)</f>
        <v>Kumbha 0,0118171296296296</v>
      </c>
      <c r="W83" t="str">
        <f ca="1">IFERROR(INDEX('Holidays Calc'!$K$2:$K$233,AR83),"")</f>
        <v/>
      </c>
      <c r="X83" t="str">
        <f ca="1">IF(AR83="","",IF(INDEX('Holidays Calc'!$I$2:$I$233,AR83+1)=A83,INDEX('Holidays Calc'!$K$2:$K$233,AR83+1),""))</f>
        <v/>
      </c>
      <c r="Y83" t="str">
        <f ca="1">IF(AR83="","",IF(INDEX('Holidays Calc'!$I$2:$I$233,AR83+2)=A83,INDEX('Holidays Calc'!$K$2:$K$233,AR83+2),""))</f>
        <v/>
      </c>
      <c r="Z83" t="str">
        <f ca="1">IF(AR83="","",IF(INDEX('Holidays Calc'!$I$2:$I$233,AR83+3)=A83,INDEX('Holidays Calc'!$K$2:$K$2333,AR83+3),""))</f>
        <v/>
      </c>
      <c r="AA83" t="str">
        <f>IF(I83="Last day of Bhisma Pancaka","",IF(G83="*",-0.7,IF(ISBLANK(INDEX(GCalXMLT[dclass1],$D83)),"",INDEX(GCalXMLT[dclass1],$D83))))</f>
        <v/>
      </c>
      <c r="AB83" t="str">
        <f>IF(J83="First day of Bhisma Pancaka","",IF(AND(G83="*",NOT(ISERROR(SEARCH("ekadasi",J83)))),-0.7,IF(ISBLANK(INDEX(GCalXMLT[dclass2],$D83)),"",INDEX(GCalXMLT[dclass2],$D83))))</f>
        <v/>
      </c>
      <c r="AC83" t="str">
        <f>IF(I83="Nandotsava",-1,IF(ISBLANK(INDEX(GCalXMLT[dclass3],$D83)),"",INDEX(GCalXMLT[dclass3],$D83)))</f>
        <v/>
      </c>
      <c r="AD83" t="str">
        <f>IF(I83="Nandotsava",IF(ISBLANK(INDEX(GCalXMLT[dclass3],$D83)),"",INDEX(GCalXMLT[dclass3],$D83)),IF(ISBLANK(INDEX(GCalXMLT[dclass4],$D83)),"",INDEX(GCalXMLT[dclass4],$D83)))</f>
        <v/>
      </c>
      <c r="AE83">
        <f>IFERROR(INDEX(Festivals!$V$2:$V$160,AP83),"")</f>
        <v>1</v>
      </c>
      <c r="AF83" t="str">
        <f>IFERROR(IF($AQ83&gt;1,INDEX(Festivals!$V$2:$V$160,$AP83+1),""),"")</f>
        <v/>
      </c>
      <c r="AG83" t="str">
        <f>IFERROR(IF($AQ83&gt;2,INDEX(Festivals!$V$2:$V$160,$AP83+2),""),"")</f>
        <v/>
      </c>
      <c r="AH83" t="str">
        <f>IFERROR(IF($AQ83&gt;3,INDEX(Festivals!$V$2:$V$160,$AP83+3),""),"")</f>
        <v/>
      </c>
      <c r="AI83" t="str">
        <f>IFERROR(IF($AQ83&gt;4,INDEX(Festivals!$V$2:$V$160,$AP83+4),""),"")</f>
        <v/>
      </c>
      <c r="AJ83" t="str">
        <f>IFERROR(IF($AQ83&gt;5,INDEX(Festivals!$V$2:$V$160,$AP83+5),""),"")</f>
        <v/>
      </c>
      <c r="AK83" t="str">
        <f>IFERROR(IF($AQ83&gt;6,INDEX(Festivals!$V$2:$V$160,$AP83+6),""),"")</f>
        <v/>
      </c>
      <c r="AL83" t="str">
        <f ca="1">IFERROR(INDEX('Holidays Calc'!$J$2:$J$233,MATCH(A83,'Holidays Calc'!$I$2:$I$233,0)),"")</f>
        <v/>
      </c>
      <c r="AM83" t="str">
        <f ca="1">IF(AR83="","",IF(INDEX('Holidays Calc'!$I$2:$I$233,AR83+1)=A83,INDEX('Holidays Calc'!$J$2:$J$233,AR83+1),""))</f>
        <v/>
      </c>
      <c r="AN83" t="str">
        <f ca="1">IF(AR83="","",IF(INDEX('Holidays Calc'!$I$2:$I$233,AR83+2)=A83,INDEX('Holidays Calc'!$J$2:$J$233,AR83+2),""))</f>
        <v/>
      </c>
      <c r="AO83" t="str">
        <f ca="1">IF(AR83="","",IF(INDEX('Holidays Calc'!$I$2:$I$233,AR83+3)=A83,INDEX('Holidays Calc'!$J$2:$J$233,AR83+3),""))</f>
        <v/>
      </c>
      <c r="AP83">
        <f>IFERROR(IF($E83=E82,"",MATCH($E83,Festivals!$H$2:$H$160,0)),"")</f>
        <v>138</v>
      </c>
      <c r="AQ83">
        <f>IF(AP83="","",COUNTIF(Festivals!$H$2:$H$160,$E83))</f>
        <v>1</v>
      </c>
      <c r="AR83" t="str">
        <f ca="1">IFERROR(MATCH(A83,'Holidays Calc'!$I$2:$I$233,0),"")</f>
        <v/>
      </c>
      <c r="AS83">
        <f t="shared" si="11"/>
        <v>1</v>
      </c>
      <c r="AT83">
        <f t="shared" si="10"/>
        <v>1</v>
      </c>
      <c r="AU83" t="str">
        <f t="shared" ca="1" si="12"/>
        <v/>
      </c>
      <c r="AV83">
        <f t="shared" ca="1" si="13"/>
        <v>1</v>
      </c>
    </row>
    <row r="84" spans="1:48" x14ac:dyDescent="0.25">
      <c r="A84" s="265">
        <f t="shared" si="7"/>
        <v>43510</v>
      </c>
      <c r="B84" s="265" t="str">
        <f t="shared" si="14"/>
        <v>14 Feb 2019</v>
      </c>
      <c r="C84" s="267">
        <f t="shared" si="15"/>
        <v>7</v>
      </c>
      <c r="D84">
        <f>MATCH(A84,GCalXMLT[daydate],0)</f>
        <v>83</v>
      </c>
      <c r="E84">
        <f>VALUE("1" &amp; Masacod(INDEX(GCalXMLT[gymasa],D84)) &amp; PaksaCod(INDEX(GCalXMLT[mpaksaid],D84)) &amp; TithiCod(INDEX(GCalXMLT[stithiname],D84)))</f>
        <v>111109</v>
      </c>
      <c r="F84" t="str">
        <f ca="1">INDEX(Parameters!$K$2:$K$16,MATCH(AV84,Parameters!$L$2:$L$16,0))</f>
        <v>C</v>
      </c>
      <c r="G84">
        <f>INDEX(GCalXMLT[fastmark],$D84)</f>
        <v>0</v>
      </c>
      <c r="H84" t="str">
        <f ca="1">INDEX(Parameters!$J$2:$J$16,MATCH(AV84,Parameters!$L$2:$L$16,0))</f>
        <v/>
      </c>
      <c r="I84">
        <f>INDEX(GCalXMLT[dfestival1],$D84)</f>
        <v>0</v>
      </c>
      <c r="J84">
        <f>IF(INDEX(GCalXMLT[dfestival2],$D84)="(Fast today)",INDEX(Festivals!$R$2:$R$180,MATCH($I84,Festivals!$R$2:$R$180,0)+1),INDEX(GCalXMLT[dfestival2],$D84))</f>
        <v>0</v>
      </c>
      <c r="K84">
        <f>IF(I84="Nandotsava","(Fast till noon)",INDEX(GCalXMLT[dfestival3],$D84))</f>
        <v>0</v>
      </c>
      <c r="L84">
        <f>IF(I84="Nandotsava", INDEX(GCalXMLT[dfestival3],$D84),INDEX(GCalXMLT[dfestival4],$D84))</f>
        <v>0</v>
      </c>
      <c r="M84" t="str">
        <f>IFERROR(INDEX(Festivals!$S$2:$S$160,AP84),"")</f>
        <v>Sri Madhvacarya - Disappearance</v>
      </c>
      <c r="N84" t="str">
        <f>IFERROR(IF($AQ84&gt;1,INDEX(Festivals!$S$2:$S$160,$AP84+1),""),"")</f>
        <v/>
      </c>
      <c r="O84" t="str">
        <f>IFERROR(IF($AQ84&gt;2,INDEX(Festivals!$S$2:$S$160,$AP84+2),""),"")</f>
        <v/>
      </c>
      <c r="P84" t="str">
        <f>IFERROR(IF($AQ84&gt;3,INDEX(Festivals!$S$2:$S$160,$AP84+3),""),"")</f>
        <v/>
      </c>
      <c r="Q84" t="str">
        <f>IFERROR(IF($AQ84&gt;4,INDEX(Festivals!$S$2:$S$160,$AP84+4),""),"")</f>
        <v/>
      </c>
      <c r="R84" t="str">
        <f>IFERROR(IF($AQ84&gt;5,INDEX(Festivals!$S$2:$S$160,$AP84+5),""),"")</f>
        <v/>
      </c>
      <c r="S84" t="str">
        <f>IFERROR(IF($AQ84&gt;6,INDEX(Festivals!$S$2:$S$160,$AP84+6),""),"")</f>
        <v/>
      </c>
      <c r="T84">
        <f>INDEX(GCalXMLT[dcaturmasya1],$D84)</f>
        <v>0</v>
      </c>
      <c r="U84">
        <f>INDEX(GCalXMLT[dcaturmasya2],$D84)</f>
        <v>0</v>
      </c>
      <c r="V84" t="str">
        <f>INDEX(GCalXMLT[sankrantirasi],$D84) &amp; " " &amp; INDEX(GCalXMLT[sankrantitime],$D84)</f>
        <v xml:space="preserve"> </v>
      </c>
      <c r="W84" t="str">
        <f ca="1">IFERROR(INDEX('Holidays Calc'!$K$2:$K$233,AR84),"")</f>
        <v/>
      </c>
      <c r="X84" t="str">
        <f ca="1">IF(AR84="","",IF(INDEX('Holidays Calc'!$I$2:$I$233,AR84+1)=A84,INDEX('Holidays Calc'!$K$2:$K$233,AR84+1),""))</f>
        <v/>
      </c>
      <c r="Y84" t="str">
        <f ca="1">IF(AR84="","",IF(INDEX('Holidays Calc'!$I$2:$I$233,AR84+2)=A84,INDEX('Holidays Calc'!$K$2:$K$233,AR84+2),""))</f>
        <v/>
      </c>
      <c r="Z84" t="str">
        <f ca="1">IF(AR84="","",IF(INDEX('Holidays Calc'!$I$2:$I$233,AR84+3)=A84,INDEX('Holidays Calc'!$K$2:$K$2333,AR84+3),""))</f>
        <v/>
      </c>
      <c r="AA84" t="str">
        <f>IF(I84="Last day of Bhisma Pancaka","",IF(G84="*",-0.7,IF(ISBLANK(INDEX(GCalXMLT[dclass1],$D84)),"",INDEX(GCalXMLT[dclass1],$D84))))</f>
        <v/>
      </c>
      <c r="AB84" t="str">
        <f>IF(J84="First day of Bhisma Pancaka","",IF(AND(G84="*",NOT(ISERROR(SEARCH("ekadasi",J84)))),-0.7,IF(ISBLANK(INDEX(GCalXMLT[dclass2],$D84)),"",INDEX(GCalXMLT[dclass2],$D84))))</f>
        <v/>
      </c>
      <c r="AC84" t="str">
        <f>IF(I84="Nandotsava",-1,IF(ISBLANK(INDEX(GCalXMLT[dclass3],$D84)),"",INDEX(GCalXMLT[dclass3],$D84)))</f>
        <v/>
      </c>
      <c r="AD84" t="str">
        <f>IF(I84="Nandotsava",IF(ISBLANK(INDEX(GCalXMLT[dclass3],$D84)),"",INDEX(GCalXMLT[dclass3],$D84)),IF(ISBLANK(INDEX(GCalXMLT[dclass4],$D84)),"",INDEX(GCalXMLT[dclass4],$D84)))</f>
        <v/>
      </c>
      <c r="AE84">
        <f>IFERROR(INDEX(Festivals!$V$2:$V$160,AP84),"")</f>
        <v>3</v>
      </c>
      <c r="AF84" t="str">
        <f>IFERROR(IF($AQ84&gt;1,INDEX(Festivals!$V$2:$V$160,$AP84+1),""),"")</f>
        <v/>
      </c>
      <c r="AG84" t="str">
        <f>IFERROR(IF($AQ84&gt;2,INDEX(Festivals!$V$2:$V$160,$AP84+2),""),"")</f>
        <v/>
      </c>
      <c r="AH84" t="str">
        <f>IFERROR(IF($AQ84&gt;3,INDEX(Festivals!$V$2:$V$160,$AP84+3),""),"")</f>
        <v/>
      </c>
      <c r="AI84" t="str">
        <f>IFERROR(IF($AQ84&gt;4,INDEX(Festivals!$V$2:$V$160,$AP84+4),""),"")</f>
        <v/>
      </c>
      <c r="AJ84" t="str">
        <f>IFERROR(IF($AQ84&gt;5,INDEX(Festivals!$V$2:$V$160,$AP84+5),""),"")</f>
        <v/>
      </c>
      <c r="AK84" t="str">
        <f>IFERROR(IF($AQ84&gt;6,INDEX(Festivals!$V$2:$V$160,$AP84+6),""),"")</f>
        <v/>
      </c>
      <c r="AL84" t="str">
        <f ca="1">IFERROR(INDEX('Holidays Calc'!$J$2:$J$233,MATCH(A84,'Holidays Calc'!$I$2:$I$233,0)),"")</f>
        <v/>
      </c>
      <c r="AM84" t="str">
        <f ca="1">IF(AR84="","",IF(INDEX('Holidays Calc'!$I$2:$I$233,AR84+1)=A84,INDEX('Holidays Calc'!$J$2:$J$233,AR84+1),""))</f>
        <v/>
      </c>
      <c r="AN84" t="str">
        <f ca="1">IF(AR84="","",IF(INDEX('Holidays Calc'!$I$2:$I$233,AR84+2)=A84,INDEX('Holidays Calc'!$J$2:$J$233,AR84+2),""))</f>
        <v/>
      </c>
      <c r="AO84" t="str">
        <f ca="1">IF(AR84="","",IF(INDEX('Holidays Calc'!$I$2:$I$233,AR84+3)=A84,INDEX('Holidays Calc'!$J$2:$J$233,AR84+3),""))</f>
        <v/>
      </c>
      <c r="AP84">
        <f>IFERROR(IF($E84=E83,"",MATCH($E84,Festivals!$H$2:$H$160,0)),"")</f>
        <v>139</v>
      </c>
      <c r="AQ84">
        <f>IF(AP84="","",COUNTIF(Festivals!$H$2:$H$160,$E84))</f>
        <v>1</v>
      </c>
      <c r="AR84" t="str">
        <f ca="1">IFERROR(MATCH(A84,'Holidays Calc'!$I$2:$I$233,0),"")</f>
        <v/>
      </c>
      <c r="AS84">
        <f t="shared" si="11"/>
        <v>3</v>
      </c>
      <c r="AT84">
        <f t="shared" si="10"/>
        <v>3</v>
      </c>
      <c r="AU84" t="str">
        <f t="shared" ca="1" si="12"/>
        <v/>
      </c>
      <c r="AV84">
        <f t="shared" ca="1" si="13"/>
        <v>3</v>
      </c>
    </row>
    <row r="85" spans="1:48" x14ac:dyDescent="0.25">
      <c r="A85" s="265">
        <f t="shared" si="7"/>
        <v>43511</v>
      </c>
      <c r="B85" s="265" t="str">
        <f t="shared" si="14"/>
        <v>15 Feb 2019</v>
      </c>
      <c r="C85" s="267">
        <f t="shared" si="15"/>
        <v>7</v>
      </c>
      <c r="D85">
        <f>MATCH(A85,GCalXMLT[daydate],0)</f>
        <v>84</v>
      </c>
      <c r="E85">
        <f>VALUE("1" &amp; Masacod(INDEX(GCalXMLT[gymasa],D85)) &amp; PaksaCod(INDEX(GCalXMLT[mpaksaid],D85)) &amp; TithiCod(INDEX(GCalXMLT[stithiname],D85)))</f>
        <v>111111</v>
      </c>
      <c r="F85" t="str">
        <f ca="1">INDEX(Parameters!$K$2:$K$16,MATCH(AV85,Parameters!$L$2:$L$16,0))</f>
        <v>C</v>
      </c>
      <c r="G85">
        <f>INDEX(GCalXMLT[fastmark],$D85)</f>
        <v>0</v>
      </c>
      <c r="H85" t="str">
        <f ca="1">INDEX(Parameters!$J$2:$J$16,MATCH(AV85,Parameters!$L$2:$L$16,0))</f>
        <v/>
      </c>
      <c r="I85">
        <f>INDEX(GCalXMLT[dfestival1],$D85)</f>
        <v>0</v>
      </c>
      <c r="J85">
        <f>IF(INDEX(GCalXMLT[dfestival2],$D85)="(Fast today)",INDEX(Festivals!$R$2:$R$180,MATCH($I85,Festivals!$R$2:$R$180,0)+1),INDEX(GCalXMLT[dfestival2],$D85))</f>
        <v>0</v>
      </c>
      <c r="K85">
        <f>IF(I85="Nandotsava","(Fast till noon)",INDEX(GCalXMLT[dfestival3],$D85))</f>
        <v>0</v>
      </c>
      <c r="L85">
        <f>IF(I85="Nandotsava", INDEX(GCalXMLT[dfestival3],$D85),INDEX(GCalXMLT[dfestival4],$D85))</f>
        <v>0</v>
      </c>
      <c r="M85" t="str">
        <f>IFERROR(INDEX(Festivals!$S$2:$S$160,AP85),"")</f>
        <v>Sri Ramanujacarya - Disappearance</v>
      </c>
      <c r="N85">
        <f>IFERROR(IF($AQ85&gt;1,INDEX(Festivals!$S$2:$S$160,$AP85+1),""),"")</f>
        <v>0</v>
      </c>
      <c r="O85" t="str">
        <f>IFERROR(IF($AQ85&gt;2,INDEX(Festivals!$S$2:$S$160,$AP85+2),""),"")</f>
        <v/>
      </c>
      <c r="P85" t="str">
        <f>IFERROR(IF($AQ85&gt;3,INDEX(Festivals!$S$2:$S$160,$AP85+3),""),"")</f>
        <v/>
      </c>
      <c r="Q85" t="str">
        <f>IFERROR(IF($AQ85&gt;4,INDEX(Festivals!$S$2:$S$160,$AP85+4),""),"")</f>
        <v/>
      </c>
      <c r="R85" t="str">
        <f>IFERROR(IF($AQ85&gt;5,INDEX(Festivals!$S$2:$S$160,$AP85+5),""),"")</f>
        <v/>
      </c>
      <c r="S85" t="str">
        <f>IFERROR(IF($AQ85&gt;6,INDEX(Festivals!$S$2:$S$160,$AP85+6),""),"")</f>
        <v/>
      </c>
      <c r="T85">
        <f>INDEX(GCalXMLT[dcaturmasya1],$D85)</f>
        <v>0</v>
      </c>
      <c r="U85">
        <f>INDEX(GCalXMLT[dcaturmasya2],$D85)</f>
        <v>0</v>
      </c>
      <c r="V85" t="str">
        <f>INDEX(GCalXMLT[sankrantirasi],$D85) &amp; " " &amp; INDEX(GCalXMLT[sankrantitime],$D85)</f>
        <v xml:space="preserve"> </v>
      </c>
      <c r="W85" t="str">
        <f ca="1">IFERROR(INDEX('Holidays Calc'!$K$2:$K$233,AR85),"")</f>
        <v/>
      </c>
      <c r="X85" t="str">
        <f ca="1">IF(AR85="","",IF(INDEX('Holidays Calc'!$I$2:$I$233,AR85+1)=A85,INDEX('Holidays Calc'!$K$2:$K$233,AR85+1),""))</f>
        <v/>
      </c>
      <c r="Y85" t="str">
        <f ca="1">IF(AR85="","",IF(INDEX('Holidays Calc'!$I$2:$I$233,AR85+2)=A85,INDEX('Holidays Calc'!$K$2:$K$233,AR85+2),""))</f>
        <v/>
      </c>
      <c r="Z85" t="str">
        <f ca="1">IF(AR85="","",IF(INDEX('Holidays Calc'!$I$2:$I$233,AR85+3)=A85,INDEX('Holidays Calc'!$K$2:$K$2333,AR85+3),""))</f>
        <v/>
      </c>
      <c r="AA85" t="str">
        <f>IF(I85="Last day of Bhisma Pancaka","",IF(G85="*",-0.7,IF(ISBLANK(INDEX(GCalXMLT[dclass1],$D85)),"",INDEX(GCalXMLT[dclass1],$D85))))</f>
        <v/>
      </c>
      <c r="AB85" t="str">
        <f>IF(J85="First day of Bhisma Pancaka","",IF(AND(G85="*",NOT(ISERROR(SEARCH("ekadasi",J85)))),-0.7,IF(ISBLANK(INDEX(GCalXMLT[dclass2],$D85)),"",INDEX(GCalXMLT[dclass2],$D85))))</f>
        <v/>
      </c>
      <c r="AC85" t="str">
        <f>IF(I85="Nandotsava",-1,IF(ISBLANK(INDEX(GCalXMLT[dclass3],$D85)),"",INDEX(GCalXMLT[dclass3],$D85)))</f>
        <v/>
      </c>
      <c r="AD85" t="str">
        <f>IF(I85="Nandotsava",IF(ISBLANK(INDEX(GCalXMLT[dclass3],$D85)),"",INDEX(GCalXMLT[dclass3],$D85)),IF(ISBLANK(INDEX(GCalXMLT[dclass4],$D85)),"",INDEX(GCalXMLT[dclass4],$D85)))</f>
        <v/>
      </c>
      <c r="AE85">
        <f>IFERROR(INDEX(Festivals!$V$2:$V$160,AP85),"")</f>
        <v>3</v>
      </c>
      <c r="AF85">
        <f>IFERROR(IF($AQ85&gt;1,INDEX(Festivals!$V$2:$V$160,$AP85+1),""),"")</f>
        <v>0</v>
      </c>
      <c r="AG85" t="str">
        <f>IFERROR(IF($AQ85&gt;2,INDEX(Festivals!$V$2:$V$160,$AP85+2),""),"")</f>
        <v/>
      </c>
      <c r="AH85" t="str">
        <f>IFERROR(IF($AQ85&gt;3,INDEX(Festivals!$V$2:$V$160,$AP85+3),""),"")</f>
        <v/>
      </c>
      <c r="AI85" t="str">
        <f>IFERROR(IF($AQ85&gt;4,INDEX(Festivals!$V$2:$V$160,$AP85+4),""),"")</f>
        <v/>
      </c>
      <c r="AJ85" t="str">
        <f>IFERROR(IF($AQ85&gt;5,INDEX(Festivals!$V$2:$V$160,$AP85+5),""),"")</f>
        <v/>
      </c>
      <c r="AK85" t="str">
        <f>IFERROR(IF($AQ85&gt;6,INDEX(Festivals!$V$2:$V$160,$AP85+6),""),"")</f>
        <v/>
      </c>
      <c r="AL85" t="str">
        <f ca="1">IFERROR(INDEX('Holidays Calc'!$J$2:$J$233,MATCH(A85,'Holidays Calc'!$I$2:$I$233,0)),"")</f>
        <v/>
      </c>
      <c r="AM85" t="str">
        <f ca="1">IF(AR85="","",IF(INDEX('Holidays Calc'!$I$2:$I$233,AR85+1)=A85,INDEX('Holidays Calc'!$J$2:$J$233,AR85+1),""))</f>
        <v/>
      </c>
      <c r="AN85" t="str">
        <f ca="1">IF(AR85="","",IF(INDEX('Holidays Calc'!$I$2:$I$233,AR85+2)=A85,INDEX('Holidays Calc'!$J$2:$J$233,AR85+2),""))</f>
        <v/>
      </c>
      <c r="AO85" t="str">
        <f ca="1">IF(AR85="","",IF(INDEX('Holidays Calc'!$I$2:$I$233,AR85+3)=A85,INDEX('Holidays Calc'!$J$2:$J$233,AR85+3),""))</f>
        <v/>
      </c>
      <c r="AP85">
        <f>IFERROR(IF($E85=E84,"",MATCH($E85,Festivals!$H$2:$H$160,0)),"")</f>
        <v>140</v>
      </c>
      <c r="AQ85">
        <f>IF(AP85="","",COUNTIF(Festivals!$H$2:$H$160,$E85))</f>
        <v>2</v>
      </c>
      <c r="AR85" t="str">
        <f ca="1">IFERROR(MATCH(A85,'Holidays Calc'!$I$2:$I$233,0),"")</f>
        <v/>
      </c>
      <c r="AS85">
        <f t="shared" si="11"/>
        <v>0</v>
      </c>
      <c r="AT85">
        <f t="shared" si="10"/>
        <v>0</v>
      </c>
      <c r="AU85" t="str">
        <f t="shared" ca="1" si="12"/>
        <v/>
      </c>
      <c r="AV85">
        <f t="shared" ca="1" si="13"/>
        <v>0</v>
      </c>
    </row>
    <row r="86" spans="1:48" x14ac:dyDescent="0.25">
      <c r="A86" s="265">
        <f t="shared" si="7"/>
        <v>43512</v>
      </c>
      <c r="B86" s="265" t="str">
        <f t="shared" si="14"/>
        <v>16 Feb 2019</v>
      </c>
      <c r="C86" s="267">
        <f t="shared" si="15"/>
        <v>7</v>
      </c>
      <c r="D86">
        <f>MATCH(A86,GCalXMLT[daydate],0)</f>
        <v>85</v>
      </c>
      <c r="E86">
        <f>VALUE("1" &amp; Masacod(INDEX(GCalXMLT[gymasa],D86)) &amp; PaksaCod(INDEX(GCalXMLT[mpaksaid],D86)) &amp; TithiCod(INDEX(GCalXMLT[stithiname],D86)))</f>
        <v>111112</v>
      </c>
      <c r="F86" t="str">
        <f ca="1">INDEX(Parameters!$K$2:$K$16,MATCH(AV86,Parameters!$L$2:$L$16,0))</f>
        <v>K</v>
      </c>
      <c r="G86" t="str">
        <f>INDEX(GCalXMLT[fastmark],$D86)</f>
        <v>*</v>
      </c>
      <c r="H86" t="str">
        <f ca="1">INDEX(Parameters!$J$2:$J$16,MATCH(AV86,Parameters!$L$2:$L$16,0))</f>
        <v>*</v>
      </c>
      <c r="I86" t="str">
        <f>INDEX(GCalXMLT[dfestival1],$D86)</f>
        <v>Fasting for Bhaimi Ekadasi</v>
      </c>
      <c r="J86">
        <f>IF(INDEX(GCalXMLT[dfestival2],$D86)="(Fast today)",INDEX(Festivals!$R$2:$R$180,MATCH($I86,Festivals!$R$2:$R$180,0)+1),INDEX(GCalXMLT[dfestival2],$D86))</f>
        <v>0</v>
      </c>
      <c r="K86">
        <f>IF(I86="Nandotsava","(Fast till noon)",INDEX(GCalXMLT[dfestival3],$D86))</f>
        <v>0</v>
      </c>
      <c r="L86">
        <f>IF(I86="Nandotsava", INDEX(GCalXMLT[dfestival3],$D86),INDEX(GCalXMLT[dfestival4],$D86))</f>
        <v>0</v>
      </c>
      <c r="M86" t="str">
        <f>IFERROR(INDEX(Festivals!$S$2:$S$160,AP86),"")</f>
        <v>Varaha Dvadasi: Appearance of Lord Varahadeva</v>
      </c>
      <c r="N86" t="str">
        <f>IFERROR(IF($AQ86&gt;1,INDEX(Festivals!$S$2:$S$160,$AP86+1),""),"")</f>
        <v>(Fast till noon for Varahadeva, with feast tomorrow)</v>
      </c>
      <c r="O86" t="str">
        <f>IFERROR(IF($AQ86&gt;2,INDEX(Festivals!$S$2:$S$160,$AP86+2),""),"")</f>
        <v>(Fast till noon for Sri Nityananda, with feast tomorrow)</v>
      </c>
      <c r="P86" t="str">
        <f>IFERROR(IF($AQ86&gt;3,INDEX(Festivals!$S$2:$S$160,$AP86+3),""),"")</f>
        <v/>
      </c>
      <c r="Q86" t="str">
        <f>IFERROR(IF($AQ86&gt;4,INDEX(Festivals!$S$2:$S$160,$AP86+4),""),"")</f>
        <v/>
      </c>
      <c r="R86" t="str">
        <f>IFERROR(IF($AQ86&gt;5,INDEX(Festivals!$S$2:$S$160,$AP86+5),""),"")</f>
        <v/>
      </c>
      <c r="S86" t="str">
        <f>IFERROR(IF($AQ86&gt;6,INDEX(Festivals!$S$2:$S$160,$AP86+6),""),"")</f>
        <v/>
      </c>
      <c r="T86">
        <f>INDEX(GCalXMLT[dcaturmasya1],$D86)</f>
        <v>0</v>
      </c>
      <c r="U86">
        <f>INDEX(GCalXMLT[dcaturmasya2],$D86)</f>
        <v>0</v>
      </c>
      <c r="V86" t="str">
        <f>INDEX(GCalXMLT[sankrantirasi],$D86) &amp; " " &amp; INDEX(GCalXMLT[sankrantitime],$D86)</f>
        <v xml:space="preserve"> </v>
      </c>
      <c r="W86" t="str">
        <f ca="1">IFERROR(INDEX('Holidays Calc'!$K$2:$K$233,AR86),"")</f>
        <v/>
      </c>
      <c r="X86" t="str">
        <f ca="1">IF(AR86="","",IF(INDEX('Holidays Calc'!$I$2:$I$233,AR86+1)=A86,INDEX('Holidays Calc'!$K$2:$K$233,AR86+1),""))</f>
        <v/>
      </c>
      <c r="Y86" t="str">
        <f ca="1">IF(AR86="","",IF(INDEX('Holidays Calc'!$I$2:$I$233,AR86+2)=A86,INDEX('Holidays Calc'!$K$2:$K$233,AR86+2),""))</f>
        <v/>
      </c>
      <c r="Z86" t="str">
        <f ca="1">IF(AR86="","",IF(INDEX('Holidays Calc'!$I$2:$I$233,AR86+3)=A86,INDEX('Holidays Calc'!$K$2:$K$2333,AR86+3),""))</f>
        <v/>
      </c>
      <c r="AA86">
        <f>IF(I86="Last day of Bhisma Pancaka","",IF(G86="*",-0.7,IF(ISBLANK(INDEX(GCalXMLT[dclass1],$D86)),"",INDEX(GCalXMLT[dclass1],$D86))))</f>
        <v>-0.7</v>
      </c>
      <c r="AB86" t="str">
        <f>IF(J86="First day of Bhisma Pancaka","",IF(AND(G86="*",NOT(ISERROR(SEARCH("ekadasi",J86)))),-0.7,IF(ISBLANK(INDEX(GCalXMLT[dclass2],$D86)),"",INDEX(GCalXMLT[dclass2],$D86))))</f>
        <v/>
      </c>
      <c r="AC86" t="str">
        <f>IF(I86="Nandotsava",-1,IF(ISBLANK(INDEX(GCalXMLT[dclass3],$D86)),"",INDEX(GCalXMLT[dclass3],$D86)))</f>
        <v/>
      </c>
      <c r="AD86" t="str">
        <f>IF(I86="Nandotsava",IF(ISBLANK(INDEX(GCalXMLT[dclass3],$D86)),"",INDEX(GCalXMLT[dclass3],$D86)),IF(ISBLANK(INDEX(GCalXMLT[dclass4],$D86)),"",INDEX(GCalXMLT[dclass4],$D86)))</f>
        <v/>
      </c>
      <c r="AE86">
        <f>IFERROR(INDEX(Festivals!$V$2:$V$160,AP86),"")</f>
        <v>0</v>
      </c>
      <c r="AF86">
        <f>IFERROR(IF($AQ86&gt;1,INDEX(Festivals!$V$2:$V$160,$AP86+1),""),"")</f>
        <v>-1</v>
      </c>
      <c r="AG86" t="str">
        <f>IFERROR(IF($AQ86&gt;2,INDEX(Festivals!$V$2:$V$160,$AP86+2),""),"")</f>
        <v>---</v>
      </c>
      <c r="AH86" t="str">
        <f>IFERROR(IF($AQ86&gt;3,INDEX(Festivals!$V$2:$V$160,$AP86+3),""),"")</f>
        <v/>
      </c>
      <c r="AI86" t="str">
        <f>IFERROR(IF($AQ86&gt;4,INDEX(Festivals!$V$2:$V$160,$AP86+4),""),"")</f>
        <v/>
      </c>
      <c r="AJ86" t="str">
        <f>IFERROR(IF($AQ86&gt;5,INDEX(Festivals!$V$2:$V$160,$AP86+5),""),"")</f>
        <v/>
      </c>
      <c r="AK86" t="str">
        <f>IFERROR(IF($AQ86&gt;6,INDEX(Festivals!$V$2:$V$160,$AP86+6),""),"")</f>
        <v/>
      </c>
      <c r="AL86" t="str">
        <f ca="1">IFERROR(INDEX('Holidays Calc'!$J$2:$J$233,MATCH(A86,'Holidays Calc'!$I$2:$I$233,0)),"")</f>
        <v/>
      </c>
      <c r="AM86" t="str">
        <f ca="1">IF(AR86="","",IF(INDEX('Holidays Calc'!$I$2:$I$233,AR86+1)=A86,INDEX('Holidays Calc'!$J$2:$J$233,AR86+1),""))</f>
        <v/>
      </c>
      <c r="AN86" t="str">
        <f ca="1">IF(AR86="","",IF(INDEX('Holidays Calc'!$I$2:$I$233,AR86+2)=A86,INDEX('Holidays Calc'!$J$2:$J$233,AR86+2),""))</f>
        <v/>
      </c>
      <c r="AO86" t="str">
        <f ca="1">IF(AR86="","",IF(INDEX('Holidays Calc'!$I$2:$I$233,AR86+3)=A86,INDEX('Holidays Calc'!$J$2:$J$233,AR86+3),""))</f>
        <v/>
      </c>
      <c r="AP86">
        <f>IFERROR(IF($E86=E85,"",MATCH($E86,Festivals!$H$2:$H$160,0)),"")</f>
        <v>143</v>
      </c>
      <c r="AQ86">
        <f>IF(AP86="","",COUNTIF(Festivals!$H$2:$H$160,$E86))</f>
        <v>3</v>
      </c>
      <c r="AR86" t="str">
        <f ca="1">IFERROR(MATCH(A86,'Holidays Calc'!$I$2:$I$233,0),"")</f>
        <v/>
      </c>
      <c r="AS86">
        <f t="shared" si="11"/>
        <v>-1</v>
      </c>
      <c r="AT86">
        <f t="shared" si="10"/>
        <v>-2</v>
      </c>
      <c r="AU86" t="str">
        <f t="shared" ca="1" si="12"/>
        <v/>
      </c>
      <c r="AV86">
        <f t="shared" ca="1" si="13"/>
        <v>-2</v>
      </c>
    </row>
    <row r="87" spans="1:48" x14ac:dyDescent="0.25">
      <c r="A87" s="265">
        <f t="shared" si="7"/>
        <v>43513</v>
      </c>
      <c r="B87" s="265" t="str">
        <f t="shared" si="14"/>
        <v>17 Feb 2019</v>
      </c>
      <c r="C87" s="267">
        <f t="shared" si="15"/>
        <v>7</v>
      </c>
      <c r="D87">
        <f>MATCH(A87,GCalXMLT[daydate],0)</f>
        <v>86</v>
      </c>
      <c r="E87">
        <f>VALUE("1" &amp; Masacod(INDEX(GCalXMLT[gymasa],D87)) &amp; PaksaCod(INDEX(GCalXMLT[mpaksaid],D87)) &amp; TithiCod(INDEX(GCalXMLT[stithiname],D87)))</f>
        <v>111113</v>
      </c>
      <c r="F87" t="str">
        <f ca="1">INDEX(Parameters!$K$2:$K$16,MATCH(AV87,Parameters!$L$2:$L$16,0))</f>
        <v>F</v>
      </c>
      <c r="G87">
        <f>INDEX(GCalXMLT[fastmark],$D87)</f>
        <v>0</v>
      </c>
      <c r="H87" t="str">
        <f ca="1">INDEX(Parameters!$J$2:$J$16,MATCH(AV87,Parameters!$L$2:$L$16,0))</f>
        <v/>
      </c>
      <c r="I87">
        <f>INDEX(GCalXMLT[dfestival1],$D87)</f>
        <v>0</v>
      </c>
      <c r="J87">
        <f>IF(INDEX(GCalXMLT[dfestival2],$D87)="(Fast today)",INDEX(Festivals!$R$2:$R$180,MATCH($I87,Festivals!$R$2:$R$180,0)+1),INDEX(GCalXMLT[dfestival2],$D87))</f>
        <v>0</v>
      </c>
      <c r="K87">
        <f>IF(I87="Nandotsava","(Fast till noon)",INDEX(GCalXMLT[dfestival3],$D87))</f>
        <v>0</v>
      </c>
      <c r="L87">
        <f>IF(I87="Nandotsava", INDEX(GCalXMLT[dfestival3],$D87),INDEX(GCalXMLT[dfestival4],$D87))</f>
        <v>0</v>
      </c>
      <c r="M87" t="str">
        <f>IFERROR(INDEX(Festivals!$S$2:$S$160,AP87),"")</f>
        <v>Nityananda Trayodasi: Appearance of Sri Nityananda Prabhu</v>
      </c>
      <c r="N87" t="str">
        <f>IFERROR(IF($AQ87&gt;1,INDEX(Festivals!$S$2:$S$160,$AP87+1),""),"")</f>
        <v>(Fasting is done yesterday, today is feast)</v>
      </c>
      <c r="O87" t="str">
        <f>IFERROR(IF($AQ87&gt;2,INDEX(Festivals!$S$2:$S$160,$AP87+2),""),"")</f>
        <v/>
      </c>
      <c r="P87" t="str">
        <f>IFERROR(IF($AQ87&gt;3,INDEX(Festivals!$S$2:$S$160,$AP87+3),""),"")</f>
        <v/>
      </c>
      <c r="Q87" t="str">
        <f>IFERROR(IF($AQ87&gt;4,INDEX(Festivals!$S$2:$S$160,$AP87+4),""),"")</f>
        <v/>
      </c>
      <c r="R87" t="str">
        <f>IFERROR(IF($AQ87&gt;5,INDEX(Festivals!$S$2:$S$160,$AP87+5),""),"")</f>
        <v/>
      </c>
      <c r="S87" t="str">
        <f>IFERROR(IF($AQ87&gt;6,INDEX(Festivals!$S$2:$S$160,$AP87+6),""),"")</f>
        <v/>
      </c>
      <c r="T87">
        <f>INDEX(GCalXMLT[dcaturmasya1],$D87)</f>
        <v>0</v>
      </c>
      <c r="U87">
        <f>INDEX(GCalXMLT[dcaturmasya2],$D87)</f>
        <v>0</v>
      </c>
      <c r="V87" t="str">
        <f>INDEX(GCalXMLT[sankrantirasi],$D87) &amp; " " &amp; INDEX(GCalXMLT[sankrantitime],$D87)</f>
        <v xml:space="preserve"> </v>
      </c>
      <c r="W87" t="str">
        <f ca="1">IFERROR(INDEX('Holidays Calc'!$K$2:$K$233,AR87),"")</f>
        <v/>
      </c>
      <c r="X87" t="str">
        <f ca="1">IF(AR87="","",IF(INDEX('Holidays Calc'!$I$2:$I$233,AR87+1)=A87,INDEX('Holidays Calc'!$K$2:$K$233,AR87+1),""))</f>
        <v/>
      </c>
      <c r="Y87" t="str">
        <f ca="1">IF(AR87="","",IF(INDEX('Holidays Calc'!$I$2:$I$233,AR87+2)=A87,INDEX('Holidays Calc'!$K$2:$K$233,AR87+2),""))</f>
        <v/>
      </c>
      <c r="Z87" t="str">
        <f ca="1">IF(AR87="","",IF(INDEX('Holidays Calc'!$I$2:$I$233,AR87+3)=A87,INDEX('Holidays Calc'!$K$2:$K$2333,AR87+3),""))</f>
        <v/>
      </c>
      <c r="AA87" t="str">
        <f>IF(I87="Last day of Bhisma Pancaka","",IF(G87="*",-0.7,IF(ISBLANK(INDEX(GCalXMLT[dclass1],$D87)),"",INDEX(GCalXMLT[dclass1],$D87))))</f>
        <v/>
      </c>
      <c r="AB87" t="str">
        <f>IF(J87="First day of Bhisma Pancaka","",IF(AND(G87="*",NOT(ISERROR(SEARCH("ekadasi",J87)))),-0.7,IF(ISBLANK(INDEX(GCalXMLT[dclass2],$D87)),"",INDEX(GCalXMLT[dclass2],$D87))))</f>
        <v/>
      </c>
      <c r="AC87" t="str">
        <f>IF(I87="Nandotsava",-1,IF(ISBLANK(INDEX(GCalXMLT[dclass3],$D87)),"",INDEX(GCalXMLT[dclass3],$D87)))</f>
        <v/>
      </c>
      <c r="AD87" t="str">
        <f>IF(I87="Nandotsava",IF(ISBLANK(INDEX(GCalXMLT[dclass3],$D87)),"",INDEX(GCalXMLT[dclass3],$D87)),IF(ISBLANK(INDEX(GCalXMLT[dclass4],$D87)),"",INDEX(GCalXMLT[dclass4],$D87)))</f>
        <v/>
      </c>
      <c r="AE87">
        <f>IFERROR(INDEX(Festivals!$V$2:$V$160,AP87),"")</f>
        <v>0</v>
      </c>
      <c r="AF87">
        <f>IFERROR(IF($AQ87&gt;1,INDEX(Festivals!$V$2:$V$160,$AP87+1),""),"")</f>
        <v>-1</v>
      </c>
      <c r="AG87" t="str">
        <f>IFERROR(IF($AQ87&gt;2,INDEX(Festivals!$V$2:$V$160,$AP87+2),""),"")</f>
        <v/>
      </c>
      <c r="AH87" t="str">
        <f>IFERROR(IF($AQ87&gt;3,INDEX(Festivals!$V$2:$V$160,$AP87+3),""),"")</f>
        <v/>
      </c>
      <c r="AI87" t="str">
        <f>IFERROR(IF($AQ87&gt;4,INDEX(Festivals!$V$2:$V$160,$AP87+4),""),"")</f>
        <v/>
      </c>
      <c r="AJ87" t="str">
        <f>IFERROR(IF($AQ87&gt;5,INDEX(Festivals!$V$2:$V$160,$AP87+5),""),"")</f>
        <v/>
      </c>
      <c r="AK87" t="str">
        <f>IFERROR(IF($AQ87&gt;6,INDEX(Festivals!$V$2:$V$160,$AP87+6),""),"")</f>
        <v/>
      </c>
      <c r="AL87" t="str">
        <f ca="1">IFERROR(INDEX('Holidays Calc'!$J$2:$J$233,MATCH(A87,'Holidays Calc'!$I$2:$I$233,0)),"")</f>
        <v/>
      </c>
      <c r="AM87" t="str">
        <f ca="1">IF(AR87="","",IF(INDEX('Holidays Calc'!$I$2:$I$233,AR87+1)=A87,INDEX('Holidays Calc'!$J$2:$J$233,AR87+1),""))</f>
        <v/>
      </c>
      <c r="AN87" t="str">
        <f ca="1">IF(AR87="","",IF(INDEX('Holidays Calc'!$I$2:$I$233,AR87+2)=A87,INDEX('Holidays Calc'!$J$2:$J$233,AR87+2),""))</f>
        <v/>
      </c>
      <c r="AO87" t="str">
        <f ca="1">IF(AR87="","",IF(INDEX('Holidays Calc'!$I$2:$I$233,AR87+3)=A87,INDEX('Holidays Calc'!$J$2:$J$233,AR87+3),""))</f>
        <v/>
      </c>
      <c r="AP87">
        <f>IFERROR(IF($E87=E86,"",MATCH($E87,Festivals!$H$2:$H$160,0)),"")</f>
        <v>146</v>
      </c>
      <c r="AQ87">
        <f>IF(AP87="","",COUNTIF(Festivals!$H$2:$H$160,$E87))</f>
        <v>2</v>
      </c>
      <c r="AR87" t="str">
        <f ca="1">IFERROR(MATCH(A87,'Holidays Calc'!$I$2:$I$233,0),"")</f>
        <v/>
      </c>
      <c r="AS87">
        <f t="shared" si="11"/>
        <v>-1</v>
      </c>
      <c r="AT87">
        <f t="shared" si="10"/>
        <v>-0.3</v>
      </c>
      <c r="AU87" t="str">
        <f t="shared" ca="1" si="12"/>
        <v/>
      </c>
      <c r="AV87">
        <f t="shared" ca="1" si="13"/>
        <v>-0.3</v>
      </c>
    </row>
    <row r="88" spans="1:48" x14ac:dyDescent="0.25">
      <c r="A88" s="265">
        <f t="shared" si="7"/>
        <v>43514</v>
      </c>
      <c r="B88" s="265" t="str">
        <f t="shared" si="14"/>
        <v>18 Feb 2019</v>
      </c>
      <c r="C88" s="267">
        <f t="shared" si="15"/>
        <v>8</v>
      </c>
      <c r="D88">
        <f>MATCH(A88,GCalXMLT[daydate],0)</f>
        <v>87</v>
      </c>
      <c r="E88">
        <f>VALUE("1" &amp; Masacod(INDEX(GCalXMLT[gymasa],D88)) &amp; PaksaCod(INDEX(GCalXMLT[mpaksaid],D88)) &amp; TithiCod(INDEX(GCalXMLT[stithiname],D88)))</f>
        <v>111114</v>
      </c>
      <c r="F88" t="str">
        <f ca="1">INDEX(Parameters!$K$2:$K$16,MATCH(AV88,Parameters!$L$2:$L$16,0))</f>
        <v/>
      </c>
      <c r="G88">
        <f>INDEX(GCalXMLT[fastmark],$D88)</f>
        <v>0</v>
      </c>
      <c r="H88" t="str">
        <f ca="1">INDEX(Parameters!$J$2:$J$16,MATCH(AV88,Parameters!$L$2:$L$16,0))</f>
        <v/>
      </c>
      <c r="I88">
        <f>INDEX(GCalXMLT[dfestival1],$D88)</f>
        <v>0</v>
      </c>
      <c r="J88">
        <f>IF(INDEX(GCalXMLT[dfestival2],$D88)="(Fast today)",INDEX(Festivals!$R$2:$R$180,MATCH($I88,Festivals!$R$2:$R$180,0)+1),INDEX(GCalXMLT[dfestival2],$D88))</f>
        <v>0</v>
      </c>
      <c r="K88">
        <f>IF(I88="Nandotsava","(Fast till noon)",INDEX(GCalXMLT[dfestival3],$D88))</f>
        <v>0</v>
      </c>
      <c r="L88">
        <f>IF(I88="Nandotsava", INDEX(GCalXMLT[dfestival3],$D88),INDEX(GCalXMLT[dfestival4],$D88))</f>
        <v>0</v>
      </c>
      <c r="M88" t="str">
        <f>IFERROR(INDEX(Festivals!$S$2:$S$160,AP88),"")</f>
        <v/>
      </c>
      <c r="N88" t="str">
        <f>IFERROR(IF($AQ88&gt;1,INDEX(Festivals!$S$2:$S$160,$AP88+1),""),"")</f>
        <v/>
      </c>
      <c r="O88" t="str">
        <f>IFERROR(IF($AQ88&gt;2,INDEX(Festivals!$S$2:$S$160,$AP88+2),""),"")</f>
        <v/>
      </c>
      <c r="P88" t="str">
        <f>IFERROR(IF($AQ88&gt;3,INDEX(Festivals!$S$2:$S$160,$AP88+3),""),"")</f>
        <v/>
      </c>
      <c r="Q88" t="str">
        <f>IFERROR(IF($AQ88&gt;4,INDEX(Festivals!$S$2:$S$160,$AP88+4),""),"")</f>
        <v/>
      </c>
      <c r="R88" t="str">
        <f>IFERROR(IF($AQ88&gt;5,INDEX(Festivals!$S$2:$S$160,$AP88+5),""),"")</f>
        <v/>
      </c>
      <c r="S88" t="str">
        <f>IFERROR(IF($AQ88&gt;6,INDEX(Festivals!$S$2:$S$160,$AP88+6),""),"")</f>
        <v/>
      </c>
      <c r="T88">
        <f>INDEX(GCalXMLT[dcaturmasya1],$D88)</f>
        <v>0</v>
      </c>
      <c r="U88">
        <f>INDEX(GCalXMLT[dcaturmasya2],$D88)</f>
        <v>0</v>
      </c>
      <c r="V88" t="str">
        <f>INDEX(GCalXMLT[sankrantirasi],$D88) &amp; " " &amp; INDEX(GCalXMLT[sankrantitime],$D88)</f>
        <v xml:space="preserve"> </v>
      </c>
      <c r="W88" t="str">
        <f ca="1">IFERROR(INDEX('Holidays Calc'!$K$2:$K$233,AR88),"")</f>
        <v/>
      </c>
      <c r="X88" t="str">
        <f ca="1">IF(AR88="","",IF(INDEX('Holidays Calc'!$I$2:$I$233,AR88+1)=A88,INDEX('Holidays Calc'!$K$2:$K$233,AR88+1),""))</f>
        <v/>
      </c>
      <c r="Y88" t="str">
        <f ca="1">IF(AR88="","",IF(INDEX('Holidays Calc'!$I$2:$I$233,AR88+2)=A88,INDEX('Holidays Calc'!$K$2:$K$233,AR88+2),""))</f>
        <v/>
      </c>
      <c r="Z88" t="str">
        <f ca="1">IF(AR88="","",IF(INDEX('Holidays Calc'!$I$2:$I$233,AR88+3)=A88,INDEX('Holidays Calc'!$K$2:$K$2333,AR88+3),""))</f>
        <v/>
      </c>
      <c r="AA88" t="str">
        <f>IF(I88="Last day of Bhisma Pancaka","",IF(G88="*",-0.7,IF(ISBLANK(INDEX(GCalXMLT[dclass1],$D88)),"",INDEX(GCalXMLT[dclass1],$D88))))</f>
        <v/>
      </c>
      <c r="AB88" t="str">
        <f>IF(J88="First day of Bhisma Pancaka","",IF(AND(G88="*",NOT(ISERROR(SEARCH("ekadasi",J88)))),-0.7,IF(ISBLANK(INDEX(GCalXMLT[dclass2],$D88)),"",INDEX(GCalXMLT[dclass2],$D88))))</f>
        <v/>
      </c>
      <c r="AC88" t="str">
        <f>IF(I88="Nandotsava",-1,IF(ISBLANK(INDEX(GCalXMLT[dclass3],$D88)),"",INDEX(GCalXMLT[dclass3],$D88)))</f>
        <v/>
      </c>
      <c r="AD88" t="str">
        <f>IF(I88="Nandotsava",IF(ISBLANK(INDEX(GCalXMLT[dclass3],$D88)),"",INDEX(GCalXMLT[dclass3],$D88)),IF(ISBLANK(INDEX(GCalXMLT[dclass4],$D88)),"",INDEX(GCalXMLT[dclass4],$D88)))</f>
        <v/>
      </c>
      <c r="AE88" t="str">
        <f>IFERROR(INDEX(Festivals!$V$2:$V$160,AP88),"")</f>
        <v/>
      </c>
      <c r="AF88" t="str">
        <f>IFERROR(IF($AQ88&gt;1,INDEX(Festivals!$V$2:$V$160,$AP88+1),""),"")</f>
        <v/>
      </c>
      <c r="AG88" t="str">
        <f>IFERROR(IF($AQ88&gt;2,INDEX(Festivals!$V$2:$V$160,$AP88+2),""),"")</f>
        <v/>
      </c>
      <c r="AH88" t="str">
        <f>IFERROR(IF($AQ88&gt;3,INDEX(Festivals!$V$2:$V$160,$AP88+3),""),"")</f>
        <v/>
      </c>
      <c r="AI88" t="str">
        <f>IFERROR(IF($AQ88&gt;4,INDEX(Festivals!$V$2:$V$160,$AP88+4),""),"")</f>
        <v/>
      </c>
      <c r="AJ88" t="str">
        <f>IFERROR(IF($AQ88&gt;5,INDEX(Festivals!$V$2:$V$160,$AP88+5),""),"")</f>
        <v/>
      </c>
      <c r="AK88" t="str">
        <f>IFERROR(IF($AQ88&gt;6,INDEX(Festivals!$V$2:$V$160,$AP88+6),""),"")</f>
        <v/>
      </c>
      <c r="AL88" t="str">
        <f ca="1">IFERROR(INDEX('Holidays Calc'!$J$2:$J$233,MATCH(A88,'Holidays Calc'!$I$2:$I$233,0)),"")</f>
        <v/>
      </c>
      <c r="AM88" t="str">
        <f ca="1">IF(AR88="","",IF(INDEX('Holidays Calc'!$I$2:$I$233,AR88+1)=A88,INDEX('Holidays Calc'!$J$2:$J$233,AR88+1),""))</f>
        <v/>
      </c>
      <c r="AN88" t="str">
        <f ca="1">IF(AR88="","",IF(INDEX('Holidays Calc'!$I$2:$I$233,AR88+2)=A88,INDEX('Holidays Calc'!$J$2:$J$233,AR88+2),""))</f>
        <v/>
      </c>
      <c r="AO88" t="str">
        <f ca="1">IF(AR88="","",IF(INDEX('Holidays Calc'!$I$2:$I$233,AR88+3)=A88,INDEX('Holidays Calc'!$J$2:$J$233,AR88+3),""))</f>
        <v/>
      </c>
      <c r="AP88" t="str">
        <f>IFERROR(IF($E88=E87,"",MATCH($E88,Festivals!$H$2:$H$160,0)),"")</f>
        <v/>
      </c>
      <c r="AQ88" t="str">
        <f>IF(AP88="","",COUNTIF(Festivals!$H$2:$H$160,$E88))</f>
        <v/>
      </c>
      <c r="AR88" t="str">
        <f ca="1">IFERROR(MATCH(A88,'Holidays Calc'!$I$2:$I$233,0),"")</f>
        <v/>
      </c>
      <c r="AS88" t="str">
        <f t="shared" si="11"/>
        <v/>
      </c>
      <c r="AT88" t="str">
        <f t="shared" si="10"/>
        <v/>
      </c>
      <c r="AU88" t="str">
        <f t="shared" ca="1" si="12"/>
        <v/>
      </c>
      <c r="AV88" t="str">
        <f t="shared" ca="1" si="13"/>
        <v/>
      </c>
    </row>
    <row r="89" spans="1:48" x14ac:dyDescent="0.25">
      <c r="A89" s="265">
        <f t="shared" si="7"/>
        <v>43515</v>
      </c>
      <c r="B89" s="265" t="str">
        <f t="shared" si="14"/>
        <v>19 Feb 2019</v>
      </c>
      <c r="C89" s="267">
        <f t="shared" si="15"/>
        <v>8</v>
      </c>
      <c r="D89">
        <f>MATCH(A89,GCalXMLT[daydate],0)</f>
        <v>88</v>
      </c>
      <c r="E89">
        <f>VALUE("1" &amp; Masacod(INDEX(GCalXMLT[gymasa],D89)) &amp; PaksaCod(INDEX(GCalXMLT[mpaksaid],D89)) &amp; TithiCod(INDEX(GCalXMLT[stithiname],D89)))</f>
        <v>111115</v>
      </c>
      <c r="F89" t="str">
        <f ca="1">INDEX(Parameters!$K$2:$K$16,MATCH(AV89,Parameters!$L$2:$L$16,0))</f>
        <v>C</v>
      </c>
      <c r="G89">
        <f>INDEX(GCalXMLT[fastmark],$D89)</f>
        <v>0</v>
      </c>
      <c r="H89" t="str">
        <f ca="1">INDEX(Parameters!$J$2:$J$16,MATCH(AV89,Parameters!$L$2:$L$16,0))</f>
        <v/>
      </c>
      <c r="I89">
        <f>INDEX(GCalXMLT[dfestival1],$D89)</f>
        <v>0</v>
      </c>
      <c r="J89">
        <f>IF(INDEX(GCalXMLT[dfestival2],$D89)="(Fast today)",INDEX(Festivals!$R$2:$R$180,MATCH($I89,Festivals!$R$2:$R$180,0)+1),INDEX(GCalXMLT[dfestival2],$D89))</f>
        <v>0</v>
      </c>
      <c r="K89">
        <f>IF(I89="Nandotsava","(Fast till noon)",INDEX(GCalXMLT[dfestival3],$D89))</f>
        <v>0</v>
      </c>
      <c r="L89">
        <f>IF(I89="Nandotsava", INDEX(GCalXMLT[dfestival3],$D89),INDEX(GCalXMLT[dfestival4],$D89))</f>
        <v>0</v>
      </c>
      <c r="M89" t="str">
        <f>IFERROR(INDEX(Festivals!$S$2:$S$160,AP89),"")</f>
        <v>Sri Krsna Madhura Utsava</v>
      </c>
      <c r="N89" t="str">
        <f>IFERROR(IF($AQ89&gt;1,INDEX(Festivals!$S$2:$S$160,$AP89+1),""),"")</f>
        <v>Srila Narottama Dasa Thakura - Appearance</v>
      </c>
      <c r="O89" t="str">
        <f>IFERROR(IF($AQ89&gt;2,INDEX(Festivals!$S$2:$S$160,$AP89+2),""),"")</f>
        <v/>
      </c>
      <c r="P89" t="str">
        <f>IFERROR(IF($AQ89&gt;3,INDEX(Festivals!$S$2:$S$160,$AP89+3),""),"")</f>
        <v/>
      </c>
      <c r="Q89" t="str">
        <f>IFERROR(IF($AQ89&gt;4,INDEX(Festivals!$S$2:$S$160,$AP89+4),""),"")</f>
        <v/>
      </c>
      <c r="R89" t="str">
        <f>IFERROR(IF($AQ89&gt;5,INDEX(Festivals!$S$2:$S$160,$AP89+5),""),"")</f>
        <v/>
      </c>
      <c r="S89" t="str">
        <f>IFERROR(IF($AQ89&gt;6,INDEX(Festivals!$S$2:$S$160,$AP89+6),""),"")</f>
        <v/>
      </c>
      <c r="T89">
        <f>INDEX(GCalXMLT[dcaturmasya1],$D89)</f>
        <v>0</v>
      </c>
      <c r="U89">
        <f>INDEX(GCalXMLT[dcaturmasya2],$D89)</f>
        <v>0</v>
      </c>
      <c r="V89" t="str">
        <f>INDEX(GCalXMLT[sankrantirasi],$D89) &amp; " " &amp; INDEX(GCalXMLT[sankrantitime],$D89)</f>
        <v xml:space="preserve"> </v>
      </c>
      <c r="W89" t="str">
        <f ca="1">IFERROR(INDEX('Holidays Calc'!$K$2:$K$233,AR89),"")</f>
        <v/>
      </c>
      <c r="X89" t="str">
        <f ca="1">IF(AR89="","",IF(INDEX('Holidays Calc'!$I$2:$I$233,AR89+1)=A89,INDEX('Holidays Calc'!$K$2:$K$233,AR89+1),""))</f>
        <v/>
      </c>
      <c r="Y89" t="str">
        <f ca="1">IF(AR89="","",IF(INDEX('Holidays Calc'!$I$2:$I$233,AR89+2)=A89,INDEX('Holidays Calc'!$K$2:$K$233,AR89+2),""))</f>
        <v/>
      </c>
      <c r="Z89" t="str">
        <f ca="1">IF(AR89="","",IF(INDEX('Holidays Calc'!$I$2:$I$233,AR89+3)=A89,INDEX('Holidays Calc'!$K$2:$K$2333,AR89+3),""))</f>
        <v/>
      </c>
      <c r="AA89" t="str">
        <f>IF(I89="Last day of Bhisma Pancaka","",IF(G89="*",-0.7,IF(ISBLANK(INDEX(GCalXMLT[dclass1],$D89)),"",INDEX(GCalXMLT[dclass1],$D89))))</f>
        <v/>
      </c>
      <c r="AB89" t="str">
        <f>IF(J89="First day of Bhisma Pancaka","",IF(AND(G89="*",NOT(ISERROR(SEARCH("ekadasi",J89)))),-0.7,IF(ISBLANK(INDEX(GCalXMLT[dclass2],$D89)),"",INDEX(GCalXMLT[dclass2],$D89))))</f>
        <v/>
      </c>
      <c r="AC89" t="str">
        <f>IF(I89="Nandotsava",-1,IF(ISBLANK(INDEX(GCalXMLT[dclass3],$D89)),"",INDEX(GCalXMLT[dclass3],$D89)))</f>
        <v/>
      </c>
      <c r="AD89" t="str">
        <f>IF(I89="Nandotsava",IF(ISBLANK(INDEX(GCalXMLT[dclass3],$D89)),"",INDEX(GCalXMLT[dclass3],$D89)),IF(ISBLANK(INDEX(GCalXMLT[dclass4],$D89)),"",INDEX(GCalXMLT[dclass4],$D89)))</f>
        <v/>
      </c>
      <c r="AE89">
        <f>IFERROR(INDEX(Festivals!$V$2:$V$160,AP89),"")</f>
        <v>1</v>
      </c>
      <c r="AF89">
        <f>IFERROR(IF($AQ89&gt;1,INDEX(Festivals!$V$2:$V$160,$AP89+1),""),"")</f>
        <v>3</v>
      </c>
      <c r="AG89" t="str">
        <f>IFERROR(IF($AQ89&gt;2,INDEX(Festivals!$V$2:$V$160,$AP89+2),""),"")</f>
        <v/>
      </c>
      <c r="AH89" t="str">
        <f>IFERROR(IF($AQ89&gt;3,INDEX(Festivals!$V$2:$V$160,$AP89+3),""),"")</f>
        <v/>
      </c>
      <c r="AI89" t="str">
        <f>IFERROR(IF($AQ89&gt;4,INDEX(Festivals!$V$2:$V$160,$AP89+4),""),"")</f>
        <v/>
      </c>
      <c r="AJ89" t="str">
        <f>IFERROR(IF($AQ89&gt;5,INDEX(Festivals!$V$2:$V$160,$AP89+5),""),"")</f>
        <v/>
      </c>
      <c r="AK89" t="str">
        <f>IFERROR(IF($AQ89&gt;6,INDEX(Festivals!$V$2:$V$160,$AP89+6),""),"")</f>
        <v/>
      </c>
      <c r="AL89" t="str">
        <f ca="1">IFERROR(INDEX('Holidays Calc'!$J$2:$J$233,MATCH(A89,'Holidays Calc'!$I$2:$I$233,0)),"")</f>
        <v/>
      </c>
      <c r="AM89" t="str">
        <f ca="1">IF(AR89="","",IF(INDEX('Holidays Calc'!$I$2:$I$233,AR89+1)=A89,INDEX('Holidays Calc'!$J$2:$J$233,AR89+1),""))</f>
        <v/>
      </c>
      <c r="AN89" t="str">
        <f ca="1">IF(AR89="","",IF(INDEX('Holidays Calc'!$I$2:$I$233,AR89+2)=A89,INDEX('Holidays Calc'!$J$2:$J$233,AR89+2),""))</f>
        <v/>
      </c>
      <c r="AO89" t="str">
        <f ca="1">IF(AR89="","",IF(INDEX('Holidays Calc'!$I$2:$I$233,AR89+3)=A89,INDEX('Holidays Calc'!$J$2:$J$233,AR89+3),""))</f>
        <v/>
      </c>
      <c r="AP89">
        <f>IFERROR(IF($E89=E88,"",MATCH($E89,Festivals!$H$2:$H$160,0)),"")</f>
        <v>149</v>
      </c>
      <c r="AQ89">
        <f>IF(AP89="","",COUNTIF(Festivals!$H$2:$H$160,$E89))</f>
        <v>2</v>
      </c>
      <c r="AR89" t="str">
        <f ca="1">IFERROR(MATCH(A89,'Holidays Calc'!$I$2:$I$233,0),"")</f>
        <v/>
      </c>
      <c r="AS89">
        <f t="shared" si="11"/>
        <v>1</v>
      </c>
      <c r="AT89">
        <f t="shared" si="10"/>
        <v>1</v>
      </c>
      <c r="AU89" t="str">
        <f t="shared" ca="1" si="12"/>
        <v/>
      </c>
      <c r="AV89">
        <f t="shared" ca="1" si="13"/>
        <v>1</v>
      </c>
    </row>
    <row r="90" spans="1:48" x14ac:dyDescent="0.25">
      <c r="A90" s="265">
        <f t="shared" si="7"/>
        <v>43516</v>
      </c>
      <c r="B90" s="265" t="str">
        <f t="shared" si="14"/>
        <v>20 Feb 2019</v>
      </c>
      <c r="C90" s="267">
        <f t="shared" si="15"/>
        <v>8</v>
      </c>
      <c r="D90">
        <f>MATCH(A90,GCalXMLT[daydate],0)</f>
        <v>89</v>
      </c>
      <c r="E90">
        <f>VALUE("1" &amp; Masacod(INDEX(GCalXMLT[gymasa],D90)) &amp; PaksaCod(INDEX(GCalXMLT[mpaksaid],D90)) &amp; TithiCod(INDEX(GCalXMLT[stithiname],D90)))</f>
        <v>112001</v>
      </c>
      <c r="F90" t="str">
        <f ca="1">INDEX(Parameters!$K$2:$K$16,MATCH(AV90,Parameters!$L$2:$L$16,0))</f>
        <v/>
      </c>
      <c r="G90">
        <f>INDEX(GCalXMLT[fastmark],$D90)</f>
        <v>0</v>
      </c>
      <c r="H90" t="str">
        <f ca="1">INDEX(Parameters!$J$2:$J$16,MATCH(AV90,Parameters!$L$2:$L$16,0))</f>
        <v/>
      </c>
      <c r="I90">
        <f>INDEX(GCalXMLT[dfestival1],$D90)</f>
        <v>0</v>
      </c>
      <c r="J90">
        <f>IF(INDEX(GCalXMLT[dfestival2],$D90)="(Fast today)",INDEX(Festivals!$R$2:$R$180,MATCH($I90,Festivals!$R$2:$R$180,0)+1),INDEX(GCalXMLT[dfestival2],$D90))</f>
        <v>0</v>
      </c>
      <c r="K90">
        <f>IF(I90="Nandotsava","(Fast till noon)",INDEX(GCalXMLT[dfestival3],$D90))</f>
        <v>0</v>
      </c>
      <c r="L90">
        <f>IF(I90="Nandotsava", INDEX(GCalXMLT[dfestival3],$D90),INDEX(GCalXMLT[dfestival4],$D90))</f>
        <v>0</v>
      </c>
      <c r="M90" t="str">
        <f>IFERROR(INDEX(Festivals!$S$2:$S$160,AP90),"")</f>
        <v/>
      </c>
      <c r="N90" t="str">
        <f>IFERROR(IF($AQ90&gt;1,INDEX(Festivals!$S$2:$S$160,$AP90+1),""),"")</f>
        <v/>
      </c>
      <c r="O90" t="str">
        <f>IFERROR(IF($AQ90&gt;2,INDEX(Festivals!$S$2:$S$160,$AP90+2),""),"")</f>
        <v/>
      </c>
      <c r="P90" t="str">
        <f>IFERROR(IF($AQ90&gt;3,INDEX(Festivals!$S$2:$S$160,$AP90+3),""),"")</f>
        <v/>
      </c>
      <c r="Q90" t="str">
        <f>IFERROR(IF($AQ90&gt;4,INDEX(Festivals!$S$2:$S$160,$AP90+4),""),"")</f>
        <v/>
      </c>
      <c r="R90" t="str">
        <f>IFERROR(IF($AQ90&gt;5,INDEX(Festivals!$S$2:$S$160,$AP90+5),""),"")</f>
        <v/>
      </c>
      <c r="S90" t="str">
        <f>IFERROR(IF($AQ90&gt;6,INDEX(Festivals!$S$2:$S$160,$AP90+6),""),"")</f>
        <v/>
      </c>
      <c r="T90">
        <f>INDEX(GCalXMLT[dcaturmasya1],$D90)</f>
        <v>0</v>
      </c>
      <c r="U90">
        <f>INDEX(GCalXMLT[dcaturmasya2],$D90)</f>
        <v>0</v>
      </c>
      <c r="V90" t="str">
        <f>INDEX(GCalXMLT[sankrantirasi],$D90) &amp; " " &amp; INDEX(GCalXMLT[sankrantitime],$D90)</f>
        <v xml:space="preserve"> </v>
      </c>
      <c r="W90" t="str">
        <f ca="1">IFERROR(INDEX('Holidays Calc'!$K$2:$K$233,AR90),"")</f>
        <v/>
      </c>
      <c r="X90" t="str">
        <f ca="1">IF(AR90="","",IF(INDEX('Holidays Calc'!$I$2:$I$233,AR90+1)=A90,INDEX('Holidays Calc'!$K$2:$K$233,AR90+1),""))</f>
        <v/>
      </c>
      <c r="Y90" t="str">
        <f ca="1">IF(AR90="","",IF(INDEX('Holidays Calc'!$I$2:$I$233,AR90+2)=A90,INDEX('Holidays Calc'!$K$2:$K$233,AR90+2),""))</f>
        <v/>
      </c>
      <c r="Z90" t="str">
        <f ca="1">IF(AR90="","",IF(INDEX('Holidays Calc'!$I$2:$I$233,AR90+3)=A90,INDEX('Holidays Calc'!$K$2:$K$2333,AR90+3),""))</f>
        <v/>
      </c>
      <c r="AA90" t="str">
        <f>IF(I90="Last day of Bhisma Pancaka","",IF(G90="*",-0.7,IF(ISBLANK(INDEX(GCalXMLT[dclass1],$D90)),"",INDEX(GCalXMLT[dclass1],$D90))))</f>
        <v/>
      </c>
      <c r="AB90" t="str">
        <f>IF(J90="First day of Bhisma Pancaka","",IF(AND(G90="*",NOT(ISERROR(SEARCH("ekadasi",J90)))),-0.7,IF(ISBLANK(INDEX(GCalXMLT[dclass2],$D90)),"",INDEX(GCalXMLT[dclass2],$D90))))</f>
        <v/>
      </c>
      <c r="AC90" t="str">
        <f>IF(I90="Nandotsava",-1,IF(ISBLANK(INDEX(GCalXMLT[dclass3],$D90)),"",INDEX(GCalXMLT[dclass3],$D90)))</f>
        <v/>
      </c>
      <c r="AD90" t="str">
        <f>IF(I90="Nandotsava",IF(ISBLANK(INDEX(GCalXMLT[dclass3],$D90)),"",INDEX(GCalXMLT[dclass3],$D90)),IF(ISBLANK(INDEX(GCalXMLT[dclass4],$D90)),"",INDEX(GCalXMLT[dclass4],$D90)))</f>
        <v/>
      </c>
      <c r="AE90" t="str">
        <f>IFERROR(INDEX(Festivals!$V$2:$V$160,AP90),"")</f>
        <v/>
      </c>
      <c r="AF90" t="str">
        <f>IFERROR(IF($AQ90&gt;1,INDEX(Festivals!$V$2:$V$160,$AP90+1),""),"")</f>
        <v/>
      </c>
      <c r="AG90" t="str">
        <f>IFERROR(IF($AQ90&gt;2,INDEX(Festivals!$V$2:$V$160,$AP90+2),""),"")</f>
        <v/>
      </c>
      <c r="AH90" t="str">
        <f>IFERROR(IF($AQ90&gt;3,INDEX(Festivals!$V$2:$V$160,$AP90+3),""),"")</f>
        <v/>
      </c>
      <c r="AI90" t="str">
        <f>IFERROR(IF($AQ90&gt;4,INDEX(Festivals!$V$2:$V$160,$AP90+4),""),"")</f>
        <v/>
      </c>
      <c r="AJ90" t="str">
        <f>IFERROR(IF($AQ90&gt;5,INDEX(Festivals!$V$2:$V$160,$AP90+5),""),"")</f>
        <v/>
      </c>
      <c r="AK90" t="str">
        <f>IFERROR(IF($AQ90&gt;6,INDEX(Festivals!$V$2:$V$160,$AP90+6),""),"")</f>
        <v/>
      </c>
      <c r="AL90" t="str">
        <f ca="1">IFERROR(INDEX('Holidays Calc'!$J$2:$J$233,MATCH(A90,'Holidays Calc'!$I$2:$I$233,0)),"")</f>
        <v/>
      </c>
      <c r="AM90" t="str">
        <f ca="1">IF(AR90="","",IF(INDEX('Holidays Calc'!$I$2:$I$233,AR90+1)=A90,INDEX('Holidays Calc'!$J$2:$J$233,AR90+1),""))</f>
        <v/>
      </c>
      <c r="AN90" t="str">
        <f ca="1">IF(AR90="","",IF(INDEX('Holidays Calc'!$I$2:$I$233,AR90+2)=A90,INDEX('Holidays Calc'!$J$2:$J$233,AR90+2),""))</f>
        <v/>
      </c>
      <c r="AO90" t="str">
        <f ca="1">IF(AR90="","",IF(INDEX('Holidays Calc'!$I$2:$I$233,AR90+3)=A90,INDEX('Holidays Calc'!$J$2:$J$233,AR90+3),""))</f>
        <v/>
      </c>
      <c r="AP90" t="str">
        <f>IFERROR(IF($E90=E89,"",MATCH($E90,Festivals!$H$2:$H$160,0)),"")</f>
        <v/>
      </c>
      <c r="AQ90" t="str">
        <f>IF(AP90="","",COUNTIF(Festivals!$H$2:$H$160,$E90))</f>
        <v/>
      </c>
      <c r="AR90" t="str">
        <f ca="1">IFERROR(MATCH(A90,'Holidays Calc'!$I$2:$I$233,0),"")</f>
        <v/>
      </c>
      <c r="AS90" t="str">
        <f t="shared" si="11"/>
        <v/>
      </c>
      <c r="AT90" t="str">
        <f t="shared" si="10"/>
        <v/>
      </c>
      <c r="AU90" t="str">
        <f t="shared" ca="1" si="12"/>
        <v/>
      </c>
      <c r="AV90" t="str">
        <f t="shared" ca="1" si="13"/>
        <v/>
      </c>
    </row>
    <row r="91" spans="1:48" x14ac:dyDescent="0.25">
      <c r="A91" s="265">
        <f t="shared" si="7"/>
        <v>43517</v>
      </c>
      <c r="B91" s="265" t="str">
        <f t="shared" si="14"/>
        <v>21 Feb 2019</v>
      </c>
      <c r="C91" s="267">
        <f t="shared" si="15"/>
        <v>8</v>
      </c>
      <c r="D91">
        <f>MATCH(A91,GCalXMLT[daydate],0)</f>
        <v>90</v>
      </c>
      <c r="E91">
        <f>VALUE("1" &amp; Masacod(INDEX(GCalXMLT[gymasa],D91)) &amp; PaksaCod(INDEX(GCalXMLT[mpaksaid],D91)) &amp; TithiCod(INDEX(GCalXMLT[stithiname],D91)))</f>
        <v>112002</v>
      </c>
      <c r="F91" t="str">
        <f ca="1">INDEX(Parameters!$K$2:$K$16,MATCH(AV91,Parameters!$L$2:$L$16,0))</f>
        <v/>
      </c>
      <c r="G91">
        <f>INDEX(GCalXMLT[fastmark],$D91)</f>
        <v>0</v>
      </c>
      <c r="H91" t="str">
        <f ca="1">INDEX(Parameters!$J$2:$J$16,MATCH(AV91,Parameters!$L$2:$L$16,0))</f>
        <v/>
      </c>
      <c r="I91">
        <f>INDEX(GCalXMLT[dfestival1],$D91)</f>
        <v>0</v>
      </c>
      <c r="J91">
        <f>IF(INDEX(GCalXMLT[dfestival2],$D91)="(Fast today)",INDEX(Festivals!$R$2:$R$180,MATCH($I91,Festivals!$R$2:$R$180,0)+1),INDEX(GCalXMLT[dfestival2],$D91))</f>
        <v>0</v>
      </c>
      <c r="K91">
        <f>IF(I91="Nandotsava","(Fast till noon)",INDEX(GCalXMLT[dfestival3],$D91))</f>
        <v>0</v>
      </c>
      <c r="L91">
        <f>IF(I91="Nandotsava", INDEX(GCalXMLT[dfestival3],$D91),INDEX(GCalXMLT[dfestival4],$D91))</f>
        <v>0</v>
      </c>
      <c r="M91" t="str">
        <f>IFERROR(INDEX(Festivals!$S$2:$S$160,AP91),"")</f>
        <v/>
      </c>
      <c r="N91" t="str">
        <f>IFERROR(IF($AQ91&gt;1,INDEX(Festivals!$S$2:$S$160,$AP91+1),""),"")</f>
        <v/>
      </c>
      <c r="O91" t="str">
        <f>IFERROR(IF($AQ91&gt;2,INDEX(Festivals!$S$2:$S$160,$AP91+2),""),"")</f>
        <v/>
      </c>
      <c r="P91" t="str">
        <f>IFERROR(IF($AQ91&gt;3,INDEX(Festivals!$S$2:$S$160,$AP91+3),""),"")</f>
        <v/>
      </c>
      <c r="Q91" t="str">
        <f>IFERROR(IF($AQ91&gt;4,INDEX(Festivals!$S$2:$S$160,$AP91+4),""),"")</f>
        <v/>
      </c>
      <c r="R91" t="str">
        <f>IFERROR(IF($AQ91&gt;5,INDEX(Festivals!$S$2:$S$160,$AP91+5),""),"")</f>
        <v/>
      </c>
      <c r="S91" t="str">
        <f>IFERROR(IF($AQ91&gt;6,INDEX(Festivals!$S$2:$S$160,$AP91+6),""),"")</f>
        <v/>
      </c>
      <c r="T91">
        <f>INDEX(GCalXMLT[dcaturmasya1],$D91)</f>
        <v>0</v>
      </c>
      <c r="U91">
        <f>INDEX(GCalXMLT[dcaturmasya2],$D91)</f>
        <v>0</v>
      </c>
      <c r="V91" t="str">
        <f>INDEX(GCalXMLT[sankrantirasi],$D91) &amp; " " &amp; INDEX(GCalXMLT[sankrantitime],$D91)</f>
        <v xml:space="preserve"> </v>
      </c>
      <c r="W91" t="str">
        <f ca="1">IFERROR(INDEX('Holidays Calc'!$K$2:$K$233,AR91),"")</f>
        <v/>
      </c>
      <c r="X91" t="str">
        <f ca="1">IF(AR91="","",IF(INDEX('Holidays Calc'!$I$2:$I$233,AR91+1)=A91,INDEX('Holidays Calc'!$K$2:$K$233,AR91+1),""))</f>
        <v/>
      </c>
      <c r="Y91" t="str">
        <f ca="1">IF(AR91="","",IF(INDEX('Holidays Calc'!$I$2:$I$233,AR91+2)=A91,INDEX('Holidays Calc'!$K$2:$K$233,AR91+2),""))</f>
        <v/>
      </c>
      <c r="Z91" t="str">
        <f ca="1">IF(AR91="","",IF(INDEX('Holidays Calc'!$I$2:$I$233,AR91+3)=A91,INDEX('Holidays Calc'!$K$2:$K$2333,AR91+3),""))</f>
        <v/>
      </c>
      <c r="AA91" t="str">
        <f>IF(I91="Last day of Bhisma Pancaka","",IF(G91="*",-0.7,IF(ISBLANK(INDEX(GCalXMLT[dclass1],$D91)),"",INDEX(GCalXMLT[dclass1],$D91))))</f>
        <v/>
      </c>
      <c r="AB91" t="str">
        <f>IF(J91="First day of Bhisma Pancaka","",IF(AND(G91="*",NOT(ISERROR(SEARCH("ekadasi",J91)))),-0.7,IF(ISBLANK(INDEX(GCalXMLT[dclass2],$D91)),"",INDEX(GCalXMLT[dclass2],$D91))))</f>
        <v/>
      </c>
      <c r="AC91" t="str">
        <f>IF(I91="Nandotsava",-1,IF(ISBLANK(INDEX(GCalXMLT[dclass3],$D91)),"",INDEX(GCalXMLT[dclass3],$D91)))</f>
        <v/>
      </c>
      <c r="AD91" t="str">
        <f>IF(I91="Nandotsava",IF(ISBLANK(INDEX(GCalXMLT[dclass3],$D91)),"",INDEX(GCalXMLT[dclass3],$D91)),IF(ISBLANK(INDEX(GCalXMLT[dclass4],$D91)),"",INDEX(GCalXMLT[dclass4],$D91)))</f>
        <v/>
      </c>
      <c r="AE91" t="str">
        <f>IFERROR(INDEX(Festivals!$V$2:$V$160,AP91),"")</f>
        <v/>
      </c>
      <c r="AF91" t="str">
        <f>IFERROR(IF($AQ91&gt;1,INDEX(Festivals!$V$2:$V$160,$AP91+1),""),"")</f>
        <v/>
      </c>
      <c r="AG91" t="str">
        <f>IFERROR(IF($AQ91&gt;2,INDEX(Festivals!$V$2:$V$160,$AP91+2),""),"")</f>
        <v/>
      </c>
      <c r="AH91" t="str">
        <f>IFERROR(IF($AQ91&gt;3,INDEX(Festivals!$V$2:$V$160,$AP91+3),""),"")</f>
        <v/>
      </c>
      <c r="AI91" t="str">
        <f>IFERROR(IF($AQ91&gt;4,INDEX(Festivals!$V$2:$V$160,$AP91+4),""),"")</f>
        <v/>
      </c>
      <c r="AJ91" t="str">
        <f>IFERROR(IF($AQ91&gt;5,INDEX(Festivals!$V$2:$V$160,$AP91+5),""),"")</f>
        <v/>
      </c>
      <c r="AK91" t="str">
        <f>IFERROR(IF($AQ91&gt;6,INDEX(Festivals!$V$2:$V$160,$AP91+6),""),"")</f>
        <v/>
      </c>
      <c r="AL91" t="str">
        <f ca="1">IFERROR(INDEX('Holidays Calc'!$J$2:$J$233,MATCH(A91,'Holidays Calc'!$I$2:$I$233,0)),"")</f>
        <v/>
      </c>
      <c r="AM91" t="str">
        <f ca="1">IF(AR91="","",IF(INDEX('Holidays Calc'!$I$2:$I$233,AR91+1)=A91,INDEX('Holidays Calc'!$J$2:$J$233,AR91+1),""))</f>
        <v/>
      </c>
      <c r="AN91" t="str">
        <f ca="1">IF(AR91="","",IF(INDEX('Holidays Calc'!$I$2:$I$233,AR91+2)=A91,INDEX('Holidays Calc'!$J$2:$J$233,AR91+2),""))</f>
        <v/>
      </c>
      <c r="AO91" t="str">
        <f ca="1">IF(AR91="","",IF(INDEX('Holidays Calc'!$I$2:$I$233,AR91+3)=A91,INDEX('Holidays Calc'!$J$2:$J$233,AR91+3),""))</f>
        <v/>
      </c>
      <c r="AP91" t="str">
        <f>IFERROR(IF($E91=E90,"",MATCH($E91,Festivals!$H$2:$H$160,0)),"")</f>
        <v/>
      </c>
      <c r="AQ91" t="str">
        <f>IF(AP91="","",COUNTIF(Festivals!$H$2:$H$160,$E91))</f>
        <v/>
      </c>
      <c r="AR91" t="str">
        <f ca="1">IFERROR(MATCH(A91,'Holidays Calc'!$I$2:$I$233,0),"")</f>
        <v/>
      </c>
      <c r="AS91" t="str">
        <f t="shared" si="11"/>
        <v/>
      </c>
      <c r="AT91" t="str">
        <f t="shared" si="10"/>
        <v/>
      </c>
      <c r="AU91" t="str">
        <f t="shared" ca="1" si="12"/>
        <v/>
      </c>
      <c r="AV91" t="str">
        <f t="shared" ca="1" si="13"/>
        <v/>
      </c>
    </row>
    <row r="92" spans="1:48" x14ac:dyDescent="0.25">
      <c r="A92" s="265">
        <f t="shared" si="7"/>
        <v>43518</v>
      </c>
      <c r="B92" s="265" t="str">
        <f t="shared" si="14"/>
        <v>22 Feb 2019</v>
      </c>
      <c r="C92" s="267">
        <f t="shared" si="15"/>
        <v>8</v>
      </c>
      <c r="D92">
        <f>MATCH(A92,GCalXMLT[daydate],0)</f>
        <v>91</v>
      </c>
      <c r="E92">
        <f>VALUE("1" &amp; Masacod(INDEX(GCalXMLT[gymasa],D92)) &amp; PaksaCod(INDEX(GCalXMLT[mpaksaid],D92)) &amp; TithiCod(INDEX(GCalXMLT[stithiname],D92)))</f>
        <v>112004</v>
      </c>
      <c r="F92" t="str">
        <f ca="1">INDEX(Parameters!$K$2:$K$16,MATCH(AV92,Parameters!$L$2:$L$16,0))</f>
        <v/>
      </c>
      <c r="G92">
        <f>INDEX(GCalXMLT[fastmark],$D92)</f>
        <v>0</v>
      </c>
      <c r="H92" t="str">
        <f ca="1">INDEX(Parameters!$J$2:$J$16,MATCH(AV92,Parameters!$L$2:$L$16,0))</f>
        <v/>
      </c>
      <c r="I92">
        <f>INDEX(GCalXMLT[dfestival1],$D92)</f>
        <v>0</v>
      </c>
      <c r="J92">
        <f>IF(INDEX(GCalXMLT[dfestival2],$D92)="(Fast today)",INDEX(Festivals!$R$2:$R$180,MATCH($I92,Festivals!$R$2:$R$180,0)+1),INDEX(GCalXMLT[dfestival2],$D92))</f>
        <v>0</v>
      </c>
      <c r="K92">
        <f>IF(I92="Nandotsava","(Fast till noon)",INDEX(GCalXMLT[dfestival3],$D92))</f>
        <v>0</v>
      </c>
      <c r="L92">
        <f>IF(I92="Nandotsava", INDEX(GCalXMLT[dfestival3],$D92),INDEX(GCalXMLT[dfestival4],$D92))</f>
        <v>0</v>
      </c>
      <c r="M92" t="str">
        <f>IFERROR(INDEX(Festivals!$S$2:$S$160,AP92),"")</f>
        <v/>
      </c>
      <c r="N92" t="str">
        <f>IFERROR(IF($AQ92&gt;1,INDEX(Festivals!$S$2:$S$160,$AP92+1),""),"")</f>
        <v/>
      </c>
      <c r="O92" t="str">
        <f>IFERROR(IF($AQ92&gt;2,INDEX(Festivals!$S$2:$S$160,$AP92+2),""),"")</f>
        <v/>
      </c>
      <c r="P92" t="str">
        <f>IFERROR(IF($AQ92&gt;3,INDEX(Festivals!$S$2:$S$160,$AP92+3),""),"")</f>
        <v/>
      </c>
      <c r="Q92" t="str">
        <f>IFERROR(IF($AQ92&gt;4,INDEX(Festivals!$S$2:$S$160,$AP92+4),""),"")</f>
        <v/>
      </c>
      <c r="R92" t="str">
        <f>IFERROR(IF($AQ92&gt;5,INDEX(Festivals!$S$2:$S$160,$AP92+5),""),"")</f>
        <v/>
      </c>
      <c r="S92" t="str">
        <f>IFERROR(IF($AQ92&gt;6,INDEX(Festivals!$S$2:$S$160,$AP92+6),""),"")</f>
        <v/>
      </c>
      <c r="T92">
        <f>INDEX(GCalXMLT[dcaturmasya1],$D92)</f>
        <v>0</v>
      </c>
      <c r="U92">
        <f>INDEX(GCalXMLT[dcaturmasya2],$D92)</f>
        <v>0</v>
      </c>
      <c r="V92" t="str">
        <f>INDEX(GCalXMLT[sankrantirasi],$D92) &amp; " " &amp; INDEX(GCalXMLT[sankrantitime],$D92)</f>
        <v xml:space="preserve"> </v>
      </c>
      <c r="W92" t="str">
        <f ca="1">IFERROR(INDEX('Holidays Calc'!$K$2:$K$233,AR92),"")</f>
        <v/>
      </c>
      <c r="X92" t="str">
        <f ca="1">IF(AR92="","",IF(INDEX('Holidays Calc'!$I$2:$I$233,AR92+1)=A92,INDEX('Holidays Calc'!$K$2:$K$233,AR92+1),""))</f>
        <v/>
      </c>
      <c r="Y92" t="str">
        <f ca="1">IF(AR92="","",IF(INDEX('Holidays Calc'!$I$2:$I$233,AR92+2)=A92,INDEX('Holidays Calc'!$K$2:$K$233,AR92+2),""))</f>
        <v/>
      </c>
      <c r="Z92" t="str">
        <f ca="1">IF(AR92="","",IF(INDEX('Holidays Calc'!$I$2:$I$233,AR92+3)=A92,INDEX('Holidays Calc'!$K$2:$K$2333,AR92+3),""))</f>
        <v/>
      </c>
      <c r="AA92" t="str">
        <f>IF(I92="Last day of Bhisma Pancaka","",IF(G92="*",-0.7,IF(ISBLANK(INDEX(GCalXMLT[dclass1],$D92)),"",INDEX(GCalXMLT[dclass1],$D92))))</f>
        <v/>
      </c>
      <c r="AB92" t="str">
        <f>IF(J92="First day of Bhisma Pancaka","",IF(AND(G92="*",NOT(ISERROR(SEARCH("ekadasi",J92)))),-0.7,IF(ISBLANK(INDEX(GCalXMLT[dclass2],$D92)),"",INDEX(GCalXMLT[dclass2],$D92))))</f>
        <v/>
      </c>
      <c r="AC92" t="str">
        <f>IF(I92="Nandotsava",-1,IF(ISBLANK(INDEX(GCalXMLT[dclass3],$D92)),"",INDEX(GCalXMLT[dclass3],$D92)))</f>
        <v/>
      </c>
      <c r="AD92" t="str">
        <f>IF(I92="Nandotsava",IF(ISBLANK(INDEX(GCalXMLT[dclass3],$D92)),"",INDEX(GCalXMLT[dclass3],$D92)),IF(ISBLANK(INDEX(GCalXMLT[dclass4],$D92)),"",INDEX(GCalXMLT[dclass4],$D92)))</f>
        <v/>
      </c>
      <c r="AE92" t="str">
        <f>IFERROR(INDEX(Festivals!$V$2:$V$160,AP92),"")</f>
        <v/>
      </c>
      <c r="AF92" t="str">
        <f>IFERROR(IF($AQ92&gt;1,INDEX(Festivals!$V$2:$V$160,$AP92+1),""),"")</f>
        <v/>
      </c>
      <c r="AG92" t="str">
        <f>IFERROR(IF($AQ92&gt;2,INDEX(Festivals!$V$2:$V$160,$AP92+2),""),"")</f>
        <v/>
      </c>
      <c r="AH92" t="str">
        <f>IFERROR(IF($AQ92&gt;3,INDEX(Festivals!$V$2:$V$160,$AP92+3),""),"")</f>
        <v/>
      </c>
      <c r="AI92" t="str">
        <f>IFERROR(IF($AQ92&gt;4,INDEX(Festivals!$V$2:$V$160,$AP92+4),""),"")</f>
        <v/>
      </c>
      <c r="AJ92" t="str">
        <f>IFERROR(IF($AQ92&gt;5,INDEX(Festivals!$V$2:$V$160,$AP92+5),""),"")</f>
        <v/>
      </c>
      <c r="AK92" t="str">
        <f>IFERROR(IF($AQ92&gt;6,INDEX(Festivals!$V$2:$V$160,$AP92+6),""),"")</f>
        <v/>
      </c>
      <c r="AL92" t="str">
        <f ca="1">IFERROR(INDEX('Holidays Calc'!$J$2:$J$233,MATCH(A92,'Holidays Calc'!$I$2:$I$233,0)),"")</f>
        <v/>
      </c>
      <c r="AM92" t="str">
        <f ca="1">IF(AR92="","",IF(INDEX('Holidays Calc'!$I$2:$I$233,AR92+1)=A92,INDEX('Holidays Calc'!$J$2:$J$233,AR92+1),""))</f>
        <v/>
      </c>
      <c r="AN92" t="str">
        <f ca="1">IF(AR92="","",IF(INDEX('Holidays Calc'!$I$2:$I$233,AR92+2)=A92,INDEX('Holidays Calc'!$J$2:$J$233,AR92+2),""))</f>
        <v/>
      </c>
      <c r="AO92" t="str">
        <f ca="1">IF(AR92="","",IF(INDEX('Holidays Calc'!$I$2:$I$233,AR92+3)=A92,INDEX('Holidays Calc'!$J$2:$J$233,AR92+3),""))</f>
        <v/>
      </c>
      <c r="AP92" t="str">
        <f>IFERROR(IF($E92=E91,"",MATCH($E92,Festivals!$H$2:$H$160,0)),"")</f>
        <v/>
      </c>
      <c r="AQ92" t="str">
        <f>IF(AP92="","",COUNTIF(Festivals!$H$2:$H$160,$E92))</f>
        <v/>
      </c>
      <c r="AR92" t="str">
        <f ca="1">IFERROR(MATCH(A92,'Holidays Calc'!$I$2:$I$233,0),"")</f>
        <v/>
      </c>
      <c r="AS92" t="str">
        <f t="shared" si="11"/>
        <v/>
      </c>
      <c r="AT92" t="str">
        <f t="shared" si="10"/>
        <v/>
      </c>
      <c r="AU92" t="str">
        <f t="shared" ca="1" si="12"/>
        <v/>
      </c>
      <c r="AV92" t="str">
        <f t="shared" ca="1" si="13"/>
        <v/>
      </c>
    </row>
    <row r="93" spans="1:48" x14ac:dyDescent="0.25">
      <c r="A93" s="265">
        <f t="shared" si="7"/>
        <v>43519</v>
      </c>
      <c r="B93" s="265" t="str">
        <f t="shared" si="14"/>
        <v>23 Feb 2019</v>
      </c>
      <c r="C93" s="267">
        <f t="shared" si="15"/>
        <v>8</v>
      </c>
      <c r="D93">
        <f>MATCH(A93,GCalXMLT[daydate],0)</f>
        <v>92</v>
      </c>
      <c r="E93">
        <f>VALUE("1" &amp; Masacod(INDEX(GCalXMLT[gymasa],D93)) &amp; PaksaCod(INDEX(GCalXMLT[mpaksaid],D93)) &amp; TithiCod(INDEX(GCalXMLT[stithiname],D93)))</f>
        <v>112005</v>
      </c>
      <c r="F93" t="str">
        <f ca="1">INDEX(Parameters!$K$2:$K$16,MATCH(AV93,Parameters!$L$2:$L$16,0))</f>
        <v>P</v>
      </c>
      <c r="G93">
        <f>INDEX(GCalXMLT[fastmark],$D93)</f>
        <v>0</v>
      </c>
      <c r="H93" t="str">
        <f ca="1">INDEX(Parameters!$J$2:$J$16,MATCH(AV93,Parameters!$L$2:$L$16,0))</f>
        <v>*</v>
      </c>
      <c r="I93">
        <f>INDEX(GCalXMLT[dfestival1],$D93)</f>
        <v>0</v>
      </c>
      <c r="J93">
        <f>IF(INDEX(GCalXMLT[dfestival2],$D93)="(Fast today)",INDEX(Festivals!$R$2:$R$180,MATCH($I93,Festivals!$R$2:$R$180,0)+1),INDEX(GCalXMLT[dfestival2],$D93))</f>
        <v>0</v>
      </c>
      <c r="K93">
        <f>IF(I93="Nandotsava","(Fast till noon)",INDEX(GCalXMLT[dfestival3],$D93))</f>
        <v>0</v>
      </c>
      <c r="L93">
        <f>IF(I93="Nandotsava", INDEX(GCalXMLT[dfestival3],$D93),INDEX(GCalXMLT[dfestival4],$D93))</f>
        <v>0</v>
      </c>
      <c r="M93" t="str">
        <f>IFERROR(INDEX(Festivals!$S$2:$S$160,AP93),"")</f>
        <v>Sri Purusottama Das Thakura - Disappearance</v>
      </c>
      <c r="N93" t="str">
        <f>IFERROR(IF($AQ93&gt;1,INDEX(Festivals!$S$2:$S$160,$AP93+1),""),"")</f>
        <v>Srila Bhaktisiddhanta Sarasvati Thakura - Appearance</v>
      </c>
      <c r="O93" t="str">
        <f>IFERROR(IF($AQ93&gt;2,INDEX(Festivals!$S$2:$S$160,$AP93+2),""),"")</f>
        <v>(Fast till noon)</v>
      </c>
      <c r="P93" t="str">
        <f>IFERROR(IF($AQ93&gt;3,INDEX(Festivals!$S$2:$S$160,$AP93+3),""),"")</f>
        <v/>
      </c>
      <c r="Q93" t="str">
        <f>IFERROR(IF($AQ93&gt;4,INDEX(Festivals!$S$2:$S$160,$AP93+4),""),"")</f>
        <v/>
      </c>
      <c r="R93" t="str">
        <f>IFERROR(IF($AQ93&gt;5,INDEX(Festivals!$S$2:$S$160,$AP93+5),""),"")</f>
        <v/>
      </c>
      <c r="S93" t="str">
        <f>IFERROR(IF($AQ93&gt;6,INDEX(Festivals!$S$2:$S$160,$AP93+6),""),"")</f>
        <v/>
      </c>
      <c r="T93">
        <f>INDEX(GCalXMLT[dcaturmasya1],$D93)</f>
        <v>0</v>
      </c>
      <c r="U93">
        <f>INDEX(GCalXMLT[dcaturmasya2],$D93)</f>
        <v>0</v>
      </c>
      <c r="V93" t="str">
        <f>INDEX(GCalXMLT[sankrantirasi],$D93) &amp; " " &amp; INDEX(GCalXMLT[sankrantitime],$D93)</f>
        <v xml:space="preserve"> </v>
      </c>
      <c r="W93" t="str">
        <f ca="1">IFERROR(INDEX('Holidays Calc'!$K$2:$K$233,AR93),"")</f>
        <v/>
      </c>
      <c r="X93" t="str">
        <f ca="1">IF(AR93="","",IF(INDEX('Holidays Calc'!$I$2:$I$233,AR93+1)=A93,INDEX('Holidays Calc'!$K$2:$K$233,AR93+1),""))</f>
        <v/>
      </c>
      <c r="Y93" t="str">
        <f ca="1">IF(AR93="","",IF(INDEX('Holidays Calc'!$I$2:$I$233,AR93+2)=A93,INDEX('Holidays Calc'!$K$2:$K$233,AR93+2),""))</f>
        <v/>
      </c>
      <c r="Z93" t="str">
        <f ca="1">IF(AR93="","",IF(INDEX('Holidays Calc'!$I$2:$I$233,AR93+3)=A93,INDEX('Holidays Calc'!$K$2:$K$2333,AR93+3),""))</f>
        <v/>
      </c>
      <c r="AA93" t="str">
        <f>IF(I93="Last day of Bhisma Pancaka","",IF(G93="*",-0.7,IF(ISBLANK(INDEX(GCalXMLT[dclass1],$D93)),"",INDEX(GCalXMLT[dclass1],$D93))))</f>
        <v/>
      </c>
      <c r="AB93" t="str">
        <f>IF(J93="First day of Bhisma Pancaka","",IF(AND(G93="*",NOT(ISERROR(SEARCH("ekadasi",J93)))),-0.7,IF(ISBLANK(INDEX(GCalXMLT[dclass2],$D93)),"",INDEX(GCalXMLT[dclass2],$D93))))</f>
        <v/>
      </c>
      <c r="AC93" t="str">
        <f>IF(I93="Nandotsava",-1,IF(ISBLANK(INDEX(GCalXMLT[dclass3],$D93)),"",INDEX(GCalXMLT[dclass3],$D93)))</f>
        <v/>
      </c>
      <c r="AD93" t="str">
        <f>IF(I93="Nandotsava",IF(ISBLANK(INDEX(GCalXMLT[dclass3],$D93)),"",INDEX(GCalXMLT[dclass3],$D93)),IF(ISBLANK(INDEX(GCalXMLT[dclass4],$D93)),"",INDEX(GCalXMLT[dclass4],$D93)))</f>
        <v/>
      </c>
      <c r="AE93">
        <f>IFERROR(INDEX(Festivals!$V$2:$V$160,AP93),"")</f>
        <v>3</v>
      </c>
      <c r="AF93">
        <f>IFERROR(IF($AQ93&gt;1,INDEX(Festivals!$V$2:$V$160,$AP93+1),""),"")</f>
        <v>2</v>
      </c>
      <c r="AG93">
        <f>IFERROR(IF($AQ93&gt;2,INDEX(Festivals!$V$2:$V$160,$AP93+2),""),"")</f>
        <v>-1</v>
      </c>
      <c r="AH93" t="str">
        <f>IFERROR(IF($AQ93&gt;3,INDEX(Festivals!$V$2:$V$160,$AP93+3),""),"")</f>
        <v/>
      </c>
      <c r="AI93" t="str">
        <f>IFERROR(IF($AQ93&gt;4,INDEX(Festivals!$V$2:$V$160,$AP93+4),""),"")</f>
        <v/>
      </c>
      <c r="AJ93" t="str">
        <f>IFERROR(IF($AQ93&gt;5,INDEX(Festivals!$V$2:$V$160,$AP93+5),""),"")</f>
        <v/>
      </c>
      <c r="AK93" t="str">
        <f>IFERROR(IF($AQ93&gt;6,INDEX(Festivals!$V$2:$V$160,$AP93+6),""),"")</f>
        <v/>
      </c>
      <c r="AL93" t="str">
        <f ca="1">IFERROR(INDEX('Holidays Calc'!$J$2:$J$233,MATCH(A93,'Holidays Calc'!$I$2:$I$233,0)),"")</f>
        <v/>
      </c>
      <c r="AM93" t="str">
        <f ca="1">IF(AR93="","",IF(INDEX('Holidays Calc'!$I$2:$I$233,AR93+1)=A93,INDEX('Holidays Calc'!$J$2:$J$233,AR93+1),""))</f>
        <v/>
      </c>
      <c r="AN93" t="str">
        <f ca="1">IF(AR93="","",IF(INDEX('Holidays Calc'!$I$2:$I$233,AR93+2)=A93,INDEX('Holidays Calc'!$J$2:$J$233,AR93+2),""))</f>
        <v/>
      </c>
      <c r="AO93" t="str">
        <f ca="1">IF(AR93="","",IF(INDEX('Holidays Calc'!$I$2:$I$233,AR93+3)=A93,INDEX('Holidays Calc'!$J$2:$J$233,AR93+3),""))</f>
        <v/>
      </c>
      <c r="AP93">
        <f>IFERROR(IF($E93=E92,"",MATCH($E93,Festivals!$H$2:$H$160,0)),"")</f>
        <v>151</v>
      </c>
      <c r="AQ93">
        <f>IF(AP93="","",COUNTIF(Festivals!$H$2:$H$160,$E93))</f>
        <v>3</v>
      </c>
      <c r="AR93" t="str">
        <f ca="1">IFERROR(MATCH(A93,'Holidays Calc'!$I$2:$I$233,0),"")</f>
        <v/>
      </c>
      <c r="AS93">
        <f t="shared" si="11"/>
        <v>-1</v>
      </c>
      <c r="AT93">
        <f t="shared" si="10"/>
        <v>-1</v>
      </c>
      <c r="AU93" t="str">
        <f t="shared" ca="1" si="12"/>
        <v/>
      </c>
      <c r="AV93">
        <f t="shared" ca="1" si="13"/>
        <v>-1</v>
      </c>
    </row>
    <row r="94" spans="1:48" x14ac:dyDescent="0.25">
      <c r="A94" s="265">
        <f t="shared" si="7"/>
        <v>43520</v>
      </c>
      <c r="B94" s="265" t="str">
        <f t="shared" si="14"/>
        <v>24 Feb 2019</v>
      </c>
      <c r="C94" s="267">
        <f t="shared" si="15"/>
        <v>8</v>
      </c>
      <c r="D94">
        <f>MATCH(A94,GCalXMLT[daydate],0)</f>
        <v>93</v>
      </c>
      <c r="E94">
        <f>VALUE("1" &amp; Masacod(INDEX(GCalXMLT[gymasa],D94)) &amp; PaksaCod(INDEX(GCalXMLT[mpaksaid],D94)) &amp; TithiCod(INDEX(GCalXMLT[stithiname],D94)))</f>
        <v>112006</v>
      </c>
      <c r="F94" t="str">
        <f ca="1">INDEX(Parameters!$K$2:$K$16,MATCH(AV94,Parameters!$L$2:$L$16,0))</f>
        <v/>
      </c>
      <c r="G94">
        <f>INDEX(GCalXMLT[fastmark],$D94)</f>
        <v>0</v>
      </c>
      <c r="H94" t="str">
        <f ca="1">INDEX(Parameters!$J$2:$J$16,MATCH(AV94,Parameters!$L$2:$L$16,0))</f>
        <v/>
      </c>
      <c r="I94">
        <f>INDEX(GCalXMLT[dfestival1],$D94)</f>
        <v>0</v>
      </c>
      <c r="J94">
        <f>IF(INDEX(GCalXMLT[dfestival2],$D94)="(Fast today)",INDEX(Festivals!$R$2:$R$180,MATCH($I94,Festivals!$R$2:$R$180,0)+1),INDEX(GCalXMLT[dfestival2],$D94))</f>
        <v>0</v>
      </c>
      <c r="K94">
        <f>IF(I94="Nandotsava","(Fast till noon)",INDEX(GCalXMLT[dfestival3],$D94))</f>
        <v>0</v>
      </c>
      <c r="L94">
        <f>IF(I94="Nandotsava", INDEX(GCalXMLT[dfestival3],$D94),INDEX(GCalXMLT[dfestival4],$D94))</f>
        <v>0</v>
      </c>
      <c r="M94" t="str">
        <f>IFERROR(INDEX(Festivals!$S$2:$S$160,AP94),"")</f>
        <v/>
      </c>
      <c r="N94" t="str">
        <f>IFERROR(IF($AQ94&gt;1,INDEX(Festivals!$S$2:$S$160,$AP94+1),""),"")</f>
        <v/>
      </c>
      <c r="O94" t="str">
        <f>IFERROR(IF($AQ94&gt;2,INDEX(Festivals!$S$2:$S$160,$AP94+2),""),"")</f>
        <v/>
      </c>
      <c r="P94" t="str">
        <f>IFERROR(IF($AQ94&gt;3,INDEX(Festivals!$S$2:$S$160,$AP94+3),""),"")</f>
        <v/>
      </c>
      <c r="Q94" t="str">
        <f>IFERROR(IF($AQ94&gt;4,INDEX(Festivals!$S$2:$S$160,$AP94+4),""),"")</f>
        <v/>
      </c>
      <c r="R94" t="str">
        <f>IFERROR(IF($AQ94&gt;5,INDEX(Festivals!$S$2:$S$160,$AP94+5),""),"")</f>
        <v/>
      </c>
      <c r="S94" t="str">
        <f>IFERROR(IF($AQ94&gt;6,INDEX(Festivals!$S$2:$S$160,$AP94+6),""),"")</f>
        <v/>
      </c>
      <c r="T94">
        <f>INDEX(GCalXMLT[dcaturmasya1],$D94)</f>
        <v>0</v>
      </c>
      <c r="U94">
        <f>INDEX(GCalXMLT[dcaturmasya2],$D94)</f>
        <v>0</v>
      </c>
      <c r="V94" t="str">
        <f>INDEX(GCalXMLT[sankrantirasi],$D94) &amp; " " &amp; INDEX(GCalXMLT[sankrantitime],$D94)</f>
        <v xml:space="preserve"> </v>
      </c>
      <c r="W94" t="str">
        <f ca="1">IFERROR(INDEX('Holidays Calc'!$K$2:$K$233,AR94),"")</f>
        <v/>
      </c>
      <c r="X94" t="str">
        <f ca="1">IF(AR94="","",IF(INDEX('Holidays Calc'!$I$2:$I$233,AR94+1)=A94,INDEX('Holidays Calc'!$K$2:$K$233,AR94+1),""))</f>
        <v/>
      </c>
      <c r="Y94" t="str">
        <f ca="1">IF(AR94="","",IF(INDEX('Holidays Calc'!$I$2:$I$233,AR94+2)=A94,INDEX('Holidays Calc'!$K$2:$K$233,AR94+2),""))</f>
        <v/>
      </c>
      <c r="Z94" t="str">
        <f ca="1">IF(AR94="","",IF(INDEX('Holidays Calc'!$I$2:$I$233,AR94+3)=A94,INDEX('Holidays Calc'!$K$2:$K$2333,AR94+3),""))</f>
        <v/>
      </c>
      <c r="AA94" t="str">
        <f>IF(I94="Last day of Bhisma Pancaka","",IF(G94="*",-0.7,IF(ISBLANK(INDEX(GCalXMLT[dclass1],$D94)),"",INDEX(GCalXMLT[dclass1],$D94))))</f>
        <v/>
      </c>
      <c r="AB94" t="str">
        <f>IF(J94="First day of Bhisma Pancaka","",IF(AND(G94="*",NOT(ISERROR(SEARCH("ekadasi",J94)))),-0.7,IF(ISBLANK(INDEX(GCalXMLT[dclass2],$D94)),"",INDEX(GCalXMLT[dclass2],$D94))))</f>
        <v/>
      </c>
      <c r="AC94" t="str">
        <f>IF(I94="Nandotsava",-1,IF(ISBLANK(INDEX(GCalXMLT[dclass3],$D94)),"",INDEX(GCalXMLT[dclass3],$D94)))</f>
        <v/>
      </c>
      <c r="AD94" t="str">
        <f>IF(I94="Nandotsava",IF(ISBLANK(INDEX(GCalXMLT[dclass3],$D94)),"",INDEX(GCalXMLT[dclass3],$D94)),IF(ISBLANK(INDEX(GCalXMLT[dclass4],$D94)),"",INDEX(GCalXMLT[dclass4],$D94)))</f>
        <v/>
      </c>
      <c r="AE94" t="str">
        <f>IFERROR(INDEX(Festivals!$V$2:$V$160,AP94),"")</f>
        <v/>
      </c>
      <c r="AF94" t="str">
        <f>IFERROR(IF($AQ94&gt;1,INDEX(Festivals!$V$2:$V$160,$AP94+1),""),"")</f>
        <v/>
      </c>
      <c r="AG94" t="str">
        <f>IFERROR(IF($AQ94&gt;2,INDEX(Festivals!$V$2:$V$160,$AP94+2),""),"")</f>
        <v/>
      </c>
      <c r="AH94" t="str">
        <f>IFERROR(IF($AQ94&gt;3,INDEX(Festivals!$V$2:$V$160,$AP94+3),""),"")</f>
        <v/>
      </c>
      <c r="AI94" t="str">
        <f>IFERROR(IF($AQ94&gt;4,INDEX(Festivals!$V$2:$V$160,$AP94+4),""),"")</f>
        <v/>
      </c>
      <c r="AJ94" t="str">
        <f>IFERROR(IF($AQ94&gt;5,INDEX(Festivals!$V$2:$V$160,$AP94+5),""),"")</f>
        <v/>
      </c>
      <c r="AK94" t="str">
        <f>IFERROR(IF($AQ94&gt;6,INDEX(Festivals!$V$2:$V$160,$AP94+6),""),"")</f>
        <v/>
      </c>
      <c r="AL94" t="str">
        <f ca="1">IFERROR(INDEX('Holidays Calc'!$J$2:$J$233,MATCH(A94,'Holidays Calc'!$I$2:$I$233,0)),"")</f>
        <v/>
      </c>
      <c r="AM94" t="str">
        <f ca="1">IF(AR94="","",IF(INDEX('Holidays Calc'!$I$2:$I$233,AR94+1)=A94,INDEX('Holidays Calc'!$J$2:$J$233,AR94+1),""))</f>
        <v/>
      </c>
      <c r="AN94" t="str">
        <f ca="1">IF(AR94="","",IF(INDEX('Holidays Calc'!$I$2:$I$233,AR94+2)=A94,INDEX('Holidays Calc'!$J$2:$J$233,AR94+2),""))</f>
        <v/>
      </c>
      <c r="AO94" t="str">
        <f ca="1">IF(AR94="","",IF(INDEX('Holidays Calc'!$I$2:$I$233,AR94+3)=A94,INDEX('Holidays Calc'!$J$2:$J$233,AR94+3),""))</f>
        <v/>
      </c>
      <c r="AP94" t="str">
        <f>IFERROR(IF($E94=E93,"",MATCH($E94,Festivals!$H$2:$H$160,0)),"")</f>
        <v/>
      </c>
      <c r="AQ94" t="str">
        <f>IF(AP94="","",COUNTIF(Festivals!$H$2:$H$160,$E94))</f>
        <v/>
      </c>
      <c r="AR94" t="str">
        <f ca="1">IFERROR(MATCH(A94,'Holidays Calc'!$I$2:$I$233,0),"")</f>
        <v/>
      </c>
      <c r="AS94" t="str">
        <f t="shared" si="11"/>
        <v/>
      </c>
      <c r="AT94" t="str">
        <f t="shared" si="10"/>
        <v/>
      </c>
      <c r="AU94" t="str">
        <f t="shared" ca="1" si="12"/>
        <v/>
      </c>
      <c r="AV94" t="str">
        <f t="shared" ca="1" si="13"/>
        <v/>
      </c>
    </row>
    <row r="95" spans="1:48" x14ac:dyDescent="0.25">
      <c r="A95" s="265">
        <f t="shared" si="7"/>
        <v>43521</v>
      </c>
      <c r="B95" s="265" t="str">
        <f t="shared" si="14"/>
        <v>25 Feb 2019</v>
      </c>
      <c r="C95" s="267">
        <f t="shared" si="15"/>
        <v>9</v>
      </c>
      <c r="D95">
        <f>MATCH(A95,GCalXMLT[daydate],0)</f>
        <v>94</v>
      </c>
      <c r="E95">
        <f>VALUE("1" &amp; Masacod(INDEX(GCalXMLT[gymasa],D95)) &amp; PaksaCod(INDEX(GCalXMLT[mpaksaid],D95)) &amp; TithiCod(INDEX(GCalXMLT[stithiname],D95)))</f>
        <v>112007</v>
      </c>
      <c r="F95" t="str">
        <f ca="1">INDEX(Parameters!$K$2:$K$16,MATCH(AV95,Parameters!$L$2:$L$16,0))</f>
        <v/>
      </c>
      <c r="G95">
        <f>INDEX(GCalXMLT[fastmark],$D95)</f>
        <v>0</v>
      </c>
      <c r="H95" t="str">
        <f ca="1">INDEX(Parameters!$J$2:$J$16,MATCH(AV95,Parameters!$L$2:$L$16,0))</f>
        <v/>
      </c>
      <c r="I95">
        <f>INDEX(GCalXMLT[dfestival1],$D95)</f>
        <v>0</v>
      </c>
      <c r="J95">
        <f>IF(INDEX(GCalXMLT[dfestival2],$D95)="(Fast today)",INDEX(Festivals!$R$2:$R$180,MATCH($I95,Festivals!$R$2:$R$180,0)+1),INDEX(GCalXMLT[dfestival2],$D95))</f>
        <v>0</v>
      </c>
      <c r="K95">
        <f>IF(I95="Nandotsava","(Fast till noon)",INDEX(GCalXMLT[dfestival3],$D95))</f>
        <v>0</v>
      </c>
      <c r="L95">
        <f>IF(I95="Nandotsava", INDEX(GCalXMLT[dfestival3],$D95),INDEX(GCalXMLT[dfestival4],$D95))</f>
        <v>0</v>
      </c>
      <c r="M95" t="str">
        <f>IFERROR(INDEX(Festivals!$S$2:$S$160,AP95),"")</f>
        <v/>
      </c>
      <c r="N95" t="str">
        <f>IFERROR(IF($AQ95&gt;1,INDEX(Festivals!$S$2:$S$160,$AP95+1),""),"")</f>
        <v/>
      </c>
      <c r="O95" t="str">
        <f>IFERROR(IF($AQ95&gt;2,INDEX(Festivals!$S$2:$S$160,$AP95+2),""),"")</f>
        <v/>
      </c>
      <c r="P95" t="str">
        <f>IFERROR(IF($AQ95&gt;3,INDEX(Festivals!$S$2:$S$160,$AP95+3),""),"")</f>
        <v/>
      </c>
      <c r="Q95" t="str">
        <f>IFERROR(IF($AQ95&gt;4,INDEX(Festivals!$S$2:$S$160,$AP95+4),""),"")</f>
        <v/>
      </c>
      <c r="R95" t="str">
        <f>IFERROR(IF($AQ95&gt;5,INDEX(Festivals!$S$2:$S$160,$AP95+5),""),"")</f>
        <v/>
      </c>
      <c r="S95" t="str">
        <f>IFERROR(IF($AQ95&gt;6,INDEX(Festivals!$S$2:$S$160,$AP95+6),""),"")</f>
        <v/>
      </c>
      <c r="T95">
        <f>INDEX(GCalXMLT[dcaturmasya1],$D95)</f>
        <v>0</v>
      </c>
      <c r="U95">
        <f>INDEX(GCalXMLT[dcaturmasya2],$D95)</f>
        <v>0</v>
      </c>
      <c r="V95" t="str">
        <f>INDEX(GCalXMLT[sankrantirasi],$D95) &amp; " " &amp; INDEX(GCalXMLT[sankrantitime],$D95)</f>
        <v xml:space="preserve"> </v>
      </c>
      <c r="W95" t="str">
        <f ca="1">IFERROR(INDEX('Holidays Calc'!$K$2:$K$233,AR95),"")</f>
        <v/>
      </c>
      <c r="X95" t="str">
        <f ca="1">IF(AR95="","",IF(INDEX('Holidays Calc'!$I$2:$I$233,AR95+1)=A95,INDEX('Holidays Calc'!$K$2:$K$233,AR95+1),""))</f>
        <v/>
      </c>
      <c r="Y95" t="str">
        <f ca="1">IF(AR95="","",IF(INDEX('Holidays Calc'!$I$2:$I$233,AR95+2)=A95,INDEX('Holidays Calc'!$K$2:$K$233,AR95+2),""))</f>
        <v/>
      </c>
      <c r="Z95" t="str">
        <f ca="1">IF(AR95="","",IF(INDEX('Holidays Calc'!$I$2:$I$233,AR95+3)=A95,INDEX('Holidays Calc'!$K$2:$K$2333,AR95+3),""))</f>
        <v/>
      </c>
      <c r="AA95" t="str">
        <f>IF(I95="Last day of Bhisma Pancaka","",IF(G95="*",-0.7,IF(ISBLANK(INDEX(GCalXMLT[dclass1],$D95)),"",INDEX(GCalXMLT[dclass1],$D95))))</f>
        <v/>
      </c>
      <c r="AB95" t="str">
        <f>IF(J95="First day of Bhisma Pancaka","",IF(AND(G95="*",NOT(ISERROR(SEARCH("ekadasi",J95)))),-0.7,IF(ISBLANK(INDEX(GCalXMLT[dclass2],$D95)),"",INDEX(GCalXMLT[dclass2],$D95))))</f>
        <v/>
      </c>
      <c r="AC95" t="str">
        <f>IF(I95="Nandotsava",-1,IF(ISBLANK(INDEX(GCalXMLT[dclass3],$D95)),"",INDEX(GCalXMLT[dclass3],$D95)))</f>
        <v/>
      </c>
      <c r="AD95" t="str">
        <f>IF(I95="Nandotsava",IF(ISBLANK(INDEX(GCalXMLT[dclass3],$D95)),"",INDEX(GCalXMLT[dclass3],$D95)),IF(ISBLANK(INDEX(GCalXMLT[dclass4],$D95)),"",INDEX(GCalXMLT[dclass4],$D95)))</f>
        <v/>
      </c>
      <c r="AE95" t="str">
        <f>IFERROR(INDEX(Festivals!$V$2:$V$160,AP95),"")</f>
        <v/>
      </c>
      <c r="AF95" t="str">
        <f>IFERROR(IF($AQ95&gt;1,INDEX(Festivals!$V$2:$V$160,$AP95+1),""),"")</f>
        <v/>
      </c>
      <c r="AG95" t="str">
        <f>IFERROR(IF($AQ95&gt;2,INDEX(Festivals!$V$2:$V$160,$AP95+2),""),"")</f>
        <v/>
      </c>
      <c r="AH95" t="str">
        <f>IFERROR(IF($AQ95&gt;3,INDEX(Festivals!$V$2:$V$160,$AP95+3),""),"")</f>
        <v/>
      </c>
      <c r="AI95" t="str">
        <f>IFERROR(IF($AQ95&gt;4,INDEX(Festivals!$V$2:$V$160,$AP95+4),""),"")</f>
        <v/>
      </c>
      <c r="AJ95" t="str">
        <f>IFERROR(IF($AQ95&gt;5,INDEX(Festivals!$V$2:$V$160,$AP95+5),""),"")</f>
        <v/>
      </c>
      <c r="AK95" t="str">
        <f>IFERROR(IF($AQ95&gt;6,INDEX(Festivals!$V$2:$V$160,$AP95+6),""),"")</f>
        <v/>
      </c>
      <c r="AL95" t="str">
        <f ca="1">IFERROR(INDEX('Holidays Calc'!$J$2:$J$233,MATCH(A95,'Holidays Calc'!$I$2:$I$233,0)),"")</f>
        <v/>
      </c>
      <c r="AM95" t="str">
        <f ca="1">IF(AR95="","",IF(INDEX('Holidays Calc'!$I$2:$I$233,AR95+1)=A95,INDEX('Holidays Calc'!$J$2:$J$233,AR95+1),""))</f>
        <v/>
      </c>
      <c r="AN95" t="str">
        <f ca="1">IF(AR95="","",IF(INDEX('Holidays Calc'!$I$2:$I$233,AR95+2)=A95,INDEX('Holidays Calc'!$J$2:$J$233,AR95+2),""))</f>
        <v/>
      </c>
      <c r="AO95" t="str">
        <f ca="1">IF(AR95="","",IF(INDEX('Holidays Calc'!$I$2:$I$233,AR95+3)=A95,INDEX('Holidays Calc'!$J$2:$J$233,AR95+3),""))</f>
        <v/>
      </c>
      <c r="AP95" t="str">
        <f>IFERROR(IF($E95=E94,"",MATCH($E95,Festivals!$H$2:$H$160,0)),"")</f>
        <v/>
      </c>
      <c r="AQ95" t="str">
        <f>IF(AP95="","",COUNTIF(Festivals!$H$2:$H$160,$E95))</f>
        <v/>
      </c>
      <c r="AR95" t="str">
        <f ca="1">IFERROR(MATCH(A95,'Holidays Calc'!$I$2:$I$233,0),"")</f>
        <v/>
      </c>
      <c r="AS95" t="str">
        <f t="shared" si="11"/>
        <v/>
      </c>
      <c r="AT95" t="str">
        <f t="shared" si="10"/>
        <v/>
      </c>
      <c r="AU95" t="str">
        <f t="shared" ca="1" si="12"/>
        <v/>
      </c>
      <c r="AV95" t="str">
        <f t="shared" ca="1" si="13"/>
        <v/>
      </c>
    </row>
    <row r="96" spans="1:48" x14ac:dyDescent="0.25">
      <c r="A96" s="265">
        <f t="shared" si="7"/>
        <v>43522</v>
      </c>
      <c r="B96" s="265" t="str">
        <f t="shared" si="14"/>
        <v>26 Feb 2019</v>
      </c>
      <c r="C96" s="267">
        <f t="shared" si="15"/>
        <v>9</v>
      </c>
      <c r="D96">
        <f>MATCH(A96,GCalXMLT[daydate],0)</f>
        <v>95</v>
      </c>
      <c r="E96">
        <f>VALUE("1" &amp; Masacod(INDEX(GCalXMLT[gymasa],D96)) &amp; PaksaCod(INDEX(GCalXMLT[mpaksaid],D96)) &amp; TithiCod(INDEX(GCalXMLT[stithiname],D96)))</f>
        <v>112008</v>
      </c>
      <c r="F96" t="str">
        <f ca="1">INDEX(Parameters!$K$2:$K$16,MATCH(AV96,Parameters!$L$2:$L$16,0))</f>
        <v/>
      </c>
      <c r="G96">
        <f>INDEX(GCalXMLT[fastmark],$D96)</f>
        <v>0</v>
      </c>
      <c r="H96" t="str">
        <f ca="1">INDEX(Parameters!$J$2:$J$16,MATCH(AV96,Parameters!$L$2:$L$16,0))</f>
        <v/>
      </c>
      <c r="I96">
        <f>INDEX(GCalXMLT[dfestival1],$D96)</f>
        <v>0</v>
      </c>
      <c r="J96">
        <f>IF(INDEX(GCalXMLT[dfestival2],$D96)="(Fast today)",INDEX(Festivals!$R$2:$R$180,MATCH($I96,Festivals!$R$2:$R$180,0)+1),INDEX(GCalXMLT[dfestival2],$D96))</f>
        <v>0</v>
      </c>
      <c r="K96">
        <f>IF(I96="Nandotsava","(Fast till noon)",INDEX(GCalXMLT[dfestival3],$D96))</f>
        <v>0</v>
      </c>
      <c r="L96">
        <f>IF(I96="Nandotsava", INDEX(GCalXMLT[dfestival3],$D96),INDEX(GCalXMLT[dfestival4],$D96))</f>
        <v>0</v>
      </c>
      <c r="M96" t="str">
        <f>IFERROR(INDEX(Festivals!$S$2:$S$160,AP96),"")</f>
        <v/>
      </c>
      <c r="N96" t="str">
        <f>IFERROR(IF($AQ96&gt;1,INDEX(Festivals!$S$2:$S$160,$AP96+1),""),"")</f>
        <v/>
      </c>
      <c r="O96" t="str">
        <f>IFERROR(IF($AQ96&gt;2,INDEX(Festivals!$S$2:$S$160,$AP96+2),""),"")</f>
        <v/>
      </c>
      <c r="P96" t="str">
        <f>IFERROR(IF($AQ96&gt;3,INDEX(Festivals!$S$2:$S$160,$AP96+3),""),"")</f>
        <v/>
      </c>
      <c r="Q96" t="str">
        <f>IFERROR(IF($AQ96&gt;4,INDEX(Festivals!$S$2:$S$160,$AP96+4),""),"")</f>
        <v/>
      </c>
      <c r="R96" t="str">
        <f>IFERROR(IF($AQ96&gt;5,INDEX(Festivals!$S$2:$S$160,$AP96+5),""),"")</f>
        <v/>
      </c>
      <c r="S96" t="str">
        <f>IFERROR(IF($AQ96&gt;6,INDEX(Festivals!$S$2:$S$160,$AP96+6),""),"")</f>
        <v/>
      </c>
      <c r="T96">
        <f>INDEX(GCalXMLT[dcaturmasya1],$D96)</f>
        <v>0</v>
      </c>
      <c r="U96">
        <f>INDEX(GCalXMLT[dcaturmasya2],$D96)</f>
        <v>0</v>
      </c>
      <c r="V96" t="str">
        <f>INDEX(GCalXMLT[sankrantirasi],$D96) &amp; " " &amp; INDEX(GCalXMLT[sankrantitime],$D96)</f>
        <v xml:space="preserve"> </v>
      </c>
      <c r="W96" t="str">
        <f ca="1">IFERROR(INDEX('Holidays Calc'!$K$2:$K$233,AR96),"")</f>
        <v/>
      </c>
      <c r="X96" t="str">
        <f ca="1">IF(AR96="","",IF(INDEX('Holidays Calc'!$I$2:$I$233,AR96+1)=A96,INDEX('Holidays Calc'!$K$2:$K$233,AR96+1),""))</f>
        <v/>
      </c>
      <c r="Y96" t="str">
        <f ca="1">IF(AR96="","",IF(INDEX('Holidays Calc'!$I$2:$I$233,AR96+2)=A96,INDEX('Holidays Calc'!$K$2:$K$233,AR96+2),""))</f>
        <v/>
      </c>
      <c r="Z96" t="str">
        <f ca="1">IF(AR96="","",IF(INDEX('Holidays Calc'!$I$2:$I$233,AR96+3)=A96,INDEX('Holidays Calc'!$K$2:$K$2333,AR96+3),""))</f>
        <v/>
      </c>
      <c r="AA96" t="str">
        <f>IF(I96="Last day of Bhisma Pancaka","",IF(G96="*",-0.7,IF(ISBLANK(INDEX(GCalXMLT[dclass1],$D96)),"",INDEX(GCalXMLT[dclass1],$D96))))</f>
        <v/>
      </c>
      <c r="AB96" t="str">
        <f>IF(J96="First day of Bhisma Pancaka","",IF(AND(G96="*",NOT(ISERROR(SEARCH("ekadasi",J96)))),-0.7,IF(ISBLANK(INDEX(GCalXMLT[dclass2],$D96)),"",INDEX(GCalXMLT[dclass2],$D96))))</f>
        <v/>
      </c>
      <c r="AC96" t="str">
        <f>IF(I96="Nandotsava",-1,IF(ISBLANK(INDEX(GCalXMLT[dclass3],$D96)),"",INDEX(GCalXMLT[dclass3],$D96)))</f>
        <v/>
      </c>
      <c r="AD96" t="str">
        <f>IF(I96="Nandotsava",IF(ISBLANK(INDEX(GCalXMLT[dclass3],$D96)),"",INDEX(GCalXMLT[dclass3],$D96)),IF(ISBLANK(INDEX(GCalXMLT[dclass4],$D96)),"",INDEX(GCalXMLT[dclass4],$D96)))</f>
        <v/>
      </c>
      <c r="AE96" t="str">
        <f>IFERROR(INDEX(Festivals!$V$2:$V$160,AP96),"")</f>
        <v/>
      </c>
      <c r="AF96" t="str">
        <f>IFERROR(IF($AQ96&gt;1,INDEX(Festivals!$V$2:$V$160,$AP96+1),""),"")</f>
        <v/>
      </c>
      <c r="AG96" t="str">
        <f>IFERROR(IF($AQ96&gt;2,INDEX(Festivals!$V$2:$V$160,$AP96+2),""),"")</f>
        <v/>
      </c>
      <c r="AH96" t="str">
        <f>IFERROR(IF($AQ96&gt;3,INDEX(Festivals!$V$2:$V$160,$AP96+3),""),"")</f>
        <v/>
      </c>
      <c r="AI96" t="str">
        <f>IFERROR(IF($AQ96&gt;4,INDEX(Festivals!$V$2:$V$160,$AP96+4),""),"")</f>
        <v/>
      </c>
      <c r="AJ96" t="str">
        <f>IFERROR(IF($AQ96&gt;5,INDEX(Festivals!$V$2:$V$160,$AP96+5),""),"")</f>
        <v/>
      </c>
      <c r="AK96" t="str">
        <f>IFERROR(IF($AQ96&gt;6,INDEX(Festivals!$V$2:$V$160,$AP96+6),""),"")</f>
        <v/>
      </c>
      <c r="AL96" t="str">
        <f ca="1">IFERROR(INDEX('Holidays Calc'!$J$2:$J$233,MATCH(A96,'Holidays Calc'!$I$2:$I$233,0)),"")</f>
        <v/>
      </c>
      <c r="AM96" t="str">
        <f ca="1">IF(AR96="","",IF(INDEX('Holidays Calc'!$I$2:$I$233,AR96+1)=A96,INDEX('Holidays Calc'!$J$2:$J$233,AR96+1),""))</f>
        <v/>
      </c>
      <c r="AN96" t="str">
        <f ca="1">IF(AR96="","",IF(INDEX('Holidays Calc'!$I$2:$I$233,AR96+2)=A96,INDEX('Holidays Calc'!$J$2:$J$233,AR96+2),""))</f>
        <v/>
      </c>
      <c r="AO96" t="str">
        <f ca="1">IF(AR96="","",IF(INDEX('Holidays Calc'!$I$2:$I$233,AR96+3)=A96,INDEX('Holidays Calc'!$J$2:$J$233,AR96+3),""))</f>
        <v/>
      </c>
      <c r="AP96" t="str">
        <f>IFERROR(IF($E96=E95,"",MATCH($E96,Festivals!$H$2:$H$160,0)),"")</f>
        <v/>
      </c>
      <c r="AQ96" t="str">
        <f>IF(AP96="","",COUNTIF(Festivals!$H$2:$H$160,$E96))</f>
        <v/>
      </c>
      <c r="AR96" t="str">
        <f ca="1">IFERROR(MATCH(A96,'Holidays Calc'!$I$2:$I$233,0),"")</f>
        <v/>
      </c>
      <c r="AS96" t="str">
        <f t="shared" si="11"/>
        <v/>
      </c>
      <c r="AT96" t="str">
        <f t="shared" si="10"/>
        <v/>
      </c>
      <c r="AU96" t="str">
        <f t="shared" ca="1" si="12"/>
        <v/>
      </c>
      <c r="AV96" t="str">
        <f t="shared" ca="1" si="13"/>
        <v/>
      </c>
    </row>
    <row r="97" spans="1:48" x14ac:dyDescent="0.25">
      <c r="A97" s="265">
        <f t="shared" si="7"/>
        <v>43523</v>
      </c>
      <c r="B97" s="265" t="str">
        <f t="shared" si="14"/>
        <v>27 Feb 2019</v>
      </c>
      <c r="C97" s="267">
        <f t="shared" si="15"/>
        <v>9</v>
      </c>
      <c r="D97">
        <f>MATCH(A97,GCalXMLT[daydate],0)</f>
        <v>96</v>
      </c>
      <c r="E97">
        <f>VALUE("1" &amp; Masacod(INDEX(GCalXMLT[gymasa],D97)) &amp; PaksaCod(INDEX(GCalXMLT[mpaksaid],D97)) &amp; TithiCod(INDEX(GCalXMLT[stithiname],D97)))</f>
        <v>112009</v>
      </c>
      <c r="F97" t="str">
        <f ca="1">INDEX(Parameters!$K$2:$K$16,MATCH(AV97,Parameters!$L$2:$L$16,0))</f>
        <v/>
      </c>
      <c r="G97">
        <f>INDEX(GCalXMLT[fastmark],$D97)</f>
        <v>0</v>
      </c>
      <c r="H97" t="str">
        <f ca="1">INDEX(Parameters!$J$2:$J$16,MATCH(AV97,Parameters!$L$2:$L$16,0))</f>
        <v/>
      </c>
      <c r="I97">
        <f>INDEX(GCalXMLT[dfestival1],$D97)</f>
        <v>0</v>
      </c>
      <c r="J97">
        <f>IF(INDEX(GCalXMLT[dfestival2],$D97)="(Fast today)",INDEX(Festivals!$R$2:$R$180,MATCH($I97,Festivals!$R$2:$R$180,0)+1),INDEX(GCalXMLT[dfestival2],$D97))</f>
        <v>0</v>
      </c>
      <c r="K97">
        <f>IF(I97="Nandotsava","(Fast till noon)",INDEX(GCalXMLT[dfestival3],$D97))</f>
        <v>0</v>
      </c>
      <c r="L97">
        <f>IF(I97="Nandotsava", INDEX(GCalXMLT[dfestival3],$D97),INDEX(GCalXMLT[dfestival4],$D97))</f>
        <v>0</v>
      </c>
      <c r="M97" t="str">
        <f>IFERROR(INDEX(Festivals!$S$2:$S$160,AP97),"")</f>
        <v/>
      </c>
      <c r="N97" t="str">
        <f>IFERROR(IF($AQ97&gt;1,INDEX(Festivals!$S$2:$S$160,$AP97+1),""),"")</f>
        <v/>
      </c>
      <c r="O97" t="str">
        <f>IFERROR(IF($AQ97&gt;2,INDEX(Festivals!$S$2:$S$160,$AP97+2),""),"")</f>
        <v/>
      </c>
      <c r="P97" t="str">
        <f>IFERROR(IF($AQ97&gt;3,INDEX(Festivals!$S$2:$S$160,$AP97+3),""),"")</f>
        <v/>
      </c>
      <c r="Q97" t="str">
        <f>IFERROR(IF($AQ97&gt;4,INDEX(Festivals!$S$2:$S$160,$AP97+4),""),"")</f>
        <v/>
      </c>
      <c r="R97" t="str">
        <f>IFERROR(IF($AQ97&gt;5,INDEX(Festivals!$S$2:$S$160,$AP97+5),""),"")</f>
        <v/>
      </c>
      <c r="S97" t="str">
        <f>IFERROR(IF($AQ97&gt;6,INDEX(Festivals!$S$2:$S$160,$AP97+6),""),"")</f>
        <v/>
      </c>
      <c r="T97">
        <f>INDEX(GCalXMLT[dcaturmasya1],$D97)</f>
        <v>0</v>
      </c>
      <c r="U97">
        <f>INDEX(GCalXMLT[dcaturmasya2],$D97)</f>
        <v>0</v>
      </c>
      <c r="V97" t="str">
        <f>INDEX(GCalXMLT[sankrantirasi],$D97) &amp; " " &amp; INDEX(GCalXMLT[sankrantitime],$D97)</f>
        <v xml:space="preserve"> </v>
      </c>
      <c r="W97" t="str">
        <f ca="1">IFERROR(INDEX('Holidays Calc'!$K$2:$K$233,AR97),"")</f>
        <v/>
      </c>
      <c r="X97" t="str">
        <f ca="1">IF(AR97="","",IF(INDEX('Holidays Calc'!$I$2:$I$233,AR97+1)=A97,INDEX('Holidays Calc'!$K$2:$K$233,AR97+1),""))</f>
        <v/>
      </c>
      <c r="Y97" t="str">
        <f ca="1">IF(AR97="","",IF(INDEX('Holidays Calc'!$I$2:$I$233,AR97+2)=A97,INDEX('Holidays Calc'!$K$2:$K$233,AR97+2),""))</f>
        <v/>
      </c>
      <c r="Z97" t="str">
        <f ca="1">IF(AR97="","",IF(INDEX('Holidays Calc'!$I$2:$I$233,AR97+3)=A97,INDEX('Holidays Calc'!$K$2:$K$2333,AR97+3),""))</f>
        <v/>
      </c>
      <c r="AA97" t="str">
        <f>IF(I97="Last day of Bhisma Pancaka","",IF(G97="*",-0.7,IF(ISBLANK(INDEX(GCalXMLT[dclass1],$D97)),"",INDEX(GCalXMLT[dclass1],$D97))))</f>
        <v/>
      </c>
      <c r="AB97" t="str">
        <f>IF(J97="First day of Bhisma Pancaka","",IF(AND(G97="*",NOT(ISERROR(SEARCH("ekadasi",J97)))),-0.7,IF(ISBLANK(INDEX(GCalXMLT[dclass2],$D97)),"",INDEX(GCalXMLT[dclass2],$D97))))</f>
        <v/>
      </c>
      <c r="AC97" t="str">
        <f>IF(I97="Nandotsava",-1,IF(ISBLANK(INDEX(GCalXMLT[dclass3],$D97)),"",INDEX(GCalXMLT[dclass3],$D97)))</f>
        <v/>
      </c>
      <c r="AD97" t="str">
        <f>IF(I97="Nandotsava",IF(ISBLANK(INDEX(GCalXMLT[dclass3],$D97)),"",INDEX(GCalXMLT[dclass3],$D97)),IF(ISBLANK(INDEX(GCalXMLT[dclass4],$D97)),"",INDEX(GCalXMLT[dclass4],$D97)))</f>
        <v/>
      </c>
      <c r="AE97" t="str">
        <f>IFERROR(INDEX(Festivals!$V$2:$V$160,AP97),"")</f>
        <v/>
      </c>
      <c r="AF97" t="str">
        <f>IFERROR(IF($AQ97&gt;1,INDEX(Festivals!$V$2:$V$160,$AP97+1),""),"")</f>
        <v/>
      </c>
      <c r="AG97" t="str">
        <f>IFERROR(IF($AQ97&gt;2,INDEX(Festivals!$V$2:$V$160,$AP97+2),""),"")</f>
        <v/>
      </c>
      <c r="AH97" t="str">
        <f>IFERROR(IF($AQ97&gt;3,INDEX(Festivals!$V$2:$V$160,$AP97+3),""),"")</f>
        <v/>
      </c>
      <c r="AI97" t="str">
        <f>IFERROR(IF($AQ97&gt;4,INDEX(Festivals!$V$2:$V$160,$AP97+4),""),"")</f>
        <v/>
      </c>
      <c r="AJ97" t="str">
        <f>IFERROR(IF($AQ97&gt;5,INDEX(Festivals!$V$2:$V$160,$AP97+5),""),"")</f>
        <v/>
      </c>
      <c r="AK97" t="str">
        <f>IFERROR(IF($AQ97&gt;6,INDEX(Festivals!$V$2:$V$160,$AP97+6),""),"")</f>
        <v/>
      </c>
      <c r="AL97" t="str">
        <f ca="1">IFERROR(INDEX('Holidays Calc'!$J$2:$J$233,MATCH(A97,'Holidays Calc'!$I$2:$I$233,0)),"")</f>
        <v/>
      </c>
      <c r="AM97" t="str">
        <f ca="1">IF(AR97="","",IF(INDEX('Holidays Calc'!$I$2:$I$233,AR97+1)=A97,INDEX('Holidays Calc'!$J$2:$J$233,AR97+1),""))</f>
        <v/>
      </c>
      <c r="AN97" t="str">
        <f ca="1">IF(AR97="","",IF(INDEX('Holidays Calc'!$I$2:$I$233,AR97+2)=A97,INDEX('Holidays Calc'!$J$2:$J$233,AR97+2),""))</f>
        <v/>
      </c>
      <c r="AO97" t="str">
        <f ca="1">IF(AR97="","",IF(INDEX('Holidays Calc'!$I$2:$I$233,AR97+3)=A97,INDEX('Holidays Calc'!$J$2:$J$233,AR97+3),""))</f>
        <v/>
      </c>
      <c r="AP97" t="str">
        <f>IFERROR(IF($E97=E96,"",MATCH($E97,Festivals!$H$2:$H$160,0)),"")</f>
        <v/>
      </c>
      <c r="AQ97" t="str">
        <f>IF(AP97="","",COUNTIF(Festivals!$H$2:$H$160,$E97))</f>
        <v/>
      </c>
      <c r="AR97" t="str">
        <f ca="1">IFERROR(MATCH(A97,'Holidays Calc'!$I$2:$I$233,0),"")</f>
        <v/>
      </c>
      <c r="AS97" t="str">
        <f t="shared" si="11"/>
        <v/>
      </c>
      <c r="AT97" t="str">
        <f t="shared" si="10"/>
        <v/>
      </c>
      <c r="AU97" t="str">
        <f t="shared" ca="1" si="12"/>
        <v/>
      </c>
      <c r="AV97" t="str">
        <f t="shared" ca="1" si="13"/>
        <v/>
      </c>
    </row>
    <row r="98" spans="1:48" x14ac:dyDescent="0.25">
      <c r="A98" s="265">
        <f t="shared" si="7"/>
        <v>43524</v>
      </c>
      <c r="B98" s="265" t="str">
        <f t="shared" si="14"/>
        <v>28 Feb 2019</v>
      </c>
      <c r="C98" s="267">
        <f t="shared" si="15"/>
        <v>9</v>
      </c>
      <c r="D98">
        <f>MATCH(A98,GCalXMLT[daydate],0)</f>
        <v>97</v>
      </c>
      <c r="E98">
        <f>VALUE("1" &amp; Masacod(INDEX(GCalXMLT[gymasa],D98)) &amp; PaksaCod(INDEX(GCalXMLT[mpaksaid],D98)) &amp; TithiCod(INDEX(GCalXMLT[stithiname],D98)))</f>
        <v>112010</v>
      </c>
      <c r="F98" t="str">
        <f ca="1">INDEX(Parameters!$K$2:$K$16,MATCH(AV98,Parameters!$L$2:$L$16,0))</f>
        <v/>
      </c>
      <c r="G98">
        <f>INDEX(GCalXMLT[fastmark],$D98)</f>
        <v>0</v>
      </c>
      <c r="H98" t="str">
        <f ca="1">INDEX(Parameters!$J$2:$J$16,MATCH(AV98,Parameters!$L$2:$L$16,0))</f>
        <v/>
      </c>
      <c r="I98">
        <f>INDEX(GCalXMLT[dfestival1],$D98)</f>
        <v>0</v>
      </c>
      <c r="J98">
        <f>IF(INDEX(GCalXMLT[dfestival2],$D98)="(Fast today)",INDEX(Festivals!$R$2:$R$180,MATCH($I98,Festivals!$R$2:$R$180,0)+1),INDEX(GCalXMLT[dfestival2],$D98))</f>
        <v>0</v>
      </c>
      <c r="K98">
        <f>IF(I98="Nandotsava","(Fast till noon)",INDEX(GCalXMLT[dfestival3],$D98))</f>
        <v>0</v>
      </c>
      <c r="L98">
        <f>IF(I98="Nandotsava", INDEX(GCalXMLT[dfestival3],$D98),INDEX(GCalXMLT[dfestival4],$D98))</f>
        <v>0</v>
      </c>
      <c r="M98" t="str">
        <f>IFERROR(INDEX(Festivals!$S$2:$S$160,AP98),"")</f>
        <v/>
      </c>
      <c r="N98" t="str">
        <f>IFERROR(IF($AQ98&gt;1,INDEX(Festivals!$S$2:$S$160,$AP98+1),""),"")</f>
        <v/>
      </c>
      <c r="O98" t="str">
        <f>IFERROR(IF($AQ98&gt;2,INDEX(Festivals!$S$2:$S$160,$AP98+2),""),"")</f>
        <v/>
      </c>
      <c r="P98" t="str">
        <f>IFERROR(IF($AQ98&gt;3,INDEX(Festivals!$S$2:$S$160,$AP98+3),""),"")</f>
        <v/>
      </c>
      <c r="Q98" t="str">
        <f>IFERROR(IF($AQ98&gt;4,INDEX(Festivals!$S$2:$S$160,$AP98+4),""),"")</f>
        <v/>
      </c>
      <c r="R98" t="str">
        <f>IFERROR(IF($AQ98&gt;5,INDEX(Festivals!$S$2:$S$160,$AP98+5),""),"")</f>
        <v/>
      </c>
      <c r="S98" t="str">
        <f>IFERROR(IF($AQ98&gt;6,INDEX(Festivals!$S$2:$S$160,$AP98+6),""),"")</f>
        <v/>
      </c>
      <c r="T98">
        <f>INDEX(GCalXMLT[dcaturmasya1],$D98)</f>
        <v>0</v>
      </c>
      <c r="U98">
        <f>INDEX(GCalXMLT[dcaturmasya2],$D98)</f>
        <v>0</v>
      </c>
      <c r="V98" t="str">
        <f>INDEX(GCalXMLT[sankrantirasi],$D98) &amp; " " &amp; INDEX(GCalXMLT[sankrantitime],$D98)</f>
        <v xml:space="preserve"> </v>
      </c>
      <c r="W98" t="str">
        <f ca="1">IFERROR(INDEX('Holidays Calc'!$K$2:$K$233,AR98),"")</f>
        <v/>
      </c>
      <c r="X98" t="str">
        <f ca="1">IF(AR98="","",IF(INDEX('Holidays Calc'!$I$2:$I$233,AR98+1)=A98,INDEX('Holidays Calc'!$K$2:$K$233,AR98+1),""))</f>
        <v/>
      </c>
      <c r="Y98" t="str">
        <f ca="1">IF(AR98="","",IF(INDEX('Holidays Calc'!$I$2:$I$233,AR98+2)=A98,INDEX('Holidays Calc'!$K$2:$K$233,AR98+2),""))</f>
        <v/>
      </c>
      <c r="Z98" t="str">
        <f ca="1">IF(AR98="","",IF(INDEX('Holidays Calc'!$I$2:$I$233,AR98+3)=A98,INDEX('Holidays Calc'!$K$2:$K$2333,AR98+3),""))</f>
        <v/>
      </c>
      <c r="AA98" t="str">
        <f>IF(I98="Last day of Bhisma Pancaka","",IF(G98="*",-0.7,IF(ISBLANK(INDEX(GCalXMLT[dclass1],$D98)),"",INDEX(GCalXMLT[dclass1],$D98))))</f>
        <v/>
      </c>
      <c r="AB98" t="str">
        <f>IF(J98="First day of Bhisma Pancaka","",IF(AND(G98="*",NOT(ISERROR(SEARCH("ekadasi",J98)))),-0.7,IF(ISBLANK(INDEX(GCalXMLT[dclass2],$D98)),"",INDEX(GCalXMLT[dclass2],$D98))))</f>
        <v/>
      </c>
      <c r="AC98" t="str">
        <f>IF(I98="Nandotsava",-1,IF(ISBLANK(INDEX(GCalXMLT[dclass3],$D98)),"",INDEX(GCalXMLT[dclass3],$D98)))</f>
        <v/>
      </c>
      <c r="AD98" t="str">
        <f>IF(I98="Nandotsava",IF(ISBLANK(INDEX(GCalXMLT[dclass3],$D98)),"",INDEX(GCalXMLT[dclass3],$D98)),IF(ISBLANK(INDEX(GCalXMLT[dclass4],$D98)),"",INDEX(GCalXMLT[dclass4],$D98)))</f>
        <v/>
      </c>
      <c r="AE98" t="str">
        <f>IFERROR(INDEX(Festivals!$V$2:$V$160,AP98),"")</f>
        <v/>
      </c>
      <c r="AF98" t="str">
        <f>IFERROR(IF($AQ98&gt;1,INDEX(Festivals!$V$2:$V$160,$AP98+1),""),"")</f>
        <v/>
      </c>
      <c r="AG98" t="str">
        <f>IFERROR(IF($AQ98&gt;2,INDEX(Festivals!$V$2:$V$160,$AP98+2),""),"")</f>
        <v/>
      </c>
      <c r="AH98" t="str">
        <f>IFERROR(IF($AQ98&gt;3,INDEX(Festivals!$V$2:$V$160,$AP98+3),""),"")</f>
        <v/>
      </c>
      <c r="AI98" t="str">
        <f>IFERROR(IF($AQ98&gt;4,INDEX(Festivals!$V$2:$V$160,$AP98+4),""),"")</f>
        <v/>
      </c>
      <c r="AJ98" t="str">
        <f>IFERROR(IF($AQ98&gt;5,INDEX(Festivals!$V$2:$V$160,$AP98+5),""),"")</f>
        <v/>
      </c>
      <c r="AK98" t="str">
        <f>IFERROR(IF($AQ98&gt;6,INDEX(Festivals!$V$2:$V$160,$AP98+6),""),"")</f>
        <v/>
      </c>
      <c r="AL98" t="str">
        <f ca="1">IFERROR(INDEX('Holidays Calc'!$J$2:$J$233,MATCH(A98,'Holidays Calc'!$I$2:$I$233,0)),"")</f>
        <v/>
      </c>
      <c r="AM98" t="str">
        <f ca="1">IF(AR98="","",IF(INDEX('Holidays Calc'!$I$2:$I$233,AR98+1)=A98,INDEX('Holidays Calc'!$J$2:$J$233,AR98+1),""))</f>
        <v/>
      </c>
      <c r="AN98" t="str">
        <f ca="1">IF(AR98="","",IF(INDEX('Holidays Calc'!$I$2:$I$233,AR98+2)=A98,INDEX('Holidays Calc'!$J$2:$J$233,AR98+2),""))</f>
        <v/>
      </c>
      <c r="AO98" t="str">
        <f ca="1">IF(AR98="","",IF(INDEX('Holidays Calc'!$I$2:$I$233,AR98+3)=A98,INDEX('Holidays Calc'!$J$2:$J$233,AR98+3),""))</f>
        <v/>
      </c>
      <c r="AP98" t="str">
        <f>IFERROR(IF($E98=E97,"",MATCH($E98,Festivals!$H$2:$H$160,0)),"")</f>
        <v/>
      </c>
      <c r="AQ98" t="str">
        <f>IF(AP98="","",COUNTIF(Festivals!$H$2:$H$160,$E98))</f>
        <v/>
      </c>
      <c r="AR98" t="str">
        <f ca="1">IFERROR(MATCH(A98,'Holidays Calc'!$I$2:$I$233,0),"")</f>
        <v/>
      </c>
      <c r="AS98" t="str">
        <f t="shared" si="11"/>
        <v/>
      </c>
      <c r="AT98" t="str">
        <f t="shared" si="10"/>
        <v/>
      </c>
      <c r="AU98" t="str">
        <f t="shared" ca="1" si="12"/>
        <v/>
      </c>
      <c r="AV98" t="str">
        <f t="shared" ca="1" si="13"/>
        <v/>
      </c>
    </row>
    <row r="99" spans="1:48" x14ac:dyDescent="0.25">
      <c r="A99" s="265">
        <f t="shared" si="7"/>
        <v>43525</v>
      </c>
      <c r="B99" s="265" t="str">
        <f t="shared" si="14"/>
        <v>1 Mar 2019</v>
      </c>
      <c r="C99" s="267">
        <f t="shared" si="15"/>
        <v>9</v>
      </c>
      <c r="D99">
        <f>MATCH(A99,GCalXMLT[daydate],0)</f>
        <v>98</v>
      </c>
      <c r="E99">
        <f>VALUE("1" &amp; Masacod(INDEX(GCalXMLT[gymasa],D99)) &amp; PaksaCod(INDEX(GCalXMLT[mpaksaid],D99)) &amp; TithiCod(INDEX(GCalXMLT[stithiname],D99)))</f>
        <v>112011</v>
      </c>
      <c r="F99" t="str">
        <f ca="1">INDEX(Parameters!$K$2:$K$16,MATCH(AV99,Parameters!$L$2:$L$16,0))</f>
        <v>E</v>
      </c>
      <c r="G99" t="str">
        <f>INDEX(GCalXMLT[fastmark],$D99)</f>
        <v>*</v>
      </c>
      <c r="H99" t="str">
        <f ca="1">INDEX(Parameters!$J$2:$J$16,MATCH(AV99,Parameters!$L$2:$L$16,0))</f>
        <v>*</v>
      </c>
      <c r="I99" t="str">
        <f>INDEX(GCalXMLT[dfestival1],$D99)</f>
        <v>Fasting for Vijaya Ekadasi</v>
      </c>
      <c r="J99">
        <f>IF(INDEX(GCalXMLT[dfestival2],$D99)="(Fast today)",INDEX(Festivals!$R$2:$R$180,MATCH($I99,Festivals!$R$2:$R$180,0)+1),INDEX(GCalXMLT[dfestival2],$D99))</f>
        <v>0</v>
      </c>
      <c r="K99">
        <f>IF(I99="Nandotsava","(Fast till noon)",INDEX(GCalXMLT[dfestival3],$D99))</f>
        <v>0</v>
      </c>
      <c r="L99">
        <f>IF(I99="Nandotsava", INDEX(GCalXMLT[dfestival3],$D99),INDEX(GCalXMLT[dfestival4],$D99))</f>
        <v>0</v>
      </c>
      <c r="M99" t="str">
        <f>IFERROR(INDEX(Festivals!$S$2:$S$160,AP99),"")</f>
        <v/>
      </c>
      <c r="N99" t="str">
        <f>IFERROR(IF($AQ99&gt;1,INDEX(Festivals!$S$2:$S$160,$AP99+1),""),"")</f>
        <v/>
      </c>
      <c r="O99" t="str">
        <f>IFERROR(IF($AQ99&gt;2,INDEX(Festivals!$S$2:$S$160,$AP99+2),""),"")</f>
        <v/>
      </c>
      <c r="P99" t="str">
        <f>IFERROR(IF($AQ99&gt;3,INDEX(Festivals!$S$2:$S$160,$AP99+3),""),"")</f>
        <v/>
      </c>
      <c r="Q99" t="str">
        <f>IFERROR(IF($AQ99&gt;4,INDEX(Festivals!$S$2:$S$160,$AP99+4),""),"")</f>
        <v/>
      </c>
      <c r="R99" t="str">
        <f>IFERROR(IF($AQ99&gt;5,INDEX(Festivals!$S$2:$S$160,$AP99+5),""),"")</f>
        <v/>
      </c>
      <c r="S99" t="str">
        <f>IFERROR(IF($AQ99&gt;6,INDEX(Festivals!$S$2:$S$160,$AP99+6),""),"")</f>
        <v/>
      </c>
      <c r="T99">
        <f>INDEX(GCalXMLT[dcaturmasya1],$D99)</f>
        <v>0</v>
      </c>
      <c r="U99">
        <f>INDEX(GCalXMLT[dcaturmasya2],$D99)</f>
        <v>0</v>
      </c>
      <c r="V99" t="str">
        <f>INDEX(GCalXMLT[sankrantirasi],$D99) &amp; " " &amp; INDEX(GCalXMLT[sankrantitime],$D99)</f>
        <v xml:space="preserve"> </v>
      </c>
      <c r="W99" t="str">
        <f ca="1">IFERROR(INDEX('Holidays Calc'!$K$2:$K$233,AR99),"")</f>
        <v/>
      </c>
      <c r="X99" t="str">
        <f ca="1">IF(AR99="","",IF(INDEX('Holidays Calc'!$I$2:$I$233,AR99+1)=A99,INDEX('Holidays Calc'!$K$2:$K$233,AR99+1),""))</f>
        <v/>
      </c>
      <c r="Y99" t="str">
        <f ca="1">IF(AR99="","",IF(INDEX('Holidays Calc'!$I$2:$I$233,AR99+2)=A99,INDEX('Holidays Calc'!$K$2:$K$233,AR99+2),""))</f>
        <v/>
      </c>
      <c r="Z99" t="str">
        <f ca="1">IF(AR99="","",IF(INDEX('Holidays Calc'!$I$2:$I$233,AR99+3)=A99,INDEX('Holidays Calc'!$K$2:$K$2333,AR99+3),""))</f>
        <v/>
      </c>
      <c r="AA99">
        <f>IF(I99="Last day of Bhisma Pancaka","",IF(G99="*",-0.7,IF(ISBLANK(INDEX(GCalXMLT[dclass1],$D99)),"",INDEX(GCalXMLT[dclass1],$D99))))</f>
        <v>-0.7</v>
      </c>
      <c r="AB99" t="str">
        <f>IF(J99="First day of Bhisma Pancaka","",IF(AND(G99="*",NOT(ISERROR(SEARCH("ekadasi",J99)))),-0.7,IF(ISBLANK(INDEX(GCalXMLT[dclass2],$D99)),"",INDEX(GCalXMLT[dclass2],$D99))))</f>
        <v/>
      </c>
      <c r="AC99" t="str">
        <f>IF(I99="Nandotsava",-1,IF(ISBLANK(INDEX(GCalXMLT[dclass3],$D99)),"",INDEX(GCalXMLT[dclass3],$D99)))</f>
        <v/>
      </c>
      <c r="AD99" t="str">
        <f>IF(I99="Nandotsava",IF(ISBLANK(INDEX(GCalXMLT[dclass3],$D99)),"",INDEX(GCalXMLT[dclass3],$D99)),IF(ISBLANK(INDEX(GCalXMLT[dclass4],$D99)),"",INDEX(GCalXMLT[dclass4],$D99)))</f>
        <v/>
      </c>
      <c r="AE99" t="str">
        <f>IFERROR(INDEX(Festivals!$V$2:$V$160,AP99),"")</f>
        <v/>
      </c>
      <c r="AF99" t="str">
        <f>IFERROR(IF($AQ99&gt;1,INDEX(Festivals!$V$2:$V$160,$AP99+1),""),"")</f>
        <v/>
      </c>
      <c r="AG99" t="str">
        <f>IFERROR(IF($AQ99&gt;2,INDEX(Festivals!$V$2:$V$160,$AP99+2),""),"")</f>
        <v/>
      </c>
      <c r="AH99" t="str">
        <f>IFERROR(IF($AQ99&gt;3,INDEX(Festivals!$V$2:$V$160,$AP99+3),""),"")</f>
        <v/>
      </c>
      <c r="AI99" t="str">
        <f>IFERROR(IF($AQ99&gt;4,INDEX(Festivals!$V$2:$V$160,$AP99+4),""),"")</f>
        <v/>
      </c>
      <c r="AJ99" t="str">
        <f>IFERROR(IF($AQ99&gt;5,INDEX(Festivals!$V$2:$V$160,$AP99+5),""),"")</f>
        <v/>
      </c>
      <c r="AK99" t="str">
        <f>IFERROR(IF($AQ99&gt;6,INDEX(Festivals!$V$2:$V$160,$AP99+6),""),"")</f>
        <v/>
      </c>
      <c r="AL99" t="str">
        <f ca="1">IFERROR(INDEX('Holidays Calc'!$J$2:$J$233,MATCH(A99,'Holidays Calc'!$I$2:$I$233,0)),"")</f>
        <v/>
      </c>
      <c r="AM99" t="str">
        <f ca="1">IF(AR99="","",IF(INDEX('Holidays Calc'!$I$2:$I$233,AR99+1)=A99,INDEX('Holidays Calc'!$J$2:$J$233,AR99+1),""))</f>
        <v/>
      </c>
      <c r="AN99" t="str">
        <f ca="1">IF(AR99="","",IF(INDEX('Holidays Calc'!$I$2:$I$233,AR99+2)=A99,INDEX('Holidays Calc'!$J$2:$J$233,AR99+2),""))</f>
        <v/>
      </c>
      <c r="AO99" t="str">
        <f ca="1">IF(AR99="","",IF(INDEX('Holidays Calc'!$I$2:$I$233,AR99+3)=A99,INDEX('Holidays Calc'!$J$2:$J$233,AR99+3),""))</f>
        <v/>
      </c>
      <c r="AP99" t="str">
        <f>IFERROR(IF($E99=E98,"",MATCH($E99,Festivals!$H$2:$H$160,0)),"")</f>
        <v/>
      </c>
      <c r="AQ99" t="str">
        <f>IF(AP99="","",COUNTIF(Festivals!$H$2:$H$160,$E99))</f>
        <v/>
      </c>
      <c r="AR99" t="str">
        <f ca="1">IFERROR(MATCH(A99,'Holidays Calc'!$I$2:$I$233,0),"")</f>
        <v/>
      </c>
      <c r="AS99">
        <f t="shared" si="11"/>
        <v>-0.7</v>
      </c>
      <c r="AT99">
        <f t="shared" si="10"/>
        <v>-0.7</v>
      </c>
      <c r="AU99" t="str">
        <f t="shared" ca="1" si="12"/>
        <v/>
      </c>
      <c r="AV99">
        <f t="shared" ca="1" si="13"/>
        <v>-0.7</v>
      </c>
    </row>
    <row r="100" spans="1:48" x14ac:dyDescent="0.25">
      <c r="A100" s="265">
        <f t="shared" si="7"/>
        <v>43526</v>
      </c>
      <c r="B100" s="265" t="str">
        <f t="shared" si="14"/>
        <v>2 Mar 2019</v>
      </c>
      <c r="C100" s="267">
        <f t="shared" si="15"/>
        <v>9</v>
      </c>
      <c r="D100">
        <f>MATCH(A100,GCalXMLT[daydate],0)</f>
        <v>99</v>
      </c>
      <c r="E100">
        <f>VALUE("1" &amp; Masacod(INDEX(GCalXMLT[gymasa],D100)) &amp; PaksaCod(INDEX(GCalXMLT[mpaksaid],D100)) &amp; TithiCod(INDEX(GCalXMLT[stithiname],D100)))</f>
        <v>112012</v>
      </c>
      <c r="F100" t="str">
        <f ca="1">INDEX(Parameters!$K$2:$K$16,MATCH(AV100,Parameters!$L$2:$L$16,0))</f>
        <v>C</v>
      </c>
      <c r="G100">
        <f>INDEX(GCalXMLT[fastmark],$D100)</f>
        <v>0</v>
      </c>
      <c r="H100" t="str">
        <f ca="1">INDEX(Parameters!$J$2:$J$16,MATCH(AV100,Parameters!$L$2:$L$16,0))</f>
        <v/>
      </c>
      <c r="I100">
        <f>INDEX(GCalXMLT[dfestival1],$D100)</f>
        <v>0</v>
      </c>
      <c r="J100">
        <f>IF(INDEX(GCalXMLT[dfestival2],$D100)="(Fast today)",INDEX(Festivals!$R$2:$R$180,MATCH($I100,Festivals!$R$2:$R$180,0)+1),INDEX(GCalXMLT[dfestival2],$D100))</f>
        <v>0</v>
      </c>
      <c r="K100">
        <f>IF(I100="Nandotsava","(Fast till noon)",INDEX(GCalXMLT[dfestival3],$D100))</f>
        <v>0</v>
      </c>
      <c r="L100">
        <f>IF(I100="Nandotsava", INDEX(GCalXMLT[dfestival3],$D100),INDEX(GCalXMLT[dfestival4],$D100))</f>
        <v>0</v>
      </c>
      <c r="M100" t="str">
        <f>IFERROR(INDEX(Festivals!$S$2:$S$160,AP100),"")</f>
        <v>Sri Isvara Puri - Disappearance</v>
      </c>
      <c r="N100" t="str">
        <f>IFERROR(IF($AQ100&gt;1,INDEX(Festivals!$S$2:$S$160,$AP100+1),""),"")</f>
        <v/>
      </c>
      <c r="O100" t="str">
        <f>IFERROR(IF($AQ100&gt;2,INDEX(Festivals!$S$2:$S$160,$AP100+2),""),"")</f>
        <v/>
      </c>
      <c r="P100" t="str">
        <f>IFERROR(IF($AQ100&gt;3,INDEX(Festivals!$S$2:$S$160,$AP100+3),""),"")</f>
        <v/>
      </c>
      <c r="Q100" t="str">
        <f>IFERROR(IF($AQ100&gt;4,INDEX(Festivals!$S$2:$S$160,$AP100+4),""),"")</f>
        <v/>
      </c>
      <c r="R100" t="str">
        <f>IFERROR(IF($AQ100&gt;5,INDEX(Festivals!$S$2:$S$160,$AP100+5),""),"")</f>
        <v/>
      </c>
      <c r="S100" t="str">
        <f>IFERROR(IF($AQ100&gt;6,INDEX(Festivals!$S$2:$S$160,$AP100+6),""),"")</f>
        <v/>
      </c>
      <c r="T100">
        <f>INDEX(GCalXMLT[dcaturmasya1],$D100)</f>
        <v>0</v>
      </c>
      <c r="U100">
        <f>INDEX(GCalXMLT[dcaturmasya2],$D100)</f>
        <v>0</v>
      </c>
      <c r="V100" t="str">
        <f>INDEX(GCalXMLT[sankrantirasi],$D100) &amp; " " &amp; INDEX(GCalXMLT[sankrantitime],$D100)</f>
        <v xml:space="preserve"> </v>
      </c>
      <c r="W100" t="str">
        <f ca="1">IFERROR(INDEX('Holidays Calc'!$K$2:$K$233,AR100),"")</f>
        <v/>
      </c>
      <c r="X100" t="str">
        <f ca="1">IF(AR100="","",IF(INDEX('Holidays Calc'!$I$2:$I$233,AR100+1)=A100,INDEX('Holidays Calc'!$K$2:$K$233,AR100+1),""))</f>
        <v/>
      </c>
      <c r="Y100" t="str">
        <f ca="1">IF(AR100="","",IF(INDEX('Holidays Calc'!$I$2:$I$233,AR100+2)=A100,INDEX('Holidays Calc'!$K$2:$K$233,AR100+2),""))</f>
        <v/>
      </c>
      <c r="Z100" t="str">
        <f ca="1">IF(AR100="","",IF(INDEX('Holidays Calc'!$I$2:$I$233,AR100+3)=A100,INDEX('Holidays Calc'!$K$2:$K$2333,AR100+3),""))</f>
        <v/>
      </c>
      <c r="AA100" t="str">
        <f>IF(I100="Last day of Bhisma Pancaka","",IF(G100="*",-0.7,IF(ISBLANK(INDEX(GCalXMLT[dclass1],$D100)),"",INDEX(GCalXMLT[dclass1],$D100))))</f>
        <v/>
      </c>
      <c r="AB100" t="str">
        <f>IF(J100="First day of Bhisma Pancaka","",IF(AND(G100="*",NOT(ISERROR(SEARCH("ekadasi",J100)))),-0.7,IF(ISBLANK(INDEX(GCalXMLT[dclass2],$D100)),"",INDEX(GCalXMLT[dclass2],$D100))))</f>
        <v/>
      </c>
      <c r="AC100" t="str">
        <f>IF(I100="Nandotsava",-1,IF(ISBLANK(INDEX(GCalXMLT[dclass3],$D100)),"",INDEX(GCalXMLT[dclass3],$D100)))</f>
        <v/>
      </c>
      <c r="AD100" t="str">
        <f>IF(I100="Nandotsava",IF(ISBLANK(INDEX(GCalXMLT[dclass3],$D100)),"",INDEX(GCalXMLT[dclass3],$D100)),IF(ISBLANK(INDEX(GCalXMLT[dclass4],$D100)),"",INDEX(GCalXMLT[dclass4],$D100)))</f>
        <v/>
      </c>
      <c r="AE100">
        <f>IFERROR(INDEX(Festivals!$V$2:$V$160,AP100),"")</f>
        <v>3</v>
      </c>
      <c r="AF100" t="str">
        <f>IFERROR(IF($AQ100&gt;1,INDEX(Festivals!$V$2:$V$160,$AP100+1),""),"")</f>
        <v/>
      </c>
      <c r="AG100" t="str">
        <f>IFERROR(IF($AQ100&gt;2,INDEX(Festivals!$V$2:$V$160,$AP100+2),""),"")</f>
        <v/>
      </c>
      <c r="AH100" t="str">
        <f>IFERROR(IF($AQ100&gt;3,INDEX(Festivals!$V$2:$V$160,$AP100+3),""),"")</f>
        <v/>
      </c>
      <c r="AI100" t="str">
        <f>IFERROR(IF($AQ100&gt;4,INDEX(Festivals!$V$2:$V$160,$AP100+4),""),"")</f>
        <v/>
      </c>
      <c r="AJ100" t="str">
        <f>IFERROR(IF($AQ100&gt;5,INDEX(Festivals!$V$2:$V$160,$AP100+5),""),"")</f>
        <v/>
      </c>
      <c r="AK100" t="str">
        <f>IFERROR(IF($AQ100&gt;6,INDEX(Festivals!$V$2:$V$160,$AP100+6),""),"")</f>
        <v/>
      </c>
      <c r="AL100" t="str">
        <f ca="1">IFERROR(INDEX('Holidays Calc'!$J$2:$J$233,MATCH(A100,'Holidays Calc'!$I$2:$I$233,0)),"")</f>
        <v/>
      </c>
      <c r="AM100" t="str">
        <f ca="1">IF(AR100="","",IF(INDEX('Holidays Calc'!$I$2:$I$233,AR100+1)=A100,INDEX('Holidays Calc'!$J$2:$J$233,AR100+1),""))</f>
        <v/>
      </c>
      <c r="AN100" t="str">
        <f ca="1">IF(AR100="","",IF(INDEX('Holidays Calc'!$I$2:$I$233,AR100+2)=A100,INDEX('Holidays Calc'!$J$2:$J$233,AR100+2),""))</f>
        <v/>
      </c>
      <c r="AO100" t="str">
        <f ca="1">IF(AR100="","",IF(INDEX('Holidays Calc'!$I$2:$I$233,AR100+3)=A100,INDEX('Holidays Calc'!$J$2:$J$233,AR100+3),""))</f>
        <v/>
      </c>
      <c r="AP100">
        <f>IFERROR(IF($E100=E99,"",MATCH($E100,Festivals!$H$2:$H$160,0)),"")</f>
        <v>154</v>
      </c>
      <c r="AQ100">
        <f>IF(AP100="","",COUNTIF(Festivals!$H$2:$H$160,$E100))</f>
        <v>1</v>
      </c>
      <c r="AR100" t="str">
        <f ca="1">IFERROR(MATCH(A100,'Holidays Calc'!$I$2:$I$233,0),"")</f>
        <v/>
      </c>
      <c r="AS100">
        <f t="shared" si="11"/>
        <v>3</v>
      </c>
      <c r="AT100">
        <f t="shared" si="10"/>
        <v>3</v>
      </c>
      <c r="AU100" t="str">
        <f t="shared" ca="1" si="12"/>
        <v/>
      </c>
      <c r="AV100">
        <f t="shared" ca="1" si="13"/>
        <v>3</v>
      </c>
    </row>
    <row r="101" spans="1:48" x14ac:dyDescent="0.25">
      <c r="A101" s="265">
        <f t="shared" si="7"/>
        <v>43527</v>
      </c>
      <c r="B101" s="265" t="str">
        <f t="shared" si="14"/>
        <v>3 Mar 2019</v>
      </c>
      <c r="C101" s="267">
        <f t="shared" si="15"/>
        <v>9</v>
      </c>
      <c r="D101">
        <f>MATCH(A101,GCalXMLT[daydate],0)</f>
        <v>100</v>
      </c>
      <c r="E101">
        <f>VALUE("1" &amp; Masacod(INDEX(GCalXMLT[gymasa],D101)) &amp; PaksaCod(INDEX(GCalXMLT[mpaksaid],D101)) &amp; TithiCod(INDEX(GCalXMLT[stithiname],D101)))</f>
        <v>112013</v>
      </c>
      <c r="F101" t="str">
        <f ca="1">INDEX(Parameters!$K$2:$K$16,MATCH(AV101,Parameters!$L$2:$L$16,0))</f>
        <v/>
      </c>
      <c r="G101">
        <f>INDEX(GCalXMLT[fastmark],$D101)</f>
        <v>0</v>
      </c>
      <c r="H101" t="str">
        <f ca="1">INDEX(Parameters!$J$2:$J$16,MATCH(AV101,Parameters!$L$2:$L$16,0))</f>
        <v/>
      </c>
      <c r="I101">
        <f>INDEX(GCalXMLT[dfestival1],$D101)</f>
        <v>0</v>
      </c>
      <c r="J101">
        <f>IF(INDEX(GCalXMLT[dfestival2],$D101)="(Fast today)",INDEX(Festivals!$R$2:$R$180,MATCH($I101,Festivals!$R$2:$R$180,0)+1),INDEX(GCalXMLT[dfestival2],$D101))</f>
        <v>0</v>
      </c>
      <c r="K101">
        <f>IF(I101="Nandotsava","(Fast till noon)",INDEX(GCalXMLT[dfestival3],$D101))</f>
        <v>0</v>
      </c>
      <c r="L101">
        <f>IF(I101="Nandotsava", INDEX(GCalXMLT[dfestival3],$D101),INDEX(GCalXMLT[dfestival4],$D101))</f>
        <v>0</v>
      </c>
      <c r="M101" t="str">
        <f>IFERROR(INDEX(Festivals!$S$2:$S$160,AP101),"")</f>
        <v/>
      </c>
      <c r="N101" t="str">
        <f>IFERROR(IF($AQ101&gt;1,INDEX(Festivals!$S$2:$S$160,$AP101+1),""),"")</f>
        <v/>
      </c>
      <c r="O101" t="str">
        <f>IFERROR(IF($AQ101&gt;2,INDEX(Festivals!$S$2:$S$160,$AP101+2),""),"")</f>
        <v/>
      </c>
      <c r="P101" t="str">
        <f>IFERROR(IF($AQ101&gt;3,INDEX(Festivals!$S$2:$S$160,$AP101+3),""),"")</f>
        <v/>
      </c>
      <c r="Q101" t="str">
        <f>IFERROR(IF($AQ101&gt;4,INDEX(Festivals!$S$2:$S$160,$AP101+4),""),"")</f>
        <v/>
      </c>
      <c r="R101" t="str">
        <f>IFERROR(IF($AQ101&gt;5,INDEX(Festivals!$S$2:$S$160,$AP101+5),""),"")</f>
        <v/>
      </c>
      <c r="S101" t="str">
        <f>IFERROR(IF($AQ101&gt;6,INDEX(Festivals!$S$2:$S$160,$AP101+6),""),"")</f>
        <v/>
      </c>
      <c r="T101">
        <f>INDEX(GCalXMLT[dcaturmasya1],$D101)</f>
        <v>0</v>
      </c>
      <c r="U101">
        <f>INDEX(GCalXMLT[dcaturmasya2],$D101)</f>
        <v>0</v>
      </c>
      <c r="V101" t="str">
        <f>INDEX(GCalXMLT[sankrantirasi],$D101) &amp; " " &amp; INDEX(GCalXMLT[sankrantitime],$D101)</f>
        <v xml:space="preserve"> </v>
      </c>
      <c r="W101" t="str">
        <f ca="1">IFERROR(INDEX('Holidays Calc'!$K$2:$K$233,AR101),"")</f>
        <v/>
      </c>
      <c r="X101" t="str">
        <f ca="1">IF(AR101="","",IF(INDEX('Holidays Calc'!$I$2:$I$233,AR101+1)=A101,INDEX('Holidays Calc'!$K$2:$K$233,AR101+1),""))</f>
        <v/>
      </c>
      <c r="Y101" t="str">
        <f ca="1">IF(AR101="","",IF(INDEX('Holidays Calc'!$I$2:$I$233,AR101+2)=A101,INDEX('Holidays Calc'!$K$2:$K$233,AR101+2),""))</f>
        <v/>
      </c>
      <c r="Z101" t="str">
        <f ca="1">IF(AR101="","",IF(INDEX('Holidays Calc'!$I$2:$I$233,AR101+3)=A101,INDEX('Holidays Calc'!$K$2:$K$2333,AR101+3),""))</f>
        <v/>
      </c>
      <c r="AA101" t="str">
        <f>IF(I101="Last day of Bhisma Pancaka","",IF(G101="*",-0.7,IF(ISBLANK(INDEX(GCalXMLT[dclass1],$D101)),"",INDEX(GCalXMLT[dclass1],$D101))))</f>
        <v/>
      </c>
      <c r="AB101" t="str">
        <f>IF(J101="First day of Bhisma Pancaka","",IF(AND(G101="*",NOT(ISERROR(SEARCH("ekadasi",J101)))),-0.7,IF(ISBLANK(INDEX(GCalXMLT[dclass2],$D101)),"",INDEX(GCalXMLT[dclass2],$D101))))</f>
        <v/>
      </c>
      <c r="AC101" t="str">
        <f>IF(I101="Nandotsava",-1,IF(ISBLANK(INDEX(GCalXMLT[dclass3],$D101)),"",INDEX(GCalXMLT[dclass3],$D101)))</f>
        <v/>
      </c>
      <c r="AD101" t="str">
        <f>IF(I101="Nandotsava",IF(ISBLANK(INDEX(GCalXMLT[dclass3],$D101)),"",INDEX(GCalXMLT[dclass3],$D101)),IF(ISBLANK(INDEX(GCalXMLT[dclass4],$D101)),"",INDEX(GCalXMLT[dclass4],$D101)))</f>
        <v/>
      </c>
      <c r="AE101" t="str">
        <f>IFERROR(INDEX(Festivals!$V$2:$V$160,AP101),"")</f>
        <v/>
      </c>
      <c r="AF101" t="str">
        <f>IFERROR(IF($AQ101&gt;1,INDEX(Festivals!$V$2:$V$160,$AP101+1),""),"")</f>
        <v/>
      </c>
      <c r="AG101" t="str">
        <f>IFERROR(IF($AQ101&gt;2,INDEX(Festivals!$V$2:$V$160,$AP101+2),""),"")</f>
        <v/>
      </c>
      <c r="AH101" t="str">
        <f>IFERROR(IF($AQ101&gt;3,INDEX(Festivals!$V$2:$V$160,$AP101+3),""),"")</f>
        <v/>
      </c>
      <c r="AI101" t="str">
        <f>IFERROR(IF($AQ101&gt;4,INDEX(Festivals!$V$2:$V$160,$AP101+4),""),"")</f>
        <v/>
      </c>
      <c r="AJ101" t="str">
        <f>IFERROR(IF($AQ101&gt;5,INDEX(Festivals!$V$2:$V$160,$AP101+5),""),"")</f>
        <v/>
      </c>
      <c r="AK101" t="str">
        <f>IFERROR(IF($AQ101&gt;6,INDEX(Festivals!$V$2:$V$160,$AP101+6),""),"")</f>
        <v/>
      </c>
      <c r="AL101" t="str">
        <f ca="1">IFERROR(INDEX('Holidays Calc'!$J$2:$J$233,MATCH(A101,'Holidays Calc'!$I$2:$I$233,0)),"")</f>
        <v/>
      </c>
      <c r="AM101" t="str">
        <f ca="1">IF(AR101="","",IF(INDEX('Holidays Calc'!$I$2:$I$233,AR101+1)=A101,INDEX('Holidays Calc'!$J$2:$J$233,AR101+1),""))</f>
        <v/>
      </c>
      <c r="AN101" t="str">
        <f ca="1">IF(AR101="","",IF(INDEX('Holidays Calc'!$I$2:$I$233,AR101+2)=A101,INDEX('Holidays Calc'!$J$2:$J$233,AR101+2),""))</f>
        <v/>
      </c>
      <c r="AO101" t="str">
        <f ca="1">IF(AR101="","",IF(INDEX('Holidays Calc'!$I$2:$I$233,AR101+3)=A101,INDEX('Holidays Calc'!$J$2:$J$233,AR101+3),""))</f>
        <v/>
      </c>
      <c r="AP101" t="str">
        <f>IFERROR(IF($E101=E100,"",MATCH($E101,Festivals!$H$2:$H$160,0)),"")</f>
        <v/>
      </c>
      <c r="AQ101" t="str">
        <f>IF(AP101="","",COUNTIF(Festivals!$H$2:$H$160,$E101))</f>
        <v/>
      </c>
      <c r="AR101" t="str">
        <f ca="1">IFERROR(MATCH(A101,'Holidays Calc'!$I$2:$I$233,0),"")</f>
        <v/>
      </c>
      <c r="AS101" t="str">
        <f t="shared" si="11"/>
        <v/>
      </c>
      <c r="AT101" t="str">
        <f t="shared" si="10"/>
        <v/>
      </c>
      <c r="AU101" t="str">
        <f t="shared" ca="1" si="12"/>
        <v/>
      </c>
      <c r="AV101" t="str">
        <f t="shared" ca="1" si="13"/>
        <v/>
      </c>
    </row>
    <row r="102" spans="1:48" x14ac:dyDescent="0.25">
      <c r="A102" s="265">
        <f t="shared" si="7"/>
        <v>43528</v>
      </c>
      <c r="B102" s="265" t="str">
        <f t="shared" si="14"/>
        <v>4 Mar 2019</v>
      </c>
      <c r="C102" s="267">
        <f t="shared" si="15"/>
        <v>10</v>
      </c>
      <c r="D102">
        <f>MATCH(A102,GCalXMLT[daydate],0)</f>
        <v>101</v>
      </c>
      <c r="E102">
        <f>VALUE("1" &amp; Masacod(INDEX(GCalXMLT[gymasa],D102)) &amp; PaksaCod(INDEX(GCalXMLT[mpaksaid],D102)) &amp; TithiCod(INDEX(GCalXMLT[stithiname],D102)))</f>
        <v>112013</v>
      </c>
      <c r="F102" t="str">
        <f ca="1">INDEX(Parameters!$K$2:$K$16,MATCH(AV102,Parameters!$L$2:$L$16,0))</f>
        <v/>
      </c>
      <c r="G102">
        <f>INDEX(GCalXMLT[fastmark],$D102)</f>
        <v>0</v>
      </c>
      <c r="H102" t="str">
        <f ca="1">INDEX(Parameters!$J$2:$J$16,MATCH(AV102,Parameters!$L$2:$L$16,0))</f>
        <v/>
      </c>
      <c r="I102">
        <f>INDEX(GCalXMLT[dfestival1],$D102)</f>
        <v>0</v>
      </c>
      <c r="J102">
        <f>IF(INDEX(GCalXMLT[dfestival2],$D102)="(Fast today)",INDEX(Festivals!$R$2:$R$180,MATCH($I102,Festivals!$R$2:$R$180,0)+1),INDEX(GCalXMLT[dfestival2],$D102))</f>
        <v>0</v>
      </c>
      <c r="K102">
        <f>IF(I102="Nandotsava","(Fast till noon)",INDEX(GCalXMLT[dfestival3],$D102))</f>
        <v>0</v>
      </c>
      <c r="L102">
        <f>IF(I102="Nandotsava", INDEX(GCalXMLT[dfestival3],$D102),INDEX(GCalXMLT[dfestival4],$D102))</f>
        <v>0</v>
      </c>
      <c r="M102" t="str">
        <f>IFERROR(INDEX(Festivals!$S$2:$S$160,AP102),"")</f>
        <v/>
      </c>
      <c r="N102" t="str">
        <f>IFERROR(IF($AQ102&gt;1,INDEX(Festivals!$S$2:$S$160,$AP102+1),""),"")</f>
        <v/>
      </c>
      <c r="O102" t="str">
        <f>IFERROR(IF($AQ102&gt;2,INDEX(Festivals!$S$2:$S$160,$AP102+2),""),"")</f>
        <v/>
      </c>
      <c r="P102" t="str">
        <f>IFERROR(IF($AQ102&gt;3,INDEX(Festivals!$S$2:$S$160,$AP102+3),""),"")</f>
        <v/>
      </c>
      <c r="Q102" t="str">
        <f>IFERROR(IF($AQ102&gt;4,INDEX(Festivals!$S$2:$S$160,$AP102+4),""),"")</f>
        <v/>
      </c>
      <c r="R102" t="str">
        <f>IFERROR(IF($AQ102&gt;5,INDEX(Festivals!$S$2:$S$160,$AP102+5),""),"")</f>
        <v/>
      </c>
      <c r="S102" t="str">
        <f>IFERROR(IF($AQ102&gt;6,INDEX(Festivals!$S$2:$S$160,$AP102+6),""),"")</f>
        <v/>
      </c>
      <c r="T102">
        <f>INDEX(GCalXMLT[dcaturmasya1],$D102)</f>
        <v>0</v>
      </c>
      <c r="U102">
        <f>INDEX(GCalXMLT[dcaturmasya2],$D102)</f>
        <v>0</v>
      </c>
      <c r="V102" t="str">
        <f>INDEX(GCalXMLT[sankrantirasi],$D102) &amp; " " &amp; INDEX(GCalXMLT[sankrantitime],$D102)</f>
        <v xml:space="preserve"> </v>
      </c>
      <c r="W102" t="str">
        <f ca="1">IFERROR(INDEX('Holidays Calc'!$K$2:$K$233,AR102),"")</f>
        <v/>
      </c>
      <c r="X102" t="str">
        <f ca="1">IF(AR102="","",IF(INDEX('Holidays Calc'!$I$2:$I$233,AR102+1)=A102,INDEX('Holidays Calc'!$K$2:$K$233,AR102+1),""))</f>
        <v/>
      </c>
      <c r="Y102" t="str">
        <f ca="1">IF(AR102="","",IF(INDEX('Holidays Calc'!$I$2:$I$233,AR102+2)=A102,INDEX('Holidays Calc'!$K$2:$K$233,AR102+2),""))</f>
        <v/>
      </c>
      <c r="Z102" t="str">
        <f ca="1">IF(AR102="","",IF(INDEX('Holidays Calc'!$I$2:$I$233,AR102+3)=A102,INDEX('Holidays Calc'!$K$2:$K$2333,AR102+3),""))</f>
        <v/>
      </c>
      <c r="AA102" t="str">
        <f>IF(I102="Last day of Bhisma Pancaka","",IF(G102="*",-0.7,IF(ISBLANK(INDEX(GCalXMLT[dclass1],$D102)),"",INDEX(GCalXMLT[dclass1],$D102))))</f>
        <v/>
      </c>
      <c r="AB102" t="str">
        <f>IF(J102="First day of Bhisma Pancaka","",IF(AND(G102="*",NOT(ISERROR(SEARCH("ekadasi",J102)))),-0.7,IF(ISBLANK(INDEX(GCalXMLT[dclass2],$D102)),"",INDEX(GCalXMLT[dclass2],$D102))))</f>
        <v/>
      </c>
      <c r="AC102" t="str">
        <f>IF(I102="Nandotsava",-1,IF(ISBLANK(INDEX(GCalXMLT[dclass3],$D102)),"",INDEX(GCalXMLT[dclass3],$D102)))</f>
        <v/>
      </c>
      <c r="AD102" t="str">
        <f>IF(I102="Nandotsava",IF(ISBLANK(INDEX(GCalXMLT[dclass3],$D102)),"",INDEX(GCalXMLT[dclass3],$D102)),IF(ISBLANK(INDEX(GCalXMLT[dclass4],$D102)),"",INDEX(GCalXMLT[dclass4],$D102)))</f>
        <v/>
      </c>
      <c r="AE102" t="str">
        <f>IFERROR(INDEX(Festivals!$V$2:$V$160,AP102),"")</f>
        <v/>
      </c>
      <c r="AF102" t="str">
        <f>IFERROR(IF($AQ102&gt;1,INDEX(Festivals!$V$2:$V$160,$AP102+1),""),"")</f>
        <v/>
      </c>
      <c r="AG102" t="str">
        <f>IFERROR(IF($AQ102&gt;2,INDEX(Festivals!$V$2:$V$160,$AP102+2),""),"")</f>
        <v/>
      </c>
      <c r="AH102" t="str">
        <f>IFERROR(IF($AQ102&gt;3,INDEX(Festivals!$V$2:$V$160,$AP102+3),""),"")</f>
        <v/>
      </c>
      <c r="AI102" t="str">
        <f>IFERROR(IF($AQ102&gt;4,INDEX(Festivals!$V$2:$V$160,$AP102+4),""),"")</f>
        <v/>
      </c>
      <c r="AJ102" t="str">
        <f>IFERROR(IF($AQ102&gt;5,INDEX(Festivals!$V$2:$V$160,$AP102+5),""),"")</f>
        <v/>
      </c>
      <c r="AK102" t="str">
        <f>IFERROR(IF($AQ102&gt;6,INDEX(Festivals!$V$2:$V$160,$AP102+6),""),"")</f>
        <v/>
      </c>
      <c r="AL102" t="str">
        <f ca="1">IFERROR(INDEX('Holidays Calc'!$J$2:$J$233,MATCH(A102,'Holidays Calc'!$I$2:$I$233,0)),"")</f>
        <v/>
      </c>
      <c r="AM102" t="str">
        <f ca="1">IF(AR102="","",IF(INDEX('Holidays Calc'!$I$2:$I$233,AR102+1)=A102,INDEX('Holidays Calc'!$J$2:$J$233,AR102+1),""))</f>
        <v/>
      </c>
      <c r="AN102" t="str">
        <f ca="1">IF(AR102="","",IF(INDEX('Holidays Calc'!$I$2:$I$233,AR102+2)=A102,INDEX('Holidays Calc'!$J$2:$J$233,AR102+2),""))</f>
        <v/>
      </c>
      <c r="AO102" t="str">
        <f ca="1">IF(AR102="","",IF(INDEX('Holidays Calc'!$I$2:$I$233,AR102+3)=A102,INDEX('Holidays Calc'!$J$2:$J$233,AR102+3),""))</f>
        <v/>
      </c>
      <c r="AP102" t="str">
        <f>IFERROR(IF($E102=E101,"",MATCH($E102,Festivals!$H$2:$H$160,0)),"")</f>
        <v/>
      </c>
      <c r="AQ102" t="str">
        <f>IF(AP102="","",COUNTIF(Festivals!$H$2:$H$160,$E102))</f>
        <v/>
      </c>
      <c r="AR102" t="str">
        <f ca="1">IFERROR(MATCH(A102,'Holidays Calc'!$I$2:$I$233,0),"")</f>
        <v/>
      </c>
      <c r="AS102" t="str">
        <f t="shared" si="11"/>
        <v/>
      </c>
      <c r="AT102" t="str">
        <f t="shared" si="10"/>
        <v/>
      </c>
      <c r="AU102" t="str">
        <f t="shared" ca="1" si="12"/>
        <v/>
      </c>
      <c r="AV102" t="str">
        <f t="shared" ca="1" si="13"/>
        <v/>
      </c>
    </row>
    <row r="103" spans="1:48" x14ac:dyDescent="0.25">
      <c r="A103" s="265">
        <f t="shared" si="7"/>
        <v>43529</v>
      </c>
      <c r="B103" s="265" t="str">
        <f t="shared" si="14"/>
        <v>5 Mar 2019</v>
      </c>
      <c r="C103" s="267">
        <f t="shared" si="15"/>
        <v>10</v>
      </c>
      <c r="D103">
        <f>MATCH(A103,GCalXMLT[daydate],0)</f>
        <v>102</v>
      </c>
      <c r="E103">
        <f>VALUE("1" &amp; Masacod(INDEX(GCalXMLT[gymasa],D103)) &amp; PaksaCod(INDEX(GCalXMLT[mpaksaid],D103)) &amp; TithiCod(INDEX(GCalXMLT[stithiname],D103)))</f>
        <v>112014</v>
      </c>
      <c r="F103" t="str">
        <f ca="1">INDEX(Parameters!$K$2:$K$16,MATCH(AV103,Parameters!$L$2:$L$16,0))</f>
        <v>H</v>
      </c>
      <c r="G103">
        <f>INDEX(GCalXMLT[fastmark],$D103)</f>
        <v>0</v>
      </c>
      <c r="H103" t="str">
        <f ca="1">INDEX(Parameters!$J$2:$J$16,MATCH(AV103,Parameters!$L$2:$L$16,0))</f>
        <v/>
      </c>
      <c r="I103">
        <f>INDEX(GCalXMLT[dfestival1],$D103)</f>
        <v>0</v>
      </c>
      <c r="J103">
        <f>IF(INDEX(GCalXMLT[dfestival2],$D103)="(Fast today)",INDEX(Festivals!$R$2:$R$180,MATCH($I103,Festivals!$R$2:$R$180,0)+1),INDEX(GCalXMLT[dfestival2],$D103))</f>
        <v>0</v>
      </c>
      <c r="K103">
        <f>IF(I103="Nandotsava","(Fast till noon)",INDEX(GCalXMLT[dfestival3],$D103))</f>
        <v>0</v>
      </c>
      <c r="L103">
        <f>IF(I103="Nandotsava", INDEX(GCalXMLT[dfestival3],$D103),INDEX(GCalXMLT[dfestival4],$D103))</f>
        <v>0</v>
      </c>
      <c r="M103" t="str">
        <f>IFERROR(INDEX(Festivals!$S$2:$S$160,AP103),"")</f>
        <v>Siva Ratri</v>
      </c>
      <c r="N103" t="str">
        <f>IFERROR(IF($AQ103&gt;1,INDEX(Festivals!$S$2:$S$160,$AP103+1),""),"")</f>
        <v/>
      </c>
      <c r="O103" t="str">
        <f>IFERROR(IF($AQ103&gt;2,INDEX(Festivals!$S$2:$S$160,$AP103+2),""),"")</f>
        <v/>
      </c>
      <c r="P103" t="str">
        <f>IFERROR(IF($AQ103&gt;3,INDEX(Festivals!$S$2:$S$160,$AP103+3),""),"")</f>
        <v/>
      </c>
      <c r="Q103" t="str">
        <f>IFERROR(IF($AQ103&gt;4,INDEX(Festivals!$S$2:$S$160,$AP103+4),""),"")</f>
        <v/>
      </c>
      <c r="R103" t="str">
        <f>IFERROR(IF($AQ103&gt;5,INDEX(Festivals!$S$2:$S$160,$AP103+5),""),"")</f>
        <v/>
      </c>
      <c r="S103" t="str">
        <f>IFERROR(IF($AQ103&gt;6,INDEX(Festivals!$S$2:$S$160,$AP103+6),""),"")</f>
        <v/>
      </c>
      <c r="T103">
        <f>INDEX(GCalXMLT[dcaturmasya1],$D103)</f>
        <v>0</v>
      </c>
      <c r="U103">
        <f>INDEX(GCalXMLT[dcaturmasya2],$D103)</f>
        <v>0</v>
      </c>
      <c r="V103" t="str">
        <f>INDEX(GCalXMLT[sankrantirasi],$D103) &amp; " " &amp; INDEX(GCalXMLT[sankrantitime],$D103)</f>
        <v xml:space="preserve"> </v>
      </c>
      <c r="W103" t="str">
        <f ca="1">IFERROR(INDEX('Holidays Calc'!$K$2:$K$233,AR103),"")</f>
        <v>Carnaval</v>
      </c>
      <c r="X103" t="str">
        <f ca="1">IF(AR103="","",IF(INDEX('Holidays Calc'!$I$2:$I$233,AR103+1)=A103,INDEX('Holidays Calc'!$K$2:$K$233,AR103+1),""))</f>
        <v/>
      </c>
      <c r="Y103" t="str">
        <f ca="1">IF(AR103="","",IF(INDEX('Holidays Calc'!$I$2:$I$233,AR103+2)=A103,INDEX('Holidays Calc'!$K$2:$K$233,AR103+2),""))</f>
        <v/>
      </c>
      <c r="Z103" t="str">
        <f ca="1">IF(AR103="","",IF(INDEX('Holidays Calc'!$I$2:$I$233,AR103+3)=A103,INDEX('Holidays Calc'!$K$2:$K$2333,AR103+3),""))</f>
        <v/>
      </c>
      <c r="AA103" t="str">
        <f>IF(I103="Last day of Bhisma Pancaka","",IF(G103="*",-0.7,IF(ISBLANK(INDEX(GCalXMLT[dclass1],$D103)),"",INDEX(GCalXMLT[dclass1],$D103))))</f>
        <v/>
      </c>
      <c r="AB103" t="str">
        <f>IF(J103="First day of Bhisma Pancaka","",IF(AND(G103="*",NOT(ISERROR(SEARCH("ekadasi",J103)))),-0.7,IF(ISBLANK(INDEX(GCalXMLT[dclass2],$D103)),"",INDEX(GCalXMLT[dclass2],$D103))))</f>
        <v/>
      </c>
      <c r="AC103" t="str">
        <f>IF(I103="Nandotsava",-1,IF(ISBLANK(INDEX(GCalXMLT[dclass3],$D103)),"",INDEX(GCalXMLT[dclass3],$D103)))</f>
        <v/>
      </c>
      <c r="AD103" t="str">
        <f>IF(I103="Nandotsava",IF(ISBLANK(INDEX(GCalXMLT[dclass3],$D103)),"",INDEX(GCalXMLT[dclass3],$D103)),IF(ISBLANK(INDEX(GCalXMLT[dclass4],$D103)),"",INDEX(GCalXMLT[dclass4],$D103)))</f>
        <v/>
      </c>
      <c r="AE103">
        <f>IFERROR(INDEX(Festivals!$V$2:$V$160,AP103),"")</f>
        <v>1</v>
      </c>
      <c r="AF103" t="str">
        <f>IFERROR(IF($AQ103&gt;1,INDEX(Festivals!$V$2:$V$160,$AP103+1),""),"")</f>
        <v/>
      </c>
      <c r="AG103" t="str">
        <f>IFERROR(IF($AQ103&gt;2,INDEX(Festivals!$V$2:$V$160,$AP103+2),""),"")</f>
        <v/>
      </c>
      <c r="AH103" t="str">
        <f>IFERROR(IF($AQ103&gt;3,INDEX(Festivals!$V$2:$V$160,$AP103+3),""),"")</f>
        <v/>
      </c>
      <c r="AI103" t="str">
        <f>IFERROR(IF($AQ103&gt;4,INDEX(Festivals!$V$2:$V$160,$AP103+4),""),"")</f>
        <v/>
      </c>
      <c r="AJ103" t="str">
        <f>IFERROR(IF($AQ103&gt;5,INDEX(Festivals!$V$2:$V$160,$AP103+5),""),"")</f>
        <v/>
      </c>
      <c r="AK103" t="str">
        <f>IFERROR(IF($AQ103&gt;6,INDEX(Festivals!$V$2:$V$160,$AP103+6),""),"")</f>
        <v/>
      </c>
      <c r="AL103">
        <f ca="1">IFERROR(INDEX('Holidays Calc'!$J$2:$J$233,MATCH(A103,'Holidays Calc'!$I$2:$I$233,0)),"")</f>
        <v>-11</v>
      </c>
      <c r="AM103" t="str">
        <f ca="1">IF(AR103="","",IF(INDEX('Holidays Calc'!$I$2:$I$233,AR103+1)=A103,INDEX('Holidays Calc'!$J$2:$J$233,AR103+1),""))</f>
        <v/>
      </c>
      <c r="AN103" t="str">
        <f ca="1">IF(AR103="","",IF(INDEX('Holidays Calc'!$I$2:$I$233,AR103+2)=A103,INDEX('Holidays Calc'!$J$2:$J$233,AR103+2),""))</f>
        <v/>
      </c>
      <c r="AO103" t="str">
        <f ca="1">IF(AR103="","",IF(INDEX('Holidays Calc'!$I$2:$I$233,AR103+3)=A103,INDEX('Holidays Calc'!$J$2:$J$233,AR103+3),""))</f>
        <v/>
      </c>
      <c r="AP103">
        <f>IFERROR(IF($E103=E102,"",MATCH($E103,Festivals!$H$2:$H$160,0)),"")</f>
        <v>155</v>
      </c>
      <c r="AQ103">
        <f>IF(AP103="","",COUNTIF(Festivals!$H$2:$H$160,$E103))</f>
        <v>1</v>
      </c>
      <c r="AR103">
        <f ca="1">IFERROR(MATCH(A103,'Holidays Calc'!$I$2:$I$233,0),"")</f>
        <v>38</v>
      </c>
      <c r="AS103">
        <f t="shared" si="11"/>
        <v>1</v>
      </c>
      <c r="AT103">
        <f t="shared" si="10"/>
        <v>1</v>
      </c>
      <c r="AU103">
        <f t="shared" ca="1" si="12"/>
        <v>-11</v>
      </c>
      <c r="AV103">
        <f t="shared" ca="1" si="13"/>
        <v>-11</v>
      </c>
    </row>
    <row r="104" spans="1:48" x14ac:dyDescent="0.25">
      <c r="A104" s="265">
        <f t="shared" si="7"/>
        <v>43530</v>
      </c>
      <c r="B104" s="265" t="str">
        <f t="shared" si="14"/>
        <v>6 Mar 2019</v>
      </c>
      <c r="C104" s="267">
        <f t="shared" si="15"/>
        <v>10</v>
      </c>
      <c r="D104">
        <f>MATCH(A104,GCalXMLT[daydate],0)</f>
        <v>103</v>
      </c>
      <c r="E104">
        <f>VALUE("1" &amp; Masacod(INDEX(GCalXMLT[gymasa],D104)) &amp; PaksaCod(INDEX(GCalXMLT[mpaksaid],D104)) &amp; TithiCod(INDEX(GCalXMLT[stithiname],D104)))</f>
        <v>112015</v>
      </c>
      <c r="F104" t="str">
        <f ca="1">INDEX(Parameters!$K$2:$K$16,MATCH(AV104,Parameters!$L$2:$L$16,0))</f>
        <v>C</v>
      </c>
      <c r="G104">
        <f>INDEX(GCalXMLT[fastmark],$D104)</f>
        <v>0</v>
      </c>
      <c r="H104" t="str">
        <f ca="1">INDEX(Parameters!$J$2:$J$16,MATCH(AV104,Parameters!$L$2:$L$16,0))</f>
        <v/>
      </c>
      <c r="I104">
        <f>INDEX(GCalXMLT[dfestival1],$D104)</f>
        <v>0</v>
      </c>
      <c r="J104">
        <f>IF(INDEX(GCalXMLT[dfestival2],$D104)="(Fast today)",INDEX(Festivals!$R$2:$R$180,MATCH($I104,Festivals!$R$2:$R$180,0)+1),INDEX(GCalXMLT[dfestival2],$D104))</f>
        <v>0</v>
      </c>
      <c r="K104">
        <f>IF(I104="Nandotsava","(Fast till noon)",INDEX(GCalXMLT[dfestival3],$D104))</f>
        <v>0</v>
      </c>
      <c r="L104">
        <f>IF(I104="Nandotsava", INDEX(GCalXMLT[dfestival3],$D104),INDEX(GCalXMLT[dfestival4],$D104))</f>
        <v>0</v>
      </c>
      <c r="M104" t="str">
        <f>IFERROR(INDEX(Festivals!$S$2:$S$160,AP104),"")</f>
        <v/>
      </c>
      <c r="N104" t="str">
        <f>IFERROR(IF($AQ104&gt;1,INDEX(Festivals!$S$2:$S$160,$AP104+1),""),"")</f>
        <v/>
      </c>
      <c r="O104" t="str">
        <f>IFERROR(IF($AQ104&gt;2,INDEX(Festivals!$S$2:$S$160,$AP104+2),""),"")</f>
        <v/>
      </c>
      <c r="P104" t="str">
        <f>IFERROR(IF($AQ104&gt;3,INDEX(Festivals!$S$2:$S$160,$AP104+3),""),"")</f>
        <v/>
      </c>
      <c r="Q104" t="str">
        <f>IFERROR(IF($AQ104&gt;4,INDEX(Festivals!$S$2:$S$160,$AP104+4),""),"")</f>
        <v/>
      </c>
      <c r="R104" t="str">
        <f>IFERROR(IF($AQ104&gt;5,INDEX(Festivals!$S$2:$S$160,$AP104+5),""),"")</f>
        <v/>
      </c>
      <c r="S104" t="str">
        <f>IFERROR(IF($AQ104&gt;6,INDEX(Festivals!$S$2:$S$160,$AP104+6),""),"")</f>
        <v/>
      </c>
      <c r="T104">
        <f>INDEX(GCalXMLT[dcaturmasya1],$D104)</f>
        <v>0</v>
      </c>
      <c r="U104">
        <f>INDEX(GCalXMLT[dcaturmasya2],$D104)</f>
        <v>0</v>
      </c>
      <c r="V104" t="str">
        <f>INDEX(GCalXMLT[sankrantirasi],$D104) &amp; " " &amp; INDEX(GCalXMLT[sankrantitime],$D104)</f>
        <v xml:space="preserve"> </v>
      </c>
      <c r="W104" t="str">
        <f ca="1">IFERROR(INDEX('Holidays Calc'!$K$2:$K$233,AR104),"")</f>
        <v>Quarta-feira de Cinzas</v>
      </c>
      <c r="X104" t="str">
        <f ca="1">IF(AR104="","",IF(INDEX('Holidays Calc'!$I$2:$I$233,AR104+1)=A104,INDEX('Holidays Calc'!$K$2:$K$233,AR104+1),""))</f>
        <v/>
      </c>
      <c r="Y104" t="str">
        <f ca="1">IF(AR104="","",IF(INDEX('Holidays Calc'!$I$2:$I$233,AR104+2)=A104,INDEX('Holidays Calc'!$K$2:$K$233,AR104+2),""))</f>
        <v/>
      </c>
      <c r="Z104" t="str">
        <f ca="1">IF(AR104="","",IF(INDEX('Holidays Calc'!$I$2:$I$233,AR104+3)=A104,INDEX('Holidays Calc'!$K$2:$K$2333,AR104+3),""))</f>
        <v/>
      </c>
      <c r="AA104" t="str">
        <f>IF(I104="Last day of Bhisma Pancaka","",IF(G104="*",-0.7,IF(ISBLANK(INDEX(GCalXMLT[dclass1],$D104)),"",INDEX(GCalXMLT[dclass1],$D104))))</f>
        <v/>
      </c>
      <c r="AB104" t="str">
        <f>IF(J104="First day of Bhisma Pancaka","",IF(AND(G104="*",NOT(ISERROR(SEARCH("ekadasi",J104)))),-0.7,IF(ISBLANK(INDEX(GCalXMLT[dclass2],$D104)),"",INDEX(GCalXMLT[dclass2],$D104))))</f>
        <v/>
      </c>
      <c r="AC104" t="str">
        <f>IF(I104="Nandotsava",-1,IF(ISBLANK(INDEX(GCalXMLT[dclass3],$D104)),"",INDEX(GCalXMLT[dclass3],$D104)))</f>
        <v/>
      </c>
      <c r="AD104" t="str">
        <f>IF(I104="Nandotsava",IF(ISBLANK(INDEX(GCalXMLT[dclass3],$D104)),"",INDEX(GCalXMLT[dclass3],$D104)),IF(ISBLANK(INDEX(GCalXMLT[dclass4],$D104)),"",INDEX(GCalXMLT[dclass4],$D104)))</f>
        <v/>
      </c>
      <c r="AE104" t="str">
        <f>IFERROR(INDEX(Festivals!$V$2:$V$160,AP104),"")</f>
        <v/>
      </c>
      <c r="AF104" t="str">
        <f>IFERROR(IF($AQ104&gt;1,INDEX(Festivals!$V$2:$V$160,$AP104+1),""),"")</f>
        <v/>
      </c>
      <c r="AG104" t="str">
        <f>IFERROR(IF($AQ104&gt;2,INDEX(Festivals!$V$2:$V$160,$AP104+2),""),"")</f>
        <v/>
      </c>
      <c r="AH104" t="str">
        <f>IFERROR(IF($AQ104&gt;3,INDEX(Festivals!$V$2:$V$160,$AP104+3),""),"")</f>
        <v/>
      </c>
      <c r="AI104" t="str">
        <f>IFERROR(IF($AQ104&gt;4,INDEX(Festivals!$V$2:$V$160,$AP104+4),""),"")</f>
        <v/>
      </c>
      <c r="AJ104" t="str">
        <f>IFERROR(IF($AQ104&gt;5,INDEX(Festivals!$V$2:$V$160,$AP104+5),""),"")</f>
        <v/>
      </c>
      <c r="AK104" t="str">
        <f>IFERROR(IF($AQ104&gt;6,INDEX(Festivals!$V$2:$V$160,$AP104+6),""),"")</f>
        <v/>
      </c>
      <c r="AL104">
        <f ca="1">IFERROR(INDEX('Holidays Calc'!$J$2:$J$233,MATCH(A104,'Holidays Calc'!$I$2:$I$233,0)),"")</f>
        <v>0.5</v>
      </c>
      <c r="AM104" t="str">
        <f ca="1">IF(AR104="","",IF(INDEX('Holidays Calc'!$I$2:$I$233,AR104+1)=A104,INDEX('Holidays Calc'!$J$2:$J$233,AR104+1),""))</f>
        <v/>
      </c>
      <c r="AN104" t="str">
        <f ca="1">IF(AR104="","",IF(INDEX('Holidays Calc'!$I$2:$I$233,AR104+2)=A104,INDEX('Holidays Calc'!$J$2:$J$233,AR104+2),""))</f>
        <v/>
      </c>
      <c r="AO104" t="str">
        <f ca="1">IF(AR104="","",IF(INDEX('Holidays Calc'!$I$2:$I$233,AR104+3)=A104,INDEX('Holidays Calc'!$J$2:$J$233,AR104+3),""))</f>
        <v/>
      </c>
      <c r="AP104" t="str">
        <f>IFERROR(IF($E104=E103,"",MATCH($E104,Festivals!$H$2:$H$160,0)),"")</f>
        <v/>
      </c>
      <c r="AQ104" t="str">
        <f>IF(AP104="","",COUNTIF(Festivals!$H$2:$H$160,$E104))</f>
        <v/>
      </c>
      <c r="AR104">
        <f ca="1">IFERROR(MATCH(A104,'Holidays Calc'!$I$2:$I$233,0),"")</f>
        <v>39</v>
      </c>
      <c r="AS104" t="str">
        <f t="shared" si="11"/>
        <v/>
      </c>
      <c r="AT104" t="str">
        <f t="shared" si="10"/>
        <v/>
      </c>
      <c r="AU104">
        <f t="shared" ca="1" si="12"/>
        <v>0.5</v>
      </c>
      <c r="AV104">
        <f t="shared" ca="1" si="13"/>
        <v>0.5</v>
      </c>
    </row>
    <row r="105" spans="1:48" x14ac:dyDescent="0.25">
      <c r="A105" s="265">
        <f t="shared" si="7"/>
        <v>43531</v>
      </c>
      <c r="B105" s="265" t="str">
        <f t="shared" si="14"/>
        <v>7 Mar 2019</v>
      </c>
      <c r="C105" s="267">
        <f t="shared" si="15"/>
        <v>10</v>
      </c>
      <c r="D105">
        <f>MATCH(A105,GCalXMLT[daydate],0)</f>
        <v>104</v>
      </c>
      <c r="E105">
        <f>VALUE("1" &amp; Masacod(INDEX(GCalXMLT[gymasa],D105)) &amp; PaksaCod(INDEX(GCalXMLT[mpaksaid],D105)) &amp; TithiCod(INDEX(GCalXMLT[stithiname],D105)))</f>
        <v>112101</v>
      </c>
      <c r="F105" t="str">
        <f ca="1">INDEX(Parameters!$K$2:$K$16,MATCH(AV105,Parameters!$L$2:$L$16,0))</f>
        <v>C</v>
      </c>
      <c r="G105">
        <f>INDEX(GCalXMLT[fastmark],$D105)</f>
        <v>0</v>
      </c>
      <c r="H105" t="str">
        <f ca="1">INDEX(Parameters!$J$2:$J$16,MATCH(AV105,Parameters!$L$2:$L$16,0))</f>
        <v/>
      </c>
      <c r="I105">
        <f>INDEX(GCalXMLT[dfestival1],$D105)</f>
        <v>0</v>
      </c>
      <c r="J105">
        <f>IF(INDEX(GCalXMLT[dfestival2],$D105)="(Fast today)",INDEX(Festivals!$R$2:$R$180,MATCH($I105,Festivals!$R$2:$R$180,0)+1),INDEX(GCalXMLT[dfestival2],$D105))</f>
        <v>0</v>
      </c>
      <c r="K105">
        <f>IF(I105="Nandotsava","(Fast till noon)",INDEX(GCalXMLT[dfestival3],$D105))</f>
        <v>0</v>
      </c>
      <c r="L105">
        <f>IF(I105="Nandotsava", INDEX(GCalXMLT[dfestival3],$D105),INDEX(GCalXMLT[dfestival4],$D105))</f>
        <v>0</v>
      </c>
      <c r="M105" t="str">
        <f>IFERROR(INDEX(Festivals!$S$2:$S$160,AP105),"")</f>
        <v>Srila Jagannatha Dasa Babaji - Disappearance</v>
      </c>
      <c r="N105" t="str">
        <f>IFERROR(IF($AQ105&gt;1,INDEX(Festivals!$S$2:$S$160,$AP105+1),""),"")</f>
        <v>Sri Rasikananda - Disappearance</v>
      </c>
      <c r="O105" t="str">
        <f>IFERROR(IF($AQ105&gt;2,INDEX(Festivals!$S$2:$S$160,$AP105+2),""),"")</f>
        <v/>
      </c>
      <c r="P105" t="str">
        <f>IFERROR(IF($AQ105&gt;3,INDEX(Festivals!$S$2:$S$160,$AP105+3),""),"")</f>
        <v/>
      </c>
      <c r="Q105" t="str">
        <f>IFERROR(IF($AQ105&gt;4,INDEX(Festivals!$S$2:$S$160,$AP105+4),""),"")</f>
        <v/>
      </c>
      <c r="R105" t="str">
        <f>IFERROR(IF($AQ105&gt;5,INDEX(Festivals!$S$2:$S$160,$AP105+5),""),"")</f>
        <v/>
      </c>
      <c r="S105" t="str">
        <f>IFERROR(IF($AQ105&gt;6,INDEX(Festivals!$S$2:$S$160,$AP105+6),""),"")</f>
        <v/>
      </c>
      <c r="T105">
        <f>INDEX(GCalXMLT[dcaturmasya1],$D105)</f>
        <v>0</v>
      </c>
      <c r="U105">
        <f>INDEX(GCalXMLT[dcaturmasya2],$D105)</f>
        <v>0</v>
      </c>
      <c r="V105" t="str">
        <f>INDEX(GCalXMLT[sankrantirasi],$D105) &amp; " " &amp; INDEX(GCalXMLT[sankrantitime],$D105)</f>
        <v xml:space="preserve"> </v>
      </c>
      <c r="W105" t="str">
        <f ca="1">IFERROR(INDEX('Holidays Calc'!$K$2:$K$233,AR105),"")</f>
        <v/>
      </c>
      <c r="X105" t="str">
        <f ca="1">IF(AR105="","",IF(INDEX('Holidays Calc'!$I$2:$I$233,AR105+1)=A105,INDEX('Holidays Calc'!$K$2:$K$233,AR105+1),""))</f>
        <v/>
      </c>
      <c r="Y105" t="str">
        <f ca="1">IF(AR105="","",IF(INDEX('Holidays Calc'!$I$2:$I$233,AR105+2)=A105,INDEX('Holidays Calc'!$K$2:$K$233,AR105+2),""))</f>
        <v/>
      </c>
      <c r="Z105" t="str">
        <f ca="1">IF(AR105="","",IF(INDEX('Holidays Calc'!$I$2:$I$233,AR105+3)=A105,INDEX('Holidays Calc'!$K$2:$K$2333,AR105+3),""))</f>
        <v/>
      </c>
      <c r="AA105" t="str">
        <f>IF(I105="Last day of Bhisma Pancaka","",IF(G105="*",-0.7,IF(ISBLANK(INDEX(GCalXMLT[dclass1],$D105)),"",INDEX(GCalXMLT[dclass1],$D105))))</f>
        <v/>
      </c>
      <c r="AB105" t="str">
        <f>IF(J105="First day of Bhisma Pancaka","",IF(AND(G105="*",NOT(ISERROR(SEARCH("ekadasi",J105)))),-0.7,IF(ISBLANK(INDEX(GCalXMLT[dclass2],$D105)),"",INDEX(GCalXMLT[dclass2],$D105))))</f>
        <v/>
      </c>
      <c r="AC105" t="str">
        <f>IF(I105="Nandotsava",-1,IF(ISBLANK(INDEX(GCalXMLT[dclass3],$D105)),"",INDEX(GCalXMLT[dclass3],$D105)))</f>
        <v/>
      </c>
      <c r="AD105" t="str">
        <f>IF(I105="Nandotsava",IF(ISBLANK(INDEX(GCalXMLT[dclass3],$D105)),"",INDEX(GCalXMLT[dclass3],$D105)),IF(ISBLANK(INDEX(GCalXMLT[dclass4],$D105)),"",INDEX(GCalXMLT[dclass4],$D105)))</f>
        <v/>
      </c>
      <c r="AE105">
        <f>IFERROR(INDEX(Festivals!$V$2:$V$160,AP105),"")</f>
        <v>2</v>
      </c>
      <c r="AF105">
        <f>IFERROR(IF($AQ105&gt;1,INDEX(Festivals!$V$2:$V$160,$AP105+1),""),"")</f>
        <v>3</v>
      </c>
      <c r="AG105" t="str">
        <f>IFERROR(IF($AQ105&gt;2,INDEX(Festivals!$V$2:$V$160,$AP105+2),""),"")</f>
        <v/>
      </c>
      <c r="AH105" t="str">
        <f>IFERROR(IF($AQ105&gt;3,INDEX(Festivals!$V$2:$V$160,$AP105+3),""),"")</f>
        <v/>
      </c>
      <c r="AI105" t="str">
        <f>IFERROR(IF($AQ105&gt;4,INDEX(Festivals!$V$2:$V$160,$AP105+4),""),"")</f>
        <v/>
      </c>
      <c r="AJ105" t="str">
        <f>IFERROR(IF($AQ105&gt;5,INDEX(Festivals!$V$2:$V$160,$AP105+5),""),"")</f>
        <v/>
      </c>
      <c r="AK105" t="str">
        <f>IFERROR(IF($AQ105&gt;6,INDEX(Festivals!$V$2:$V$160,$AP105+6),""),"")</f>
        <v/>
      </c>
      <c r="AL105" t="str">
        <f ca="1">IFERROR(INDEX('Holidays Calc'!$J$2:$J$233,MATCH(A105,'Holidays Calc'!$I$2:$I$233,0)),"")</f>
        <v/>
      </c>
      <c r="AM105" t="str">
        <f ca="1">IF(AR105="","",IF(INDEX('Holidays Calc'!$I$2:$I$233,AR105+1)=A105,INDEX('Holidays Calc'!$J$2:$J$233,AR105+1),""))</f>
        <v/>
      </c>
      <c r="AN105" t="str">
        <f ca="1">IF(AR105="","",IF(INDEX('Holidays Calc'!$I$2:$I$233,AR105+2)=A105,INDEX('Holidays Calc'!$J$2:$J$233,AR105+2),""))</f>
        <v/>
      </c>
      <c r="AO105" t="str">
        <f ca="1">IF(AR105="","",IF(INDEX('Holidays Calc'!$I$2:$I$233,AR105+3)=A105,INDEX('Holidays Calc'!$J$2:$J$233,AR105+3),""))</f>
        <v/>
      </c>
      <c r="AP105">
        <f>IFERROR(IF($E105=E104,"",MATCH($E105,Festivals!$H$2:$H$160,0)),"")</f>
        <v>156</v>
      </c>
      <c r="AQ105">
        <f>IF(AP105="","",COUNTIF(Festivals!$H$2:$H$160,$E105))</f>
        <v>2</v>
      </c>
      <c r="AR105" t="str">
        <f ca="1">IFERROR(MATCH(A105,'Holidays Calc'!$I$2:$I$233,0),"")</f>
        <v/>
      </c>
      <c r="AS105">
        <f t="shared" si="11"/>
        <v>2</v>
      </c>
      <c r="AT105">
        <f t="shared" si="10"/>
        <v>2</v>
      </c>
      <c r="AU105" t="str">
        <f t="shared" ca="1" si="12"/>
        <v/>
      </c>
      <c r="AV105">
        <f t="shared" ca="1" si="13"/>
        <v>2</v>
      </c>
    </row>
    <row r="106" spans="1:48" x14ac:dyDescent="0.25">
      <c r="A106" s="265">
        <f t="shared" si="7"/>
        <v>43532</v>
      </c>
      <c r="B106" s="265" t="str">
        <f t="shared" si="14"/>
        <v>8 Mar 2019</v>
      </c>
      <c r="C106" s="267">
        <f t="shared" si="15"/>
        <v>10</v>
      </c>
      <c r="D106">
        <f>MATCH(A106,GCalXMLT[daydate],0)</f>
        <v>105</v>
      </c>
      <c r="E106">
        <f>VALUE("1" &amp; Masacod(INDEX(GCalXMLT[gymasa],D106)) &amp; PaksaCod(INDEX(GCalXMLT[mpaksaid],D106)) &amp; TithiCod(INDEX(GCalXMLT[stithiname],D106)))</f>
        <v>112102</v>
      </c>
      <c r="F106" t="str">
        <f ca="1">INDEX(Parameters!$K$2:$K$16,MATCH(AV106,Parameters!$L$2:$L$16,0))</f>
        <v>C</v>
      </c>
      <c r="G106">
        <f>INDEX(GCalXMLT[fastmark],$D106)</f>
        <v>0</v>
      </c>
      <c r="H106" t="str">
        <f ca="1">INDEX(Parameters!$J$2:$J$16,MATCH(AV106,Parameters!$L$2:$L$16,0))</f>
        <v/>
      </c>
      <c r="I106">
        <f>INDEX(GCalXMLT[dfestival1],$D106)</f>
        <v>0</v>
      </c>
      <c r="J106">
        <f>IF(INDEX(GCalXMLT[dfestival2],$D106)="(Fast today)",INDEX(Festivals!$R$2:$R$180,MATCH($I106,Festivals!$R$2:$R$180,0)+1),INDEX(GCalXMLT[dfestival2],$D106))</f>
        <v>0</v>
      </c>
      <c r="K106">
        <f>IF(I106="Nandotsava","(Fast till noon)",INDEX(GCalXMLT[dfestival3],$D106))</f>
        <v>0</v>
      </c>
      <c r="L106">
        <f>IF(I106="Nandotsava", INDEX(GCalXMLT[dfestival3],$D106),INDEX(GCalXMLT[dfestival4],$D106))</f>
        <v>0</v>
      </c>
      <c r="M106" t="str">
        <f>IFERROR(INDEX(Festivals!$S$2:$S$160,AP106),"")</f>
        <v/>
      </c>
      <c r="N106" t="str">
        <f>IFERROR(IF($AQ106&gt;1,INDEX(Festivals!$S$2:$S$160,$AP106+1),""),"")</f>
        <v/>
      </c>
      <c r="O106" t="str">
        <f>IFERROR(IF($AQ106&gt;2,INDEX(Festivals!$S$2:$S$160,$AP106+2),""),"")</f>
        <v/>
      </c>
      <c r="P106" t="str">
        <f>IFERROR(IF($AQ106&gt;3,INDEX(Festivals!$S$2:$S$160,$AP106+3),""),"")</f>
        <v/>
      </c>
      <c r="Q106" t="str">
        <f>IFERROR(IF($AQ106&gt;4,INDEX(Festivals!$S$2:$S$160,$AP106+4),""),"")</f>
        <v/>
      </c>
      <c r="R106" t="str">
        <f>IFERROR(IF($AQ106&gt;5,INDEX(Festivals!$S$2:$S$160,$AP106+5),""),"")</f>
        <v/>
      </c>
      <c r="S106" t="str">
        <f>IFERROR(IF($AQ106&gt;6,INDEX(Festivals!$S$2:$S$160,$AP106+6),""),"")</f>
        <v/>
      </c>
      <c r="T106">
        <f>INDEX(GCalXMLT[dcaturmasya1],$D106)</f>
        <v>0</v>
      </c>
      <c r="U106">
        <f>INDEX(GCalXMLT[dcaturmasya2],$D106)</f>
        <v>0</v>
      </c>
      <c r="V106" t="str">
        <f>INDEX(GCalXMLT[sankrantirasi],$D106) &amp; " " &amp; INDEX(GCalXMLT[sankrantitime],$D106)</f>
        <v xml:space="preserve"> </v>
      </c>
      <c r="W106" t="str">
        <f ca="1">IFERROR(INDEX('Holidays Calc'!$K$2:$K$233,AR106),"")</f>
        <v>Dia Internacional da Mulher</v>
      </c>
      <c r="X106" t="str">
        <f ca="1">IF(AR106="","",IF(INDEX('Holidays Calc'!$I$2:$I$233,AR106+1)=A106,INDEX('Holidays Calc'!$K$2:$K$233,AR106+1),""))</f>
        <v/>
      </c>
      <c r="Y106" t="str">
        <f ca="1">IF(AR106="","",IF(INDEX('Holidays Calc'!$I$2:$I$233,AR106+2)=A106,INDEX('Holidays Calc'!$K$2:$K$233,AR106+2),""))</f>
        <v/>
      </c>
      <c r="Z106" t="str">
        <f ca="1">IF(AR106="","",IF(INDEX('Holidays Calc'!$I$2:$I$233,AR106+3)=A106,INDEX('Holidays Calc'!$K$2:$K$2333,AR106+3),""))</f>
        <v/>
      </c>
      <c r="AA106" t="str">
        <f>IF(I106="Last day of Bhisma Pancaka","",IF(G106="*",-0.7,IF(ISBLANK(INDEX(GCalXMLT[dclass1],$D106)),"",INDEX(GCalXMLT[dclass1],$D106))))</f>
        <v/>
      </c>
      <c r="AB106" t="str">
        <f>IF(J106="First day of Bhisma Pancaka","",IF(AND(G106="*",NOT(ISERROR(SEARCH("ekadasi",J106)))),-0.7,IF(ISBLANK(INDEX(GCalXMLT[dclass2],$D106)),"",INDEX(GCalXMLT[dclass2],$D106))))</f>
        <v/>
      </c>
      <c r="AC106" t="str">
        <f>IF(I106="Nandotsava",-1,IF(ISBLANK(INDEX(GCalXMLT[dclass3],$D106)),"",INDEX(GCalXMLT[dclass3],$D106)))</f>
        <v/>
      </c>
      <c r="AD106" t="str">
        <f>IF(I106="Nandotsava",IF(ISBLANK(INDEX(GCalXMLT[dclass3],$D106)),"",INDEX(GCalXMLT[dclass3],$D106)),IF(ISBLANK(INDEX(GCalXMLT[dclass4],$D106)),"",INDEX(GCalXMLT[dclass4],$D106)))</f>
        <v/>
      </c>
      <c r="AE106" t="str">
        <f>IFERROR(INDEX(Festivals!$V$2:$V$160,AP106),"")</f>
        <v/>
      </c>
      <c r="AF106" t="str">
        <f>IFERROR(IF($AQ106&gt;1,INDEX(Festivals!$V$2:$V$160,$AP106+1),""),"")</f>
        <v/>
      </c>
      <c r="AG106" t="str">
        <f>IFERROR(IF($AQ106&gt;2,INDEX(Festivals!$V$2:$V$160,$AP106+2),""),"")</f>
        <v/>
      </c>
      <c r="AH106" t="str">
        <f>IFERROR(IF($AQ106&gt;3,INDEX(Festivals!$V$2:$V$160,$AP106+3),""),"")</f>
        <v/>
      </c>
      <c r="AI106" t="str">
        <f>IFERROR(IF($AQ106&gt;4,INDEX(Festivals!$V$2:$V$160,$AP106+4),""),"")</f>
        <v/>
      </c>
      <c r="AJ106" t="str">
        <f>IFERROR(IF($AQ106&gt;5,INDEX(Festivals!$V$2:$V$160,$AP106+5),""),"")</f>
        <v/>
      </c>
      <c r="AK106" t="str">
        <f>IFERROR(IF($AQ106&gt;6,INDEX(Festivals!$V$2:$V$160,$AP106+6),""),"")</f>
        <v/>
      </c>
      <c r="AL106">
        <f ca="1">IFERROR(INDEX('Holidays Calc'!$J$2:$J$233,MATCH(A106,'Holidays Calc'!$I$2:$I$233,0)),"")</f>
        <v>0.5</v>
      </c>
      <c r="AM106" t="str">
        <f ca="1">IF(AR106="","",IF(INDEX('Holidays Calc'!$I$2:$I$233,AR106+1)=A106,INDEX('Holidays Calc'!$J$2:$J$233,AR106+1),""))</f>
        <v/>
      </c>
      <c r="AN106" t="str">
        <f ca="1">IF(AR106="","",IF(INDEX('Holidays Calc'!$I$2:$I$233,AR106+2)=A106,INDEX('Holidays Calc'!$J$2:$J$233,AR106+2),""))</f>
        <v/>
      </c>
      <c r="AO106" t="str">
        <f ca="1">IF(AR106="","",IF(INDEX('Holidays Calc'!$I$2:$I$233,AR106+3)=A106,INDEX('Holidays Calc'!$J$2:$J$233,AR106+3),""))</f>
        <v/>
      </c>
      <c r="AP106" t="str">
        <f>IFERROR(IF($E106=E105,"",MATCH($E106,Festivals!$H$2:$H$160,0)),"")</f>
        <v/>
      </c>
      <c r="AQ106" t="str">
        <f>IF(AP106="","",COUNTIF(Festivals!$H$2:$H$160,$E106))</f>
        <v/>
      </c>
      <c r="AR106">
        <f ca="1">IFERROR(MATCH(A106,'Holidays Calc'!$I$2:$I$233,0),"")</f>
        <v>40</v>
      </c>
      <c r="AS106" t="str">
        <f t="shared" si="11"/>
        <v/>
      </c>
      <c r="AT106" t="str">
        <f t="shared" si="10"/>
        <v/>
      </c>
      <c r="AU106">
        <f t="shared" ca="1" si="12"/>
        <v>0.5</v>
      </c>
      <c r="AV106">
        <f t="shared" ca="1" si="13"/>
        <v>0.5</v>
      </c>
    </row>
    <row r="107" spans="1:48" x14ac:dyDescent="0.25">
      <c r="A107" s="265">
        <f t="shared" si="7"/>
        <v>43533</v>
      </c>
      <c r="B107" s="265" t="str">
        <f t="shared" si="14"/>
        <v>9 Mar 2019</v>
      </c>
      <c r="C107" s="267">
        <f t="shared" si="15"/>
        <v>10</v>
      </c>
      <c r="D107">
        <f>MATCH(A107,GCalXMLT[daydate],0)</f>
        <v>106</v>
      </c>
      <c r="E107">
        <f>VALUE("1" &amp; Masacod(INDEX(GCalXMLT[gymasa],D107)) &amp; PaksaCod(INDEX(GCalXMLT[mpaksaid],D107)) &amp; TithiCod(INDEX(GCalXMLT[stithiname],D107)))</f>
        <v>112103</v>
      </c>
      <c r="F107" t="str">
        <f ca="1">INDEX(Parameters!$K$2:$K$16,MATCH(AV107,Parameters!$L$2:$L$16,0))</f>
        <v/>
      </c>
      <c r="G107">
        <f>INDEX(GCalXMLT[fastmark],$D107)</f>
        <v>0</v>
      </c>
      <c r="H107" t="str">
        <f ca="1">INDEX(Parameters!$J$2:$J$16,MATCH(AV107,Parameters!$L$2:$L$16,0))</f>
        <v/>
      </c>
      <c r="I107">
        <f>INDEX(GCalXMLT[dfestival1],$D107)</f>
        <v>0</v>
      </c>
      <c r="J107">
        <f>IF(INDEX(GCalXMLT[dfestival2],$D107)="(Fast today)",INDEX(Festivals!$R$2:$R$180,MATCH($I107,Festivals!$R$2:$R$180,0)+1),INDEX(GCalXMLT[dfestival2],$D107))</f>
        <v>0</v>
      </c>
      <c r="K107">
        <f>IF(I107="Nandotsava","(Fast till noon)",INDEX(GCalXMLT[dfestival3],$D107))</f>
        <v>0</v>
      </c>
      <c r="L107">
        <f>IF(I107="Nandotsava", INDEX(GCalXMLT[dfestival3],$D107),INDEX(GCalXMLT[dfestival4],$D107))</f>
        <v>0</v>
      </c>
      <c r="M107" t="str">
        <f>IFERROR(INDEX(Festivals!$S$2:$S$160,AP107),"")</f>
        <v/>
      </c>
      <c r="N107" t="str">
        <f>IFERROR(IF($AQ107&gt;1,INDEX(Festivals!$S$2:$S$160,$AP107+1),""),"")</f>
        <v/>
      </c>
      <c r="O107" t="str">
        <f>IFERROR(IF($AQ107&gt;2,INDEX(Festivals!$S$2:$S$160,$AP107+2),""),"")</f>
        <v/>
      </c>
      <c r="P107" t="str">
        <f>IFERROR(IF($AQ107&gt;3,INDEX(Festivals!$S$2:$S$160,$AP107+3),""),"")</f>
        <v/>
      </c>
      <c r="Q107" t="str">
        <f>IFERROR(IF($AQ107&gt;4,INDEX(Festivals!$S$2:$S$160,$AP107+4),""),"")</f>
        <v/>
      </c>
      <c r="R107" t="str">
        <f>IFERROR(IF($AQ107&gt;5,INDEX(Festivals!$S$2:$S$160,$AP107+5),""),"")</f>
        <v/>
      </c>
      <c r="S107" t="str">
        <f>IFERROR(IF($AQ107&gt;6,INDEX(Festivals!$S$2:$S$160,$AP107+6),""),"")</f>
        <v/>
      </c>
      <c r="T107">
        <f>INDEX(GCalXMLT[dcaturmasya1],$D107)</f>
        <v>0</v>
      </c>
      <c r="U107">
        <f>INDEX(GCalXMLT[dcaturmasya2],$D107)</f>
        <v>0</v>
      </c>
      <c r="V107" t="str">
        <f>INDEX(GCalXMLT[sankrantirasi],$D107) &amp; " " &amp; INDEX(GCalXMLT[sankrantitime],$D107)</f>
        <v xml:space="preserve"> </v>
      </c>
      <c r="W107" t="str">
        <f ca="1">IFERROR(INDEX('Holidays Calc'!$K$2:$K$233,AR107),"")</f>
        <v/>
      </c>
      <c r="X107" t="str">
        <f ca="1">IF(AR107="","",IF(INDEX('Holidays Calc'!$I$2:$I$233,AR107+1)=A107,INDEX('Holidays Calc'!$K$2:$K$233,AR107+1),""))</f>
        <v/>
      </c>
      <c r="Y107" t="str">
        <f ca="1">IF(AR107="","",IF(INDEX('Holidays Calc'!$I$2:$I$233,AR107+2)=A107,INDEX('Holidays Calc'!$K$2:$K$233,AR107+2),""))</f>
        <v/>
      </c>
      <c r="Z107" t="str">
        <f ca="1">IF(AR107="","",IF(INDEX('Holidays Calc'!$I$2:$I$233,AR107+3)=A107,INDEX('Holidays Calc'!$K$2:$K$2333,AR107+3),""))</f>
        <v/>
      </c>
      <c r="AA107" t="str">
        <f>IF(I107="Last day of Bhisma Pancaka","",IF(G107="*",-0.7,IF(ISBLANK(INDEX(GCalXMLT[dclass1],$D107)),"",INDEX(GCalXMLT[dclass1],$D107))))</f>
        <v/>
      </c>
      <c r="AB107" t="str">
        <f>IF(J107="First day of Bhisma Pancaka","",IF(AND(G107="*",NOT(ISERROR(SEARCH("ekadasi",J107)))),-0.7,IF(ISBLANK(INDEX(GCalXMLT[dclass2],$D107)),"",INDEX(GCalXMLT[dclass2],$D107))))</f>
        <v/>
      </c>
      <c r="AC107" t="str">
        <f>IF(I107="Nandotsava",-1,IF(ISBLANK(INDEX(GCalXMLT[dclass3],$D107)),"",INDEX(GCalXMLT[dclass3],$D107)))</f>
        <v/>
      </c>
      <c r="AD107" t="str">
        <f>IF(I107="Nandotsava",IF(ISBLANK(INDEX(GCalXMLT[dclass3],$D107)),"",INDEX(GCalXMLT[dclass3],$D107)),IF(ISBLANK(INDEX(GCalXMLT[dclass4],$D107)),"",INDEX(GCalXMLT[dclass4],$D107)))</f>
        <v/>
      </c>
      <c r="AE107" t="str">
        <f>IFERROR(INDEX(Festivals!$V$2:$V$160,AP107),"")</f>
        <v/>
      </c>
      <c r="AF107" t="str">
        <f>IFERROR(IF($AQ107&gt;1,INDEX(Festivals!$V$2:$V$160,$AP107+1),""),"")</f>
        <v/>
      </c>
      <c r="AG107" t="str">
        <f>IFERROR(IF($AQ107&gt;2,INDEX(Festivals!$V$2:$V$160,$AP107+2),""),"")</f>
        <v/>
      </c>
      <c r="AH107" t="str">
        <f>IFERROR(IF($AQ107&gt;3,INDEX(Festivals!$V$2:$V$160,$AP107+3),""),"")</f>
        <v/>
      </c>
      <c r="AI107" t="str">
        <f>IFERROR(IF($AQ107&gt;4,INDEX(Festivals!$V$2:$V$160,$AP107+4),""),"")</f>
        <v/>
      </c>
      <c r="AJ107" t="str">
        <f>IFERROR(IF($AQ107&gt;5,INDEX(Festivals!$V$2:$V$160,$AP107+5),""),"")</f>
        <v/>
      </c>
      <c r="AK107" t="str">
        <f>IFERROR(IF($AQ107&gt;6,INDEX(Festivals!$V$2:$V$160,$AP107+6),""),"")</f>
        <v/>
      </c>
      <c r="AL107" t="str">
        <f ca="1">IFERROR(INDEX('Holidays Calc'!$J$2:$J$233,MATCH(A107,'Holidays Calc'!$I$2:$I$233,0)),"")</f>
        <v/>
      </c>
      <c r="AM107" t="str">
        <f ca="1">IF(AR107="","",IF(INDEX('Holidays Calc'!$I$2:$I$233,AR107+1)=A107,INDEX('Holidays Calc'!$J$2:$J$233,AR107+1),""))</f>
        <v/>
      </c>
      <c r="AN107" t="str">
        <f ca="1">IF(AR107="","",IF(INDEX('Holidays Calc'!$I$2:$I$233,AR107+2)=A107,INDEX('Holidays Calc'!$J$2:$J$233,AR107+2),""))</f>
        <v/>
      </c>
      <c r="AO107" t="str">
        <f ca="1">IF(AR107="","",IF(INDEX('Holidays Calc'!$I$2:$I$233,AR107+3)=A107,INDEX('Holidays Calc'!$J$2:$J$233,AR107+3),""))</f>
        <v/>
      </c>
      <c r="AP107" t="str">
        <f>IFERROR(IF($E107=E106,"",MATCH($E107,Festivals!$H$2:$H$160,0)),"")</f>
        <v/>
      </c>
      <c r="AQ107" t="str">
        <f>IF(AP107="","",COUNTIF(Festivals!$H$2:$H$160,$E107))</f>
        <v/>
      </c>
      <c r="AR107" t="str">
        <f ca="1">IFERROR(MATCH(A107,'Holidays Calc'!$I$2:$I$233,0),"")</f>
        <v/>
      </c>
      <c r="AS107" t="str">
        <f t="shared" si="11"/>
        <v/>
      </c>
      <c r="AT107" t="str">
        <f t="shared" si="10"/>
        <v/>
      </c>
      <c r="AU107" t="str">
        <f t="shared" ca="1" si="12"/>
        <v/>
      </c>
      <c r="AV107" t="str">
        <f t="shared" ca="1" si="13"/>
        <v/>
      </c>
    </row>
    <row r="108" spans="1:48" x14ac:dyDescent="0.25">
      <c r="A108" s="265">
        <f t="shared" si="7"/>
        <v>43534</v>
      </c>
      <c r="B108" s="265" t="str">
        <f t="shared" si="14"/>
        <v>10 Mar 2019</v>
      </c>
      <c r="C108" s="267">
        <f t="shared" si="15"/>
        <v>10</v>
      </c>
      <c r="D108">
        <f>MATCH(A108,GCalXMLT[daydate],0)</f>
        <v>107</v>
      </c>
      <c r="E108">
        <f>VALUE("1" &amp; Masacod(INDEX(GCalXMLT[gymasa],D108)) &amp; PaksaCod(INDEX(GCalXMLT[mpaksaid],D108)) &amp; TithiCod(INDEX(GCalXMLT[stithiname],D108)))</f>
        <v>112104</v>
      </c>
      <c r="F108" t="str">
        <f ca="1">INDEX(Parameters!$K$2:$K$16,MATCH(AV108,Parameters!$L$2:$L$16,0))</f>
        <v>C</v>
      </c>
      <c r="G108">
        <f>INDEX(GCalXMLT[fastmark],$D108)</f>
        <v>0</v>
      </c>
      <c r="H108" t="str">
        <f ca="1">INDEX(Parameters!$J$2:$J$16,MATCH(AV108,Parameters!$L$2:$L$16,0))</f>
        <v/>
      </c>
      <c r="I108">
        <f>INDEX(GCalXMLT[dfestival1],$D108)</f>
        <v>0</v>
      </c>
      <c r="J108">
        <f>IF(INDEX(GCalXMLT[dfestival2],$D108)="(Fast today)",INDEX(Festivals!$R$2:$R$180,MATCH($I108,Festivals!$R$2:$R$180,0)+1),INDEX(GCalXMLT[dfestival2],$D108))</f>
        <v>0</v>
      </c>
      <c r="K108">
        <f>IF(I108="Nandotsava","(Fast till noon)",INDEX(GCalXMLT[dfestival3],$D108))</f>
        <v>0</v>
      </c>
      <c r="L108">
        <f>IF(I108="Nandotsava", INDEX(GCalXMLT[dfestival3],$D108),INDEX(GCalXMLT[dfestival4],$D108))</f>
        <v>0</v>
      </c>
      <c r="M108" t="str">
        <f>IFERROR(INDEX(Festivals!$S$2:$S$160,AP108),"")</f>
        <v>Sri Purusottama Dasa Thakura - Appearance</v>
      </c>
      <c r="N108" t="str">
        <f>IFERROR(IF($AQ108&gt;1,INDEX(Festivals!$S$2:$S$160,$AP108+1),""),"")</f>
        <v/>
      </c>
      <c r="O108" t="str">
        <f>IFERROR(IF($AQ108&gt;2,INDEX(Festivals!$S$2:$S$160,$AP108+2),""),"")</f>
        <v/>
      </c>
      <c r="P108" t="str">
        <f>IFERROR(IF($AQ108&gt;3,INDEX(Festivals!$S$2:$S$160,$AP108+3),""),"")</f>
        <v/>
      </c>
      <c r="Q108" t="str">
        <f>IFERROR(IF($AQ108&gt;4,INDEX(Festivals!$S$2:$S$160,$AP108+4),""),"")</f>
        <v/>
      </c>
      <c r="R108" t="str">
        <f>IFERROR(IF($AQ108&gt;5,INDEX(Festivals!$S$2:$S$160,$AP108+5),""),"")</f>
        <v/>
      </c>
      <c r="S108" t="str">
        <f>IFERROR(IF($AQ108&gt;6,INDEX(Festivals!$S$2:$S$160,$AP108+6),""),"")</f>
        <v/>
      </c>
      <c r="T108">
        <f>INDEX(GCalXMLT[dcaturmasya1],$D108)</f>
        <v>0</v>
      </c>
      <c r="U108">
        <f>INDEX(GCalXMLT[dcaturmasya2],$D108)</f>
        <v>0</v>
      </c>
      <c r="V108" t="str">
        <f>INDEX(GCalXMLT[sankrantirasi],$D108) &amp; " " &amp; INDEX(GCalXMLT[sankrantitime],$D108)</f>
        <v xml:space="preserve"> </v>
      </c>
      <c r="W108" t="str">
        <f ca="1">IFERROR(INDEX('Holidays Calc'!$K$2:$K$233,AR108),"")</f>
        <v/>
      </c>
      <c r="X108" t="str">
        <f ca="1">IF(AR108="","",IF(INDEX('Holidays Calc'!$I$2:$I$233,AR108+1)=A108,INDEX('Holidays Calc'!$K$2:$K$233,AR108+1),""))</f>
        <v/>
      </c>
      <c r="Y108" t="str">
        <f ca="1">IF(AR108="","",IF(INDEX('Holidays Calc'!$I$2:$I$233,AR108+2)=A108,INDEX('Holidays Calc'!$K$2:$K$233,AR108+2),""))</f>
        <v/>
      </c>
      <c r="Z108" t="str">
        <f ca="1">IF(AR108="","",IF(INDEX('Holidays Calc'!$I$2:$I$233,AR108+3)=A108,INDEX('Holidays Calc'!$K$2:$K$2333,AR108+3),""))</f>
        <v/>
      </c>
      <c r="AA108" t="str">
        <f>IF(I108="Last day of Bhisma Pancaka","",IF(G108="*",-0.7,IF(ISBLANK(INDEX(GCalXMLT[dclass1],$D108)),"",INDEX(GCalXMLT[dclass1],$D108))))</f>
        <v/>
      </c>
      <c r="AB108" t="str">
        <f>IF(J108="First day of Bhisma Pancaka","",IF(AND(G108="*",NOT(ISERROR(SEARCH("ekadasi",J108)))),-0.7,IF(ISBLANK(INDEX(GCalXMLT[dclass2],$D108)),"",INDEX(GCalXMLT[dclass2],$D108))))</f>
        <v/>
      </c>
      <c r="AC108" t="str">
        <f>IF(I108="Nandotsava",-1,IF(ISBLANK(INDEX(GCalXMLT[dclass3],$D108)),"",INDEX(GCalXMLT[dclass3],$D108)))</f>
        <v/>
      </c>
      <c r="AD108" t="str">
        <f>IF(I108="Nandotsava",IF(ISBLANK(INDEX(GCalXMLT[dclass3],$D108)),"",INDEX(GCalXMLT[dclass3],$D108)),IF(ISBLANK(INDEX(GCalXMLT[dclass4],$D108)),"",INDEX(GCalXMLT[dclass4],$D108)))</f>
        <v/>
      </c>
      <c r="AE108">
        <f>IFERROR(INDEX(Festivals!$V$2:$V$160,AP108),"")</f>
        <v>3</v>
      </c>
      <c r="AF108" t="str">
        <f>IFERROR(IF($AQ108&gt;1,INDEX(Festivals!$V$2:$V$160,$AP108+1),""),"")</f>
        <v/>
      </c>
      <c r="AG108" t="str">
        <f>IFERROR(IF($AQ108&gt;2,INDEX(Festivals!$V$2:$V$160,$AP108+2),""),"")</f>
        <v/>
      </c>
      <c r="AH108" t="str">
        <f>IFERROR(IF($AQ108&gt;3,INDEX(Festivals!$V$2:$V$160,$AP108+3),""),"")</f>
        <v/>
      </c>
      <c r="AI108" t="str">
        <f>IFERROR(IF($AQ108&gt;4,INDEX(Festivals!$V$2:$V$160,$AP108+4),""),"")</f>
        <v/>
      </c>
      <c r="AJ108" t="str">
        <f>IFERROR(IF($AQ108&gt;5,INDEX(Festivals!$V$2:$V$160,$AP108+5),""),"")</f>
        <v/>
      </c>
      <c r="AK108" t="str">
        <f>IFERROR(IF($AQ108&gt;6,INDEX(Festivals!$V$2:$V$160,$AP108+6),""),"")</f>
        <v/>
      </c>
      <c r="AL108" t="str">
        <f ca="1">IFERROR(INDEX('Holidays Calc'!$J$2:$J$233,MATCH(A108,'Holidays Calc'!$I$2:$I$233,0)),"")</f>
        <v/>
      </c>
      <c r="AM108" t="str">
        <f ca="1">IF(AR108="","",IF(INDEX('Holidays Calc'!$I$2:$I$233,AR108+1)=A108,INDEX('Holidays Calc'!$J$2:$J$233,AR108+1),""))</f>
        <v/>
      </c>
      <c r="AN108" t="str">
        <f ca="1">IF(AR108="","",IF(INDEX('Holidays Calc'!$I$2:$I$233,AR108+2)=A108,INDEX('Holidays Calc'!$J$2:$J$233,AR108+2),""))</f>
        <v/>
      </c>
      <c r="AO108" t="str">
        <f ca="1">IF(AR108="","",IF(INDEX('Holidays Calc'!$I$2:$I$233,AR108+3)=A108,INDEX('Holidays Calc'!$J$2:$J$233,AR108+3),""))</f>
        <v/>
      </c>
      <c r="AP108">
        <f>IFERROR(IF($E108=E107,"",MATCH($E108,Festivals!$H$2:$H$160,0)),"")</f>
        <v>158</v>
      </c>
      <c r="AQ108">
        <f>IF(AP108="","",COUNTIF(Festivals!$H$2:$H$160,$E108))</f>
        <v>1</v>
      </c>
      <c r="AR108" t="str">
        <f ca="1">IFERROR(MATCH(A108,'Holidays Calc'!$I$2:$I$233,0),"")</f>
        <v/>
      </c>
      <c r="AS108">
        <f t="shared" si="11"/>
        <v>3</v>
      </c>
      <c r="AT108">
        <f t="shared" si="10"/>
        <v>3</v>
      </c>
      <c r="AU108" t="str">
        <f t="shared" ca="1" si="12"/>
        <v/>
      </c>
      <c r="AV108">
        <f t="shared" ca="1" si="13"/>
        <v>3</v>
      </c>
    </row>
    <row r="109" spans="1:48" x14ac:dyDescent="0.25">
      <c r="A109" s="265">
        <f t="shared" si="7"/>
        <v>43535</v>
      </c>
      <c r="B109" s="265" t="str">
        <f t="shared" si="14"/>
        <v>11 Mar 2019</v>
      </c>
      <c r="C109" s="267">
        <f t="shared" si="15"/>
        <v>11</v>
      </c>
      <c r="D109">
        <f>MATCH(A109,GCalXMLT[daydate],0)</f>
        <v>108</v>
      </c>
      <c r="E109">
        <f>VALUE("1" &amp; Masacod(INDEX(GCalXMLT[gymasa],D109)) &amp; PaksaCod(INDEX(GCalXMLT[mpaksaid],D109)) &amp; TithiCod(INDEX(GCalXMLT[stithiname],D109)))</f>
        <v>112105</v>
      </c>
      <c r="F109" t="str">
        <f ca="1">INDEX(Parameters!$K$2:$K$16,MATCH(AV109,Parameters!$L$2:$L$16,0))</f>
        <v/>
      </c>
      <c r="G109">
        <f>INDEX(GCalXMLT[fastmark],$D109)</f>
        <v>0</v>
      </c>
      <c r="H109" t="str">
        <f ca="1">INDEX(Parameters!$J$2:$J$16,MATCH(AV109,Parameters!$L$2:$L$16,0))</f>
        <v/>
      </c>
      <c r="I109">
        <f>INDEX(GCalXMLT[dfestival1],$D109)</f>
        <v>0</v>
      </c>
      <c r="J109">
        <f>IF(INDEX(GCalXMLT[dfestival2],$D109)="(Fast today)",INDEX(Festivals!$R$2:$R$180,MATCH($I109,Festivals!$R$2:$R$180,0)+1),INDEX(GCalXMLT[dfestival2],$D109))</f>
        <v>0</v>
      </c>
      <c r="K109">
        <f>IF(I109="Nandotsava","(Fast till noon)",INDEX(GCalXMLT[dfestival3],$D109))</f>
        <v>0</v>
      </c>
      <c r="L109">
        <f>IF(I109="Nandotsava", INDEX(GCalXMLT[dfestival3],$D109),INDEX(GCalXMLT[dfestival4],$D109))</f>
        <v>0</v>
      </c>
      <c r="M109" t="str">
        <f>IFERROR(INDEX(Festivals!$S$2:$S$160,AP109),"")</f>
        <v/>
      </c>
      <c r="N109" t="str">
        <f>IFERROR(IF($AQ109&gt;1,INDEX(Festivals!$S$2:$S$160,$AP109+1),""),"")</f>
        <v/>
      </c>
      <c r="O109" t="str">
        <f>IFERROR(IF($AQ109&gt;2,INDEX(Festivals!$S$2:$S$160,$AP109+2),""),"")</f>
        <v/>
      </c>
      <c r="P109" t="str">
        <f>IFERROR(IF($AQ109&gt;3,INDEX(Festivals!$S$2:$S$160,$AP109+3),""),"")</f>
        <v/>
      </c>
      <c r="Q109" t="str">
        <f>IFERROR(IF($AQ109&gt;4,INDEX(Festivals!$S$2:$S$160,$AP109+4),""),"")</f>
        <v/>
      </c>
      <c r="R109" t="str">
        <f>IFERROR(IF($AQ109&gt;5,INDEX(Festivals!$S$2:$S$160,$AP109+5),""),"")</f>
        <v/>
      </c>
      <c r="S109" t="str">
        <f>IFERROR(IF($AQ109&gt;6,INDEX(Festivals!$S$2:$S$160,$AP109+6),""),"")</f>
        <v/>
      </c>
      <c r="T109">
        <f>INDEX(GCalXMLT[dcaturmasya1],$D109)</f>
        <v>0</v>
      </c>
      <c r="U109">
        <f>INDEX(GCalXMLT[dcaturmasya2],$D109)</f>
        <v>0</v>
      </c>
      <c r="V109" t="str">
        <f>INDEX(GCalXMLT[sankrantirasi],$D109) &amp; " " &amp; INDEX(GCalXMLT[sankrantitime],$D109)</f>
        <v xml:space="preserve"> </v>
      </c>
      <c r="W109" t="str">
        <f ca="1">IFERROR(INDEX('Holidays Calc'!$K$2:$K$233,AR109),"")</f>
        <v/>
      </c>
      <c r="X109" t="str">
        <f ca="1">IF(AR109="","",IF(INDEX('Holidays Calc'!$I$2:$I$233,AR109+1)=A109,INDEX('Holidays Calc'!$K$2:$K$233,AR109+1),""))</f>
        <v/>
      </c>
      <c r="Y109" t="str">
        <f ca="1">IF(AR109="","",IF(INDEX('Holidays Calc'!$I$2:$I$233,AR109+2)=A109,INDEX('Holidays Calc'!$K$2:$K$233,AR109+2),""))</f>
        <v/>
      </c>
      <c r="Z109" t="str">
        <f ca="1">IF(AR109="","",IF(INDEX('Holidays Calc'!$I$2:$I$233,AR109+3)=A109,INDEX('Holidays Calc'!$K$2:$K$2333,AR109+3),""))</f>
        <v/>
      </c>
      <c r="AA109" t="str">
        <f>IF(I109="Last day of Bhisma Pancaka","",IF(G109="*",-0.7,IF(ISBLANK(INDEX(GCalXMLT[dclass1],$D109)),"",INDEX(GCalXMLT[dclass1],$D109))))</f>
        <v/>
      </c>
      <c r="AB109" t="str">
        <f>IF(J109="First day of Bhisma Pancaka","",IF(AND(G109="*",NOT(ISERROR(SEARCH("ekadasi",J109)))),-0.7,IF(ISBLANK(INDEX(GCalXMLT[dclass2],$D109)),"",INDEX(GCalXMLT[dclass2],$D109))))</f>
        <v/>
      </c>
      <c r="AC109" t="str">
        <f>IF(I109="Nandotsava",-1,IF(ISBLANK(INDEX(GCalXMLT[dclass3],$D109)),"",INDEX(GCalXMLT[dclass3],$D109)))</f>
        <v/>
      </c>
      <c r="AD109" t="str">
        <f>IF(I109="Nandotsava",IF(ISBLANK(INDEX(GCalXMLT[dclass3],$D109)),"",INDEX(GCalXMLT[dclass3],$D109)),IF(ISBLANK(INDEX(GCalXMLT[dclass4],$D109)),"",INDEX(GCalXMLT[dclass4],$D109)))</f>
        <v/>
      </c>
      <c r="AE109" t="str">
        <f>IFERROR(INDEX(Festivals!$V$2:$V$160,AP109),"")</f>
        <v/>
      </c>
      <c r="AF109" t="str">
        <f>IFERROR(IF($AQ109&gt;1,INDEX(Festivals!$V$2:$V$160,$AP109+1),""),"")</f>
        <v/>
      </c>
      <c r="AG109" t="str">
        <f>IFERROR(IF($AQ109&gt;2,INDEX(Festivals!$V$2:$V$160,$AP109+2),""),"")</f>
        <v/>
      </c>
      <c r="AH109" t="str">
        <f>IFERROR(IF($AQ109&gt;3,INDEX(Festivals!$V$2:$V$160,$AP109+3),""),"")</f>
        <v/>
      </c>
      <c r="AI109" t="str">
        <f>IFERROR(IF($AQ109&gt;4,INDEX(Festivals!$V$2:$V$160,$AP109+4),""),"")</f>
        <v/>
      </c>
      <c r="AJ109" t="str">
        <f>IFERROR(IF($AQ109&gt;5,INDEX(Festivals!$V$2:$V$160,$AP109+5),""),"")</f>
        <v/>
      </c>
      <c r="AK109" t="str">
        <f>IFERROR(IF($AQ109&gt;6,INDEX(Festivals!$V$2:$V$160,$AP109+6),""),"")</f>
        <v/>
      </c>
      <c r="AL109" t="str">
        <f ca="1">IFERROR(INDEX('Holidays Calc'!$J$2:$J$233,MATCH(A109,'Holidays Calc'!$I$2:$I$233,0)),"")</f>
        <v/>
      </c>
      <c r="AM109" t="str">
        <f ca="1">IF(AR109="","",IF(INDEX('Holidays Calc'!$I$2:$I$233,AR109+1)=A109,INDEX('Holidays Calc'!$J$2:$J$233,AR109+1),""))</f>
        <v/>
      </c>
      <c r="AN109" t="str">
        <f ca="1">IF(AR109="","",IF(INDEX('Holidays Calc'!$I$2:$I$233,AR109+2)=A109,INDEX('Holidays Calc'!$J$2:$J$233,AR109+2),""))</f>
        <v/>
      </c>
      <c r="AO109" t="str">
        <f ca="1">IF(AR109="","",IF(INDEX('Holidays Calc'!$I$2:$I$233,AR109+3)=A109,INDEX('Holidays Calc'!$J$2:$J$233,AR109+3),""))</f>
        <v/>
      </c>
      <c r="AP109" t="str">
        <f>IFERROR(IF($E109=E108,"",MATCH($E109,Festivals!$H$2:$H$160,0)),"")</f>
        <v/>
      </c>
      <c r="AQ109" t="str">
        <f>IF(AP109="","",COUNTIF(Festivals!$H$2:$H$160,$E109))</f>
        <v/>
      </c>
      <c r="AR109" t="str">
        <f ca="1">IFERROR(MATCH(A109,'Holidays Calc'!$I$2:$I$233,0),"")</f>
        <v/>
      </c>
      <c r="AS109" t="str">
        <f t="shared" si="11"/>
        <v/>
      </c>
      <c r="AT109" t="str">
        <f t="shared" si="10"/>
        <v/>
      </c>
      <c r="AU109" t="str">
        <f t="shared" ca="1" si="12"/>
        <v/>
      </c>
      <c r="AV109" t="str">
        <f t="shared" ca="1" si="13"/>
        <v/>
      </c>
    </row>
    <row r="110" spans="1:48" x14ac:dyDescent="0.25">
      <c r="A110" s="265">
        <f t="shared" si="7"/>
        <v>43536</v>
      </c>
      <c r="B110" s="265" t="str">
        <f t="shared" si="14"/>
        <v>12 Mar 2019</v>
      </c>
      <c r="C110" s="267">
        <f t="shared" si="15"/>
        <v>11</v>
      </c>
      <c r="D110">
        <f>MATCH(A110,GCalXMLT[daydate],0)</f>
        <v>109</v>
      </c>
      <c r="E110">
        <f>VALUE("1" &amp; Masacod(INDEX(GCalXMLT[gymasa],D110)) &amp; PaksaCod(INDEX(GCalXMLT[mpaksaid],D110)) &amp; TithiCod(INDEX(GCalXMLT[stithiname],D110)))</f>
        <v>112106</v>
      </c>
      <c r="F110" t="str">
        <f ca="1">INDEX(Parameters!$K$2:$K$16,MATCH(AV110,Parameters!$L$2:$L$16,0))</f>
        <v/>
      </c>
      <c r="G110">
        <f>INDEX(GCalXMLT[fastmark],$D110)</f>
        <v>0</v>
      </c>
      <c r="H110" t="str">
        <f ca="1">INDEX(Parameters!$J$2:$J$16,MATCH(AV110,Parameters!$L$2:$L$16,0))</f>
        <v/>
      </c>
      <c r="I110">
        <f>INDEX(GCalXMLT[dfestival1],$D110)</f>
        <v>0</v>
      </c>
      <c r="J110">
        <f>IF(INDEX(GCalXMLT[dfestival2],$D110)="(Fast today)",INDEX(Festivals!$R$2:$R$180,MATCH($I110,Festivals!$R$2:$R$180,0)+1),INDEX(GCalXMLT[dfestival2],$D110))</f>
        <v>0</v>
      </c>
      <c r="K110">
        <f>IF(I110="Nandotsava","(Fast till noon)",INDEX(GCalXMLT[dfestival3],$D110))</f>
        <v>0</v>
      </c>
      <c r="L110">
        <f>IF(I110="Nandotsava", INDEX(GCalXMLT[dfestival3],$D110),INDEX(GCalXMLT[dfestival4],$D110))</f>
        <v>0</v>
      </c>
      <c r="M110" t="str">
        <f>IFERROR(INDEX(Festivals!$S$2:$S$160,AP110),"")</f>
        <v/>
      </c>
      <c r="N110" t="str">
        <f>IFERROR(IF($AQ110&gt;1,INDEX(Festivals!$S$2:$S$160,$AP110+1),""),"")</f>
        <v/>
      </c>
      <c r="O110" t="str">
        <f>IFERROR(IF($AQ110&gt;2,INDEX(Festivals!$S$2:$S$160,$AP110+2),""),"")</f>
        <v/>
      </c>
      <c r="P110" t="str">
        <f>IFERROR(IF($AQ110&gt;3,INDEX(Festivals!$S$2:$S$160,$AP110+3),""),"")</f>
        <v/>
      </c>
      <c r="Q110" t="str">
        <f>IFERROR(IF($AQ110&gt;4,INDEX(Festivals!$S$2:$S$160,$AP110+4),""),"")</f>
        <v/>
      </c>
      <c r="R110" t="str">
        <f>IFERROR(IF($AQ110&gt;5,INDEX(Festivals!$S$2:$S$160,$AP110+5),""),"")</f>
        <v/>
      </c>
      <c r="S110" t="str">
        <f>IFERROR(IF($AQ110&gt;6,INDEX(Festivals!$S$2:$S$160,$AP110+6),""),"")</f>
        <v/>
      </c>
      <c r="T110">
        <f>INDEX(GCalXMLT[dcaturmasya1],$D110)</f>
        <v>0</v>
      </c>
      <c r="U110">
        <f>INDEX(GCalXMLT[dcaturmasya2],$D110)</f>
        <v>0</v>
      </c>
      <c r="V110" t="str">
        <f>INDEX(GCalXMLT[sankrantirasi],$D110) &amp; " " &amp; INDEX(GCalXMLT[sankrantitime],$D110)</f>
        <v xml:space="preserve"> </v>
      </c>
      <c r="W110" t="str">
        <f ca="1">IFERROR(INDEX('Holidays Calc'!$K$2:$K$233,AR110),"")</f>
        <v/>
      </c>
      <c r="X110" t="str">
        <f ca="1">IF(AR110="","",IF(INDEX('Holidays Calc'!$I$2:$I$233,AR110+1)=A110,INDEX('Holidays Calc'!$K$2:$K$233,AR110+1),""))</f>
        <v/>
      </c>
      <c r="Y110" t="str">
        <f ca="1">IF(AR110="","",IF(INDEX('Holidays Calc'!$I$2:$I$233,AR110+2)=A110,INDEX('Holidays Calc'!$K$2:$K$233,AR110+2),""))</f>
        <v/>
      </c>
      <c r="Z110" t="str">
        <f ca="1">IF(AR110="","",IF(INDEX('Holidays Calc'!$I$2:$I$233,AR110+3)=A110,INDEX('Holidays Calc'!$K$2:$K$2333,AR110+3),""))</f>
        <v/>
      </c>
      <c r="AA110" t="str">
        <f>IF(I110="Last day of Bhisma Pancaka","",IF(G110="*",-0.7,IF(ISBLANK(INDEX(GCalXMLT[dclass1],$D110)),"",INDEX(GCalXMLT[dclass1],$D110))))</f>
        <v/>
      </c>
      <c r="AB110" t="str">
        <f>IF(J110="First day of Bhisma Pancaka","",IF(AND(G110="*",NOT(ISERROR(SEARCH("ekadasi",J110)))),-0.7,IF(ISBLANK(INDEX(GCalXMLT[dclass2],$D110)),"",INDEX(GCalXMLT[dclass2],$D110))))</f>
        <v/>
      </c>
      <c r="AC110" t="str">
        <f>IF(I110="Nandotsava",-1,IF(ISBLANK(INDEX(GCalXMLT[dclass3],$D110)),"",INDEX(GCalXMLT[dclass3],$D110)))</f>
        <v/>
      </c>
      <c r="AD110" t="str">
        <f>IF(I110="Nandotsava",IF(ISBLANK(INDEX(GCalXMLT[dclass3],$D110)),"",INDEX(GCalXMLT[dclass3],$D110)),IF(ISBLANK(INDEX(GCalXMLT[dclass4],$D110)),"",INDEX(GCalXMLT[dclass4],$D110)))</f>
        <v/>
      </c>
      <c r="AE110" t="str">
        <f>IFERROR(INDEX(Festivals!$V$2:$V$160,AP110),"")</f>
        <v/>
      </c>
      <c r="AF110" t="str">
        <f>IFERROR(IF($AQ110&gt;1,INDEX(Festivals!$V$2:$V$160,$AP110+1),""),"")</f>
        <v/>
      </c>
      <c r="AG110" t="str">
        <f>IFERROR(IF($AQ110&gt;2,INDEX(Festivals!$V$2:$V$160,$AP110+2),""),"")</f>
        <v/>
      </c>
      <c r="AH110" t="str">
        <f>IFERROR(IF($AQ110&gt;3,INDEX(Festivals!$V$2:$V$160,$AP110+3),""),"")</f>
        <v/>
      </c>
      <c r="AI110" t="str">
        <f>IFERROR(IF($AQ110&gt;4,INDEX(Festivals!$V$2:$V$160,$AP110+4),""),"")</f>
        <v/>
      </c>
      <c r="AJ110" t="str">
        <f>IFERROR(IF($AQ110&gt;5,INDEX(Festivals!$V$2:$V$160,$AP110+5),""),"")</f>
        <v/>
      </c>
      <c r="AK110" t="str">
        <f>IFERROR(IF($AQ110&gt;6,INDEX(Festivals!$V$2:$V$160,$AP110+6),""),"")</f>
        <v/>
      </c>
      <c r="AL110" t="str">
        <f ca="1">IFERROR(INDEX('Holidays Calc'!$J$2:$J$233,MATCH(A110,'Holidays Calc'!$I$2:$I$233,0)),"")</f>
        <v/>
      </c>
      <c r="AM110" t="str">
        <f ca="1">IF(AR110="","",IF(INDEX('Holidays Calc'!$I$2:$I$233,AR110+1)=A110,INDEX('Holidays Calc'!$J$2:$J$233,AR110+1),""))</f>
        <v/>
      </c>
      <c r="AN110" t="str">
        <f ca="1">IF(AR110="","",IF(INDEX('Holidays Calc'!$I$2:$I$233,AR110+2)=A110,INDEX('Holidays Calc'!$J$2:$J$233,AR110+2),""))</f>
        <v/>
      </c>
      <c r="AO110" t="str">
        <f ca="1">IF(AR110="","",IF(INDEX('Holidays Calc'!$I$2:$I$233,AR110+3)=A110,INDEX('Holidays Calc'!$J$2:$J$233,AR110+3),""))</f>
        <v/>
      </c>
      <c r="AP110" t="str">
        <f>IFERROR(IF($E110=E109,"",MATCH($E110,Festivals!$H$2:$H$160,0)),"")</f>
        <v/>
      </c>
      <c r="AQ110" t="str">
        <f>IF(AP110="","",COUNTIF(Festivals!$H$2:$H$160,$E110))</f>
        <v/>
      </c>
      <c r="AR110" t="str">
        <f ca="1">IFERROR(MATCH(A110,'Holidays Calc'!$I$2:$I$233,0),"")</f>
        <v/>
      </c>
      <c r="AS110" t="str">
        <f t="shared" si="11"/>
        <v/>
      </c>
      <c r="AT110" t="str">
        <f t="shared" si="10"/>
        <v/>
      </c>
      <c r="AU110" t="str">
        <f t="shared" ca="1" si="12"/>
        <v/>
      </c>
      <c r="AV110" t="str">
        <f t="shared" ca="1" si="13"/>
        <v/>
      </c>
    </row>
    <row r="111" spans="1:48" x14ac:dyDescent="0.25">
      <c r="A111" s="265">
        <f t="shared" si="7"/>
        <v>43537</v>
      </c>
      <c r="B111" s="265" t="str">
        <f t="shared" si="14"/>
        <v>13 Mar 2019</v>
      </c>
      <c r="C111" s="267">
        <f t="shared" si="15"/>
        <v>11</v>
      </c>
      <c r="D111">
        <f>MATCH(A111,GCalXMLT[daydate],0)</f>
        <v>110</v>
      </c>
      <c r="E111">
        <f>VALUE("1" &amp; Masacod(INDEX(GCalXMLT[gymasa],D111)) &amp; PaksaCod(INDEX(GCalXMLT[mpaksaid],D111)) &amp; TithiCod(INDEX(GCalXMLT[stithiname],D111)))</f>
        <v>112107</v>
      </c>
      <c r="F111" t="str">
        <f ca="1">INDEX(Parameters!$K$2:$K$16,MATCH(AV111,Parameters!$L$2:$L$16,0))</f>
        <v/>
      </c>
      <c r="G111">
        <f>INDEX(GCalXMLT[fastmark],$D111)</f>
        <v>0</v>
      </c>
      <c r="H111" t="str">
        <f ca="1">INDEX(Parameters!$J$2:$J$16,MATCH(AV111,Parameters!$L$2:$L$16,0))</f>
        <v/>
      </c>
      <c r="I111">
        <f>INDEX(GCalXMLT[dfestival1],$D111)</f>
        <v>0</v>
      </c>
      <c r="J111">
        <f>IF(INDEX(GCalXMLT[dfestival2],$D111)="(Fast today)",INDEX(Festivals!$R$2:$R$180,MATCH($I111,Festivals!$R$2:$R$180,0)+1),INDEX(GCalXMLT[dfestival2],$D111))</f>
        <v>0</v>
      </c>
      <c r="K111">
        <f>IF(I111="Nandotsava","(Fast till noon)",INDEX(GCalXMLT[dfestival3],$D111))</f>
        <v>0</v>
      </c>
      <c r="L111">
        <f>IF(I111="Nandotsava", INDEX(GCalXMLT[dfestival3],$D111),INDEX(GCalXMLT[dfestival4],$D111))</f>
        <v>0</v>
      </c>
      <c r="M111" t="str">
        <f>IFERROR(INDEX(Festivals!$S$2:$S$160,AP111),"")</f>
        <v/>
      </c>
      <c r="N111" t="str">
        <f>IFERROR(IF($AQ111&gt;1,INDEX(Festivals!$S$2:$S$160,$AP111+1),""),"")</f>
        <v/>
      </c>
      <c r="O111" t="str">
        <f>IFERROR(IF($AQ111&gt;2,INDEX(Festivals!$S$2:$S$160,$AP111+2),""),"")</f>
        <v/>
      </c>
      <c r="P111" t="str">
        <f>IFERROR(IF($AQ111&gt;3,INDEX(Festivals!$S$2:$S$160,$AP111+3),""),"")</f>
        <v/>
      </c>
      <c r="Q111" t="str">
        <f>IFERROR(IF($AQ111&gt;4,INDEX(Festivals!$S$2:$S$160,$AP111+4),""),"")</f>
        <v/>
      </c>
      <c r="R111" t="str">
        <f>IFERROR(IF($AQ111&gt;5,INDEX(Festivals!$S$2:$S$160,$AP111+5),""),"")</f>
        <v/>
      </c>
      <c r="S111" t="str">
        <f>IFERROR(IF($AQ111&gt;6,INDEX(Festivals!$S$2:$S$160,$AP111+6),""),"")</f>
        <v/>
      </c>
      <c r="T111">
        <f>INDEX(GCalXMLT[dcaturmasya1],$D111)</f>
        <v>0</v>
      </c>
      <c r="U111">
        <f>INDEX(GCalXMLT[dcaturmasya2],$D111)</f>
        <v>0</v>
      </c>
      <c r="V111" t="str">
        <f>INDEX(GCalXMLT[sankrantirasi],$D111) &amp; " " &amp; INDEX(GCalXMLT[sankrantitime],$D111)</f>
        <v xml:space="preserve"> </v>
      </c>
      <c r="W111" t="str">
        <f ca="1">IFERROR(INDEX('Holidays Calc'!$K$2:$K$233,AR111),"")</f>
        <v/>
      </c>
      <c r="X111" t="str">
        <f ca="1">IF(AR111="","",IF(INDEX('Holidays Calc'!$I$2:$I$233,AR111+1)=A111,INDEX('Holidays Calc'!$K$2:$K$233,AR111+1),""))</f>
        <v/>
      </c>
      <c r="Y111" t="str">
        <f ca="1">IF(AR111="","",IF(INDEX('Holidays Calc'!$I$2:$I$233,AR111+2)=A111,INDEX('Holidays Calc'!$K$2:$K$233,AR111+2),""))</f>
        <v/>
      </c>
      <c r="Z111" t="str">
        <f ca="1">IF(AR111="","",IF(INDEX('Holidays Calc'!$I$2:$I$233,AR111+3)=A111,INDEX('Holidays Calc'!$K$2:$K$2333,AR111+3),""))</f>
        <v/>
      </c>
      <c r="AA111" t="str">
        <f>IF(I111="Last day of Bhisma Pancaka","",IF(G111="*",-0.7,IF(ISBLANK(INDEX(GCalXMLT[dclass1],$D111)),"",INDEX(GCalXMLT[dclass1],$D111))))</f>
        <v/>
      </c>
      <c r="AB111" t="str">
        <f>IF(J111="First day of Bhisma Pancaka","",IF(AND(G111="*",NOT(ISERROR(SEARCH("ekadasi",J111)))),-0.7,IF(ISBLANK(INDEX(GCalXMLT[dclass2],$D111)),"",INDEX(GCalXMLT[dclass2],$D111))))</f>
        <v/>
      </c>
      <c r="AC111" t="str">
        <f>IF(I111="Nandotsava",-1,IF(ISBLANK(INDEX(GCalXMLT[dclass3],$D111)),"",INDEX(GCalXMLT[dclass3],$D111)))</f>
        <v/>
      </c>
      <c r="AD111" t="str">
        <f>IF(I111="Nandotsava",IF(ISBLANK(INDEX(GCalXMLT[dclass3],$D111)),"",INDEX(GCalXMLT[dclass3],$D111)),IF(ISBLANK(INDEX(GCalXMLT[dclass4],$D111)),"",INDEX(GCalXMLT[dclass4],$D111)))</f>
        <v/>
      </c>
      <c r="AE111" t="str">
        <f>IFERROR(INDEX(Festivals!$V$2:$V$160,AP111),"")</f>
        <v/>
      </c>
      <c r="AF111" t="str">
        <f>IFERROR(IF($AQ111&gt;1,INDEX(Festivals!$V$2:$V$160,$AP111+1),""),"")</f>
        <v/>
      </c>
      <c r="AG111" t="str">
        <f>IFERROR(IF($AQ111&gt;2,INDEX(Festivals!$V$2:$V$160,$AP111+2),""),"")</f>
        <v/>
      </c>
      <c r="AH111" t="str">
        <f>IFERROR(IF($AQ111&gt;3,INDEX(Festivals!$V$2:$V$160,$AP111+3),""),"")</f>
        <v/>
      </c>
      <c r="AI111" t="str">
        <f>IFERROR(IF($AQ111&gt;4,INDEX(Festivals!$V$2:$V$160,$AP111+4),""),"")</f>
        <v/>
      </c>
      <c r="AJ111" t="str">
        <f>IFERROR(IF($AQ111&gt;5,INDEX(Festivals!$V$2:$V$160,$AP111+5),""),"")</f>
        <v/>
      </c>
      <c r="AK111" t="str">
        <f>IFERROR(IF($AQ111&gt;6,INDEX(Festivals!$V$2:$V$160,$AP111+6),""),"")</f>
        <v/>
      </c>
      <c r="AL111" t="str">
        <f ca="1">IFERROR(INDEX('Holidays Calc'!$J$2:$J$233,MATCH(A111,'Holidays Calc'!$I$2:$I$233,0)),"")</f>
        <v/>
      </c>
      <c r="AM111" t="str">
        <f ca="1">IF(AR111="","",IF(INDEX('Holidays Calc'!$I$2:$I$233,AR111+1)=A111,INDEX('Holidays Calc'!$J$2:$J$233,AR111+1),""))</f>
        <v/>
      </c>
      <c r="AN111" t="str">
        <f ca="1">IF(AR111="","",IF(INDEX('Holidays Calc'!$I$2:$I$233,AR111+2)=A111,INDEX('Holidays Calc'!$J$2:$J$233,AR111+2),""))</f>
        <v/>
      </c>
      <c r="AO111" t="str">
        <f ca="1">IF(AR111="","",IF(INDEX('Holidays Calc'!$I$2:$I$233,AR111+3)=A111,INDEX('Holidays Calc'!$J$2:$J$233,AR111+3),""))</f>
        <v/>
      </c>
      <c r="AP111" t="str">
        <f>IFERROR(IF($E111=E110,"",MATCH($E111,Festivals!$H$2:$H$160,0)),"")</f>
        <v/>
      </c>
      <c r="AQ111" t="str">
        <f>IF(AP111="","",COUNTIF(Festivals!$H$2:$H$160,$E111))</f>
        <v/>
      </c>
      <c r="AR111" t="str">
        <f ca="1">IFERROR(MATCH(A111,'Holidays Calc'!$I$2:$I$233,0),"")</f>
        <v/>
      </c>
      <c r="AS111" t="str">
        <f t="shared" si="11"/>
        <v/>
      </c>
      <c r="AT111" t="str">
        <f t="shared" si="10"/>
        <v/>
      </c>
      <c r="AU111" t="str">
        <f t="shared" ca="1" si="12"/>
        <v/>
      </c>
      <c r="AV111" t="str">
        <f t="shared" ca="1" si="13"/>
        <v/>
      </c>
    </row>
    <row r="112" spans="1:48" x14ac:dyDescent="0.25">
      <c r="A112" s="265">
        <f t="shared" si="7"/>
        <v>43538</v>
      </c>
      <c r="B112" s="265" t="str">
        <f t="shared" si="14"/>
        <v>14 Mar 2019</v>
      </c>
      <c r="C112" s="267">
        <f t="shared" si="15"/>
        <v>11</v>
      </c>
      <c r="D112">
        <f>MATCH(A112,GCalXMLT[daydate],0)</f>
        <v>111</v>
      </c>
      <c r="E112">
        <f>VALUE("1" &amp; Masacod(INDEX(GCalXMLT[gymasa],D112)) &amp; PaksaCod(INDEX(GCalXMLT[mpaksaid],D112)) &amp; TithiCod(INDEX(GCalXMLT[stithiname],D112)))</f>
        <v>112108</v>
      </c>
      <c r="F112" t="str">
        <f ca="1">INDEX(Parameters!$K$2:$K$16,MATCH(AV112,Parameters!$L$2:$L$16,0))</f>
        <v/>
      </c>
      <c r="G112">
        <f>INDEX(GCalXMLT[fastmark],$D112)</f>
        <v>0</v>
      </c>
      <c r="H112" t="str">
        <f ca="1">INDEX(Parameters!$J$2:$J$16,MATCH(AV112,Parameters!$L$2:$L$16,0))</f>
        <v/>
      </c>
      <c r="I112">
        <f>INDEX(GCalXMLT[dfestival1],$D112)</f>
        <v>0</v>
      </c>
      <c r="J112">
        <f>IF(INDEX(GCalXMLT[dfestival2],$D112)="(Fast today)",INDEX(Festivals!$R$2:$R$180,MATCH($I112,Festivals!$R$2:$R$180,0)+1),INDEX(GCalXMLT[dfestival2],$D112))</f>
        <v>0</v>
      </c>
      <c r="K112">
        <f>IF(I112="Nandotsava","(Fast till noon)",INDEX(GCalXMLT[dfestival3],$D112))</f>
        <v>0</v>
      </c>
      <c r="L112">
        <f>IF(I112="Nandotsava", INDEX(GCalXMLT[dfestival3],$D112),INDEX(GCalXMLT[dfestival4],$D112))</f>
        <v>0</v>
      </c>
      <c r="M112" t="str">
        <f>IFERROR(INDEX(Festivals!$S$2:$S$160,AP112),"")</f>
        <v/>
      </c>
      <c r="N112" t="str">
        <f>IFERROR(IF($AQ112&gt;1,INDEX(Festivals!$S$2:$S$160,$AP112+1),""),"")</f>
        <v/>
      </c>
      <c r="O112" t="str">
        <f>IFERROR(IF($AQ112&gt;2,INDEX(Festivals!$S$2:$S$160,$AP112+2),""),"")</f>
        <v/>
      </c>
      <c r="P112" t="str">
        <f>IFERROR(IF($AQ112&gt;3,INDEX(Festivals!$S$2:$S$160,$AP112+3),""),"")</f>
        <v/>
      </c>
      <c r="Q112" t="str">
        <f>IFERROR(IF($AQ112&gt;4,INDEX(Festivals!$S$2:$S$160,$AP112+4),""),"")</f>
        <v/>
      </c>
      <c r="R112" t="str">
        <f>IFERROR(IF($AQ112&gt;5,INDEX(Festivals!$S$2:$S$160,$AP112+5),""),"")</f>
        <v/>
      </c>
      <c r="S112" t="str">
        <f>IFERROR(IF($AQ112&gt;6,INDEX(Festivals!$S$2:$S$160,$AP112+6),""),"")</f>
        <v/>
      </c>
      <c r="T112">
        <f>INDEX(GCalXMLT[dcaturmasya1],$D112)</f>
        <v>0</v>
      </c>
      <c r="U112">
        <f>INDEX(GCalXMLT[dcaturmasya2],$D112)</f>
        <v>0</v>
      </c>
      <c r="V112" t="str">
        <f>INDEX(GCalXMLT[sankrantirasi],$D112) &amp; " " &amp; INDEX(GCalXMLT[sankrantitime],$D112)</f>
        <v xml:space="preserve"> </v>
      </c>
      <c r="W112" t="str">
        <f ca="1">IFERROR(INDEX('Holidays Calc'!$K$2:$K$233,AR112),"")</f>
        <v/>
      </c>
      <c r="X112" t="str">
        <f ca="1">IF(AR112="","",IF(INDEX('Holidays Calc'!$I$2:$I$233,AR112+1)=A112,INDEX('Holidays Calc'!$K$2:$K$233,AR112+1),""))</f>
        <v/>
      </c>
      <c r="Y112" t="str">
        <f ca="1">IF(AR112="","",IF(INDEX('Holidays Calc'!$I$2:$I$233,AR112+2)=A112,INDEX('Holidays Calc'!$K$2:$K$233,AR112+2),""))</f>
        <v/>
      </c>
      <c r="Z112" t="str">
        <f ca="1">IF(AR112="","",IF(INDEX('Holidays Calc'!$I$2:$I$233,AR112+3)=A112,INDEX('Holidays Calc'!$K$2:$K$2333,AR112+3),""))</f>
        <v/>
      </c>
      <c r="AA112" t="str">
        <f>IF(I112="Last day of Bhisma Pancaka","",IF(G112="*",-0.7,IF(ISBLANK(INDEX(GCalXMLT[dclass1],$D112)),"",INDEX(GCalXMLT[dclass1],$D112))))</f>
        <v/>
      </c>
      <c r="AB112" t="str">
        <f>IF(J112="First day of Bhisma Pancaka","",IF(AND(G112="*",NOT(ISERROR(SEARCH("ekadasi",J112)))),-0.7,IF(ISBLANK(INDEX(GCalXMLT[dclass2],$D112)),"",INDEX(GCalXMLT[dclass2],$D112))))</f>
        <v/>
      </c>
      <c r="AC112" t="str">
        <f>IF(I112="Nandotsava",-1,IF(ISBLANK(INDEX(GCalXMLT[dclass3],$D112)),"",INDEX(GCalXMLT[dclass3],$D112)))</f>
        <v/>
      </c>
      <c r="AD112" t="str">
        <f>IF(I112="Nandotsava",IF(ISBLANK(INDEX(GCalXMLT[dclass3],$D112)),"",INDEX(GCalXMLT[dclass3],$D112)),IF(ISBLANK(INDEX(GCalXMLT[dclass4],$D112)),"",INDEX(GCalXMLT[dclass4],$D112)))</f>
        <v/>
      </c>
      <c r="AE112" t="str">
        <f>IFERROR(INDEX(Festivals!$V$2:$V$160,AP112),"")</f>
        <v/>
      </c>
      <c r="AF112" t="str">
        <f>IFERROR(IF($AQ112&gt;1,INDEX(Festivals!$V$2:$V$160,$AP112+1),""),"")</f>
        <v/>
      </c>
      <c r="AG112" t="str">
        <f>IFERROR(IF($AQ112&gt;2,INDEX(Festivals!$V$2:$V$160,$AP112+2),""),"")</f>
        <v/>
      </c>
      <c r="AH112" t="str">
        <f>IFERROR(IF($AQ112&gt;3,INDEX(Festivals!$V$2:$V$160,$AP112+3),""),"")</f>
        <v/>
      </c>
      <c r="AI112" t="str">
        <f>IFERROR(IF($AQ112&gt;4,INDEX(Festivals!$V$2:$V$160,$AP112+4),""),"")</f>
        <v/>
      </c>
      <c r="AJ112" t="str">
        <f>IFERROR(IF($AQ112&gt;5,INDEX(Festivals!$V$2:$V$160,$AP112+5),""),"")</f>
        <v/>
      </c>
      <c r="AK112" t="str">
        <f>IFERROR(IF($AQ112&gt;6,INDEX(Festivals!$V$2:$V$160,$AP112+6),""),"")</f>
        <v/>
      </c>
      <c r="AL112" t="str">
        <f ca="1">IFERROR(INDEX('Holidays Calc'!$J$2:$J$233,MATCH(A112,'Holidays Calc'!$I$2:$I$233,0)),"")</f>
        <v/>
      </c>
      <c r="AM112" t="str">
        <f ca="1">IF(AR112="","",IF(INDEX('Holidays Calc'!$I$2:$I$233,AR112+1)=A112,INDEX('Holidays Calc'!$J$2:$J$233,AR112+1),""))</f>
        <v/>
      </c>
      <c r="AN112" t="str">
        <f ca="1">IF(AR112="","",IF(INDEX('Holidays Calc'!$I$2:$I$233,AR112+2)=A112,INDEX('Holidays Calc'!$J$2:$J$233,AR112+2),""))</f>
        <v/>
      </c>
      <c r="AO112" t="str">
        <f ca="1">IF(AR112="","",IF(INDEX('Holidays Calc'!$I$2:$I$233,AR112+3)=A112,INDEX('Holidays Calc'!$J$2:$J$233,AR112+3),""))</f>
        <v/>
      </c>
      <c r="AP112" t="str">
        <f>IFERROR(IF($E112=E111,"",MATCH($E112,Festivals!$H$2:$H$160,0)),"")</f>
        <v/>
      </c>
      <c r="AQ112" t="str">
        <f>IF(AP112="","",COUNTIF(Festivals!$H$2:$H$160,$E112))</f>
        <v/>
      </c>
      <c r="AR112" t="str">
        <f ca="1">IFERROR(MATCH(A112,'Holidays Calc'!$I$2:$I$233,0),"")</f>
        <v/>
      </c>
      <c r="AS112" t="str">
        <f t="shared" si="11"/>
        <v/>
      </c>
      <c r="AT112" t="str">
        <f t="shared" si="10"/>
        <v/>
      </c>
      <c r="AU112" t="str">
        <f t="shared" ca="1" si="12"/>
        <v/>
      </c>
      <c r="AV112" t="str">
        <f t="shared" ca="1" si="13"/>
        <v/>
      </c>
    </row>
    <row r="113" spans="1:48" x14ac:dyDescent="0.25">
      <c r="A113" s="265">
        <f t="shared" si="7"/>
        <v>43539</v>
      </c>
      <c r="B113" s="265" t="str">
        <f t="shared" si="14"/>
        <v>15 Mar 2019</v>
      </c>
      <c r="C113" s="267">
        <f t="shared" si="15"/>
        <v>11</v>
      </c>
      <c r="D113">
        <f>MATCH(A113,GCalXMLT[daydate],0)</f>
        <v>112</v>
      </c>
      <c r="E113">
        <f>VALUE("1" &amp; Masacod(INDEX(GCalXMLT[gymasa],D113)) &amp; PaksaCod(INDEX(GCalXMLT[mpaksaid],D113)) &amp; TithiCod(INDEX(GCalXMLT[stithiname],D113)))</f>
        <v>112109</v>
      </c>
      <c r="F113" t="str">
        <f ca="1">INDEX(Parameters!$K$2:$K$16,MATCH(AV113,Parameters!$L$2:$L$16,0))</f>
        <v/>
      </c>
      <c r="G113">
        <f>INDEX(GCalXMLT[fastmark],$D113)</f>
        <v>0</v>
      </c>
      <c r="H113" t="str">
        <f ca="1">INDEX(Parameters!$J$2:$J$16,MATCH(AV113,Parameters!$L$2:$L$16,0))</f>
        <v/>
      </c>
      <c r="I113">
        <f>INDEX(GCalXMLT[dfestival1],$D113)</f>
        <v>0</v>
      </c>
      <c r="J113">
        <f>IF(INDEX(GCalXMLT[dfestival2],$D113)="(Fast today)",INDEX(Festivals!$R$2:$R$180,MATCH($I113,Festivals!$R$2:$R$180,0)+1),INDEX(GCalXMLT[dfestival2],$D113))</f>
        <v>0</v>
      </c>
      <c r="K113">
        <f>IF(I113="Nandotsava","(Fast till noon)",INDEX(GCalXMLT[dfestival3],$D113))</f>
        <v>0</v>
      </c>
      <c r="L113">
        <f>IF(I113="Nandotsava", INDEX(GCalXMLT[dfestival3],$D113),INDEX(GCalXMLT[dfestival4],$D113))</f>
        <v>0</v>
      </c>
      <c r="M113" t="str">
        <f>IFERROR(INDEX(Festivals!$S$2:$S$160,AP113),"")</f>
        <v/>
      </c>
      <c r="N113" t="str">
        <f>IFERROR(IF($AQ113&gt;1,INDEX(Festivals!$S$2:$S$160,$AP113+1),""),"")</f>
        <v/>
      </c>
      <c r="O113" t="str">
        <f>IFERROR(IF($AQ113&gt;2,INDEX(Festivals!$S$2:$S$160,$AP113+2),""),"")</f>
        <v/>
      </c>
      <c r="P113" t="str">
        <f>IFERROR(IF($AQ113&gt;3,INDEX(Festivals!$S$2:$S$160,$AP113+3),""),"")</f>
        <v/>
      </c>
      <c r="Q113" t="str">
        <f>IFERROR(IF($AQ113&gt;4,INDEX(Festivals!$S$2:$S$160,$AP113+4),""),"")</f>
        <v/>
      </c>
      <c r="R113" t="str">
        <f>IFERROR(IF($AQ113&gt;5,INDEX(Festivals!$S$2:$S$160,$AP113+5),""),"")</f>
        <v/>
      </c>
      <c r="S113" t="str">
        <f>IFERROR(IF($AQ113&gt;6,INDEX(Festivals!$S$2:$S$160,$AP113+6),""),"")</f>
        <v/>
      </c>
      <c r="T113">
        <f>INDEX(GCalXMLT[dcaturmasya1],$D113)</f>
        <v>0</v>
      </c>
      <c r="U113">
        <f>INDEX(GCalXMLT[dcaturmasya2],$D113)</f>
        <v>0</v>
      </c>
      <c r="V113" t="str">
        <f>INDEX(GCalXMLT[sankrantirasi],$D113) &amp; " " &amp; INDEX(GCalXMLT[sankrantitime],$D113)</f>
        <v>Mina 0,880729166666667</v>
      </c>
      <c r="W113" t="str">
        <f ca="1">IFERROR(INDEX('Holidays Calc'!$K$2:$K$233,AR113),"")</f>
        <v/>
      </c>
      <c r="X113" t="str">
        <f ca="1">IF(AR113="","",IF(INDEX('Holidays Calc'!$I$2:$I$233,AR113+1)=A113,INDEX('Holidays Calc'!$K$2:$K$233,AR113+1),""))</f>
        <v/>
      </c>
      <c r="Y113" t="str">
        <f ca="1">IF(AR113="","",IF(INDEX('Holidays Calc'!$I$2:$I$233,AR113+2)=A113,INDEX('Holidays Calc'!$K$2:$K$233,AR113+2),""))</f>
        <v/>
      </c>
      <c r="Z113" t="str">
        <f ca="1">IF(AR113="","",IF(INDEX('Holidays Calc'!$I$2:$I$233,AR113+3)=A113,INDEX('Holidays Calc'!$K$2:$K$2333,AR113+3),""))</f>
        <v/>
      </c>
      <c r="AA113" t="str">
        <f>IF(I113="Last day of Bhisma Pancaka","",IF(G113="*",-0.7,IF(ISBLANK(INDEX(GCalXMLT[dclass1],$D113)),"",INDEX(GCalXMLT[dclass1],$D113))))</f>
        <v/>
      </c>
      <c r="AB113" t="str">
        <f>IF(J113="First day of Bhisma Pancaka","",IF(AND(G113="*",NOT(ISERROR(SEARCH("ekadasi",J113)))),-0.7,IF(ISBLANK(INDEX(GCalXMLT[dclass2],$D113)),"",INDEX(GCalXMLT[dclass2],$D113))))</f>
        <v/>
      </c>
      <c r="AC113" t="str">
        <f>IF(I113="Nandotsava",-1,IF(ISBLANK(INDEX(GCalXMLT[dclass3],$D113)),"",INDEX(GCalXMLT[dclass3],$D113)))</f>
        <v/>
      </c>
      <c r="AD113" t="str">
        <f>IF(I113="Nandotsava",IF(ISBLANK(INDEX(GCalXMLT[dclass3],$D113)),"",INDEX(GCalXMLT[dclass3],$D113)),IF(ISBLANK(INDEX(GCalXMLT[dclass4],$D113)),"",INDEX(GCalXMLT[dclass4],$D113)))</f>
        <v/>
      </c>
      <c r="AE113" t="str">
        <f>IFERROR(INDEX(Festivals!$V$2:$V$160,AP113),"")</f>
        <v/>
      </c>
      <c r="AF113" t="str">
        <f>IFERROR(IF($AQ113&gt;1,INDEX(Festivals!$V$2:$V$160,$AP113+1),""),"")</f>
        <v/>
      </c>
      <c r="AG113" t="str">
        <f>IFERROR(IF($AQ113&gt;2,INDEX(Festivals!$V$2:$V$160,$AP113+2),""),"")</f>
        <v/>
      </c>
      <c r="AH113" t="str">
        <f>IFERROR(IF($AQ113&gt;3,INDEX(Festivals!$V$2:$V$160,$AP113+3),""),"")</f>
        <v/>
      </c>
      <c r="AI113" t="str">
        <f>IFERROR(IF($AQ113&gt;4,INDEX(Festivals!$V$2:$V$160,$AP113+4),""),"")</f>
        <v/>
      </c>
      <c r="AJ113" t="str">
        <f>IFERROR(IF($AQ113&gt;5,INDEX(Festivals!$V$2:$V$160,$AP113+5),""),"")</f>
        <v/>
      </c>
      <c r="AK113" t="str">
        <f>IFERROR(IF($AQ113&gt;6,INDEX(Festivals!$V$2:$V$160,$AP113+6),""),"")</f>
        <v/>
      </c>
      <c r="AL113" t="str">
        <f ca="1">IFERROR(INDEX('Holidays Calc'!$J$2:$J$233,MATCH(A113,'Holidays Calc'!$I$2:$I$233,0)),"")</f>
        <v/>
      </c>
      <c r="AM113" t="str">
        <f ca="1">IF(AR113="","",IF(INDEX('Holidays Calc'!$I$2:$I$233,AR113+1)=A113,INDEX('Holidays Calc'!$J$2:$J$233,AR113+1),""))</f>
        <v/>
      </c>
      <c r="AN113" t="str">
        <f ca="1">IF(AR113="","",IF(INDEX('Holidays Calc'!$I$2:$I$233,AR113+2)=A113,INDEX('Holidays Calc'!$J$2:$J$233,AR113+2),""))</f>
        <v/>
      </c>
      <c r="AO113" t="str">
        <f ca="1">IF(AR113="","",IF(INDEX('Holidays Calc'!$I$2:$I$233,AR113+3)=A113,INDEX('Holidays Calc'!$J$2:$J$233,AR113+3),""))</f>
        <v/>
      </c>
      <c r="AP113" t="str">
        <f>IFERROR(IF($E113=E112,"",MATCH($E113,Festivals!$H$2:$H$160,0)),"")</f>
        <v/>
      </c>
      <c r="AQ113" t="str">
        <f>IF(AP113="","",COUNTIF(Festivals!$H$2:$H$160,$E113))</f>
        <v/>
      </c>
      <c r="AR113" t="str">
        <f ca="1">IFERROR(MATCH(A113,'Holidays Calc'!$I$2:$I$233,0),"")</f>
        <v/>
      </c>
      <c r="AS113" t="str">
        <f t="shared" si="11"/>
        <v/>
      </c>
      <c r="AT113" t="str">
        <f t="shared" si="10"/>
        <v/>
      </c>
      <c r="AU113" t="str">
        <f t="shared" ca="1" si="12"/>
        <v/>
      </c>
      <c r="AV113" t="str">
        <f t="shared" ca="1" si="13"/>
        <v/>
      </c>
    </row>
    <row r="114" spans="1:48" x14ac:dyDescent="0.25">
      <c r="A114" s="265">
        <f t="shared" si="7"/>
        <v>43540</v>
      </c>
      <c r="B114" s="265" t="str">
        <f t="shared" si="14"/>
        <v>16 Mar 2019</v>
      </c>
      <c r="C114" s="267">
        <f t="shared" si="15"/>
        <v>11</v>
      </c>
      <c r="D114">
        <f>MATCH(A114,GCalXMLT[daydate],0)</f>
        <v>113</v>
      </c>
      <c r="E114">
        <f>VALUE("1" &amp; Masacod(INDEX(GCalXMLT[gymasa],D114)) &amp; PaksaCod(INDEX(GCalXMLT[mpaksaid],D114)) &amp; TithiCod(INDEX(GCalXMLT[stithiname],D114)))</f>
        <v>112110</v>
      </c>
      <c r="F114" t="str">
        <f ca="1">INDEX(Parameters!$K$2:$K$16,MATCH(AV114,Parameters!$L$2:$L$16,0))</f>
        <v/>
      </c>
      <c r="G114">
        <f>INDEX(GCalXMLT[fastmark],$D114)</f>
        <v>0</v>
      </c>
      <c r="H114" t="str">
        <f ca="1">INDEX(Parameters!$J$2:$J$16,MATCH(AV114,Parameters!$L$2:$L$16,0))</f>
        <v/>
      </c>
      <c r="I114">
        <f>INDEX(GCalXMLT[dfestival1],$D114)</f>
        <v>0</v>
      </c>
      <c r="J114">
        <f>IF(INDEX(GCalXMLT[dfestival2],$D114)="(Fast today)",INDEX(Festivals!$R$2:$R$180,MATCH($I114,Festivals!$R$2:$R$180,0)+1),INDEX(GCalXMLT[dfestival2],$D114))</f>
        <v>0</v>
      </c>
      <c r="K114">
        <f>IF(I114="Nandotsava","(Fast till noon)",INDEX(GCalXMLT[dfestival3],$D114))</f>
        <v>0</v>
      </c>
      <c r="L114">
        <f>IF(I114="Nandotsava", INDEX(GCalXMLT[dfestival3],$D114),INDEX(GCalXMLT[dfestival4],$D114))</f>
        <v>0</v>
      </c>
      <c r="M114" t="str">
        <f>IFERROR(INDEX(Festivals!$S$2:$S$160,AP114),"")</f>
        <v/>
      </c>
      <c r="N114" t="str">
        <f>IFERROR(IF($AQ114&gt;1,INDEX(Festivals!$S$2:$S$160,$AP114+1),""),"")</f>
        <v/>
      </c>
      <c r="O114" t="str">
        <f>IFERROR(IF($AQ114&gt;2,INDEX(Festivals!$S$2:$S$160,$AP114+2),""),"")</f>
        <v/>
      </c>
      <c r="P114" t="str">
        <f>IFERROR(IF($AQ114&gt;3,INDEX(Festivals!$S$2:$S$160,$AP114+3),""),"")</f>
        <v/>
      </c>
      <c r="Q114" t="str">
        <f>IFERROR(IF($AQ114&gt;4,INDEX(Festivals!$S$2:$S$160,$AP114+4),""),"")</f>
        <v/>
      </c>
      <c r="R114" t="str">
        <f>IFERROR(IF($AQ114&gt;5,INDEX(Festivals!$S$2:$S$160,$AP114+5),""),"")</f>
        <v/>
      </c>
      <c r="S114" t="str">
        <f>IFERROR(IF($AQ114&gt;6,INDEX(Festivals!$S$2:$S$160,$AP114+6),""),"")</f>
        <v/>
      </c>
      <c r="T114">
        <f>INDEX(GCalXMLT[dcaturmasya1],$D114)</f>
        <v>0</v>
      </c>
      <c r="U114">
        <f>INDEX(GCalXMLT[dcaturmasya2],$D114)</f>
        <v>0</v>
      </c>
      <c r="V114" t="str">
        <f>INDEX(GCalXMLT[sankrantirasi],$D114) &amp; " " &amp; INDEX(GCalXMLT[sankrantitime],$D114)</f>
        <v xml:space="preserve"> </v>
      </c>
      <c r="W114" t="str">
        <f ca="1">IFERROR(INDEX('Holidays Calc'!$K$2:$K$233,AR114),"")</f>
        <v/>
      </c>
      <c r="X114" t="str">
        <f ca="1">IF(AR114="","",IF(INDEX('Holidays Calc'!$I$2:$I$233,AR114+1)=A114,INDEX('Holidays Calc'!$K$2:$K$233,AR114+1),""))</f>
        <v/>
      </c>
      <c r="Y114" t="str">
        <f ca="1">IF(AR114="","",IF(INDEX('Holidays Calc'!$I$2:$I$233,AR114+2)=A114,INDEX('Holidays Calc'!$K$2:$K$233,AR114+2),""))</f>
        <v/>
      </c>
      <c r="Z114" t="str">
        <f ca="1">IF(AR114="","",IF(INDEX('Holidays Calc'!$I$2:$I$233,AR114+3)=A114,INDEX('Holidays Calc'!$K$2:$K$2333,AR114+3),""))</f>
        <v/>
      </c>
      <c r="AA114" t="str">
        <f>IF(I114="Last day of Bhisma Pancaka","",IF(G114="*",-0.7,IF(ISBLANK(INDEX(GCalXMLT[dclass1],$D114)),"",INDEX(GCalXMLT[dclass1],$D114))))</f>
        <v/>
      </c>
      <c r="AB114" t="str">
        <f>IF(J114="First day of Bhisma Pancaka","",IF(AND(G114="*",NOT(ISERROR(SEARCH("ekadasi",J114)))),-0.7,IF(ISBLANK(INDEX(GCalXMLT[dclass2],$D114)),"",INDEX(GCalXMLT[dclass2],$D114))))</f>
        <v/>
      </c>
      <c r="AC114" t="str">
        <f>IF(I114="Nandotsava",-1,IF(ISBLANK(INDEX(GCalXMLT[dclass3],$D114)),"",INDEX(GCalXMLT[dclass3],$D114)))</f>
        <v/>
      </c>
      <c r="AD114" t="str">
        <f>IF(I114="Nandotsava",IF(ISBLANK(INDEX(GCalXMLT[dclass3],$D114)),"",INDEX(GCalXMLT[dclass3],$D114)),IF(ISBLANK(INDEX(GCalXMLT[dclass4],$D114)),"",INDEX(GCalXMLT[dclass4],$D114)))</f>
        <v/>
      </c>
      <c r="AE114" t="str">
        <f>IFERROR(INDEX(Festivals!$V$2:$V$160,AP114),"")</f>
        <v/>
      </c>
      <c r="AF114" t="str">
        <f>IFERROR(IF($AQ114&gt;1,INDEX(Festivals!$V$2:$V$160,$AP114+1),""),"")</f>
        <v/>
      </c>
      <c r="AG114" t="str">
        <f>IFERROR(IF($AQ114&gt;2,INDEX(Festivals!$V$2:$V$160,$AP114+2),""),"")</f>
        <v/>
      </c>
      <c r="AH114" t="str">
        <f>IFERROR(IF($AQ114&gt;3,INDEX(Festivals!$V$2:$V$160,$AP114+3),""),"")</f>
        <v/>
      </c>
      <c r="AI114" t="str">
        <f>IFERROR(IF($AQ114&gt;4,INDEX(Festivals!$V$2:$V$160,$AP114+4),""),"")</f>
        <v/>
      </c>
      <c r="AJ114" t="str">
        <f>IFERROR(IF($AQ114&gt;5,INDEX(Festivals!$V$2:$V$160,$AP114+5),""),"")</f>
        <v/>
      </c>
      <c r="AK114" t="str">
        <f>IFERROR(IF($AQ114&gt;6,INDEX(Festivals!$V$2:$V$160,$AP114+6),""),"")</f>
        <v/>
      </c>
      <c r="AL114" t="str">
        <f ca="1">IFERROR(INDEX('Holidays Calc'!$J$2:$J$233,MATCH(A114,'Holidays Calc'!$I$2:$I$233,0)),"")</f>
        <v/>
      </c>
      <c r="AM114" t="str">
        <f ca="1">IF(AR114="","",IF(INDEX('Holidays Calc'!$I$2:$I$233,AR114+1)=A114,INDEX('Holidays Calc'!$J$2:$J$233,AR114+1),""))</f>
        <v/>
      </c>
      <c r="AN114" t="str">
        <f ca="1">IF(AR114="","",IF(INDEX('Holidays Calc'!$I$2:$I$233,AR114+2)=A114,INDEX('Holidays Calc'!$J$2:$J$233,AR114+2),""))</f>
        <v/>
      </c>
      <c r="AO114" t="str">
        <f ca="1">IF(AR114="","",IF(INDEX('Holidays Calc'!$I$2:$I$233,AR114+3)=A114,INDEX('Holidays Calc'!$J$2:$J$233,AR114+3),""))</f>
        <v/>
      </c>
      <c r="AP114" t="str">
        <f>IFERROR(IF($E114=E113,"",MATCH($E114,Festivals!$H$2:$H$160,0)),"")</f>
        <v/>
      </c>
      <c r="AQ114" t="str">
        <f>IF(AP114="","",COUNTIF(Festivals!$H$2:$H$160,$E114))</f>
        <v/>
      </c>
      <c r="AR114" t="str">
        <f ca="1">IFERROR(MATCH(A114,'Holidays Calc'!$I$2:$I$233,0),"")</f>
        <v/>
      </c>
      <c r="AS114" t="str">
        <f t="shared" si="11"/>
        <v/>
      </c>
      <c r="AT114" t="str">
        <f t="shared" si="10"/>
        <v/>
      </c>
      <c r="AU114" t="str">
        <f t="shared" ca="1" si="12"/>
        <v/>
      </c>
      <c r="AV114" t="str">
        <f t="shared" ca="1" si="13"/>
        <v/>
      </c>
    </row>
    <row r="115" spans="1:48" x14ac:dyDescent="0.25">
      <c r="A115" s="265">
        <f t="shared" si="7"/>
        <v>43541</v>
      </c>
      <c r="B115" s="265" t="str">
        <f t="shared" si="14"/>
        <v>17 Mar 2019</v>
      </c>
      <c r="C115" s="267">
        <f t="shared" si="15"/>
        <v>11</v>
      </c>
      <c r="D115">
        <f>MATCH(A115,GCalXMLT[daydate],0)</f>
        <v>114</v>
      </c>
      <c r="E115">
        <f>VALUE("1" &amp; Masacod(INDEX(GCalXMLT[gymasa],D115)) &amp; PaksaCod(INDEX(GCalXMLT[mpaksaid],D115)) &amp; TithiCod(INDEX(GCalXMLT[stithiname],D115)))</f>
        <v>112111</v>
      </c>
      <c r="F115" t="str">
        <f ca="1">INDEX(Parameters!$K$2:$K$16,MATCH(AV115,Parameters!$L$2:$L$16,0))</f>
        <v>E</v>
      </c>
      <c r="G115" t="str">
        <f>INDEX(GCalXMLT[fastmark],$D115)</f>
        <v>*</v>
      </c>
      <c r="H115" t="str">
        <f ca="1">INDEX(Parameters!$J$2:$J$16,MATCH(AV115,Parameters!$L$2:$L$16,0))</f>
        <v>*</v>
      </c>
      <c r="I115" t="str">
        <f>INDEX(GCalXMLT[dfestival1],$D115)</f>
        <v>Fasting for Amalaki vrata Ekadasi</v>
      </c>
      <c r="J115">
        <f>IF(INDEX(GCalXMLT[dfestival2],$D115)="(Fast today)",INDEX(Festivals!$R$2:$R$180,MATCH($I115,Festivals!$R$2:$R$180,0)+1),INDEX(GCalXMLT[dfestival2],$D115))</f>
        <v>0</v>
      </c>
      <c r="K115">
        <f>IF(I115="Nandotsava","(Fast till noon)",INDEX(GCalXMLT[dfestival3],$D115))</f>
        <v>0</v>
      </c>
      <c r="L115">
        <f>IF(I115="Nandotsava", INDEX(GCalXMLT[dfestival3],$D115),INDEX(GCalXMLT[dfestival4],$D115))</f>
        <v>0</v>
      </c>
      <c r="M115" t="str">
        <f>IFERROR(INDEX(Festivals!$S$2:$S$160,AP115),"")</f>
        <v/>
      </c>
      <c r="N115" t="str">
        <f>IFERROR(IF($AQ115&gt;1,INDEX(Festivals!$S$2:$S$160,$AP115+1),""),"")</f>
        <v/>
      </c>
      <c r="O115" t="str">
        <f>IFERROR(IF($AQ115&gt;2,INDEX(Festivals!$S$2:$S$160,$AP115+2),""),"")</f>
        <v/>
      </c>
      <c r="P115" t="str">
        <f>IFERROR(IF($AQ115&gt;3,INDEX(Festivals!$S$2:$S$160,$AP115+3),""),"")</f>
        <v/>
      </c>
      <c r="Q115" t="str">
        <f>IFERROR(IF($AQ115&gt;4,INDEX(Festivals!$S$2:$S$160,$AP115+4),""),"")</f>
        <v/>
      </c>
      <c r="R115" t="str">
        <f>IFERROR(IF($AQ115&gt;5,INDEX(Festivals!$S$2:$S$160,$AP115+5),""),"")</f>
        <v/>
      </c>
      <c r="S115" t="str">
        <f>IFERROR(IF($AQ115&gt;6,INDEX(Festivals!$S$2:$S$160,$AP115+6),""),"")</f>
        <v/>
      </c>
      <c r="T115">
        <f>INDEX(GCalXMLT[dcaturmasya1],$D115)</f>
        <v>0</v>
      </c>
      <c r="U115">
        <f>INDEX(GCalXMLT[dcaturmasya2],$D115)</f>
        <v>0</v>
      </c>
      <c r="V115" t="str">
        <f>INDEX(GCalXMLT[sankrantirasi],$D115) &amp; " " &amp; INDEX(GCalXMLT[sankrantitime],$D115)</f>
        <v xml:space="preserve"> </v>
      </c>
      <c r="W115" t="str">
        <f ca="1">IFERROR(INDEX('Holidays Calc'!$K$2:$K$233,AR115),"")</f>
        <v/>
      </c>
      <c r="X115" t="str">
        <f ca="1">IF(AR115="","",IF(INDEX('Holidays Calc'!$I$2:$I$233,AR115+1)=A115,INDEX('Holidays Calc'!$K$2:$K$233,AR115+1),""))</f>
        <v/>
      </c>
      <c r="Y115" t="str">
        <f ca="1">IF(AR115="","",IF(INDEX('Holidays Calc'!$I$2:$I$233,AR115+2)=A115,INDEX('Holidays Calc'!$K$2:$K$233,AR115+2),""))</f>
        <v/>
      </c>
      <c r="Z115" t="str">
        <f ca="1">IF(AR115="","",IF(INDEX('Holidays Calc'!$I$2:$I$233,AR115+3)=A115,INDEX('Holidays Calc'!$K$2:$K$2333,AR115+3),""))</f>
        <v/>
      </c>
      <c r="AA115">
        <f>IF(I115="Last day of Bhisma Pancaka","",IF(G115="*",-0.7,IF(ISBLANK(INDEX(GCalXMLT[dclass1],$D115)),"",INDEX(GCalXMLT[dclass1],$D115))))</f>
        <v>-0.7</v>
      </c>
      <c r="AB115" t="str">
        <f>IF(J115="First day of Bhisma Pancaka","",IF(AND(G115="*",NOT(ISERROR(SEARCH("ekadasi",J115)))),-0.7,IF(ISBLANK(INDEX(GCalXMLT[dclass2],$D115)),"",INDEX(GCalXMLT[dclass2],$D115))))</f>
        <v/>
      </c>
      <c r="AC115" t="str">
        <f>IF(I115="Nandotsava",-1,IF(ISBLANK(INDEX(GCalXMLT[dclass3],$D115)),"",INDEX(GCalXMLT[dclass3],$D115)))</f>
        <v/>
      </c>
      <c r="AD115" t="str">
        <f>IF(I115="Nandotsava",IF(ISBLANK(INDEX(GCalXMLT[dclass3],$D115)),"",INDEX(GCalXMLT[dclass3],$D115)),IF(ISBLANK(INDEX(GCalXMLT[dclass4],$D115)),"",INDEX(GCalXMLT[dclass4],$D115)))</f>
        <v/>
      </c>
      <c r="AE115" t="str">
        <f>IFERROR(INDEX(Festivals!$V$2:$V$160,AP115),"")</f>
        <v/>
      </c>
      <c r="AF115" t="str">
        <f>IFERROR(IF($AQ115&gt;1,INDEX(Festivals!$V$2:$V$160,$AP115+1),""),"")</f>
        <v/>
      </c>
      <c r="AG115" t="str">
        <f>IFERROR(IF($AQ115&gt;2,INDEX(Festivals!$V$2:$V$160,$AP115+2),""),"")</f>
        <v/>
      </c>
      <c r="AH115" t="str">
        <f>IFERROR(IF($AQ115&gt;3,INDEX(Festivals!$V$2:$V$160,$AP115+3),""),"")</f>
        <v/>
      </c>
      <c r="AI115" t="str">
        <f>IFERROR(IF($AQ115&gt;4,INDEX(Festivals!$V$2:$V$160,$AP115+4),""),"")</f>
        <v/>
      </c>
      <c r="AJ115" t="str">
        <f>IFERROR(IF($AQ115&gt;5,INDEX(Festivals!$V$2:$V$160,$AP115+5),""),"")</f>
        <v/>
      </c>
      <c r="AK115" t="str">
        <f>IFERROR(IF($AQ115&gt;6,INDEX(Festivals!$V$2:$V$160,$AP115+6),""),"")</f>
        <v/>
      </c>
      <c r="AL115" t="str">
        <f ca="1">IFERROR(INDEX('Holidays Calc'!$J$2:$J$233,MATCH(A115,'Holidays Calc'!$I$2:$I$233,0)),"")</f>
        <v/>
      </c>
      <c r="AM115" t="str">
        <f ca="1">IF(AR115="","",IF(INDEX('Holidays Calc'!$I$2:$I$233,AR115+1)=A115,INDEX('Holidays Calc'!$J$2:$J$233,AR115+1),""))</f>
        <v/>
      </c>
      <c r="AN115" t="str">
        <f ca="1">IF(AR115="","",IF(INDEX('Holidays Calc'!$I$2:$I$233,AR115+2)=A115,INDEX('Holidays Calc'!$J$2:$J$233,AR115+2),""))</f>
        <v/>
      </c>
      <c r="AO115" t="str">
        <f ca="1">IF(AR115="","",IF(INDEX('Holidays Calc'!$I$2:$I$233,AR115+3)=A115,INDEX('Holidays Calc'!$J$2:$J$233,AR115+3),""))</f>
        <v/>
      </c>
      <c r="AP115" t="str">
        <f>IFERROR(IF($E115=E114,"",MATCH($E115,Festivals!$H$2:$H$160,0)),"")</f>
        <v/>
      </c>
      <c r="AQ115" t="str">
        <f>IF(AP115="","",COUNTIF(Festivals!$H$2:$H$160,$E115))</f>
        <v/>
      </c>
      <c r="AR115" t="str">
        <f ca="1">IFERROR(MATCH(A115,'Holidays Calc'!$I$2:$I$233,0),"")</f>
        <v/>
      </c>
      <c r="AS115">
        <f t="shared" si="11"/>
        <v>-0.7</v>
      </c>
      <c r="AT115">
        <f t="shared" si="10"/>
        <v>-0.7</v>
      </c>
      <c r="AU115" t="str">
        <f t="shared" ca="1" si="12"/>
        <v/>
      </c>
      <c r="AV115">
        <f t="shared" ca="1" si="13"/>
        <v>-0.7</v>
      </c>
    </row>
    <row r="116" spans="1:48" x14ac:dyDescent="0.25">
      <c r="A116" s="265">
        <f t="shared" si="7"/>
        <v>43542</v>
      </c>
      <c r="B116" s="265" t="str">
        <f t="shared" si="14"/>
        <v>18 Mar 2019</v>
      </c>
      <c r="C116" s="267">
        <f t="shared" si="15"/>
        <v>12</v>
      </c>
      <c r="D116">
        <f>MATCH(A116,GCalXMLT[daydate],0)</f>
        <v>115</v>
      </c>
      <c r="E116">
        <f>VALUE("1" &amp; Masacod(INDEX(GCalXMLT[gymasa],D116)) &amp; PaksaCod(INDEX(GCalXMLT[mpaksaid],D116)) &amp; TithiCod(INDEX(GCalXMLT[stithiname],D116)))</f>
        <v>112112</v>
      </c>
      <c r="F116" t="str">
        <f ca="1">INDEX(Parameters!$K$2:$K$16,MATCH(AV116,Parameters!$L$2:$L$16,0))</f>
        <v>C</v>
      </c>
      <c r="G116">
        <f>INDEX(GCalXMLT[fastmark],$D116)</f>
        <v>0</v>
      </c>
      <c r="H116" t="str">
        <f ca="1">INDEX(Parameters!$J$2:$J$16,MATCH(AV116,Parameters!$L$2:$L$16,0))</f>
        <v/>
      </c>
      <c r="I116">
        <f>INDEX(GCalXMLT[dfestival1],$D116)</f>
        <v>0</v>
      </c>
      <c r="J116">
        <f>IF(INDEX(GCalXMLT[dfestival2],$D116)="(Fast today)",INDEX(Festivals!$R$2:$R$180,MATCH($I116,Festivals!$R$2:$R$180,0)+1),INDEX(GCalXMLT[dfestival2],$D116))</f>
        <v>0</v>
      </c>
      <c r="K116">
        <f>IF(I116="Nandotsava","(Fast till noon)",INDEX(GCalXMLT[dfestival3],$D116))</f>
        <v>0</v>
      </c>
      <c r="L116">
        <f>IF(I116="Nandotsava", INDEX(GCalXMLT[dfestival3],$D116),INDEX(GCalXMLT[dfestival4],$D116))</f>
        <v>0</v>
      </c>
      <c r="M116" t="str">
        <f>IFERROR(INDEX(Festivals!$S$2:$S$160,AP116),"")</f>
        <v>Sri Madhavendra Puri - Disappearance</v>
      </c>
      <c r="N116" t="str">
        <f>IFERROR(IF($AQ116&gt;1,INDEX(Festivals!$S$2:$S$160,$AP116+1),""),"")</f>
        <v/>
      </c>
      <c r="O116" t="str">
        <f>IFERROR(IF($AQ116&gt;2,INDEX(Festivals!$S$2:$S$160,$AP116+2),""),"")</f>
        <v/>
      </c>
      <c r="P116" t="str">
        <f>IFERROR(IF($AQ116&gt;3,INDEX(Festivals!$S$2:$S$160,$AP116+3),""),"")</f>
        <v/>
      </c>
      <c r="Q116" t="str">
        <f>IFERROR(IF($AQ116&gt;4,INDEX(Festivals!$S$2:$S$160,$AP116+4),""),"")</f>
        <v/>
      </c>
      <c r="R116" t="str">
        <f>IFERROR(IF($AQ116&gt;5,INDEX(Festivals!$S$2:$S$160,$AP116+5),""),"")</f>
        <v/>
      </c>
      <c r="S116" t="str">
        <f>IFERROR(IF($AQ116&gt;6,INDEX(Festivals!$S$2:$S$160,$AP116+6),""),"")</f>
        <v/>
      </c>
      <c r="T116">
        <f>INDEX(GCalXMLT[dcaturmasya1],$D116)</f>
        <v>0</v>
      </c>
      <c r="U116">
        <f>INDEX(GCalXMLT[dcaturmasya2],$D116)</f>
        <v>0</v>
      </c>
      <c r="V116" t="str">
        <f>INDEX(GCalXMLT[sankrantirasi],$D116) &amp; " " &amp; INDEX(GCalXMLT[sankrantitime],$D116)</f>
        <v xml:space="preserve"> </v>
      </c>
      <c r="W116" t="str">
        <f ca="1">IFERROR(INDEX('Holidays Calc'!$K$2:$K$233,AR116),"")</f>
        <v/>
      </c>
      <c r="X116" t="str">
        <f ca="1">IF(AR116="","",IF(INDEX('Holidays Calc'!$I$2:$I$233,AR116+1)=A116,INDEX('Holidays Calc'!$K$2:$K$233,AR116+1),""))</f>
        <v/>
      </c>
      <c r="Y116" t="str">
        <f ca="1">IF(AR116="","",IF(INDEX('Holidays Calc'!$I$2:$I$233,AR116+2)=A116,INDEX('Holidays Calc'!$K$2:$K$233,AR116+2),""))</f>
        <v/>
      </c>
      <c r="Z116" t="str">
        <f ca="1">IF(AR116="","",IF(INDEX('Holidays Calc'!$I$2:$I$233,AR116+3)=A116,INDEX('Holidays Calc'!$K$2:$K$2333,AR116+3),""))</f>
        <v/>
      </c>
      <c r="AA116" t="str">
        <f>IF(I116="Last day of Bhisma Pancaka","",IF(G116="*",-0.7,IF(ISBLANK(INDEX(GCalXMLT[dclass1],$D116)),"",INDEX(GCalXMLT[dclass1],$D116))))</f>
        <v/>
      </c>
      <c r="AB116" t="str">
        <f>IF(J116="First day of Bhisma Pancaka","",IF(AND(G116="*",NOT(ISERROR(SEARCH("ekadasi",J116)))),-0.7,IF(ISBLANK(INDEX(GCalXMLT[dclass2],$D116)),"",INDEX(GCalXMLT[dclass2],$D116))))</f>
        <v/>
      </c>
      <c r="AC116" t="str">
        <f>IF(I116="Nandotsava",-1,IF(ISBLANK(INDEX(GCalXMLT[dclass3],$D116)),"",INDEX(GCalXMLT[dclass3],$D116)))</f>
        <v/>
      </c>
      <c r="AD116" t="str">
        <f>IF(I116="Nandotsava",IF(ISBLANK(INDEX(GCalXMLT[dclass3],$D116)),"",INDEX(GCalXMLT[dclass3],$D116)),IF(ISBLANK(INDEX(GCalXMLT[dclass4],$D116)),"",INDEX(GCalXMLT[dclass4],$D116)))</f>
        <v/>
      </c>
      <c r="AE116">
        <f>IFERROR(INDEX(Festivals!$V$2:$V$160,AP116),"")</f>
        <v>3</v>
      </c>
      <c r="AF116" t="str">
        <f>IFERROR(IF($AQ116&gt;1,INDEX(Festivals!$V$2:$V$160,$AP116+1),""),"")</f>
        <v/>
      </c>
      <c r="AG116" t="str">
        <f>IFERROR(IF($AQ116&gt;2,INDEX(Festivals!$V$2:$V$160,$AP116+2),""),"")</f>
        <v/>
      </c>
      <c r="AH116" t="str">
        <f>IFERROR(IF($AQ116&gt;3,INDEX(Festivals!$V$2:$V$160,$AP116+3),""),"")</f>
        <v/>
      </c>
      <c r="AI116" t="str">
        <f>IFERROR(IF($AQ116&gt;4,INDEX(Festivals!$V$2:$V$160,$AP116+4),""),"")</f>
        <v/>
      </c>
      <c r="AJ116" t="str">
        <f>IFERROR(IF($AQ116&gt;5,INDEX(Festivals!$V$2:$V$160,$AP116+5),""),"")</f>
        <v/>
      </c>
      <c r="AK116" t="str">
        <f>IFERROR(IF($AQ116&gt;6,INDEX(Festivals!$V$2:$V$160,$AP116+6),""),"")</f>
        <v/>
      </c>
      <c r="AL116" t="str">
        <f ca="1">IFERROR(INDEX('Holidays Calc'!$J$2:$J$233,MATCH(A116,'Holidays Calc'!$I$2:$I$233,0)),"")</f>
        <v/>
      </c>
      <c r="AM116" t="str">
        <f ca="1">IF(AR116="","",IF(INDEX('Holidays Calc'!$I$2:$I$233,AR116+1)=A116,INDEX('Holidays Calc'!$J$2:$J$233,AR116+1),""))</f>
        <v/>
      </c>
      <c r="AN116" t="str">
        <f ca="1">IF(AR116="","",IF(INDEX('Holidays Calc'!$I$2:$I$233,AR116+2)=A116,INDEX('Holidays Calc'!$J$2:$J$233,AR116+2),""))</f>
        <v/>
      </c>
      <c r="AO116" t="str">
        <f ca="1">IF(AR116="","",IF(INDEX('Holidays Calc'!$I$2:$I$233,AR116+3)=A116,INDEX('Holidays Calc'!$J$2:$J$233,AR116+3),""))</f>
        <v/>
      </c>
      <c r="AP116">
        <f>IFERROR(IF($E116=E115,"",MATCH($E116,Festivals!$H$2:$H$160,0)),"")</f>
        <v>159</v>
      </c>
      <c r="AQ116">
        <f>IF(AP116="","",COUNTIF(Festivals!$H$2:$H$160,$E116))</f>
        <v>1</v>
      </c>
      <c r="AR116" t="str">
        <f ca="1">IFERROR(MATCH(A116,'Holidays Calc'!$I$2:$I$233,0),"")</f>
        <v/>
      </c>
      <c r="AS116">
        <f t="shared" si="11"/>
        <v>3</v>
      </c>
      <c r="AT116">
        <f t="shared" si="10"/>
        <v>3</v>
      </c>
      <c r="AU116" t="str">
        <f t="shared" ca="1" si="12"/>
        <v/>
      </c>
      <c r="AV116">
        <f t="shared" ca="1" si="13"/>
        <v>3</v>
      </c>
    </row>
    <row r="117" spans="1:48" x14ac:dyDescent="0.25">
      <c r="A117" s="265">
        <f t="shared" si="7"/>
        <v>43543</v>
      </c>
      <c r="B117" s="265" t="str">
        <f t="shared" si="14"/>
        <v>19 Mar 2019</v>
      </c>
      <c r="C117" s="267">
        <f t="shared" si="15"/>
        <v>12</v>
      </c>
      <c r="D117">
        <f>MATCH(A117,GCalXMLT[daydate],0)</f>
        <v>116</v>
      </c>
      <c r="E117">
        <f>VALUE("1" &amp; Masacod(INDEX(GCalXMLT[gymasa],D117)) &amp; PaksaCod(INDEX(GCalXMLT[mpaksaid],D117)) &amp; TithiCod(INDEX(GCalXMLT[stithiname],D117)))</f>
        <v>112113</v>
      </c>
      <c r="F117" t="str">
        <f ca="1">INDEX(Parameters!$K$2:$K$16,MATCH(AV117,Parameters!$L$2:$L$16,0))</f>
        <v/>
      </c>
      <c r="G117">
        <f>INDEX(GCalXMLT[fastmark],$D117)</f>
        <v>0</v>
      </c>
      <c r="H117" t="str">
        <f ca="1">INDEX(Parameters!$J$2:$J$16,MATCH(AV117,Parameters!$L$2:$L$16,0))</f>
        <v/>
      </c>
      <c r="I117">
        <f>INDEX(GCalXMLT[dfestival1],$D117)</f>
        <v>0</v>
      </c>
      <c r="J117">
        <f>IF(INDEX(GCalXMLT[dfestival2],$D117)="(Fast today)",INDEX(Festivals!$R$2:$R$180,MATCH($I117,Festivals!$R$2:$R$180,0)+1),INDEX(GCalXMLT[dfestival2],$D117))</f>
        <v>0</v>
      </c>
      <c r="K117">
        <f>IF(I117="Nandotsava","(Fast till noon)",INDEX(GCalXMLT[dfestival3],$D117))</f>
        <v>0</v>
      </c>
      <c r="L117">
        <f>IF(I117="Nandotsava", INDEX(GCalXMLT[dfestival3],$D117),INDEX(GCalXMLT[dfestival4],$D117))</f>
        <v>0</v>
      </c>
      <c r="M117" t="str">
        <f>IFERROR(INDEX(Festivals!$S$2:$S$160,AP117),"")</f>
        <v/>
      </c>
      <c r="N117" t="str">
        <f>IFERROR(IF($AQ117&gt;1,INDEX(Festivals!$S$2:$S$160,$AP117+1),""),"")</f>
        <v/>
      </c>
      <c r="O117" t="str">
        <f>IFERROR(IF($AQ117&gt;2,INDEX(Festivals!$S$2:$S$160,$AP117+2),""),"")</f>
        <v/>
      </c>
      <c r="P117" t="str">
        <f>IFERROR(IF($AQ117&gt;3,INDEX(Festivals!$S$2:$S$160,$AP117+3),""),"")</f>
        <v/>
      </c>
      <c r="Q117" t="str">
        <f>IFERROR(IF($AQ117&gt;4,INDEX(Festivals!$S$2:$S$160,$AP117+4),""),"")</f>
        <v/>
      </c>
      <c r="R117" t="str">
        <f>IFERROR(IF($AQ117&gt;5,INDEX(Festivals!$S$2:$S$160,$AP117+5),""),"")</f>
        <v/>
      </c>
      <c r="S117" t="str">
        <f>IFERROR(IF($AQ117&gt;6,INDEX(Festivals!$S$2:$S$160,$AP117+6),""),"")</f>
        <v/>
      </c>
      <c r="T117">
        <f>INDEX(GCalXMLT[dcaturmasya1],$D117)</f>
        <v>0</v>
      </c>
      <c r="U117">
        <f>INDEX(GCalXMLT[dcaturmasya2],$D117)</f>
        <v>0</v>
      </c>
      <c r="V117" t="str">
        <f>INDEX(GCalXMLT[sankrantirasi],$D117) &amp; " " &amp; INDEX(GCalXMLT[sankrantitime],$D117)</f>
        <v xml:space="preserve"> </v>
      </c>
      <c r="W117" t="str">
        <f ca="1">IFERROR(INDEX('Holidays Calc'!$K$2:$K$233,AR117),"")</f>
        <v/>
      </c>
      <c r="X117" t="str">
        <f ca="1">IF(AR117="","",IF(INDEX('Holidays Calc'!$I$2:$I$233,AR117+1)=A117,INDEX('Holidays Calc'!$K$2:$K$233,AR117+1),""))</f>
        <v/>
      </c>
      <c r="Y117" t="str">
        <f ca="1">IF(AR117="","",IF(INDEX('Holidays Calc'!$I$2:$I$233,AR117+2)=A117,INDEX('Holidays Calc'!$K$2:$K$233,AR117+2),""))</f>
        <v/>
      </c>
      <c r="Z117" t="str">
        <f ca="1">IF(AR117="","",IF(INDEX('Holidays Calc'!$I$2:$I$233,AR117+3)=A117,INDEX('Holidays Calc'!$K$2:$K$2333,AR117+3),""))</f>
        <v/>
      </c>
      <c r="AA117" t="str">
        <f>IF(I117="Last day of Bhisma Pancaka","",IF(G117="*",-0.7,IF(ISBLANK(INDEX(GCalXMLT[dclass1],$D117)),"",INDEX(GCalXMLT[dclass1],$D117))))</f>
        <v/>
      </c>
      <c r="AB117" t="str">
        <f>IF(J117="First day of Bhisma Pancaka","",IF(AND(G117="*",NOT(ISERROR(SEARCH("ekadasi",J117)))),-0.7,IF(ISBLANK(INDEX(GCalXMLT[dclass2],$D117)),"",INDEX(GCalXMLT[dclass2],$D117))))</f>
        <v/>
      </c>
      <c r="AC117" t="str">
        <f>IF(I117="Nandotsava",-1,IF(ISBLANK(INDEX(GCalXMLT[dclass3],$D117)),"",INDEX(GCalXMLT[dclass3],$D117)))</f>
        <v/>
      </c>
      <c r="AD117" t="str">
        <f>IF(I117="Nandotsava",IF(ISBLANK(INDEX(GCalXMLT[dclass3],$D117)),"",INDEX(GCalXMLT[dclass3],$D117)),IF(ISBLANK(INDEX(GCalXMLT[dclass4],$D117)),"",INDEX(GCalXMLT[dclass4],$D117)))</f>
        <v/>
      </c>
      <c r="AE117" t="str">
        <f>IFERROR(INDEX(Festivals!$V$2:$V$160,AP117),"")</f>
        <v/>
      </c>
      <c r="AF117" t="str">
        <f>IFERROR(IF($AQ117&gt;1,INDEX(Festivals!$V$2:$V$160,$AP117+1),""),"")</f>
        <v/>
      </c>
      <c r="AG117" t="str">
        <f>IFERROR(IF($AQ117&gt;2,INDEX(Festivals!$V$2:$V$160,$AP117+2),""),"")</f>
        <v/>
      </c>
      <c r="AH117" t="str">
        <f>IFERROR(IF($AQ117&gt;3,INDEX(Festivals!$V$2:$V$160,$AP117+3),""),"")</f>
        <v/>
      </c>
      <c r="AI117" t="str">
        <f>IFERROR(IF($AQ117&gt;4,INDEX(Festivals!$V$2:$V$160,$AP117+4),""),"")</f>
        <v/>
      </c>
      <c r="AJ117" t="str">
        <f>IFERROR(IF($AQ117&gt;5,INDEX(Festivals!$V$2:$V$160,$AP117+5),""),"")</f>
        <v/>
      </c>
      <c r="AK117" t="str">
        <f>IFERROR(IF($AQ117&gt;6,INDEX(Festivals!$V$2:$V$160,$AP117+6),""),"")</f>
        <v/>
      </c>
      <c r="AL117" t="str">
        <f ca="1">IFERROR(INDEX('Holidays Calc'!$J$2:$J$233,MATCH(A117,'Holidays Calc'!$I$2:$I$233,0)),"")</f>
        <v/>
      </c>
      <c r="AM117" t="str">
        <f ca="1">IF(AR117="","",IF(INDEX('Holidays Calc'!$I$2:$I$233,AR117+1)=A117,INDEX('Holidays Calc'!$J$2:$J$233,AR117+1),""))</f>
        <v/>
      </c>
      <c r="AN117" t="str">
        <f ca="1">IF(AR117="","",IF(INDEX('Holidays Calc'!$I$2:$I$233,AR117+2)=A117,INDEX('Holidays Calc'!$J$2:$J$233,AR117+2),""))</f>
        <v/>
      </c>
      <c r="AO117" t="str">
        <f ca="1">IF(AR117="","",IF(INDEX('Holidays Calc'!$I$2:$I$233,AR117+3)=A117,INDEX('Holidays Calc'!$J$2:$J$233,AR117+3),""))</f>
        <v/>
      </c>
      <c r="AP117" t="str">
        <f>IFERROR(IF($E117=E116,"",MATCH($E117,Festivals!$H$2:$H$160,0)),"")</f>
        <v/>
      </c>
      <c r="AQ117" t="str">
        <f>IF(AP117="","",COUNTIF(Festivals!$H$2:$H$160,$E117))</f>
        <v/>
      </c>
      <c r="AR117" t="str">
        <f ca="1">IFERROR(MATCH(A117,'Holidays Calc'!$I$2:$I$233,0),"")</f>
        <v/>
      </c>
      <c r="AS117" t="str">
        <f t="shared" si="11"/>
        <v/>
      </c>
      <c r="AT117" t="str">
        <f t="shared" si="10"/>
        <v/>
      </c>
      <c r="AU117" t="str">
        <f t="shared" ca="1" si="12"/>
        <v/>
      </c>
      <c r="AV117" t="str">
        <f t="shared" ca="1" si="13"/>
        <v/>
      </c>
    </row>
    <row r="118" spans="1:48" x14ac:dyDescent="0.25">
      <c r="A118" s="265">
        <f t="shared" si="7"/>
        <v>43544</v>
      </c>
      <c r="B118" s="265" t="str">
        <f t="shared" si="14"/>
        <v>20 Mar 2019</v>
      </c>
      <c r="C118" s="267">
        <f t="shared" si="15"/>
        <v>12</v>
      </c>
      <c r="D118">
        <f>MATCH(A118,GCalXMLT[daydate],0)</f>
        <v>117</v>
      </c>
      <c r="E118">
        <f>VALUE("1" &amp; Masacod(INDEX(GCalXMLT[gymasa],D118)) &amp; PaksaCod(INDEX(GCalXMLT[mpaksaid],D118)) &amp; TithiCod(INDEX(GCalXMLT[stithiname],D118)))</f>
        <v>112115</v>
      </c>
      <c r="F118" t="str">
        <f ca="1">INDEX(Parameters!$K$2:$K$16,MATCH(AV118,Parameters!$L$2:$L$16,0))</f>
        <v>P</v>
      </c>
      <c r="G118">
        <f>INDEX(GCalXMLT[fastmark],$D118)</f>
        <v>0</v>
      </c>
      <c r="H118" t="str">
        <f ca="1">INDEX(Parameters!$J$2:$J$16,MATCH(AV118,Parameters!$L$2:$L$16,0))</f>
        <v>*</v>
      </c>
      <c r="I118" t="str">
        <f>INDEX(GCalXMLT[dfestival1],$D118)</f>
        <v>Gaura Purnima: Appearance of Sri Caitanya Mahaprabhu</v>
      </c>
      <c r="J118" t="str">
        <f>IF(INDEX(GCalXMLT[dfestival2],$D118)="(Fast today)",INDEX(Festivals!$R$2:$R$180,MATCH($I118,Festivals!$R$2:$R$180,0)+1),INDEX(GCalXMLT[dfestival2],$D118))</f>
        <v>(Fast till moonrise)</v>
      </c>
      <c r="K118">
        <f>IF(I118="Nandotsava","(Fast till noon)",INDEX(GCalXMLT[dfestival3],$D118))</f>
        <v>0</v>
      </c>
      <c r="L118">
        <f>IF(I118="Nandotsava", INDEX(GCalXMLT[dfestival3],$D118),INDEX(GCalXMLT[dfestival4],$D118))</f>
        <v>0</v>
      </c>
      <c r="M118" t="str">
        <f>IFERROR(INDEX(Festivals!$S$2:$S$160,AP118),"")</f>
        <v/>
      </c>
      <c r="N118" t="str">
        <f>IFERROR(IF($AQ118&gt;1,INDEX(Festivals!$S$2:$S$160,$AP118+1),""),"")</f>
        <v/>
      </c>
      <c r="O118" t="str">
        <f>IFERROR(IF($AQ118&gt;2,INDEX(Festivals!$S$2:$S$160,$AP118+2),""),"")</f>
        <v/>
      </c>
      <c r="P118" t="str">
        <f>IFERROR(IF($AQ118&gt;3,INDEX(Festivals!$S$2:$S$160,$AP118+3),""),"")</f>
        <v/>
      </c>
      <c r="Q118" t="str">
        <f>IFERROR(IF($AQ118&gt;4,INDEX(Festivals!$S$2:$S$160,$AP118+4),""),"")</f>
        <v/>
      </c>
      <c r="R118" t="str">
        <f>IFERROR(IF($AQ118&gt;5,INDEX(Festivals!$S$2:$S$160,$AP118+5),""),"")</f>
        <v/>
      </c>
      <c r="S118" t="str">
        <f>IFERROR(IF($AQ118&gt;6,INDEX(Festivals!$S$2:$S$160,$AP118+6),""),"")</f>
        <v/>
      </c>
      <c r="T118">
        <f>INDEX(GCalXMLT[dcaturmasya1],$D118)</f>
        <v>0</v>
      </c>
      <c r="U118">
        <f>INDEX(GCalXMLT[dcaturmasya2],$D118)</f>
        <v>0</v>
      </c>
      <c r="V118" t="str">
        <f>INDEX(GCalXMLT[sankrantirasi],$D118) &amp; " " &amp; INDEX(GCalXMLT[sankrantitime],$D118)</f>
        <v xml:space="preserve"> </v>
      </c>
      <c r="W118" t="str">
        <f ca="1">IFERROR(INDEX('Holidays Calc'!$K$2:$K$233,AR118),"")</f>
        <v>Outono</v>
      </c>
      <c r="X118" t="str">
        <f ca="1">IF(AR118="","",IF(INDEX('Holidays Calc'!$I$2:$I$233,AR118+1)=A118,INDEX('Holidays Calc'!$K$2:$K$233,AR118+1),""))</f>
        <v/>
      </c>
      <c r="Y118" t="str">
        <f ca="1">IF(AR118="","",IF(INDEX('Holidays Calc'!$I$2:$I$233,AR118+2)=A118,INDEX('Holidays Calc'!$K$2:$K$233,AR118+2),""))</f>
        <v/>
      </c>
      <c r="Z118" t="str">
        <f ca="1">IF(AR118="","",IF(INDEX('Holidays Calc'!$I$2:$I$233,AR118+3)=A118,INDEX('Holidays Calc'!$K$2:$K$2333,AR118+3),""))</f>
        <v/>
      </c>
      <c r="AA118">
        <f>IF(I118="Last day of Bhisma Pancaka","",IF(G118="*",-0.7,IF(ISBLANK(INDEX(GCalXMLT[dclass1],$D118)),"",INDEX(GCalXMLT[dclass1],$D118))))</f>
        <v>0</v>
      </c>
      <c r="AB118">
        <f>IF(J118="First day of Bhisma Pancaka","",IF(AND(G118="*",NOT(ISERROR(SEARCH("ekadasi",J118)))),-0.7,IF(ISBLANK(INDEX(GCalXMLT[dclass2],$D118)),"",INDEX(GCalXMLT[dclass2],$D118))))</f>
        <v>-1</v>
      </c>
      <c r="AC118" t="str">
        <f>IF(I118="Nandotsava",-1,IF(ISBLANK(INDEX(GCalXMLT[dclass3],$D118)),"",INDEX(GCalXMLT[dclass3],$D118)))</f>
        <v/>
      </c>
      <c r="AD118" t="str">
        <f>IF(I118="Nandotsava",IF(ISBLANK(INDEX(GCalXMLT[dclass3],$D118)),"",INDEX(GCalXMLT[dclass3],$D118)),IF(ISBLANK(INDEX(GCalXMLT[dclass4],$D118)),"",INDEX(GCalXMLT[dclass4],$D118)))</f>
        <v/>
      </c>
      <c r="AE118" t="str">
        <f>IFERROR(INDEX(Festivals!$V$2:$V$160,AP118),"")</f>
        <v/>
      </c>
      <c r="AF118" t="str">
        <f>IFERROR(IF($AQ118&gt;1,INDEX(Festivals!$V$2:$V$160,$AP118+1),""),"")</f>
        <v/>
      </c>
      <c r="AG118" t="str">
        <f>IFERROR(IF($AQ118&gt;2,INDEX(Festivals!$V$2:$V$160,$AP118+2),""),"")</f>
        <v/>
      </c>
      <c r="AH118" t="str">
        <f>IFERROR(IF($AQ118&gt;3,INDEX(Festivals!$V$2:$V$160,$AP118+3),""),"")</f>
        <v/>
      </c>
      <c r="AI118" t="str">
        <f>IFERROR(IF($AQ118&gt;4,INDEX(Festivals!$V$2:$V$160,$AP118+4),""),"")</f>
        <v/>
      </c>
      <c r="AJ118" t="str">
        <f>IFERROR(IF($AQ118&gt;5,INDEX(Festivals!$V$2:$V$160,$AP118+5),""),"")</f>
        <v/>
      </c>
      <c r="AK118" t="str">
        <f>IFERROR(IF($AQ118&gt;6,INDEX(Festivals!$V$2:$V$160,$AP118+6),""),"")</f>
        <v/>
      </c>
      <c r="AL118">
        <f ca="1">IFERROR(INDEX('Holidays Calc'!$J$2:$J$233,MATCH(A118,'Holidays Calc'!$I$2:$I$233,0)),"")</f>
        <v>0.5</v>
      </c>
      <c r="AM118" t="str">
        <f ca="1">IF(AR118="","",IF(INDEX('Holidays Calc'!$I$2:$I$233,AR118+1)=A118,INDEX('Holidays Calc'!$J$2:$J$233,AR118+1),""))</f>
        <v/>
      </c>
      <c r="AN118" t="str">
        <f ca="1">IF(AR118="","",IF(INDEX('Holidays Calc'!$I$2:$I$233,AR118+2)=A118,INDEX('Holidays Calc'!$J$2:$J$233,AR118+2),""))</f>
        <v/>
      </c>
      <c r="AO118" t="str">
        <f ca="1">IF(AR118="","",IF(INDEX('Holidays Calc'!$I$2:$I$233,AR118+3)=A118,INDEX('Holidays Calc'!$J$2:$J$233,AR118+3),""))</f>
        <v/>
      </c>
      <c r="AP118" t="str">
        <f>IFERROR(IF($E118=E117,"",MATCH($E118,Festivals!$H$2:$H$160,0)),"")</f>
        <v/>
      </c>
      <c r="AQ118" t="str">
        <f>IF(AP118="","",COUNTIF(Festivals!$H$2:$H$160,$E118))</f>
        <v/>
      </c>
      <c r="AR118">
        <f ca="1">IFERROR(MATCH(A118,'Holidays Calc'!$I$2:$I$233,0),"")</f>
        <v>41</v>
      </c>
      <c r="AS118">
        <f t="shared" si="11"/>
        <v>-1</v>
      </c>
      <c r="AT118">
        <f t="shared" si="10"/>
        <v>-1</v>
      </c>
      <c r="AU118">
        <f t="shared" ca="1" si="12"/>
        <v>0.5</v>
      </c>
      <c r="AV118">
        <f t="shared" ca="1" si="13"/>
        <v>-1</v>
      </c>
    </row>
    <row r="119" spans="1:48" x14ac:dyDescent="0.25">
      <c r="A119" s="265">
        <f t="shared" si="7"/>
        <v>43545</v>
      </c>
      <c r="B119" s="265" t="str">
        <f t="shared" si="14"/>
        <v>21 Mar 2019</v>
      </c>
      <c r="C119" s="267">
        <f t="shared" si="15"/>
        <v>12</v>
      </c>
      <c r="D119">
        <f>MATCH(A119,GCalXMLT[daydate],0)</f>
        <v>118</v>
      </c>
      <c r="E119">
        <f>VALUE("1" &amp; Masacod(INDEX(GCalXMLT[gymasa],D119)) &amp; PaksaCod(INDEX(GCalXMLT[mpaksaid],D119)) &amp; TithiCod(INDEX(GCalXMLT[stithiname],D119)))</f>
        <v>101001</v>
      </c>
      <c r="F119" t="str">
        <f ca="1">INDEX(Parameters!$K$2:$K$16,MATCH(AV119,Parameters!$L$2:$L$16,0))</f>
        <v>C</v>
      </c>
      <c r="G119">
        <f>INDEX(GCalXMLT[fastmark],$D119)</f>
        <v>0</v>
      </c>
      <c r="H119" t="str">
        <f ca="1">INDEX(Parameters!$J$2:$J$16,MATCH(AV119,Parameters!$L$2:$L$16,0))</f>
        <v/>
      </c>
      <c r="I119" t="str">
        <f>INDEX(GCalXMLT[dfestival1],$D119)</f>
        <v>Festival of Jagannatha Misra</v>
      </c>
      <c r="J119">
        <f>IF(INDEX(GCalXMLT[dfestival2],$D119)="(Fast today)",INDEX(Festivals!$R$2:$R$180,MATCH($I119,Festivals!$R$2:$R$180,0)+1),INDEX(GCalXMLT[dfestival2],$D119))</f>
        <v>0</v>
      </c>
      <c r="K119">
        <f>IF(I119="Nandotsava","(Fast till noon)",INDEX(GCalXMLT[dfestival3],$D119))</f>
        <v>0</v>
      </c>
      <c r="L119">
        <f>IF(I119="Nandotsava", INDEX(GCalXMLT[dfestival3],$D119),INDEX(GCalXMLT[dfestival4],$D119))</f>
        <v>0</v>
      </c>
      <c r="M119" t="str">
        <f>IFERROR(INDEX(Festivals!$S$2:$S$160,AP119),"")</f>
        <v/>
      </c>
      <c r="N119" t="str">
        <f>IFERROR(IF($AQ119&gt;1,INDEX(Festivals!$S$2:$S$160,$AP119+1),""),"")</f>
        <v/>
      </c>
      <c r="O119" t="str">
        <f>IFERROR(IF($AQ119&gt;2,INDEX(Festivals!$S$2:$S$160,$AP119+2),""),"")</f>
        <v/>
      </c>
      <c r="P119" t="str">
        <f>IFERROR(IF($AQ119&gt;3,INDEX(Festivals!$S$2:$S$160,$AP119+3),""),"")</f>
        <v/>
      </c>
      <c r="Q119" t="str">
        <f>IFERROR(IF($AQ119&gt;4,INDEX(Festivals!$S$2:$S$160,$AP119+4),""),"")</f>
        <v/>
      </c>
      <c r="R119" t="str">
        <f>IFERROR(IF($AQ119&gt;5,INDEX(Festivals!$S$2:$S$160,$AP119+5),""),"")</f>
        <v/>
      </c>
      <c r="S119" t="str">
        <f>IFERROR(IF($AQ119&gt;6,INDEX(Festivals!$S$2:$S$160,$AP119+6),""),"")</f>
        <v/>
      </c>
      <c r="T119">
        <f>INDEX(GCalXMLT[dcaturmasya1],$D119)</f>
        <v>0</v>
      </c>
      <c r="U119">
        <f>INDEX(GCalXMLT[dcaturmasya2],$D119)</f>
        <v>0</v>
      </c>
      <c r="V119" t="str">
        <f>INDEX(GCalXMLT[sankrantirasi],$D119) &amp; " " &amp; INDEX(GCalXMLT[sankrantitime],$D119)</f>
        <v xml:space="preserve"> </v>
      </c>
      <c r="W119" t="str">
        <f ca="1">IFERROR(INDEX('Holidays Calc'!$K$2:$K$233,AR119),"")</f>
        <v/>
      </c>
      <c r="X119" t="str">
        <f ca="1">IF(AR119="","",IF(INDEX('Holidays Calc'!$I$2:$I$233,AR119+1)=A119,INDEX('Holidays Calc'!$K$2:$K$233,AR119+1),""))</f>
        <v/>
      </c>
      <c r="Y119" t="str">
        <f ca="1">IF(AR119="","",IF(INDEX('Holidays Calc'!$I$2:$I$233,AR119+2)=A119,INDEX('Holidays Calc'!$K$2:$K$233,AR119+2),""))</f>
        <v/>
      </c>
      <c r="Z119" t="str">
        <f ca="1">IF(AR119="","",IF(INDEX('Holidays Calc'!$I$2:$I$233,AR119+3)=A119,INDEX('Holidays Calc'!$K$2:$K$2333,AR119+3),""))</f>
        <v/>
      </c>
      <c r="AA119">
        <f>IF(I119="Last day of Bhisma Pancaka","",IF(G119="*",-0.7,IF(ISBLANK(INDEX(GCalXMLT[dclass1],$D119)),"",INDEX(GCalXMLT[dclass1],$D119))))</f>
        <v>1</v>
      </c>
      <c r="AB119" t="str">
        <f>IF(J119="First day of Bhisma Pancaka","",IF(AND(G119="*",NOT(ISERROR(SEARCH("ekadasi",J119)))),-0.7,IF(ISBLANK(INDEX(GCalXMLT[dclass2],$D119)),"",INDEX(GCalXMLT[dclass2],$D119))))</f>
        <v/>
      </c>
      <c r="AC119" t="str">
        <f>IF(I119="Nandotsava",-1,IF(ISBLANK(INDEX(GCalXMLT[dclass3],$D119)),"",INDEX(GCalXMLT[dclass3],$D119)))</f>
        <v/>
      </c>
      <c r="AD119" t="str">
        <f>IF(I119="Nandotsava",IF(ISBLANK(INDEX(GCalXMLT[dclass3],$D119)),"",INDEX(GCalXMLT[dclass3],$D119)),IF(ISBLANK(INDEX(GCalXMLT[dclass4],$D119)),"",INDEX(GCalXMLT[dclass4],$D119)))</f>
        <v/>
      </c>
      <c r="AE119" t="str">
        <f>IFERROR(INDEX(Festivals!$V$2:$V$160,AP119),"")</f>
        <v/>
      </c>
      <c r="AF119" t="str">
        <f>IFERROR(IF($AQ119&gt;1,INDEX(Festivals!$V$2:$V$160,$AP119+1),""),"")</f>
        <v/>
      </c>
      <c r="AG119" t="str">
        <f>IFERROR(IF($AQ119&gt;2,INDEX(Festivals!$V$2:$V$160,$AP119+2),""),"")</f>
        <v/>
      </c>
      <c r="AH119" t="str">
        <f>IFERROR(IF($AQ119&gt;3,INDEX(Festivals!$V$2:$V$160,$AP119+3),""),"")</f>
        <v/>
      </c>
      <c r="AI119" t="str">
        <f>IFERROR(IF($AQ119&gt;4,INDEX(Festivals!$V$2:$V$160,$AP119+4),""),"")</f>
        <v/>
      </c>
      <c r="AJ119" t="str">
        <f>IFERROR(IF($AQ119&gt;5,INDEX(Festivals!$V$2:$V$160,$AP119+5),""),"")</f>
        <v/>
      </c>
      <c r="AK119" t="str">
        <f>IFERROR(IF($AQ119&gt;6,INDEX(Festivals!$V$2:$V$160,$AP119+6),""),"")</f>
        <v/>
      </c>
      <c r="AL119" t="str">
        <f ca="1">IFERROR(INDEX('Holidays Calc'!$J$2:$J$233,MATCH(A119,'Holidays Calc'!$I$2:$I$233,0)),"")</f>
        <v/>
      </c>
      <c r="AM119" t="str">
        <f ca="1">IF(AR119="","",IF(INDEX('Holidays Calc'!$I$2:$I$233,AR119+1)=A119,INDEX('Holidays Calc'!$J$2:$J$233,AR119+1),""))</f>
        <v/>
      </c>
      <c r="AN119" t="str">
        <f ca="1">IF(AR119="","",IF(INDEX('Holidays Calc'!$I$2:$I$233,AR119+2)=A119,INDEX('Holidays Calc'!$J$2:$J$233,AR119+2),""))</f>
        <v/>
      </c>
      <c r="AO119" t="str">
        <f ca="1">IF(AR119="","",IF(INDEX('Holidays Calc'!$I$2:$I$233,AR119+3)=A119,INDEX('Holidays Calc'!$J$2:$J$233,AR119+3),""))</f>
        <v/>
      </c>
      <c r="AP119" t="str">
        <f>IFERROR(IF($E119=E118,"",MATCH($E119,Festivals!$H$2:$H$160,0)),"")</f>
        <v/>
      </c>
      <c r="AQ119" t="str">
        <f>IF(AP119="","",COUNTIF(Festivals!$H$2:$H$160,$E119))</f>
        <v/>
      </c>
      <c r="AR119" t="str">
        <f ca="1">IFERROR(MATCH(A119,'Holidays Calc'!$I$2:$I$233,0),"")</f>
        <v/>
      </c>
      <c r="AS119">
        <f t="shared" si="11"/>
        <v>1</v>
      </c>
      <c r="AT119">
        <f t="shared" si="10"/>
        <v>1</v>
      </c>
      <c r="AU119" t="str">
        <f t="shared" ca="1" si="12"/>
        <v/>
      </c>
      <c r="AV119">
        <f t="shared" ca="1" si="13"/>
        <v>1</v>
      </c>
    </row>
    <row r="120" spans="1:48" x14ac:dyDescent="0.25">
      <c r="A120" s="265">
        <f t="shared" si="7"/>
        <v>43546</v>
      </c>
      <c r="B120" s="265" t="str">
        <f t="shared" si="14"/>
        <v>22 Mar 2019</v>
      </c>
      <c r="C120" s="267">
        <f t="shared" si="15"/>
        <v>12</v>
      </c>
      <c r="D120">
        <f>MATCH(A120,GCalXMLT[daydate],0)</f>
        <v>119</v>
      </c>
      <c r="E120">
        <f>VALUE("1" &amp; Masacod(INDEX(GCalXMLT[gymasa],D120)) &amp; PaksaCod(INDEX(GCalXMLT[mpaksaid],D120)) &amp; TithiCod(INDEX(GCalXMLT[stithiname],D120)))</f>
        <v>101002</v>
      </c>
      <c r="F120" t="str">
        <f ca="1">INDEX(Parameters!$K$2:$K$16,MATCH(AV120,Parameters!$L$2:$L$16,0))</f>
        <v/>
      </c>
      <c r="G120">
        <f>INDEX(GCalXMLT[fastmark],$D120)</f>
        <v>0</v>
      </c>
      <c r="H120" t="str">
        <f ca="1">INDEX(Parameters!$J$2:$J$16,MATCH(AV120,Parameters!$L$2:$L$16,0))</f>
        <v/>
      </c>
      <c r="I120">
        <f>INDEX(GCalXMLT[dfestival1],$D120)</f>
        <v>0</v>
      </c>
      <c r="J120">
        <f>IF(INDEX(GCalXMLT[dfestival2],$D120)="(Fast today)",INDEX(Festivals!$R$2:$R$180,MATCH($I120,Festivals!$R$2:$R$180,0)+1),INDEX(GCalXMLT[dfestival2],$D120))</f>
        <v>0</v>
      </c>
      <c r="K120">
        <f>IF(I120="Nandotsava","(Fast till noon)",INDEX(GCalXMLT[dfestival3],$D120))</f>
        <v>0</v>
      </c>
      <c r="L120">
        <f>IF(I120="Nandotsava", INDEX(GCalXMLT[dfestival3],$D120),INDEX(GCalXMLT[dfestival4],$D120))</f>
        <v>0</v>
      </c>
      <c r="M120" t="str">
        <f>IFERROR(INDEX(Festivals!$S$2:$S$160,AP120),"")</f>
        <v/>
      </c>
      <c r="N120" t="str">
        <f>IFERROR(IF($AQ120&gt;1,INDEX(Festivals!$S$2:$S$160,$AP120+1),""),"")</f>
        <v/>
      </c>
      <c r="O120" t="str">
        <f>IFERROR(IF($AQ120&gt;2,INDEX(Festivals!$S$2:$S$160,$AP120+2),""),"")</f>
        <v/>
      </c>
      <c r="P120" t="str">
        <f>IFERROR(IF($AQ120&gt;3,INDEX(Festivals!$S$2:$S$160,$AP120+3),""),"")</f>
        <v/>
      </c>
      <c r="Q120" t="str">
        <f>IFERROR(IF($AQ120&gt;4,INDEX(Festivals!$S$2:$S$160,$AP120+4),""),"")</f>
        <v/>
      </c>
      <c r="R120" t="str">
        <f>IFERROR(IF($AQ120&gt;5,INDEX(Festivals!$S$2:$S$160,$AP120+5),""),"")</f>
        <v/>
      </c>
      <c r="S120" t="str">
        <f>IFERROR(IF($AQ120&gt;6,INDEX(Festivals!$S$2:$S$160,$AP120+6),""),"")</f>
        <v/>
      </c>
      <c r="T120">
        <f>INDEX(GCalXMLT[dcaturmasya1],$D120)</f>
        <v>0</v>
      </c>
      <c r="U120">
        <f>INDEX(GCalXMLT[dcaturmasya2],$D120)</f>
        <v>0</v>
      </c>
      <c r="V120" t="str">
        <f>INDEX(GCalXMLT[sankrantirasi],$D120) &amp; " " &amp; INDEX(GCalXMLT[sankrantitime],$D120)</f>
        <v xml:space="preserve"> </v>
      </c>
      <c r="W120" t="str">
        <f ca="1">IFERROR(INDEX('Holidays Calc'!$K$2:$K$233,AR120),"")</f>
        <v/>
      </c>
      <c r="X120" t="str">
        <f ca="1">IF(AR120="","",IF(INDEX('Holidays Calc'!$I$2:$I$233,AR120+1)=A120,INDEX('Holidays Calc'!$K$2:$K$233,AR120+1),""))</f>
        <v/>
      </c>
      <c r="Y120" t="str">
        <f ca="1">IF(AR120="","",IF(INDEX('Holidays Calc'!$I$2:$I$233,AR120+2)=A120,INDEX('Holidays Calc'!$K$2:$K$233,AR120+2),""))</f>
        <v/>
      </c>
      <c r="Z120" t="str">
        <f ca="1">IF(AR120="","",IF(INDEX('Holidays Calc'!$I$2:$I$233,AR120+3)=A120,INDEX('Holidays Calc'!$K$2:$K$2333,AR120+3),""))</f>
        <v/>
      </c>
      <c r="AA120" t="str">
        <f>IF(I120="Last day of Bhisma Pancaka","",IF(G120="*",-0.7,IF(ISBLANK(INDEX(GCalXMLT[dclass1],$D120)),"",INDEX(GCalXMLT[dclass1],$D120))))</f>
        <v/>
      </c>
      <c r="AB120" t="str">
        <f>IF(J120="First day of Bhisma Pancaka","",IF(AND(G120="*",NOT(ISERROR(SEARCH("ekadasi",J120)))),-0.7,IF(ISBLANK(INDEX(GCalXMLT[dclass2],$D120)),"",INDEX(GCalXMLT[dclass2],$D120))))</f>
        <v/>
      </c>
      <c r="AC120" t="str">
        <f>IF(I120="Nandotsava",-1,IF(ISBLANK(INDEX(GCalXMLT[dclass3],$D120)),"",INDEX(GCalXMLT[dclass3],$D120)))</f>
        <v/>
      </c>
      <c r="AD120" t="str">
        <f>IF(I120="Nandotsava",IF(ISBLANK(INDEX(GCalXMLT[dclass3],$D120)),"",INDEX(GCalXMLT[dclass3],$D120)),IF(ISBLANK(INDEX(GCalXMLT[dclass4],$D120)),"",INDEX(GCalXMLT[dclass4],$D120)))</f>
        <v/>
      </c>
      <c r="AE120" t="str">
        <f>IFERROR(INDEX(Festivals!$V$2:$V$160,AP120),"")</f>
        <v/>
      </c>
      <c r="AF120" t="str">
        <f>IFERROR(IF($AQ120&gt;1,INDEX(Festivals!$V$2:$V$160,$AP120+1),""),"")</f>
        <v/>
      </c>
      <c r="AG120" t="str">
        <f>IFERROR(IF($AQ120&gt;2,INDEX(Festivals!$V$2:$V$160,$AP120+2),""),"")</f>
        <v/>
      </c>
      <c r="AH120" t="str">
        <f>IFERROR(IF($AQ120&gt;3,INDEX(Festivals!$V$2:$V$160,$AP120+3),""),"")</f>
        <v/>
      </c>
      <c r="AI120" t="str">
        <f>IFERROR(IF($AQ120&gt;4,INDEX(Festivals!$V$2:$V$160,$AP120+4),""),"")</f>
        <v/>
      </c>
      <c r="AJ120" t="str">
        <f>IFERROR(IF($AQ120&gt;5,INDEX(Festivals!$V$2:$V$160,$AP120+5),""),"")</f>
        <v/>
      </c>
      <c r="AK120" t="str">
        <f>IFERROR(IF($AQ120&gt;6,INDEX(Festivals!$V$2:$V$160,$AP120+6),""),"")</f>
        <v/>
      </c>
      <c r="AL120" t="str">
        <f ca="1">IFERROR(INDEX('Holidays Calc'!$J$2:$J$233,MATCH(A120,'Holidays Calc'!$I$2:$I$233,0)),"")</f>
        <v/>
      </c>
      <c r="AM120" t="str">
        <f ca="1">IF(AR120="","",IF(INDEX('Holidays Calc'!$I$2:$I$233,AR120+1)=A120,INDEX('Holidays Calc'!$J$2:$J$233,AR120+1),""))</f>
        <v/>
      </c>
      <c r="AN120" t="str">
        <f ca="1">IF(AR120="","",IF(INDEX('Holidays Calc'!$I$2:$I$233,AR120+2)=A120,INDEX('Holidays Calc'!$J$2:$J$233,AR120+2),""))</f>
        <v/>
      </c>
      <c r="AO120" t="str">
        <f ca="1">IF(AR120="","",IF(INDEX('Holidays Calc'!$I$2:$I$233,AR120+3)=A120,INDEX('Holidays Calc'!$J$2:$J$233,AR120+3),""))</f>
        <v/>
      </c>
      <c r="AP120" t="str">
        <f>IFERROR(IF($E120=E119,"",MATCH($E120,Festivals!$H$2:$H$160,0)),"")</f>
        <v/>
      </c>
      <c r="AQ120" t="str">
        <f>IF(AP120="","",COUNTIF(Festivals!$H$2:$H$160,$E120))</f>
        <v/>
      </c>
      <c r="AR120" t="str">
        <f ca="1">IFERROR(MATCH(A120,'Holidays Calc'!$I$2:$I$233,0),"")</f>
        <v/>
      </c>
      <c r="AS120" t="str">
        <f t="shared" si="11"/>
        <v/>
      </c>
      <c r="AT120" t="str">
        <f t="shared" si="10"/>
        <v/>
      </c>
      <c r="AU120" t="str">
        <f t="shared" ca="1" si="12"/>
        <v/>
      </c>
      <c r="AV120" t="str">
        <f t="shared" ca="1" si="13"/>
        <v/>
      </c>
    </row>
    <row r="121" spans="1:48" x14ac:dyDescent="0.25">
      <c r="A121" s="265">
        <f t="shared" si="7"/>
        <v>43547</v>
      </c>
      <c r="B121" s="265" t="str">
        <f t="shared" si="14"/>
        <v>23 Mar 2019</v>
      </c>
      <c r="C121" s="267">
        <f t="shared" si="15"/>
        <v>12</v>
      </c>
      <c r="D121">
        <f>MATCH(A121,GCalXMLT[daydate],0)</f>
        <v>120</v>
      </c>
      <c r="E121">
        <f>VALUE("1" &amp; Masacod(INDEX(GCalXMLT[gymasa],D121)) &amp; PaksaCod(INDEX(GCalXMLT[mpaksaid],D121)) &amp; TithiCod(INDEX(GCalXMLT[stithiname],D121)))</f>
        <v>101003</v>
      </c>
      <c r="F121" t="str">
        <f ca="1">INDEX(Parameters!$K$2:$K$16,MATCH(AV121,Parameters!$L$2:$L$16,0))</f>
        <v/>
      </c>
      <c r="G121">
        <f>INDEX(GCalXMLT[fastmark],$D121)</f>
        <v>0</v>
      </c>
      <c r="H121" t="str">
        <f ca="1">INDEX(Parameters!$J$2:$J$16,MATCH(AV121,Parameters!$L$2:$L$16,0))</f>
        <v/>
      </c>
      <c r="I121">
        <f>INDEX(GCalXMLT[dfestival1],$D121)</f>
        <v>0</v>
      </c>
      <c r="J121">
        <f>IF(INDEX(GCalXMLT[dfestival2],$D121)="(Fast today)",INDEX(Festivals!$R$2:$R$180,MATCH($I121,Festivals!$R$2:$R$180,0)+1),INDEX(GCalXMLT[dfestival2],$D121))</f>
        <v>0</v>
      </c>
      <c r="K121">
        <f>IF(I121="Nandotsava","(Fast till noon)",INDEX(GCalXMLT[dfestival3],$D121))</f>
        <v>0</v>
      </c>
      <c r="L121">
        <f>IF(I121="Nandotsava", INDEX(GCalXMLT[dfestival3],$D121),INDEX(GCalXMLT[dfestival4],$D121))</f>
        <v>0</v>
      </c>
      <c r="M121" t="str">
        <f>IFERROR(INDEX(Festivals!$S$2:$S$160,AP121),"")</f>
        <v/>
      </c>
      <c r="N121" t="str">
        <f>IFERROR(IF($AQ121&gt;1,INDEX(Festivals!$S$2:$S$160,$AP121+1),""),"")</f>
        <v/>
      </c>
      <c r="O121" t="str">
        <f>IFERROR(IF($AQ121&gt;2,INDEX(Festivals!$S$2:$S$160,$AP121+2),""),"")</f>
        <v/>
      </c>
      <c r="P121" t="str">
        <f>IFERROR(IF($AQ121&gt;3,INDEX(Festivals!$S$2:$S$160,$AP121+3),""),"")</f>
        <v/>
      </c>
      <c r="Q121" t="str">
        <f>IFERROR(IF($AQ121&gt;4,INDEX(Festivals!$S$2:$S$160,$AP121+4),""),"")</f>
        <v/>
      </c>
      <c r="R121" t="str">
        <f>IFERROR(IF($AQ121&gt;5,INDEX(Festivals!$S$2:$S$160,$AP121+5),""),"")</f>
        <v/>
      </c>
      <c r="S121" t="str">
        <f>IFERROR(IF($AQ121&gt;6,INDEX(Festivals!$S$2:$S$160,$AP121+6),""),"")</f>
        <v/>
      </c>
      <c r="T121">
        <f>INDEX(GCalXMLT[dcaturmasya1],$D121)</f>
        <v>0</v>
      </c>
      <c r="U121">
        <f>INDEX(GCalXMLT[dcaturmasya2],$D121)</f>
        <v>0</v>
      </c>
      <c r="V121" t="str">
        <f>INDEX(GCalXMLT[sankrantirasi],$D121) &amp; " " &amp; INDEX(GCalXMLT[sankrantitime],$D121)</f>
        <v xml:space="preserve"> </v>
      </c>
      <c r="W121" t="str">
        <f ca="1">IFERROR(INDEX('Holidays Calc'!$K$2:$K$233,AR121),"")</f>
        <v/>
      </c>
      <c r="X121" t="str">
        <f ca="1">IF(AR121="","",IF(INDEX('Holidays Calc'!$I$2:$I$233,AR121+1)=A121,INDEX('Holidays Calc'!$K$2:$K$233,AR121+1),""))</f>
        <v/>
      </c>
      <c r="Y121" t="str">
        <f ca="1">IF(AR121="","",IF(INDEX('Holidays Calc'!$I$2:$I$233,AR121+2)=A121,INDEX('Holidays Calc'!$K$2:$K$233,AR121+2),""))</f>
        <v/>
      </c>
      <c r="Z121" t="str">
        <f ca="1">IF(AR121="","",IF(INDEX('Holidays Calc'!$I$2:$I$233,AR121+3)=A121,INDEX('Holidays Calc'!$K$2:$K$2333,AR121+3),""))</f>
        <v/>
      </c>
      <c r="AA121" t="str">
        <f>IF(I121="Last day of Bhisma Pancaka","",IF(G121="*",-0.7,IF(ISBLANK(INDEX(GCalXMLT[dclass1],$D121)),"",INDEX(GCalXMLT[dclass1],$D121))))</f>
        <v/>
      </c>
      <c r="AB121" t="str">
        <f>IF(J121="First day of Bhisma Pancaka","",IF(AND(G121="*",NOT(ISERROR(SEARCH("ekadasi",J121)))),-0.7,IF(ISBLANK(INDEX(GCalXMLT[dclass2],$D121)),"",INDEX(GCalXMLT[dclass2],$D121))))</f>
        <v/>
      </c>
      <c r="AC121" t="str">
        <f>IF(I121="Nandotsava",-1,IF(ISBLANK(INDEX(GCalXMLT[dclass3],$D121)),"",INDEX(GCalXMLT[dclass3],$D121)))</f>
        <v/>
      </c>
      <c r="AD121" t="str">
        <f>IF(I121="Nandotsava",IF(ISBLANK(INDEX(GCalXMLT[dclass3],$D121)),"",INDEX(GCalXMLT[dclass3],$D121)),IF(ISBLANK(INDEX(GCalXMLT[dclass4],$D121)),"",INDEX(GCalXMLT[dclass4],$D121)))</f>
        <v/>
      </c>
      <c r="AE121" t="str">
        <f>IFERROR(INDEX(Festivals!$V$2:$V$160,AP121),"")</f>
        <v/>
      </c>
      <c r="AF121" t="str">
        <f>IFERROR(IF($AQ121&gt;1,INDEX(Festivals!$V$2:$V$160,$AP121+1),""),"")</f>
        <v/>
      </c>
      <c r="AG121" t="str">
        <f>IFERROR(IF($AQ121&gt;2,INDEX(Festivals!$V$2:$V$160,$AP121+2),""),"")</f>
        <v/>
      </c>
      <c r="AH121" t="str">
        <f>IFERROR(IF($AQ121&gt;3,INDEX(Festivals!$V$2:$V$160,$AP121+3),""),"")</f>
        <v/>
      </c>
      <c r="AI121" t="str">
        <f>IFERROR(IF($AQ121&gt;4,INDEX(Festivals!$V$2:$V$160,$AP121+4),""),"")</f>
        <v/>
      </c>
      <c r="AJ121" t="str">
        <f>IFERROR(IF($AQ121&gt;5,INDEX(Festivals!$V$2:$V$160,$AP121+5),""),"")</f>
        <v/>
      </c>
      <c r="AK121" t="str">
        <f>IFERROR(IF($AQ121&gt;6,INDEX(Festivals!$V$2:$V$160,$AP121+6),""),"")</f>
        <v/>
      </c>
      <c r="AL121" t="str">
        <f ca="1">IFERROR(INDEX('Holidays Calc'!$J$2:$J$233,MATCH(A121,'Holidays Calc'!$I$2:$I$233,0)),"")</f>
        <v/>
      </c>
      <c r="AM121" t="str">
        <f ca="1">IF(AR121="","",IF(INDEX('Holidays Calc'!$I$2:$I$233,AR121+1)=A121,INDEX('Holidays Calc'!$J$2:$J$233,AR121+1),""))</f>
        <v/>
      </c>
      <c r="AN121" t="str">
        <f ca="1">IF(AR121="","",IF(INDEX('Holidays Calc'!$I$2:$I$233,AR121+2)=A121,INDEX('Holidays Calc'!$J$2:$J$233,AR121+2),""))</f>
        <v/>
      </c>
      <c r="AO121" t="str">
        <f ca="1">IF(AR121="","",IF(INDEX('Holidays Calc'!$I$2:$I$233,AR121+3)=A121,INDEX('Holidays Calc'!$J$2:$J$233,AR121+3),""))</f>
        <v/>
      </c>
      <c r="AP121" t="str">
        <f>IFERROR(IF($E121=E120,"",MATCH($E121,Festivals!$H$2:$H$160,0)),"")</f>
        <v/>
      </c>
      <c r="AQ121" t="str">
        <f>IF(AP121="","",COUNTIF(Festivals!$H$2:$H$160,$E121))</f>
        <v/>
      </c>
      <c r="AR121" t="str">
        <f ca="1">IFERROR(MATCH(A121,'Holidays Calc'!$I$2:$I$233,0),"")</f>
        <v/>
      </c>
      <c r="AS121" t="str">
        <f t="shared" si="11"/>
        <v/>
      </c>
      <c r="AT121" t="str">
        <f t="shared" si="10"/>
        <v/>
      </c>
      <c r="AU121" t="str">
        <f t="shared" ca="1" si="12"/>
        <v/>
      </c>
      <c r="AV121" t="str">
        <f t="shared" ca="1" si="13"/>
        <v/>
      </c>
    </row>
    <row r="122" spans="1:48" x14ac:dyDescent="0.25">
      <c r="A122" s="265">
        <f t="shared" si="7"/>
        <v>43548</v>
      </c>
      <c r="B122" s="265" t="str">
        <f t="shared" si="14"/>
        <v>24 Mar 2019</v>
      </c>
      <c r="C122" s="267">
        <f t="shared" si="15"/>
        <v>12</v>
      </c>
      <c r="D122">
        <f>MATCH(A122,GCalXMLT[daydate],0)</f>
        <v>121</v>
      </c>
      <c r="E122">
        <f>VALUE("1" &amp; Masacod(INDEX(GCalXMLT[gymasa],D122)) &amp; PaksaCod(INDEX(GCalXMLT[mpaksaid],D122)) &amp; TithiCod(INDEX(GCalXMLT[stithiname],D122)))</f>
        <v>101004</v>
      </c>
      <c r="F122" t="str">
        <f ca="1">INDEX(Parameters!$K$2:$K$16,MATCH(AV122,Parameters!$L$2:$L$16,0))</f>
        <v/>
      </c>
      <c r="G122">
        <f>INDEX(GCalXMLT[fastmark],$D122)</f>
        <v>0</v>
      </c>
      <c r="H122" t="str">
        <f ca="1">INDEX(Parameters!$J$2:$J$16,MATCH(AV122,Parameters!$L$2:$L$16,0))</f>
        <v/>
      </c>
      <c r="I122">
        <f>INDEX(GCalXMLT[dfestival1],$D122)</f>
        <v>0</v>
      </c>
      <c r="J122">
        <f>IF(INDEX(GCalXMLT[dfestival2],$D122)="(Fast today)",INDEX(Festivals!$R$2:$R$180,MATCH($I122,Festivals!$R$2:$R$180,0)+1),INDEX(GCalXMLT[dfestival2],$D122))</f>
        <v>0</v>
      </c>
      <c r="K122">
        <f>IF(I122="Nandotsava","(Fast till noon)",INDEX(GCalXMLT[dfestival3],$D122))</f>
        <v>0</v>
      </c>
      <c r="L122">
        <f>IF(I122="Nandotsava", INDEX(GCalXMLT[dfestival3],$D122),INDEX(GCalXMLT[dfestival4],$D122))</f>
        <v>0</v>
      </c>
      <c r="M122" t="str">
        <f>IFERROR(INDEX(Festivals!$S$2:$S$160,AP122),"")</f>
        <v/>
      </c>
      <c r="N122" t="str">
        <f>IFERROR(IF($AQ122&gt;1,INDEX(Festivals!$S$2:$S$160,$AP122+1),""),"")</f>
        <v/>
      </c>
      <c r="O122" t="str">
        <f>IFERROR(IF($AQ122&gt;2,INDEX(Festivals!$S$2:$S$160,$AP122+2),""),"")</f>
        <v/>
      </c>
      <c r="P122" t="str">
        <f>IFERROR(IF($AQ122&gt;3,INDEX(Festivals!$S$2:$S$160,$AP122+3),""),"")</f>
        <v/>
      </c>
      <c r="Q122" t="str">
        <f>IFERROR(IF($AQ122&gt;4,INDEX(Festivals!$S$2:$S$160,$AP122+4),""),"")</f>
        <v/>
      </c>
      <c r="R122" t="str">
        <f>IFERROR(IF($AQ122&gt;5,INDEX(Festivals!$S$2:$S$160,$AP122+5),""),"")</f>
        <v/>
      </c>
      <c r="S122" t="str">
        <f>IFERROR(IF($AQ122&gt;6,INDEX(Festivals!$S$2:$S$160,$AP122+6),""),"")</f>
        <v/>
      </c>
      <c r="T122">
        <f>INDEX(GCalXMLT[dcaturmasya1],$D122)</f>
        <v>0</v>
      </c>
      <c r="U122">
        <f>INDEX(GCalXMLT[dcaturmasya2],$D122)</f>
        <v>0</v>
      </c>
      <c r="V122" t="str">
        <f>INDEX(GCalXMLT[sankrantirasi],$D122) &amp; " " &amp; INDEX(GCalXMLT[sankrantitime],$D122)</f>
        <v xml:space="preserve"> </v>
      </c>
      <c r="W122" t="str">
        <f ca="1">IFERROR(INDEX('Holidays Calc'!$K$2:$K$233,AR122),"")</f>
        <v/>
      </c>
      <c r="X122" t="str">
        <f ca="1">IF(AR122="","",IF(INDEX('Holidays Calc'!$I$2:$I$233,AR122+1)=A122,INDEX('Holidays Calc'!$K$2:$K$233,AR122+1),""))</f>
        <v/>
      </c>
      <c r="Y122" t="str">
        <f ca="1">IF(AR122="","",IF(INDEX('Holidays Calc'!$I$2:$I$233,AR122+2)=A122,INDEX('Holidays Calc'!$K$2:$K$233,AR122+2),""))</f>
        <v/>
      </c>
      <c r="Z122" t="str">
        <f ca="1">IF(AR122="","",IF(INDEX('Holidays Calc'!$I$2:$I$233,AR122+3)=A122,INDEX('Holidays Calc'!$K$2:$K$2333,AR122+3),""))</f>
        <v/>
      </c>
      <c r="AA122" t="str">
        <f>IF(I122="Last day of Bhisma Pancaka","",IF(G122="*",-0.7,IF(ISBLANK(INDEX(GCalXMLT[dclass1],$D122)),"",INDEX(GCalXMLT[dclass1],$D122))))</f>
        <v/>
      </c>
      <c r="AB122" t="str">
        <f>IF(J122="First day of Bhisma Pancaka","",IF(AND(G122="*",NOT(ISERROR(SEARCH("ekadasi",J122)))),-0.7,IF(ISBLANK(INDEX(GCalXMLT[dclass2],$D122)),"",INDEX(GCalXMLT[dclass2],$D122))))</f>
        <v/>
      </c>
      <c r="AC122" t="str">
        <f>IF(I122="Nandotsava",-1,IF(ISBLANK(INDEX(GCalXMLT[dclass3],$D122)),"",INDEX(GCalXMLT[dclass3],$D122)))</f>
        <v/>
      </c>
      <c r="AD122" t="str">
        <f>IF(I122="Nandotsava",IF(ISBLANK(INDEX(GCalXMLT[dclass3],$D122)),"",INDEX(GCalXMLT[dclass3],$D122)),IF(ISBLANK(INDEX(GCalXMLT[dclass4],$D122)),"",INDEX(GCalXMLT[dclass4],$D122)))</f>
        <v/>
      </c>
      <c r="AE122" t="str">
        <f>IFERROR(INDEX(Festivals!$V$2:$V$160,AP122),"")</f>
        <v/>
      </c>
      <c r="AF122" t="str">
        <f>IFERROR(IF($AQ122&gt;1,INDEX(Festivals!$V$2:$V$160,$AP122+1),""),"")</f>
        <v/>
      </c>
      <c r="AG122" t="str">
        <f>IFERROR(IF($AQ122&gt;2,INDEX(Festivals!$V$2:$V$160,$AP122+2),""),"")</f>
        <v/>
      </c>
      <c r="AH122" t="str">
        <f>IFERROR(IF($AQ122&gt;3,INDEX(Festivals!$V$2:$V$160,$AP122+3),""),"")</f>
        <v/>
      </c>
      <c r="AI122" t="str">
        <f>IFERROR(IF($AQ122&gt;4,INDEX(Festivals!$V$2:$V$160,$AP122+4),""),"")</f>
        <v/>
      </c>
      <c r="AJ122" t="str">
        <f>IFERROR(IF($AQ122&gt;5,INDEX(Festivals!$V$2:$V$160,$AP122+5),""),"")</f>
        <v/>
      </c>
      <c r="AK122" t="str">
        <f>IFERROR(IF($AQ122&gt;6,INDEX(Festivals!$V$2:$V$160,$AP122+6),""),"")</f>
        <v/>
      </c>
      <c r="AL122" t="str">
        <f ca="1">IFERROR(INDEX('Holidays Calc'!$J$2:$J$233,MATCH(A122,'Holidays Calc'!$I$2:$I$233,0)),"")</f>
        <v/>
      </c>
      <c r="AM122" t="str">
        <f ca="1">IF(AR122="","",IF(INDEX('Holidays Calc'!$I$2:$I$233,AR122+1)=A122,INDEX('Holidays Calc'!$J$2:$J$233,AR122+1),""))</f>
        <v/>
      </c>
      <c r="AN122" t="str">
        <f ca="1">IF(AR122="","",IF(INDEX('Holidays Calc'!$I$2:$I$233,AR122+2)=A122,INDEX('Holidays Calc'!$J$2:$J$233,AR122+2),""))</f>
        <v/>
      </c>
      <c r="AO122" t="str">
        <f ca="1">IF(AR122="","",IF(INDEX('Holidays Calc'!$I$2:$I$233,AR122+3)=A122,INDEX('Holidays Calc'!$J$2:$J$233,AR122+3),""))</f>
        <v/>
      </c>
      <c r="AP122" t="str">
        <f>IFERROR(IF($E122=E121,"",MATCH($E122,Festivals!$H$2:$H$160,0)),"")</f>
        <v/>
      </c>
      <c r="AQ122" t="str">
        <f>IF(AP122="","",COUNTIF(Festivals!$H$2:$H$160,$E122))</f>
        <v/>
      </c>
      <c r="AR122" t="str">
        <f ca="1">IFERROR(MATCH(A122,'Holidays Calc'!$I$2:$I$233,0),"")</f>
        <v/>
      </c>
      <c r="AS122" t="str">
        <f t="shared" si="11"/>
        <v/>
      </c>
      <c r="AT122" t="str">
        <f t="shared" si="10"/>
        <v/>
      </c>
      <c r="AU122" t="str">
        <f t="shared" ca="1" si="12"/>
        <v/>
      </c>
      <c r="AV122" t="str">
        <f t="shared" ca="1" si="13"/>
        <v/>
      </c>
    </row>
    <row r="123" spans="1:48" x14ac:dyDescent="0.25">
      <c r="A123" s="265">
        <f t="shared" si="7"/>
        <v>43549</v>
      </c>
      <c r="B123" s="265" t="str">
        <f t="shared" si="14"/>
        <v>25 Mar 2019</v>
      </c>
      <c r="C123" s="267">
        <f t="shared" si="15"/>
        <v>13</v>
      </c>
      <c r="D123">
        <f>MATCH(A123,GCalXMLT[daydate],0)</f>
        <v>122</v>
      </c>
      <c r="E123">
        <f>VALUE("1" &amp; Masacod(INDEX(GCalXMLT[gymasa],D123)) &amp; PaksaCod(INDEX(GCalXMLT[mpaksaid],D123)) &amp; TithiCod(INDEX(GCalXMLT[stithiname],D123)))</f>
        <v>101005</v>
      </c>
      <c r="F123" t="str">
        <f ca="1">INDEX(Parameters!$K$2:$K$16,MATCH(AV123,Parameters!$L$2:$L$16,0))</f>
        <v/>
      </c>
      <c r="G123">
        <f>INDEX(GCalXMLT[fastmark],$D123)</f>
        <v>0</v>
      </c>
      <c r="H123" t="str">
        <f ca="1">INDEX(Parameters!$J$2:$J$16,MATCH(AV123,Parameters!$L$2:$L$16,0))</f>
        <v/>
      </c>
      <c r="I123">
        <f>INDEX(GCalXMLT[dfestival1],$D123)</f>
        <v>0</v>
      </c>
      <c r="J123">
        <f>IF(INDEX(GCalXMLT[dfestival2],$D123)="(Fast today)",INDEX(Festivals!$R$2:$R$180,MATCH($I123,Festivals!$R$2:$R$180,0)+1),INDEX(GCalXMLT[dfestival2],$D123))</f>
        <v>0</v>
      </c>
      <c r="K123">
        <f>IF(I123="Nandotsava","(Fast till noon)",INDEX(GCalXMLT[dfestival3],$D123))</f>
        <v>0</v>
      </c>
      <c r="L123">
        <f>IF(I123="Nandotsava", INDEX(GCalXMLT[dfestival3],$D123),INDEX(GCalXMLT[dfestival4],$D123))</f>
        <v>0</v>
      </c>
      <c r="M123" t="str">
        <f>IFERROR(INDEX(Festivals!$S$2:$S$160,AP123),"")</f>
        <v/>
      </c>
      <c r="N123" t="str">
        <f>IFERROR(IF($AQ123&gt;1,INDEX(Festivals!$S$2:$S$160,$AP123+1),""),"")</f>
        <v/>
      </c>
      <c r="O123" t="str">
        <f>IFERROR(IF($AQ123&gt;2,INDEX(Festivals!$S$2:$S$160,$AP123+2),""),"")</f>
        <v/>
      </c>
      <c r="P123" t="str">
        <f>IFERROR(IF($AQ123&gt;3,INDEX(Festivals!$S$2:$S$160,$AP123+3),""),"")</f>
        <v/>
      </c>
      <c r="Q123" t="str">
        <f>IFERROR(IF($AQ123&gt;4,INDEX(Festivals!$S$2:$S$160,$AP123+4),""),"")</f>
        <v/>
      </c>
      <c r="R123" t="str">
        <f>IFERROR(IF($AQ123&gt;5,INDEX(Festivals!$S$2:$S$160,$AP123+5),""),"")</f>
        <v/>
      </c>
      <c r="S123" t="str">
        <f>IFERROR(IF($AQ123&gt;6,INDEX(Festivals!$S$2:$S$160,$AP123+6),""),"")</f>
        <v/>
      </c>
      <c r="T123">
        <f>INDEX(GCalXMLT[dcaturmasya1],$D123)</f>
        <v>0</v>
      </c>
      <c r="U123">
        <f>INDEX(GCalXMLT[dcaturmasya2],$D123)</f>
        <v>0</v>
      </c>
      <c r="V123" t="str">
        <f>INDEX(GCalXMLT[sankrantirasi],$D123) &amp; " " &amp; INDEX(GCalXMLT[sankrantitime],$D123)</f>
        <v xml:space="preserve"> </v>
      </c>
      <c r="W123" t="str">
        <f ca="1">IFERROR(INDEX('Holidays Calc'!$K$2:$K$233,AR123),"")</f>
        <v/>
      </c>
      <c r="X123" t="str">
        <f ca="1">IF(AR123="","",IF(INDEX('Holidays Calc'!$I$2:$I$233,AR123+1)=A123,INDEX('Holidays Calc'!$K$2:$K$233,AR123+1),""))</f>
        <v/>
      </c>
      <c r="Y123" t="str">
        <f ca="1">IF(AR123="","",IF(INDEX('Holidays Calc'!$I$2:$I$233,AR123+2)=A123,INDEX('Holidays Calc'!$K$2:$K$233,AR123+2),""))</f>
        <v/>
      </c>
      <c r="Z123" t="str">
        <f ca="1">IF(AR123="","",IF(INDEX('Holidays Calc'!$I$2:$I$233,AR123+3)=A123,INDEX('Holidays Calc'!$K$2:$K$2333,AR123+3),""))</f>
        <v/>
      </c>
      <c r="AA123" t="str">
        <f>IF(I123="Last day of Bhisma Pancaka","",IF(G123="*",-0.7,IF(ISBLANK(INDEX(GCalXMLT[dclass1],$D123)),"",INDEX(GCalXMLT[dclass1],$D123))))</f>
        <v/>
      </c>
      <c r="AB123" t="str">
        <f>IF(J123="First day of Bhisma Pancaka","",IF(AND(G123="*",NOT(ISERROR(SEARCH("ekadasi",J123)))),-0.7,IF(ISBLANK(INDEX(GCalXMLT[dclass2],$D123)),"",INDEX(GCalXMLT[dclass2],$D123))))</f>
        <v/>
      </c>
      <c r="AC123" t="str">
        <f>IF(I123="Nandotsava",-1,IF(ISBLANK(INDEX(GCalXMLT[dclass3],$D123)),"",INDEX(GCalXMLT[dclass3],$D123)))</f>
        <v/>
      </c>
      <c r="AD123" t="str">
        <f>IF(I123="Nandotsava",IF(ISBLANK(INDEX(GCalXMLT[dclass3],$D123)),"",INDEX(GCalXMLT[dclass3],$D123)),IF(ISBLANK(INDEX(GCalXMLT[dclass4],$D123)),"",INDEX(GCalXMLT[dclass4],$D123)))</f>
        <v/>
      </c>
      <c r="AE123" t="str">
        <f>IFERROR(INDEX(Festivals!$V$2:$V$160,AP123),"")</f>
        <v/>
      </c>
      <c r="AF123" t="str">
        <f>IFERROR(IF($AQ123&gt;1,INDEX(Festivals!$V$2:$V$160,$AP123+1),""),"")</f>
        <v/>
      </c>
      <c r="AG123" t="str">
        <f>IFERROR(IF($AQ123&gt;2,INDEX(Festivals!$V$2:$V$160,$AP123+2),""),"")</f>
        <v/>
      </c>
      <c r="AH123" t="str">
        <f>IFERROR(IF($AQ123&gt;3,INDEX(Festivals!$V$2:$V$160,$AP123+3),""),"")</f>
        <v/>
      </c>
      <c r="AI123" t="str">
        <f>IFERROR(IF($AQ123&gt;4,INDEX(Festivals!$V$2:$V$160,$AP123+4),""),"")</f>
        <v/>
      </c>
      <c r="AJ123" t="str">
        <f>IFERROR(IF($AQ123&gt;5,INDEX(Festivals!$V$2:$V$160,$AP123+5),""),"")</f>
        <v/>
      </c>
      <c r="AK123" t="str">
        <f>IFERROR(IF($AQ123&gt;6,INDEX(Festivals!$V$2:$V$160,$AP123+6),""),"")</f>
        <v/>
      </c>
      <c r="AL123" t="str">
        <f ca="1">IFERROR(INDEX('Holidays Calc'!$J$2:$J$233,MATCH(A123,'Holidays Calc'!$I$2:$I$233,0)),"")</f>
        <v/>
      </c>
      <c r="AM123" t="str">
        <f ca="1">IF(AR123="","",IF(INDEX('Holidays Calc'!$I$2:$I$233,AR123+1)=A123,INDEX('Holidays Calc'!$J$2:$J$233,AR123+1),""))</f>
        <v/>
      </c>
      <c r="AN123" t="str">
        <f ca="1">IF(AR123="","",IF(INDEX('Holidays Calc'!$I$2:$I$233,AR123+2)=A123,INDEX('Holidays Calc'!$J$2:$J$233,AR123+2),""))</f>
        <v/>
      </c>
      <c r="AO123" t="str">
        <f ca="1">IF(AR123="","",IF(INDEX('Holidays Calc'!$I$2:$I$233,AR123+3)=A123,INDEX('Holidays Calc'!$J$2:$J$233,AR123+3),""))</f>
        <v/>
      </c>
      <c r="AP123" t="str">
        <f>IFERROR(IF($E123=E122,"",MATCH($E123,Festivals!$H$2:$H$160,0)),"")</f>
        <v/>
      </c>
      <c r="AQ123" t="str">
        <f>IF(AP123="","",COUNTIF(Festivals!$H$2:$H$160,$E123))</f>
        <v/>
      </c>
      <c r="AR123" t="str">
        <f ca="1">IFERROR(MATCH(A123,'Holidays Calc'!$I$2:$I$233,0),"")</f>
        <v/>
      </c>
      <c r="AS123" t="str">
        <f t="shared" si="11"/>
        <v/>
      </c>
      <c r="AT123" t="str">
        <f t="shared" si="10"/>
        <v/>
      </c>
      <c r="AU123" t="str">
        <f t="shared" ca="1" si="12"/>
        <v/>
      </c>
      <c r="AV123" t="str">
        <f t="shared" ca="1" si="13"/>
        <v/>
      </c>
    </row>
    <row r="124" spans="1:48" x14ac:dyDescent="0.25">
      <c r="A124" s="265">
        <f t="shared" si="7"/>
        <v>43550</v>
      </c>
      <c r="B124" s="265" t="str">
        <f t="shared" si="14"/>
        <v>26 Mar 2019</v>
      </c>
      <c r="C124" s="267">
        <f t="shared" si="15"/>
        <v>13</v>
      </c>
      <c r="D124">
        <f>MATCH(A124,GCalXMLT[daydate],0)</f>
        <v>123</v>
      </c>
      <c r="E124">
        <f>VALUE("1" &amp; Masacod(INDEX(GCalXMLT[gymasa],D124)) &amp; PaksaCod(INDEX(GCalXMLT[mpaksaid],D124)) &amp; TithiCod(INDEX(GCalXMLT[stithiname],D124)))</f>
        <v>101006</v>
      </c>
      <c r="F124" t="str">
        <f ca="1">INDEX(Parameters!$K$2:$K$16,MATCH(AV124,Parameters!$L$2:$L$16,0))</f>
        <v/>
      </c>
      <c r="G124">
        <f>INDEX(GCalXMLT[fastmark],$D124)</f>
        <v>0</v>
      </c>
      <c r="H124" t="str">
        <f ca="1">INDEX(Parameters!$J$2:$J$16,MATCH(AV124,Parameters!$L$2:$L$16,0))</f>
        <v/>
      </c>
      <c r="I124">
        <f>INDEX(GCalXMLT[dfestival1],$D124)</f>
        <v>0</v>
      </c>
      <c r="J124">
        <f>IF(INDEX(GCalXMLT[dfestival2],$D124)="(Fast today)",INDEX(Festivals!$R$2:$R$180,MATCH($I124,Festivals!$R$2:$R$180,0)+1),INDEX(GCalXMLT[dfestival2],$D124))</f>
        <v>0</v>
      </c>
      <c r="K124">
        <f>IF(I124="Nandotsava","(Fast till noon)",INDEX(GCalXMLT[dfestival3],$D124))</f>
        <v>0</v>
      </c>
      <c r="L124">
        <f>IF(I124="Nandotsava", INDEX(GCalXMLT[dfestival3],$D124),INDEX(GCalXMLT[dfestival4],$D124))</f>
        <v>0</v>
      </c>
      <c r="M124" t="str">
        <f>IFERROR(INDEX(Festivals!$S$2:$S$160,AP124),"")</f>
        <v/>
      </c>
      <c r="N124" t="str">
        <f>IFERROR(IF($AQ124&gt;1,INDEX(Festivals!$S$2:$S$160,$AP124+1),""),"")</f>
        <v/>
      </c>
      <c r="O124" t="str">
        <f>IFERROR(IF($AQ124&gt;2,INDEX(Festivals!$S$2:$S$160,$AP124+2),""),"")</f>
        <v/>
      </c>
      <c r="P124" t="str">
        <f>IFERROR(IF($AQ124&gt;3,INDEX(Festivals!$S$2:$S$160,$AP124+3),""),"")</f>
        <v/>
      </c>
      <c r="Q124" t="str">
        <f>IFERROR(IF($AQ124&gt;4,INDEX(Festivals!$S$2:$S$160,$AP124+4),""),"")</f>
        <v/>
      </c>
      <c r="R124" t="str">
        <f>IFERROR(IF($AQ124&gt;5,INDEX(Festivals!$S$2:$S$160,$AP124+5),""),"")</f>
        <v/>
      </c>
      <c r="S124" t="str">
        <f>IFERROR(IF($AQ124&gt;6,INDEX(Festivals!$S$2:$S$160,$AP124+6),""),"")</f>
        <v/>
      </c>
      <c r="T124">
        <f>INDEX(GCalXMLT[dcaturmasya1],$D124)</f>
        <v>0</v>
      </c>
      <c r="U124">
        <f>INDEX(GCalXMLT[dcaturmasya2],$D124)</f>
        <v>0</v>
      </c>
      <c r="V124" t="str">
        <f>INDEX(GCalXMLT[sankrantirasi],$D124) &amp; " " &amp; INDEX(GCalXMLT[sankrantitime],$D124)</f>
        <v xml:space="preserve"> </v>
      </c>
      <c r="W124" t="str">
        <f ca="1">IFERROR(INDEX('Holidays Calc'!$K$2:$K$233,AR124),"")</f>
        <v/>
      </c>
      <c r="X124" t="str">
        <f ca="1">IF(AR124="","",IF(INDEX('Holidays Calc'!$I$2:$I$233,AR124+1)=A124,INDEX('Holidays Calc'!$K$2:$K$233,AR124+1),""))</f>
        <v/>
      </c>
      <c r="Y124" t="str">
        <f ca="1">IF(AR124="","",IF(INDEX('Holidays Calc'!$I$2:$I$233,AR124+2)=A124,INDEX('Holidays Calc'!$K$2:$K$233,AR124+2),""))</f>
        <v/>
      </c>
      <c r="Z124" t="str">
        <f ca="1">IF(AR124="","",IF(INDEX('Holidays Calc'!$I$2:$I$233,AR124+3)=A124,INDEX('Holidays Calc'!$K$2:$K$2333,AR124+3),""))</f>
        <v/>
      </c>
      <c r="AA124" t="str">
        <f>IF(I124="Last day of Bhisma Pancaka","",IF(G124="*",-0.7,IF(ISBLANK(INDEX(GCalXMLT[dclass1],$D124)),"",INDEX(GCalXMLT[dclass1],$D124))))</f>
        <v/>
      </c>
      <c r="AB124" t="str">
        <f>IF(J124="First day of Bhisma Pancaka","",IF(AND(G124="*",NOT(ISERROR(SEARCH("ekadasi",J124)))),-0.7,IF(ISBLANK(INDEX(GCalXMLT[dclass2],$D124)),"",INDEX(GCalXMLT[dclass2],$D124))))</f>
        <v/>
      </c>
      <c r="AC124" t="str">
        <f>IF(I124="Nandotsava",-1,IF(ISBLANK(INDEX(GCalXMLT[dclass3],$D124)),"",INDEX(GCalXMLT[dclass3],$D124)))</f>
        <v/>
      </c>
      <c r="AD124" t="str">
        <f>IF(I124="Nandotsava",IF(ISBLANK(INDEX(GCalXMLT[dclass3],$D124)),"",INDEX(GCalXMLT[dclass3],$D124)),IF(ISBLANK(INDEX(GCalXMLT[dclass4],$D124)),"",INDEX(GCalXMLT[dclass4],$D124)))</f>
        <v/>
      </c>
      <c r="AE124" t="str">
        <f>IFERROR(INDEX(Festivals!$V$2:$V$160,AP124),"")</f>
        <v/>
      </c>
      <c r="AF124" t="str">
        <f>IFERROR(IF($AQ124&gt;1,INDEX(Festivals!$V$2:$V$160,$AP124+1),""),"")</f>
        <v/>
      </c>
      <c r="AG124" t="str">
        <f>IFERROR(IF($AQ124&gt;2,INDEX(Festivals!$V$2:$V$160,$AP124+2),""),"")</f>
        <v/>
      </c>
      <c r="AH124" t="str">
        <f>IFERROR(IF($AQ124&gt;3,INDEX(Festivals!$V$2:$V$160,$AP124+3),""),"")</f>
        <v/>
      </c>
      <c r="AI124" t="str">
        <f>IFERROR(IF($AQ124&gt;4,INDEX(Festivals!$V$2:$V$160,$AP124+4),""),"")</f>
        <v/>
      </c>
      <c r="AJ124" t="str">
        <f>IFERROR(IF($AQ124&gt;5,INDEX(Festivals!$V$2:$V$160,$AP124+5),""),"")</f>
        <v/>
      </c>
      <c r="AK124" t="str">
        <f>IFERROR(IF($AQ124&gt;6,INDEX(Festivals!$V$2:$V$160,$AP124+6),""),"")</f>
        <v/>
      </c>
      <c r="AL124" t="str">
        <f ca="1">IFERROR(INDEX('Holidays Calc'!$J$2:$J$233,MATCH(A124,'Holidays Calc'!$I$2:$I$233,0)),"")</f>
        <v/>
      </c>
      <c r="AM124" t="str">
        <f ca="1">IF(AR124="","",IF(INDEX('Holidays Calc'!$I$2:$I$233,AR124+1)=A124,INDEX('Holidays Calc'!$J$2:$J$233,AR124+1),""))</f>
        <v/>
      </c>
      <c r="AN124" t="str">
        <f ca="1">IF(AR124="","",IF(INDEX('Holidays Calc'!$I$2:$I$233,AR124+2)=A124,INDEX('Holidays Calc'!$J$2:$J$233,AR124+2),""))</f>
        <v/>
      </c>
      <c r="AO124" t="str">
        <f ca="1">IF(AR124="","",IF(INDEX('Holidays Calc'!$I$2:$I$233,AR124+3)=A124,INDEX('Holidays Calc'!$J$2:$J$233,AR124+3),""))</f>
        <v/>
      </c>
      <c r="AP124" t="str">
        <f>IFERROR(IF($E124=E123,"",MATCH($E124,Festivals!$H$2:$H$160,0)),"")</f>
        <v/>
      </c>
      <c r="AQ124" t="str">
        <f>IF(AP124="","",COUNTIF(Festivals!$H$2:$H$160,$E124))</f>
        <v/>
      </c>
      <c r="AR124" t="str">
        <f ca="1">IFERROR(MATCH(A124,'Holidays Calc'!$I$2:$I$233,0),"")</f>
        <v/>
      </c>
      <c r="AS124" t="str">
        <f t="shared" si="11"/>
        <v/>
      </c>
      <c r="AT124" t="str">
        <f t="shared" si="10"/>
        <v/>
      </c>
      <c r="AU124" t="str">
        <f t="shared" ca="1" si="12"/>
        <v/>
      </c>
      <c r="AV124" t="str">
        <f t="shared" ca="1" si="13"/>
        <v/>
      </c>
    </row>
    <row r="125" spans="1:48" x14ac:dyDescent="0.25">
      <c r="A125" s="265">
        <f t="shared" si="7"/>
        <v>43551</v>
      </c>
      <c r="B125" s="265" t="str">
        <f t="shared" si="14"/>
        <v>27 Mar 2019</v>
      </c>
      <c r="C125" s="267">
        <f t="shared" si="15"/>
        <v>13</v>
      </c>
      <c r="D125">
        <f>MATCH(A125,GCalXMLT[daydate],0)</f>
        <v>124</v>
      </c>
      <c r="E125">
        <f>VALUE("1" &amp; Masacod(INDEX(GCalXMLT[gymasa],D125)) &amp; PaksaCod(INDEX(GCalXMLT[mpaksaid],D125)) &amp; TithiCod(INDEX(GCalXMLT[stithiname],D125)))</f>
        <v>101007</v>
      </c>
      <c r="F125" t="str">
        <f ca="1">INDEX(Parameters!$K$2:$K$16,MATCH(AV125,Parameters!$L$2:$L$16,0))</f>
        <v/>
      </c>
      <c r="G125">
        <f>INDEX(GCalXMLT[fastmark],$D125)</f>
        <v>0</v>
      </c>
      <c r="H125" t="str">
        <f ca="1">INDEX(Parameters!$J$2:$J$16,MATCH(AV125,Parameters!$L$2:$L$16,0))</f>
        <v/>
      </c>
      <c r="I125">
        <f>INDEX(GCalXMLT[dfestival1],$D125)</f>
        <v>0</v>
      </c>
      <c r="J125">
        <f>IF(INDEX(GCalXMLT[dfestival2],$D125)="(Fast today)",INDEX(Festivals!$R$2:$R$180,MATCH($I125,Festivals!$R$2:$R$180,0)+1),INDEX(GCalXMLT[dfestival2],$D125))</f>
        <v>0</v>
      </c>
      <c r="K125">
        <f>IF(I125="Nandotsava","(Fast till noon)",INDEX(GCalXMLT[dfestival3],$D125))</f>
        <v>0</v>
      </c>
      <c r="L125">
        <f>IF(I125="Nandotsava", INDEX(GCalXMLT[dfestival3],$D125),INDEX(GCalXMLT[dfestival4],$D125))</f>
        <v>0</v>
      </c>
      <c r="M125" t="str">
        <f>IFERROR(INDEX(Festivals!$S$2:$S$160,AP125),"")</f>
        <v/>
      </c>
      <c r="N125" t="str">
        <f>IFERROR(IF($AQ125&gt;1,INDEX(Festivals!$S$2:$S$160,$AP125+1),""),"")</f>
        <v/>
      </c>
      <c r="O125" t="str">
        <f>IFERROR(IF($AQ125&gt;2,INDEX(Festivals!$S$2:$S$160,$AP125+2),""),"")</f>
        <v/>
      </c>
      <c r="P125" t="str">
        <f>IFERROR(IF($AQ125&gt;3,INDEX(Festivals!$S$2:$S$160,$AP125+3),""),"")</f>
        <v/>
      </c>
      <c r="Q125" t="str">
        <f>IFERROR(IF($AQ125&gt;4,INDEX(Festivals!$S$2:$S$160,$AP125+4),""),"")</f>
        <v/>
      </c>
      <c r="R125" t="str">
        <f>IFERROR(IF($AQ125&gt;5,INDEX(Festivals!$S$2:$S$160,$AP125+5),""),"")</f>
        <v/>
      </c>
      <c r="S125" t="str">
        <f>IFERROR(IF($AQ125&gt;6,INDEX(Festivals!$S$2:$S$160,$AP125+6),""),"")</f>
        <v/>
      </c>
      <c r="T125">
        <f>INDEX(GCalXMLT[dcaturmasya1],$D125)</f>
        <v>0</v>
      </c>
      <c r="U125">
        <f>INDEX(GCalXMLT[dcaturmasya2],$D125)</f>
        <v>0</v>
      </c>
      <c r="V125" t="str">
        <f>INDEX(GCalXMLT[sankrantirasi],$D125) &amp; " " &amp; INDEX(GCalXMLT[sankrantitime],$D125)</f>
        <v xml:space="preserve"> </v>
      </c>
      <c r="W125" t="str">
        <f ca="1">IFERROR(INDEX('Holidays Calc'!$K$2:$K$233,AR125),"")</f>
        <v/>
      </c>
      <c r="X125" t="str">
        <f ca="1">IF(AR125="","",IF(INDEX('Holidays Calc'!$I$2:$I$233,AR125+1)=A125,INDEX('Holidays Calc'!$K$2:$K$233,AR125+1),""))</f>
        <v/>
      </c>
      <c r="Y125" t="str">
        <f ca="1">IF(AR125="","",IF(INDEX('Holidays Calc'!$I$2:$I$233,AR125+2)=A125,INDEX('Holidays Calc'!$K$2:$K$233,AR125+2),""))</f>
        <v/>
      </c>
      <c r="Z125" t="str">
        <f ca="1">IF(AR125="","",IF(INDEX('Holidays Calc'!$I$2:$I$233,AR125+3)=A125,INDEX('Holidays Calc'!$K$2:$K$2333,AR125+3),""))</f>
        <v/>
      </c>
      <c r="AA125" t="str">
        <f>IF(I125="Last day of Bhisma Pancaka","",IF(G125="*",-0.7,IF(ISBLANK(INDEX(GCalXMLT[dclass1],$D125)),"",INDEX(GCalXMLT[dclass1],$D125))))</f>
        <v/>
      </c>
      <c r="AB125" t="str">
        <f>IF(J125="First day of Bhisma Pancaka","",IF(AND(G125="*",NOT(ISERROR(SEARCH("ekadasi",J125)))),-0.7,IF(ISBLANK(INDEX(GCalXMLT[dclass2],$D125)),"",INDEX(GCalXMLT[dclass2],$D125))))</f>
        <v/>
      </c>
      <c r="AC125" t="str">
        <f>IF(I125="Nandotsava",-1,IF(ISBLANK(INDEX(GCalXMLT[dclass3],$D125)),"",INDEX(GCalXMLT[dclass3],$D125)))</f>
        <v/>
      </c>
      <c r="AD125" t="str">
        <f>IF(I125="Nandotsava",IF(ISBLANK(INDEX(GCalXMLT[dclass3],$D125)),"",INDEX(GCalXMLT[dclass3],$D125)),IF(ISBLANK(INDEX(GCalXMLT[dclass4],$D125)),"",INDEX(GCalXMLT[dclass4],$D125)))</f>
        <v/>
      </c>
      <c r="AE125" t="str">
        <f>IFERROR(INDEX(Festivals!$V$2:$V$160,AP125),"")</f>
        <v/>
      </c>
      <c r="AF125" t="str">
        <f>IFERROR(IF($AQ125&gt;1,INDEX(Festivals!$V$2:$V$160,$AP125+1),""),"")</f>
        <v/>
      </c>
      <c r="AG125" t="str">
        <f>IFERROR(IF($AQ125&gt;2,INDEX(Festivals!$V$2:$V$160,$AP125+2),""),"")</f>
        <v/>
      </c>
      <c r="AH125" t="str">
        <f>IFERROR(IF($AQ125&gt;3,INDEX(Festivals!$V$2:$V$160,$AP125+3),""),"")</f>
        <v/>
      </c>
      <c r="AI125" t="str">
        <f>IFERROR(IF($AQ125&gt;4,INDEX(Festivals!$V$2:$V$160,$AP125+4),""),"")</f>
        <v/>
      </c>
      <c r="AJ125" t="str">
        <f>IFERROR(IF($AQ125&gt;5,INDEX(Festivals!$V$2:$V$160,$AP125+5),""),"")</f>
        <v/>
      </c>
      <c r="AK125" t="str">
        <f>IFERROR(IF($AQ125&gt;6,INDEX(Festivals!$V$2:$V$160,$AP125+6),""),"")</f>
        <v/>
      </c>
      <c r="AL125" t="str">
        <f ca="1">IFERROR(INDEX('Holidays Calc'!$J$2:$J$233,MATCH(A125,'Holidays Calc'!$I$2:$I$233,0)),"")</f>
        <v/>
      </c>
      <c r="AM125" t="str">
        <f ca="1">IF(AR125="","",IF(INDEX('Holidays Calc'!$I$2:$I$233,AR125+1)=A125,INDEX('Holidays Calc'!$J$2:$J$233,AR125+1),""))</f>
        <v/>
      </c>
      <c r="AN125" t="str">
        <f ca="1">IF(AR125="","",IF(INDEX('Holidays Calc'!$I$2:$I$233,AR125+2)=A125,INDEX('Holidays Calc'!$J$2:$J$233,AR125+2),""))</f>
        <v/>
      </c>
      <c r="AO125" t="str">
        <f ca="1">IF(AR125="","",IF(INDEX('Holidays Calc'!$I$2:$I$233,AR125+3)=A125,INDEX('Holidays Calc'!$J$2:$J$233,AR125+3),""))</f>
        <v/>
      </c>
      <c r="AP125" t="str">
        <f>IFERROR(IF($E125=E124,"",MATCH($E125,Festivals!$H$2:$H$160,0)),"")</f>
        <v/>
      </c>
      <c r="AQ125" t="str">
        <f>IF(AP125="","",COUNTIF(Festivals!$H$2:$H$160,$E125))</f>
        <v/>
      </c>
      <c r="AR125" t="str">
        <f ca="1">IFERROR(MATCH(A125,'Holidays Calc'!$I$2:$I$233,0),"")</f>
        <v/>
      </c>
      <c r="AS125" t="str">
        <f t="shared" si="11"/>
        <v/>
      </c>
      <c r="AT125" t="str">
        <f t="shared" si="10"/>
        <v/>
      </c>
      <c r="AU125" t="str">
        <f t="shared" ca="1" si="12"/>
        <v/>
      </c>
      <c r="AV125" t="str">
        <f t="shared" ca="1" si="13"/>
        <v/>
      </c>
    </row>
    <row r="126" spans="1:48" x14ac:dyDescent="0.25">
      <c r="A126" s="265">
        <f t="shared" si="7"/>
        <v>43552</v>
      </c>
      <c r="B126" s="265" t="str">
        <f t="shared" si="14"/>
        <v>28 Mar 2019</v>
      </c>
      <c r="C126" s="267">
        <f t="shared" si="15"/>
        <v>13</v>
      </c>
      <c r="D126">
        <f>MATCH(A126,GCalXMLT[daydate],0)</f>
        <v>125</v>
      </c>
      <c r="E126">
        <f>VALUE("1" &amp; Masacod(INDEX(GCalXMLT[gymasa],D126)) &amp; PaksaCod(INDEX(GCalXMLT[mpaksaid],D126)) &amp; TithiCod(INDEX(GCalXMLT[stithiname],D126)))</f>
        <v>101008</v>
      </c>
      <c r="F126" t="str">
        <f ca="1">INDEX(Parameters!$K$2:$K$16,MATCH(AV126,Parameters!$L$2:$L$16,0))</f>
        <v>C</v>
      </c>
      <c r="G126">
        <f>INDEX(GCalXMLT[fastmark],$D126)</f>
        <v>0</v>
      </c>
      <c r="H126" t="str">
        <f ca="1">INDEX(Parameters!$J$2:$J$16,MATCH(AV126,Parameters!$L$2:$L$16,0))</f>
        <v/>
      </c>
      <c r="I126">
        <f>INDEX(GCalXMLT[dfestival1],$D126)</f>
        <v>0</v>
      </c>
      <c r="J126">
        <f>IF(INDEX(GCalXMLT[dfestival2],$D126)="(Fast today)",INDEX(Festivals!$R$2:$R$180,MATCH($I126,Festivals!$R$2:$R$180,0)+1),INDEX(GCalXMLT[dfestival2],$D126))</f>
        <v>0</v>
      </c>
      <c r="K126">
        <f>IF(I126="Nandotsava","(Fast till noon)",INDEX(GCalXMLT[dfestival3],$D126))</f>
        <v>0</v>
      </c>
      <c r="L126">
        <f>IF(I126="Nandotsava", INDEX(GCalXMLT[dfestival3],$D126),INDEX(GCalXMLT[dfestival4],$D126))</f>
        <v>0</v>
      </c>
      <c r="M126" t="str">
        <f>IFERROR(INDEX(Festivals!$S$2:$S$160,AP126),"")</f>
        <v>Sri Srivasa Pandita - Appearance</v>
      </c>
      <c r="N126" t="str">
        <f>IFERROR(IF($AQ126&gt;1,INDEX(Festivals!$S$2:$S$160,$AP126+1),""),"")</f>
        <v/>
      </c>
      <c r="O126" t="str">
        <f>IFERROR(IF($AQ126&gt;2,INDEX(Festivals!$S$2:$S$160,$AP126+2),""),"")</f>
        <v/>
      </c>
      <c r="P126" t="str">
        <f>IFERROR(IF($AQ126&gt;3,INDEX(Festivals!$S$2:$S$160,$AP126+3),""),"")</f>
        <v/>
      </c>
      <c r="Q126" t="str">
        <f>IFERROR(IF($AQ126&gt;4,INDEX(Festivals!$S$2:$S$160,$AP126+4),""),"")</f>
        <v/>
      </c>
      <c r="R126" t="str">
        <f>IFERROR(IF($AQ126&gt;5,INDEX(Festivals!$S$2:$S$160,$AP126+5),""),"")</f>
        <v/>
      </c>
      <c r="S126" t="str">
        <f>IFERROR(IF($AQ126&gt;6,INDEX(Festivals!$S$2:$S$160,$AP126+6),""),"")</f>
        <v/>
      </c>
      <c r="T126">
        <f>INDEX(GCalXMLT[dcaturmasya1],$D126)</f>
        <v>0</v>
      </c>
      <c r="U126">
        <f>INDEX(GCalXMLT[dcaturmasya2],$D126)</f>
        <v>0</v>
      </c>
      <c r="V126" t="str">
        <f>INDEX(GCalXMLT[sankrantirasi],$D126) &amp; " " &amp; INDEX(GCalXMLT[sankrantitime],$D126)</f>
        <v xml:space="preserve"> </v>
      </c>
      <c r="W126" t="str">
        <f ca="1">IFERROR(INDEX('Holidays Calc'!$K$2:$K$233,AR126),"")</f>
        <v/>
      </c>
      <c r="X126" t="str">
        <f ca="1">IF(AR126="","",IF(INDEX('Holidays Calc'!$I$2:$I$233,AR126+1)=A126,INDEX('Holidays Calc'!$K$2:$K$233,AR126+1),""))</f>
        <v/>
      </c>
      <c r="Y126" t="str">
        <f ca="1">IF(AR126="","",IF(INDEX('Holidays Calc'!$I$2:$I$233,AR126+2)=A126,INDEX('Holidays Calc'!$K$2:$K$233,AR126+2),""))</f>
        <v/>
      </c>
      <c r="Z126" t="str">
        <f ca="1">IF(AR126="","",IF(INDEX('Holidays Calc'!$I$2:$I$233,AR126+3)=A126,INDEX('Holidays Calc'!$K$2:$K$2333,AR126+3),""))</f>
        <v/>
      </c>
      <c r="AA126" t="str">
        <f>IF(I126="Last day of Bhisma Pancaka","",IF(G126="*",-0.7,IF(ISBLANK(INDEX(GCalXMLT[dclass1],$D126)),"",INDEX(GCalXMLT[dclass1],$D126))))</f>
        <v/>
      </c>
      <c r="AB126" t="str">
        <f>IF(J126="First day of Bhisma Pancaka","",IF(AND(G126="*",NOT(ISERROR(SEARCH("ekadasi",J126)))),-0.7,IF(ISBLANK(INDEX(GCalXMLT[dclass2],$D126)),"",INDEX(GCalXMLT[dclass2],$D126))))</f>
        <v/>
      </c>
      <c r="AC126" t="str">
        <f>IF(I126="Nandotsava",-1,IF(ISBLANK(INDEX(GCalXMLT[dclass3],$D126)),"",INDEX(GCalXMLT[dclass3],$D126)))</f>
        <v/>
      </c>
      <c r="AD126" t="str">
        <f>IF(I126="Nandotsava",IF(ISBLANK(INDEX(GCalXMLT[dclass3],$D126)),"",INDEX(GCalXMLT[dclass3],$D126)),IF(ISBLANK(INDEX(GCalXMLT[dclass4],$D126)),"",INDEX(GCalXMLT[dclass4],$D126)))</f>
        <v/>
      </c>
      <c r="AE126">
        <f>IFERROR(INDEX(Festivals!$V$2:$V$160,AP126),"")</f>
        <v>3</v>
      </c>
      <c r="AF126" t="str">
        <f>IFERROR(IF($AQ126&gt;1,INDEX(Festivals!$V$2:$V$160,$AP126+1),""),"")</f>
        <v/>
      </c>
      <c r="AG126" t="str">
        <f>IFERROR(IF($AQ126&gt;2,INDEX(Festivals!$V$2:$V$160,$AP126+2),""),"")</f>
        <v/>
      </c>
      <c r="AH126" t="str">
        <f>IFERROR(IF($AQ126&gt;3,INDEX(Festivals!$V$2:$V$160,$AP126+3),""),"")</f>
        <v/>
      </c>
      <c r="AI126" t="str">
        <f>IFERROR(IF($AQ126&gt;4,INDEX(Festivals!$V$2:$V$160,$AP126+4),""),"")</f>
        <v/>
      </c>
      <c r="AJ126" t="str">
        <f>IFERROR(IF($AQ126&gt;5,INDEX(Festivals!$V$2:$V$160,$AP126+5),""),"")</f>
        <v/>
      </c>
      <c r="AK126" t="str">
        <f>IFERROR(IF($AQ126&gt;6,INDEX(Festivals!$V$2:$V$160,$AP126+6),""),"")</f>
        <v/>
      </c>
      <c r="AL126" t="str">
        <f ca="1">IFERROR(INDEX('Holidays Calc'!$J$2:$J$233,MATCH(A126,'Holidays Calc'!$I$2:$I$233,0)),"")</f>
        <v/>
      </c>
      <c r="AM126" t="str">
        <f ca="1">IF(AR126="","",IF(INDEX('Holidays Calc'!$I$2:$I$233,AR126+1)=A126,INDEX('Holidays Calc'!$J$2:$J$233,AR126+1),""))</f>
        <v/>
      </c>
      <c r="AN126" t="str">
        <f ca="1">IF(AR126="","",IF(INDEX('Holidays Calc'!$I$2:$I$233,AR126+2)=A126,INDEX('Holidays Calc'!$J$2:$J$233,AR126+2),""))</f>
        <v/>
      </c>
      <c r="AO126" t="str">
        <f ca="1">IF(AR126="","",IF(INDEX('Holidays Calc'!$I$2:$I$233,AR126+3)=A126,INDEX('Holidays Calc'!$J$2:$J$233,AR126+3),""))</f>
        <v/>
      </c>
      <c r="AP126">
        <f>IFERROR(IF($E126=E125,"",MATCH($E126,Festivals!$H$2:$H$160,0)),"")</f>
        <v>1</v>
      </c>
      <c r="AQ126">
        <f>IF(AP126="","",COUNTIF(Festivals!$H$2:$H$160,$E126))</f>
        <v>1</v>
      </c>
      <c r="AR126" t="str">
        <f ca="1">IFERROR(MATCH(A126,'Holidays Calc'!$I$2:$I$233,0),"")</f>
        <v/>
      </c>
      <c r="AS126">
        <f t="shared" si="11"/>
        <v>3</v>
      </c>
      <c r="AT126">
        <f t="shared" si="10"/>
        <v>3</v>
      </c>
      <c r="AU126" t="str">
        <f t="shared" ca="1" si="12"/>
        <v/>
      </c>
      <c r="AV126">
        <f t="shared" ca="1" si="13"/>
        <v>3</v>
      </c>
    </row>
    <row r="127" spans="1:48" x14ac:dyDescent="0.25">
      <c r="A127" s="265">
        <f t="shared" si="7"/>
        <v>43553</v>
      </c>
      <c r="B127" s="265" t="str">
        <f t="shared" si="14"/>
        <v>29 Mar 2019</v>
      </c>
      <c r="C127" s="267">
        <f t="shared" si="15"/>
        <v>13</v>
      </c>
      <c r="D127">
        <f>MATCH(A127,GCalXMLT[daydate],0)</f>
        <v>126</v>
      </c>
      <c r="E127">
        <f>VALUE("1" &amp; Masacod(INDEX(GCalXMLT[gymasa],D127)) &amp; PaksaCod(INDEX(GCalXMLT[mpaksaid],D127)) &amp; TithiCod(INDEX(GCalXMLT[stithiname],D127)))</f>
        <v>101009</v>
      </c>
      <c r="F127" t="str">
        <f ca="1">INDEX(Parameters!$K$2:$K$16,MATCH(AV127,Parameters!$L$2:$L$16,0))</f>
        <v/>
      </c>
      <c r="G127">
        <f>INDEX(GCalXMLT[fastmark],$D127)</f>
        <v>0</v>
      </c>
      <c r="H127" t="str">
        <f ca="1">INDEX(Parameters!$J$2:$J$16,MATCH(AV127,Parameters!$L$2:$L$16,0))</f>
        <v/>
      </c>
      <c r="I127">
        <f>INDEX(GCalXMLT[dfestival1],$D127)</f>
        <v>0</v>
      </c>
      <c r="J127">
        <f>IF(INDEX(GCalXMLT[dfestival2],$D127)="(Fast today)",INDEX(Festivals!$R$2:$R$180,MATCH($I127,Festivals!$R$2:$R$180,0)+1),INDEX(GCalXMLT[dfestival2],$D127))</f>
        <v>0</v>
      </c>
      <c r="K127">
        <f>IF(I127="Nandotsava","(Fast till noon)",INDEX(GCalXMLT[dfestival3],$D127))</f>
        <v>0</v>
      </c>
      <c r="L127">
        <f>IF(I127="Nandotsava", INDEX(GCalXMLT[dfestival3],$D127),INDEX(GCalXMLT[dfestival4],$D127))</f>
        <v>0</v>
      </c>
      <c r="M127" t="str">
        <f>IFERROR(INDEX(Festivals!$S$2:$S$160,AP127),"")</f>
        <v/>
      </c>
      <c r="N127" t="str">
        <f>IFERROR(IF($AQ127&gt;1,INDEX(Festivals!$S$2:$S$160,$AP127+1),""),"")</f>
        <v/>
      </c>
      <c r="O127" t="str">
        <f>IFERROR(IF($AQ127&gt;2,INDEX(Festivals!$S$2:$S$160,$AP127+2),""),"")</f>
        <v/>
      </c>
      <c r="P127" t="str">
        <f>IFERROR(IF($AQ127&gt;3,INDEX(Festivals!$S$2:$S$160,$AP127+3),""),"")</f>
        <v/>
      </c>
      <c r="Q127" t="str">
        <f>IFERROR(IF($AQ127&gt;4,INDEX(Festivals!$S$2:$S$160,$AP127+4),""),"")</f>
        <v/>
      </c>
      <c r="R127" t="str">
        <f>IFERROR(IF($AQ127&gt;5,INDEX(Festivals!$S$2:$S$160,$AP127+5),""),"")</f>
        <v/>
      </c>
      <c r="S127" t="str">
        <f>IFERROR(IF($AQ127&gt;6,INDEX(Festivals!$S$2:$S$160,$AP127+6),""),"")</f>
        <v/>
      </c>
      <c r="T127">
        <f>INDEX(GCalXMLT[dcaturmasya1],$D127)</f>
        <v>0</v>
      </c>
      <c r="U127">
        <f>INDEX(GCalXMLT[dcaturmasya2],$D127)</f>
        <v>0</v>
      </c>
      <c r="V127" t="str">
        <f>INDEX(GCalXMLT[sankrantirasi],$D127) &amp; " " &amp; INDEX(GCalXMLT[sankrantitime],$D127)</f>
        <v xml:space="preserve"> </v>
      </c>
      <c r="W127" t="str">
        <f ca="1">IFERROR(INDEX('Holidays Calc'!$K$2:$K$233,AR127),"")</f>
        <v/>
      </c>
      <c r="X127" t="str">
        <f ca="1">IF(AR127="","",IF(INDEX('Holidays Calc'!$I$2:$I$233,AR127+1)=A127,INDEX('Holidays Calc'!$K$2:$K$233,AR127+1),""))</f>
        <v/>
      </c>
      <c r="Y127" t="str">
        <f ca="1">IF(AR127="","",IF(INDEX('Holidays Calc'!$I$2:$I$233,AR127+2)=A127,INDEX('Holidays Calc'!$K$2:$K$233,AR127+2),""))</f>
        <v/>
      </c>
      <c r="Z127" t="str">
        <f ca="1">IF(AR127="","",IF(INDEX('Holidays Calc'!$I$2:$I$233,AR127+3)=A127,INDEX('Holidays Calc'!$K$2:$K$2333,AR127+3),""))</f>
        <v/>
      </c>
      <c r="AA127" t="str">
        <f>IF(I127="Last day of Bhisma Pancaka","",IF(G127="*",-0.7,IF(ISBLANK(INDEX(GCalXMLT[dclass1],$D127)),"",INDEX(GCalXMLT[dclass1],$D127))))</f>
        <v/>
      </c>
      <c r="AB127" t="str">
        <f>IF(J127="First day of Bhisma Pancaka","",IF(AND(G127="*",NOT(ISERROR(SEARCH("ekadasi",J127)))),-0.7,IF(ISBLANK(INDEX(GCalXMLT[dclass2],$D127)),"",INDEX(GCalXMLT[dclass2],$D127))))</f>
        <v/>
      </c>
      <c r="AC127" t="str">
        <f>IF(I127="Nandotsava",-1,IF(ISBLANK(INDEX(GCalXMLT[dclass3],$D127)),"",INDEX(GCalXMLT[dclass3],$D127)))</f>
        <v/>
      </c>
      <c r="AD127" t="str">
        <f>IF(I127="Nandotsava",IF(ISBLANK(INDEX(GCalXMLT[dclass3],$D127)),"",INDEX(GCalXMLT[dclass3],$D127)),IF(ISBLANK(INDEX(GCalXMLT[dclass4],$D127)),"",INDEX(GCalXMLT[dclass4],$D127)))</f>
        <v/>
      </c>
      <c r="AE127" t="str">
        <f>IFERROR(INDEX(Festivals!$V$2:$V$160,AP127),"")</f>
        <v/>
      </c>
      <c r="AF127" t="str">
        <f>IFERROR(IF($AQ127&gt;1,INDEX(Festivals!$V$2:$V$160,$AP127+1),""),"")</f>
        <v/>
      </c>
      <c r="AG127" t="str">
        <f>IFERROR(IF($AQ127&gt;2,INDEX(Festivals!$V$2:$V$160,$AP127+2),""),"")</f>
        <v/>
      </c>
      <c r="AH127" t="str">
        <f>IFERROR(IF($AQ127&gt;3,INDEX(Festivals!$V$2:$V$160,$AP127+3),""),"")</f>
        <v/>
      </c>
      <c r="AI127" t="str">
        <f>IFERROR(IF($AQ127&gt;4,INDEX(Festivals!$V$2:$V$160,$AP127+4),""),"")</f>
        <v/>
      </c>
      <c r="AJ127" t="str">
        <f>IFERROR(IF($AQ127&gt;5,INDEX(Festivals!$V$2:$V$160,$AP127+5),""),"")</f>
        <v/>
      </c>
      <c r="AK127" t="str">
        <f>IFERROR(IF($AQ127&gt;6,INDEX(Festivals!$V$2:$V$160,$AP127+6),""),"")</f>
        <v/>
      </c>
      <c r="AL127" t="str">
        <f ca="1">IFERROR(INDEX('Holidays Calc'!$J$2:$J$233,MATCH(A127,'Holidays Calc'!$I$2:$I$233,0)),"")</f>
        <v/>
      </c>
      <c r="AM127" t="str">
        <f ca="1">IF(AR127="","",IF(INDEX('Holidays Calc'!$I$2:$I$233,AR127+1)=A127,INDEX('Holidays Calc'!$J$2:$J$233,AR127+1),""))</f>
        <v/>
      </c>
      <c r="AN127" t="str">
        <f ca="1">IF(AR127="","",IF(INDEX('Holidays Calc'!$I$2:$I$233,AR127+2)=A127,INDEX('Holidays Calc'!$J$2:$J$233,AR127+2),""))</f>
        <v/>
      </c>
      <c r="AO127" t="str">
        <f ca="1">IF(AR127="","",IF(INDEX('Holidays Calc'!$I$2:$I$233,AR127+3)=A127,INDEX('Holidays Calc'!$J$2:$J$233,AR127+3),""))</f>
        <v/>
      </c>
      <c r="AP127" t="str">
        <f>IFERROR(IF($E127=E126,"",MATCH($E127,Festivals!$H$2:$H$160,0)),"")</f>
        <v/>
      </c>
      <c r="AQ127" t="str">
        <f>IF(AP127="","",COUNTIF(Festivals!$H$2:$H$160,$E127))</f>
        <v/>
      </c>
      <c r="AR127" t="str">
        <f ca="1">IFERROR(MATCH(A127,'Holidays Calc'!$I$2:$I$233,0),"")</f>
        <v/>
      </c>
      <c r="AS127" t="str">
        <f t="shared" si="11"/>
        <v/>
      </c>
      <c r="AT127" t="str">
        <f t="shared" si="10"/>
        <v/>
      </c>
      <c r="AU127" t="str">
        <f t="shared" ca="1" si="12"/>
        <v/>
      </c>
      <c r="AV127" t="str">
        <f t="shared" ca="1" si="13"/>
        <v/>
      </c>
    </row>
    <row r="128" spans="1:48" x14ac:dyDescent="0.25">
      <c r="A128" s="265">
        <f t="shared" si="7"/>
        <v>43554</v>
      </c>
      <c r="B128" s="265" t="str">
        <f t="shared" si="14"/>
        <v>30 Mar 2019</v>
      </c>
      <c r="C128" s="267">
        <f t="shared" si="15"/>
        <v>13</v>
      </c>
      <c r="D128">
        <f>MATCH(A128,GCalXMLT[daydate],0)</f>
        <v>127</v>
      </c>
      <c r="E128">
        <f>VALUE("1" &amp; Masacod(INDEX(GCalXMLT[gymasa],D128)) &amp; PaksaCod(INDEX(GCalXMLT[mpaksaid],D128)) &amp; TithiCod(INDEX(GCalXMLT[stithiname],D128)))</f>
        <v>101010</v>
      </c>
      <c r="F128" t="str">
        <f ca="1">INDEX(Parameters!$K$2:$K$16,MATCH(AV128,Parameters!$L$2:$L$16,0))</f>
        <v/>
      </c>
      <c r="G128">
        <f>INDEX(GCalXMLT[fastmark],$D128)</f>
        <v>0</v>
      </c>
      <c r="H128" t="str">
        <f ca="1">INDEX(Parameters!$J$2:$J$16,MATCH(AV128,Parameters!$L$2:$L$16,0))</f>
        <v/>
      </c>
      <c r="I128">
        <f>INDEX(GCalXMLT[dfestival1],$D128)</f>
        <v>0</v>
      </c>
      <c r="J128">
        <f>IF(INDEX(GCalXMLT[dfestival2],$D128)="(Fast today)",INDEX(Festivals!$R$2:$R$180,MATCH($I128,Festivals!$R$2:$R$180,0)+1),INDEX(GCalXMLT[dfestival2],$D128))</f>
        <v>0</v>
      </c>
      <c r="K128">
        <f>IF(I128="Nandotsava","(Fast till noon)",INDEX(GCalXMLT[dfestival3],$D128))</f>
        <v>0</v>
      </c>
      <c r="L128">
        <f>IF(I128="Nandotsava", INDEX(GCalXMLT[dfestival3],$D128),INDEX(GCalXMLT[dfestival4],$D128))</f>
        <v>0</v>
      </c>
      <c r="M128" t="str">
        <f>IFERROR(INDEX(Festivals!$S$2:$S$160,AP128),"")</f>
        <v/>
      </c>
      <c r="N128" t="str">
        <f>IFERROR(IF($AQ128&gt;1,INDEX(Festivals!$S$2:$S$160,$AP128+1),""),"")</f>
        <v/>
      </c>
      <c r="O128" t="str">
        <f>IFERROR(IF($AQ128&gt;2,INDEX(Festivals!$S$2:$S$160,$AP128+2),""),"")</f>
        <v/>
      </c>
      <c r="P128" t="str">
        <f>IFERROR(IF($AQ128&gt;3,INDEX(Festivals!$S$2:$S$160,$AP128+3),""),"")</f>
        <v/>
      </c>
      <c r="Q128" t="str">
        <f>IFERROR(IF($AQ128&gt;4,INDEX(Festivals!$S$2:$S$160,$AP128+4),""),"")</f>
        <v/>
      </c>
      <c r="R128" t="str">
        <f>IFERROR(IF($AQ128&gt;5,INDEX(Festivals!$S$2:$S$160,$AP128+5),""),"")</f>
        <v/>
      </c>
      <c r="S128" t="str">
        <f>IFERROR(IF($AQ128&gt;6,INDEX(Festivals!$S$2:$S$160,$AP128+6),""),"")</f>
        <v/>
      </c>
      <c r="T128">
        <f>INDEX(GCalXMLT[dcaturmasya1],$D128)</f>
        <v>0</v>
      </c>
      <c r="U128">
        <f>INDEX(GCalXMLT[dcaturmasya2],$D128)</f>
        <v>0</v>
      </c>
      <c r="V128" t="str">
        <f>INDEX(GCalXMLT[sankrantirasi],$D128) &amp; " " &amp; INDEX(GCalXMLT[sankrantitime],$D128)</f>
        <v xml:space="preserve"> </v>
      </c>
      <c r="W128" t="str">
        <f ca="1">IFERROR(INDEX('Holidays Calc'!$K$2:$K$233,AR128),"")</f>
        <v/>
      </c>
      <c r="X128" t="str">
        <f ca="1">IF(AR128="","",IF(INDEX('Holidays Calc'!$I$2:$I$233,AR128+1)=A128,INDEX('Holidays Calc'!$K$2:$K$233,AR128+1),""))</f>
        <v/>
      </c>
      <c r="Y128" t="str">
        <f ca="1">IF(AR128="","",IF(INDEX('Holidays Calc'!$I$2:$I$233,AR128+2)=A128,INDEX('Holidays Calc'!$K$2:$K$233,AR128+2),""))</f>
        <v/>
      </c>
      <c r="Z128" t="str">
        <f ca="1">IF(AR128="","",IF(INDEX('Holidays Calc'!$I$2:$I$233,AR128+3)=A128,INDEX('Holidays Calc'!$K$2:$K$2333,AR128+3),""))</f>
        <v/>
      </c>
      <c r="AA128" t="str">
        <f>IF(I128="Last day of Bhisma Pancaka","",IF(G128="*",-0.7,IF(ISBLANK(INDEX(GCalXMLT[dclass1],$D128)),"",INDEX(GCalXMLT[dclass1],$D128))))</f>
        <v/>
      </c>
      <c r="AB128" t="str">
        <f>IF(J128="First day of Bhisma Pancaka","",IF(AND(G128="*",NOT(ISERROR(SEARCH("ekadasi",J128)))),-0.7,IF(ISBLANK(INDEX(GCalXMLT[dclass2],$D128)),"",INDEX(GCalXMLT[dclass2],$D128))))</f>
        <v/>
      </c>
      <c r="AC128" t="str">
        <f>IF(I128="Nandotsava",-1,IF(ISBLANK(INDEX(GCalXMLT[dclass3],$D128)),"",INDEX(GCalXMLT[dclass3],$D128)))</f>
        <v/>
      </c>
      <c r="AD128" t="str">
        <f>IF(I128="Nandotsava",IF(ISBLANK(INDEX(GCalXMLT[dclass3],$D128)),"",INDEX(GCalXMLT[dclass3],$D128)),IF(ISBLANK(INDEX(GCalXMLT[dclass4],$D128)),"",INDEX(GCalXMLT[dclass4],$D128)))</f>
        <v/>
      </c>
      <c r="AE128" t="str">
        <f>IFERROR(INDEX(Festivals!$V$2:$V$160,AP128),"")</f>
        <v/>
      </c>
      <c r="AF128" t="str">
        <f>IFERROR(IF($AQ128&gt;1,INDEX(Festivals!$V$2:$V$160,$AP128+1),""),"")</f>
        <v/>
      </c>
      <c r="AG128" t="str">
        <f>IFERROR(IF($AQ128&gt;2,INDEX(Festivals!$V$2:$V$160,$AP128+2),""),"")</f>
        <v/>
      </c>
      <c r="AH128" t="str">
        <f>IFERROR(IF($AQ128&gt;3,INDEX(Festivals!$V$2:$V$160,$AP128+3),""),"")</f>
        <v/>
      </c>
      <c r="AI128" t="str">
        <f>IFERROR(IF($AQ128&gt;4,INDEX(Festivals!$V$2:$V$160,$AP128+4),""),"")</f>
        <v/>
      </c>
      <c r="AJ128" t="str">
        <f>IFERROR(IF($AQ128&gt;5,INDEX(Festivals!$V$2:$V$160,$AP128+5),""),"")</f>
        <v/>
      </c>
      <c r="AK128" t="str">
        <f>IFERROR(IF($AQ128&gt;6,INDEX(Festivals!$V$2:$V$160,$AP128+6),""),"")</f>
        <v/>
      </c>
      <c r="AL128" t="str">
        <f ca="1">IFERROR(INDEX('Holidays Calc'!$J$2:$J$233,MATCH(A128,'Holidays Calc'!$I$2:$I$233,0)),"")</f>
        <v/>
      </c>
      <c r="AM128" t="str">
        <f ca="1">IF(AR128="","",IF(INDEX('Holidays Calc'!$I$2:$I$233,AR128+1)=A128,INDEX('Holidays Calc'!$J$2:$J$233,AR128+1),""))</f>
        <v/>
      </c>
      <c r="AN128" t="str">
        <f ca="1">IF(AR128="","",IF(INDEX('Holidays Calc'!$I$2:$I$233,AR128+2)=A128,INDEX('Holidays Calc'!$J$2:$J$233,AR128+2),""))</f>
        <v/>
      </c>
      <c r="AO128" t="str">
        <f ca="1">IF(AR128="","",IF(INDEX('Holidays Calc'!$I$2:$I$233,AR128+3)=A128,INDEX('Holidays Calc'!$J$2:$J$233,AR128+3),""))</f>
        <v/>
      </c>
      <c r="AP128" t="str">
        <f>IFERROR(IF($E128=E127,"",MATCH($E128,Festivals!$H$2:$H$160,0)),"")</f>
        <v/>
      </c>
      <c r="AQ128" t="str">
        <f>IF(AP128="","",COUNTIF(Festivals!$H$2:$H$160,$E128))</f>
        <v/>
      </c>
      <c r="AR128" t="str">
        <f ca="1">IFERROR(MATCH(A128,'Holidays Calc'!$I$2:$I$233,0),"")</f>
        <v/>
      </c>
      <c r="AS128" t="str">
        <f t="shared" si="11"/>
        <v/>
      </c>
      <c r="AT128" t="str">
        <f t="shared" si="10"/>
        <v/>
      </c>
      <c r="AU128" t="str">
        <f t="shared" ca="1" si="12"/>
        <v/>
      </c>
      <c r="AV128" t="str">
        <f t="shared" ca="1" si="13"/>
        <v/>
      </c>
    </row>
    <row r="129" spans="1:48" x14ac:dyDescent="0.25">
      <c r="A129" s="265">
        <f t="shared" si="7"/>
        <v>43555</v>
      </c>
      <c r="B129" s="265" t="str">
        <f t="shared" si="14"/>
        <v>31 Mar 2019</v>
      </c>
      <c r="C129" s="267">
        <f t="shared" si="15"/>
        <v>13</v>
      </c>
      <c r="D129">
        <f>MATCH(A129,GCalXMLT[daydate],0)</f>
        <v>128</v>
      </c>
      <c r="E129">
        <f>VALUE("1" &amp; Masacod(INDEX(GCalXMLT[gymasa],D129)) &amp; PaksaCod(INDEX(GCalXMLT[mpaksaid],D129)) &amp; TithiCod(INDEX(GCalXMLT[stithiname],D129)))</f>
        <v>101011</v>
      </c>
      <c r="F129" t="str">
        <f ca="1">INDEX(Parameters!$K$2:$K$16,MATCH(AV129,Parameters!$L$2:$L$16,0))</f>
        <v/>
      </c>
      <c r="G129">
        <f>INDEX(GCalXMLT[fastmark],$D129)</f>
        <v>0</v>
      </c>
      <c r="H129" t="str">
        <f ca="1">INDEX(Parameters!$J$2:$J$16,MATCH(AV129,Parameters!$L$2:$L$16,0))</f>
        <v/>
      </c>
      <c r="I129">
        <f>INDEX(GCalXMLT[dfestival1],$D129)</f>
        <v>0</v>
      </c>
      <c r="J129">
        <f>IF(INDEX(GCalXMLT[dfestival2],$D129)="(Fast today)",INDEX(Festivals!$R$2:$R$180,MATCH($I129,Festivals!$R$2:$R$180,0)+1),INDEX(GCalXMLT[dfestival2],$D129))</f>
        <v>0</v>
      </c>
      <c r="K129">
        <f>IF(I129="Nandotsava","(Fast till noon)",INDEX(GCalXMLT[dfestival3],$D129))</f>
        <v>0</v>
      </c>
      <c r="L129">
        <f>IF(I129="Nandotsava", INDEX(GCalXMLT[dfestival3],$D129),INDEX(GCalXMLT[dfestival4],$D129))</f>
        <v>0</v>
      </c>
      <c r="M129" t="str">
        <f>IFERROR(INDEX(Festivals!$S$2:$S$160,AP129),"")</f>
        <v/>
      </c>
      <c r="N129" t="str">
        <f>IFERROR(IF($AQ129&gt;1,INDEX(Festivals!$S$2:$S$160,$AP129+1),""),"")</f>
        <v/>
      </c>
      <c r="O129" t="str">
        <f>IFERROR(IF($AQ129&gt;2,INDEX(Festivals!$S$2:$S$160,$AP129+2),""),"")</f>
        <v/>
      </c>
      <c r="P129" t="str">
        <f>IFERROR(IF($AQ129&gt;3,INDEX(Festivals!$S$2:$S$160,$AP129+3),""),"")</f>
        <v/>
      </c>
      <c r="Q129" t="str">
        <f>IFERROR(IF($AQ129&gt;4,INDEX(Festivals!$S$2:$S$160,$AP129+4),""),"")</f>
        <v/>
      </c>
      <c r="R129" t="str">
        <f>IFERROR(IF($AQ129&gt;5,INDEX(Festivals!$S$2:$S$160,$AP129+5),""),"")</f>
        <v/>
      </c>
      <c r="S129" t="str">
        <f>IFERROR(IF($AQ129&gt;6,INDEX(Festivals!$S$2:$S$160,$AP129+6),""),"")</f>
        <v/>
      </c>
      <c r="T129">
        <f>INDEX(GCalXMLT[dcaturmasya1],$D129)</f>
        <v>0</v>
      </c>
      <c r="U129">
        <f>INDEX(GCalXMLT[dcaturmasya2],$D129)</f>
        <v>0</v>
      </c>
      <c r="V129" t="str">
        <f>INDEX(GCalXMLT[sankrantirasi],$D129) &amp; " " &amp; INDEX(GCalXMLT[sankrantitime],$D129)</f>
        <v xml:space="preserve"> </v>
      </c>
      <c r="W129" t="str">
        <f ca="1">IFERROR(INDEX('Holidays Calc'!$K$2:$K$233,AR129),"")</f>
        <v/>
      </c>
      <c r="X129" t="str">
        <f ca="1">IF(AR129="","",IF(INDEX('Holidays Calc'!$I$2:$I$233,AR129+1)=A129,INDEX('Holidays Calc'!$K$2:$K$233,AR129+1),""))</f>
        <v/>
      </c>
      <c r="Y129" t="str">
        <f ca="1">IF(AR129="","",IF(INDEX('Holidays Calc'!$I$2:$I$233,AR129+2)=A129,INDEX('Holidays Calc'!$K$2:$K$233,AR129+2),""))</f>
        <v/>
      </c>
      <c r="Z129" t="str">
        <f ca="1">IF(AR129="","",IF(INDEX('Holidays Calc'!$I$2:$I$233,AR129+3)=A129,INDEX('Holidays Calc'!$K$2:$K$2333,AR129+3),""))</f>
        <v/>
      </c>
      <c r="AA129" t="str">
        <f>IF(I129="Last day of Bhisma Pancaka","",IF(G129="*",-0.7,IF(ISBLANK(INDEX(GCalXMLT[dclass1],$D129)),"",INDEX(GCalXMLT[dclass1],$D129))))</f>
        <v/>
      </c>
      <c r="AB129" t="str">
        <f>IF(J129="First day of Bhisma Pancaka","",IF(AND(G129="*",NOT(ISERROR(SEARCH("ekadasi",J129)))),-0.7,IF(ISBLANK(INDEX(GCalXMLT[dclass2],$D129)),"",INDEX(GCalXMLT[dclass2],$D129))))</f>
        <v/>
      </c>
      <c r="AC129" t="str">
        <f>IF(I129="Nandotsava",-1,IF(ISBLANK(INDEX(GCalXMLT[dclass3],$D129)),"",INDEX(GCalXMLT[dclass3],$D129)))</f>
        <v/>
      </c>
      <c r="AD129" t="str">
        <f>IF(I129="Nandotsava",IF(ISBLANK(INDEX(GCalXMLT[dclass3],$D129)),"",INDEX(GCalXMLT[dclass3],$D129)),IF(ISBLANK(INDEX(GCalXMLT[dclass4],$D129)),"",INDEX(GCalXMLT[dclass4],$D129)))</f>
        <v/>
      </c>
      <c r="AE129" t="str">
        <f>IFERROR(INDEX(Festivals!$V$2:$V$160,AP129),"")</f>
        <v/>
      </c>
      <c r="AF129" t="str">
        <f>IFERROR(IF($AQ129&gt;1,INDEX(Festivals!$V$2:$V$160,$AP129+1),""),"")</f>
        <v/>
      </c>
      <c r="AG129" t="str">
        <f>IFERROR(IF($AQ129&gt;2,INDEX(Festivals!$V$2:$V$160,$AP129+2),""),"")</f>
        <v/>
      </c>
      <c r="AH129" t="str">
        <f>IFERROR(IF($AQ129&gt;3,INDEX(Festivals!$V$2:$V$160,$AP129+3),""),"")</f>
        <v/>
      </c>
      <c r="AI129" t="str">
        <f>IFERROR(IF($AQ129&gt;4,INDEX(Festivals!$V$2:$V$160,$AP129+4),""),"")</f>
        <v/>
      </c>
      <c r="AJ129" t="str">
        <f>IFERROR(IF($AQ129&gt;5,INDEX(Festivals!$V$2:$V$160,$AP129+5),""),"")</f>
        <v/>
      </c>
      <c r="AK129" t="str">
        <f>IFERROR(IF($AQ129&gt;6,INDEX(Festivals!$V$2:$V$160,$AP129+6),""),"")</f>
        <v/>
      </c>
      <c r="AL129" t="str">
        <f ca="1">IFERROR(INDEX('Holidays Calc'!$J$2:$J$233,MATCH(A129,'Holidays Calc'!$I$2:$I$233,0)),"")</f>
        <v/>
      </c>
      <c r="AM129" t="str">
        <f ca="1">IF(AR129="","",IF(INDEX('Holidays Calc'!$I$2:$I$233,AR129+1)=A129,INDEX('Holidays Calc'!$J$2:$J$233,AR129+1),""))</f>
        <v/>
      </c>
      <c r="AN129" t="str">
        <f ca="1">IF(AR129="","",IF(INDEX('Holidays Calc'!$I$2:$I$233,AR129+2)=A129,INDEX('Holidays Calc'!$J$2:$J$233,AR129+2),""))</f>
        <v/>
      </c>
      <c r="AO129" t="str">
        <f ca="1">IF(AR129="","",IF(INDEX('Holidays Calc'!$I$2:$I$233,AR129+3)=A129,INDEX('Holidays Calc'!$J$2:$J$233,AR129+3),""))</f>
        <v/>
      </c>
      <c r="AP129" t="str">
        <f>IFERROR(IF($E129=E128,"",MATCH($E129,Festivals!$H$2:$H$160,0)),"")</f>
        <v/>
      </c>
      <c r="AQ129" t="str">
        <f>IF(AP129="","",COUNTIF(Festivals!$H$2:$H$160,$E129))</f>
        <v/>
      </c>
      <c r="AR129" t="str">
        <f ca="1">IFERROR(MATCH(A129,'Holidays Calc'!$I$2:$I$233,0),"")</f>
        <v/>
      </c>
      <c r="AS129" t="str">
        <f t="shared" si="11"/>
        <v/>
      </c>
      <c r="AT129" t="str">
        <f t="shared" si="10"/>
        <v/>
      </c>
      <c r="AU129" t="str">
        <f t="shared" ca="1" si="12"/>
        <v/>
      </c>
      <c r="AV129" t="str">
        <f t="shared" ca="1" si="13"/>
        <v/>
      </c>
    </row>
    <row r="130" spans="1:48" x14ac:dyDescent="0.25">
      <c r="A130" s="265">
        <f t="shared" ref="A130:A193" si="16">A129+1</f>
        <v>43556</v>
      </c>
      <c r="B130" s="265" t="str">
        <f t="shared" si="14"/>
        <v>1 Apr 2019</v>
      </c>
      <c r="C130" s="267">
        <f t="shared" si="15"/>
        <v>14</v>
      </c>
      <c r="D130">
        <f>MATCH(A130,GCalXMLT[daydate],0)</f>
        <v>129</v>
      </c>
      <c r="E130">
        <f>VALUE("1" &amp; Masacod(INDEX(GCalXMLT[gymasa],D130)) &amp; PaksaCod(INDEX(GCalXMLT[mpaksaid],D130)) &amp; TithiCod(INDEX(GCalXMLT[stithiname],D130)))</f>
        <v>101012</v>
      </c>
      <c r="F130" t="str">
        <f ca="1">INDEX(Parameters!$K$2:$K$16,MATCH(AV130,Parameters!$L$2:$L$16,0))</f>
        <v>E</v>
      </c>
      <c r="G130" t="str">
        <f>INDEX(GCalXMLT[fastmark],$D130)</f>
        <v>*</v>
      </c>
      <c r="H130" t="str">
        <f ca="1">INDEX(Parameters!$J$2:$J$16,MATCH(AV130,Parameters!$L$2:$L$16,0))</f>
        <v>*</v>
      </c>
      <c r="I130" t="str">
        <f>INDEX(GCalXMLT[dfestival1],$D130)</f>
        <v>Paksa vardhini Mahadvadasi</v>
      </c>
      <c r="J130" t="str">
        <f>IF(INDEX(GCalXMLT[dfestival2],$D130)="(Fast today)",INDEX(Festivals!$R$2:$R$180,MATCH($I130,Festivals!$R$2:$R$180,0)+1),INDEX(GCalXMLT[dfestival2],$D130))</f>
        <v>Fasting for Papamocani Ekadasi</v>
      </c>
      <c r="K130">
        <f>IF(I130="Nandotsava","(Fast till noon)",INDEX(GCalXMLT[dfestival3],$D130))</f>
        <v>0</v>
      </c>
      <c r="L130">
        <f>IF(I130="Nandotsava", INDEX(GCalXMLT[dfestival3],$D130),INDEX(GCalXMLT[dfestival4],$D130))</f>
        <v>0</v>
      </c>
      <c r="M130" t="str">
        <f>IFERROR(INDEX(Festivals!$S$2:$S$160,AP130),"")</f>
        <v>Sri Govinda Ghosh - Disappearance</v>
      </c>
      <c r="N130" t="str">
        <f>IFERROR(IF($AQ130&gt;1,INDEX(Festivals!$S$2:$S$160,$AP130+1),""),"")</f>
        <v/>
      </c>
      <c r="O130" t="str">
        <f>IFERROR(IF($AQ130&gt;2,INDEX(Festivals!$S$2:$S$160,$AP130+2),""),"")</f>
        <v/>
      </c>
      <c r="P130" t="str">
        <f>IFERROR(IF($AQ130&gt;3,INDEX(Festivals!$S$2:$S$160,$AP130+3),""),"")</f>
        <v/>
      </c>
      <c r="Q130" t="str">
        <f>IFERROR(IF($AQ130&gt;4,INDEX(Festivals!$S$2:$S$160,$AP130+4),""),"")</f>
        <v/>
      </c>
      <c r="R130" t="str">
        <f>IFERROR(IF($AQ130&gt;5,INDEX(Festivals!$S$2:$S$160,$AP130+5),""),"")</f>
        <v/>
      </c>
      <c r="S130" t="str">
        <f>IFERROR(IF($AQ130&gt;6,INDEX(Festivals!$S$2:$S$160,$AP130+6),""),"")</f>
        <v/>
      </c>
      <c r="T130">
        <f>INDEX(GCalXMLT[dcaturmasya1],$D130)</f>
        <v>0</v>
      </c>
      <c r="U130">
        <f>INDEX(GCalXMLT[dcaturmasya2],$D130)</f>
        <v>0</v>
      </c>
      <c r="V130" t="str">
        <f>INDEX(GCalXMLT[sankrantirasi],$D130) &amp; " " &amp; INDEX(GCalXMLT[sankrantitime],$D130)</f>
        <v xml:space="preserve"> </v>
      </c>
      <c r="W130" t="str">
        <f ca="1">IFERROR(INDEX('Holidays Calc'!$K$2:$K$233,AR130),"")</f>
        <v/>
      </c>
      <c r="X130" t="str">
        <f ca="1">IF(AR130="","",IF(INDEX('Holidays Calc'!$I$2:$I$233,AR130+1)=A130,INDEX('Holidays Calc'!$K$2:$K$233,AR130+1),""))</f>
        <v/>
      </c>
      <c r="Y130" t="str">
        <f ca="1">IF(AR130="","",IF(INDEX('Holidays Calc'!$I$2:$I$233,AR130+2)=A130,INDEX('Holidays Calc'!$K$2:$K$233,AR130+2),""))</f>
        <v/>
      </c>
      <c r="Z130" t="str">
        <f ca="1">IF(AR130="","",IF(INDEX('Holidays Calc'!$I$2:$I$233,AR130+3)=A130,INDEX('Holidays Calc'!$K$2:$K$2333,AR130+3),""))</f>
        <v/>
      </c>
      <c r="AA130">
        <f>IF(I130="Last day of Bhisma Pancaka","",IF(G130="*",-0.7,IF(ISBLANK(INDEX(GCalXMLT[dclass1],$D130)),"",INDEX(GCalXMLT[dclass1],$D130))))</f>
        <v>-0.7</v>
      </c>
      <c r="AB130">
        <f>IF(J130="First day of Bhisma Pancaka","",IF(AND(G130="*",NOT(ISERROR(SEARCH("ekadasi",J130)))),-0.7,IF(ISBLANK(INDEX(GCalXMLT[dclass2],$D130)),"",INDEX(GCalXMLT[dclass2],$D130))))</f>
        <v>-0.7</v>
      </c>
      <c r="AC130" t="str">
        <f>IF(I130="Nandotsava",-1,IF(ISBLANK(INDEX(GCalXMLT[dclass3],$D130)),"",INDEX(GCalXMLT[dclass3],$D130)))</f>
        <v/>
      </c>
      <c r="AD130" t="str">
        <f>IF(I130="Nandotsava",IF(ISBLANK(INDEX(GCalXMLT[dclass3],$D130)),"",INDEX(GCalXMLT[dclass3],$D130)),IF(ISBLANK(INDEX(GCalXMLT[dclass4],$D130)),"",INDEX(GCalXMLT[dclass4],$D130)))</f>
        <v/>
      </c>
      <c r="AE130">
        <f>IFERROR(INDEX(Festivals!$V$2:$V$160,AP130),"")</f>
        <v>3</v>
      </c>
      <c r="AF130" t="str">
        <f>IFERROR(IF($AQ130&gt;1,INDEX(Festivals!$V$2:$V$160,$AP130+1),""),"")</f>
        <v/>
      </c>
      <c r="AG130" t="str">
        <f>IFERROR(IF($AQ130&gt;2,INDEX(Festivals!$V$2:$V$160,$AP130+2),""),"")</f>
        <v/>
      </c>
      <c r="AH130" t="str">
        <f>IFERROR(IF($AQ130&gt;3,INDEX(Festivals!$V$2:$V$160,$AP130+3),""),"")</f>
        <v/>
      </c>
      <c r="AI130" t="str">
        <f>IFERROR(IF($AQ130&gt;4,INDEX(Festivals!$V$2:$V$160,$AP130+4),""),"")</f>
        <v/>
      </c>
      <c r="AJ130" t="str">
        <f>IFERROR(IF($AQ130&gt;5,INDEX(Festivals!$V$2:$V$160,$AP130+5),""),"")</f>
        <v/>
      </c>
      <c r="AK130" t="str">
        <f>IFERROR(IF($AQ130&gt;6,INDEX(Festivals!$V$2:$V$160,$AP130+6),""),"")</f>
        <v/>
      </c>
      <c r="AL130" t="str">
        <f ca="1">IFERROR(INDEX('Holidays Calc'!$J$2:$J$233,MATCH(A130,'Holidays Calc'!$I$2:$I$233,0)),"")</f>
        <v/>
      </c>
      <c r="AM130" t="str">
        <f ca="1">IF(AR130="","",IF(INDEX('Holidays Calc'!$I$2:$I$233,AR130+1)=A130,INDEX('Holidays Calc'!$J$2:$J$233,AR130+1),""))</f>
        <v/>
      </c>
      <c r="AN130" t="str">
        <f ca="1">IF(AR130="","",IF(INDEX('Holidays Calc'!$I$2:$I$233,AR130+2)=A130,INDEX('Holidays Calc'!$J$2:$J$233,AR130+2),""))</f>
        <v/>
      </c>
      <c r="AO130" t="str">
        <f ca="1">IF(AR130="","",IF(INDEX('Holidays Calc'!$I$2:$I$233,AR130+3)=A130,INDEX('Holidays Calc'!$J$2:$J$233,AR130+3),""))</f>
        <v/>
      </c>
      <c r="AP130">
        <f>IFERROR(IF($E130=E129,"",MATCH($E130,Festivals!$H$2:$H$160,0)),"")</f>
        <v>2</v>
      </c>
      <c r="AQ130">
        <f>IF(AP130="","",COUNTIF(Festivals!$H$2:$H$160,$E130))</f>
        <v>1</v>
      </c>
      <c r="AR130" t="str">
        <f ca="1">IFERROR(MATCH(A130,'Holidays Calc'!$I$2:$I$233,0),"")</f>
        <v/>
      </c>
      <c r="AS130">
        <f t="shared" si="11"/>
        <v>-0.7</v>
      </c>
      <c r="AT130">
        <f t="shared" ref="AT130:AT193" si="17">IF(AND(G130 = "*", AS130 &lt;= -1 ), -2, IF(AND(G129 = "*", AS130 &lt;= -1), -0.3, AS130))</f>
        <v>-0.7</v>
      </c>
      <c r="AU130" t="str">
        <f t="shared" ca="1" si="12"/>
        <v/>
      </c>
      <c r="AV130">
        <f t="shared" ca="1" si="13"/>
        <v>-0.7</v>
      </c>
    </row>
    <row r="131" spans="1:48" x14ac:dyDescent="0.25">
      <c r="A131" s="265">
        <f t="shared" si="16"/>
        <v>43557</v>
      </c>
      <c r="B131" s="265" t="str">
        <f t="shared" si="14"/>
        <v>2 Apr 2019</v>
      </c>
      <c r="C131" s="267">
        <f t="shared" si="15"/>
        <v>14</v>
      </c>
      <c r="D131">
        <f>MATCH(A131,GCalXMLT[daydate],0)</f>
        <v>130</v>
      </c>
      <c r="E131">
        <f>VALUE("1" &amp; Masacod(INDEX(GCalXMLT[gymasa],D131)) &amp; PaksaCod(INDEX(GCalXMLT[mpaksaid],D131)) &amp; TithiCod(INDEX(GCalXMLT[stithiname],D131)))</f>
        <v>101013</v>
      </c>
      <c r="F131" t="str">
        <f ca="1">INDEX(Parameters!$K$2:$K$16,MATCH(AV131,Parameters!$L$2:$L$16,0))</f>
        <v/>
      </c>
      <c r="G131">
        <f>INDEX(GCalXMLT[fastmark],$D131)</f>
        <v>0</v>
      </c>
      <c r="H131" t="str">
        <f ca="1">INDEX(Parameters!$J$2:$J$16,MATCH(AV131,Parameters!$L$2:$L$16,0))</f>
        <v/>
      </c>
      <c r="I131">
        <f>INDEX(GCalXMLT[dfestival1],$D131)</f>
        <v>0</v>
      </c>
      <c r="J131">
        <f>IF(INDEX(GCalXMLT[dfestival2],$D131)="(Fast today)",INDEX(Festivals!$R$2:$R$180,MATCH($I131,Festivals!$R$2:$R$180,0)+1),INDEX(GCalXMLT[dfestival2],$D131))</f>
        <v>0</v>
      </c>
      <c r="K131">
        <f>IF(I131="Nandotsava","(Fast till noon)",INDEX(GCalXMLT[dfestival3],$D131))</f>
        <v>0</v>
      </c>
      <c r="L131">
        <f>IF(I131="Nandotsava", INDEX(GCalXMLT[dfestival3],$D131),INDEX(GCalXMLT[dfestival4],$D131))</f>
        <v>0</v>
      </c>
      <c r="M131" t="str">
        <f>IFERROR(INDEX(Festivals!$S$2:$S$160,AP131),"")</f>
        <v/>
      </c>
      <c r="N131" t="str">
        <f>IFERROR(IF($AQ131&gt;1,INDEX(Festivals!$S$2:$S$160,$AP131+1),""),"")</f>
        <v/>
      </c>
      <c r="O131" t="str">
        <f>IFERROR(IF($AQ131&gt;2,INDEX(Festivals!$S$2:$S$160,$AP131+2),""),"")</f>
        <v/>
      </c>
      <c r="P131" t="str">
        <f>IFERROR(IF($AQ131&gt;3,INDEX(Festivals!$S$2:$S$160,$AP131+3),""),"")</f>
        <v/>
      </c>
      <c r="Q131" t="str">
        <f>IFERROR(IF($AQ131&gt;4,INDEX(Festivals!$S$2:$S$160,$AP131+4),""),"")</f>
        <v/>
      </c>
      <c r="R131" t="str">
        <f>IFERROR(IF($AQ131&gt;5,INDEX(Festivals!$S$2:$S$160,$AP131+5),""),"")</f>
        <v/>
      </c>
      <c r="S131" t="str">
        <f>IFERROR(IF($AQ131&gt;6,INDEX(Festivals!$S$2:$S$160,$AP131+6),""),"")</f>
        <v/>
      </c>
      <c r="T131">
        <f>INDEX(GCalXMLT[dcaturmasya1],$D131)</f>
        <v>0</v>
      </c>
      <c r="U131">
        <f>INDEX(GCalXMLT[dcaturmasya2],$D131)</f>
        <v>0</v>
      </c>
      <c r="V131" t="str">
        <f>INDEX(GCalXMLT[sankrantirasi],$D131) &amp; " " &amp; INDEX(GCalXMLT[sankrantitime],$D131)</f>
        <v xml:space="preserve"> </v>
      </c>
      <c r="W131" t="str">
        <f ca="1">IFERROR(INDEX('Holidays Calc'!$K$2:$K$233,AR131),"")</f>
        <v/>
      </c>
      <c r="X131" t="str">
        <f ca="1">IF(AR131="","",IF(INDEX('Holidays Calc'!$I$2:$I$233,AR131+1)=A131,INDEX('Holidays Calc'!$K$2:$K$233,AR131+1),""))</f>
        <v/>
      </c>
      <c r="Y131" t="str">
        <f ca="1">IF(AR131="","",IF(INDEX('Holidays Calc'!$I$2:$I$233,AR131+2)=A131,INDEX('Holidays Calc'!$K$2:$K$233,AR131+2),""))</f>
        <v/>
      </c>
      <c r="Z131" t="str">
        <f ca="1">IF(AR131="","",IF(INDEX('Holidays Calc'!$I$2:$I$233,AR131+3)=A131,INDEX('Holidays Calc'!$K$2:$K$2333,AR131+3),""))</f>
        <v/>
      </c>
      <c r="AA131" t="str">
        <f>IF(I131="Last day of Bhisma Pancaka","",IF(G131="*",-0.7,IF(ISBLANK(INDEX(GCalXMLT[dclass1],$D131)),"",INDEX(GCalXMLT[dclass1],$D131))))</f>
        <v/>
      </c>
      <c r="AB131" t="str">
        <f>IF(J131="First day of Bhisma Pancaka","",IF(AND(G131="*",NOT(ISERROR(SEARCH("ekadasi",J131)))),-0.7,IF(ISBLANK(INDEX(GCalXMLT[dclass2],$D131)),"",INDEX(GCalXMLT[dclass2],$D131))))</f>
        <v/>
      </c>
      <c r="AC131" t="str">
        <f>IF(I131="Nandotsava",-1,IF(ISBLANK(INDEX(GCalXMLT[dclass3],$D131)),"",INDEX(GCalXMLT[dclass3],$D131)))</f>
        <v/>
      </c>
      <c r="AD131" t="str">
        <f>IF(I131="Nandotsava",IF(ISBLANK(INDEX(GCalXMLT[dclass3],$D131)),"",INDEX(GCalXMLT[dclass3],$D131)),IF(ISBLANK(INDEX(GCalXMLT[dclass4],$D131)),"",INDEX(GCalXMLT[dclass4],$D131)))</f>
        <v/>
      </c>
      <c r="AE131" t="str">
        <f>IFERROR(INDEX(Festivals!$V$2:$V$160,AP131),"")</f>
        <v/>
      </c>
      <c r="AF131" t="str">
        <f>IFERROR(IF($AQ131&gt;1,INDEX(Festivals!$V$2:$V$160,$AP131+1),""),"")</f>
        <v/>
      </c>
      <c r="AG131" t="str">
        <f>IFERROR(IF($AQ131&gt;2,INDEX(Festivals!$V$2:$V$160,$AP131+2),""),"")</f>
        <v/>
      </c>
      <c r="AH131" t="str">
        <f>IFERROR(IF($AQ131&gt;3,INDEX(Festivals!$V$2:$V$160,$AP131+3),""),"")</f>
        <v/>
      </c>
      <c r="AI131" t="str">
        <f>IFERROR(IF($AQ131&gt;4,INDEX(Festivals!$V$2:$V$160,$AP131+4),""),"")</f>
        <v/>
      </c>
      <c r="AJ131" t="str">
        <f>IFERROR(IF($AQ131&gt;5,INDEX(Festivals!$V$2:$V$160,$AP131+5),""),"")</f>
        <v/>
      </c>
      <c r="AK131" t="str">
        <f>IFERROR(IF($AQ131&gt;6,INDEX(Festivals!$V$2:$V$160,$AP131+6),""),"")</f>
        <v/>
      </c>
      <c r="AL131" t="str">
        <f ca="1">IFERROR(INDEX('Holidays Calc'!$J$2:$J$233,MATCH(A131,'Holidays Calc'!$I$2:$I$233,0)),"")</f>
        <v/>
      </c>
      <c r="AM131" t="str">
        <f ca="1">IF(AR131="","",IF(INDEX('Holidays Calc'!$I$2:$I$233,AR131+1)=A131,INDEX('Holidays Calc'!$J$2:$J$233,AR131+1),""))</f>
        <v/>
      </c>
      <c r="AN131" t="str">
        <f ca="1">IF(AR131="","",IF(INDEX('Holidays Calc'!$I$2:$I$233,AR131+2)=A131,INDEX('Holidays Calc'!$J$2:$J$233,AR131+2),""))</f>
        <v/>
      </c>
      <c r="AO131" t="str">
        <f ca="1">IF(AR131="","",IF(INDEX('Holidays Calc'!$I$2:$I$233,AR131+3)=A131,INDEX('Holidays Calc'!$J$2:$J$233,AR131+3),""))</f>
        <v/>
      </c>
      <c r="AP131" t="str">
        <f>IFERROR(IF($E131=E130,"",MATCH($E131,Festivals!$H$2:$H$160,0)),"")</f>
        <v/>
      </c>
      <c r="AQ131" t="str">
        <f>IF(AP131="","",COUNTIF(Festivals!$H$2:$H$160,$E131))</f>
        <v/>
      </c>
      <c r="AR131" t="str">
        <f ca="1">IFERROR(MATCH(A131,'Holidays Calc'!$I$2:$I$233,0),"")</f>
        <v/>
      </c>
      <c r="AS131" t="str">
        <f t="shared" ref="AS131:AS194" si="18">IF(COUNT(AA131:AK131)&lt;1,"",MIN(AA131:AK131))</f>
        <v/>
      </c>
      <c r="AT131" t="str">
        <f t="shared" si="17"/>
        <v/>
      </c>
      <c r="AU131" t="str">
        <f t="shared" ref="AU131:AU194" ca="1" si="19">IF(COUNT(AL131:AO131)&lt;1,"",MIN(AL131:AO131))</f>
        <v/>
      </c>
      <c r="AV131" t="str">
        <f t="shared" ref="AV131:AV194" ca="1" si="20">IF(AND(AU131 &lt; -10,AT131 &lt; -0.5),-21,IF(COUNT(AT131:AU131)&lt;1,"",MIN(AT131:AU131)))</f>
        <v/>
      </c>
    </row>
    <row r="132" spans="1:48" x14ac:dyDescent="0.25">
      <c r="A132" s="265">
        <f t="shared" si="16"/>
        <v>43558</v>
      </c>
      <c r="B132" s="265" t="str">
        <f t="shared" si="14"/>
        <v>3 Apr 2019</v>
      </c>
      <c r="C132" s="267">
        <f t="shared" si="15"/>
        <v>14</v>
      </c>
      <c r="D132">
        <f>MATCH(A132,GCalXMLT[daydate],0)</f>
        <v>131</v>
      </c>
      <c r="E132">
        <f>VALUE("1" &amp; Masacod(INDEX(GCalXMLT[gymasa],D132)) &amp; PaksaCod(INDEX(GCalXMLT[mpaksaid],D132)) &amp; TithiCod(INDEX(GCalXMLT[stithiname],D132)))</f>
        <v>101014</v>
      </c>
      <c r="F132" t="str">
        <f ca="1">INDEX(Parameters!$K$2:$K$16,MATCH(AV132,Parameters!$L$2:$L$16,0))</f>
        <v/>
      </c>
      <c r="G132">
        <f>INDEX(GCalXMLT[fastmark],$D132)</f>
        <v>0</v>
      </c>
      <c r="H132" t="str">
        <f ca="1">INDEX(Parameters!$J$2:$J$16,MATCH(AV132,Parameters!$L$2:$L$16,0))</f>
        <v/>
      </c>
      <c r="I132">
        <f>INDEX(GCalXMLT[dfestival1],$D132)</f>
        <v>0</v>
      </c>
      <c r="J132">
        <f>IF(INDEX(GCalXMLT[dfestival2],$D132)="(Fast today)",INDEX(Festivals!$R$2:$R$180,MATCH($I132,Festivals!$R$2:$R$180,0)+1),INDEX(GCalXMLT[dfestival2],$D132))</f>
        <v>0</v>
      </c>
      <c r="K132">
        <f>IF(I132="Nandotsava","(Fast till noon)",INDEX(GCalXMLT[dfestival3],$D132))</f>
        <v>0</v>
      </c>
      <c r="L132">
        <f>IF(I132="Nandotsava", INDEX(GCalXMLT[dfestival3],$D132),INDEX(GCalXMLT[dfestival4],$D132))</f>
        <v>0</v>
      </c>
      <c r="M132" t="str">
        <f>IFERROR(INDEX(Festivals!$S$2:$S$160,AP132),"")</f>
        <v/>
      </c>
      <c r="N132" t="str">
        <f>IFERROR(IF($AQ132&gt;1,INDEX(Festivals!$S$2:$S$160,$AP132+1),""),"")</f>
        <v/>
      </c>
      <c r="O132" t="str">
        <f>IFERROR(IF($AQ132&gt;2,INDEX(Festivals!$S$2:$S$160,$AP132+2),""),"")</f>
        <v/>
      </c>
      <c r="P132" t="str">
        <f>IFERROR(IF($AQ132&gt;3,INDEX(Festivals!$S$2:$S$160,$AP132+3),""),"")</f>
        <v/>
      </c>
      <c r="Q132" t="str">
        <f>IFERROR(IF($AQ132&gt;4,INDEX(Festivals!$S$2:$S$160,$AP132+4),""),"")</f>
        <v/>
      </c>
      <c r="R132" t="str">
        <f>IFERROR(IF($AQ132&gt;5,INDEX(Festivals!$S$2:$S$160,$AP132+5),""),"")</f>
        <v/>
      </c>
      <c r="S132" t="str">
        <f>IFERROR(IF($AQ132&gt;6,INDEX(Festivals!$S$2:$S$160,$AP132+6),""),"")</f>
        <v/>
      </c>
      <c r="T132">
        <f>INDEX(GCalXMLT[dcaturmasya1],$D132)</f>
        <v>0</v>
      </c>
      <c r="U132">
        <f>INDEX(GCalXMLT[dcaturmasya2],$D132)</f>
        <v>0</v>
      </c>
      <c r="V132" t="str">
        <f>INDEX(GCalXMLT[sankrantirasi],$D132) &amp; " " &amp; INDEX(GCalXMLT[sankrantitime],$D132)</f>
        <v xml:space="preserve"> </v>
      </c>
      <c r="W132" t="str">
        <f ca="1">IFERROR(INDEX('Holidays Calc'!$K$2:$K$233,AR132),"")</f>
        <v/>
      </c>
      <c r="X132" t="str">
        <f ca="1">IF(AR132="","",IF(INDEX('Holidays Calc'!$I$2:$I$233,AR132+1)=A132,INDEX('Holidays Calc'!$K$2:$K$233,AR132+1),""))</f>
        <v/>
      </c>
      <c r="Y132" t="str">
        <f ca="1">IF(AR132="","",IF(INDEX('Holidays Calc'!$I$2:$I$233,AR132+2)=A132,INDEX('Holidays Calc'!$K$2:$K$233,AR132+2),""))</f>
        <v/>
      </c>
      <c r="Z132" t="str">
        <f ca="1">IF(AR132="","",IF(INDEX('Holidays Calc'!$I$2:$I$233,AR132+3)=A132,INDEX('Holidays Calc'!$K$2:$K$2333,AR132+3),""))</f>
        <v/>
      </c>
      <c r="AA132" t="str">
        <f>IF(I132="Last day of Bhisma Pancaka","",IF(G132="*",-0.7,IF(ISBLANK(INDEX(GCalXMLT[dclass1],$D132)),"",INDEX(GCalXMLT[dclass1],$D132))))</f>
        <v/>
      </c>
      <c r="AB132" t="str">
        <f>IF(J132="First day of Bhisma Pancaka","",IF(AND(G132="*",NOT(ISERROR(SEARCH("ekadasi",J132)))),-0.7,IF(ISBLANK(INDEX(GCalXMLT[dclass2],$D132)),"",INDEX(GCalXMLT[dclass2],$D132))))</f>
        <v/>
      </c>
      <c r="AC132" t="str">
        <f>IF(I132="Nandotsava",-1,IF(ISBLANK(INDEX(GCalXMLT[dclass3],$D132)),"",INDEX(GCalXMLT[dclass3],$D132)))</f>
        <v/>
      </c>
      <c r="AD132" t="str">
        <f>IF(I132="Nandotsava",IF(ISBLANK(INDEX(GCalXMLT[dclass3],$D132)),"",INDEX(GCalXMLT[dclass3],$D132)),IF(ISBLANK(INDEX(GCalXMLT[dclass4],$D132)),"",INDEX(GCalXMLT[dclass4],$D132)))</f>
        <v/>
      </c>
      <c r="AE132" t="str">
        <f>IFERROR(INDEX(Festivals!$V$2:$V$160,AP132),"")</f>
        <v/>
      </c>
      <c r="AF132" t="str">
        <f>IFERROR(IF($AQ132&gt;1,INDEX(Festivals!$V$2:$V$160,$AP132+1),""),"")</f>
        <v/>
      </c>
      <c r="AG132" t="str">
        <f>IFERROR(IF($AQ132&gt;2,INDEX(Festivals!$V$2:$V$160,$AP132+2),""),"")</f>
        <v/>
      </c>
      <c r="AH132" t="str">
        <f>IFERROR(IF($AQ132&gt;3,INDEX(Festivals!$V$2:$V$160,$AP132+3),""),"")</f>
        <v/>
      </c>
      <c r="AI132" t="str">
        <f>IFERROR(IF($AQ132&gt;4,INDEX(Festivals!$V$2:$V$160,$AP132+4),""),"")</f>
        <v/>
      </c>
      <c r="AJ132" t="str">
        <f>IFERROR(IF($AQ132&gt;5,INDEX(Festivals!$V$2:$V$160,$AP132+5),""),"")</f>
        <v/>
      </c>
      <c r="AK132" t="str">
        <f>IFERROR(IF($AQ132&gt;6,INDEX(Festivals!$V$2:$V$160,$AP132+6),""),"")</f>
        <v/>
      </c>
      <c r="AL132" t="str">
        <f ca="1">IFERROR(INDEX('Holidays Calc'!$J$2:$J$233,MATCH(A132,'Holidays Calc'!$I$2:$I$233,0)),"")</f>
        <v/>
      </c>
      <c r="AM132" t="str">
        <f ca="1">IF(AR132="","",IF(INDEX('Holidays Calc'!$I$2:$I$233,AR132+1)=A132,INDEX('Holidays Calc'!$J$2:$J$233,AR132+1),""))</f>
        <v/>
      </c>
      <c r="AN132" t="str">
        <f ca="1">IF(AR132="","",IF(INDEX('Holidays Calc'!$I$2:$I$233,AR132+2)=A132,INDEX('Holidays Calc'!$J$2:$J$233,AR132+2),""))</f>
        <v/>
      </c>
      <c r="AO132" t="str">
        <f ca="1">IF(AR132="","",IF(INDEX('Holidays Calc'!$I$2:$I$233,AR132+3)=A132,INDEX('Holidays Calc'!$J$2:$J$233,AR132+3),""))</f>
        <v/>
      </c>
      <c r="AP132" t="str">
        <f>IFERROR(IF($E132=E131,"",MATCH($E132,Festivals!$H$2:$H$160,0)),"")</f>
        <v/>
      </c>
      <c r="AQ132" t="str">
        <f>IF(AP132="","",COUNTIF(Festivals!$H$2:$H$160,$E132))</f>
        <v/>
      </c>
      <c r="AR132" t="str">
        <f ca="1">IFERROR(MATCH(A132,'Holidays Calc'!$I$2:$I$233,0),"")</f>
        <v/>
      </c>
      <c r="AS132" t="str">
        <f t="shared" si="18"/>
        <v/>
      </c>
      <c r="AT132" t="str">
        <f t="shared" si="17"/>
        <v/>
      </c>
      <c r="AU132" t="str">
        <f t="shared" ca="1" si="19"/>
        <v/>
      </c>
      <c r="AV132" t="str">
        <f t="shared" ca="1" si="20"/>
        <v/>
      </c>
    </row>
    <row r="133" spans="1:48" x14ac:dyDescent="0.25">
      <c r="A133" s="265">
        <f t="shared" si="16"/>
        <v>43559</v>
      </c>
      <c r="B133" s="265" t="str">
        <f t="shared" si="14"/>
        <v>4 Apr 2019</v>
      </c>
      <c r="C133" s="267">
        <f t="shared" si="15"/>
        <v>14</v>
      </c>
      <c r="D133">
        <f>MATCH(A133,GCalXMLT[daydate],0)</f>
        <v>132</v>
      </c>
      <c r="E133">
        <f>VALUE("1" &amp; Masacod(INDEX(GCalXMLT[gymasa],D133)) &amp; PaksaCod(INDEX(GCalXMLT[mpaksaid],D133)) &amp; TithiCod(INDEX(GCalXMLT[stithiname],D133)))</f>
        <v>101015</v>
      </c>
      <c r="F133" t="str">
        <f ca="1">INDEX(Parameters!$K$2:$K$16,MATCH(AV133,Parameters!$L$2:$L$16,0))</f>
        <v/>
      </c>
      <c r="G133">
        <f>INDEX(GCalXMLT[fastmark],$D133)</f>
        <v>0</v>
      </c>
      <c r="H133" t="str">
        <f ca="1">INDEX(Parameters!$J$2:$J$16,MATCH(AV133,Parameters!$L$2:$L$16,0))</f>
        <v/>
      </c>
      <c r="I133">
        <f>INDEX(GCalXMLT[dfestival1],$D133)</f>
        <v>0</v>
      </c>
      <c r="J133">
        <f>IF(INDEX(GCalXMLT[dfestival2],$D133)="(Fast today)",INDEX(Festivals!$R$2:$R$180,MATCH($I133,Festivals!$R$2:$R$180,0)+1),INDEX(GCalXMLT[dfestival2],$D133))</f>
        <v>0</v>
      </c>
      <c r="K133">
        <f>IF(I133="Nandotsava","(Fast till noon)",INDEX(GCalXMLT[dfestival3],$D133))</f>
        <v>0</v>
      </c>
      <c r="L133">
        <f>IF(I133="Nandotsava", INDEX(GCalXMLT[dfestival3],$D133),INDEX(GCalXMLT[dfestival4],$D133))</f>
        <v>0</v>
      </c>
      <c r="M133" t="str">
        <f>IFERROR(INDEX(Festivals!$S$2:$S$160,AP133),"")</f>
        <v/>
      </c>
      <c r="N133" t="str">
        <f>IFERROR(IF($AQ133&gt;1,INDEX(Festivals!$S$2:$S$160,$AP133+1),""),"")</f>
        <v/>
      </c>
      <c r="O133" t="str">
        <f>IFERROR(IF($AQ133&gt;2,INDEX(Festivals!$S$2:$S$160,$AP133+2),""),"")</f>
        <v/>
      </c>
      <c r="P133" t="str">
        <f>IFERROR(IF($AQ133&gt;3,INDEX(Festivals!$S$2:$S$160,$AP133+3),""),"")</f>
        <v/>
      </c>
      <c r="Q133" t="str">
        <f>IFERROR(IF($AQ133&gt;4,INDEX(Festivals!$S$2:$S$160,$AP133+4),""),"")</f>
        <v/>
      </c>
      <c r="R133" t="str">
        <f>IFERROR(IF($AQ133&gt;5,INDEX(Festivals!$S$2:$S$160,$AP133+5),""),"")</f>
        <v/>
      </c>
      <c r="S133" t="str">
        <f>IFERROR(IF($AQ133&gt;6,INDEX(Festivals!$S$2:$S$160,$AP133+6),""),"")</f>
        <v/>
      </c>
      <c r="T133">
        <f>INDEX(GCalXMLT[dcaturmasya1],$D133)</f>
        <v>0</v>
      </c>
      <c r="U133">
        <f>INDEX(GCalXMLT[dcaturmasya2],$D133)</f>
        <v>0</v>
      </c>
      <c r="V133" t="str">
        <f>INDEX(GCalXMLT[sankrantirasi],$D133) &amp; " " &amp; INDEX(GCalXMLT[sankrantitime],$D133)</f>
        <v xml:space="preserve"> </v>
      </c>
      <c r="W133" t="str">
        <f ca="1">IFERROR(INDEX('Holidays Calc'!$K$2:$K$233,AR133),"")</f>
        <v/>
      </c>
      <c r="X133" t="str">
        <f ca="1">IF(AR133="","",IF(INDEX('Holidays Calc'!$I$2:$I$233,AR133+1)=A133,INDEX('Holidays Calc'!$K$2:$K$233,AR133+1),""))</f>
        <v/>
      </c>
      <c r="Y133" t="str">
        <f ca="1">IF(AR133="","",IF(INDEX('Holidays Calc'!$I$2:$I$233,AR133+2)=A133,INDEX('Holidays Calc'!$K$2:$K$233,AR133+2),""))</f>
        <v/>
      </c>
      <c r="Z133" t="str">
        <f ca="1">IF(AR133="","",IF(INDEX('Holidays Calc'!$I$2:$I$233,AR133+3)=A133,INDEX('Holidays Calc'!$K$2:$K$2333,AR133+3),""))</f>
        <v/>
      </c>
      <c r="AA133" t="str">
        <f>IF(I133="Last day of Bhisma Pancaka","",IF(G133="*",-0.7,IF(ISBLANK(INDEX(GCalXMLT[dclass1],$D133)),"",INDEX(GCalXMLT[dclass1],$D133))))</f>
        <v/>
      </c>
      <c r="AB133" t="str">
        <f>IF(J133="First day of Bhisma Pancaka","",IF(AND(G133="*",NOT(ISERROR(SEARCH("ekadasi",J133)))),-0.7,IF(ISBLANK(INDEX(GCalXMLT[dclass2],$D133)),"",INDEX(GCalXMLT[dclass2],$D133))))</f>
        <v/>
      </c>
      <c r="AC133" t="str">
        <f>IF(I133="Nandotsava",-1,IF(ISBLANK(INDEX(GCalXMLT[dclass3],$D133)),"",INDEX(GCalXMLT[dclass3],$D133)))</f>
        <v/>
      </c>
      <c r="AD133" t="str">
        <f>IF(I133="Nandotsava",IF(ISBLANK(INDEX(GCalXMLT[dclass3],$D133)),"",INDEX(GCalXMLT[dclass3],$D133)),IF(ISBLANK(INDEX(GCalXMLT[dclass4],$D133)),"",INDEX(GCalXMLT[dclass4],$D133)))</f>
        <v/>
      </c>
      <c r="AE133" t="str">
        <f>IFERROR(INDEX(Festivals!$V$2:$V$160,AP133),"")</f>
        <v/>
      </c>
      <c r="AF133" t="str">
        <f>IFERROR(IF($AQ133&gt;1,INDEX(Festivals!$V$2:$V$160,$AP133+1),""),"")</f>
        <v/>
      </c>
      <c r="AG133" t="str">
        <f>IFERROR(IF($AQ133&gt;2,INDEX(Festivals!$V$2:$V$160,$AP133+2),""),"")</f>
        <v/>
      </c>
      <c r="AH133" t="str">
        <f>IFERROR(IF($AQ133&gt;3,INDEX(Festivals!$V$2:$V$160,$AP133+3),""),"")</f>
        <v/>
      </c>
      <c r="AI133" t="str">
        <f>IFERROR(IF($AQ133&gt;4,INDEX(Festivals!$V$2:$V$160,$AP133+4),""),"")</f>
        <v/>
      </c>
      <c r="AJ133" t="str">
        <f>IFERROR(IF($AQ133&gt;5,INDEX(Festivals!$V$2:$V$160,$AP133+5),""),"")</f>
        <v/>
      </c>
      <c r="AK133" t="str">
        <f>IFERROR(IF($AQ133&gt;6,INDEX(Festivals!$V$2:$V$160,$AP133+6),""),"")</f>
        <v/>
      </c>
      <c r="AL133" t="str">
        <f ca="1">IFERROR(INDEX('Holidays Calc'!$J$2:$J$233,MATCH(A133,'Holidays Calc'!$I$2:$I$233,0)),"")</f>
        <v/>
      </c>
      <c r="AM133" t="str">
        <f ca="1">IF(AR133="","",IF(INDEX('Holidays Calc'!$I$2:$I$233,AR133+1)=A133,INDEX('Holidays Calc'!$J$2:$J$233,AR133+1),""))</f>
        <v/>
      </c>
      <c r="AN133" t="str">
        <f ca="1">IF(AR133="","",IF(INDEX('Holidays Calc'!$I$2:$I$233,AR133+2)=A133,INDEX('Holidays Calc'!$J$2:$J$233,AR133+2),""))</f>
        <v/>
      </c>
      <c r="AO133" t="str">
        <f ca="1">IF(AR133="","",IF(INDEX('Holidays Calc'!$I$2:$I$233,AR133+3)=A133,INDEX('Holidays Calc'!$J$2:$J$233,AR133+3),""))</f>
        <v/>
      </c>
      <c r="AP133" t="str">
        <f>IFERROR(IF($E133=E132,"",MATCH($E133,Festivals!$H$2:$H$160,0)),"")</f>
        <v/>
      </c>
      <c r="AQ133" t="str">
        <f>IF(AP133="","",COUNTIF(Festivals!$H$2:$H$160,$E133))</f>
        <v/>
      </c>
      <c r="AR133" t="str">
        <f ca="1">IFERROR(MATCH(A133,'Holidays Calc'!$I$2:$I$233,0),"")</f>
        <v/>
      </c>
      <c r="AS133" t="str">
        <f t="shared" si="18"/>
        <v/>
      </c>
      <c r="AT133" t="str">
        <f t="shared" si="17"/>
        <v/>
      </c>
      <c r="AU133" t="str">
        <f t="shared" ca="1" si="19"/>
        <v/>
      </c>
      <c r="AV133" t="str">
        <f t="shared" ca="1" si="20"/>
        <v/>
      </c>
    </row>
    <row r="134" spans="1:48" x14ac:dyDescent="0.25">
      <c r="A134" s="265">
        <f t="shared" si="16"/>
        <v>43560</v>
      </c>
      <c r="B134" s="265" t="str">
        <f t="shared" si="14"/>
        <v>5 Apr 2019</v>
      </c>
      <c r="C134" s="267">
        <f t="shared" si="15"/>
        <v>14</v>
      </c>
      <c r="D134">
        <f>MATCH(A134,GCalXMLT[daydate],0)</f>
        <v>133</v>
      </c>
      <c r="E134">
        <f>VALUE("1" &amp; Masacod(INDEX(GCalXMLT[gymasa],D134)) &amp; PaksaCod(INDEX(GCalXMLT[mpaksaid],D134)) &amp; TithiCod(INDEX(GCalXMLT[stithiname],D134)))</f>
        <v>101015</v>
      </c>
      <c r="F134" t="str">
        <f ca="1">INDEX(Parameters!$K$2:$K$16,MATCH(AV134,Parameters!$L$2:$L$16,0))</f>
        <v/>
      </c>
      <c r="G134">
        <f>INDEX(GCalXMLT[fastmark],$D134)</f>
        <v>0</v>
      </c>
      <c r="H134" t="str">
        <f ca="1">INDEX(Parameters!$J$2:$J$16,MATCH(AV134,Parameters!$L$2:$L$16,0))</f>
        <v/>
      </c>
      <c r="I134">
        <f>INDEX(GCalXMLT[dfestival1],$D134)</f>
        <v>0</v>
      </c>
      <c r="J134">
        <f>IF(INDEX(GCalXMLT[dfestival2],$D134)="(Fast today)",INDEX(Festivals!$R$2:$R$180,MATCH($I134,Festivals!$R$2:$R$180,0)+1),INDEX(GCalXMLT[dfestival2],$D134))</f>
        <v>0</v>
      </c>
      <c r="K134">
        <f>IF(I134="Nandotsava","(Fast till noon)",INDEX(GCalXMLT[dfestival3],$D134))</f>
        <v>0</v>
      </c>
      <c r="L134">
        <f>IF(I134="Nandotsava", INDEX(GCalXMLT[dfestival3],$D134),INDEX(GCalXMLT[dfestival4],$D134))</f>
        <v>0</v>
      </c>
      <c r="M134" t="str">
        <f>IFERROR(INDEX(Festivals!$S$2:$S$160,AP134),"")</f>
        <v/>
      </c>
      <c r="N134" t="str">
        <f>IFERROR(IF($AQ134&gt;1,INDEX(Festivals!$S$2:$S$160,$AP134+1),""),"")</f>
        <v/>
      </c>
      <c r="O134" t="str">
        <f>IFERROR(IF($AQ134&gt;2,INDEX(Festivals!$S$2:$S$160,$AP134+2),""),"")</f>
        <v/>
      </c>
      <c r="P134" t="str">
        <f>IFERROR(IF($AQ134&gt;3,INDEX(Festivals!$S$2:$S$160,$AP134+3),""),"")</f>
        <v/>
      </c>
      <c r="Q134" t="str">
        <f>IFERROR(IF($AQ134&gt;4,INDEX(Festivals!$S$2:$S$160,$AP134+4),""),"")</f>
        <v/>
      </c>
      <c r="R134" t="str">
        <f>IFERROR(IF($AQ134&gt;5,INDEX(Festivals!$S$2:$S$160,$AP134+5),""),"")</f>
        <v/>
      </c>
      <c r="S134" t="str">
        <f>IFERROR(IF($AQ134&gt;6,INDEX(Festivals!$S$2:$S$160,$AP134+6),""),"")</f>
        <v/>
      </c>
      <c r="T134">
        <f>INDEX(GCalXMLT[dcaturmasya1],$D134)</f>
        <v>0</v>
      </c>
      <c r="U134">
        <f>INDEX(GCalXMLT[dcaturmasya2],$D134)</f>
        <v>0</v>
      </c>
      <c r="V134" t="str">
        <f>INDEX(GCalXMLT[sankrantirasi],$D134) &amp; " " &amp; INDEX(GCalXMLT[sankrantitime],$D134)</f>
        <v xml:space="preserve"> </v>
      </c>
      <c r="W134" t="str">
        <f ca="1">IFERROR(INDEX('Holidays Calc'!$K$2:$K$233,AR134),"")</f>
        <v/>
      </c>
      <c r="X134" t="str">
        <f ca="1">IF(AR134="","",IF(INDEX('Holidays Calc'!$I$2:$I$233,AR134+1)=A134,INDEX('Holidays Calc'!$K$2:$K$233,AR134+1),""))</f>
        <v/>
      </c>
      <c r="Y134" t="str">
        <f ca="1">IF(AR134="","",IF(INDEX('Holidays Calc'!$I$2:$I$233,AR134+2)=A134,INDEX('Holidays Calc'!$K$2:$K$233,AR134+2),""))</f>
        <v/>
      </c>
      <c r="Z134" t="str">
        <f ca="1">IF(AR134="","",IF(INDEX('Holidays Calc'!$I$2:$I$233,AR134+3)=A134,INDEX('Holidays Calc'!$K$2:$K$2333,AR134+3),""))</f>
        <v/>
      </c>
      <c r="AA134" t="str">
        <f>IF(I134="Last day of Bhisma Pancaka","",IF(G134="*",-0.7,IF(ISBLANK(INDEX(GCalXMLT[dclass1],$D134)),"",INDEX(GCalXMLT[dclass1],$D134))))</f>
        <v/>
      </c>
      <c r="AB134" t="str">
        <f>IF(J134="First day of Bhisma Pancaka","",IF(AND(G134="*",NOT(ISERROR(SEARCH("ekadasi",J134)))),-0.7,IF(ISBLANK(INDEX(GCalXMLT[dclass2],$D134)),"",INDEX(GCalXMLT[dclass2],$D134))))</f>
        <v/>
      </c>
      <c r="AC134" t="str">
        <f>IF(I134="Nandotsava",-1,IF(ISBLANK(INDEX(GCalXMLT[dclass3],$D134)),"",INDEX(GCalXMLT[dclass3],$D134)))</f>
        <v/>
      </c>
      <c r="AD134" t="str">
        <f>IF(I134="Nandotsava",IF(ISBLANK(INDEX(GCalXMLT[dclass3],$D134)),"",INDEX(GCalXMLT[dclass3],$D134)),IF(ISBLANK(INDEX(GCalXMLT[dclass4],$D134)),"",INDEX(GCalXMLT[dclass4],$D134)))</f>
        <v/>
      </c>
      <c r="AE134" t="str">
        <f>IFERROR(INDEX(Festivals!$V$2:$V$160,AP134),"")</f>
        <v/>
      </c>
      <c r="AF134" t="str">
        <f>IFERROR(IF($AQ134&gt;1,INDEX(Festivals!$V$2:$V$160,$AP134+1),""),"")</f>
        <v/>
      </c>
      <c r="AG134" t="str">
        <f>IFERROR(IF($AQ134&gt;2,INDEX(Festivals!$V$2:$V$160,$AP134+2),""),"")</f>
        <v/>
      </c>
      <c r="AH134" t="str">
        <f>IFERROR(IF($AQ134&gt;3,INDEX(Festivals!$V$2:$V$160,$AP134+3),""),"")</f>
        <v/>
      </c>
      <c r="AI134" t="str">
        <f>IFERROR(IF($AQ134&gt;4,INDEX(Festivals!$V$2:$V$160,$AP134+4),""),"")</f>
        <v/>
      </c>
      <c r="AJ134" t="str">
        <f>IFERROR(IF($AQ134&gt;5,INDEX(Festivals!$V$2:$V$160,$AP134+5),""),"")</f>
        <v/>
      </c>
      <c r="AK134" t="str">
        <f>IFERROR(IF($AQ134&gt;6,INDEX(Festivals!$V$2:$V$160,$AP134+6),""),"")</f>
        <v/>
      </c>
      <c r="AL134" t="str">
        <f ca="1">IFERROR(INDEX('Holidays Calc'!$J$2:$J$233,MATCH(A134,'Holidays Calc'!$I$2:$I$233,0)),"")</f>
        <v/>
      </c>
      <c r="AM134" t="str">
        <f ca="1">IF(AR134="","",IF(INDEX('Holidays Calc'!$I$2:$I$233,AR134+1)=A134,INDEX('Holidays Calc'!$J$2:$J$233,AR134+1),""))</f>
        <v/>
      </c>
      <c r="AN134" t="str">
        <f ca="1">IF(AR134="","",IF(INDEX('Holidays Calc'!$I$2:$I$233,AR134+2)=A134,INDEX('Holidays Calc'!$J$2:$J$233,AR134+2),""))</f>
        <v/>
      </c>
      <c r="AO134" t="str">
        <f ca="1">IF(AR134="","",IF(INDEX('Holidays Calc'!$I$2:$I$233,AR134+3)=A134,INDEX('Holidays Calc'!$J$2:$J$233,AR134+3),""))</f>
        <v/>
      </c>
      <c r="AP134" t="str">
        <f>IFERROR(IF($E134=E133,"",MATCH($E134,Festivals!$H$2:$H$160,0)),"")</f>
        <v/>
      </c>
      <c r="AQ134" t="str">
        <f>IF(AP134="","",COUNTIF(Festivals!$H$2:$H$160,$E134))</f>
        <v/>
      </c>
      <c r="AR134" t="str">
        <f ca="1">IFERROR(MATCH(A134,'Holidays Calc'!$I$2:$I$233,0),"")</f>
        <v/>
      </c>
      <c r="AS134" t="str">
        <f t="shared" si="18"/>
        <v/>
      </c>
      <c r="AT134" t="str">
        <f t="shared" si="17"/>
        <v/>
      </c>
      <c r="AU134" t="str">
        <f t="shared" ca="1" si="19"/>
        <v/>
      </c>
      <c r="AV134" t="str">
        <f t="shared" ca="1" si="20"/>
        <v/>
      </c>
    </row>
    <row r="135" spans="1:48" x14ac:dyDescent="0.25">
      <c r="A135" s="265">
        <f t="shared" si="16"/>
        <v>43561</v>
      </c>
      <c r="B135" s="265" t="str">
        <f t="shared" si="14"/>
        <v>6 Apr 2019</v>
      </c>
      <c r="C135" s="267">
        <f t="shared" si="15"/>
        <v>14</v>
      </c>
      <c r="D135">
        <f>MATCH(A135,GCalXMLT[daydate],0)</f>
        <v>134</v>
      </c>
      <c r="E135">
        <f>VALUE("1" &amp; Masacod(INDEX(GCalXMLT[gymasa],D135)) &amp; PaksaCod(INDEX(GCalXMLT[mpaksaid],D135)) &amp; TithiCod(INDEX(GCalXMLT[stithiname],D135)))</f>
        <v>101101</v>
      </c>
      <c r="F135" t="str">
        <f ca="1">INDEX(Parameters!$K$2:$K$16,MATCH(AV135,Parameters!$L$2:$L$16,0))</f>
        <v/>
      </c>
      <c r="G135">
        <f>INDEX(GCalXMLT[fastmark],$D135)</f>
        <v>0</v>
      </c>
      <c r="H135" t="str">
        <f ca="1">INDEX(Parameters!$J$2:$J$16,MATCH(AV135,Parameters!$L$2:$L$16,0))</f>
        <v/>
      </c>
      <c r="I135">
        <f>INDEX(GCalXMLT[dfestival1],$D135)</f>
        <v>0</v>
      </c>
      <c r="J135">
        <f>IF(INDEX(GCalXMLT[dfestival2],$D135)="(Fast today)",INDEX(Festivals!$R$2:$R$180,MATCH($I135,Festivals!$R$2:$R$180,0)+1),INDEX(GCalXMLT[dfestival2],$D135))</f>
        <v>0</v>
      </c>
      <c r="K135">
        <f>IF(I135="Nandotsava","(Fast till noon)",INDEX(GCalXMLT[dfestival3],$D135))</f>
        <v>0</v>
      </c>
      <c r="L135">
        <f>IF(I135="Nandotsava", INDEX(GCalXMLT[dfestival3],$D135),INDEX(GCalXMLT[dfestival4],$D135))</f>
        <v>0</v>
      </c>
      <c r="M135" t="str">
        <f>IFERROR(INDEX(Festivals!$S$2:$S$160,AP135),"")</f>
        <v/>
      </c>
      <c r="N135" t="str">
        <f>IFERROR(IF($AQ135&gt;1,INDEX(Festivals!$S$2:$S$160,$AP135+1),""),"")</f>
        <v/>
      </c>
      <c r="O135" t="str">
        <f>IFERROR(IF($AQ135&gt;2,INDEX(Festivals!$S$2:$S$160,$AP135+2),""),"")</f>
        <v/>
      </c>
      <c r="P135" t="str">
        <f>IFERROR(IF($AQ135&gt;3,INDEX(Festivals!$S$2:$S$160,$AP135+3),""),"")</f>
        <v/>
      </c>
      <c r="Q135" t="str">
        <f>IFERROR(IF($AQ135&gt;4,INDEX(Festivals!$S$2:$S$160,$AP135+4),""),"")</f>
        <v/>
      </c>
      <c r="R135" t="str">
        <f>IFERROR(IF($AQ135&gt;5,INDEX(Festivals!$S$2:$S$160,$AP135+5),""),"")</f>
        <v/>
      </c>
      <c r="S135" t="str">
        <f>IFERROR(IF($AQ135&gt;6,INDEX(Festivals!$S$2:$S$160,$AP135+6),""),"")</f>
        <v/>
      </c>
      <c r="T135">
        <f>INDEX(GCalXMLT[dcaturmasya1],$D135)</f>
        <v>0</v>
      </c>
      <c r="U135">
        <f>INDEX(GCalXMLT[dcaturmasya2],$D135)</f>
        <v>0</v>
      </c>
      <c r="V135" t="str">
        <f>INDEX(GCalXMLT[sankrantirasi],$D135) &amp; " " &amp; INDEX(GCalXMLT[sankrantitime],$D135)</f>
        <v xml:space="preserve"> </v>
      </c>
      <c r="W135" t="str">
        <f ca="1">IFERROR(INDEX('Holidays Calc'!$K$2:$K$233,AR135),"")</f>
        <v/>
      </c>
      <c r="X135" t="str">
        <f ca="1">IF(AR135="","",IF(INDEX('Holidays Calc'!$I$2:$I$233,AR135+1)=A135,INDEX('Holidays Calc'!$K$2:$K$233,AR135+1),""))</f>
        <v/>
      </c>
      <c r="Y135" t="str">
        <f ca="1">IF(AR135="","",IF(INDEX('Holidays Calc'!$I$2:$I$233,AR135+2)=A135,INDEX('Holidays Calc'!$K$2:$K$233,AR135+2),""))</f>
        <v/>
      </c>
      <c r="Z135" t="str">
        <f ca="1">IF(AR135="","",IF(INDEX('Holidays Calc'!$I$2:$I$233,AR135+3)=A135,INDEX('Holidays Calc'!$K$2:$K$2333,AR135+3),""))</f>
        <v/>
      </c>
      <c r="AA135" t="str">
        <f>IF(I135="Last day of Bhisma Pancaka","",IF(G135="*",-0.7,IF(ISBLANK(INDEX(GCalXMLT[dclass1],$D135)),"",INDEX(GCalXMLT[dclass1],$D135))))</f>
        <v/>
      </c>
      <c r="AB135" t="str">
        <f>IF(J135="First day of Bhisma Pancaka","",IF(AND(G135="*",NOT(ISERROR(SEARCH("ekadasi",J135)))),-0.7,IF(ISBLANK(INDEX(GCalXMLT[dclass2],$D135)),"",INDEX(GCalXMLT[dclass2],$D135))))</f>
        <v/>
      </c>
      <c r="AC135" t="str">
        <f>IF(I135="Nandotsava",-1,IF(ISBLANK(INDEX(GCalXMLT[dclass3],$D135)),"",INDEX(GCalXMLT[dclass3],$D135)))</f>
        <v/>
      </c>
      <c r="AD135" t="str">
        <f>IF(I135="Nandotsava",IF(ISBLANK(INDEX(GCalXMLT[dclass3],$D135)),"",INDEX(GCalXMLT[dclass3],$D135)),IF(ISBLANK(INDEX(GCalXMLT[dclass4],$D135)),"",INDEX(GCalXMLT[dclass4],$D135)))</f>
        <v/>
      </c>
      <c r="AE135" t="str">
        <f>IFERROR(INDEX(Festivals!$V$2:$V$160,AP135),"")</f>
        <v/>
      </c>
      <c r="AF135" t="str">
        <f>IFERROR(IF($AQ135&gt;1,INDEX(Festivals!$V$2:$V$160,$AP135+1),""),"")</f>
        <v/>
      </c>
      <c r="AG135" t="str">
        <f>IFERROR(IF($AQ135&gt;2,INDEX(Festivals!$V$2:$V$160,$AP135+2),""),"")</f>
        <v/>
      </c>
      <c r="AH135" t="str">
        <f>IFERROR(IF($AQ135&gt;3,INDEX(Festivals!$V$2:$V$160,$AP135+3),""),"")</f>
        <v/>
      </c>
      <c r="AI135" t="str">
        <f>IFERROR(IF($AQ135&gt;4,INDEX(Festivals!$V$2:$V$160,$AP135+4),""),"")</f>
        <v/>
      </c>
      <c r="AJ135" t="str">
        <f>IFERROR(IF($AQ135&gt;5,INDEX(Festivals!$V$2:$V$160,$AP135+5),""),"")</f>
        <v/>
      </c>
      <c r="AK135" t="str">
        <f>IFERROR(IF($AQ135&gt;6,INDEX(Festivals!$V$2:$V$160,$AP135+6),""),"")</f>
        <v/>
      </c>
      <c r="AL135" t="str">
        <f ca="1">IFERROR(INDEX('Holidays Calc'!$J$2:$J$233,MATCH(A135,'Holidays Calc'!$I$2:$I$233,0)),"")</f>
        <v/>
      </c>
      <c r="AM135" t="str">
        <f ca="1">IF(AR135="","",IF(INDEX('Holidays Calc'!$I$2:$I$233,AR135+1)=A135,INDEX('Holidays Calc'!$J$2:$J$233,AR135+1),""))</f>
        <v/>
      </c>
      <c r="AN135" t="str">
        <f ca="1">IF(AR135="","",IF(INDEX('Holidays Calc'!$I$2:$I$233,AR135+2)=A135,INDEX('Holidays Calc'!$J$2:$J$233,AR135+2),""))</f>
        <v/>
      </c>
      <c r="AO135" t="str">
        <f ca="1">IF(AR135="","",IF(INDEX('Holidays Calc'!$I$2:$I$233,AR135+3)=A135,INDEX('Holidays Calc'!$J$2:$J$233,AR135+3),""))</f>
        <v/>
      </c>
      <c r="AP135" t="str">
        <f>IFERROR(IF($E135=E134,"",MATCH($E135,Festivals!$H$2:$H$160,0)),"")</f>
        <v/>
      </c>
      <c r="AQ135" t="str">
        <f>IF(AP135="","",COUNTIF(Festivals!$H$2:$H$160,$E135))</f>
        <v/>
      </c>
      <c r="AR135" t="str">
        <f ca="1">IFERROR(MATCH(A135,'Holidays Calc'!$I$2:$I$233,0),"")</f>
        <v/>
      </c>
      <c r="AS135" t="str">
        <f t="shared" si="18"/>
        <v/>
      </c>
      <c r="AT135" t="str">
        <f t="shared" si="17"/>
        <v/>
      </c>
      <c r="AU135" t="str">
        <f t="shared" ca="1" si="19"/>
        <v/>
      </c>
      <c r="AV135" t="str">
        <f t="shared" ca="1" si="20"/>
        <v/>
      </c>
    </row>
    <row r="136" spans="1:48" x14ac:dyDescent="0.25">
      <c r="A136" s="265">
        <f t="shared" si="16"/>
        <v>43562</v>
      </c>
      <c r="B136" s="265" t="str">
        <f t="shared" si="14"/>
        <v>7 Apr 2019</v>
      </c>
      <c r="C136" s="267">
        <f t="shared" si="15"/>
        <v>14</v>
      </c>
      <c r="D136">
        <f>MATCH(A136,GCalXMLT[daydate],0)</f>
        <v>135</v>
      </c>
      <c r="E136">
        <f>VALUE("1" &amp; Masacod(INDEX(GCalXMLT[gymasa],D136)) &amp; PaksaCod(INDEX(GCalXMLT[mpaksaid],D136)) &amp; TithiCod(INDEX(GCalXMLT[stithiname],D136)))</f>
        <v>101102</v>
      </c>
      <c r="F136" t="str">
        <f ca="1">INDEX(Parameters!$K$2:$K$16,MATCH(AV136,Parameters!$L$2:$L$16,0))</f>
        <v/>
      </c>
      <c r="G136">
        <f>INDEX(GCalXMLT[fastmark],$D136)</f>
        <v>0</v>
      </c>
      <c r="H136" t="str">
        <f ca="1">INDEX(Parameters!$J$2:$J$16,MATCH(AV136,Parameters!$L$2:$L$16,0))</f>
        <v/>
      </c>
      <c r="I136">
        <f>INDEX(GCalXMLT[dfestival1],$D136)</f>
        <v>0</v>
      </c>
      <c r="J136">
        <f>IF(INDEX(GCalXMLT[dfestival2],$D136)="(Fast today)",INDEX(Festivals!$R$2:$R$180,MATCH($I136,Festivals!$R$2:$R$180,0)+1),INDEX(GCalXMLT[dfestival2],$D136))</f>
        <v>0</v>
      </c>
      <c r="K136">
        <f>IF(I136="Nandotsava","(Fast till noon)",INDEX(GCalXMLT[dfestival3],$D136))</f>
        <v>0</v>
      </c>
      <c r="L136">
        <f>IF(I136="Nandotsava", INDEX(GCalXMLT[dfestival3],$D136),INDEX(GCalXMLT[dfestival4],$D136))</f>
        <v>0</v>
      </c>
      <c r="M136" t="str">
        <f>IFERROR(INDEX(Festivals!$S$2:$S$160,AP136),"")</f>
        <v/>
      </c>
      <c r="N136" t="str">
        <f>IFERROR(IF($AQ136&gt;1,INDEX(Festivals!$S$2:$S$160,$AP136+1),""),"")</f>
        <v/>
      </c>
      <c r="O136" t="str">
        <f>IFERROR(IF($AQ136&gt;2,INDEX(Festivals!$S$2:$S$160,$AP136+2),""),"")</f>
        <v/>
      </c>
      <c r="P136" t="str">
        <f>IFERROR(IF($AQ136&gt;3,INDEX(Festivals!$S$2:$S$160,$AP136+3),""),"")</f>
        <v/>
      </c>
      <c r="Q136" t="str">
        <f>IFERROR(IF($AQ136&gt;4,INDEX(Festivals!$S$2:$S$160,$AP136+4),""),"")</f>
        <v/>
      </c>
      <c r="R136" t="str">
        <f>IFERROR(IF($AQ136&gt;5,INDEX(Festivals!$S$2:$S$160,$AP136+5),""),"")</f>
        <v/>
      </c>
      <c r="S136" t="str">
        <f>IFERROR(IF($AQ136&gt;6,INDEX(Festivals!$S$2:$S$160,$AP136+6),""),"")</f>
        <v/>
      </c>
      <c r="T136">
        <f>INDEX(GCalXMLT[dcaturmasya1],$D136)</f>
        <v>0</v>
      </c>
      <c r="U136">
        <f>INDEX(GCalXMLT[dcaturmasya2],$D136)</f>
        <v>0</v>
      </c>
      <c r="V136" t="str">
        <f>INDEX(GCalXMLT[sankrantirasi],$D136) &amp; " " &amp; INDEX(GCalXMLT[sankrantitime],$D136)</f>
        <v xml:space="preserve"> </v>
      </c>
      <c r="W136" t="str">
        <f ca="1">IFERROR(INDEX('Holidays Calc'!$K$2:$K$233,AR136),"")</f>
        <v/>
      </c>
      <c r="X136" t="str">
        <f ca="1">IF(AR136="","",IF(INDEX('Holidays Calc'!$I$2:$I$233,AR136+1)=A136,INDEX('Holidays Calc'!$K$2:$K$233,AR136+1),""))</f>
        <v/>
      </c>
      <c r="Y136" t="str">
        <f ca="1">IF(AR136="","",IF(INDEX('Holidays Calc'!$I$2:$I$233,AR136+2)=A136,INDEX('Holidays Calc'!$K$2:$K$233,AR136+2),""))</f>
        <v/>
      </c>
      <c r="Z136" t="str">
        <f ca="1">IF(AR136="","",IF(INDEX('Holidays Calc'!$I$2:$I$233,AR136+3)=A136,INDEX('Holidays Calc'!$K$2:$K$2333,AR136+3),""))</f>
        <v/>
      </c>
      <c r="AA136" t="str">
        <f>IF(I136="Last day of Bhisma Pancaka","",IF(G136="*",-0.7,IF(ISBLANK(INDEX(GCalXMLT[dclass1],$D136)),"",INDEX(GCalXMLT[dclass1],$D136))))</f>
        <v/>
      </c>
      <c r="AB136" t="str">
        <f>IF(J136="First day of Bhisma Pancaka","",IF(AND(G136="*",NOT(ISERROR(SEARCH("ekadasi",J136)))),-0.7,IF(ISBLANK(INDEX(GCalXMLT[dclass2],$D136)),"",INDEX(GCalXMLT[dclass2],$D136))))</f>
        <v/>
      </c>
      <c r="AC136" t="str">
        <f>IF(I136="Nandotsava",-1,IF(ISBLANK(INDEX(GCalXMLT[dclass3],$D136)),"",INDEX(GCalXMLT[dclass3],$D136)))</f>
        <v/>
      </c>
      <c r="AD136" t="str">
        <f>IF(I136="Nandotsava",IF(ISBLANK(INDEX(GCalXMLT[dclass3],$D136)),"",INDEX(GCalXMLT[dclass3],$D136)),IF(ISBLANK(INDEX(GCalXMLT[dclass4],$D136)),"",INDEX(GCalXMLT[dclass4],$D136)))</f>
        <v/>
      </c>
      <c r="AE136" t="str">
        <f>IFERROR(INDEX(Festivals!$V$2:$V$160,AP136),"")</f>
        <v/>
      </c>
      <c r="AF136" t="str">
        <f>IFERROR(IF($AQ136&gt;1,INDEX(Festivals!$V$2:$V$160,$AP136+1),""),"")</f>
        <v/>
      </c>
      <c r="AG136" t="str">
        <f>IFERROR(IF($AQ136&gt;2,INDEX(Festivals!$V$2:$V$160,$AP136+2),""),"")</f>
        <v/>
      </c>
      <c r="AH136" t="str">
        <f>IFERROR(IF($AQ136&gt;3,INDEX(Festivals!$V$2:$V$160,$AP136+3),""),"")</f>
        <v/>
      </c>
      <c r="AI136" t="str">
        <f>IFERROR(IF($AQ136&gt;4,INDEX(Festivals!$V$2:$V$160,$AP136+4),""),"")</f>
        <v/>
      </c>
      <c r="AJ136" t="str">
        <f>IFERROR(IF($AQ136&gt;5,INDEX(Festivals!$V$2:$V$160,$AP136+5),""),"")</f>
        <v/>
      </c>
      <c r="AK136" t="str">
        <f>IFERROR(IF($AQ136&gt;6,INDEX(Festivals!$V$2:$V$160,$AP136+6),""),"")</f>
        <v/>
      </c>
      <c r="AL136" t="str">
        <f ca="1">IFERROR(INDEX('Holidays Calc'!$J$2:$J$233,MATCH(A136,'Holidays Calc'!$I$2:$I$233,0)),"")</f>
        <v/>
      </c>
      <c r="AM136" t="str">
        <f ca="1">IF(AR136="","",IF(INDEX('Holidays Calc'!$I$2:$I$233,AR136+1)=A136,INDEX('Holidays Calc'!$J$2:$J$233,AR136+1),""))</f>
        <v/>
      </c>
      <c r="AN136" t="str">
        <f ca="1">IF(AR136="","",IF(INDEX('Holidays Calc'!$I$2:$I$233,AR136+2)=A136,INDEX('Holidays Calc'!$J$2:$J$233,AR136+2),""))</f>
        <v/>
      </c>
      <c r="AO136" t="str">
        <f ca="1">IF(AR136="","",IF(INDEX('Holidays Calc'!$I$2:$I$233,AR136+3)=A136,INDEX('Holidays Calc'!$J$2:$J$233,AR136+3),""))</f>
        <v/>
      </c>
      <c r="AP136" t="str">
        <f>IFERROR(IF($E136=E135,"",MATCH($E136,Festivals!$H$2:$H$160,0)),"")</f>
        <v/>
      </c>
      <c r="AQ136" t="str">
        <f>IF(AP136="","",COUNTIF(Festivals!$H$2:$H$160,$E136))</f>
        <v/>
      </c>
      <c r="AR136" t="str">
        <f ca="1">IFERROR(MATCH(A136,'Holidays Calc'!$I$2:$I$233,0),"")</f>
        <v/>
      </c>
      <c r="AS136" t="str">
        <f t="shared" si="18"/>
        <v/>
      </c>
      <c r="AT136" t="str">
        <f t="shared" si="17"/>
        <v/>
      </c>
      <c r="AU136" t="str">
        <f t="shared" ca="1" si="19"/>
        <v/>
      </c>
      <c r="AV136" t="str">
        <f t="shared" ca="1" si="20"/>
        <v/>
      </c>
    </row>
    <row r="137" spans="1:48" x14ac:dyDescent="0.25">
      <c r="A137" s="265">
        <f t="shared" si="16"/>
        <v>43563</v>
      </c>
      <c r="B137" s="265" t="str">
        <f t="shared" si="14"/>
        <v>8 Apr 2019</v>
      </c>
      <c r="C137" s="267">
        <f t="shared" si="15"/>
        <v>15</v>
      </c>
      <c r="D137">
        <f>MATCH(A137,GCalXMLT[daydate],0)</f>
        <v>136</v>
      </c>
      <c r="E137">
        <f>VALUE("1" &amp; Masacod(INDEX(GCalXMLT[gymasa],D137)) &amp; PaksaCod(INDEX(GCalXMLT[mpaksaid],D137)) &amp; TithiCod(INDEX(GCalXMLT[stithiname],D137)))</f>
        <v>101103</v>
      </c>
      <c r="F137" t="str">
        <f ca="1">INDEX(Parameters!$K$2:$K$16,MATCH(AV137,Parameters!$L$2:$L$16,0))</f>
        <v/>
      </c>
      <c r="G137">
        <f>INDEX(GCalXMLT[fastmark],$D137)</f>
        <v>0</v>
      </c>
      <c r="H137" t="str">
        <f ca="1">INDEX(Parameters!$J$2:$J$16,MATCH(AV137,Parameters!$L$2:$L$16,0))</f>
        <v/>
      </c>
      <c r="I137">
        <f>INDEX(GCalXMLT[dfestival1],$D137)</f>
        <v>0</v>
      </c>
      <c r="J137">
        <f>IF(INDEX(GCalXMLT[dfestival2],$D137)="(Fast today)",INDEX(Festivals!$R$2:$R$180,MATCH($I137,Festivals!$R$2:$R$180,0)+1),INDEX(GCalXMLT[dfestival2],$D137))</f>
        <v>0</v>
      </c>
      <c r="K137">
        <f>IF(I137="Nandotsava","(Fast till noon)",INDEX(GCalXMLT[dfestival3],$D137))</f>
        <v>0</v>
      </c>
      <c r="L137">
        <f>IF(I137="Nandotsava", INDEX(GCalXMLT[dfestival3],$D137),INDEX(GCalXMLT[dfestival4],$D137))</f>
        <v>0</v>
      </c>
      <c r="M137" t="str">
        <f>IFERROR(INDEX(Festivals!$S$2:$S$160,AP137),"")</f>
        <v/>
      </c>
      <c r="N137" t="str">
        <f>IFERROR(IF($AQ137&gt;1,INDEX(Festivals!$S$2:$S$160,$AP137+1),""),"")</f>
        <v/>
      </c>
      <c r="O137" t="str">
        <f>IFERROR(IF($AQ137&gt;2,INDEX(Festivals!$S$2:$S$160,$AP137+2),""),"")</f>
        <v/>
      </c>
      <c r="P137" t="str">
        <f>IFERROR(IF($AQ137&gt;3,INDEX(Festivals!$S$2:$S$160,$AP137+3),""),"")</f>
        <v/>
      </c>
      <c r="Q137" t="str">
        <f>IFERROR(IF($AQ137&gt;4,INDEX(Festivals!$S$2:$S$160,$AP137+4),""),"")</f>
        <v/>
      </c>
      <c r="R137" t="str">
        <f>IFERROR(IF($AQ137&gt;5,INDEX(Festivals!$S$2:$S$160,$AP137+5),""),"")</f>
        <v/>
      </c>
      <c r="S137" t="str">
        <f>IFERROR(IF($AQ137&gt;6,INDEX(Festivals!$S$2:$S$160,$AP137+6),""),"")</f>
        <v/>
      </c>
      <c r="T137">
        <f>INDEX(GCalXMLT[dcaturmasya1],$D137)</f>
        <v>0</v>
      </c>
      <c r="U137">
        <f>INDEX(GCalXMLT[dcaturmasya2],$D137)</f>
        <v>0</v>
      </c>
      <c r="V137" t="str">
        <f>INDEX(GCalXMLT[sankrantirasi],$D137) &amp; " " &amp; INDEX(GCalXMLT[sankrantitime],$D137)</f>
        <v xml:space="preserve"> </v>
      </c>
      <c r="W137" t="str">
        <f ca="1">IFERROR(INDEX('Holidays Calc'!$K$2:$K$233,AR137),"")</f>
        <v/>
      </c>
      <c r="X137" t="str">
        <f ca="1">IF(AR137="","",IF(INDEX('Holidays Calc'!$I$2:$I$233,AR137+1)=A137,INDEX('Holidays Calc'!$K$2:$K$233,AR137+1),""))</f>
        <v/>
      </c>
      <c r="Y137" t="str">
        <f ca="1">IF(AR137="","",IF(INDEX('Holidays Calc'!$I$2:$I$233,AR137+2)=A137,INDEX('Holidays Calc'!$K$2:$K$233,AR137+2),""))</f>
        <v/>
      </c>
      <c r="Z137" t="str">
        <f ca="1">IF(AR137="","",IF(INDEX('Holidays Calc'!$I$2:$I$233,AR137+3)=A137,INDEX('Holidays Calc'!$K$2:$K$2333,AR137+3),""))</f>
        <v/>
      </c>
      <c r="AA137" t="str">
        <f>IF(I137="Last day of Bhisma Pancaka","",IF(G137="*",-0.7,IF(ISBLANK(INDEX(GCalXMLT[dclass1],$D137)),"",INDEX(GCalXMLT[dclass1],$D137))))</f>
        <v/>
      </c>
      <c r="AB137" t="str">
        <f>IF(J137="First day of Bhisma Pancaka","",IF(AND(G137="*",NOT(ISERROR(SEARCH("ekadasi",J137)))),-0.7,IF(ISBLANK(INDEX(GCalXMLT[dclass2],$D137)),"",INDEX(GCalXMLT[dclass2],$D137))))</f>
        <v/>
      </c>
      <c r="AC137" t="str">
        <f>IF(I137="Nandotsava",-1,IF(ISBLANK(INDEX(GCalXMLT[dclass3],$D137)),"",INDEX(GCalXMLT[dclass3],$D137)))</f>
        <v/>
      </c>
      <c r="AD137" t="str">
        <f>IF(I137="Nandotsava",IF(ISBLANK(INDEX(GCalXMLT[dclass3],$D137)),"",INDEX(GCalXMLT[dclass3],$D137)),IF(ISBLANK(INDEX(GCalXMLT[dclass4],$D137)),"",INDEX(GCalXMLT[dclass4],$D137)))</f>
        <v/>
      </c>
      <c r="AE137" t="str">
        <f>IFERROR(INDEX(Festivals!$V$2:$V$160,AP137),"")</f>
        <v/>
      </c>
      <c r="AF137" t="str">
        <f>IFERROR(IF($AQ137&gt;1,INDEX(Festivals!$V$2:$V$160,$AP137+1),""),"")</f>
        <v/>
      </c>
      <c r="AG137" t="str">
        <f>IFERROR(IF($AQ137&gt;2,INDEX(Festivals!$V$2:$V$160,$AP137+2),""),"")</f>
        <v/>
      </c>
      <c r="AH137" t="str">
        <f>IFERROR(IF($AQ137&gt;3,INDEX(Festivals!$V$2:$V$160,$AP137+3),""),"")</f>
        <v/>
      </c>
      <c r="AI137" t="str">
        <f>IFERROR(IF($AQ137&gt;4,INDEX(Festivals!$V$2:$V$160,$AP137+4),""),"")</f>
        <v/>
      </c>
      <c r="AJ137" t="str">
        <f>IFERROR(IF($AQ137&gt;5,INDEX(Festivals!$V$2:$V$160,$AP137+5),""),"")</f>
        <v/>
      </c>
      <c r="AK137" t="str">
        <f>IFERROR(IF($AQ137&gt;6,INDEX(Festivals!$V$2:$V$160,$AP137+6),""),"")</f>
        <v/>
      </c>
      <c r="AL137" t="str">
        <f ca="1">IFERROR(INDEX('Holidays Calc'!$J$2:$J$233,MATCH(A137,'Holidays Calc'!$I$2:$I$233,0)),"")</f>
        <v/>
      </c>
      <c r="AM137" t="str">
        <f ca="1">IF(AR137="","",IF(INDEX('Holidays Calc'!$I$2:$I$233,AR137+1)=A137,INDEX('Holidays Calc'!$J$2:$J$233,AR137+1),""))</f>
        <v/>
      </c>
      <c r="AN137" t="str">
        <f ca="1">IF(AR137="","",IF(INDEX('Holidays Calc'!$I$2:$I$233,AR137+2)=A137,INDEX('Holidays Calc'!$J$2:$J$233,AR137+2),""))</f>
        <v/>
      </c>
      <c r="AO137" t="str">
        <f ca="1">IF(AR137="","",IF(INDEX('Holidays Calc'!$I$2:$I$233,AR137+3)=A137,INDEX('Holidays Calc'!$J$2:$J$233,AR137+3),""))</f>
        <v/>
      </c>
      <c r="AP137" t="str">
        <f>IFERROR(IF($E137=E136,"",MATCH($E137,Festivals!$H$2:$H$160,0)),"")</f>
        <v/>
      </c>
      <c r="AQ137" t="str">
        <f>IF(AP137="","",COUNTIF(Festivals!$H$2:$H$160,$E137))</f>
        <v/>
      </c>
      <c r="AR137" t="str">
        <f ca="1">IFERROR(MATCH(A137,'Holidays Calc'!$I$2:$I$233,0),"")</f>
        <v/>
      </c>
      <c r="AS137" t="str">
        <f t="shared" si="18"/>
        <v/>
      </c>
      <c r="AT137" t="str">
        <f t="shared" si="17"/>
        <v/>
      </c>
      <c r="AU137" t="str">
        <f t="shared" ca="1" si="19"/>
        <v/>
      </c>
      <c r="AV137" t="str">
        <f t="shared" ca="1" si="20"/>
        <v/>
      </c>
    </row>
    <row r="138" spans="1:48" x14ac:dyDescent="0.25">
      <c r="A138" s="265">
        <f t="shared" si="16"/>
        <v>43564</v>
      </c>
      <c r="B138" s="265" t="str">
        <f t="shared" si="14"/>
        <v>9 Apr 2019</v>
      </c>
      <c r="C138" s="267">
        <f t="shared" si="15"/>
        <v>15</v>
      </c>
      <c r="D138">
        <f>MATCH(A138,GCalXMLT[daydate],0)</f>
        <v>137</v>
      </c>
      <c r="E138">
        <f>VALUE("1" &amp; Masacod(INDEX(GCalXMLT[gymasa],D138)) &amp; PaksaCod(INDEX(GCalXMLT[mpaksaid],D138)) &amp; TithiCod(INDEX(GCalXMLT[stithiname],D138)))</f>
        <v>101104</v>
      </c>
      <c r="F138" t="str">
        <f ca="1">INDEX(Parameters!$K$2:$K$16,MATCH(AV138,Parameters!$L$2:$L$16,0))</f>
        <v/>
      </c>
      <c r="G138">
        <f>INDEX(GCalXMLT[fastmark],$D138)</f>
        <v>0</v>
      </c>
      <c r="H138" t="str">
        <f ca="1">INDEX(Parameters!$J$2:$J$16,MATCH(AV138,Parameters!$L$2:$L$16,0))</f>
        <v/>
      </c>
      <c r="I138">
        <f>INDEX(GCalXMLT[dfestival1],$D138)</f>
        <v>0</v>
      </c>
      <c r="J138">
        <f>IF(INDEX(GCalXMLT[dfestival2],$D138)="(Fast today)",INDEX(Festivals!$R$2:$R$180,MATCH($I138,Festivals!$R$2:$R$180,0)+1),INDEX(GCalXMLT[dfestival2],$D138))</f>
        <v>0</v>
      </c>
      <c r="K138">
        <f>IF(I138="Nandotsava","(Fast till noon)",INDEX(GCalXMLT[dfestival3],$D138))</f>
        <v>0</v>
      </c>
      <c r="L138">
        <f>IF(I138="Nandotsava", INDEX(GCalXMLT[dfestival3],$D138),INDEX(GCalXMLT[dfestival4],$D138))</f>
        <v>0</v>
      </c>
      <c r="M138" t="str">
        <f>IFERROR(INDEX(Festivals!$S$2:$S$160,AP138),"")</f>
        <v/>
      </c>
      <c r="N138" t="str">
        <f>IFERROR(IF($AQ138&gt;1,INDEX(Festivals!$S$2:$S$160,$AP138+1),""),"")</f>
        <v/>
      </c>
      <c r="O138" t="str">
        <f>IFERROR(IF($AQ138&gt;2,INDEX(Festivals!$S$2:$S$160,$AP138+2),""),"")</f>
        <v/>
      </c>
      <c r="P138" t="str">
        <f>IFERROR(IF($AQ138&gt;3,INDEX(Festivals!$S$2:$S$160,$AP138+3),""),"")</f>
        <v/>
      </c>
      <c r="Q138" t="str">
        <f>IFERROR(IF($AQ138&gt;4,INDEX(Festivals!$S$2:$S$160,$AP138+4),""),"")</f>
        <v/>
      </c>
      <c r="R138" t="str">
        <f>IFERROR(IF($AQ138&gt;5,INDEX(Festivals!$S$2:$S$160,$AP138+5),""),"")</f>
        <v/>
      </c>
      <c r="S138" t="str">
        <f>IFERROR(IF($AQ138&gt;6,INDEX(Festivals!$S$2:$S$160,$AP138+6),""),"")</f>
        <v/>
      </c>
      <c r="T138">
        <f>INDEX(GCalXMLT[dcaturmasya1],$D138)</f>
        <v>0</v>
      </c>
      <c r="U138">
        <f>INDEX(GCalXMLT[dcaturmasya2],$D138)</f>
        <v>0</v>
      </c>
      <c r="V138" t="str">
        <f>INDEX(GCalXMLT[sankrantirasi],$D138) &amp; " " &amp; INDEX(GCalXMLT[sankrantitime],$D138)</f>
        <v xml:space="preserve"> </v>
      </c>
      <c r="W138" t="str">
        <f ca="1">IFERROR(INDEX('Holidays Calc'!$K$2:$K$233,AR138),"")</f>
        <v/>
      </c>
      <c r="X138" t="str">
        <f ca="1">IF(AR138="","",IF(INDEX('Holidays Calc'!$I$2:$I$233,AR138+1)=A138,INDEX('Holidays Calc'!$K$2:$K$233,AR138+1),""))</f>
        <v/>
      </c>
      <c r="Y138" t="str">
        <f ca="1">IF(AR138="","",IF(INDEX('Holidays Calc'!$I$2:$I$233,AR138+2)=A138,INDEX('Holidays Calc'!$K$2:$K$233,AR138+2),""))</f>
        <v/>
      </c>
      <c r="Z138" t="str">
        <f ca="1">IF(AR138="","",IF(INDEX('Holidays Calc'!$I$2:$I$233,AR138+3)=A138,INDEX('Holidays Calc'!$K$2:$K$2333,AR138+3),""))</f>
        <v/>
      </c>
      <c r="AA138" t="str">
        <f>IF(I138="Last day of Bhisma Pancaka","",IF(G138="*",-0.7,IF(ISBLANK(INDEX(GCalXMLT[dclass1],$D138)),"",INDEX(GCalXMLT[dclass1],$D138))))</f>
        <v/>
      </c>
      <c r="AB138" t="str">
        <f>IF(J138="First day of Bhisma Pancaka","",IF(AND(G138="*",NOT(ISERROR(SEARCH("ekadasi",J138)))),-0.7,IF(ISBLANK(INDEX(GCalXMLT[dclass2],$D138)),"",INDEX(GCalXMLT[dclass2],$D138))))</f>
        <v/>
      </c>
      <c r="AC138" t="str">
        <f>IF(I138="Nandotsava",-1,IF(ISBLANK(INDEX(GCalXMLT[dclass3],$D138)),"",INDEX(GCalXMLT[dclass3],$D138)))</f>
        <v/>
      </c>
      <c r="AD138" t="str">
        <f>IF(I138="Nandotsava",IF(ISBLANK(INDEX(GCalXMLT[dclass3],$D138)),"",INDEX(GCalXMLT[dclass3],$D138)),IF(ISBLANK(INDEX(GCalXMLT[dclass4],$D138)),"",INDEX(GCalXMLT[dclass4],$D138)))</f>
        <v/>
      </c>
      <c r="AE138" t="str">
        <f>IFERROR(INDEX(Festivals!$V$2:$V$160,AP138),"")</f>
        <v/>
      </c>
      <c r="AF138" t="str">
        <f>IFERROR(IF($AQ138&gt;1,INDEX(Festivals!$V$2:$V$160,$AP138+1),""),"")</f>
        <v/>
      </c>
      <c r="AG138" t="str">
        <f>IFERROR(IF($AQ138&gt;2,INDEX(Festivals!$V$2:$V$160,$AP138+2),""),"")</f>
        <v/>
      </c>
      <c r="AH138" t="str">
        <f>IFERROR(IF($AQ138&gt;3,INDEX(Festivals!$V$2:$V$160,$AP138+3),""),"")</f>
        <v/>
      </c>
      <c r="AI138" t="str">
        <f>IFERROR(IF($AQ138&gt;4,INDEX(Festivals!$V$2:$V$160,$AP138+4),""),"")</f>
        <v/>
      </c>
      <c r="AJ138" t="str">
        <f>IFERROR(IF($AQ138&gt;5,INDEX(Festivals!$V$2:$V$160,$AP138+5),""),"")</f>
        <v/>
      </c>
      <c r="AK138" t="str">
        <f>IFERROR(IF($AQ138&gt;6,INDEX(Festivals!$V$2:$V$160,$AP138+6),""),"")</f>
        <v/>
      </c>
      <c r="AL138" t="str">
        <f ca="1">IFERROR(INDEX('Holidays Calc'!$J$2:$J$233,MATCH(A138,'Holidays Calc'!$I$2:$I$233,0)),"")</f>
        <v/>
      </c>
      <c r="AM138" t="str">
        <f ca="1">IF(AR138="","",IF(INDEX('Holidays Calc'!$I$2:$I$233,AR138+1)=A138,INDEX('Holidays Calc'!$J$2:$J$233,AR138+1),""))</f>
        <v/>
      </c>
      <c r="AN138" t="str">
        <f ca="1">IF(AR138="","",IF(INDEX('Holidays Calc'!$I$2:$I$233,AR138+2)=A138,INDEX('Holidays Calc'!$J$2:$J$233,AR138+2),""))</f>
        <v/>
      </c>
      <c r="AO138" t="str">
        <f ca="1">IF(AR138="","",IF(INDEX('Holidays Calc'!$I$2:$I$233,AR138+3)=A138,INDEX('Holidays Calc'!$J$2:$J$233,AR138+3),""))</f>
        <v/>
      </c>
      <c r="AP138" t="str">
        <f>IFERROR(IF($E138=E137,"",MATCH($E138,Festivals!$H$2:$H$160,0)),"")</f>
        <v/>
      </c>
      <c r="AQ138" t="str">
        <f>IF(AP138="","",COUNTIF(Festivals!$H$2:$H$160,$E138))</f>
        <v/>
      </c>
      <c r="AR138" t="str">
        <f ca="1">IFERROR(MATCH(A138,'Holidays Calc'!$I$2:$I$233,0),"")</f>
        <v/>
      </c>
      <c r="AS138" t="str">
        <f t="shared" si="18"/>
        <v/>
      </c>
      <c r="AT138" t="str">
        <f t="shared" si="17"/>
        <v/>
      </c>
      <c r="AU138" t="str">
        <f t="shared" ca="1" si="19"/>
        <v/>
      </c>
      <c r="AV138" t="str">
        <f t="shared" ca="1" si="20"/>
        <v/>
      </c>
    </row>
    <row r="139" spans="1:48" x14ac:dyDescent="0.25">
      <c r="A139" s="265">
        <f t="shared" si="16"/>
        <v>43565</v>
      </c>
      <c r="B139" s="265" t="str">
        <f t="shared" si="14"/>
        <v>10 Apr 2019</v>
      </c>
      <c r="C139" s="267">
        <f t="shared" si="15"/>
        <v>15</v>
      </c>
      <c r="D139">
        <f>MATCH(A139,GCalXMLT[daydate],0)</f>
        <v>138</v>
      </c>
      <c r="E139">
        <f>VALUE("1" &amp; Masacod(INDEX(GCalXMLT[gymasa],D139)) &amp; PaksaCod(INDEX(GCalXMLT[mpaksaid],D139)) &amp; TithiCod(INDEX(GCalXMLT[stithiname],D139)))</f>
        <v>101105</v>
      </c>
      <c r="F139" t="str">
        <f ca="1">INDEX(Parameters!$K$2:$K$16,MATCH(AV139,Parameters!$L$2:$L$16,0))</f>
        <v>C</v>
      </c>
      <c r="G139">
        <f>INDEX(GCalXMLT[fastmark],$D139)</f>
        <v>0</v>
      </c>
      <c r="H139" t="str">
        <f ca="1">INDEX(Parameters!$J$2:$J$16,MATCH(AV139,Parameters!$L$2:$L$16,0))</f>
        <v/>
      </c>
      <c r="I139">
        <f>INDEX(GCalXMLT[dfestival1],$D139)</f>
        <v>0</v>
      </c>
      <c r="J139">
        <f>IF(INDEX(GCalXMLT[dfestival2],$D139)="(Fast today)",INDEX(Festivals!$R$2:$R$180,MATCH($I139,Festivals!$R$2:$R$180,0)+1),INDEX(GCalXMLT[dfestival2],$D139))</f>
        <v>0</v>
      </c>
      <c r="K139">
        <f>IF(I139="Nandotsava","(Fast till noon)",INDEX(GCalXMLT[dfestival3],$D139))</f>
        <v>0</v>
      </c>
      <c r="L139">
        <f>IF(I139="Nandotsava", INDEX(GCalXMLT[dfestival3],$D139),INDEX(GCalXMLT[dfestival4],$D139))</f>
        <v>0</v>
      </c>
      <c r="M139" t="str">
        <f>IFERROR(INDEX(Festivals!$S$2:$S$160,AP139),"")</f>
        <v>Sri Ramanujacarya - Appearance</v>
      </c>
      <c r="N139" t="str">
        <f>IFERROR(IF($AQ139&gt;1,INDEX(Festivals!$S$2:$S$160,$AP139+1),""),"")</f>
        <v/>
      </c>
      <c r="O139" t="str">
        <f>IFERROR(IF($AQ139&gt;2,INDEX(Festivals!$S$2:$S$160,$AP139+2),""),"")</f>
        <v/>
      </c>
      <c r="P139" t="str">
        <f>IFERROR(IF($AQ139&gt;3,INDEX(Festivals!$S$2:$S$160,$AP139+3),""),"")</f>
        <v/>
      </c>
      <c r="Q139" t="str">
        <f>IFERROR(IF($AQ139&gt;4,INDEX(Festivals!$S$2:$S$160,$AP139+4),""),"")</f>
        <v/>
      </c>
      <c r="R139" t="str">
        <f>IFERROR(IF($AQ139&gt;5,INDEX(Festivals!$S$2:$S$160,$AP139+5),""),"")</f>
        <v/>
      </c>
      <c r="S139" t="str">
        <f>IFERROR(IF($AQ139&gt;6,INDEX(Festivals!$S$2:$S$160,$AP139+6),""),"")</f>
        <v/>
      </c>
      <c r="T139">
        <f>INDEX(GCalXMLT[dcaturmasya1],$D139)</f>
        <v>0</v>
      </c>
      <c r="U139">
        <f>INDEX(GCalXMLT[dcaturmasya2],$D139)</f>
        <v>0</v>
      </c>
      <c r="V139" t="str">
        <f>INDEX(GCalXMLT[sankrantirasi],$D139) &amp; " " &amp; INDEX(GCalXMLT[sankrantitime],$D139)</f>
        <v xml:space="preserve"> </v>
      </c>
      <c r="W139" t="str">
        <f ca="1">IFERROR(INDEX('Holidays Calc'!$K$2:$K$233,AR139),"")</f>
        <v/>
      </c>
      <c r="X139" t="str">
        <f ca="1">IF(AR139="","",IF(INDEX('Holidays Calc'!$I$2:$I$233,AR139+1)=A139,INDEX('Holidays Calc'!$K$2:$K$233,AR139+1),""))</f>
        <v/>
      </c>
      <c r="Y139" t="str">
        <f ca="1">IF(AR139="","",IF(INDEX('Holidays Calc'!$I$2:$I$233,AR139+2)=A139,INDEX('Holidays Calc'!$K$2:$K$233,AR139+2),""))</f>
        <v/>
      </c>
      <c r="Z139" t="str">
        <f ca="1">IF(AR139="","",IF(INDEX('Holidays Calc'!$I$2:$I$233,AR139+3)=A139,INDEX('Holidays Calc'!$K$2:$K$2333,AR139+3),""))</f>
        <v/>
      </c>
      <c r="AA139" t="str">
        <f>IF(I139="Last day of Bhisma Pancaka","",IF(G139="*",-0.7,IF(ISBLANK(INDEX(GCalXMLT[dclass1],$D139)),"",INDEX(GCalXMLT[dclass1],$D139))))</f>
        <v/>
      </c>
      <c r="AB139" t="str">
        <f>IF(J139="First day of Bhisma Pancaka","",IF(AND(G139="*",NOT(ISERROR(SEARCH("ekadasi",J139)))),-0.7,IF(ISBLANK(INDEX(GCalXMLT[dclass2],$D139)),"",INDEX(GCalXMLT[dclass2],$D139))))</f>
        <v/>
      </c>
      <c r="AC139" t="str">
        <f>IF(I139="Nandotsava",-1,IF(ISBLANK(INDEX(GCalXMLT[dclass3],$D139)),"",INDEX(GCalXMLT[dclass3],$D139)))</f>
        <v/>
      </c>
      <c r="AD139" t="str">
        <f>IF(I139="Nandotsava",IF(ISBLANK(INDEX(GCalXMLT[dclass3],$D139)),"",INDEX(GCalXMLT[dclass3],$D139)),IF(ISBLANK(INDEX(GCalXMLT[dclass4],$D139)),"",INDEX(GCalXMLT[dclass4],$D139)))</f>
        <v/>
      </c>
      <c r="AE139">
        <f>IFERROR(INDEX(Festivals!$V$2:$V$160,AP139),"")</f>
        <v>3</v>
      </c>
      <c r="AF139" t="str">
        <f>IFERROR(IF($AQ139&gt;1,INDEX(Festivals!$V$2:$V$160,$AP139+1),""),"")</f>
        <v/>
      </c>
      <c r="AG139" t="str">
        <f>IFERROR(IF($AQ139&gt;2,INDEX(Festivals!$V$2:$V$160,$AP139+2),""),"")</f>
        <v/>
      </c>
      <c r="AH139" t="str">
        <f>IFERROR(IF($AQ139&gt;3,INDEX(Festivals!$V$2:$V$160,$AP139+3),""),"")</f>
        <v/>
      </c>
      <c r="AI139" t="str">
        <f>IFERROR(IF($AQ139&gt;4,INDEX(Festivals!$V$2:$V$160,$AP139+4),""),"")</f>
        <v/>
      </c>
      <c r="AJ139" t="str">
        <f>IFERROR(IF($AQ139&gt;5,INDEX(Festivals!$V$2:$V$160,$AP139+5),""),"")</f>
        <v/>
      </c>
      <c r="AK139" t="str">
        <f>IFERROR(IF($AQ139&gt;6,INDEX(Festivals!$V$2:$V$160,$AP139+6),""),"")</f>
        <v/>
      </c>
      <c r="AL139" t="str">
        <f ca="1">IFERROR(INDEX('Holidays Calc'!$J$2:$J$233,MATCH(A139,'Holidays Calc'!$I$2:$I$233,0)),"")</f>
        <v/>
      </c>
      <c r="AM139" t="str">
        <f ca="1">IF(AR139="","",IF(INDEX('Holidays Calc'!$I$2:$I$233,AR139+1)=A139,INDEX('Holidays Calc'!$J$2:$J$233,AR139+1),""))</f>
        <v/>
      </c>
      <c r="AN139" t="str">
        <f ca="1">IF(AR139="","",IF(INDEX('Holidays Calc'!$I$2:$I$233,AR139+2)=A139,INDEX('Holidays Calc'!$J$2:$J$233,AR139+2),""))</f>
        <v/>
      </c>
      <c r="AO139" t="str">
        <f ca="1">IF(AR139="","",IF(INDEX('Holidays Calc'!$I$2:$I$233,AR139+3)=A139,INDEX('Holidays Calc'!$J$2:$J$233,AR139+3),""))</f>
        <v/>
      </c>
      <c r="AP139">
        <f>IFERROR(IF($E139=E138,"",MATCH($E139,Festivals!$H$2:$H$160,0)),"")</f>
        <v>3</v>
      </c>
      <c r="AQ139">
        <f>IF(AP139="","",COUNTIF(Festivals!$H$2:$H$160,$E139))</f>
        <v>1</v>
      </c>
      <c r="AR139" t="str">
        <f ca="1">IFERROR(MATCH(A139,'Holidays Calc'!$I$2:$I$233,0),"")</f>
        <v/>
      </c>
      <c r="AS139">
        <f t="shared" si="18"/>
        <v>3</v>
      </c>
      <c r="AT139">
        <f t="shared" si="17"/>
        <v>3</v>
      </c>
      <c r="AU139" t="str">
        <f t="shared" ca="1" si="19"/>
        <v/>
      </c>
      <c r="AV139">
        <f t="shared" ca="1" si="20"/>
        <v>3</v>
      </c>
    </row>
    <row r="140" spans="1:48" x14ac:dyDescent="0.25">
      <c r="A140" s="265">
        <f t="shared" si="16"/>
        <v>43566</v>
      </c>
      <c r="B140" s="265" t="str">
        <f t="shared" ref="B140:B203" si="21">DAY(A140) &amp; " " &amp; MonthStr(MONTH(A140)) &amp; " " &amp; YEAR(A140)</f>
        <v>11 Apr 2019</v>
      </c>
      <c r="C140" s="267">
        <f t="shared" ref="C140:C203" si="22">WEEKNUM(A140,2)</f>
        <v>15</v>
      </c>
      <c r="D140">
        <f>MATCH(A140,GCalXMLT[daydate],0)</f>
        <v>139</v>
      </c>
      <c r="E140">
        <f>VALUE("1" &amp; Masacod(INDEX(GCalXMLT[gymasa],D140)) &amp; PaksaCod(INDEX(GCalXMLT[mpaksaid],D140)) &amp; TithiCod(INDEX(GCalXMLT[stithiname],D140)))</f>
        <v>101106</v>
      </c>
      <c r="F140" t="str">
        <f ca="1">INDEX(Parameters!$K$2:$K$16,MATCH(AV140,Parameters!$L$2:$L$16,0))</f>
        <v/>
      </c>
      <c r="G140">
        <f>INDEX(GCalXMLT[fastmark],$D140)</f>
        <v>0</v>
      </c>
      <c r="H140" t="str">
        <f ca="1">INDEX(Parameters!$J$2:$J$16,MATCH(AV140,Parameters!$L$2:$L$16,0))</f>
        <v/>
      </c>
      <c r="I140">
        <f>INDEX(GCalXMLT[dfestival1],$D140)</f>
        <v>0</v>
      </c>
      <c r="J140">
        <f>IF(INDEX(GCalXMLT[dfestival2],$D140)="(Fast today)",INDEX(Festivals!$R$2:$R$180,MATCH($I140,Festivals!$R$2:$R$180,0)+1),INDEX(GCalXMLT[dfestival2],$D140))</f>
        <v>0</v>
      </c>
      <c r="K140">
        <f>IF(I140="Nandotsava","(Fast till noon)",INDEX(GCalXMLT[dfestival3],$D140))</f>
        <v>0</v>
      </c>
      <c r="L140">
        <f>IF(I140="Nandotsava", INDEX(GCalXMLT[dfestival3],$D140),INDEX(GCalXMLT[dfestival4],$D140))</f>
        <v>0</v>
      </c>
      <c r="M140" t="str">
        <f>IFERROR(INDEX(Festivals!$S$2:$S$160,AP140),"")</f>
        <v/>
      </c>
      <c r="N140" t="str">
        <f>IFERROR(IF($AQ140&gt;1,INDEX(Festivals!$S$2:$S$160,$AP140+1),""),"")</f>
        <v/>
      </c>
      <c r="O140" t="str">
        <f>IFERROR(IF($AQ140&gt;2,INDEX(Festivals!$S$2:$S$160,$AP140+2),""),"")</f>
        <v/>
      </c>
      <c r="P140" t="str">
        <f>IFERROR(IF($AQ140&gt;3,INDEX(Festivals!$S$2:$S$160,$AP140+3),""),"")</f>
        <v/>
      </c>
      <c r="Q140" t="str">
        <f>IFERROR(IF($AQ140&gt;4,INDEX(Festivals!$S$2:$S$160,$AP140+4),""),"")</f>
        <v/>
      </c>
      <c r="R140" t="str">
        <f>IFERROR(IF($AQ140&gt;5,INDEX(Festivals!$S$2:$S$160,$AP140+5),""),"")</f>
        <v/>
      </c>
      <c r="S140" t="str">
        <f>IFERROR(IF($AQ140&gt;6,INDEX(Festivals!$S$2:$S$160,$AP140+6),""),"")</f>
        <v/>
      </c>
      <c r="T140">
        <f>INDEX(GCalXMLT[dcaturmasya1],$D140)</f>
        <v>0</v>
      </c>
      <c r="U140">
        <f>INDEX(GCalXMLT[dcaturmasya2],$D140)</f>
        <v>0</v>
      </c>
      <c r="V140" t="str">
        <f>INDEX(GCalXMLT[sankrantirasi],$D140) &amp; " " &amp; INDEX(GCalXMLT[sankrantitime],$D140)</f>
        <v xml:space="preserve"> </v>
      </c>
      <c r="W140" t="str">
        <f ca="1">IFERROR(INDEX('Holidays Calc'!$K$2:$K$233,AR140),"")</f>
        <v/>
      </c>
      <c r="X140" t="str">
        <f ca="1">IF(AR140="","",IF(INDEX('Holidays Calc'!$I$2:$I$233,AR140+1)=A140,INDEX('Holidays Calc'!$K$2:$K$233,AR140+1),""))</f>
        <v/>
      </c>
      <c r="Y140" t="str">
        <f ca="1">IF(AR140="","",IF(INDEX('Holidays Calc'!$I$2:$I$233,AR140+2)=A140,INDEX('Holidays Calc'!$K$2:$K$233,AR140+2),""))</f>
        <v/>
      </c>
      <c r="Z140" t="str">
        <f ca="1">IF(AR140="","",IF(INDEX('Holidays Calc'!$I$2:$I$233,AR140+3)=A140,INDEX('Holidays Calc'!$K$2:$K$2333,AR140+3),""))</f>
        <v/>
      </c>
      <c r="AA140" t="str">
        <f>IF(I140="Last day of Bhisma Pancaka","",IF(G140="*",-0.7,IF(ISBLANK(INDEX(GCalXMLT[dclass1],$D140)),"",INDEX(GCalXMLT[dclass1],$D140))))</f>
        <v/>
      </c>
      <c r="AB140" t="str">
        <f>IF(J140="First day of Bhisma Pancaka","",IF(AND(G140="*",NOT(ISERROR(SEARCH("ekadasi",J140)))),-0.7,IF(ISBLANK(INDEX(GCalXMLT[dclass2],$D140)),"",INDEX(GCalXMLT[dclass2],$D140))))</f>
        <v/>
      </c>
      <c r="AC140" t="str">
        <f>IF(I140="Nandotsava",-1,IF(ISBLANK(INDEX(GCalXMLT[dclass3],$D140)),"",INDEX(GCalXMLT[dclass3],$D140)))</f>
        <v/>
      </c>
      <c r="AD140" t="str">
        <f>IF(I140="Nandotsava",IF(ISBLANK(INDEX(GCalXMLT[dclass3],$D140)),"",INDEX(GCalXMLT[dclass3],$D140)),IF(ISBLANK(INDEX(GCalXMLT[dclass4],$D140)),"",INDEX(GCalXMLT[dclass4],$D140)))</f>
        <v/>
      </c>
      <c r="AE140" t="str">
        <f>IFERROR(INDEX(Festivals!$V$2:$V$160,AP140),"")</f>
        <v/>
      </c>
      <c r="AF140" t="str">
        <f>IFERROR(IF($AQ140&gt;1,INDEX(Festivals!$V$2:$V$160,$AP140+1),""),"")</f>
        <v/>
      </c>
      <c r="AG140" t="str">
        <f>IFERROR(IF($AQ140&gt;2,INDEX(Festivals!$V$2:$V$160,$AP140+2),""),"")</f>
        <v/>
      </c>
      <c r="AH140" t="str">
        <f>IFERROR(IF($AQ140&gt;3,INDEX(Festivals!$V$2:$V$160,$AP140+3),""),"")</f>
        <v/>
      </c>
      <c r="AI140" t="str">
        <f>IFERROR(IF($AQ140&gt;4,INDEX(Festivals!$V$2:$V$160,$AP140+4),""),"")</f>
        <v/>
      </c>
      <c r="AJ140" t="str">
        <f>IFERROR(IF($AQ140&gt;5,INDEX(Festivals!$V$2:$V$160,$AP140+5),""),"")</f>
        <v/>
      </c>
      <c r="AK140" t="str">
        <f>IFERROR(IF($AQ140&gt;6,INDEX(Festivals!$V$2:$V$160,$AP140+6),""),"")</f>
        <v/>
      </c>
      <c r="AL140" t="str">
        <f ca="1">IFERROR(INDEX('Holidays Calc'!$J$2:$J$233,MATCH(A140,'Holidays Calc'!$I$2:$I$233,0)),"")</f>
        <v/>
      </c>
      <c r="AM140" t="str">
        <f ca="1">IF(AR140="","",IF(INDEX('Holidays Calc'!$I$2:$I$233,AR140+1)=A140,INDEX('Holidays Calc'!$J$2:$J$233,AR140+1),""))</f>
        <v/>
      </c>
      <c r="AN140" t="str">
        <f ca="1">IF(AR140="","",IF(INDEX('Holidays Calc'!$I$2:$I$233,AR140+2)=A140,INDEX('Holidays Calc'!$J$2:$J$233,AR140+2),""))</f>
        <v/>
      </c>
      <c r="AO140" t="str">
        <f ca="1">IF(AR140="","",IF(INDEX('Holidays Calc'!$I$2:$I$233,AR140+3)=A140,INDEX('Holidays Calc'!$J$2:$J$233,AR140+3),""))</f>
        <v/>
      </c>
      <c r="AP140" t="str">
        <f>IFERROR(IF($E140=E139,"",MATCH($E140,Festivals!$H$2:$H$160,0)),"")</f>
        <v/>
      </c>
      <c r="AQ140" t="str">
        <f>IF(AP140="","",COUNTIF(Festivals!$H$2:$H$160,$E140))</f>
        <v/>
      </c>
      <c r="AR140" t="str">
        <f ca="1">IFERROR(MATCH(A140,'Holidays Calc'!$I$2:$I$233,0),"")</f>
        <v/>
      </c>
      <c r="AS140" t="str">
        <f t="shared" si="18"/>
        <v/>
      </c>
      <c r="AT140" t="str">
        <f t="shared" si="17"/>
        <v/>
      </c>
      <c r="AU140" t="str">
        <f t="shared" ca="1" si="19"/>
        <v/>
      </c>
      <c r="AV140" t="str">
        <f t="shared" ca="1" si="20"/>
        <v/>
      </c>
    </row>
    <row r="141" spans="1:48" x14ac:dyDescent="0.25">
      <c r="A141" s="265">
        <f t="shared" si="16"/>
        <v>43567</v>
      </c>
      <c r="B141" s="265" t="str">
        <f t="shared" si="21"/>
        <v>12 Apr 2019</v>
      </c>
      <c r="C141" s="267">
        <f t="shared" si="22"/>
        <v>15</v>
      </c>
      <c r="D141">
        <f>MATCH(A141,GCalXMLT[daydate],0)</f>
        <v>140</v>
      </c>
      <c r="E141">
        <f>VALUE("1" &amp; Masacod(INDEX(GCalXMLT[gymasa],D141)) &amp; PaksaCod(INDEX(GCalXMLT[mpaksaid],D141)) &amp; TithiCod(INDEX(GCalXMLT[stithiname],D141)))</f>
        <v>101108</v>
      </c>
      <c r="F141" t="str">
        <f ca="1">INDEX(Parameters!$K$2:$K$16,MATCH(AV141,Parameters!$L$2:$L$16,0))</f>
        <v/>
      </c>
      <c r="G141">
        <f>INDEX(GCalXMLT[fastmark],$D141)</f>
        <v>0</v>
      </c>
      <c r="H141" t="str">
        <f ca="1">INDEX(Parameters!$J$2:$J$16,MATCH(AV141,Parameters!$L$2:$L$16,0))</f>
        <v/>
      </c>
      <c r="I141">
        <f>INDEX(GCalXMLT[dfestival1],$D141)</f>
        <v>0</v>
      </c>
      <c r="J141">
        <f>IF(INDEX(GCalXMLT[dfestival2],$D141)="(Fast today)",INDEX(Festivals!$R$2:$R$180,MATCH($I141,Festivals!$R$2:$R$180,0)+1),INDEX(GCalXMLT[dfestival2],$D141))</f>
        <v>0</v>
      </c>
      <c r="K141">
        <f>IF(I141="Nandotsava","(Fast till noon)",INDEX(GCalXMLT[dfestival3],$D141))</f>
        <v>0</v>
      </c>
      <c r="L141">
        <f>IF(I141="Nandotsava", INDEX(GCalXMLT[dfestival3],$D141),INDEX(GCalXMLT[dfestival4],$D141))</f>
        <v>0</v>
      </c>
      <c r="M141" t="str">
        <f>IFERROR(INDEX(Festivals!$S$2:$S$160,AP141),"")</f>
        <v/>
      </c>
      <c r="N141" t="str">
        <f>IFERROR(IF($AQ141&gt;1,INDEX(Festivals!$S$2:$S$160,$AP141+1),""),"")</f>
        <v/>
      </c>
      <c r="O141" t="str">
        <f>IFERROR(IF($AQ141&gt;2,INDEX(Festivals!$S$2:$S$160,$AP141+2),""),"")</f>
        <v/>
      </c>
      <c r="P141" t="str">
        <f>IFERROR(IF($AQ141&gt;3,INDEX(Festivals!$S$2:$S$160,$AP141+3),""),"")</f>
        <v/>
      </c>
      <c r="Q141" t="str">
        <f>IFERROR(IF($AQ141&gt;4,INDEX(Festivals!$S$2:$S$160,$AP141+4),""),"")</f>
        <v/>
      </c>
      <c r="R141" t="str">
        <f>IFERROR(IF($AQ141&gt;5,INDEX(Festivals!$S$2:$S$160,$AP141+5),""),"")</f>
        <v/>
      </c>
      <c r="S141" t="str">
        <f>IFERROR(IF($AQ141&gt;6,INDEX(Festivals!$S$2:$S$160,$AP141+6),""),"")</f>
        <v/>
      </c>
      <c r="T141">
        <f>INDEX(GCalXMLT[dcaturmasya1],$D141)</f>
        <v>0</v>
      </c>
      <c r="U141">
        <f>INDEX(GCalXMLT[dcaturmasya2],$D141)</f>
        <v>0</v>
      </c>
      <c r="V141" t="str">
        <f>INDEX(GCalXMLT[sankrantirasi],$D141) &amp; " " &amp; INDEX(GCalXMLT[sankrantitime],$D141)</f>
        <v xml:space="preserve"> </v>
      </c>
      <c r="W141" t="str">
        <f ca="1">IFERROR(INDEX('Holidays Calc'!$K$2:$K$233,AR141),"")</f>
        <v/>
      </c>
      <c r="X141" t="str">
        <f ca="1">IF(AR141="","",IF(INDEX('Holidays Calc'!$I$2:$I$233,AR141+1)=A141,INDEX('Holidays Calc'!$K$2:$K$233,AR141+1),""))</f>
        <v/>
      </c>
      <c r="Y141" t="str">
        <f ca="1">IF(AR141="","",IF(INDEX('Holidays Calc'!$I$2:$I$233,AR141+2)=A141,INDEX('Holidays Calc'!$K$2:$K$233,AR141+2),""))</f>
        <v/>
      </c>
      <c r="Z141" t="str">
        <f ca="1">IF(AR141="","",IF(INDEX('Holidays Calc'!$I$2:$I$233,AR141+3)=A141,INDEX('Holidays Calc'!$K$2:$K$2333,AR141+3),""))</f>
        <v/>
      </c>
      <c r="AA141" t="str">
        <f>IF(I141="Last day of Bhisma Pancaka","",IF(G141="*",-0.7,IF(ISBLANK(INDEX(GCalXMLT[dclass1],$D141)),"",INDEX(GCalXMLT[dclass1],$D141))))</f>
        <v/>
      </c>
      <c r="AB141" t="str">
        <f>IF(J141="First day of Bhisma Pancaka","",IF(AND(G141="*",NOT(ISERROR(SEARCH("ekadasi",J141)))),-0.7,IF(ISBLANK(INDEX(GCalXMLT[dclass2],$D141)),"",INDEX(GCalXMLT[dclass2],$D141))))</f>
        <v/>
      </c>
      <c r="AC141" t="str">
        <f>IF(I141="Nandotsava",-1,IF(ISBLANK(INDEX(GCalXMLT[dclass3],$D141)),"",INDEX(GCalXMLT[dclass3],$D141)))</f>
        <v/>
      </c>
      <c r="AD141" t="str">
        <f>IF(I141="Nandotsava",IF(ISBLANK(INDEX(GCalXMLT[dclass3],$D141)),"",INDEX(GCalXMLT[dclass3],$D141)),IF(ISBLANK(INDEX(GCalXMLT[dclass4],$D141)),"",INDEX(GCalXMLT[dclass4],$D141)))</f>
        <v/>
      </c>
      <c r="AE141" t="str">
        <f>IFERROR(INDEX(Festivals!$V$2:$V$160,AP141),"")</f>
        <v/>
      </c>
      <c r="AF141" t="str">
        <f>IFERROR(IF($AQ141&gt;1,INDEX(Festivals!$V$2:$V$160,$AP141+1),""),"")</f>
        <v/>
      </c>
      <c r="AG141" t="str">
        <f>IFERROR(IF($AQ141&gt;2,INDEX(Festivals!$V$2:$V$160,$AP141+2),""),"")</f>
        <v/>
      </c>
      <c r="AH141" t="str">
        <f>IFERROR(IF($AQ141&gt;3,INDEX(Festivals!$V$2:$V$160,$AP141+3),""),"")</f>
        <v/>
      </c>
      <c r="AI141" t="str">
        <f>IFERROR(IF($AQ141&gt;4,INDEX(Festivals!$V$2:$V$160,$AP141+4),""),"")</f>
        <v/>
      </c>
      <c r="AJ141" t="str">
        <f>IFERROR(IF($AQ141&gt;5,INDEX(Festivals!$V$2:$V$160,$AP141+5),""),"")</f>
        <v/>
      </c>
      <c r="AK141" t="str">
        <f>IFERROR(IF($AQ141&gt;6,INDEX(Festivals!$V$2:$V$160,$AP141+6),""),"")</f>
        <v/>
      </c>
      <c r="AL141" t="str">
        <f ca="1">IFERROR(INDEX('Holidays Calc'!$J$2:$J$233,MATCH(A141,'Holidays Calc'!$I$2:$I$233,0)),"")</f>
        <v/>
      </c>
      <c r="AM141" t="str">
        <f ca="1">IF(AR141="","",IF(INDEX('Holidays Calc'!$I$2:$I$233,AR141+1)=A141,INDEX('Holidays Calc'!$J$2:$J$233,AR141+1),""))</f>
        <v/>
      </c>
      <c r="AN141" t="str">
        <f ca="1">IF(AR141="","",IF(INDEX('Holidays Calc'!$I$2:$I$233,AR141+2)=A141,INDEX('Holidays Calc'!$J$2:$J$233,AR141+2),""))</f>
        <v/>
      </c>
      <c r="AO141" t="str">
        <f ca="1">IF(AR141="","",IF(INDEX('Holidays Calc'!$I$2:$I$233,AR141+3)=A141,INDEX('Holidays Calc'!$J$2:$J$233,AR141+3),""))</f>
        <v/>
      </c>
      <c r="AP141" t="str">
        <f>IFERROR(IF($E141=E140,"",MATCH($E141,Festivals!$H$2:$H$160,0)),"")</f>
        <v/>
      </c>
      <c r="AQ141" t="str">
        <f>IF(AP141="","",COUNTIF(Festivals!$H$2:$H$160,$E141))</f>
        <v/>
      </c>
      <c r="AR141" t="str">
        <f ca="1">IFERROR(MATCH(A141,'Holidays Calc'!$I$2:$I$233,0),"")</f>
        <v/>
      </c>
      <c r="AS141" t="str">
        <f t="shared" si="18"/>
        <v/>
      </c>
      <c r="AT141" t="str">
        <f t="shared" si="17"/>
        <v/>
      </c>
      <c r="AU141" t="str">
        <f t="shared" ca="1" si="19"/>
        <v/>
      </c>
      <c r="AV141" t="str">
        <f t="shared" ca="1" si="20"/>
        <v/>
      </c>
    </row>
    <row r="142" spans="1:48" x14ac:dyDescent="0.25">
      <c r="A142" s="265">
        <f t="shared" si="16"/>
        <v>43568</v>
      </c>
      <c r="B142" s="265" t="str">
        <f t="shared" si="21"/>
        <v>13 Apr 2019</v>
      </c>
      <c r="C142" s="267">
        <f t="shared" si="22"/>
        <v>15</v>
      </c>
      <c r="D142">
        <f>MATCH(A142,GCalXMLT[daydate],0)</f>
        <v>141</v>
      </c>
      <c r="E142">
        <f>VALUE("1" &amp; Masacod(INDEX(GCalXMLT[gymasa],D142)) &amp; PaksaCod(INDEX(GCalXMLT[mpaksaid],D142)) &amp; TithiCod(INDEX(GCalXMLT[stithiname],D142)))</f>
        <v>101109</v>
      </c>
      <c r="F142" t="str">
        <f ca="1">INDEX(Parameters!$K$2:$K$16,MATCH(AV142,Parameters!$L$2:$L$16,0))</f>
        <v>P</v>
      </c>
      <c r="G142">
        <f>INDEX(GCalXMLT[fastmark],$D142)</f>
        <v>0</v>
      </c>
      <c r="H142" t="str">
        <f ca="1">INDEX(Parameters!$J$2:$J$16,MATCH(AV142,Parameters!$L$2:$L$16,0))</f>
        <v>*</v>
      </c>
      <c r="I142" t="str">
        <f>INDEX(GCalXMLT[dfestival1],$D142)</f>
        <v>Rama Navami: Appearance of Lord Sri Ramacandra</v>
      </c>
      <c r="J142" t="str">
        <f>IF(INDEX(GCalXMLT[dfestival2],$D142)="(Fast today)",INDEX(Festivals!$R$2:$R$180,MATCH($I142,Festivals!$R$2:$R$180,0)+1),INDEX(GCalXMLT[dfestival2],$D142))</f>
        <v>(Fast till sunset)</v>
      </c>
      <c r="K142">
        <f>IF(I142="Nandotsava","(Fast till noon)",INDEX(GCalXMLT[dfestival3],$D142))</f>
        <v>0</v>
      </c>
      <c r="L142">
        <f>IF(I142="Nandotsava", INDEX(GCalXMLT[dfestival3],$D142),INDEX(GCalXMLT[dfestival4],$D142))</f>
        <v>0</v>
      </c>
      <c r="M142" t="str">
        <f>IFERROR(INDEX(Festivals!$S$2:$S$160,AP142),"")</f>
        <v/>
      </c>
      <c r="N142" t="str">
        <f>IFERROR(IF($AQ142&gt;1,INDEX(Festivals!$S$2:$S$160,$AP142+1),""),"")</f>
        <v/>
      </c>
      <c r="O142" t="str">
        <f>IFERROR(IF($AQ142&gt;2,INDEX(Festivals!$S$2:$S$160,$AP142+2),""),"")</f>
        <v/>
      </c>
      <c r="P142" t="str">
        <f>IFERROR(IF($AQ142&gt;3,INDEX(Festivals!$S$2:$S$160,$AP142+3),""),"")</f>
        <v/>
      </c>
      <c r="Q142" t="str">
        <f>IFERROR(IF($AQ142&gt;4,INDEX(Festivals!$S$2:$S$160,$AP142+4),""),"")</f>
        <v/>
      </c>
      <c r="R142" t="str">
        <f>IFERROR(IF($AQ142&gt;5,INDEX(Festivals!$S$2:$S$160,$AP142+5),""),"")</f>
        <v/>
      </c>
      <c r="S142" t="str">
        <f>IFERROR(IF($AQ142&gt;6,INDEX(Festivals!$S$2:$S$160,$AP142+6),""),"")</f>
        <v/>
      </c>
      <c r="T142">
        <f>INDEX(GCalXMLT[dcaturmasya1],$D142)</f>
        <v>0</v>
      </c>
      <c r="U142">
        <f>INDEX(GCalXMLT[dcaturmasya2],$D142)</f>
        <v>0</v>
      </c>
      <c r="V142" t="str">
        <f>INDEX(GCalXMLT[sankrantirasi],$D142) &amp; " " &amp; INDEX(GCalXMLT[sankrantitime],$D142)</f>
        <v xml:space="preserve"> </v>
      </c>
      <c r="W142" t="str">
        <f ca="1">IFERROR(INDEX('Holidays Calc'!$K$2:$K$233,AR142),"")</f>
        <v/>
      </c>
      <c r="X142" t="str">
        <f ca="1">IF(AR142="","",IF(INDEX('Holidays Calc'!$I$2:$I$233,AR142+1)=A142,INDEX('Holidays Calc'!$K$2:$K$233,AR142+1),""))</f>
        <v/>
      </c>
      <c r="Y142" t="str">
        <f ca="1">IF(AR142="","",IF(INDEX('Holidays Calc'!$I$2:$I$233,AR142+2)=A142,INDEX('Holidays Calc'!$K$2:$K$233,AR142+2),""))</f>
        <v/>
      </c>
      <c r="Z142" t="str">
        <f ca="1">IF(AR142="","",IF(INDEX('Holidays Calc'!$I$2:$I$233,AR142+3)=A142,INDEX('Holidays Calc'!$K$2:$K$2333,AR142+3),""))</f>
        <v/>
      </c>
      <c r="AA142">
        <f>IF(I142="Last day of Bhisma Pancaka","",IF(G142="*",-0.7,IF(ISBLANK(INDEX(GCalXMLT[dclass1],$D142)),"",INDEX(GCalXMLT[dclass1],$D142))))</f>
        <v>0</v>
      </c>
      <c r="AB142">
        <f>IF(J142="First day of Bhisma Pancaka","",IF(AND(G142="*",NOT(ISERROR(SEARCH("ekadasi",J142)))),-0.7,IF(ISBLANK(INDEX(GCalXMLT[dclass2],$D142)),"",INDEX(GCalXMLT[dclass2],$D142))))</f>
        <v>-1</v>
      </c>
      <c r="AC142" t="str">
        <f>IF(I142="Nandotsava",-1,IF(ISBLANK(INDEX(GCalXMLT[dclass3],$D142)),"",INDEX(GCalXMLT[dclass3],$D142)))</f>
        <v/>
      </c>
      <c r="AD142" t="str">
        <f>IF(I142="Nandotsava",IF(ISBLANK(INDEX(GCalXMLT[dclass3],$D142)),"",INDEX(GCalXMLT[dclass3],$D142)),IF(ISBLANK(INDEX(GCalXMLT[dclass4],$D142)),"",INDEX(GCalXMLT[dclass4],$D142)))</f>
        <v/>
      </c>
      <c r="AE142" t="str">
        <f>IFERROR(INDEX(Festivals!$V$2:$V$160,AP142),"")</f>
        <v/>
      </c>
      <c r="AF142" t="str">
        <f>IFERROR(IF($AQ142&gt;1,INDEX(Festivals!$V$2:$V$160,$AP142+1),""),"")</f>
        <v/>
      </c>
      <c r="AG142" t="str">
        <f>IFERROR(IF($AQ142&gt;2,INDEX(Festivals!$V$2:$V$160,$AP142+2),""),"")</f>
        <v/>
      </c>
      <c r="AH142" t="str">
        <f>IFERROR(IF($AQ142&gt;3,INDEX(Festivals!$V$2:$V$160,$AP142+3),""),"")</f>
        <v/>
      </c>
      <c r="AI142" t="str">
        <f>IFERROR(IF($AQ142&gt;4,INDEX(Festivals!$V$2:$V$160,$AP142+4),""),"")</f>
        <v/>
      </c>
      <c r="AJ142" t="str">
        <f>IFERROR(IF($AQ142&gt;5,INDEX(Festivals!$V$2:$V$160,$AP142+5),""),"")</f>
        <v/>
      </c>
      <c r="AK142" t="str">
        <f>IFERROR(IF($AQ142&gt;6,INDEX(Festivals!$V$2:$V$160,$AP142+6),""),"")</f>
        <v/>
      </c>
      <c r="AL142" t="str">
        <f ca="1">IFERROR(INDEX('Holidays Calc'!$J$2:$J$233,MATCH(A142,'Holidays Calc'!$I$2:$I$233,0)),"")</f>
        <v/>
      </c>
      <c r="AM142" t="str">
        <f ca="1">IF(AR142="","",IF(INDEX('Holidays Calc'!$I$2:$I$233,AR142+1)=A142,INDEX('Holidays Calc'!$J$2:$J$233,AR142+1),""))</f>
        <v/>
      </c>
      <c r="AN142" t="str">
        <f ca="1">IF(AR142="","",IF(INDEX('Holidays Calc'!$I$2:$I$233,AR142+2)=A142,INDEX('Holidays Calc'!$J$2:$J$233,AR142+2),""))</f>
        <v/>
      </c>
      <c r="AO142" t="str">
        <f ca="1">IF(AR142="","",IF(INDEX('Holidays Calc'!$I$2:$I$233,AR142+3)=A142,INDEX('Holidays Calc'!$J$2:$J$233,AR142+3),""))</f>
        <v/>
      </c>
      <c r="AP142" t="str">
        <f>IFERROR(IF($E142=E141,"",MATCH($E142,Festivals!$H$2:$H$160,0)),"")</f>
        <v/>
      </c>
      <c r="AQ142" t="str">
        <f>IF(AP142="","",COUNTIF(Festivals!$H$2:$H$160,$E142))</f>
        <v/>
      </c>
      <c r="AR142" t="str">
        <f ca="1">IFERROR(MATCH(A142,'Holidays Calc'!$I$2:$I$233,0),"")</f>
        <v/>
      </c>
      <c r="AS142">
        <f t="shared" si="18"/>
        <v>-1</v>
      </c>
      <c r="AT142">
        <f t="shared" si="17"/>
        <v>-1</v>
      </c>
      <c r="AU142" t="str">
        <f t="shared" ca="1" si="19"/>
        <v/>
      </c>
      <c r="AV142">
        <f t="shared" ca="1" si="20"/>
        <v>-1</v>
      </c>
    </row>
    <row r="143" spans="1:48" x14ac:dyDescent="0.25">
      <c r="A143" s="265">
        <f t="shared" si="16"/>
        <v>43569</v>
      </c>
      <c r="B143" s="265" t="str">
        <f t="shared" si="21"/>
        <v>14 Apr 2019</v>
      </c>
      <c r="C143" s="267">
        <f t="shared" si="22"/>
        <v>15</v>
      </c>
      <c r="D143">
        <f>MATCH(A143,GCalXMLT[daydate],0)</f>
        <v>142</v>
      </c>
      <c r="E143">
        <f>VALUE("1" &amp; Masacod(INDEX(GCalXMLT[gymasa],D143)) &amp; PaksaCod(INDEX(GCalXMLT[mpaksaid],D143)) &amp; TithiCod(INDEX(GCalXMLT[stithiname],D143)))</f>
        <v>101110</v>
      </c>
      <c r="F143" t="str">
        <f ca="1">INDEX(Parameters!$K$2:$K$16,MATCH(AV143,Parameters!$L$2:$L$16,0))</f>
        <v>C</v>
      </c>
      <c r="G143">
        <f>INDEX(GCalXMLT[fastmark],$D143)</f>
        <v>0</v>
      </c>
      <c r="H143" t="str">
        <f ca="1">INDEX(Parameters!$J$2:$J$16,MATCH(AV143,Parameters!$L$2:$L$16,0))</f>
        <v/>
      </c>
      <c r="I143" t="str">
        <f>INDEX(GCalXMLT[dfestival1],$D143)</f>
        <v>Tulasi Jala Dan begins.</v>
      </c>
      <c r="J143">
        <f>IF(INDEX(GCalXMLT[dfestival2],$D143)="(Fast today)",INDEX(Festivals!$R$2:$R$180,MATCH($I143,Festivals!$R$2:$R$180,0)+1),INDEX(GCalXMLT[dfestival2],$D143))</f>
        <v>0</v>
      </c>
      <c r="K143">
        <f>IF(I143="Nandotsava","(Fast till noon)",INDEX(GCalXMLT[dfestival3],$D143))</f>
        <v>0</v>
      </c>
      <c r="L143">
        <f>IF(I143="Nandotsava", INDEX(GCalXMLT[dfestival3],$D143),INDEX(GCalXMLT[dfestival4],$D143))</f>
        <v>0</v>
      </c>
      <c r="M143" t="str">
        <f>IFERROR(INDEX(Festivals!$S$2:$S$160,AP143),"")</f>
        <v/>
      </c>
      <c r="N143" t="str">
        <f>IFERROR(IF($AQ143&gt;1,INDEX(Festivals!$S$2:$S$160,$AP143+1),""),"")</f>
        <v/>
      </c>
      <c r="O143" t="str">
        <f>IFERROR(IF($AQ143&gt;2,INDEX(Festivals!$S$2:$S$160,$AP143+2),""),"")</f>
        <v/>
      </c>
      <c r="P143" t="str">
        <f>IFERROR(IF($AQ143&gt;3,INDEX(Festivals!$S$2:$S$160,$AP143+3),""),"")</f>
        <v/>
      </c>
      <c r="Q143" t="str">
        <f>IFERROR(IF($AQ143&gt;4,INDEX(Festivals!$S$2:$S$160,$AP143+4),""),"")</f>
        <v/>
      </c>
      <c r="R143" t="str">
        <f>IFERROR(IF($AQ143&gt;5,INDEX(Festivals!$S$2:$S$160,$AP143+5),""),"")</f>
        <v/>
      </c>
      <c r="S143" t="str">
        <f>IFERROR(IF($AQ143&gt;6,INDEX(Festivals!$S$2:$S$160,$AP143+6),""),"")</f>
        <v/>
      </c>
      <c r="T143">
        <f>INDEX(GCalXMLT[dcaturmasya1],$D143)</f>
        <v>0</v>
      </c>
      <c r="U143">
        <f>INDEX(GCalXMLT[dcaturmasya2],$D143)</f>
        <v>0</v>
      </c>
      <c r="V143" t="str">
        <f>INDEX(GCalXMLT[sankrantirasi],$D143) &amp; " " &amp; INDEX(GCalXMLT[sankrantitime],$D143)</f>
        <v>Mesa 0,233935185185185</v>
      </c>
      <c r="W143" t="str">
        <f ca="1">IFERROR(INDEX('Holidays Calc'!$K$2:$K$233,AR143),"")</f>
        <v>Domingo de Ramos</v>
      </c>
      <c r="X143" t="str">
        <f ca="1">IF(AR143="","",IF(INDEX('Holidays Calc'!$I$2:$I$233,AR143+1)=A143,INDEX('Holidays Calc'!$K$2:$K$233,AR143+1),""))</f>
        <v/>
      </c>
      <c r="Y143" t="str">
        <f ca="1">IF(AR143="","",IF(INDEX('Holidays Calc'!$I$2:$I$233,AR143+2)=A143,INDEX('Holidays Calc'!$K$2:$K$233,AR143+2),""))</f>
        <v/>
      </c>
      <c r="Z143" t="str">
        <f ca="1">IF(AR143="","",IF(INDEX('Holidays Calc'!$I$2:$I$233,AR143+3)=A143,INDEX('Holidays Calc'!$K$2:$K$2333,AR143+3),""))</f>
        <v/>
      </c>
      <c r="AA143">
        <f>IF(I143="Last day of Bhisma Pancaka","",IF(G143="*",-0.7,IF(ISBLANK(INDEX(GCalXMLT[dclass1],$D143)),"",INDEX(GCalXMLT[dclass1],$D143))))</f>
        <v>5</v>
      </c>
      <c r="AB143" t="str">
        <f>IF(J143="First day of Bhisma Pancaka","",IF(AND(G143="*",NOT(ISERROR(SEARCH("ekadasi",J143)))),-0.7,IF(ISBLANK(INDEX(GCalXMLT[dclass2],$D143)),"",INDEX(GCalXMLT[dclass2],$D143))))</f>
        <v/>
      </c>
      <c r="AC143" t="str">
        <f>IF(I143="Nandotsava",-1,IF(ISBLANK(INDEX(GCalXMLT[dclass3],$D143)),"",INDEX(GCalXMLT[dclass3],$D143)))</f>
        <v/>
      </c>
      <c r="AD143" t="str">
        <f>IF(I143="Nandotsava",IF(ISBLANK(INDEX(GCalXMLT[dclass3],$D143)),"",INDEX(GCalXMLT[dclass3],$D143)),IF(ISBLANK(INDEX(GCalXMLT[dclass4],$D143)),"",INDEX(GCalXMLT[dclass4],$D143)))</f>
        <v/>
      </c>
      <c r="AE143" t="str">
        <f>IFERROR(INDEX(Festivals!$V$2:$V$160,AP143),"")</f>
        <v/>
      </c>
      <c r="AF143" t="str">
        <f>IFERROR(IF($AQ143&gt;1,INDEX(Festivals!$V$2:$V$160,$AP143+1),""),"")</f>
        <v/>
      </c>
      <c r="AG143" t="str">
        <f>IFERROR(IF($AQ143&gt;2,INDEX(Festivals!$V$2:$V$160,$AP143+2),""),"")</f>
        <v/>
      </c>
      <c r="AH143" t="str">
        <f>IFERROR(IF($AQ143&gt;3,INDEX(Festivals!$V$2:$V$160,$AP143+3),""),"")</f>
        <v/>
      </c>
      <c r="AI143" t="str">
        <f>IFERROR(IF($AQ143&gt;4,INDEX(Festivals!$V$2:$V$160,$AP143+4),""),"")</f>
        <v/>
      </c>
      <c r="AJ143" t="str">
        <f>IFERROR(IF($AQ143&gt;5,INDEX(Festivals!$V$2:$V$160,$AP143+5),""),"")</f>
        <v/>
      </c>
      <c r="AK143" t="str">
        <f>IFERROR(IF($AQ143&gt;6,INDEX(Festivals!$V$2:$V$160,$AP143+6),""),"")</f>
        <v/>
      </c>
      <c r="AL143">
        <f ca="1">IFERROR(INDEX('Holidays Calc'!$J$2:$J$233,MATCH(A143,'Holidays Calc'!$I$2:$I$233,0)),"")</f>
        <v>0.5</v>
      </c>
      <c r="AM143" t="str">
        <f ca="1">IF(AR143="","",IF(INDEX('Holidays Calc'!$I$2:$I$233,AR143+1)=A143,INDEX('Holidays Calc'!$J$2:$J$233,AR143+1),""))</f>
        <v/>
      </c>
      <c r="AN143" t="str">
        <f ca="1">IF(AR143="","",IF(INDEX('Holidays Calc'!$I$2:$I$233,AR143+2)=A143,INDEX('Holidays Calc'!$J$2:$J$233,AR143+2),""))</f>
        <v/>
      </c>
      <c r="AO143" t="str">
        <f ca="1">IF(AR143="","",IF(INDEX('Holidays Calc'!$I$2:$I$233,AR143+3)=A143,INDEX('Holidays Calc'!$J$2:$J$233,AR143+3),""))</f>
        <v/>
      </c>
      <c r="AP143" t="str">
        <f>IFERROR(IF($E143=E142,"",MATCH($E143,Festivals!$H$2:$H$160,0)),"")</f>
        <v/>
      </c>
      <c r="AQ143" t="str">
        <f>IF(AP143="","",COUNTIF(Festivals!$H$2:$H$160,$E143))</f>
        <v/>
      </c>
      <c r="AR143">
        <f ca="1">IFERROR(MATCH(A143,'Holidays Calc'!$I$2:$I$233,0),"")</f>
        <v>42</v>
      </c>
      <c r="AS143">
        <f t="shared" si="18"/>
        <v>5</v>
      </c>
      <c r="AT143">
        <f t="shared" si="17"/>
        <v>5</v>
      </c>
      <c r="AU143">
        <f t="shared" ca="1" si="19"/>
        <v>0.5</v>
      </c>
      <c r="AV143">
        <f t="shared" ca="1" si="20"/>
        <v>0.5</v>
      </c>
    </row>
    <row r="144" spans="1:48" x14ac:dyDescent="0.25">
      <c r="A144" s="265">
        <f t="shared" si="16"/>
        <v>43570</v>
      </c>
      <c r="B144" s="265" t="str">
        <f t="shared" si="21"/>
        <v>15 Apr 2019</v>
      </c>
      <c r="C144" s="267">
        <f t="shared" si="22"/>
        <v>16</v>
      </c>
      <c r="D144">
        <f>MATCH(A144,GCalXMLT[daydate],0)</f>
        <v>143</v>
      </c>
      <c r="E144">
        <f>VALUE("1" &amp; Masacod(INDEX(GCalXMLT[gymasa],D144)) &amp; PaksaCod(INDEX(GCalXMLT[mpaksaid],D144)) &amp; TithiCod(INDEX(GCalXMLT[stithiname],D144)))</f>
        <v>101111</v>
      </c>
      <c r="F144" t="str">
        <f ca="1">INDEX(Parameters!$K$2:$K$16,MATCH(AV144,Parameters!$L$2:$L$16,0))</f>
        <v>E</v>
      </c>
      <c r="G144" t="str">
        <f>INDEX(GCalXMLT[fastmark],$D144)</f>
        <v>*</v>
      </c>
      <c r="H144" t="str">
        <f ca="1">INDEX(Parameters!$J$2:$J$16,MATCH(AV144,Parameters!$L$2:$L$16,0))</f>
        <v>*</v>
      </c>
      <c r="I144" t="str">
        <f>INDEX(GCalXMLT[dfestival1],$D144)</f>
        <v>Fasting for Kamada Ekadasi</v>
      </c>
      <c r="J144">
        <f>IF(INDEX(GCalXMLT[dfestival2],$D144)="(Fast today)",INDEX(Festivals!$R$2:$R$180,MATCH($I144,Festivals!$R$2:$R$180,0)+1),INDEX(GCalXMLT[dfestival2],$D144))</f>
        <v>0</v>
      </c>
      <c r="K144">
        <f>IF(I144="Nandotsava","(Fast till noon)",INDEX(GCalXMLT[dfestival3],$D144))</f>
        <v>0</v>
      </c>
      <c r="L144">
        <f>IF(I144="Nandotsava", INDEX(GCalXMLT[dfestival3],$D144),INDEX(GCalXMLT[dfestival4],$D144))</f>
        <v>0</v>
      </c>
      <c r="M144" t="str">
        <f>IFERROR(INDEX(Festivals!$S$2:$S$160,AP144),"")</f>
        <v/>
      </c>
      <c r="N144" t="str">
        <f>IFERROR(IF($AQ144&gt;1,INDEX(Festivals!$S$2:$S$160,$AP144+1),""),"")</f>
        <v/>
      </c>
      <c r="O144" t="str">
        <f>IFERROR(IF($AQ144&gt;2,INDEX(Festivals!$S$2:$S$160,$AP144+2),""),"")</f>
        <v/>
      </c>
      <c r="P144" t="str">
        <f>IFERROR(IF($AQ144&gt;3,INDEX(Festivals!$S$2:$S$160,$AP144+3),""),"")</f>
        <v/>
      </c>
      <c r="Q144" t="str">
        <f>IFERROR(IF($AQ144&gt;4,INDEX(Festivals!$S$2:$S$160,$AP144+4),""),"")</f>
        <v/>
      </c>
      <c r="R144" t="str">
        <f>IFERROR(IF($AQ144&gt;5,INDEX(Festivals!$S$2:$S$160,$AP144+5),""),"")</f>
        <v/>
      </c>
      <c r="S144" t="str">
        <f>IFERROR(IF($AQ144&gt;6,INDEX(Festivals!$S$2:$S$160,$AP144+6),""),"")</f>
        <v/>
      </c>
      <c r="T144">
        <f>INDEX(GCalXMLT[dcaturmasya1],$D144)</f>
        <v>0</v>
      </c>
      <c r="U144">
        <f>INDEX(GCalXMLT[dcaturmasya2],$D144)</f>
        <v>0</v>
      </c>
      <c r="V144" t="str">
        <f>INDEX(GCalXMLT[sankrantirasi],$D144) &amp; " " &amp; INDEX(GCalXMLT[sankrantitime],$D144)</f>
        <v xml:space="preserve"> </v>
      </c>
      <c r="W144" t="str">
        <f ca="1">IFERROR(INDEX('Holidays Calc'!$K$2:$K$233,AR144),"")</f>
        <v/>
      </c>
      <c r="X144" t="str">
        <f ca="1">IF(AR144="","",IF(INDEX('Holidays Calc'!$I$2:$I$233,AR144+1)=A144,INDEX('Holidays Calc'!$K$2:$K$233,AR144+1),""))</f>
        <v/>
      </c>
      <c r="Y144" t="str">
        <f ca="1">IF(AR144="","",IF(INDEX('Holidays Calc'!$I$2:$I$233,AR144+2)=A144,INDEX('Holidays Calc'!$K$2:$K$233,AR144+2),""))</f>
        <v/>
      </c>
      <c r="Z144" t="str">
        <f ca="1">IF(AR144="","",IF(INDEX('Holidays Calc'!$I$2:$I$233,AR144+3)=A144,INDEX('Holidays Calc'!$K$2:$K$2333,AR144+3),""))</f>
        <v/>
      </c>
      <c r="AA144">
        <f>IF(I144="Last day of Bhisma Pancaka","",IF(G144="*",-0.7,IF(ISBLANK(INDEX(GCalXMLT[dclass1],$D144)),"",INDEX(GCalXMLT[dclass1],$D144))))</f>
        <v>-0.7</v>
      </c>
      <c r="AB144" t="str">
        <f>IF(J144="First day of Bhisma Pancaka","",IF(AND(G144="*",NOT(ISERROR(SEARCH("ekadasi",J144)))),-0.7,IF(ISBLANK(INDEX(GCalXMLT[dclass2],$D144)),"",INDEX(GCalXMLT[dclass2],$D144))))</f>
        <v/>
      </c>
      <c r="AC144" t="str">
        <f>IF(I144="Nandotsava",-1,IF(ISBLANK(INDEX(GCalXMLT[dclass3],$D144)),"",INDEX(GCalXMLT[dclass3],$D144)))</f>
        <v/>
      </c>
      <c r="AD144" t="str">
        <f>IF(I144="Nandotsava",IF(ISBLANK(INDEX(GCalXMLT[dclass3],$D144)),"",INDEX(GCalXMLT[dclass3],$D144)),IF(ISBLANK(INDEX(GCalXMLT[dclass4],$D144)),"",INDEX(GCalXMLT[dclass4],$D144)))</f>
        <v/>
      </c>
      <c r="AE144" t="str">
        <f>IFERROR(INDEX(Festivals!$V$2:$V$160,AP144),"")</f>
        <v/>
      </c>
      <c r="AF144" t="str">
        <f>IFERROR(IF($AQ144&gt;1,INDEX(Festivals!$V$2:$V$160,$AP144+1),""),"")</f>
        <v/>
      </c>
      <c r="AG144" t="str">
        <f>IFERROR(IF($AQ144&gt;2,INDEX(Festivals!$V$2:$V$160,$AP144+2),""),"")</f>
        <v/>
      </c>
      <c r="AH144" t="str">
        <f>IFERROR(IF($AQ144&gt;3,INDEX(Festivals!$V$2:$V$160,$AP144+3),""),"")</f>
        <v/>
      </c>
      <c r="AI144" t="str">
        <f>IFERROR(IF($AQ144&gt;4,INDEX(Festivals!$V$2:$V$160,$AP144+4),""),"")</f>
        <v/>
      </c>
      <c r="AJ144" t="str">
        <f>IFERROR(IF($AQ144&gt;5,INDEX(Festivals!$V$2:$V$160,$AP144+5),""),"")</f>
        <v/>
      </c>
      <c r="AK144" t="str">
        <f>IFERROR(IF($AQ144&gt;6,INDEX(Festivals!$V$2:$V$160,$AP144+6),""),"")</f>
        <v/>
      </c>
      <c r="AL144" t="str">
        <f ca="1">IFERROR(INDEX('Holidays Calc'!$J$2:$J$233,MATCH(A144,'Holidays Calc'!$I$2:$I$233,0)),"")</f>
        <v/>
      </c>
      <c r="AM144" t="str">
        <f ca="1">IF(AR144="","",IF(INDEX('Holidays Calc'!$I$2:$I$233,AR144+1)=A144,INDEX('Holidays Calc'!$J$2:$J$233,AR144+1),""))</f>
        <v/>
      </c>
      <c r="AN144" t="str">
        <f ca="1">IF(AR144="","",IF(INDEX('Holidays Calc'!$I$2:$I$233,AR144+2)=A144,INDEX('Holidays Calc'!$J$2:$J$233,AR144+2),""))</f>
        <v/>
      </c>
      <c r="AO144" t="str">
        <f ca="1">IF(AR144="","",IF(INDEX('Holidays Calc'!$I$2:$I$233,AR144+3)=A144,INDEX('Holidays Calc'!$J$2:$J$233,AR144+3),""))</f>
        <v/>
      </c>
      <c r="AP144" t="str">
        <f>IFERROR(IF($E144=E143,"",MATCH($E144,Festivals!$H$2:$H$160,0)),"")</f>
        <v/>
      </c>
      <c r="AQ144" t="str">
        <f>IF(AP144="","",COUNTIF(Festivals!$H$2:$H$160,$E144))</f>
        <v/>
      </c>
      <c r="AR144" t="str">
        <f ca="1">IFERROR(MATCH(A144,'Holidays Calc'!$I$2:$I$233,0),"")</f>
        <v/>
      </c>
      <c r="AS144">
        <f t="shared" si="18"/>
        <v>-0.7</v>
      </c>
      <c r="AT144">
        <f t="shared" si="17"/>
        <v>-0.7</v>
      </c>
      <c r="AU144" t="str">
        <f t="shared" ca="1" si="19"/>
        <v/>
      </c>
      <c r="AV144">
        <f t="shared" ca="1" si="20"/>
        <v>-0.7</v>
      </c>
    </row>
    <row r="145" spans="1:48" x14ac:dyDescent="0.25">
      <c r="A145" s="265">
        <f t="shared" si="16"/>
        <v>43571</v>
      </c>
      <c r="B145" s="265" t="str">
        <f t="shared" si="21"/>
        <v>16 Apr 2019</v>
      </c>
      <c r="C145" s="267">
        <f t="shared" si="22"/>
        <v>16</v>
      </c>
      <c r="D145">
        <f>MATCH(A145,GCalXMLT[daydate],0)</f>
        <v>144</v>
      </c>
      <c r="E145">
        <f>VALUE("1" &amp; Masacod(INDEX(GCalXMLT[gymasa],D145)) &amp; PaksaCod(INDEX(GCalXMLT[mpaksaid],D145)) &amp; TithiCod(INDEX(GCalXMLT[stithiname],D145)))</f>
        <v>101112</v>
      </c>
      <c r="F145" t="str">
        <f ca="1">INDEX(Parameters!$K$2:$K$16,MATCH(AV145,Parameters!$L$2:$L$16,0))</f>
        <v>C</v>
      </c>
      <c r="G145">
        <f>INDEX(GCalXMLT[fastmark],$D145)</f>
        <v>0</v>
      </c>
      <c r="H145" t="str">
        <f ca="1">INDEX(Parameters!$J$2:$J$16,MATCH(AV145,Parameters!$L$2:$L$16,0))</f>
        <v/>
      </c>
      <c r="I145">
        <f>INDEX(GCalXMLT[dfestival1],$D145)</f>
        <v>0</v>
      </c>
      <c r="J145">
        <f>IF(INDEX(GCalXMLT[dfestival2],$D145)="(Fast today)",INDEX(Festivals!$R$2:$R$180,MATCH($I145,Festivals!$R$2:$R$180,0)+1),INDEX(GCalXMLT[dfestival2],$D145))</f>
        <v>0</v>
      </c>
      <c r="K145">
        <f>IF(I145="Nandotsava","(Fast till noon)",INDEX(GCalXMLT[dfestival3],$D145))</f>
        <v>0</v>
      </c>
      <c r="L145">
        <f>IF(I145="Nandotsava", INDEX(GCalXMLT[dfestival3],$D145),INDEX(GCalXMLT[dfestival4],$D145))</f>
        <v>0</v>
      </c>
      <c r="M145" t="str">
        <f>IFERROR(INDEX(Festivals!$S$2:$S$160,AP145),"")</f>
        <v>Damanakaropana Dvadasi</v>
      </c>
      <c r="N145" t="str">
        <f>IFERROR(IF($AQ145&gt;1,INDEX(Festivals!$S$2:$S$160,$AP145+1),""),"")</f>
        <v/>
      </c>
      <c r="O145" t="str">
        <f>IFERROR(IF($AQ145&gt;2,INDEX(Festivals!$S$2:$S$160,$AP145+2),""),"")</f>
        <v/>
      </c>
      <c r="P145" t="str">
        <f>IFERROR(IF($AQ145&gt;3,INDEX(Festivals!$S$2:$S$160,$AP145+3),""),"")</f>
        <v/>
      </c>
      <c r="Q145" t="str">
        <f>IFERROR(IF($AQ145&gt;4,INDEX(Festivals!$S$2:$S$160,$AP145+4),""),"")</f>
        <v/>
      </c>
      <c r="R145" t="str">
        <f>IFERROR(IF($AQ145&gt;5,INDEX(Festivals!$S$2:$S$160,$AP145+5),""),"")</f>
        <v/>
      </c>
      <c r="S145" t="str">
        <f>IFERROR(IF($AQ145&gt;6,INDEX(Festivals!$S$2:$S$160,$AP145+6),""),"")</f>
        <v/>
      </c>
      <c r="T145">
        <f>INDEX(GCalXMLT[dcaturmasya1],$D145)</f>
        <v>0</v>
      </c>
      <c r="U145">
        <f>INDEX(GCalXMLT[dcaturmasya2],$D145)</f>
        <v>0</v>
      </c>
      <c r="V145" t="str">
        <f>INDEX(GCalXMLT[sankrantirasi],$D145) &amp; " " &amp; INDEX(GCalXMLT[sankrantitime],$D145)</f>
        <v xml:space="preserve"> </v>
      </c>
      <c r="W145" t="str">
        <f ca="1">IFERROR(INDEX('Holidays Calc'!$K$2:$K$233,AR145),"")</f>
        <v/>
      </c>
      <c r="X145" t="str">
        <f ca="1">IF(AR145="","",IF(INDEX('Holidays Calc'!$I$2:$I$233,AR145+1)=A145,INDEX('Holidays Calc'!$K$2:$K$233,AR145+1),""))</f>
        <v/>
      </c>
      <c r="Y145" t="str">
        <f ca="1">IF(AR145="","",IF(INDEX('Holidays Calc'!$I$2:$I$233,AR145+2)=A145,INDEX('Holidays Calc'!$K$2:$K$233,AR145+2),""))</f>
        <v/>
      </c>
      <c r="Z145" t="str">
        <f ca="1">IF(AR145="","",IF(INDEX('Holidays Calc'!$I$2:$I$233,AR145+3)=A145,INDEX('Holidays Calc'!$K$2:$K$2333,AR145+3),""))</f>
        <v/>
      </c>
      <c r="AA145" t="str">
        <f>IF(I145="Last day of Bhisma Pancaka","",IF(G145="*",-0.7,IF(ISBLANK(INDEX(GCalXMLT[dclass1],$D145)),"",INDEX(GCalXMLT[dclass1],$D145))))</f>
        <v/>
      </c>
      <c r="AB145" t="str">
        <f>IF(J145="First day of Bhisma Pancaka","",IF(AND(G145="*",NOT(ISERROR(SEARCH("ekadasi",J145)))),-0.7,IF(ISBLANK(INDEX(GCalXMLT[dclass2],$D145)),"",INDEX(GCalXMLT[dclass2],$D145))))</f>
        <v/>
      </c>
      <c r="AC145" t="str">
        <f>IF(I145="Nandotsava",-1,IF(ISBLANK(INDEX(GCalXMLT[dclass3],$D145)),"",INDEX(GCalXMLT[dclass3],$D145)))</f>
        <v/>
      </c>
      <c r="AD145" t="str">
        <f>IF(I145="Nandotsava",IF(ISBLANK(INDEX(GCalXMLT[dclass3],$D145)),"",INDEX(GCalXMLT[dclass3],$D145)),IF(ISBLANK(INDEX(GCalXMLT[dclass4],$D145)),"",INDEX(GCalXMLT[dclass4],$D145)))</f>
        <v/>
      </c>
      <c r="AE145">
        <f>IFERROR(INDEX(Festivals!$V$2:$V$160,AP145),"")</f>
        <v>1</v>
      </c>
      <c r="AF145" t="str">
        <f>IFERROR(IF($AQ145&gt;1,INDEX(Festivals!$V$2:$V$160,$AP145+1),""),"")</f>
        <v/>
      </c>
      <c r="AG145" t="str">
        <f>IFERROR(IF($AQ145&gt;2,INDEX(Festivals!$V$2:$V$160,$AP145+2),""),"")</f>
        <v/>
      </c>
      <c r="AH145" t="str">
        <f>IFERROR(IF($AQ145&gt;3,INDEX(Festivals!$V$2:$V$160,$AP145+3),""),"")</f>
        <v/>
      </c>
      <c r="AI145" t="str">
        <f>IFERROR(IF($AQ145&gt;4,INDEX(Festivals!$V$2:$V$160,$AP145+4),""),"")</f>
        <v/>
      </c>
      <c r="AJ145" t="str">
        <f>IFERROR(IF($AQ145&gt;5,INDEX(Festivals!$V$2:$V$160,$AP145+5),""),"")</f>
        <v/>
      </c>
      <c r="AK145" t="str">
        <f>IFERROR(IF($AQ145&gt;6,INDEX(Festivals!$V$2:$V$160,$AP145+6),""),"")</f>
        <v/>
      </c>
      <c r="AL145" t="str">
        <f ca="1">IFERROR(INDEX('Holidays Calc'!$J$2:$J$233,MATCH(A145,'Holidays Calc'!$I$2:$I$233,0)),"")</f>
        <v/>
      </c>
      <c r="AM145" t="str">
        <f ca="1">IF(AR145="","",IF(INDEX('Holidays Calc'!$I$2:$I$233,AR145+1)=A145,INDEX('Holidays Calc'!$J$2:$J$233,AR145+1),""))</f>
        <v/>
      </c>
      <c r="AN145" t="str">
        <f ca="1">IF(AR145="","",IF(INDEX('Holidays Calc'!$I$2:$I$233,AR145+2)=A145,INDEX('Holidays Calc'!$J$2:$J$233,AR145+2),""))</f>
        <v/>
      </c>
      <c r="AO145" t="str">
        <f ca="1">IF(AR145="","",IF(INDEX('Holidays Calc'!$I$2:$I$233,AR145+3)=A145,INDEX('Holidays Calc'!$J$2:$J$233,AR145+3),""))</f>
        <v/>
      </c>
      <c r="AP145">
        <f>IFERROR(IF($E145=E144,"",MATCH($E145,Festivals!$H$2:$H$160,0)),"")</f>
        <v>4</v>
      </c>
      <c r="AQ145">
        <f>IF(AP145="","",COUNTIF(Festivals!$H$2:$H$160,$E145))</f>
        <v>1</v>
      </c>
      <c r="AR145" t="str">
        <f ca="1">IFERROR(MATCH(A145,'Holidays Calc'!$I$2:$I$233,0),"")</f>
        <v/>
      </c>
      <c r="AS145">
        <f t="shared" si="18"/>
        <v>1</v>
      </c>
      <c r="AT145">
        <f t="shared" si="17"/>
        <v>1</v>
      </c>
      <c r="AU145" t="str">
        <f t="shared" ca="1" si="19"/>
        <v/>
      </c>
      <c r="AV145">
        <f t="shared" ca="1" si="20"/>
        <v>1</v>
      </c>
    </row>
    <row r="146" spans="1:48" x14ac:dyDescent="0.25">
      <c r="A146" s="265">
        <f t="shared" si="16"/>
        <v>43572</v>
      </c>
      <c r="B146" s="265" t="str">
        <f t="shared" si="21"/>
        <v>17 Apr 2019</v>
      </c>
      <c r="C146" s="267">
        <f t="shared" si="22"/>
        <v>16</v>
      </c>
      <c r="D146">
        <f>MATCH(A146,GCalXMLT[daydate],0)</f>
        <v>145</v>
      </c>
      <c r="E146">
        <f>VALUE("1" &amp; Masacod(INDEX(GCalXMLT[gymasa],D146)) &amp; PaksaCod(INDEX(GCalXMLT[mpaksaid],D146)) &amp; TithiCod(INDEX(GCalXMLT[stithiname],D146)))</f>
        <v>101113</v>
      </c>
      <c r="F146" t="str">
        <f ca="1">INDEX(Parameters!$K$2:$K$16,MATCH(AV146,Parameters!$L$2:$L$16,0))</f>
        <v/>
      </c>
      <c r="G146">
        <f>INDEX(GCalXMLT[fastmark],$D146)</f>
        <v>0</v>
      </c>
      <c r="H146" t="str">
        <f ca="1">INDEX(Parameters!$J$2:$J$16,MATCH(AV146,Parameters!$L$2:$L$16,0))</f>
        <v/>
      </c>
      <c r="I146">
        <f>INDEX(GCalXMLT[dfestival1],$D146)</f>
        <v>0</v>
      </c>
      <c r="J146">
        <f>IF(INDEX(GCalXMLT[dfestival2],$D146)="(Fast today)",INDEX(Festivals!$R$2:$R$180,MATCH($I146,Festivals!$R$2:$R$180,0)+1),INDEX(GCalXMLT[dfestival2],$D146))</f>
        <v>0</v>
      </c>
      <c r="K146">
        <f>IF(I146="Nandotsava","(Fast till noon)",INDEX(GCalXMLT[dfestival3],$D146))</f>
        <v>0</v>
      </c>
      <c r="L146">
        <f>IF(I146="Nandotsava", INDEX(GCalXMLT[dfestival3],$D146),INDEX(GCalXMLT[dfestival4],$D146))</f>
        <v>0</v>
      </c>
      <c r="M146" t="str">
        <f>IFERROR(INDEX(Festivals!$S$2:$S$160,AP146),"")</f>
        <v/>
      </c>
      <c r="N146" t="str">
        <f>IFERROR(IF($AQ146&gt;1,INDEX(Festivals!$S$2:$S$160,$AP146+1),""),"")</f>
        <v/>
      </c>
      <c r="O146" t="str">
        <f>IFERROR(IF($AQ146&gt;2,INDEX(Festivals!$S$2:$S$160,$AP146+2),""),"")</f>
        <v/>
      </c>
      <c r="P146" t="str">
        <f>IFERROR(IF($AQ146&gt;3,INDEX(Festivals!$S$2:$S$160,$AP146+3),""),"")</f>
        <v/>
      </c>
      <c r="Q146" t="str">
        <f>IFERROR(IF($AQ146&gt;4,INDEX(Festivals!$S$2:$S$160,$AP146+4),""),"")</f>
        <v/>
      </c>
      <c r="R146" t="str">
        <f>IFERROR(IF($AQ146&gt;5,INDEX(Festivals!$S$2:$S$160,$AP146+5),""),"")</f>
        <v/>
      </c>
      <c r="S146" t="str">
        <f>IFERROR(IF($AQ146&gt;6,INDEX(Festivals!$S$2:$S$160,$AP146+6),""),"")</f>
        <v/>
      </c>
      <c r="T146">
        <f>INDEX(GCalXMLT[dcaturmasya1],$D146)</f>
        <v>0</v>
      </c>
      <c r="U146">
        <f>INDEX(GCalXMLT[dcaturmasya2],$D146)</f>
        <v>0</v>
      </c>
      <c r="V146" t="str">
        <f>INDEX(GCalXMLT[sankrantirasi],$D146) &amp; " " &amp; INDEX(GCalXMLT[sankrantitime],$D146)</f>
        <v xml:space="preserve"> </v>
      </c>
      <c r="W146" t="str">
        <f ca="1">IFERROR(INDEX('Holidays Calc'!$K$2:$K$233,AR146),"")</f>
        <v/>
      </c>
      <c r="X146" t="str">
        <f ca="1">IF(AR146="","",IF(INDEX('Holidays Calc'!$I$2:$I$233,AR146+1)=A146,INDEX('Holidays Calc'!$K$2:$K$233,AR146+1),""))</f>
        <v/>
      </c>
      <c r="Y146" t="str">
        <f ca="1">IF(AR146="","",IF(INDEX('Holidays Calc'!$I$2:$I$233,AR146+2)=A146,INDEX('Holidays Calc'!$K$2:$K$233,AR146+2),""))</f>
        <v/>
      </c>
      <c r="Z146" t="str">
        <f ca="1">IF(AR146="","",IF(INDEX('Holidays Calc'!$I$2:$I$233,AR146+3)=A146,INDEX('Holidays Calc'!$K$2:$K$2333,AR146+3),""))</f>
        <v/>
      </c>
      <c r="AA146" t="str">
        <f>IF(I146="Last day of Bhisma Pancaka","",IF(G146="*",-0.7,IF(ISBLANK(INDEX(GCalXMLT[dclass1],$D146)),"",INDEX(GCalXMLT[dclass1],$D146))))</f>
        <v/>
      </c>
      <c r="AB146" t="str">
        <f>IF(J146="First day of Bhisma Pancaka","",IF(AND(G146="*",NOT(ISERROR(SEARCH("ekadasi",J146)))),-0.7,IF(ISBLANK(INDEX(GCalXMLT[dclass2],$D146)),"",INDEX(GCalXMLT[dclass2],$D146))))</f>
        <v/>
      </c>
      <c r="AC146" t="str">
        <f>IF(I146="Nandotsava",-1,IF(ISBLANK(INDEX(GCalXMLT[dclass3],$D146)),"",INDEX(GCalXMLT[dclass3],$D146)))</f>
        <v/>
      </c>
      <c r="AD146" t="str">
        <f>IF(I146="Nandotsava",IF(ISBLANK(INDEX(GCalXMLT[dclass3],$D146)),"",INDEX(GCalXMLT[dclass3],$D146)),IF(ISBLANK(INDEX(GCalXMLT[dclass4],$D146)),"",INDEX(GCalXMLT[dclass4],$D146)))</f>
        <v/>
      </c>
      <c r="AE146" t="str">
        <f>IFERROR(INDEX(Festivals!$V$2:$V$160,AP146),"")</f>
        <v/>
      </c>
      <c r="AF146" t="str">
        <f>IFERROR(IF($AQ146&gt;1,INDEX(Festivals!$V$2:$V$160,$AP146+1),""),"")</f>
        <v/>
      </c>
      <c r="AG146" t="str">
        <f>IFERROR(IF($AQ146&gt;2,INDEX(Festivals!$V$2:$V$160,$AP146+2),""),"")</f>
        <v/>
      </c>
      <c r="AH146" t="str">
        <f>IFERROR(IF($AQ146&gt;3,INDEX(Festivals!$V$2:$V$160,$AP146+3),""),"")</f>
        <v/>
      </c>
      <c r="AI146" t="str">
        <f>IFERROR(IF($AQ146&gt;4,INDEX(Festivals!$V$2:$V$160,$AP146+4),""),"")</f>
        <v/>
      </c>
      <c r="AJ146" t="str">
        <f>IFERROR(IF($AQ146&gt;5,INDEX(Festivals!$V$2:$V$160,$AP146+5),""),"")</f>
        <v/>
      </c>
      <c r="AK146" t="str">
        <f>IFERROR(IF($AQ146&gt;6,INDEX(Festivals!$V$2:$V$160,$AP146+6),""),"")</f>
        <v/>
      </c>
      <c r="AL146" t="str">
        <f ca="1">IFERROR(INDEX('Holidays Calc'!$J$2:$J$233,MATCH(A146,'Holidays Calc'!$I$2:$I$233,0)),"")</f>
        <v/>
      </c>
      <c r="AM146" t="str">
        <f ca="1">IF(AR146="","",IF(INDEX('Holidays Calc'!$I$2:$I$233,AR146+1)=A146,INDEX('Holidays Calc'!$J$2:$J$233,AR146+1),""))</f>
        <v/>
      </c>
      <c r="AN146" t="str">
        <f ca="1">IF(AR146="","",IF(INDEX('Holidays Calc'!$I$2:$I$233,AR146+2)=A146,INDEX('Holidays Calc'!$J$2:$J$233,AR146+2),""))</f>
        <v/>
      </c>
      <c r="AO146" t="str">
        <f ca="1">IF(AR146="","",IF(INDEX('Holidays Calc'!$I$2:$I$233,AR146+3)=A146,INDEX('Holidays Calc'!$J$2:$J$233,AR146+3),""))</f>
        <v/>
      </c>
      <c r="AP146" t="str">
        <f>IFERROR(IF($E146=E145,"",MATCH($E146,Festivals!$H$2:$H$160,0)),"")</f>
        <v/>
      </c>
      <c r="AQ146" t="str">
        <f>IF(AP146="","",COUNTIF(Festivals!$H$2:$H$160,$E146))</f>
        <v/>
      </c>
      <c r="AR146" t="str">
        <f ca="1">IFERROR(MATCH(A146,'Holidays Calc'!$I$2:$I$233,0),"")</f>
        <v/>
      </c>
      <c r="AS146" t="str">
        <f t="shared" si="18"/>
        <v/>
      </c>
      <c r="AT146" t="str">
        <f t="shared" si="17"/>
        <v/>
      </c>
      <c r="AU146" t="str">
        <f t="shared" ca="1" si="19"/>
        <v/>
      </c>
      <c r="AV146" t="str">
        <f t="shared" ca="1" si="20"/>
        <v/>
      </c>
    </row>
    <row r="147" spans="1:48" x14ac:dyDescent="0.25">
      <c r="A147" s="265">
        <f t="shared" si="16"/>
        <v>43573</v>
      </c>
      <c r="B147" s="265" t="str">
        <f t="shared" si="21"/>
        <v>18 Apr 2019</v>
      </c>
      <c r="C147" s="267">
        <f t="shared" si="22"/>
        <v>16</v>
      </c>
      <c r="D147">
        <f>MATCH(A147,GCalXMLT[daydate],0)</f>
        <v>146</v>
      </c>
      <c r="E147">
        <f>VALUE("1" &amp; Masacod(INDEX(GCalXMLT[gymasa],D147)) &amp; PaksaCod(INDEX(GCalXMLT[mpaksaid],D147)) &amp; TithiCod(INDEX(GCalXMLT[stithiname],D147)))</f>
        <v>101114</v>
      </c>
      <c r="F147" t="str">
        <f ca="1">INDEX(Parameters!$K$2:$K$16,MATCH(AV147,Parameters!$L$2:$L$16,0))</f>
        <v>C</v>
      </c>
      <c r="G147">
        <f>INDEX(GCalXMLT[fastmark],$D147)</f>
        <v>0</v>
      </c>
      <c r="H147" t="str">
        <f ca="1">INDEX(Parameters!$J$2:$J$16,MATCH(AV147,Parameters!$L$2:$L$16,0))</f>
        <v/>
      </c>
      <c r="I147">
        <f>INDEX(GCalXMLT[dfestival1],$D147)</f>
        <v>0</v>
      </c>
      <c r="J147">
        <f>IF(INDEX(GCalXMLT[dfestival2],$D147)="(Fast today)",INDEX(Festivals!$R$2:$R$180,MATCH($I147,Festivals!$R$2:$R$180,0)+1),INDEX(GCalXMLT[dfestival2],$D147))</f>
        <v>0</v>
      </c>
      <c r="K147">
        <f>IF(I147="Nandotsava","(Fast till noon)",INDEX(GCalXMLT[dfestival3],$D147))</f>
        <v>0</v>
      </c>
      <c r="L147">
        <f>IF(I147="Nandotsava", INDEX(GCalXMLT[dfestival3],$D147),INDEX(GCalXMLT[dfestival4],$D147))</f>
        <v>0</v>
      </c>
      <c r="M147" t="str">
        <f>IFERROR(INDEX(Festivals!$S$2:$S$160,AP147),"")</f>
        <v/>
      </c>
      <c r="N147" t="str">
        <f>IFERROR(IF($AQ147&gt;1,INDEX(Festivals!$S$2:$S$160,$AP147+1),""),"")</f>
        <v/>
      </c>
      <c r="O147" t="str">
        <f>IFERROR(IF($AQ147&gt;2,INDEX(Festivals!$S$2:$S$160,$AP147+2),""),"")</f>
        <v/>
      </c>
      <c r="P147" t="str">
        <f>IFERROR(IF($AQ147&gt;3,INDEX(Festivals!$S$2:$S$160,$AP147+3),""),"")</f>
        <v/>
      </c>
      <c r="Q147" t="str">
        <f>IFERROR(IF($AQ147&gt;4,INDEX(Festivals!$S$2:$S$160,$AP147+4),""),"")</f>
        <v/>
      </c>
      <c r="R147" t="str">
        <f>IFERROR(IF($AQ147&gt;5,INDEX(Festivals!$S$2:$S$160,$AP147+5),""),"")</f>
        <v/>
      </c>
      <c r="S147" t="str">
        <f>IFERROR(IF($AQ147&gt;6,INDEX(Festivals!$S$2:$S$160,$AP147+6),""),"")</f>
        <v/>
      </c>
      <c r="T147">
        <f>INDEX(GCalXMLT[dcaturmasya1],$D147)</f>
        <v>0</v>
      </c>
      <c r="U147">
        <f>INDEX(GCalXMLT[dcaturmasya2],$D147)</f>
        <v>0</v>
      </c>
      <c r="V147" t="str">
        <f>INDEX(GCalXMLT[sankrantirasi],$D147) &amp; " " &amp; INDEX(GCalXMLT[sankrantitime],$D147)</f>
        <v xml:space="preserve"> </v>
      </c>
      <c r="W147" t="str">
        <f ca="1">IFERROR(INDEX('Holidays Calc'!$K$2:$K$233,AR147),"")</f>
        <v>Dia do Amigo</v>
      </c>
      <c r="X147" t="str">
        <f ca="1">IF(AR147="","",IF(INDEX('Holidays Calc'!$I$2:$I$233,AR147+1)=A147,INDEX('Holidays Calc'!$K$2:$K$233,AR147+1),""))</f>
        <v/>
      </c>
      <c r="Y147" t="str">
        <f ca="1">IF(AR147="","",IF(INDEX('Holidays Calc'!$I$2:$I$233,AR147+2)=A147,INDEX('Holidays Calc'!$K$2:$K$233,AR147+2),""))</f>
        <v/>
      </c>
      <c r="Z147" t="str">
        <f ca="1">IF(AR147="","",IF(INDEX('Holidays Calc'!$I$2:$I$233,AR147+3)=A147,INDEX('Holidays Calc'!$K$2:$K$2333,AR147+3),""))</f>
        <v/>
      </c>
      <c r="AA147" t="str">
        <f>IF(I147="Last day of Bhisma Pancaka","",IF(G147="*",-0.7,IF(ISBLANK(INDEX(GCalXMLT[dclass1],$D147)),"",INDEX(GCalXMLT[dclass1],$D147))))</f>
        <v/>
      </c>
      <c r="AB147" t="str">
        <f>IF(J147="First day of Bhisma Pancaka","",IF(AND(G147="*",NOT(ISERROR(SEARCH("ekadasi",J147)))),-0.7,IF(ISBLANK(INDEX(GCalXMLT[dclass2],$D147)),"",INDEX(GCalXMLT[dclass2],$D147))))</f>
        <v/>
      </c>
      <c r="AC147" t="str">
        <f>IF(I147="Nandotsava",-1,IF(ISBLANK(INDEX(GCalXMLT[dclass3],$D147)),"",INDEX(GCalXMLT[dclass3],$D147)))</f>
        <v/>
      </c>
      <c r="AD147" t="str">
        <f>IF(I147="Nandotsava",IF(ISBLANK(INDEX(GCalXMLT[dclass3],$D147)),"",INDEX(GCalXMLT[dclass3],$D147)),IF(ISBLANK(INDEX(GCalXMLT[dclass4],$D147)),"",INDEX(GCalXMLT[dclass4],$D147)))</f>
        <v/>
      </c>
      <c r="AE147" t="str">
        <f>IFERROR(INDEX(Festivals!$V$2:$V$160,AP147),"")</f>
        <v/>
      </c>
      <c r="AF147" t="str">
        <f>IFERROR(IF($AQ147&gt;1,INDEX(Festivals!$V$2:$V$160,$AP147+1),""),"")</f>
        <v/>
      </c>
      <c r="AG147" t="str">
        <f>IFERROR(IF($AQ147&gt;2,INDEX(Festivals!$V$2:$V$160,$AP147+2),""),"")</f>
        <v/>
      </c>
      <c r="AH147" t="str">
        <f>IFERROR(IF($AQ147&gt;3,INDEX(Festivals!$V$2:$V$160,$AP147+3),""),"")</f>
        <v/>
      </c>
      <c r="AI147" t="str">
        <f>IFERROR(IF($AQ147&gt;4,INDEX(Festivals!$V$2:$V$160,$AP147+4),""),"")</f>
        <v/>
      </c>
      <c r="AJ147" t="str">
        <f>IFERROR(IF($AQ147&gt;5,INDEX(Festivals!$V$2:$V$160,$AP147+5),""),"")</f>
        <v/>
      </c>
      <c r="AK147" t="str">
        <f>IFERROR(IF($AQ147&gt;6,INDEX(Festivals!$V$2:$V$160,$AP147+6),""),"")</f>
        <v/>
      </c>
      <c r="AL147">
        <f ca="1">IFERROR(INDEX('Holidays Calc'!$J$2:$J$233,MATCH(A147,'Holidays Calc'!$I$2:$I$233,0)),"")</f>
        <v>0.5</v>
      </c>
      <c r="AM147" t="str">
        <f ca="1">IF(AR147="","",IF(INDEX('Holidays Calc'!$I$2:$I$233,AR147+1)=A147,INDEX('Holidays Calc'!$J$2:$J$233,AR147+1),""))</f>
        <v/>
      </c>
      <c r="AN147" t="str">
        <f ca="1">IF(AR147="","",IF(INDEX('Holidays Calc'!$I$2:$I$233,AR147+2)=A147,INDEX('Holidays Calc'!$J$2:$J$233,AR147+2),""))</f>
        <v/>
      </c>
      <c r="AO147" t="str">
        <f ca="1">IF(AR147="","",IF(INDEX('Holidays Calc'!$I$2:$I$233,AR147+3)=A147,INDEX('Holidays Calc'!$J$2:$J$233,AR147+3),""))</f>
        <v/>
      </c>
      <c r="AP147" t="str">
        <f>IFERROR(IF($E147=E146,"",MATCH($E147,Festivals!$H$2:$H$160,0)),"")</f>
        <v/>
      </c>
      <c r="AQ147" t="str">
        <f>IF(AP147="","",COUNTIF(Festivals!$H$2:$H$160,$E147))</f>
        <v/>
      </c>
      <c r="AR147">
        <f ca="1">IFERROR(MATCH(A147,'Holidays Calc'!$I$2:$I$233,0),"")</f>
        <v>43</v>
      </c>
      <c r="AS147" t="str">
        <f t="shared" si="18"/>
        <v/>
      </c>
      <c r="AT147" t="str">
        <f t="shared" si="17"/>
        <v/>
      </c>
      <c r="AU147">
        <f t="shared" ca="1" si="19"/>
        <v>0.5</v>
      </c>
      <c r="AV147">
        <f t="shared" ca="1" si="20"/>
        <v>0.5</v>
      </c>
    </row>
    <row r="148" spans="1:48" x14ac:dyDescent="0.25">
      <c r="A148" s="265">
        <f t="shared" si="16"/>
        <v>43574</v>
      </c>
      <c r="B148" s="265" t="str">
        <f t="shared" si="21"/>
        <v>19 Apr 2019</v>
      </c>
      <c r="C148" s="267">
        <f t="shared" si="22"/>
        <v>16</v>
      </c>
      <c r="D148">
        <f>MATCH(A148,GCalXMLT[daydate],0)</f>
        <v>147</v>
      </c>
      <c r="E148">
        <f>VALUE("1" &amp; Masacod(INDEX(GCalXMLT[gymasa],D148)) &amp; PaksaCod(INDEX(GCalXMLT[mpaksaid],D148)) &amp; TithiCod(INDEX(GCalXMLT[stithiname],D148)))</f>
        <v>101115</v>
      </c>
      <c r="F148" t="str">
        <f ca="1">INDEX(Parameters!$K$2:$K$16,MATCH(AV148,Parameters!$L$2:$L$16,0))</f>
        <v>H</v>
      </c>
      <c r="G148">
        <f>INDEX(GCalXMLT[fastmark],$D148)</f>
        <v>0</v>
      </c>
      <c r="H148" t="str">
        <f ca="1">INDEX(Parameters!$J$2:$J$16,MATCH(AV148,Parameters!$L$2:$L$16,0))</f>
        <v/>
      </c>
      <c r="I148">
        <f>INDEX(GCalXMLT[dfestival1],$D148)</f>
        <v>0</v>
      </c>
      <c r="J148">
        <f>IF(INDEX(GCalXMLT[dfestival2],$D148)="(Fast today)",INDEX(Festivals!$R$2:$R$180,MATCH($I148,Festivals!$R$2:$R$180,0)+1),INDEX(GCalXMLT[dfestival2],$D148))</f>
        <v>0</v>
      </c>
      <c r="K148">
        <f>IF(I148="Nandotsava","(Fast till noon)",INDEX(GCalXMLT[dfestival3],$D148))</f>
        <v>0</v>
      </c>
      <c r="L148">
        <f>IF(I148="Nandotsava", INDEX(GCalXMLT[dfestival3],$D148),INDEX(GCalXMLT[dfestival4],$D148))</f>
        <v>0</v>
      </c>
      <c r="M148" t="str">
        <f>IFERROR(INDEX(Festivals!$S$2:$S$160,AP148),"")</f>
        <v>Sri Balarama Rasayatra</v>
      </c>
      <c r="N148" t="str">
        <f>IFERROR(IF($AQ148&gt;1,INDEX(Festivals!$S$2:$S$160,$AP148+1),""),"")</f>
        <v>Sri Krsna Vasanta Rasa</v>
      </c>
      <c r="O148" t="str">
        <f>IFERROR(IF($AQ148&gt;2,INDEX(Festivals!$S$2:$S$160,$AP148+2),""),"")</f>
        <v>Sri Vamsivadana Thakura - Appearance</v>
      </c>
      <c r="P148" t="str">
        <f>IFERROR(IF($AQ148&gt;3,INDEX(Festivals!$S$2:$S$160,$AP148+3),""),"")</f>
        <v>Sri Syamananda Prabhu - Appearance</v>
      </c>
      <c r="Q148" t="str">
        <f>IFERROR(IF($AQ148&gt;4,INDEX(Festivals!$S$2:$S$160,$AP148+4),""),"")</f>
        <v/>
      </c>
      <c r="R148" t="str">
        <f>IFERROR(IF($AQ148&gt;5,INDEX(Festivals!$S$2:$S$160,$AP148+5),""),"")</f>
        <v/>
      </c>
      <c r="S148" t="str">
        <f>IFERROR(IF($AQ148&gt;6,INDEX(Festivals!$S$2:$S$160,$AP148+6),""),"")</f>
        <v/>
      </c>
      <c r="T148">
        <f>INDEX(GCalXMLT[dcaturmasya1],$D148)</f>
        <v>0</v>
      </c>
      <c r="U148">
        <f>INDEX(GCalXMLT[dcaturmasya2],$D148)</f>
        <v>0</v>
      </c>
      <c r="V148" t="str">
        <f>INDEX(GCalXMLT[sankrantirasi],$D148) &amp; " " &amp; INDEX(GCalXMLT[sankrantitime],$D148)</f>
        <v xml:space="preserve"> </v>
      </c>
      <c r="W148" t="str">
        <f ca="1">IFERROR(INDEX('Holidays Calc'!$K$2:$K$233,AR148),"")</f>
        <v>Dia do Índio</v>
      </c>
      <c r="X148" t="str">
        <f ca="1">IF(AR148="","",IF(INDEX('Holidays Calc'!$I$2:$I$233,AR148+1)=A148,INDEX('Holidays Calc'!$K$2:$K$233,AR148+1),""))</f>
        <v>Paixão de Cristo</v>
      </c>
      <c r="Y148" t="str">
        <f ca="1">IF(AR148="","",IF(INDEX('Holidays Calc'!$I$2:$I$233,AR148+2)=A148,INDEX('Holidays Calc'!$K$2:$K$233,AR148+2),""))</f>
        <v/>
      </c>
      <c r="Z148" t="str">
        <f ca="1">IF(AR148="","",IF(INDEX('Holidays Calc'!$I$2:$I$233,AR148+3)=A148,INDEX('Holidays Calc'!$K$2:$K$2333,AR148+3),""))</f>
        <v/>
      </c>
      <c r="AA148" t="str">
        <f>IF(I148="Last day of Bhisma Pancaka","",IF(G148="*",-0.7,IF(ISBLANK(INDEX(GCalXMLT[dclass1],$D148)),"",INDEX(GCalXMLT[dclass1],$D148))))</f>
        <v/>
      </c>
      <c r="AB148" t="str">
        <f>IF(J148="First day of Bhisma Pancaka","",IF(AND(G148="*",NOT(ISERROR(SEARCH("ekadasi",J148)))),-0.7,IF(ISBLANK(INDEX(GCalXMLT[dclass2],$D148)),"",INDEX(GCalXMLT[dclass2],$D148))))</f>
        <v/>
      </c>
      <c r="AC148" t="str">
        <f>IF(I148="Nandotsava",-1,IF(ISBLANK(INDEX(GCalXMLT[dclass3],$D148)),"",INDEX(GCalXMLT[dclass3],$D148)))</f>
        <v/>
      </c>
      <c r="AD148" t="str">
        <f>IF(I148="Nandotsava",IF(ISBLANK(INDEX(GCalXMLT[dclass3],$D148)),"",INDEX(GCalXMLT[dclass3],$D148)),IF(ISBLANK(INDEX(GCalXMLT[dclass4],$D148)),"",INDEX(GCalXMLT[dclass4],$D148)))</f>
        <v/>
      </c>
      <c r="AE148">
        <f>IFERROR(INDEX(Festivals!$V$2:$V$160,AP148),"")</f>
        <v>1</v>
      </c>
      <c r="AF148">
        <f>IFERROR(IF($AQ148&gt;1,INDEX(Festivals!$V$2:$V$160,$AP148+1),""),"")</f>
        <v>1</v>
      </c>
      <c r="AG148">
        <f>IFERROR(IF($AQ148&gt;2,INDEX(Festivals!$V$2:$V$160,$AP148+2),""),"")</f>
        <v>3</v>
      </c>
      <c r="AH148">
        <f>IFERROR(IF($AQ148&gt;3,INDEX(Festivals!$V$2:$V$160,$AP148+3),""),"")</f>
        <v>3</v>
      </c>
      <c r="AI148" t="str">
        <f>IFERROR(IF($AQ148&gt;4,INDEX(Festivals!$V$2:$V$160,$AP148+4),""),"")</f>
        <v/>
      </c>
      <c r="AJ148" t="str">
        <f>IFERROR(IF($AQ148&gt;5,INDEX(Festivals!$V$2:$V$160,$AP148+5),""),"")</f>
        <v/>
      </c>
      <c r="AK148" t="str">
        <f>IFERROR(IF($AQ148&gt;6,INDEX(Festivals!$V$2:$V$160,$AP148+6),""),"")</f>
        <v/>
      </c>
      <c r="AL148">
        <f ca="1">IFERROR(INDEX('Holidays Calc'!$J$2:$J$233,MATCH(A148,'Holidays Calc'!$I$2:$I$233,0)),"")</f>
        <v>0.5</v>
      </c>
      <c r="AM148">
        <f ca="1">IF(AR148="","",IF(INDEX('Holidays Calc'!$I$2:$I$233,AR148+1)=A148,INDEX('Holidays Calc'!$J$2:$J$233,AR148+1),""))</f>
        <v>-11</v>
      </c>
      <c r="AN148" t="str">
        <f ca="1">IF(AR148="","",IF(INDEX('Holidays Calc'!$I$2:$I$233,AR148+2)=A148,INDEX('Holidays Calc'!$J$2:$J$233,AR148+2),""))</f>
        <v/>
      </c>
      <c r="AO148" t="str">
        <f ca="1">IF(AR148="","",IF(INDEX('Holidays Calc'!$I$2:$I$233,AR148+3)=A148,INDEX('Holidays Calc'!$J$2:$J$233,AR148+3),""))</f>
        <v/>
      </c>
      <c r="AP148">
        <f>IFERROR(IF($E148=E147,"",MATCH($E148,Festivals!$H$2:$H$160,0)),"")</f>
        <v>5</v>
      </c>
      <c r="AQ148">
        <f>IF(AP148="","",COUNTIF(Festivals!$H$2:$H$160,$E148))</f>
        <v>4</v>
      </c>
      <c r="AR148">
        <f ca="1">IFERROR(MATCH(A148,'Holidays Calc'!$I$2:$I$233,0),"")</f>
        <v>44</v>
      </c>
      <c r="AS148">
        <f t="shared" si="18"/>
        <v>1</v>
      </c>
      <c r="AT148">
        <f t="shared" si="17"/>
        <v>1</v>
      </c>
      <c r="AU148">
        <f t="shared" ca="1" si="19"/>
        <v>-11</v>
      </c>
      <c r="AV148">
        <f t="shared" ca="1" si="20"/>
        <v>-11</v>
      </c>
    </row>
    <row r="149" spans="1:48" x14ac:dyDescent="0.25">
      <c r="A149" s="265">
        <f t="shared" si="16"/>
        <v>43575</v>
      </c>
      <c r="B149" s="265" t="str">
        <f t="shared" si="21"/>
        <v>20 Apr 2019</v>
      </c>
      <c r="C149" s="267">
        <f t="shared" si="22"/>
        <v>16</v>
      </c>
      <c r="D149">
        <f>MATCH(A149,GCalXMLT[daydate],0)</f>
        <v>148</v>
      </c>
      <c r="E149">
        <f>VALUE("1" &amp; Masacod(INDEX(GCalXMLT[gymasa],D149)) &amp; PaksaCod(INDEX(GCalXMLT[mpaksaid],D149)) &amp; TithiCod(INDEX(GCalXMLT[stithiname],D149)))</f>
        <v>102001</v>
      </c>
      <c r="F149" t="str">
        <f ca="1">INDEX(Parameters!$K$2:$K$16,MATCH(AV149,Parameters!$L$2:$L$16,0))</f>
        <v>C</v>
      </c>
      <c r="G149">
        <f>INDEX(GCalXMLT[fastmark],$D149)</f>
        <v>0</v>
      </c>
      <c r="H149" t="str">
        <f ca="1">INDEX(Parameters!$J$2:$J$16,MATCH(AV149,Parameters!$L$2:$L$16,0))</f>
        <v/>
      </c>
      <c r="I149">
        <f>INDEX(GCalXMLT[dfestival1],$D149)</f>
        <v>0</v>
      </c>
      <c r="J149">
        <f>IF(INDEX(GCalXMLT[dfestival2],$D149)="(Fast today)",INDEX(Festivals!$R$2:$R$180,MATCH($I149,Festivals!$R$2:$R$180,0)+1),INDEX(GCalXMLT[dfestival2],$D149))</f>
        <v>0</v>
      </c>
      <c r="K149">
        <f>IF(I149="Nandotsava","(Fast till noon)",INDEX(GCalXMLT[dfestival3],$D149))</f>
        <v>0</v>
      </c>
      <c r="L149">
        <f>IF(I149="Nandotsava", INDEX(GCalXMLT[dfestival3],$D149),INDEX(GCalXMLT[dfestival4],$D149))</f>
        <v>0</v>
      </c>
      <c r="M149" t="str">
        <f>IFERROR(INDEX(Festivals!$S$2:$S$160,AP149),"")</f>
        <v/>
      </c>
      <c r="N149" t="str">
        <f>IFERROR(IF($AQ149&gt;1,INDEX(Festivals!$S$2:$S$160,$AP149+1),""),"")</f>
        <v/>
      </c>
      <c r="O149" t="str">
        <f>IFERROR(IF($AQ149&gt;2,INDEX(Festivals!$S$2:$S$160,$AP149+2),""),"")</f>
        <v/>
      </c>
      <c r="P149" t="str">
        <f>IFERROR(IF($AQ149&gt;3,INDEX(Festivals!$S$2:$S$160,$AP149+3),""),"")</f>
        <v/>
      </c>
      <c r="Q149" t="str">
        <f>IFERROR(IF($AQ149&gt;4,INDEX(Festivals!$S$2:$S$160,$AP149+4),""),"")</f>
        <v/>
      </c>
      <c r="R149" t="str">
        <f>IFERROR(IF($AQ149&gt;5,INDEX(Festivals!$S$2:$S$160,$AP149+5),""),"")</f>
        <v/>
      </c>
      <c r="S149" t="str">
        <f>IFERROR(IF($AQ149&gt;6,INDEX(Festivals!$S$2:$S$160,$AP149+6),""),"")</f>
        <v/>
      </c>
      <c r="T149">
        <f>INDEX(GCalXMLT[dcaturmasya1],$D149)</f>
        <v>0</v>
      </c>
      <c r="U149">
        <f>INDEX(GCalXMLT[dcaturmasya2],$D149)</f>
        <v>0</v>
      </c>
      <c r="V149" t="str">
        <f>INDEX(GCalXMLT[sankrantirasi],$D149) &amp; " " &amp; INDEX(GCalXMLT[sankrantitime],$D149)</f>
        <v xml:space="preserve"> </v>
      </c>
      <c r="W149" t="str">
        <f ca="1">IFERROR(INDEX('Holidays Calc'!$K$2:$K$233,AR149),"")</f>
        <v>Sábado de Aleluia</v>
      </c>
      <c r="X149" t="str">
        <f ca="1">IF(AR149="","",IF(INDEX('Holidays Calc'!$I$2:$I$233,AR149+1)=A149,INDEX('Holidays Calc'!$K$2:$K$233,AR149+1),""))</f>
        <v/>
      </c>
      <c r="Y149" t="str">
        <f ca="1">IF(AR149="","",IF(INDEX('Holidays Calc'!$I$2:$I$233,AR149+2)=A149,INDEX('Holidays Calc'!$K$2:$K$233,AR149+2),""))</f>
        <v/>
      </c>
      <c r="Z149" t="str">
        <f ca="1">IF(AR149="","",IF(INDEX('Holidays Calc'!$I$2:$I$233,AR149+3)=A149,INDEX('Holidays Calc'!$K$2:$K$2333,AR149+3),""))</f>
        <v/>
      </c>
      <c r="AA149" t="str">
        <f>IF(I149="Last day of Bhisma Pancaka","",IF(G149="*",-0.7,IF(ISBLANK(INDEX(GCalXMLT[dclass1],$D149)),"",INDEX(GCalXMLT[dclass1],$D149))))</f>
        <v/>
      </c>
      <c r="AB149" t="str">
        <f>IF(J149="First day of Bhisma Pancaka","",IF(AND(G149="*",NOT(ISERROR(SEARCH("ekadasi",J149)))),-0.7,IF(ISBLANK(INDEX(GCalXMLT[dclass2],$D149)),"",INDEX(GCalXMLT[dclass2],$D149))))</f>
        <v/>
      </c>
      <c r="AC149" t="str">
        <f>IF(I149="Nandotsava",-1,IF(ISBLANK(INDEX(GCalXMLT[dclass3],$D149)),"",INDEX(GCalXMLT[dclass3],$D149)))</f>
        <v/>
      </c>
      <c r="AD149" t="str">
        <f>IF(I149="Nandotsava",IF(ISBLANK(INDEX(GCalXMLT[dclass3],$D149)),"",INDEX(GCalXMLT[dclass3],$D149)),IF(ISBLANK(INDEX(GCalXMLT[dclass4],$D149)),"",INDEX(GCalXMLT[dclass4],$D149)))</f>
        <v/>
      </c>
      <c r="AE149" t="str">
        <f>IFERROR(INDEX(Festivals!$V$2:$V$160,AP149),"")</f>
        <v/>
      </c>
      <c r="AF149" t="str">
        <f>IFERROR(IF($AQ149&gt;1,INDEX(Festivals!$V$2:$V$160,$AP149+1),""),"")</f>
        <v/>
      </c>
      <c r="AG149" t="str">
        <f>IFERROR(IF($AQ149&gt;2,INDEX(Festivals!$V$2:$V$160,$AP149+2),""),"")</f>
        <v/>
      </c>
      <c r="AH149" t="str">
        <f>IFERROR(IF($AQ149&gt;3,INDEX(Festivals!$V$2:$V$160,$AP149+3),""),"")</f>
        <v/>
      </c>
      <c r="AI149" t="str">
        <f>IFERROR(IF($AQ149&gt;4,INDEX(Festivals!$V$2:$V$160,$AP149+4),""),"")</f>
        <v/>
      </c>
      <c r="AJ149" t="str">
        <f>IFERROR(IF($AQ149&gt;5,INDEX(Festivals!$V$2:$V$160,$AP149+5),""),"")</f>
        <v/>
      </c>
      <c r="AK149" t="str">
        <f>IFERROR(IF($AQ149&gt;6,INDEX(Festivals!$V$2:$V$160,$AP149+6),""),"")</f>
        <v/>
      </c>
      <c r="AL149">
        <f ca="1">IFERROR(INDEX('Holidays Calc'!$J$2:$J$233,MATCH(A149,'Holidays Calc'!$I$2:$I$233,0)),"")</f>
        <v>0.5</v>
      </c>
      <c r="AM149" t="str">
        <f ca="1">IF(AR149="","",IF(INDEX('Holidays Calc'!$I$2:$I$233,AR149+1)=A149,INDEX('Holidays Calc'!$J$2:$J$233,AR149+1),""))</f>
        <v/>
      </c>
      <c r="AN149" t="str">
        <f ca="1">IF(AR149="","",IF(INDEX('Holidays Calc'!$I$2:$I$233,AR149+2)=A149,INDEX('Holidays Calc'!$J$2:$J$233,AR149+2),""))</f>
        <v/>
      </c>
      <c r="AO149" t="str">
        <f ca="1">IF(AR149="","",IF(INDEX('Holidays Calc'!$I$2:$I$233,AR149+3)=A149,INDEX('Holidays Calc'!$J$2:$J$233,AR149+3),""))</f>
        <v/>
      </c>
      <c r="AP149" t="str">
        <f>IFERROR(IF($E149=E148,"",MATCH($E149,Festivals!$H$2:$H$160,0)),"")</f>
        <v/>
      </c>
      <c r="AQ149" t="str">
        <f>IF(AP149="","",COUNTIF(Festivals!$H$2:$H$160,$E149))</f>
        <v/>
      </c>
      <c r="AR149">
        <f ca="1">IFERROR(MATCH(A149,'Holidays Calc'!$I$2:$I$233,0),"")</f>
        <v>46</v>
      </c>
      <c r="AS149" t="str">
        <f t="shared" si="18"/>
        <v/>
      </c>
      <c r="AT149" t="str">
        <f t="shared" si="17"/>
        <v/>
      </c>
      <c r="AU149">
        <f t="shared" ca="1" si="19"/>
        <v>0.5</v>
      </c>
      <c r="AV149">
        <f t="shared" ca="1" si="20"/>
        <v>0.5</v>
      </c>
    </row>
    <row r="150" spans="1:48" x14ac:dyDescent="0.25">
      <c r="A150" s="265">
        <f t="shared" si="16"/>
        <v>43576</v>
      </c>
      <c r="B150" s="265" t="str">
        <f t="shared" si="21"/>
        <v>21 Apr 2019</v>
      </c>
      <c r="C150" s="267">
        <f t="shared" si="22"/>
        <v>16</v>
      </c>
      <c r="D150">
        <f>MATCH(A150,GCalXMLT[daydate],0)</f>
        <v>149</v>
      </c>
      <c r="E150">
        <f>VALUE("1" &amp; Masacod(INDEX(GCalXMLT[gymasa],D150)) &amp; PaksaCod(INDEX(GCalXMLT[mpaksaid],D150)) &amp; TithiCod(INDEX(GCalXMLT[stithiname],D150)))</f>
        <v>102003</v>
      </c>
      <c r="F150" t="str">
        <f ca="1">INDEX(Parameters!$K$2:$K$16,MATCH(AV150,Parameters!$L$2:$L$16,0))</f>
        <v>H</v>
      </c>
      <c r="G150">
        <f>INDEX(GCalXMLT[fastmark],$D150)</f>
        <v>0</v>
      </c>
      <c r="H150" t="str">
        <f ca="1">INDEX(Parameters!$J$2:$J$16,MATCH(AV150,Parameters!$L$2:$L$16,0))</f>
        <v/>
      </c>
      <c r="I150">
        <f>INDEX(GCalXMLT[dfestival1],$D150)</f>
        <v>0</v>
      </c>
      <c r="J150">
        <f>IF(INDEX(GCalXMLT[dfestival2],$D150)="(Fast today)",INDEX(Festivals!$R$2:$R$180,MATCH($I150,Festivals!$R$2:$R$180,0)+1),INDEX(GCalXMLT[dfestival2],$D150))</f>
        <v>0</v>
      </c>
      <c r="K150">
        <f>IF(I150="Nandotsava","(Fast till noon)",INDEX(GCalXMLT[dfestival3],$D150))</f>
        <v>0</v>
      </c>
      <c r="L150">
        <f>IF(I150="Nandotsava", INDEX(GCalXMLT[dfestival3],$D150),INDEX(GCalXMLT[dfestival4],$D150))</f>
        <v>0</v>
      </c>
      <c r="M150" t="str">
        <f>IFERROR(INDEX(Festivals!$S$2:$S$160,AP150),"")</f>
        <v/>
      </c>
      <c r="N150" t="str">
        <f>IFERROR(IF($AQ150&gt;1,INDEX(Festivals!$S$2:$S$160,$AP150+1),""),"")</f>
        <v/>
      </c>
      <c r="O150" t="str">
        <f>IFERROR(IF($AQ150&gt;2,INDEX(Festivals!$S$2:$S$160,$AP150+2),""),"")</f>
        <v/>
      </c>
      <c r="P150" t="str">
        <f>IFERROR(IF($AQ150&gt;3,INDEX(Festivals!$S$2:$S$160,$AP150+3),""),"")</f>
        <v/>
      </c>
      <c r="Q150" t="str">
        <f>IFERROR(IF($AQ150&gt;4,INDEX(Festivals!$S$2:$S$160,$AP150+4),""),"")</f>
        <v/>
      </c>
      <c r="R150" t="str">
        <f>IFERROR(IF($AQ150&gt;5,INDEX(Festivals!$S$2:$S$160,$AP150+5),""),"")</f>
        <v/>
      </c>
      <c r="S150" t="str">
        <f>IFERROR(IF($AQ150&gt;6,INDEX(Festivals!$S$2:$S$160,$AP150+6),""),"")</f>
        <v/>
      </c>
      <c r="T150">
        <f>INDEX(GCalXMLT[dcaturmasya1],$D150)</f>
        <v>0</v>
      </c>
      <c r="U150">
        <f>INDEX(GCalXMLT[dcaturmasya2],$D150)</f>
        <v>0</v>
      </c>
      <c r="V150" t="str">
        <f>INDEX(GCalXMLT[sankrantirasi],$D150) &amp; " " &amp; INDEX(GCalXMLT[sankrantitime],$D150)</f>
        <v xml:space="preserve"> </v>
      </c>
      <c r="W150" t="str">
        <f ca="1">IFERROR(INDEX('Holidays Calc'!$K$2:$K$233,AR150),"")</f>
        <v>Tiradentes</v>
      </c>
      <c r="X150" t="str">
        <f ca="1">IF(AR150="","",IF(INDEX('Holidays Calc'!$I$2:$I$233,AR150+1)=A150,INDEX('Holidays Calc'!$K$2:$K$233,AR150+1),""))</f>
        <v>Páscoa</v>
      </c>
      <c r="Y150" t="str">
        <f ca="1">IF(AR150="","",IF(INDEX('Holidays Calc'!$I$2:$I$233,AR150+2)=A150,INDEX('Holidays Calc'!$K$2:$K$233,AR150+2),""))</f>
        <v/>
      </c>
      <c r="Z150" t="str">
        <f ca="1">IF(AR150="","",IF(INDEX('Holidays Calc'!$I$2:$I$233,AR150+3)=A150,INDEX('Holidays Calc'!$K$2:$K$2333,AR150+3),""))</f>
        <v/>
      </c>
      <c r="AA150" t="str">
        <f>IF(I150="Last day of Bhisma Pancaka","",IF(G150="*",-0.7,IF(ISBLANK(INDEX(GCalXMLT[dclass1],$D150)),"",INDEX(GCalXMLT[dclass1],$D150))))</f>
        <v/>
      </c>
      <c r="AB150" t="str">
        <f>IF(J150="First day of Bhisma Pancaka","",IF(AND(G150="*",NOT(ISERROR(SEARCH("ekadasi",J150)))),-0.7,IF(ISBLANK(INDEX(GCalXMLT[dclass2],$D150)),"",INDEX(GCalXMLT[dclass2],$D150))))</f>
        <v/>
      </c>
      <c r="AC150" t="str">
        <f>IF(I150="Nandotsava",-1,IF(ISBLANK(INDEX(GCalXMLT[dclass3],$D150)),"",INDEX(GCalXMLT[dclass3],$D150)))</f>
        <v/>
      </c>
      <c r="AD150" t="str">
        <f>IF(I150="Nandotsava",IF(ISBLANK(INDEX(GCalXMLT[dclass3],$D150)),"",INDEX(GCalXMLT[dclass3],$D150)),IF(ISBLANK(INDEX(GCalXMLT[dclass4],$D150)),"",INDEX(GCalXMLT[dclass4],$D150)))</f>
        <v/>
      </c>
      <c r="AE150" t="str">
        <f>IFERROR(INDEX(Festivals!$V$2:$V$160,AP150),"")</f>
        <v/>
      </c>
      <c r="AF150" t="str">
        <f>IFERROR(IF($AQ150&gt;1,INDEX(Festivals!$V$2:$V$160,$AP150+1),""),"")</f>
        <v/>
      </c>
      <c r="AG150" t="str">
        <f>IFERROR(IF($AQ150&gt;2,INDEX(Festivals!$V$2:$V$160,$AP150+2),""),"")</f>
        <v/>
      </c>
      <c r="AH150" t="str">
        <f>IFERROR(IF($AQ150&gt;3,INDEX(Festivals!$V$2:$V$160,$AP150+3),""),"")</f>
        <v/>
      </c>
      <c r="AI150" t="str">
        <f>IFERROR(IF($AQ150&gt;4,INDEX(Festivals!$V$2:$V$160,$AP150+4),""),"")</f>
        <v/>
      </c>
      <c r="AJ150" t="str">
        <f>IFERROR(IF($AQ150&gt;5,INDEX(Festivals!$V$2:$V$160,$AP150+5),""),"")</f>
        <v/>
      </c>
      <c r="AK150" t="str">
        <f>IFERROR(IF($AQ150&gt;6,INDEX(Festivals!$V$2:$V$160,$AP150+6),""),"")</f>
        <v/>
      </c>
      <c r="AL150">
        <f ca="1">IFERROR(INDEX('Holidays Calc'!$J$2:$J$233,MATCH(A150,'Holidays Calc'!$I$2:$I$233,0)),"")</f>
        <v>-11</v>
      </c>
      <c r="AM150">
        <f ca="1">IF(AR150="","",IF(INDEX('Holidays Calc'!$I$2:$I$233,AR150+1)=A150,INDEX('Holidays Calc'!$J$2:$J$233,AR150+1),""))</f>
        <v>-11</v>
      </c>
      <c r="AN150" t="str">
        <f ca="1">IF(AR150="","",IF(INDEX('Holidays Calc'!$I$2:$I$233,AR150+2)=A150,INDEX('Holidays Calc'!$J$2:$J$233,AR150+2),""))</f>
        <v/>
      </c>
      <c r="AO150" t="str">
        <f ca="1">IF(AR150="","",IF(INDEX('Holidays Calc'!$I$2:$I$233,AR150+3)=A150,INDEX('Holidays Calc'!$J$2:$J$233,AR150+3),""))</f>
        <v/>
      </c>
      <c r="AP150" t="str">
        <f>IFERROR(IF($E150=E149,"",MATCH($E150,Festivals!$H$2:$H$160,0)),"")</f>
        <v/>
      </c>
      <c r="AQ150" t="str">
        <f>IF(AP150="","",COUNTIF(Festivals!$H$2:$H$160,$E150))</f>
        <v/>
      </c>
      <c r="AR150">
        <f ca="1">IFERROR(MATCH(A150,'Holidays Calc'!$I$2:$I$233,0),"")</f>
        <v>47</v>
      </c>
      <c r="AS150" t="str">
        <f t="shared" si="18"/>
        <v/>
      </c>
      <c r="AT150" t="str">
        <f t="shared" si="17"/>
        <v/>
      </c>
      <c r="AU150">
        <f t="shared" ca="1" si="19"/>
        <v>-11</v>
      </c>
      <c r="AV150">
        <f t="shared" ca="1" si="20"/>
        <v>-11</v>
      </c>
    </row>
    <row r="151" spans="1:48" x14ac:dyDescent="0.25">
      <c r="A151" s="265">
        <f t="shared" si="16"/>
        <v>43577</v>
      </c>
      <c r="B151" s="265" t="str">
        <f t="shared" si="21"/>
        <v>22 Apr 2019</v>
      </c>
      <c r="C151" s="267">
        <f t="shared" si="22"/>
        <v>17</v>
      </c>
      <c r="D151">
        <f>MATCH(A151,GCalXMLT[daydate],0)</f>
        <v>150</v>
      </c>
      <c r="E151">
        <f>VALUE("1" &amp; Masacod(INDEX(GCalXMLT[gymasa],D151)) &amp; PaksaCod(INDEX(GCalXMLT[mpaksaid],D151)) &amp; TithiCod(INDEX(GCalXMLT[stithiname],D151)))</f>
        <v>102004</v>
      </c>
      <c r="F151" t="str">
        <f ca="1">INDEX(Parameters!$K$2:$K$16,MATCH(AV151,Parameters!$L$2:$L$16,0))</f>
        <v>C</v>
      </c>
      <c r="G151">
        <f>INDEX(GCalXMLT[fastmark],$D151)</f>
        <v>0</v>
      </c>
      <c r="H151" t="str">
        <f ca="1">INDEX(Parameters!$J$2:$J$16,MATCH(AV151,Parameters!$L$2:$L$16,0))</f>
        <v/>
      </c>
      <c r="I151">
        <f>INDEX(GCalXMLT[dfestival1],$D151)</f>
        <v>0</v>
      </c>
      <c r="J151">
        <f>IF(INDEX(GCalXMLT[dfestival2],$D151)="(Fast today)",INDEX(Festivals!$R$2:$R$180,MATCH($I151,Festivals!$R$2:$R$180,0)+1),INDEX(GCalXMLT[dfestival2],$D151))</f>
        <v>0</v>
      </c>
      <c r="K151">
        <f>IF(I151="Nandotsava","(Fast till noon)",INDEX(GCalXMLT[dfestival3],$D151))</f>
        <v>0</v>
      </c>
      <c r="L151">
        <f>IF(I151="Nandotsava", INDEX(GCalXMLT[dfestival3],$D151),INDEX(GCalXMLT[dfestival4],$D151))</f>
        <v>0</v>
      </c>
      <c r="M151" t="str">
        <f>IFERROR(INDEX(Festivals!$S$2:$S$160,AP151),"")</f>
        <v/>
      </c>
      <c r="N151" t="str">
        <f>IFERROR(IF($AQ151&gt;1,INDEX(Festivals!$S$2:$S$160,$AP151+1),""),"")</f>
        <v/>
      </c>
      <c r="O151" t="str">
        <f>IFERROR(IF($AQ151&gt;2,INDEX(Festivals!$S$2:$S$160,$AP151+2),""),"")</f>
        <v/>
      </c>
      <c r="P151" t="str">
        <f>IFERROR(IF($AQ151&gt;3,INDEX(Festivals!$S$2:$S$160,$AP151+3),""),"")</f>
        <v/>
      </c>
      <c r="Q151" t="str">
        <f>IFERROR(IF($AQ151&gt;4,INDEX(Festivals!$S$2:$S$160,$AP151+4),""),"")</f>
        <v/>
      </c>
      <c r="R151" t="str">
        <f>IFERROR(IF($AQ151&gt;5,INDEX(Festivals!$S$2:$S$160,$AP151+5),""),"")</f>
        <v/>
      </c>
      <c r="S151" t="str">
        <f>IFERROR(IF($AQ151&gt;6,INDEX(Festivals!$S$2:$S$160,$AP151+6),""),"")</f>
        <v/>
      </c>
      <c r="T151">
        <f>INDEX(GCalXMLT[dcaturmasya1],$D151)</f>
        <v>0</v>
      </c>
      <c r="U151">
        <f>INDEX(GCalXMLT[dcaturmasya2],$D151)</f>
        <v>0</v>
      </c>
      <c r="V151" t="str">
        <f>INDEX(GCalXMLT[sankrantirasi],$D151) &amp; " " &amp; INDEX(GCalXMLT[sankrantitime],$D151)</f>
        <v xml:space="preserve"> </v>
      </c>
      <c r="W151" t="str">
        <f ca="1">IFERROR(INDEX('Holidays Calc'!$K$2:$K$233,AR151),"")</f>
        <v>Dia do Descobrimento do Brasil</v>
      </c>
      <c r="X151" t="str">
        <f ca="1">IF(AR151="","",IF(INDEX('Holidays Calc'!$I$2:$I$233,AR151+1)=A151,INDEX('Holidays Calc'!$K$2:$K$233,AR151+1),""))</f>
        <v/>
      </c>
      <c r="Y151" t="str">
        <f ca="1">IF(AR151="","",IF(INDEX('Holidays Calc'!$I$2:$I$233,AR151+2)=A151,INDEX('Holidays Calc'!$K$2:$K$233,AR151+2),""))</f>
        <v/>
      </c>
      <c r="Z151" t="str">
        <f ca="1">IF(AR151="","",IF(INDEX('Holidays Calc'!$I$2:$I$233,AR151+3)=A151,INDEX('Holidays Calc'!$K$2:$K$2333,AR151+3),""))</f>
        <v/>
      </c>
      <c r="AA151" t="str">
        <f>IF(I151="Last day of Bhisma Pancaka","",IF(G151="*",-0.7,IF(ISBLANK(INDEX(GCalXMLT[dclass1],$D151)),"",INDEX(GCalXMLT[dclass1],$D151))))</f>
        <v/>
      </c>
      <c r="AB151" t="str">
        <f>IF(J151="First day of Bhisma Pancaka","",IF(AND(G151="*",NOT(ISERROR(SEARCH("ekadasi",J151)))),-0.7,IF(ISBLANK(INDEX(GCalXMLT[dclass2],$D151)),"",INDEX(GCalXMLT[dclass2],$D151))))</f>
        <v/>
      </c>
      <c r="AC151" t="str">
        <f>IF(I151="Nandotsava",-1,IF(ISBLANK(INDEX(GCalXMLT[dclass3],$D151)),"",INDEX(GCalXMLT[dclass3],$D151)))</f>
        <v/>
      </c>
      <c r="AD151" t="str">
        <f>IF(I151="Nandotsava",IF(ISBLANK(INDEX(GCalXMLT[dclass3],$D151)),"",INDEX(GCalXMLT[dclass3],$D151)),IF(ISBLANK(INDEX(GCalXMLT[dclass4],$D151)),"",INDEX(GCalXMLT[dclass4],$D151)))</f>
        <v/>
      </c>
      <c r="AE151" t="str">
        <f>IFERROR(INDEX(Festivals!$V$2:$V$160,AP151),"")</f>
        <v/>
      </c>
      <c r="AF151" t="str">
        <f>IFERROR(IF($AQ151&gt;1,INDEX(Festivals!$V$2:$V$160,$AP151+1),""),"")</f>
        <v/>
      </c>
      <c r="AG151" t="str">
        <f>IFERROR(IF($AQ151&gt;2,INDEX(Festivals!$V$2:$V$160,$AP151+2),""),"")</f>
        <v/>
      </c>
      <c r="AH151" t="str">
        <f>IFERROR(IF($AQ151&gt;3,INDEX(Festivals!$V$2:$V$160,$AP151+3),""),"")</f>
        <v/>
      </c>
      <c r="AI151" t="str">
        <f>IFERROR(IF($AQ151&gt;4,INDEX(Festivals!$V$2:$V$160,$AP151+4),""),"")</f>
        <v/>
      </c>
      <c r="AJ151" t="str">
        <f>IFERROR(IF($AQ151&gt;5,INDEX(Festivals!$V$2:$V$160,$AP151+5),""),"")</f>
        <v/>
      </c>
      <c r="AK151" t="str">
        <f>IFERROR(IF($AQ151&gt;6,INDEX(Festivals!$V$2:$V$160,$AP151+6),""),"")</f>
        <v/>
      </c>
      <c r="AL151">
        <f ca="1">IFERROR(INDEX('Holidays Calc'!$J$2:$J$233,MATCH(A151,'Holidays Calc'!$I$2:$I$233,0)),"")</f>
        <v>0.5</v>
      </c>
      <c r="AM151" t="str">
        <f ca="1">IF(AR151="","",IF(INDEX('Holidays Calc'!$I$2:$I$233,AR151+1)=A151,INDEX('Holidays Calc'!$J$2:$J$233,AR151+1),""))</f>
        <v/>
      </c>
      <c r="AN151" t="str">
        <f ca="1">IF(AR151="","",IF(INDEX('Holidays Calc'!$I$2:$I$233,AR151+2)=A151,INDEX('Holidays Calc'!$J$2:$J$233,AR151+2),""))</f>
        <v/>
      </c>
      <c r="AO151" t="str">
        <f ca="1">IF(AR151="","",IF(INDEX('Holidays Calc'!$I$2:$I$233,AR151+3)=A151,INDEX('Holidays Calc'!$J$2:$J$233,AR151+3),""))</f>
        <v/>
      </c>
      <c r="AP151" t="str">
        <f>IFERROR(IF($E151=E150,"",MATCH($E151,Festivals!$H$2:$H$160,0)),"")</f>
        <v/>
      </c>
      <c r="AQ151" t="str">
        <f>IF(AP151="","",COUNTIF(Festivals!$H$2:$H$160,$E151))</f>
        <v/>
      </c>
      <c r="AR151">
        <f ca="1">IFERROR(MATCH(A151,'Holidays Calc'!$I$2:$I$233,0),"")</f>
        <v>49</v>
      </c>
      <c r="AS151" t="str">
        <f t="shared" si="18"/>
        <v/>
      </c>
      <c r="AT151" t="str">
        <f t="shared" si="17"/>
        <v/>
      </c>
      <c r="AU151">
        <f t="shared" ca="1" si="19"/>
        <v>0.5</v>
      </c>
      <c r="AV151">
        <f t="shared" ca="1" si="20"/>
        <v>0.5</v>
      </c>
    </row>
    <row r="152" spans="1:48" x14ac:dyDescent="0.25">
      <c r="A152" s="265">
        <f t="shared" si="16"/>
        <v>43578</v>
      </c>
      <c r="B152" s="265" t="str">
        <f t="shared" si="21"/>
        <v>23 Apr 2019</v>
      </c>
      <c r="C152" s="267">
        <f t="shared" si="22"/>
        <v>17</v>
      </c>
      <c r="D152">
        <f>MATCH(A152,GCalXMLT[daydate],0)</f>
        <v>151</v>
      </c>
      <c r="E152">
        <f>VALUE("1" &amp; Masacod(INDEX(GCalXMLT[gymasa],D152)) &amp; PaksaCod(INDEX(GCalXMLT[mpaksaid],D152)) &amp; TithiCod(INDEX(GCalXMLT[stithiname],D152)))</f>
        <v>102005</v>
      </c>
      <c r="F152" t="str">
        <f ca="1">INDEX(Parameters!$K$2:$K$16,MATCH(AV152,Parameters!$L$2:$L$16,0))</f>
        <v/>
      </c>
      <c r="G152">
        <f>INDEX(GCalXMLT[fastmark],$D152)</f>
        <v>0</v>
      </c>
      <c r="H152" t="str">
        <f ca="1">INDEX(Parameters!$J$2:$J$16,MATCH(AV152,Parameters!$L$2:$L$16,0))</f>
        <v/>
      </c>
      <c r="I152">
        <f>INDEX(GCalXMLT[dfestival1],$D152)</f>
        <v>0</v>
      </c>
      <c r="J152">
        <f>IF(INDEX(GCalXMLT[dfestival2],$D152)="(Fast today)",INDEX(Festivals!$R$2:$R$180,MATCH($I152,Festivals!$R$2:$R$180,0)+1),INDEX(GCalXMLT[dfestival2],$D152))</f>
        <v>0</v>
      </c>
      <c r="K152">
        <f>IF(I152="Nandotsava","(Fast till noon)",INDEX(GCalXMLT[dfestival3],$D152))</f>
        <v>0</v>
      </c>
      <c r="L152">
        <f>IF(I152="Nandotsava", INDEX(GCalXMLT[dfestival3],$D152),INDEX(GCalXMLT[dfestival4],$D152))</f>
        <v>0</v>
      </c>
      <c r="M152" t="str">
        <f>IFERROR(INDEX(Festivals!$S$2:$S$160,AP152),"")</f>
        <v/>
      </c>
      <c r="N152" t="str">
        <f>IFERROR(IF($AQ152&gt;1,INDEX(Festivals!$S$2:$S$160,$AP152+1),""),"")</f>
        <v/>
      </c>
      <c r="O152" t="str">
        <f>IFERROR(IF($AQ152&gt;2,INDEX(Festivals!$S$2:$S$160,$AP152+2),""),"")</f>
        <v/>
      </c>
      <c r="P152" t="str">
        <f>IFERROR(IF($AQ152&gt;3,INDEX(Festivals!$S$2:$S$160,$AP152+3),""),"")</f>
        <v/>
      </c>
      <c r="Q152" t="str">
        <f>IFERROR(IF($AQ152&gt;4,INDEX(Festivals!$S$2:$S$160,$AP152+4),""),"")</f>
        <v/>
      </c>
      <c r="R152" t="str">
        <f>IFERROR(IF($AQ152&gt;5,INDEX(Festivals!$S$2:$S$160,$AP152+5),""),"")</f>
        <v/>
      </c>
      <c r="S152" t="str">
        <f>IFERROR(IF($AQ152&gt;6,INDEX(Festivals!$S$2:$S$160,$AP152+6),""),"")</f>
        <v/>
      </c>
      <c r="T152">
        <f>INDEX(GCalXMLT[dcaturmasya1],$D152)</f>
        <v>0</v>
      </c>
      <c r="U152">
        <f>INDEX(GCalXMLT[dcaturmasya2],$D152)</f>
        <v>0</v>
      </c>
      <c r="V152" t="str">
        <f>INDEX(GCalXMLT[sankrantirasi],$D152) &amp; " " &amp; INDEX(GCalXMLT[sankrantitime],$D152)</f>
        <v xml:space="preserve"> </v>
      </c>
      <c r="W152" t="str">
        <f ca="1">IFERROR(INDEX('Holidays Calc'!$K$2:$K$233,AR152),"")</f>
        <v/>
      </c>
      <c r="X152" t="str">
        <f ca="1">IF(AR152="","",IF(INDEX('Holidays Calc'!$I$2:$I$233,AR152+1)=A152,INDEX('Holidays Calc'!$K$2:$K$233,AR152+1),""))</f>
        <v/>
      </c>
      <c r="Y152" t="str">
        <f ca="1">IF(AR152="","",IF(INDEX('Holidays Calc'!$I$2:$I$233,AR152+2)=A152,INDEX('Holidays Calc'!$K$2:$K$233,AR152+2),""))</f>
        <v/>
      </c>
      <c r="Z152" t="str">
        <f ca="1">IF(AR152="","",IF(INDEX('Holidays Calc'!$I$2:$I$233,AR152+3)=A152,INDEX('Holidays Calc'!$K$2:$K$2333,AR152+3),""))</f>
        <v/>
      </c>
      <c r="AA152" t="str">
        <f>IF(I152="Last day of Bhisma Pancaka","",IF(G152="*",-0.7,IF(ISBLANK(INDEX(GCalXMLT[dclass1],$D152)),"",INDEX(GCalXMLT[dclass1],$D152))))</f>
        <v/>
      </c>
      <c r="AB152" t="str">
        <f>IF(J152="First day of Bhisma Pancaka","",IF(AND(G152="*",NOT(ISERROR(SEARCH("ekadasi",J152)))),-0.7,IF(ISBLANK(INDEX(GCalXMLT[dclass2],$D152)),"",INDEX(GCalXMLT[dclass2],$D152))))</f>
        <v/>
      </c>
      <c r="AC152" t="str">
        <f>IF(I152="Nandotsava",-1,IF(ISBLANK(INDEX(GCalXMLT[dclass3],$D152)),"",INDEX(GCalXMLT[dclass3],$D152)))</f>
        <v/>
      </c>
      <c r="AD152" t="str">
        <f>IF(I152="Nandotsava",IF(ISBLANK(INDEX(GCalXMLT[dclass3],$D152)),"",INDEX(GCalXMLT[dclass3],$D152)),IF(ISBLANK(INDEX(GCalXMLT[dclass4],$D152)),"",INDEX(GCalXMLT[dclass4],$D152)))</f>
        <v/>
      </c>
      <c r="AE152" t="str">
        <f>IFERROR(INDEX(Festivals!$V$2:$V$160,AP152),"")</f>
        <v/>
      </c>
      <c r="AF152" t="str">
        <f>IFERROR(IF($AQ152&gt;1,INDEX(Festivals!$V$2:$V$160,$AP152+1),""),"")</f>
        <v/>
      </c>
      <c r="AG152" t="str">
        <f>IFERROR(IF($AQ152&gt;2,INDEX(Festivals!$V$2:$V$160,$AP152+2),""),"")</f>
        <v/>
      </c>
      <c r="AH152" t="str">
        <f>IFERROR(IF($AQ152&gt;3,INDEX(Festivals!$V$2:$V$160,$AP152+3),""),"")</f>
        <v/>
      </c>
      <c r="AI152" t="str">
        <f>IFERROR(IF($AQ152&gt;4,INDEX(Festivals!$V$2:$V$160,$AP152+4),""),"")</f>
        <v/>
      </c>
      <c r="AJ152" t="str">
        <f>IFERROR(IF($AQ152&gt;5,INDEX(Festivals!$V$2:$V$160,$AP152+5),""),"")</f>
        <v/>
      </c>
      <c r="AK152" t="str">
        <f>IFERROR(IF($AQ152&gt;6,INDEX(Festivals!$V$2:$V$160,$AP152+6),""),"")</f>
        <v/>
      </c>
      <c r="AL152" t="str">
        <f ca="1">IFERROR(INDEX('Holidays Calc'!$J$2:$J$233,MATCH(A152,'Holidays Calc'!$I$2:$I$233,0)),"")</f>
        <v/>
      </c>
      <c r="AM152" t="str">
        <f ca="1">IF(AR152="","",IF(INDEX('Holidays Calc'!$I$2:$I$233,AR152+1)=A152,INDEX('Holidays Calc'!$J$2:$J$233,AR152+1),""))</f>
        <v/>
      </c>
      <c r="AN152" t="str">
        <f ca="1">IF(AR152="","",IF(INDEX('Holidays Calc'!$I$2:$I$233,AR152+2)=A152,INDEX('Holidays Calc'!$J$2:$J$233,AR152+2),""))</f>
        <v/>
      </c>
      <c r="AO152" t="str">
        <f ca="1">IF(AR152="","",IF(INDEX('Holidays Calc'!$I$2:$I$233,AR152+3)=A152,INDEX('Holidays Calc'!$J$2:$J$233,AR152+3),""))</f>
        <v/>
      </c>
      <c r="AP152" t="str">
        <f>IFERROR(IF($E152=E151,"",MATCH($E152,Festivals!$H$2:$H$160,0)),"")</f>
        <v/>
      </c>
      <c r="AQ152" t="str">
        <f>IF(AP152="","",COUNTIF(Festivals!$H$2:$H$160,$E152))</f>
        <v/>
      </c>
      <c r="AR152" t="str">
        <f ca="1">IFERROR(MATCH(A152,'Holidays Calc'!$I$2:$I$233,0),"")</f>
        <v/>
      </c>
      <c r="AS152" t="str">
        <f t="shared" si="18"/>
        <v/>
      </c>
      <c r="AT152" t="str">
        <f t="shared" si="17"/>
        <v/>
      </c>
      <c r="AU152" t="str">
        <f t="shared" ca="1" si="19"/>
        <v/>
      </c>
      <c r="AV152" t="str">
        <f t="shared" ca="1" si="20"/>
        <v/>
      </c>
    </row>
    <row r="153" spans="1:48" x14ac:dyDescent="0.25">
      <c r="A153" s="265">
        <f t="shared" si="16"/>
        <v>43579</v>
      </c>
      <c r="B153" s="265" t="str">
        <f t="shared" si="21"/>
        <v>24 Apr 2019</v>
      </c>
      <c r="C153" s="267">
        <f t="shared" si="22"/>
        <v>17</v>
      </c>
      <c r="D153">
        <f>MATCH(A153,GCalXMLT[daydate],0)</f>
        <v>152</v>
      </c>
      <c r="E153">
        <f>VALUE("1" &amp; Masacod(INDEX(GCalXMLT[gymasa],D153)) &amp; PaksaCod(INDEX(GCalXMLT[mpaksaid],D153)) &amp; TithiCod(INDEX(GCalXMLT[stithiname],D153)))</f>
        <v>102006</v>
      </c>
      <c r="F153" t="str">
        <f ca="1">INDEX(Parameters!$K$2:$K$16,MATCH(AV153,Parameters!$L$2:$L$16,0))</f>
        <v/>
      </c>
      <c r="G153">
        <f>INDEX(GCalXMLT[fastmark],$D153)</f>
        <v>0</v>
      </c>
      <c r="H153" t="str">
        <f ca="1">INDEX(Parameters!$J$2:$J$16,MATCH(AV153,Parameters!$L$2:$L$16,0))</f>
        <v/>
      </c>
      <c r="I153">
        <f>INDEX(GCalXMLT[dfestival1],$D153)</f>
        <v>0</v>
      </c>
      <c r="J153">
        <f>IF(INDEX(GCalXMLT[dfestival2],$D153)="(Fast today)",INDEX(Festivals!$R$2:$R$180,MATCH($I153,Festivals!$R$2:$R$180,0)+1),INDEX(GCalXMLT[dfestival2],$D153))</f>
        <v>0</v>
      </c>
      <c r="K153">
        <f>IF(I153="Nandotsava","(Fast till noon)",INDEX(GCalXMLT[dfestival3],$D153))</f>
        <v>0</v>
      </c>
      <c r="L153">
        <f>IF(I153="Nandotsava", INDEX(GCalXMLT[dfestival3],$D153),INDEX(GCalXMLT[dfestival4],$D153))</f>
        <v>0</v>
      </c>
      <c r="M153" t="str">
        <f>IFERROR(INDEX(Festivals!$S$2:$S$160,AP153),"")</f>
        <v/>
      </c>
      <c r="N153" t="str">
        <f>IFERROR(IF($AQ153&gt;1,INDEX(Festivals!$S$2:$S$160,$AP153+1),""),"")</f>
        <v/>
      </c>
      <c r="O153" t="str">
        <f>IFERROR(IF($AQ153&gt;2,INDEX(Festivals!$S$2:$S$160,$AP153+2),""),"")</f>
        <v/>
      </c>
      <c r="P153" t="str">
        <f>IFERROR(IF($AQ153&gt;3,INDEX(Festivals!$S$2:$S$160,$AP153+3),""),"")</f>
        <v/>
      </c>
      <c r="Q153" t="str">
        <f>IFERROR(IF($AQ153&gt;4,INDEX(Festivals!$S$2:$S$160,$AP153+4),""),"")</f>
        <v/>
      </c>
      <c r="R153" t="str">
        <f>IFERROR(IF($AQ153&gt;5,INDEX(Festivals!$S$2:$S$160,$AP153+5),""),"")</f>
        <v/>
      </c>
      <c r="S153" t="str">
        <f>IFERROR(IF($AQ153&gt;6,INDEX(Festivals!$S$2:$S$160,$AP153+6),""),"")</f>
        <v/>
      </c>
      <c r="T153">
        <f>INDEX(GCalXMLT[dcaturmasya1],$D153)</f>
        <v>0</v>
      </c>
      <c r="U153">
        <f>INDEX(GCalXMLT[dcaturmasya2],$D153)</f>
        <v>0</v>
      </c>
      <c r="V153" t="str">
        <f>INDEX(GCalXMLT[sankrantirasi],$D153) &amp; " " &amp; INDEX(GCalXMLT[sankrantitime],$D153)</f>
        <v xml:space="preserve"> </v>
      </c>
      <c r="W153" t="str">
        <f ca="1">IFERROR(INDEX('Holidays Calc'!$K$2:$K$233,AR153),"")</f>
        <v/>
      </c>
      <c r="X153" t="str">
        <f ca="1">IF(AR153="","",IF(INDEX('Holidays Calc'!$I$2:$I$233,AR153+1)=A153,INDEX('Holidays Calc'!$K$2:$K$233,AR153+1),""))</f>
        <v/>
      </c>
      <c r="Y153" t="str">
        <f ca="1">IF(AR153="","",IF(INDEX('Holidays Calc'!$I$2:$I$233,AR153+2)=A153,INDEX('Holidays Calc'!$K$2:$K$233,AR153+2),""))</f>
        <v/>
      </c>
      <c r="Z153" t="str">
        <f ca="1">IF(AR153="","",IF(INDEX('Holidays Calc'!$I$2:$I$233,AR153+3)=A153,INDEX('Holidays Calc'!$K$2:$K$2333,AR153+3),""))</f>
        <v/>
      </c>
      <c r="AA153" t="str">
        <f>IF(I153="Last day of Bhisma Pancaka","",IF(G153="*",-0.7,IF(ISBLANK(INDEX(GCalXMLT[dclass1],$D153)),"",INDEX(GCalXMLT[dclass1],$D153))))</f>
        <v/>
      </c>
      <c r="AB153" t="str">
        <f>IF(J153="First day of Bhisma Pancaka","",IF(AND(G153="*",NOT(ISERROR(SEARCH("ekadasi",J153)))),-0.7,IF(ISBLANK(INDEX(GCalXMLT[dclass2],$D153)),"",INDEX(GCalXMLT[dclass2],$D153))))</f>
        <v/>
      </c>
      <c r="AC153" t="str">
        <f>IF(I153="Nandotsava",-1,IF(ISBLANK(INDEX(GCalXMLT[dclass3],$D153)),"",INDEX(GCalXMLT[dclass3],$D153)))</f>
        <v/>
      </c>
      <c r="AD153" t="str">
        <f>IF(I153="Nandotsava",IF(ISBLANK(INDEX(GCalXMLT[dclass3],$D153)),"",INDEX(GCalXMLT[dclass3],$D153)),IF(ISBLANK(INDEX(GCalXMLT[dclass4],$D153)),"",INDEX(GCalXMLT[dclass4],$D153)))</f>
        <v/>
      </c>
      <c r="AE153" t="str">
        <f>IFERROR(INDEX(Festivals!$V$2:$V$160,AP153),"")</f>
        <v/>
      </c>
      <c r="AF153" t="str">
        <f>IFERROR(IF($AQ153&gt;1,INDEX(Festivals!$V$2:$V$160,$AP153+1),""),"")</f>
        <v/>
      </c>
      <c r="AG153" t="str">
        <f>IFERROR(IF($AQ153&gt;2,INDEX(Festivals!$V$2:$V$160,$AP153+2),""),"")</f>
        <v/>
      </c>
      <c r="AH153" t="str">
        <f>IFERROR(IF($AQ153&gt;3,INDEX(Festivals!$V$2:$V$160,$AP153+3),""),"")</f>
        <v/>
      </c>
      <c r="AI153" t="str">
        <f>IFERROR(IF($AQ153&gt;4,INDEX(Festivals!$V$2:$V$160,$AP153+4),""),"")</f>
        <v/>
      </c>
      <c r="AJ153" t="str">
        <f>IFERROR(IF($AQ153&gt;5,INDEX(Festivals!$V$2:$V$160,$AP153+5),""),"")</f>
        <v/>
      </c>
      <c r="AK153" t="str">
        <f>IFERROR(IF($AQ153&gt;6,INDEX(Festivals!$V$2:$V$160,$AP153+6),""),"")</f>
        <v/>
      </c>
      <c r="AL153" t="str">
        <f ca="1">IFERROR(INDEX('Holidays Calc'!$J$2:$J$233,MATCH(A153,'Holidays Calc'!$I$2:$I$233,0)),"")</f>
        <v/>
      </c>
      <c r="AM153" t="str">
        <f ca="1">IF(AR153="","",IF(INDEX('Holidays Calc'!$I$2:$I$233,AR153+1)=A153,INDEX('Holidays Calc'!$J$2:$J$233,AR153+1),""))</f>
        <v/>
      </c>
      <c r="AN153" t="str">
        <f ca="1">IF(AR153="","",IF(INDEX('Holidays Calc'!$I$2:$I$233,AR153+2)=A153,INDEX('Holidays Calc'!$J$2:$J$233,AR153+2),""))</f>
        <v/>
      </c>
      <c r="AO153" t="str">
        <f ca="1">IF(AR153="","",IF(INDEX('Holidays Calc'!$I$2:$I$233,AR153+3)=A153,INDEX('Holidays Calc'!$J$2:$J$233,AR153+3),""))</f>
        <v/>
      </c>
      <c r="AP153" t="str">
        <f>IFERROR(IF($E153=E152,"",MATCH($E153,Festivals!$H$2:$H$160,0)),"")</f>
        <v/>
      </c>
      <c r="AQ153" t="str">
        <f>IF(AP153="","",COUNTIF(Festivals!$H$2:$H$160,$E153))</f>
        <v/>
      </c>
      <c r="AR153" t="str">
        <f ca="1">IFERROR(MATCH(A153,'Holidays Calc'!$I$2:$I$233,0),"")</f>
        <v/>
      </c>
      <c r="AS153" t="str">
        <f t="shared" si="18"/>
        <v/>
      </c>
      <c r="AT153" t="str">
        <f t="shared" si="17"/>
        <v/>
      </c>
      <c r="AU153" t="str">
        <f t="shared" ca="1" si="19"/>
        <v/>
      </c>
      <c r="AV153" t="str">
        <f t="shared" ca="1" si="20"/>
        <v/>
      </c>
    </row>
    <row r="154" spans="1:48" x14ac:dyDescent="0.25">
      <c r="A154" s="265">
        <f t="shared" si="16"/>
        <v>43580</v>
      </c>
      <c r="B154" s="265" t="str">
        <f t="shared" si="21"/>
        <v>25 Apr 2019</v>
      </c>
      <c r="C154" s="267">
        <f t="shared" si="22"/>
        <v>17</v>
      </c>
      <c r="D154">
        <f>MATCH(A154,GCalXMLT[daydate],0)</f>
        <v>153</v>
      </c>
      <c r="E154">
        <f>VALUE("1" &amp; Masacod(INDEX(GCalXMLT[gymasa],D154)) &amp; PaksaCod(INDEX(GCalXMLT[mpaksaid],D154)) &amp; TithiCod(INDEX(GCalXMLT[stithiname],D154)))</f>
        <v>102007</v>
      </c>
      <c r="F154" t="str">
        <f ca="1">INDEX(Parameters!$K$2:$K$16,MATCH(AV154,Parameters!$L$2:$L$16,0))</f>
        <v>C</v>
      </c>
      <c r="G154">
        <f>INDEX(GCalXMLT[fastmark],$D154)</f>
        <v>0</v>
      </c>
      <c r="H154" t="str">
        <f ca="1">INDEX(Parameters!$J$2:$J$16,MATCH(AV154,Parameters!$L$2:$L$16,0))</f>
        <v/>
      </c>
      <c r="I154">
        <f>INDEX(GCalXMLT[dfestival1],$D154)</f>
        <v>0</v>
      </c>
      <c r="J154">
        <f>IF(INDEX(GCalXMLT[dfestival2],$D154)="(Fast today)",INDEX(Festivals!$R$2:$R$180,MATCH($I154,Festivals!$R$2:$R$180,0)+1),INDEX(GCalXMLT[dfestival2],$D154))</f>
        <v>0</v>
      </c>
      <c r="K154">
        <f>IF(I154="Nandotsava","(Fast till noon)",INDEX(GCalXMLT[dfestival3],$D154))</f>
        <v>0</v>
      </c>
      <c r="L154">
        <f>IF(I154="Nandotsava", INDEX(GCalXMLT[dfestival3],$D154),INDEX(GCalXMLT[dfestival4],$D154))</f>
        <v>0</v>
      </c>
      <c r="M154" t="str">
        <f>IFERROR(INDEX(Festivals!$S$2:$S$160,AP154),"")</f>
        <v>Sri Abhirama Thakura - Disappearance</v>
      </c>
      <c r="N154" t="str">
        <f>IFERROR(IF($AQ154&gt;1,INDEX(Festivals!$S$2:$S$160,$AP154+1),""),"")</f>
        <v/>
      </c>
      <c r="O154" t="str">
        <f>IFERROR(IF($AQ154&gt;2,INDEX(Festivals!$S$2:$S$160,$AP154+2),""),"")</f>
        <v/>
      </c>
      <c r="P154" t="str">
        <f>IFERROR(IF($AQ154&gt;3,INDEX(Festivals!$S$2:$S$160,$AP154+3),""),"")</f>
        <v/>
      </c>
      <c r="Q154" t="str">
        <f>IFERROR(IF($AQ154&gt;4,INDEX(Festivals!$S$2:$S$160,$AP154+4),""),"")</f>
        <v/>
      </c>
      <c r="R154" t="str">
        <f>IFERROR(IF($AQ154&gt;5,INDEX(Festivals!$S$2:$S$160,$AP154+5),""),"")</f>
        <v/>
      </c>
      <c r="S154" t="str">
        <f>IFERROR(IF($AQ154&gt;6,INDEX(Festivals!$S$2:$S$160,$AP154+6),""),"")</f>
        <v/>
      </c>
      <c r="T154">
        <f>INDEX(GCalXMLT[dcaturmasya1],$D154)</f>
        <v>0</v>
      </c>
      <c r="U154">
        <f>INDEX(GCalXMLT[dcaturmasya2],$D154)</f>
        <v>0</v>
      </c>
      <c r="V154" t="str">
        <f>INDEX(GCalXMLT[sankrantirasi],$D154) &amp; " " &amp; INDEX(GCalXMLT[sankrantitime],$D154)</f>
        <v xml:space="preserve"> </v>
      </c>
      <c r="W154" t="str">
        <f ca="1">IFERROR(INDEX('Holidays Calc'!$K$2:$K$233,AR154),"")</f>
        <v/>
      </c>
      <c r="X154" t="str">
        <f ca="1">IF(AR154="","",IF(INDEX('Holidays Calc'!$I$2:$I$233,AR154+1)=A154,INDEX('Holidays Calc'!$K$2:$K$233,AR154+1),""))</f>
        <v/>
      </c>
      <c r="Y154" t="str">
        <f ca="1">IF(AR154="","",IF(INDEX('Holidays Calc'!$I$2:$I$233,AR154+2)=A154,INDEX('Holidays Calc'!$K$2:$K$233,AR154+2),""))</f>
        <v/>
      </c>
      <c r="Z154" t="str">
        <f ca="1">IF(AR154="","",IF(INDEX('Holidays Calc'!$I$2:$I$233,AR154+3)=A154,INDEX('Holidays Calc'!$K$2:$K$2333,AR154+3),""))</f>
        <v/>
      </c>
      <c r="AA154" t="str">
        <f>IF(I154="Last day of Bhisma Pancaka","",IF(G154="*",-0.7,IF(ISBLANK(INDEX(GCalXMLT[dclass1],$D154)),"",INDEX(GCalXMLT[dclass1],$D154))))</f>
        <v/>
      </c>
      <c r="AB154" t="str">
        <f>IF(J154="First day of Bhisma Pancaka","",IF(AND(G154="*",NOT(ISERROR(SEARCH("ekadasi",J154)))),-0.7,IF(ISBLANK(INDEX(GCalXMLT[dclass2],$D154)),"",INDEX(GCalXMLT[dclass2],$D154))))</f>
        <v/>
      </c>
      <c r="AC154" t="str">
        <f>IF(I154="Nandotsava",-1,IF(ISBLANK(INDEX(GCalXMLT[dclass3],$D154)),"",INDEX(GCalXMLT[dclass3],$D154)))</f>
        <v/>
      </c>
      <c r="AD154" t="str">
        <f>IF(I154="Nandotsava",IF(ISBLANK(INDEX(GCalXMLT[dclass3],$D154)),"",INDEX(GCalXMLT[dclass3],$D154)),IF(ISBLANK(INDEX(GCalXMLT[dclass4],$D154)),"",INDEX(GCalXMLT[dclass4],$D154)))</f>
        <v/>
      </c>
      <c r="AE154">
        <f>IFERROR(INDEX(Festivals!$V$2:$V$160,AP154),"")</f>
        <v>3</v>
      </c>
      <c r="AF154" t="str">
        <f>IFERROR(IF($AQ154&gt;1,INDEX(Festivals!$V$2:$V$160,$AP154+1),""),"")</f>
        <v/>
      </c>
      <c r="AG154" t="str">
        <f>IFERROR(IF($AQ154&gt;2,INDEX(Festivals!$V$2:$V$160,$AP154+2),""),"")</f>
        <v/>
      </c>
      <c r="AH154" t="str">
        <f>IFERROR(IF($AQ154&gt;3,INDEX(Festivals!$V$2:$V$160,$AP154+3),""),"")</f>
        <v/>
      </c>
      <c r="AI154" t="str">
        <f>IFERROR(IF($AQ154&gt;4,INDEX(Festivals!$V$2:$V$160,$AP154+4),""),"")</f>
        <v/>
      </c>
      <c r="AJ154" t="str">
        <f>IFERROR(IF($AQ154&gt;5,INDEX(Festivals!$V$2:$V$160,$AP154+5),""),"")</f>
        <v/>
      </c>
      <c r="AK154" t="str">
        <f>IFERROR(IF($AQ154&gt;6,INDEX(Festivals!$V$2:$V$160,$AP154+6),""),"")</f>
        <v/>
      </c>
      <c r="AL154" t="str">
        <f ca="1">IFERROR(INDEX('Holidays Calc'!$J$2:$J$233,MATCH(A154,'Holidays Calc'!$I$2:$I$233,0)),"")</f>
        <v/>
      </c>
      <c r="AM154" t="str">
        <f ca="1">IF(AR154="","",IF(INDEX('Holidays Calc'!$I$2:$I$233,AR154+1)=A154,INDEX('Holidays Calc'!$J$2:$J$233,AR154+1),""))</f>
        <v/>
      </c>
      <c r="AN154" t="str">
        <f ca="1">IF(AR154="","",IF(INDEX('Holidays Calc'!$I$2:$I$233,AR154+2)=A154,INDEX('Holidays Calc'!$J$2:$J$233,AR154+2),""))</f>
        <v/>
      </c>
      <c r="AO154" t="str">
        <f ca="1">IF(AR154="","",IF(INDEX('Holidays Calc'!$I$2:$I$233,AR154+3)=A154,INDEX('Holidays Calc'!$J$2:$J$233,AR154+3),""))</f>
        <v/>
      </c>
      <c r="AP154">
        <f>IFERROR(IF($E154=E153,"",MATCH($E154,Festivals!$H$2:$H$160,0)),"")</f>
        <v>9</v>
      </c>
      <c r="AQ154">
        <f>IF(AP154="","",COUNTIF(Festivals!$H$2:$H$160,$E154))</f>
        <v>1</v>
      </c>
      <c r="AR154" t="str">
        <f ca="1">IFERROR(MATCH(A154,'Holidays Calc'!$I$2:$I$233,0),"")</f>
        <v/>
      </c>
      <c r="AS154">
        <f t="shared" si="18"/>
        <v>3</v>
      </c>
      <c r="AT154">
        <f t="shared" si="17"/>
        <v>3</v>
      </c>
      <c r="AU154" t="str">
        <f t="shared" ca="1" si="19"/>
        <v/>
      </c>
      <c r="AV154">
        <f t="shared" ca="1" si="20"/>
        <v>3</v>
      </c>
    </row>
    <row r="155" spans="1:48" x14ac:dyDescent="0.25">
      <c r="A155" s="265">
        <f t="shared" si="16"/>
        <v>43581</v>
      </c>
      <c r="B155" s="265" t="str">
        <f t="shared" si="21"/>
        <v>26 Apr 2019</v>
      </c>
      <c r="C155" s="267">
        <f t="shared" si="22"/>
        <v>17</v>
      </c>
      <c r="D155">
        <f>MATCH(A155,GCalXMLT[daydate],0)</f>
        <v>154</v>
      </c>
      <c r="E155">
        <f>VALUE("1" &amp; Masacod(INDEX(GCalXMLT[gymasa],D155)) &amp; PaksaCod(INDEX(GCalXMLT[mpaksaid],D155)) &amp; TithiCod(INDEX(GCalXMLT[stithiname],D155)))</f>
        <v>102007</v>
      </c>
      <c r="F155" t="str">
        <f ca="1">INDEX(Parameters!$K$2:$K$16,MATCH(AV155,Parameters!$L$2:$L$16,0))</f>
        <v/>
      </c>
      <c r="G155">
        <f>INDEX(GCalXMLT[fastmark],$D155)</f>
        <v>0</v>
      </c>
      <c r="H155" t="str">
        <f ca="1">INDEX(Parameters!$J$2:$J$16,MATCH(AV155,Parameters!$L$2:$L$16,0))</f>
        <v/>
      </c>
      <c r="I155">
        <f>INDEX(GCalXMLT[dfestival1],$D155)</f>
        <v>0</v>
      </c>
      <c r="J155">
        <f>IF(INDEX(GCalXMLT[dfestival2],$D155)="(Fast today)",INDEX(Festivals!$R$2:$R$180,MATCH($I155,Festivals!$R$2:$R$180,0)+1),INDEX(GCalXMLT[dfestival2],$D155))</f>
        <v>0</v>
      </c>
      <c r="K155">
        <f>IF(I155="Nandotsava","(Fast till noon)",INDEX(GCalXMLT[dfestival3],$D155))</f>
        <v>0</v>
      </c>
      <c r="L155">
        <f>IF(I155="Nandotsava", INDEX(GCalXMLT[dfestival3],$D155),INDEX(GCalXMLT[dfestival4],$D155))</f>
        <v>0</v>
      </c>
      <c r="M155" t="str">
        <f>IFERROR(INDEX(Festivals!$S$2:$S$160,AP155),"")</f>
        <v/>
      </c>
      <c r="N155" t="str">
        <f>IFERROR(IF($AQ155&gt;1,INDEX(Festivals!$S$2:$S$160,$AP155+1),""),"")</f>
        <v/>
      </c>
      <c r="O155" t="str">
        <f>IFERROR(IF($AQ155&gt;2,INDEX(Festivals!$S$2:$S$160,$AP155+2),""),"")</f>
        <v/>
      </c>
      <c r="P155" t="str">
        <f>IFERROR(IF($AQ155&gt;3,INDEX(Festivals!$S$2:$S$160,$AP155+3),""),"")</f>
        <v/>
      </c>
      <c r="Q155" t="str">
        <f>IFERROR(IF($AQ155&gt;4,INDEX(Festivals!$S$2:$S$160,$AP155+4),""),"")</f>
        <v/>
      </c>
      <c r="R155" t="str">
        <f>IFERROR(IF($AQ155&gt;5,INDEX(Festivals!$S$2:$S$160,$AP155+5),""),"")</f>
        <v/>
      </c>
      <c r="S155" t="str">
        <f>IFERROR(IF($AQ155&gt;6,INDEX(Festivals!$S$2:$S$160,$AP155+6),""),"")</f>
        <v/>
      </c>
      <c r="T155">
        <f>INDEX(GCalXMLT[dcaturmasya1],$D155)</f>
        <v>0</v>
      </c>
      <c r="U155">
        <f>INDEX(GCalXMLT[dcaturmasya2],$D155)</f>
        <v>0</v>
      </c>
      <c r="V155" t="str">
        <f>INDEX(GCalXMLT[sankrantirasi],$D155) &amp; " " &amp; INDEX(GCalXMLT[sankrantitime],$D155)</f>
        <v xml:space="preserve"> </v>
      </c>
      <c r="W155" t="str">
        <f ca="1">IFERROR(INDEX('Holidays Calc'!$K$2:$K$233,AR155),"")</f>
        <v/>
      </c>
      <c r="X155" t="str">
        <f ca="1">IF(AR155="","",IF(INDEX('Holidays Calc'!$I$2:$I$233,AR155+1)=A155,INDEX('Holidays Calc'!$K$2:$K$233,AR155+1),""))</f>
        <v/>
      </c>
      <c r="Y155" t="str">
        <f ca="1">IF(AR155="","",IF(INDEX('Holidays Calc'!$I$2:$I$233,AR155+2)=A155,INDEX('Holidays Calc'!$K$2:$K$233,AR155+2),""))</f>
        <v/>
      </c>
      <c r="Z155" t="str">
        <f ca="1">IF(AR155="","",IF(INDEX('Holidays Calc'!$I$2:$I$233,AR155+3)=A155,INDEX('Holidays Calc'!$K$2:$K$2333,AR155+3),""))</f>
        <v/>
      </c>
      <c r="AA155" t="str">
        <f>IF(I155="Last day of Bhisma Pancaka","",IF(G155="*",-0.7,IF(ISBLANK(INDEX(GCalXMLT[dclass1],$D155)),"",INDEX(GCalXMLT[dclass1],$D155))))</f>
        <v/>
      </c>
      <c r="AB155" t="str">
        <f>IF(J155="First day of Bhisma Pancaka","",IF(AND(G155="*",NOT(ISERROR(SEARCH("ekadasi",J155)))),-0.7,IF(ISBLANK(INDEX(GCalXMLT[dclass2],$D155)),"",INDEX(GCalXMLT[dclass2],$D155))))</f>
        <v/>
      </c>
      <c r="AC155" t="str">
        <f>IF(I155="Nandotsava",-1,IF(ISBLANK(INDEX(GCalXMLT[dclass3],$D155)),"",INDEX(GCalXMLT[dclass3],$D155)))</f>
        <v/>
      </c>
      <c r="AD155" t="str">
        <f>IF(I155="Nandotsava",IF(ISBLANK(INDEX(GCalXMLT[dclass3],$D155)),"",INDEX(GCalXMLT[dclass3],$D155)),IF(ISBLANK(INDEX(GCalXMLT[dclass4],$D155)),"",INDEX(GCalXMLT[dclass4],$D155)))</f>
        <v/>
      </c>
      <c r="AE155" t="str">
        <f>IFERROR(INDEX(Festivals!$V$2:$V$160,AP155),"")</f>
        <v/>
      </c>
      <c r="AF155" t="str">
        <f>IFERROR(IF($AQ155&gt;1,INDEX(Festivals!$V$2:$V$160,$AP155+1),""),"")</f>
        <v/>
      </c>
      <c r="AG155" t="str">
        <f>IFERROR(IF($AQ155&gt;2,INDEX(Festivals!$V$2:$V$160,$AP155+2),""),"")</f>
        <v/>
      </c>
      <c r="AH155" t="str">
        <f>IFERROR(IF($AQ155&gt;3,INDEX(Festivals!$V$2:$V$160,$AP155+3),""),"")</f>
        <v/>
      </c>
      <c r="AI155" t="str">
        <f>IFERROR(IF($AQ155&gt;4,INDEX(Festivals!$V$2:$V$160,$AP155+4),""),"")</f>
        <v/>
      </c>
      <c r="AJ155" t="str">
        <f>IFERROR(IF($AQ155&gt;5,INDEX(Festivals!$V$2:$V$160,$AP155+5),""),"")</f>
        <v/>
      </c>
      <c r="AK155" t="str">
        <f>IFERROR(IF($AQ155&gt;6,INDEX(Festivals!$V$2:$V$160,$AP155+6),""),"")</f>
        <v/>
      </c>
      <c r="AL155" t="str">
        <f ca="1">IFERROR(INDEX('Holidays Calc'!$J$2:$J$233,MATCH(A155,'Holidays Calc'!$I$2:$I$233,0)),"")</f>
        <v/>
      </c>
      <c r="AM155" t="str">
        <f ca="1">IF(AR155="","",IF(INDEX('Holidays Calc'!$I$2:$I$233,AR155+1)=A155,INDEX('Holidays Calc'!$J$2:$J$233,AR155+1),""))</f>
        <v/>
      </c>
      <c r="AN155" t="str">
        <f ca="1">IF(AR155="","",IF(INDEX('Holidays Calc'!$I$2:$I$233,AR155+2)=A155,INDEX('Holidays Calc'!$J$2:$J$233,AR155+2),""))</f>
        <v/>
      </c>
      <c r="AO155" t="str">
        <f ca="1">IF(AR155="","",IF(INDEX('Holidays Calc'!$I$2:$I$233,AR155+3)=A155,INDEX('Holidays Calc'!$J$2:$J$233,AR155+3),""))</f>
        <v/>
      </c>
      <c r="AP155" t="str">
        <f>IFERROR(IF($E155=E154,"",MATCH($E155,Festivals!$H$2:$H$160,0)),"")</f>
        <v/>
      </c>
      <c r="AQ155" t="str">
        <f>IF(AP155="","",COUNTIF(Festivals!$H$2:$H$160,$E155))</f>
        <v/>
      </c>
      <c r="AR155" t="str">
        <f ca="1">IFERROR(MATCH(A155,'Holidays Calc'!$I$2:$I$233,0),"")</f>
        <v/>
      </c>
      <c r="AS155" t="str">
        <f t="shared" si="18"/>
        <v/>
      </c>
      <c r="AT155" t="str">
        <f t="shared" si="17"/>
        <v/>
      </c>
      <c r="AU155" t="str">
        <f t="shared" ca="1" si="19"/>
        <v/>
      </c>
      <c r="AV155" t="str">
        <f t="shared" ca="1" si="20"/>
        <v/>
      </c>
    </row>
    <row r="156" spans="1:48" x14ac:dyDescent="0.25">
      <c r="A156" s="265">
        <f t="shared" si="16"/>
        <v>43582</v>
      </c>
      <c r="B156" s="265" t="str">
        <f t="shared" si="21"/>
        <v>27 Apr 2019</v>
      </c>
      <c r="C156" s="267">
        <f t="shared" si="22"/>
        <v>17</v>
      </c>
      <c r="D156">
        <f>MATCH(A156,GCalXMLT[daydate],0)</f>
        <v>155</v>
      </c>
      <c r="E156">
        <f>VALUE("1" &amp; Masacod(INDEX(GCalXMLT[gymasa],D156)) &amp; PaksaCod(INDEX(GCalXMLT[mpaksaid],D156)) &amp; TithiCod(INDEX(GCalXMLT[stithiname],D156)))</f>
        <v>102008</v>
      </c>
      <c r="F156" t="str">
        <f ca="1">INDEX(Parameters!$K$2:$K$16,MATCH(AV156,Parameters!$L$2:$L$16,0))</f>
        <v/>
      </c>
      <c r="G156">
        <f>INDEX(GCalXMLT[fastmark],$D156)</f>
        <v>0</v>
      </c>
      <c r="H156" t="str">
        <f ca="1">INDEX(Parameters!$J$2:$J$16,MATCH(AV156,Parameters!$L$2:$L$16,0))</f>
        <v/>
      </c>
      <c r="I156">
        <f>INDEX(GCalXMLT[dfestival1],$D156)</f>
        <v>0</v>
      </c>
      <c r="J156">
        <f>IF(INDEX(GCalXMLT[dfestival2],$D156)="(Fast today)",INDEX(Festivals!$R$2:$R$180,MATCH($I156,Festivals!$R$2:$R$180,0)+1),INDEX(GCalXMLT[dfestival2],$D156))</f>
        <v>0</v>
      </c>
      <c r="K156">
        <f>IF(I156="Nandotsava","(Fast till noon)",INDEX(GCalXMLT[dfestival3],$D156))</f>
        <v>0</v>
      </c>
      <c r="L156">
        <f>IF(I156="Nandotsava", INDEX(GCalXMLT[dfestival3],$D156),INDEX(GCalXMLT[dfestival4],$D156))</f>
        <v>0</v>
      </c>
      <c r="M156" t="str">
        <f>IFERROR(INDEX(Festivals!$S$2:$S$160,AP156),"")</f>
        <v/>
      </c>
      <c r="N156" t="str">
        <f>IFERROR(IF($AQ156&gt;1,INDEX(Festivals!$S$2:$S$160,$AP156+1),""),"")</f>
        <v/>
      </c>
      <c r="O156" t="str">
        <f>IFERROR(IF($AQ156&gt;2,INDEX(Festivals!$S$2:$S$160,$AP156+2),""),"")</f>
        <v/>
      </c>
      <c r="P156" t="str">
        <f>IFERROR(IF($AQ156&gt;3,INDEX(Festivals!$S$2:$S$160,$AP156+3),""),"")</f>
        <v/>
      </c>
      <c r="Q156" t="str">
        <f>IFERROR(IF($AQ156&gt;4,INDEX(Festivals!$S$2:$S$160,$AP156+4),""),"")</f>
        <v/>
      </c>
      <c r="R156" t="str">
        <f>IFERROR(IF($AQ156&gt;5,INDEX(Festivals!$S$2:$S$160,$AP156+5),""),"")</f>
        <v/>
      </c>
      <c r="S156" t="str">
        <f>IFERROR(IF($AQ156&gt;6,INDEX(Festivals!$S$2:$S$160,$AP156+6),""),"")</f>
        <v/>
      </c>
      <c r="T156">
        <f>INDEX(GCalXMLT[dcaturmasya1],$D156)</f>
        <v>0</v>
      </c>
      <c r="U156">
        <f>INDEX(GCalXMLT[dcaturmasya2],$D156)</f>
        <v>0</v>
      </c>
      <c r="V156" t="str">
        <f>INDEX(GCalXMLT[sankrantirasi],$D156) &amp; " " &amp; INDEX(GCalXMLT[sankrantitime],$D156)</f>
        <v xml:space="preserve"> </v>
      </c>
      <c r="W156" t="str">
        <f ca="1">IFERROR(INDEX('Holidays Calc'!$K$2:$K$233,AR156),"")</f>
        <v/>
      </c>
      <c r="X156" t="str">
        <f ca="1">IF(AR156="","",IF(INDEX('Holidays Calc'!$I$2:$I$233,AR156+1)=A156,INDEX('Holidays Calc'!$K$2:$K$233,AR156+1),""))</f>
        <v/>
      </c>
      <c r="Y156" t="str">
        <f ca="1">IF(AR156="","",IF(INDEX('Holidays Calc'!$I$2:$I$233,AR156+2)=A156,INDEX('Holidays Calc'!$K$2:$K$233,AR156+2),""))</f>
        <v/>
      </c>
      <c r="Z156" t="str">
        <f ca="1">IF(AR156="","",IF(INDEX('Holidays Calc'!$I$2:$I$233,AR156+3)=A156,INDEX('Holidays Calc'!$K$2:$K$2333,AR156+3),""))</f>
        <v/>
      </c>
      <c r="AA156" t="str">
        <f>IF(I156="Last day of Bhisma Pancaka","",IF(G156="*",-0.7,IF(ISBLANK(INDEX(GCalXMLT[dclass1],$D156)),"",INDEX(GCalXMLT[dclass1],$D156))))</f>
        <v/>
      </c>
      <c r="AB156" t="str">
        <f>IF(J156="First day of Bhisma Pancaka","",IF(AND(G156="*",NOT(ISERROR(SEARCH("ekadasi",J156)))),-0.7,IF(ISBLANK(INDEX(GCalXMLT[dclass2],$D156)),"",INDEX(GCalXMLT[dclass2],$D156))))</f>
        <v/>
      </c>
      <c r="AC156" t="str">
        <f>IF(I156="Nandotsava",-1,IF(ISBLANK(INDEX(GCalXMLT[dclass3],$D156)),"",INDEX(GCalXMLT[dclass3],$D156)))</f>
        <v/>
      </c>
      <c r="AD156" t="str">
        <f>IF(I156="Nandotsava",IF(ISBLANK(INDEX(GCalXMLT[dclass3],$D156)),"",INDEX(GCalXMLT[dclass3],$D156)),IF(ISBLANK(INDEX(GCalXMLT[dclass4],$D156)),"",INDEX(GCalXMLT[dclass4],$D156)))</f>
        <v/>
      </c>
      <c r="AE156" t="str">
        <f>IFERROR(INDEX(Festivals!$V$2:$V$160,AP156),"")</f>
        <v/>
      </c>
      <c r="AF156" t="str">
        <f>IFERROR(IF($AQ156&gt;1,INDEX(Festivals!$V$2:$V$160,$AP156+1),""),"")</f>
        <v/>
      </c>
      <c r="AG156" t="str">
        <f>IFERROR(IF($AQ156&gt;2,INDEX(Festivals!$V$2:$V$160,$AP156+2),""),"")</f>
        <v/>
      </c>
      <c r="AH156" t="str">
        <f>IFERROR(IF($AQ156&gt;3,INDEX(Festivals!$V$2:$V$160,$AP156+3),""),"")</f>
        <v/>
      </c>
      <c r="AI156" t="str">
        <f>IFERROR(IF($AQ156&gt;4,INDEX(Festivals!$V$2:$V$160,$AP156+4),""),"")</f>
        <v/>
      </c>
      <c r="AJ156" t="str">
        <f>IFERROR(IF($AQ156&gt;5,INDEX(Festivals!$V$2:$V$160,$AP156+5),""),"")</f>
        <v/>
      </c>
      <c r="AK156" t="str">
        <f>IFERROR(IF($AQ156&gt;6,INDEX(Festivals!$V$2:$V$160,$AP156+6),""),"")</f>
        <v/>
      </c>
      <c r="AL156" t="str">
        <f ca="1">IFERROR(INDEX('Holidays Calc'!$J$2:$J$233,MATCH(A156,'Holidays Calc'!$I$2:$I$233,0)),"")</f>
        <v/>
      </c>
      <c r="AM156" t="str">
        <f ca="1">IF(AR156="","",IF(INDEX('Holidays Calc'!$I$2:$I$233,AR156+1)=A156,INDEX('Holidays Calc'!$J$2:$J$233,AR156+1),""))</f>
        <v/>
      </c>
      <c r="AN156" t="str">
        <f ca="1">IF(AR156="","",IF(INDEX('Holidays Calc'!$I$2:$I$233,AR156+2)=A156,INDEX('Holidays Calc'!$J$2:$J$233,AR156+2),""))</f>
        <v/>
      </c>
      <c r="AO156" t="str">
        <f ca="1">IF(AR156="","",IF(INDEX('Holidays Calc'!$I$2:$I$233,AR156+3)=A156,INDEX('Holidays Calc'!$J$2:$J$233,AR156+3),""))</f>
        <v/>
      </c>
      <c r="AP156" t="str">
        <f>IFERROR(IF($E156=E155,"",MATCH($E156,Festivals!$H$2:$H$160,0)),"")</f>
        <v/>
      </c>
      <c r="AQ156" t="str">
        <f>IF(AP156="","",COUNTIF(Festivals!$H$2:$H$160,$E156))</f>
        <v/>
      </c>
      <c r="AR156" t="str">
        <f ca="1">IFERROR(MATCH(A156,'Holidays Calc'!$I$2:$I$233,0),"")</f>
        <v/>
      </c>
      <c r="AS156" t="str">
        <f t="shared" si="18"/>
        <v/>
      </c>
      <c r="AT156" t="str">
        <f t="shared" si="17"/>
        <v/>
      </c>
      <c r="AU156" t="str">
        <f t="shared" ca="1" si="19"/>
        <v/>
      </c>
      <c r="AV156" t="str">
        <f t="shared" ca="1" si="20"/>
        <v/>
      </c>
    </row>
    <row r="157" spans="1:48" x14ac:dyDescent="0.25">
      <c r="A157" s="265">
        <f t="shared" si="16"/>
        <v>43583</v>
      </c>
      <c r="B157" s="265" t="str">
        <f t="shared" si="21"/>
        <v>28 Apr 2019</v>
      </c>
      <c r="C157" s="267">
        <f t="shared" si="22"/>
        <v>17</v>
      </c>
      <c r="D157">
        <f>MATCH(A157,GCalXMLT[daydate],0)</f>
        <v>156</v>
      </c>
      <c r="E157">
        <f>VALUE("1" &amp; Masacod(INDEX(GCalXMLT[gymasa],D157)) &amp; PaksaCod(INDEX(GCalXMLT[mpaksaid],D157)) &amp; TithiCod(INDEX(GCalXMLT[stithiname],D157)))</f>
        <v>102009</v>
      </c>
      <c r="F157" t="str">
        <f ca="1">INDEX(Parameters!$K$2:$K$16,MATCH(AV157,Parameters!$L$2:$L$16,0))</f>
        <v/>
      </c>
      <c r="G157">
        <f>INDEX(GCalXMLT[fastmark],$D157)</f>
        <v>0</v>
      </c>
      <c r="H157" t="str">
        <f ca="1">INDEX(Parameters!$J$2:$J$16,MATCH(AV157,Parameters!$L$2:$L$16,0))</f>
        <v/>
      </c>
      <c r="I157">
        <f>INDEX(GCalXMLT[dfestival1],$D157)</f>
        <v>0</v>
      </c>
      <c r="J157">
        <f>IF(INDEX(GCalXMLT[dfestival2],$D157)="(Fast today)",INDEX(Festivals!$R$2:$R$180,MATCH($I157,Festivals!$R$2:$R$180,0)+1),INDEX(GCalXMLT[dfestival2],$D157))</f>
        <v>0</v>
      </c>
      <c r="K157">
        <f>IF(I157="Nandotsava","(Fast till noon)",INDEX(GCalXMLT[dfestival3],$D157))</f>
        <v>0</v>
      </c>
      <c r="L157">
        <f>IF(I157="Nandotsava", INDEX(GCalXMLT[dfestival3],$D157),INDEX(GCalXMLT[dfestival4],$D157))</f>
        <v>0</v>
      </c>
      <c r="M157" t="str">
        <f>IFERROR(INDEX(Festivals!$S$2:$S$160,AP157),"")</f>
        <v/>
      </c>
      <c r="N157" t="str">
        <f>IFERROR(IF($AQ157&gt;1,INDEX(Festivals!$S$2:$S$160,$AP157+1),""),"")</f>
        <v/>
      </c>
      <c r="O157" t="str">
        <f>IFERROR(IF($AQ157&gt;2,INDEX(Festivals!$S$2:$S$160,$AP157+2),""),"")</f>
        <v/>
      </c>
      <c r="P157" t="str">
        <f>IFERROR(IF($AQ157&gt;3,INDEX(Festivals!$S$2:$S$160,$AP157+3),""),"")</f>
        <v/>
      </c>
      <c r="Q157" t="str">
        <f>IFERROR(IF($AQ157&gt;4,INDEX(Festivals!$S$2:$S$160,$AP157+4),""),"")</f>
        <v/>
      </c>
      <c r="R157" t="str">
        <f>IFERROR(IF($AQ157&gt;5,INDEX(Festivals!$S$2:$S$160,$AP157+5),""),"")</f>
        <v/>
      </c>
      <c r="S157" t="str">
        <f>IFERROR(IF($AQ157&gt;6,INDEX(Festivals!$S$2:$S$160,$AP157+6),""),"")</f>
        <v/>
      </c>
      <c r="T157">
        <f>INDEX(GCalXMLT[dcaturmasya1],$D157)</f>
        <v>0</v>
      </c>
      <c r="U157">
        <f>INDEX(GCalXMLT[dcaturmasya2],$D157)</f>
        <v>0</v>
      </c>
      <c r="V157" t="str">
        <f>INDEX(GCalXMLT[sankrantirasi],$D157) &amp; " " &amp; INDEX(GCalXMLT[sankrantitime],$D157)</f>
        <v xml:space="preserve"> </v>
      </c>
      <c r="W157" t="str">
        <f ca="1">IFERROR(INDEX('Holidays Calc'!$K$2:$K$233,AR157),"")</f>
        <v/>
      </c>
      <c r="X157" t="str">
        <f ca="1">IF(AR157="","",IF(INDEX('Holidays Calc'!$I$2:$I$233,AR157+1)=A157,INDEX('Holidays Calc'!$K$2:$K$233,AR157+1),""))</f>
        <v/>
      </c>
      <c r="Y157" t="str">
        <f ca="1">IF(AR157="","",IF(INDEX('Holidays Calc'!$I$2:$I$233,AR157+2)=A157,INDEX('Holidays Calc'!$K$2:$K$233,AR157+2),""))</f>
        <v/>
      </c>
      <c r="Z157" t="str">
        <f ca="1">IF(AR157="","",IF(INDEX('Holidays Calc'!$I$2:$I$233,AR157+3)=A157,INDEX('Holidays Calc'!$K$2:$K$2333,AR157+3),""))</f>
        <v/>
      </c>
      <c r="AA157" t="str">
        <f>IF(I157="Last day of Bhisma Pancaka","",IF(G157="*",-0.7,IF(ISBLANK(INDEX(GCalXMLT[dclass1],$D157)),"",INDEX(GCalXMLT[dclass1],$D157))))</f>
        <v/>
      </c>
      <c r="AB157" t="str">
        <f>IF(J157="First day of Bhisma Pancaka","",IF(AND(G157="*",NOT(ISERROR(SEARCH("ekadasi",J157)))),-0.7,IF(ISBLANK(INDEX(GCalXMLT[dclass2],$D157)),"",INDEX(GCalXMLT[dclass2],$D157))))</f>
        <v/>
      </c>
      <c r="AC157" t="str">
        <f>IF(I157="Nandotsava",-1,IF(ISBLANK(INDEX(GCalXMLT[dclass3],$D157)),"",INDEX(GCalXMLT[dclass3],$D157)))</f>
        <v/>
      </c>
      <c r="AD157" t="str">
        <f>IF(I157="Nandotsava",IF(ISBLANK(INDEX(GCalXMLT[dclass3],$D157)),"",INDEX(GCalXMLT[dclass3],$D157)),IF(ISBLANK(INDEX(GCalXMLT[dclass4],$D157)),"",INDEX(GCalXMLT[dclass4],$D157)))</f>
        <v/>
      </c>
      <c r="AE157" t="str">
        <f>IFERROR(INDEX(Festivals!$V$2:$V$160,AP157),"")</f>
        <v/>
      </c>
      <c r="AF157" t="str">
        <f>IFERROR(IF($AQ157&gt;1,INDEX(Festivals!$V$2:$V$160,$AP157+1),""),"")</f>
        <v/>
      </c>
      <c r="AG157" t="str">
        <f>IFERROR(IF($AQ157&gt;2,INDEX(Festivals!$V$2:$V$160,$AP157+2),""),"")</f>
        <v/>
      </c>
      <c r="AH157" t="str">
        <f>IFERROR(IF($AQ157&gt;3,INDEX(Festivals!$V$2:$V$160,$AP157+3),""),"")</f>
        <v/>
      </c>
      <c r="AI157" t="str">
        <f>IFERROR(IF($AQ157&gt;4,INDEX(Festivals!$V$2:$V$160,$AP157+4),""),"")</f>
        <v/>
      </c>
      <c r="AJ157" t="str">
        <f>IFERROR(IF($AQ157&gt;5,INDEX(Festivals!$V$2:$V$160,$AP157+5),""),"")</f>
        <v/>
      </c>
      <c r="AK157" t="str">
        <f>IFERROR(IF($AQ157&gt;6,INDEX(Festivals!$V$2:$V$160,$AP157+6),""),"")</f>
        <v/>
      </c>
      <c r="AL157" t="str">
        <f ca="1">IFERROR(INDEX('Holidays Calc'!$J$2:$J$233,MATCH(A157,'Holidays Calc'!$I$2:$I$233,0)),"")</f>
        <v/>
      </c>
      <c r="AM157" t="str">
        <f ca="1">IF(AR157="","",IF(INDEX('Holidays Calc'!$I$2:$I$233,AR157+1)=A157,INDEX('Holidays Calc'!$J$2:$J$233,AR157+1),""))</f>
        <v/>
      </c>
      <c r="AN157" t="str">
        <f ca="1">IF(AR157="","",IF(INDEX('Holidays Calc'!$I$2:$I$233,AR157+2)=A157,INDEX('Holidays Calc'!$J$2:$J$233,AR157+2),""))</f>
        <v/>
      </c>
      <c r="AO157" t="str">
        <f ca="1">IF(AR157="","",IF(INDEX('Holidays Calc'!$I$2:$I$233,AR157+3)=A157,INDEX('Holidays Calc'!$J$2:$J$233,AR157+3),""))</f>
        <v/>
      </c>
      <c r="AP157" t="str">
        <f>IFERROR(IF($E157=E156,"",MATCH($E157,Festivals!$H$2:$H$160,0)),"")</f>
        <v/>
      </c>
      <c r="AQ157" t="str">
        <f>IF(AP157="","",COUNTIF(Festivals!$H$2:$H$160,$E157))</f>
        <v/>
      </c>
      <c r="AR157" t="str">
        <f ca="1">IFERROR(MATCH(A157,'Holidays Calc'!$I$2:$I$233,0),"")</f>
        <v/>
      </c>
      <c r="AS157" t="str">
        <f t="shared" si="18"/>
        <v/>
      </c>
      <c r="AT157" t="str">
        <f t="shared" si="17"/>
        <v/>
      </c>
      <c r="AU157" t="str">
        <f t="shared" ca="1" si="19"/>
        <v/>
      </c>
      <c r="AV157" t="str">
        <f t="shared" ca="1" si="20"/>
        <v/>
      </c>
    </row>
    <row r="158" spans="1:48" x14ac:dyDescent="0.25">
      <c r="A158" s="265">
        <f t="shared" si="16"/>
        <v>43584</v>
      </c>
      <c r="B158" s="265" t="str">
        <f t="shared" si="21"/>
        <v>29 Apr 2019</v>
      </c>
      <c r="C158" s="267">
        <f t="shared" si="22"/>
        <v>18</v>
      </c>
      <c r="D158">
        <f>MATCH(A158,GCalXMLT[daydate],0)</f>
        <v>157</v>
      </c>
      <c r="E158">
        <f>VALUE("1" &amp; Masacod(INDEX(GCalXMLT[gymasa],D158)) &amp; PaksaCod(INDEX(GCalXMLT[mpaksaid],D158)) &amp; TithiCod(INDEX(GCalXMLT[stithiname],D158)))</f>
        <v>102010</v>
      </c>
      <c r="F158" t="str">
        <f ca="1">INDEX(Parameters!$K$2:$K$16,MATCH(AV158,Parameters!$L$2:$L$16,0))</f>
        <v>C</v>
      </c>
      <c r="G158">
        <f>INDEX(GCalXMLT[fastmark],$D158)</f>
        <v>0</v>
      </c>
      <c r="H158" t="str">
        <f ca="1">INDEX(Parameters!$J$2:$J$16,MATCH(AV158,Parameters!$L$2:$L$16,0))</f>
        <v/>
      </c>
      <c r="I158">
        <f>INDEX(GCalXMLT[dfestival1],$D158)</f>
        <v>0</v>
      </c>
      <c r="J158">
        <f>IF(INDEX(GCalXMLT[dfestival2],$D158)="(Fast today)",INDEX(Festivals!$R$2:$R$180,MATCH($I158,Festivals!$R$2:$R$180,0)+1),INDEX(GCalXMLT[dfestival2],$D158))</f>
        <v>0</v>
      </c>
      <c r="K158">
        <f>IF(I158="Nandotsava","(Fast till noon)",INDEX(GCalXMLT[dfestival3],$D158))</f>
        <v>0</v>
      </c>
      <c r="L158">
        <f>IF(I158="Nandotsava", INDEX(GCalXMLT[dfestival3],$D158),INDEX(GCalXMLT[dfestival4],$D158))</f>
        <v>0</v>
      </c>
      <c r="M158" t="str">
        <f>IFERROR(INDEX(Festivals!$S$2:$S$160,AP158),"")</f>
        <v>Srila Vrndavana Dasa Thakura - Disappearance</v>
      </c>
      <c r="N158" t="str">
        <f>IFERROR(IF($AQ158&gt;1,INDEX(Festivals!$S$2:$S$160,$AP158+1),""),"")</f>
        <v/>
      </c>
      <c r="O158" t="str">
        <f>IFERROR(IF($AQ158&gt;2,INDEX(Festivals!$S$2:$S$160,$AP158+2),""),"")</f>
        <v/>
      </c>
      <c r="P158" t="str">
        <f>IFERROR(IF($AQ158&gt;3,INDEX(Festivals!$S$2:$S$160,$AP158+3),""),"")</f>
        <v/>
      </c>
      <c r="Q158" t="str">
        <f>IFERROR(IF($AQ158&gt;4,INDEX(Festivals!$S$2:$S$160,$AP158+4),""),"")</f>
        <v/>
      </c>
      <c r="R158" t="str">
        <f>IFERROR(IF($AQ158&gt;5,INDEX(Festivals!$S$2:$S$160,$AP158+5),""),"")</f>
        <v/>
      </c>
      <c r="S158" t="str">
        <f>IFERROR(IF($AQ158&gt;6,INDEX(Festivals!$S$2:$S$160,$AP158+6),""),"")</f>
        <v/>
      </c>
      <c r="T158">
        <f>INDEX(GCalXMLT[dcaturmasya1],$D158)</f>
        <v>0</v>
      </c>
      <c r="U158">
        <f>INDEX(GCalXMLT[dcaturmasya2],$D158)</f>
        <v>0</v>
      </c>
      <c r="V158" t="str">
        <f>INDEX(GCalXMLT[sankrantirasi],$D158) &amp; " " &amp; INDEX(GCalXMLT[sankrantitime],$D158)</f>
        <v xml:space="preserve"> </v>
      </c>
      <c r="W158" t="str">
        <f ca="1">IFERROR(INDEX('Holidays Calc'!$K$2:$K$233,AR158),"")</f>
        <v/>
      </c>
      <c r="X158" t="str">
        <f ca="1">IF(AR158="","",IF(INDEX('Holidays Calc'!$I$2:$I$233,AR158+1)=A158,INDEX('Holidays Calc'!$K$2:$K$233,AR158+1),""))</f>
        <v/>
      </c>
      <c r="Y158" t="str">
        <f ca="1">IF(AR158="","",IF(INDEX('Holidays Calc'!$I$2:$I$233,AR158+2)=A158,INDEX('Holidays Calc'!$K$2:$K$233,AR158+2),""))</f>
        <v/>
      </c>
      <c r="Z158" t="str">
        <f ca="1">IF(AR158="","",IF(INDEX('Holidays Calc'!$I$2:$I$233,AR158+3)=A158,INDEX('Holidays Calc'!$K$2:$K$2333,AR158+3),""))</f>
        <v/>
      </c>
      <c r="AA158" t="str">
        <f>IF(I158="Last day of Bhisma Pancaka","",IF(G158="*",-0.7,IF(ISBLANK(INDEX(GCalXMLT[dclass1],$D158)),"",INDEX(GCalXMLT[dclass1],$D158))))</f>
        <v/>
      </c>
      <c r="AB158" t="str">
        <f>IF(J158="First day of Bhisma Pancaka","",IF(AND(G158="*",NOT(ISERROR(SEARCH("ekadasi",J158)))),-0.7,IF(ISBLANK(INDEX(GCalXMLT[dclass2],$D158)),"",INDEX(GCalXMLT[dclass2],$D158))))</f>
        <v/>
      </c>
      <c r="AC158" t="str">
        <f>IF(I158="Nandotsava",-1,IF(ISBLANK(INDEX(GCalXMLT[dclass3],$D158)),"",INDEX(GCalXMLT[dclass3],$D158)))</f>
        <v/>
      </c>
      <c r="AD158" t="str">
        <f>IF(I158="Nandotsava",IF(ISBLANK(INDEX(GCalXMLT[dclass3],$D158)),"",INDEX(GCalXMLT[dclass3],$D158)),IF(ISBLANK(INDEX(GCalXMLT[dclass4],$D158)),"",INDEX(GCalXMLT[dclass4],$D158)))</f>
        <v/>
      </c>
      <c r="AE158">
        <f>IFERROR(INDEX(Festivals!$V$2:$V$160,AP158),"")</f>
        <v>3</v>
      </c>
      <c r="AF158" t="str">
        <f>IFERROR(IF($AQ158&gt;1,INDEX(Festivals!$V$2:$V$160,$AP158+1),""),"")</f>
        <v/>
      </c>
      <c r="AG158" t="str">
        <f>IFERROR(IF($AQ158&gt;2,INDEX(Festivals!$V$2:$V$160,$AP158+2),""),"")</f>
        <v/>
      </c>
      <c r="AH158" t="str">
        <f>IFERROR(IF($AQ158&gt;3,INDEX(Festivals!$V$2:$V$160,$AP158+3),""),"")</f>
        <v/>
      </c>
      <c r="AI158" t="str">
        <f>IFERROR(IF($AQ158&gt;4,INDEX(Festivals!$V$2:$V$160,$AP158+4),""),"")</f>
        <v/>
      </c>
      <c r="AJ158" t="str">
        <f>IFERROR(IF($AQ158&gt;5,INDEX(Festivals!$V$2:$V$160,$AP158+5),""),"")</f>
        <v/>
      </c>
      <c r="AK158" t="str">
        <f>IFERROR(IF($AQ158&gt;6,INDEX(Festivals!$V$2:$V$160,$AP158+6),""),"")</f>
        <v/>
      </c>
      <c r="AL158" t="str">
        <f ca="1">IFERROR(INDEX('Holidays Calc'!$J$2:$J$233,MATCH(A158,'Holidays Calc'!$I$2:$I$233,0)),"")</f>
        <v/>
      </c>
      <c r="AM158" t="str">
        <f ca="1">IF(AR158="","",IF(INDEX('Holidays Calc'!$I$2:$I$233,AR158+1)=A158,INDEX('Holidays Calc'!$J$2:$J$233,AR158+1),""))</f>
        <v/>
      </c>
      <c r="AN158" t="str">
        <f ca="1">IF(AR158="","",IF(INDEX('Holidays Calc'!$I$2:$I$233,AR158+2)=A158,INDEX('Holidays Calc'!$J$2:$J$233,AR158+2),""))</f>
        <v/>
      </c>
      <c r="AO158" t="str">
        <f ca="1">IF(AR158="","",IF(INDEX('Holidays Calc'!$I$2:$I$233,AR158+3)=A158,INDEX('Holidays Calc'!$J$2:$J$233,AR158+3),""))</f>
        <v/>
      </c>
      <c r="AP158">
        <f>IFERROR(IF($E158=E157,"",MATCH($E158,Festivals!$H$2:$H$160,0)),"")</f>
        <v>10</v>
      </c>
      <c r="AQ158">
        <f>IF(AP158="","",COUNTIF(Festivals!$H$2:$H$160,$E158))</f>
        <v>1</v>
      </c>
      <c r="AR158" t="str">
        <f ca="1">IFERROR(MATCH(A158,'Holidays Calc'!$I$2:$I$233,0),"")</f>
        <v/>
      </c>
      <c r="AS158">
        <f t="shared" si="18"/>
        <v>3</v>
      </c>
      <c r="AT158">
        <f t="shared" si="17"/>
        <v>3</v>
      </c>
      <c r="AU158" t="str">
        <f t="shared" ca="1" si="19"/>
        <v/>
      </c>
      <c r="AV158">
        <f t="shared" ca="1" si="20"/>
        <v>3</v>
      </c>
    </row>
    <row r="159" spans="1:48" x14ac:dyDescent="0.25">
      <c r="A159" s="265">
        <f t="shared" si="16"/>
        <v>43585</v>
      </c>
      <c r="B159" s="265" t="str">
        <f t="shared" si="21"/>
        <v>30 Apr 2019</v>
      </c>
      <c r="C159" s="267">
        <f t="shared" si="22"/>
        <v>18</v>
      </c>
      <c r="D159">
        <f>MATCH(A159,GCalXMLT[daydate],0)</f>
        <v>158</v>
      </c>
      <c r="E159">
        <f>VALUE("1" &amp; Masacod(INDEX(GCalXMLT[gymasa],D159)) &amp; PaksaCod(INDEX(GCalXMLT[mpaksaid],D159)) &amp; TithiCod(INDEX(GCalXMLT[stithiname],D159)))</f>
        <v>102011</v>
      </c>
      <c r="F159" t="str">
        <f ca="1">INDEX(Parameters!$K$2:$K$16,MATCH(AV159,Parameters!$L$2:$L$16,0))</f>
        <v>E</v>
      </c>
      <c r="G159" t="str">
        <f>INDEX(GCalXMLT[fastmark],$D159)</f>
        <v>*</v>
      </c>
      <c r="H159" t="str">
        <f ca="1">INDEX(Parameters!$J$2:$J$16,MATCH(AV159,Parameters!$L$2:$L$16,0))</f>
        <v>*</v>
      </c>
      <c r="I159" t="str">
        <f>INDEX(GCalXMLT[dfestival1],$D159)</f>
        <v>Fasting for Varuthini Ekadasi</v>
      </c>
      <c r="J159">
        <f>IF(INDEX(GCalXMLT[dfestival2],$D159)="(Fast today)",INDEX(Festivals!$R$2:$R$180,MATCH($I159,Festivals!$R$2:$R$180,0)+1),INDEX(GCalXMLT[dfestival2],$D159))</f>
        <v>0</v>
      </c>
      <c r="K159">
        <f>IF(I159="Nandotsava","(Fast till noon)",INDEX(GCalXMLT[dfestival3],$D159))</f>
        <v>0</v>
      </c>
      <c r="L159">
        <f>IF(I159="Nandotsava", INDEX(GCalXMLT[dfestival3],$D159),INDEX(GCalXMLT[dfestival4],$D159))</f>
        <v>0</v>
      </c>
      <c r="M159" t="str">
        <f>IFERROR(INDEX(Festivals!$S$2:$S$160,AP159),"")</f>
        <v/>
      </c>
      <c r="N159" t="str">
        <f>IFERROR(IF($AQ159&gt;1,INDEX(Festivals!$S$2:$S$160,$AP159+1),""),"")</f>
        <v/>
      </c>
      <c r="O159" t="str">
        <f>IFERROR(IF($AQ159&gt;2,INDEX(Festivals!$S$2:$S$160,$AP159+2),""),"")</f>
        <v/>
      </c>
      <c r="P159" t="str">
        <f>IFERROR(IF($AQ159&gt;3,INDEX(Festivals!$S$2:$S$160,$AP159+3),""),"")</f>
        <v/>
      </c>
      <c r="Q159" t="str">
        <f>IFERROR(IF($AQ159&gt;4,INDEX(Festivals!$S$2:$S$160,$AP159+4),""),"")</f>
        <v/>
      </c>
      <c r="R159" t="str">
        <f>IFERROR(IF($AQ159&gt;5,INDEX(Festivals!$S$2:$S$160,$AP159+5),""),"")</f>
        <v/>
      </c>
      <c r="S159" t="str">
        <f>IFERROR(IF($AQ159&gt;6,INDEX(Festivals!$S$2:$S$160,$AP159+6),""),"")</f>
        <v/>
      </c>
      <c r="T159">
        <f>INDEX(GCalXMLT[dcaturmasya1],$D159)</f>
        <v>0</v>
      </c>
      <c r="U159">
        <f>INDEX(GCalXMLT[dcaturmasya2],$D159)</f>
        <v>0</v>
      </c>
      <c r="V159" t="str">
        <f>INDEX(GCalXMLT[sankrantirasi],$D159) &amp; " " &amp; INDEX(GCalXMLT[sankrantitime],$D159)</f>
        <v xml:space="preserve"> </v>
      </c>
      <c r="W159" t="str">
        <f ca="1">IFERROR(INDEX('Holidays Calc'!$K$2:$K$233,AR159),"")</f>
        <v/>
      </c>
      <c r="X159" t="str">
        <f ca="1">IF(AR159="","",IF(INDEX('Holidays Calc'!$I$2:$I$233,AR159+1)=A159,INDEX('Holidays Calc'!$K$2:$K$233,AR159+1),""))</f>
        <v/>
      </c>
      <c r="Y159" t="str">
        <f ca="1">IF(AR159="","",IF(INDEX('Holidays Calc'!$I$2:$I$233,AR159+2)=A159,INDEX('Holidays Calc'!$K$2:$K$233,AR159+2),""))</f>
        <v/>
      </c>
      <c r="Z159" t="str">
        <f ca="1">IF(AR159="","",IF(INDEX('Holidays Calc'!$I$2:$I$233,AR159+3)=A159,INDEX('Holidays Calc'!$K$2:$K$2333,AR159+3),""))</f>
        <v/>
      </c>
      <c r="AA159">
        <f>IF(I159="Last day of Bhisma Pancaka","",IF(G159="*",-0.7,IF(ISBLANK(INDEX(GCalXMLT[dclass1],$D159)),"",INDEX(GCalXMLT[dclass1],$D159))))</f>
        <v>-0.7</v>
      </c>
      <c r="AB159" t="str">
        <f>IF(J159="First day of Bhisma Pancaka","",IF(AND(G159="*",NOT(ISERROR(SEARCH("ekadasi",J159)))),-0.7,IF(ISBLANK(INDEX(GCalXMLT[dclass2],$D159)),"",INDEX(GCalXMLT[dclass2],$D159))))</f>
        <v/>
      </c>
      <c r="AC159" t="str">
        <f>IF(I159="Nandotsava",-1,IF(ISBLANK(INDEX(GCalXMLT[dclass3],$D159)),"",INDEX(GCalXMLT[dclass3],$D159)))</f>
        <v/>
      </c>
      <c r="AD159" t="str">
        <f>IF(I159="Nandotsava",IF(ISBLANK(INDEX(GCalXMLT[dclass3],$D159)),"",INDEX(GCalXMLT[dclass3],$D159)),IF(ISBLANK(INDEX(GCalXMLT[dclass4],$D159)),"",INDEX(GCalXMLT[dclass4],$D159)))</f>
        <v/>
      </c>
      <c r="AE159" t="str">
        <f>IFERROR(INDEX(Festivals!$V$2:$V$160,AP159),"")</f>
        <v/>
      </c>
      <c r="AF159" t="str">
        <f>IFERROR(IF($AQ159&gt;1,INDEX(Festivals!$V$2:$V$160,$AP159+1),""),"")</f>
        <v/>
      </c>
      <c r="AG159" t="str">
        <f>IFERROR(IF($AQ159&gt;2,INDEX(Festivals!$V$2:$V$160,$AP159+2),""),"")</f>
        <v/>
      </c>
      <c r="AH159" t="str">
        <f>IFERROR(IF($AQ159&gt;3,INDEX(Festivals!$V$2:$V$160,$AP159+3),""),"")</f>
        <v/>
      </c>
      <c r="AI159" t="str">
        <f>IFERROR(IF($AQ159&gt;4,INDEX(Festivals!$V$2:$V$160,$AP159+4),""),"")</f>
        <v/>
      </c>
      <c r="AJ159" t="str">
        <f>IFERROR(IF($AQ159&gt;5,INDEX(Festivals!$V$2:$V$160,$AP159+5),""),"")</f>
        <v/>
      </c>
      <c r="AK159" t="str">
        <f>IFERROR(IF($AQ159&gt;6,INDEX(Festivals!$V$2:$V$160,$AP159+6),""),"")</f>
        <v/>
      </c>
      <c r="AL159" t="str">
        <f ca="1">IFERROR(INDEX('Holidays Calc'!$J$2:$J$233,MATCH(A159,'Holidays Calc'!$I$2:$I$233,0)),"")</f>
        <v/>
      </c>
      <c r="AM159" t="str">
        <f ca="1">IF(AR159="","",IF(INDEX('Holidays Calc'!$I$2:$I$233,AR159+1)=A159,INDEX('Holidays Calc'!$J$2:$J$233,AR159+1),""))</f>
        <v/>
      </c>
      <c r="AN159" t="str">
        <f ca="1">IF(AR159="","",IF(INDEX('Holidays Calc'!$I$2:$I$233,AR159+2)=A159,INDEX('Holidays Calc'!$J$2:$J$233,AR159+2),""))</f>
        <v/>
      </c>
      <c r="AO159" t="str">
        <f ca="1">IF(AR159="","",IF(INDEX('Holidays Calc'!$I$2:$I$233,AR159+3)=A159,INDEX('Holidays Calc'!$J$2:$J$233,AR159+3),""))</f>
        <v/>
      </c>
      <c r="AP159" t="str">
        <f>IFERROR(IF($E159=E158,"",MATCH($E159,Festivals!$H$2:$H$160,0)),"")</f>
        <v/>
      </c>
      <c r="AQ159" t="str">
        <f>IF(AP159="","",COUNTIF(Festivals!$H$2:$H$160,$E159))</f>
        <v/>
      </c>
      <c r="AR159" t="str">
        <f ca="1">IFERROR(MATCH(A159,'Holidays Calc'!$I$2:$I$233,0),"")</f>
        <v/>
      </c>
      <c r="AS159">
        <f t="shared" si="18"/>
        <v>-0.7</v>
      </c>
      <c r="AT159">
        <f t="shared" si="17"/>
        <v>-0.7</v>
      </c>
      <c r="AU159" t="str">
        <f t="shared" ca="1" si="19"/>
        <v/>
      </c>
      <c r="AV159">
        <f t="shared" ca="1" si="20"/>
        <v>-0.7</v>
      </c>
    </row>
    <row r="160" spans="1:48" x14ac:dyDescent="0.25">
      <c r="A160" s="265">
        <f t="shared" si="16"/>
        <v>43586</v>
      </c>
      <c r="B160" s="265" t="str">
        <f t="shared" si="21"/>
        <v>1 May 2019</v>
      </c>
      <c r="C160" s="267">
        <f t="shared" si="22"/>
        <v>18</v>
      </c>
      <c r="D160">
        <f>MATCH(A160,GCalXMLT[daydate],0)</f>
        <v>159</v>
      </c>
      <c r="E160">
        <f>VALUE("1" &amp; Masacod(INDEX(GCalXMLT[gymasa],D160)) &amp; PaksaCod(INDEX(GCalXMLT[mpaksaid],D160)) &amp; TithiCod(INDEX(GCalXMLT[stithiname],D160)))</f>
        <v>102012</v>
      </c>
      <c r="F160" t="str">
        <f ca="1">INDEX(Parameters!$K$2:$K$16,MATCH(AV160,Parameters!$L$2:$L$16,0))</f>
        <v>H</v>
      </c>
      <c r="G160">
        <f>INDEX(GCalXMLT[fastmark],$D160)</f>
        <v>0</v>
      </c>
      <c r="H160" t="str">
        <f ca="1">INDEX(Parameters!$J$2:$J$16,MATCH(AV160,Parameters!$L$2:$L$16,0))</f>
        <v/>
      </c>
      <c r="I160">
        <f>INDEX(GCalXMLT[dfestival1],$D160)</f>
        <v>0</v>
      </c>
      <c r="J160">
        <f>IF(INDEX(GCalXMLT[dfestival2],$D160)="(Fast today)",INDEX(Festivals!$R$2:$R$180,MATCH($I160,Festivals!$R$2:$R$180,0)+1),INDEX(GCalXMLT[dfestival2],$D160))</f>
        <v>0</v>
      </c>
      <c r="K160">
        <f>IF(I160="Nandotsava","(Fast till noon)",INDEX(GCalXMLT[dfestival3],$D160))</f>
        <v>0</v>
      </c>
      <c r="L160">
        <f>IF(I160="Nandotsava", INDEX(GCalXMLT[dfestival3],$D160),INDEX(GCalXMLT[dfestival4],$D160))</f>
        <v>0</v>
      </c>
      <c r="M160" t="str">
        <f>IFERROR(INDEX(Festivals!$S$2:$S$160,AP160),"")</f>
        <v/>
      </c>
      <c r="N160" t="str">
        <f>IFERROR(IF($AQ160&gt;1,INDEX(Festivals!$S$2:$S$160,$AP160+1),""),"")</f>
        <v/>
      </c>
      <c r="O160" t="str">
        <f>IFERROR(IF($AQ160&gt;2,INDEX(Festivals!$S$2:$S$160,$AP160+2),""),"")</f>
        <v/>
      </c>
      <c r="P160" t="str">
        <f>IFERROR(IF($AQ160&gt;3,INDEX(Festivals!$S$2:$S$160,$AP160+3),""),"")</f>
        <v/>
      </c>
      <c r="Q160" t="str">
        <f>IFERROR(IF($AQ160&gt;4,INDEX(Festivals!$S$2:$S$160,$AP160+4),""),"")</f>
        <v/>
      </c>
      <c r="R160" t="str">
        <f>IFERROR(IF($AQ160&gt;5,INDEX(Festivals!$S$2:$S$160,$AP160+5),""),"")</f>
        <v/>
      </c>
      <c r="S160" t="str">
        <f>IFERROR(IF($AQ160&gt;6,INDEX(Festivals!$S$2:$S$160,$AP160+6),""),"")</f>
        <v/>
      </c>
      <c r="T160">
        <f>INDEX(GCalXMLT[dcaturmasya1],$D160)</f>
        <v>0</v>
      </c>
      <c r="U160">
        <f>INDEX(GCalXMLT[dcaturmasya2],$D160)</f>
        <v>0</v>
      </c>
      <c r="V160" t="str">
        <f>INDEX(GCalXMLT[sankrantirasi],$D160) &amp; " " &amp; INDEX(GCalXMLT[sankrantitime],$D160)</f>
        <v xml:space="preserve"> </v>
      </c>
      <c r="W160" t="str">
        <f ca="1">IFERROR(INDEX('Holidays Calc'!$K$2:$K$233,AR160),"")</f>
        <v>Dia do Trabalho</v>
      </c>
      <c r="X160" t="str">
        <f ca="1">IF(AR160="","",IF(INDEX('Holidays Calc'!$I$2:$I$233,AR160+1)=A160,INDEX('Holidays Calc'!$K$2:$K$233,AR160+1),""))</f>
        <v/>
      </c>
      <c r="Y160" t="str">
        <f ca="1">IF(AR160="","",IF(INDEX('Holidays Calc'!$I$2:$I$233,AR160+2)=A160,INDEX('Holidays Calc'!$K$2:$K$233,AR160+2),""))</f>
        <v/>
      </c>
      <c r="Z160" t="str">
        <f ca="1">IF(AR160="","",IF(INDEX('Holidays Calc'!$I$2:$I$233,AR160+3)=A160,INDEX('Holidays Calc'!$K$2:$K$2333,AR160+3),""))</f>
        <v/>
      </c>
      <c r="AA160" t="str">
        <f>IF(I160="Last day of Bhisma Pancaka","",IF(G160="*",-0.7,IF(ISBLANK(INDEX(GCalXMLT[dclass1],$D160)),"",INDEX(GCalXMLT[dclass1],$D160))))</f>
        <v/>
      </c>
      <c r="AB160" t="str">
        <f>IF(J160="First day of Bhisma Pancaka","",IF(AND(G160="*",NOT(ISERROR(SEARCH("ekadasi",J160)))),-0.7,IF(ISBLANK(INDEX(GCalXMLT[dclass2],$D160)),"",INDEX(GCalXMLT[dclass2],$D160))))</f>
        <v/>
      </c>
      <c r="AC160" t="str">
        <f>IF(I160="Nandotsava",-1,IF(ISBLANK(INDEX(GCalXMLT[dclass3],$D160)),"",INDEX(GCalXMLT[dclass3],$D160)))</f>
        <v/>
      </c>
      <c r="AD160" t="str">
        <f>IF(I160="Nandotsava",IF(ISBLANK(INDEX(GCalXMLT[dclass3],$D160)),"",INDEX(GCalXMLT[dclass3],$D160)),IF(ISBLANK(INDEX(GCalXMLT[dclass4],$D160)),"",INDEX(GCalXMLT[dclass4],$D160)))</f>
        <v/>
      </c>
      <c r="AE160" t="str">
        <f>IFERROR(INDEX(Festivals!$V$2:$V$160,AP160),"")</f>
        <v/>
      </c>
      <c r="AF160" t="str">
        <f>IFERROR(IF($AQ160&gt;1,INDEX(Festivals!$V$2:$V$160,$AP160+1),""),"")</f>
        <v/>
      </c>
      <c r="AG160" t="str">
        <f>IFERROR(IF($AQ160&gt;2,INDEX(Festivals!$V$2:$V$160,$AP160+2),""),"")</f>
        <v/>
      </c>
      <c r="AH160" t="str">
        <f>IFERROR(IF($AQ160&gt;3,INDEX(Festivals!$V$2:$V$160,$AP160+3),""),"")</f>
        <v/>
      </c>
      <c r="AI160" t="str">
        <f>IFERROR(IF($AQ160&gt;4,INDEX(Festivals!$V$2:$V$160,$AP160+4),""),"")</f>
        <v/>
      </c>
      <c r="AJ160" t="str">
        <f>IFERROR(IF($AQ160&gt;5,INDEX(Festivals!$V$2:$V$160,$AP160+5),""),"")</f>
        <v/>
      </c>
      <c r="AK160" t="str">
        <f>IFERROR(IF($AQ160&gt;6,INDEX(Festivals!$V$2:$V$160,$AP160+6),""),"")</f>
        <v/>
      </c>
      <c r="AL160">
        <f ca="1">IFERROR(INDEX('Holidays Calc'!$J$2:$J$233,MATCH(A160,'Holidays Calc'!$I$2:$I$233,0)),"")</f>
        <v>-11</v>
      </c>
      <c r="AM160" t="str">
        <f ca="1">IF(AR160="","",IF(INDEX('Holidays Calc'!$I$2:$I$233,AR160+1)=A160,INDEX('Holidays Calc'!$J$2:$J$233,AR160+1),""))</f>
        <v/>
      </c>
      <c r="AN160" t="str">
        <f ca="1">IF(AR160="","",IF(INDEX('Holidays Calc'!$I$2:$I$233,AR160+2)=A160,INDEX('Holidays Calc'!$J$2:$J$233,AR160+2),""))</f>
        <v/>
      </c>
      <c r="AO160" t="str">
        <f ca="1">IF(AR160="","",IF(INDEX('Holidays Calc'!$I$2:$I$233,AR160+3)=A160,INDEX('Holidays Calc'!$J$2:$J$233,AR160+3),""))</f>
        <v/>
      </c>
      <c r="AP160" t="str">
        <f>IFERROR(IF($E160=E159,"",MATCH($E160,Festivals!$H$2:$H$160,0)),"")</f>
        <v/>
      </c>
      <c r="AQ160" t="str">
        <f>IF(AP160="","",COUNTIF(Festivals!$H$2:$H$160,$E160))</f>
        <v/>
      </c>
      <c r="AR160">
        <f ca="1">IFERROR(MATCH(A160,'Holidays Calc'!$I$2:$I$233,0),"")</f>
        <v>50</v>
      </c>
      <c r="AS160" t="str">
        <f t="shared" si="18"/>
        <v/>
      </c>
      <c r="AT160" t="str">
        <f t="shared" si="17"/>
        <v/>
      </c>
      <c r="AU160">
        <f t="shared" ca="1" si="19"/>
        <v>-11</v>
      </c>
      <c r="AV160">
        <f t="shared" ca="1" si="20"/>
        <v>-11</v>
      </c>
    </row>
    <row r="161" spans="1:48" x14ac:dyDescent="0.25">
      <c r="A161" s="265">
        <f t="shared" si="16"/>
        <v>43587</v>
      </c>
      <c r="B161" s="265" t="str">
        <f t="shared" si="21"/>
        <v>2 May 2019</v>
      </c>
      <c r="C161" s="267">
        <f t="shared" si="22"/>
        <v>18</v>
      </c>
      <c r="D161">
        <f>MATCH(A161,GCalXMLT[daydate],0)</f>
        <v>160</v>
      </c>
      <c r="E161">
        <f>VALUE("1" &amp; Masacod(INDEX(GCalXMLT[gymasa],D161)) &amp; PaksaCod(INDEX(GCalXMLT[mpaksaid],D161)) &amp; TithiCod(INDEX(GCalXMLT[stithiname],D161)))</f>
        <v>102013</v>
      </c>
      <c r="F161" t="str">
        <f ca="1">INDEX(Parameters!$K$2:$K$16,MATCH(AV161,Parameters!$L$2:$L$16,0))</f>
        <v/>
      </c>
      <c r="G161">
        <f>INDEX(GCalXMLT[fastmark],$D161)</f>
        <v>0</v>
      </c>
      <c r="H161" t="str">
        <f ca="1">INDEX(Parameters!$J$2:$J$16,MATCH(AV161,Parameters!$L$2:$L$16,0))</f>
        <v/>
      </c>
      <c r="I161">
        <f>INDEX(GCalXMLT[dfestival1],$D161)</f>
        <v>0</v>
      </c>
      <c r="J161">
        <f>IF(INDEX(GCalXMLT[dfestival2],$D161)="(Fast today)",INDEX(Festivals!$R$2:$R$180,MATCH($I161,Festivals!$R$2:$R$180,0)+1),INDEX(GCalXMLT[dfestival2],$D161))</f>
        <v>0</v>
      </c>
      <c r="K161">
        <f>IF(I161="Nandotsava","(Fast till noon)",INDEX(GCalXMLT[dfestival3],$D161))</f>
        <v>0</v>
      </c>
      <c r="L161">
        <f>IF(I161="Nandotsava", INDEX(GCalXMLT[dfestival3],$D161),INDEX(GCalXMLT[dfestival4],$D161))</f>
        <v>0</v>
      </c>
      <c r="M161" t="str">
        <f>IFERROR(INDEX(Festivals!$S$2:$S$160,AP161),"")</f>
        <v/>
      </c>
      <c r="N161" t="str">
        <f>IFERROR(IF($AQ161&gt;1,INDEX(Festivals!$S$2:$S$160,$AP161+1),""),"")</f>
        <v/>
      </c>
      <c r="O161" t="str">
        <f>IFERROR(IF($AQ161&gt;2,INDEX(Festivals!$S$2:$S$160,$AP161+2),""),"")</f>
        <v/>
      </c>
      <c r="P161" t="str">
        <f>IFERROR(IF($AQ161&gt;3,INDEX(Festivals!$S$2:$S$160,$AP161+3),""),"")</f>
        <v/>
      </c>
      <c r="Q161" t="str">
        <f>IFERROR(IF($AQ161&gt;4,INDEX(Festivals!$S$2:$S$160,$AP161+4),""),"")</f>
        <v/>
      </c>
      <c r="R161" t="str">
        <f>IFERROR(IF($AQ161&gt;5,INDEX(Festivals!$S$2:$S$160,$AP161+5),""),"")</f>
        <v/>
      </c>
      <c r="S161" t="str">
        <f>IFERROR(IF($AQ161&gt;6,INDEX(Festivals!$S$2:$S$160,$AP161+6),""),"")</f>
        <v/>
      </c>
      <c r="T161">
        <f>INDEX(GCalXMLT[dcaturmasya1],$D161)</f>
        <v>0</v>
      </c>
      <c r="U161">
        <f>INDEX(GCalXMLT[dcaturmasya2],$D161)</f>
        <v>0</v>
      </c>
      <c r="V161" t="str">
        <f>INDEX(GCalXMLT[sankrantirasi],$D161) &amp; " " &amp; INDEX(GCalXMLT[sankrantitime],$D161)</f>
        <v xml:space="preserve"> </v>
      </c>
      <c r="W161" t="str">
        <f ca="1">IFERROR(INDEX('Holidays Calc'!$K$2:$K$233,AR161),"")</f>
        <v/>
      </c>
      <c r="X161" t="str">
        <f ca="1">IF(AR161="","",IF(INDEX('Holidays Calc'!$I$2:$I$233,AR161+1)=A161,INDEX('Holidays Calc'!$K$2:$K$233,AR161+1),""))</f>
        <v/>
      </c>
      <c r="Y161" t="str">
        <f ca="1">IF(AR161="","",IF(INDEX('Holidays Calc'!$I$2:$I$233,AR161+2)=A161,INDEX('Holidays Calc'!$K$2:$K$233,AR161+2),""))</f>
        <v/>
      </c>
      <c r="Z161" t="str">
        <f ca="1">IF(AR161="","",IF(INDEX('Holidays Calc'!$I$2:$I$233,AR161+3)=A161,INDEX('Holidays Calc'!$K$2:$K$2333,AR161+3),""))</f>
        <v/>
      </c>
      <c r="AA161" t="str">
        <f>IF(I161="Last day of Bhisma Pancaka","",IF(G161="*",-0.7,IF(ISBLANK(INDEX(GCalXMLT[dclass1],$D161)),"",INDEX(GCalXMLT[dclass1],$D161))))</f>
        <v/>
      </c>
      <c r="AB161" t="str">
        <f>IF(J161="First day of Bhisma Pancaka","",IF(AND(G161="*",NOT(ISERROR(SEARCH("ekadasi",J161)))),-0.7,IF(ISBLANK(INDEX(GCalXMLT[dclass2],$D161)),"",INDEX(GCalXMLT[dclass2],$D161))))</f>
        <v/>
      </c>
      <c r="AC161" t="str">
        <f>IF(I161="Nandotsava",-1,IF(ISBLANK(INDEX(GCalXMLT[dclass3],$D161)),"",INDEX(GCalXMLT[dclass3],$D161)))</f>
        <v/>
      </c>
      <c r="AD161" t="str">
        <f>IF(I161="Nandotsava",IF(ISBLANK(INDEX(GCalXMLT[dclass3],$D161)),"",INDEX(GCalXMLT[dclass3],$D161)),IF(ISBLANK(INDEX(GCalXMLT[dclass4],$D161)),"",INDEX(GCalXMLT[dclass4],$D161)))</f>
        <v/>
      </c>
      <c r="AE161" t="str">
        <f>IFERROR(INDEX(Festivals!$V$2:$V$160,AP161),"")</f>
        <v/>
      </c>
      <c r="AF161" t="str">
        <f>IFERROR(IF($AQ161&gt;1,INDEX(Festivals!$V$2:$V$160,$AP161+1),""),"")</f>
        <v/>
      </c>
      <c r="AG161" t="str">
        <f>IFERROR(IF($AQ161&gt;2,INDEX(Festivals!$V$2:$V$160,$AP161+2),""),"")</f>
        <v/>
      </c>
      <c r="AH161" t="str">
        <f>IFERROR(IF($AQ161&gt;3,INDEX(Festivals!$V$2:$V$160,$AP161+3),""),"")</f>
        <v/>
      </c>
      <c r="AI161" t="str">
        <f>IFERROR(IF($AQ161&gt;4,INDEX(Festivals!$V$2:$V$160,$AP161+4),""),"")</f>
        <v/>
      </c>
      <c r="AJ161" t="str">
        <f>IFERROR(IF($AQ161&gt;5,INDEX(Festivals!$V$2:$V$160,$AP161+5),""),"")</f>
        <v/>
      </c>
      <c r="AK161" t="str">
        <f>IFERROR(IF($AQ161&gt;6,INDEX(Festivals!$V$2:$V$160,$AP161+6),""),"")</f>
        <v/>
      </c>
      <c r="AL161" t="str">
        <f ca="1">IFERROR(INDEX('Holidays Calc'!$J$2:$J$233,MATCH(A161,'Holidays Calc'!$I$2:$I$233,0)),"")</f>
        <v/>
      </c>
      <c r="AM161" t="str">
        <f ca="1">IF(AR161="","",IF(INDEX('Holidays Calc'!$I$2:$I$233,AR161+1)=A161,INDEX('Holidays Calc'!$J$2:$J$233,AR161+1),""))</f>
        <v/>
      </c>
      <c r="AN161" t="str">
        <f ca="1">IF(AR161="","",IF(INDEX('Holidays Calc'!$I$2:$I$233,AR161+2)=A161,INDEX('Holidays Calc'!$J$2:$J$233,AR161+2),""))</f>
        <v/>
      </c>
      <c r="AO161" t="str">
        <f ca="1">IF(AR161="","",IF(INDEX('Holidays Calc'!$I$2:$I$233,AR161+3)=A161,INDEX('Holidays Calc'!$J$2:$J$233,AR161+3),""))</f>
        <v/>
      </c>
      <c r="AP161" t="str">
        <f>IFERROR(IF($E161=E160,"",MATCH($E161,Festivals!$H$2:$H$160,0)),"")</f>
        <v/>
      </c>
      <c r="AQ161" t="str">
        <f>IF(AP161="","",COUNTIF(Festivals!$H$2:$H$160,$E161))</f>
        <v/>
      </c>
      <c r="AR161" t="str">
        <f ca="1">IFERROR(MATCH(A161,'Holidays Calc'!$I$2:$I$233,0),"")</f>
        <v/>
      </c>
      <c r="AS161" t="str">
        <f t="shared" si="18"/>
        <v/>
      </c>
      <c r="AT161" t="str">
        <f t="shared" si="17"/>
        <v/>
      </c>
      <c r="AU161" t="str">
        <f t="shared" ca="1" si="19"/>
        <v/>
      </c>
      <c r="AV161" t="str">
        <f t="shared" ca="1" si="20"/>
        <v/>
      </c>
    </row>
    <row r="162" spans="1:48" x14ac:dyDescent="0.25">
      <c r="A162" s="265">
        <f t="shared" si="16"/>
        <v>43588</v>
      </c>
      <c r="B162" s="265" t="str">
        <f t="shared" si="21"/>
        <v>3 May 2019</v>
      </c>
      <c r="C162" s="267">
        <f t="shared" si="22"/>
        <v>18</v>
      </c>
      <c r="D162">
        <f>MATCH(A162,GCalXMLT[daydate],0)</f>
        <v>161</v>
      </c>
      <c r="E162">
        <f>VALUE("1" &amp; Masacod(INDEX(GCalXMLT[gymasa],D162)) &amp; PaksaCod(INDEX(GCalXMLT[mpaksaid],D162)) &amp; TithiCod(INDEX(GCalXMLT[stithiname],D162)))</f>
        <v>102014</v>
      </c>
      <c r="F162" t="str">
        <f ca="1">INDEX(Parameters!$K$2:$K$16,MATCH(AV162,Parameters!$L$2:$L$16,0))</f>
        <v/>
      </c>
      <c r="G162">
        <f>INDEX(GCalXMLT[fastmark],$D162)</f>
        <v>0</v>
      </c>
      <c r="H162" t="str">
        <f ca="1">INDEX(Parameters!$J$2:$J$16,MATCH(AV162,Parameters!$L$2:$L$16,0))</f>
        <v/>
      </c>
      <c r="I162">
        <f>INDEX(GCalXMLT[dfestival1],$D162)</f>
        <v>0</v>
      </c>
      <c r="J162">
        <f>IF(INDEX(GCalXMLT[dfestival2],$D162)="(Fast today)",INDEX(Festivals!$R$2:$R$180,MATCH($I162,Festivals!$R$2:$R$180,0)+1),INDEX(GCalXMLT[dfestival2],$D162))</f>
        <v>0</v>
      </c>
      <c r="K162">
        <f>IF(I162="Nandotsava","(Fast till noon)",INDEX(GCalXMLT[dfestival3],$D162))</f>
        <v>0</v>
      </c>
      <c r="L162">
        <f>IF(I162="Nandotsava", INDEX(GCalXMLT[dfestival3],$D162),INDEX(GCalXMLT[dfestival4],$D162))</f>
        <v>0</v>
      </c>
      <c r="M162" t="str">
        <f>IFERROR(INDEX(Festivals!$S$2:$S$160,AP162),"")</f>
        <v/>
      </c>
      <c r="N162" t="str">
        <f>IFERROR(IF($AQ162&gt;1,INDEX(Festivals!$S$2:$S$160,$AP162+1),""),"")</f>
        <v/>
      </c>
      <c r="O162" t="str">
        <f>IFERROR(IF($AQ162&gt;2,INDEX(Festivals!$S$2:$S$160,$AP162+2),""),"")</f>
        <v/>
      </c>
      <c r="P162" t="str">
        <f>IFERROR(IF($AQ162&gt;3,INDEX(Festivals!$S$2:$S$160,$AP162+3),""),"")</f>
        <v/>
      </c>
      <c r="Q162" t="str">
        <f>IFERROR(IF($AQ162&gt;4,INDEX(Festivals!$S$2:$S$160,$AP162+4),""),"")</f>
        <v/>
      </c>
      <c r="R162" t="str">
        <f>IFERROR(IF($AQ162&gt;5,INDEX(Festivals!$S$2:$S$160,$AP162+5),""),"")</f>
        <v/>
      </c>
      <c r="S162" t="str">
        <f>IFERROR(IF($AQ162&gt;6,INDEX(Festivals!$S$2:$S$160,$AP162+6),""),"")</f>
        <v/>
      </c>
      <c r="T162">
        <f>INDEX(GCalXMLT[dcaturmasya1],$D162)</f>
        <v>0</v>
      </c>
      <c r="U162">
        <f>INDEX(GCalXMLT[dcaturmasya2],$D162)</f>
        <v>0</v>
      </c>
      <c r="V162" t="str">
        <f>INDEX(GCalXMLT[sankrantirasi],$D162) &amp; " " &amp; INDEX(GCalXMLT[sankrantitime],$D162)</f>
        <v xml:space="preserve"> </v>
      </c>
      <c r="W162" t="str">
        <f ca="1">IFERROR(INDEX('Holidays Calc'!$K$2:$K$233,AR162),"")</f>
        <v/>
      </c>
      <c r="X162" t="str">
        <f ca="1">IF(AR162="","",IF(INDEX('Holidays Calc'!$I$2:$I$233,AR162+1)=A162,INDEX('Holidays Calc'!$K$2:$K$233,AR162+1),""))</f>
        <v/>
      </c>
      <c r="Y162" t="str">
        <f ca="1">IF(AR162="","",IF(INDEX('Holidays Calc'!$I$2:$I$233,AR162+2)=A162,INDEX('Holidays Calc'!$K$2:$K$233,AR162+2),""))</f>
        <v/>
      </c>
      <c r="Z162" t="str">
        <f ca="1">IF(AR162="","",IF(INDEX('Holidays Calc'!$I$2:$I$233,AR162+3)=A162,INDEX('Holidays Calc'!$K$2:$K$2333,AR162+3),""))</f>
        <v/>
      </c>
      <c r="AA162" t="str">
        <f>IF(I162="Last day of Bhisma Pancaka","",IF(G162="*",-0.7,IF(ISBLANK(INDEX(GCalXMLT[dclass1],$D162)),"",INDEX(GCalXMLT[dclass1],$D162))))</f>
        <v/>
      </c>
      <c r="AB162" t="str">
        <f>IF(J162="First day of Bhisma Pancaka","",IF(AND(G162="*",NOT(ISERROR(SEARCH("ekadasi",J162)))),-0.7,IF(ISBLANK(INDEX(GCalXMLT[dclass2],$D162)),"",INDEX(GCalXMLT[dclass2],$D162))))</f>
        <v/>
      </c>
      <c r="AC162" t="str">
        <f>IF(I162="Nandotsava",-1,IF(ISBLANK(INDEX(GCalXMLT[dclass3],$D162)),"",INDEX(GCalXMLT[dclass3],$D162)))</f>
        <v/>
      </c>
      <c r="AD162" t="str">
        <f>IF(I162="Nandotsava",IF(ISBLANK(INDEX(GCalXMLT[dclass3],$D162)),"",INDEX(GCalXMLT[dclass3],$D162)),IF(ISBLANK(INDEX(GCalXMLT[dclass4],$D162)),"",INDEX(GCalXMLT[dclass4],$D162)))</f>
        <v/>
      </c>
      <c r="AE162" t="str">
        <f>IFERROR(INDEX(Festivals!$V$2:$V$160,AP162),"")</f>
        <v/>
      </c>
      <c r="AF162" t="str">
        <f>IFERROR(IF($AQ162&gt;1,INDEX(Festivals!$V$2:$V$160,$AP162+1),""),"")</f>
        <v/>
      </c>
      <c r="AG162" t="str">
        <f>IFERROR(IF($AQ162&gt;2,INDEX(Festivals!$V$2:$V$160,$AP162+2),""),"")</f>
        <v/>
      </c>
      <c r="AH162" t="str">
        <f>IFERROR(IF($AQ162&gt;3,INDEX(Festivals!$V$2:$V$160,$AP162+3),""),"")</f>
        <v/>
      </c>
      <c r="AI162" t="str">
        <f>IFERROR(IF($AQ162&gt;4,INDEX(Festivals!$V$2:$V$160,$AP162+4),""),"")</f>
        <v/>
      </c>
      <c r="AJ162" t="str">
        <f>IFERROR(IF($AQ162&gt;5,INDEX(Festivals!$V$2:$V$160,$AP162+5),""),"")</f>
        <v/>
      </c>
      <c r="AK162" t="str">
        <f>IFERROR(IF($AQ162&gt;6,INDEX(Festivals!$V$2:$V$160,$AP162+6),""),"")</f>
        <v/>
      </c>
      <c r="AL162" t="str">
        <f ca="1">IFERROR(INDEX('Holidays Calc'!$J$2:$J$233,MATCH(A162,'Holidays Calc'!$I$2:$I$233,0)),"")</f>
        <v/>
      </c>
      <c r="AM162" t="str">
        <f ca="1">IF(AR162="","",IF(INDEX('Holidays Calc'!$I$2:$I$233,AR162+1)=A162,INDEX('Holidays Calc'!$J$2:$J$233,AR162+1),""))</f>
        <v/>
      </c>
      <c r="AN162" t="str">
        <f ca="1">IF(AR162="","",IF(INDEX('Holidays Calc'!$I$2:$I$233,AR162+2)=A162,INDEX('Holidays Calc'!$J$2:$J$233,AR162+2),""))</f>
        <v/>
      </c>
      <c r="AO162" t="str">
        <f ca="1">IF(AR162="","",IF(INDEX('Holidays Calc'!$I$2:$I$233,AR162+3)=A162,INDEX('Holidays Calc'!$J$2:$J$233,AR162+3),""))</f>
        <v/>
      </c>
      <c r="AP162" t="str">
        <f>IFERROR(IF($E162=E161,"",MATCH($E162,Festivals!$H$2:$H$160,0)),"")</f>
        <v/>
      </c>
      <c r="AQ162" t="str">
        <f>IF(AP162="","",COUNTIF(Festivals!$H$2:$H$160,$E162))</f>
        <v/>
      </c>
      <c r="AR162" t="str">
        <f ca="1">IFERROR(MATCH(A162,'Holidays Calc'!$I$2:$I$233,0),"")</f>
        <v/>
      </c>
      <c r="AS162" t="str">
        <f t="shared" si="18"/>
        <v/>
      </c>
      <c r="AT162" t="str">
        <f t="shared" si="17"/>
        <v/>
      </c>
      <c r="AU162" t="str">
        <f t="shared" ca="1" si="19"/>
        <v/>
      </c>
      <c r="AV162" t="str">
        <f t="shared" ca="1" si="20"/>
        <v/>
      </c>
    </row>
    <row r="163" spans="1:48" x14ac:dyDescent="0.25">
      <c r="A163" s="265">
        <f t="shared" si="16"/>
        <v>43589</v>
      </c>
      <c r="B163" s="265" t="str">
        <f t="shared" si="21"/>
        <v>4 May 2019</v>
      </c>
      <c r="C163" s="267">
        <f t="shared" si="22"/>
        <v>18</v>
      </c>
      <c r="D163">
        <f>MATCH(A163,GCalXMLT[daydate],0)</f>
        <v>162</v>
      </c>
      <c r="E163">
        <f>VALUE("1" &amp; Masacod(INDEX(GCalXMLT[gymasa],D163)) &amp; PaksaCod(INDEX(GCalXMLT[mpaksaid],D163)) &amp; TithiCod(INDEX(GCalXMLT[stithiname],D163)))</f>
        <v>102015</v>
      </c>
      <c r="F163" t="str">
        <f ca="1">INDEX(Parameters!$K$2:$K$16,MATCH(AV163,Parameters!$L$2:$L$16,0))</f>
        <v>C</v>
      </c>
      <c r="G163">
        <f>INDEX(GCalXMLT[fastmark],$D163)</f>
        <v>0</v>
      </c>
      <c r="H163" t="str">
        <f ca="1">INDEX(Parameters!$J$2:$J$16,MATCH(AV163,Parameters!$L$2:$L$16,0))</f>
        <v/>
      </c>
      <c r="I163">
        <f>INDEX(GCalXMLT[dfestival1],$D163)</f>
        <v>0</v>
      </c>
      <c r="J163">
        <f>IF(INDEX(GCalXMLT[dfestival2],$D163)="(Fast today)",INDEX(Festivals!$R$2:$R$180,MATCH($I163,Festivals!$R$2:$R$180,0)+1),INDEX(GCalXMLT[dfestival2],$D163))</f>
        <v>0</v>
      </c>
      <c r="K163">
        <f>IF(I163="Nandotsava","(Fast till noon)",INDEX(GCalXMLT[dfestival3],$D163))</f>
        <v>0</v>
      </c>
      <c r="L163">
        <f>IF(I163="Nandotsava", INDEX(GCalXMLT[dfestival3],$D163),INDEX(GCalXMLT[dfestival4],$D163))</f>
        <v>0</v>
      </c>
      <c r="M163" t="str">
        <f>IFERROR(INDEX(Festivals!$S$2:$S$160,AP163),"")</f>
        <v>Sri Gadadhara Pandita - Appearance</v>
      </c>
      <c r="N163" t="str">
        <f>IFERROR(IF($AQ163&gt;1,INDEX(Festivals!$S$2:$S$160,$AP163+1),""),"")</f>
        <v/>
      </c>
      <c r="O163" t="str">
        <f>IFERROR(IF($AQ163&gt;2,INDEX(Festivals!$S$2:$S$160,$AP163+2),""),"")</f>
        <v/>
      </c>
      <c r="P163" t="str">
        <f>IFERROR(IF($AQ163&gt;3,INDEX(Festivals!$S$2:$S$160,$AP163+3),""),"")</f>
        <v/>
      </c>
      <c r="Q163" t="str">
        <f>IFERROR(IF($AQ163&gt;4,INDEX(Festivals!$S$2:$S$160,$AP163+4),""),"")</f>
        <v/>
      </c>
      <c r="R163" t="str">
        <f>IFERROR(IF($AQ163&gt;5,INDEX(Festivals!$S$2:$S$160,$AP163+5),""),"")</f>
        <v/>
      </c>
      <c r="S163" t="str">
        <f>IFERROR(IF($AQ163&gt;6,INDEX(Festivals!$S$2:$S$160,$AP163+6),""),"")</f>
        <v/>
      </c>
      <c r="T163">
        <f>INDEX(GCalXMLT[dcaturmasya1],$D163)</f>
        <v>0</v>
      </c>
      <c r="U163">
        <f>INDEX(GCalXMLT[dcaturmasya2],$D163)</f>
        <v>0</v>
      </c>
      <c r="V163" t="str">
        <f>INDEX(GCalXMLT[sankrantirasi],$D163) &amp; " " &amp; INDEX(GCalXMLT[sankrantitime],$D163)</f>
        <v xml:space="preserve"> </v>
      </c>
      <c r="W163" t="str">
        <f ca="1">IFERROR(INDEX('Holidays Calc'!$K$2:$K$233,AR163),"")</f>
        <v/>
      </c>
      <c r="X163" t="str">
        <f ca="1">IF(AR163="","",IF(INDEX('Holidays Calc'!$I$2:$I$233,AR163+1)=A163,INDEX('Holidays Calc'!$K$2:$K$233,AR163+1),""))</f>
        <v/>
      </c>
      <c r="Y163" t="str">
        <f ca="1">IF(AR163="","",IF(INDEX('Holidays Calc'!$I$2:$I$233,AR163+2)=A163,INDEX('Holidays Calc'!$K$2:$K$233,AR163+2),""))</f>
        <v/>
      </c>
      <c r="Z163" t="str">
        <f ca="1">IF(AR163="","",IF(INDEX('Holidays Calc'!$I$2:$I$233,AR163+3)=A163,INDEX('Holidays Calc'!$K$2:$K$2333,AR163+3),""))</f>
        <v/>
      </c>
      <c r="AA163" t="str">
        <f>IF(I163="Last day of Bhisma Pancaka","",IF(G163="*",-0.7,IF(ISBLANK(INDEX(GCalXMLT[dclass1],$D163)),"",INDEX(GCalXMLT[dclass1],$D163))))</f>
        <v/>
      </c>
      <c r="AB163" t="str">
        <f>IF(J163="First day of Bhisma Pancaka","",IF(AND(G163="*",NOT(ISERROR(SEARCH("ekadasi",J163)))),-0.7,IF(ISBLANK(INDEX(GCalXMLT[dclass2],$D163)),"",INDEX(GCalXMLT[dclass2],$D163))))</f>
        <v/>
      </c>
      <c r="AC163" t="str">
        <f>IF(I163="Nandotsava",-1,IF(ISBLANK(INDEX(GCalXMLT[dclass3],$D163)),"",INDEX(GCalXMLT[dclass3],$D163)))</f>
        <v/>
      </c>
      <c r="AD163" t="str">
        <f>IF(I163="Nandotsava",IF(ISBLANK(INDEX(GCalXMLT[dclass3],$D163)),"",INDEX(GCalXMLT[dclass3],$D163)),IF(ISBLANK(INDEX(GCalXMLT[dclass4],$D163)),"",INDEX(GCalXMLT[dclass4],$D163)))</f>
        <v/>
      </c>
      <c r="AE163">
        <f>IFERROR(INDEX(Festivals!$V$2:$V$160,AP163),"")</f>
        <v>3</v>
      </c>
      <c r="AF163" t="str">
        <f>IFERROR(IF($AQ163&gt;1,INDEX(Festivals!$V$2:$V$160,$AP163+1),""),"")</f>
        <v/>
      </c>
      <c r="AG163" t="str">
        <f>IFERROR(IF($AQ163&gt;2,INDEX(Festivals!$V$2:$V$160,$AP163+2),""),"")</f>
        <v/>
      </c>
      <c r="AH163" t="str">
        <f>IFERROR(IF($AQ163&gt;3,INDEX(Festivals!$V$2:$V$160,$AP163+3),""),"")</f>
        <v/>
      </c>
      <c r="AI163" t="str">
        <f>IFERROR(IF($AQ163&gt;4,INDEX(Festivals!$V$2:$V$160,$AP163+4),""),"")</f>
        <v/>
      </c>
      <c r="AJ163" t="str">
        <f>IFERROR(IF($AQ163&gt;5,INDEX(Festivals!$V$2:$V$160,$AP163+5),""),"")</f>
        <v/>
      </c>
      <c r="AK163" t="str">
        <f>IFERROR(IF($AQ163&gt;6,INDEX(Festivals!$V$2:$V$160,$AP163+6),""),"")</f>
        <v/>
      </c>
      <c r="AL163" t="str">
        <f ca="1">IFERROR(INDEX('Holidays Calc'!$J$2:$J$233,MATCH(A163,'Holidays Calc'!$I$2:$I$233,0)),"")</f>
        <v/>
      </c>
      <c r="AM163" t="str">
        <f ca="1">IF(AR163="","",IF(INDEX('Holidays Calc'!$I$2:$I$233,AR163+1)=A163,INDEX('Holidays Calc'!$J$2:$J$233,AR163+1),""))</f>
        <v/>
      </c>
      <c r="AN163" t="str">
        <f ca="1">IF(AR163="","",IF(INDEX('Holidays Calc'!$I$2:$I$233,AR163+2)=A163,INDEX('Holidays Calc'!$J$2:$J$233,AR163+2),""))</f>
        <v/>
      </c>
      <c r="AO163" t="str">
        <f ca="1">IF(AR163="","",IF(INDEX('Holidays Calc'!$I$2:$I$233,AR163+3)=A163,INDEX('Holidays Calc'!$J$2:$J$233,AR163+3),""))</f>
        <v/>
      </c>
      <c r="AP163">
        <f>IFERROR(IF($E163=E162,"",MATCH($E163,Festivals!$H$2:$H$160,0)),"")</f>
        <v>11</v>
      </c>
      <c r="AQ163">
        <f>IF(AP163="","",COUNTIF(Festivals!$H$2:$H$160,$E163))</f>
        <v>1</v>
      </c>
      <c r="AR163" t="str">
        <f ca="1">IFERROR(MATCH(A163,'Holidays Calc'!$I$2:$I$233,0),"")</f>
        <v/>
      </c>
      <c r="AS163">
        <f t="shared" si="18"/>
        <v>3</v>
      </c>
      <c r="AT163">
        <f t="shared" si="17"/>
        <v>3</v>
      </c>
      <c r="AU163" t="str">
        <f t="shared" ca="1" si="19"/>
        <v/>
      </c>
      <c r="AV163">
        <f t="shared" ca="1" si="20"/>
        <v>3</v>
      </c>
    </row>
    <row r="164" spans="1:48" x14ac:dyDescent="0.25">
      <c r="A164" s="265">
        <f t="shared" si="16"/>
        <v>43590</v>
      </c>
      <c r="B164" s="265" t="str">
        <f t="shared" si="21"/>
        <v>5 May 2019</v>
      </c>
      <c r="C164" s="267">
        <f t="shared" si="22"/>
        <v>18</v>
      </c>
      <c r="D164">
        <f>MATCH(A164,GCalXMLT[daydate],0)</f>
        <v>163</v>
      </c>
      <c r="E164">
        <f>VALUE("1" &amp; Masacod(INDEX(GCalXMLT[gymasa],D164)) &amp; PaksaCod(INDEX(GCalXMLT[mpaksaid],D164)) &amp; TithiCod(INDEX(GCalXMLT[stithiname],D164)))</f>
        <v>102101</v>
      </c>
      <c r="F164" t="str">
        <f ca="1">INDEX(Parameters!$K$2:$K$16,MATCH(AV164,Parameters!$L$2:$L$16,0))</f>
        <v/>
      </c>
      <c r="G164">
        <f>INDEX(GCalXMLT[fastmark],$D164)</f>
        <v>0</v>
      </c>
      <c r="H164" t="str">
        <f ca="1">INDEX(Parameters!$J$2:$J$16,MATCH(AV164,Parameters!$L$2:$L$16,0))</f>
        <v/>
      </c>
      <c r="I164">
        <f>INDEX(GCalXMLT[dfestival1],$D164)</f>
        <v>0</v>
      </c>
      <c r="J164">
        <f>IF(INDEX(GCalXMLT[dfestival2],$D164)="(Fast today)",INDEX(Festivals!$R$2:$R$180,MATCH($I164,Festivals!$R$2:$R$180,0)+1),INDEX(GCalXMLT[dfestival2],$D164))</f>
        <v>0</v>
      </c>
      <c r="K164">
        <f>IF(I164="Nandotsava","(Fast till noon)",INDEX(GCalXMLT[dfestival3],$D164))</f>
        <v>0</v>
      </c>
      <c r="L164">
        <f>IF(I164="Nandotsava", INDEX(GCalXMLT[dfestival3],$D164),INDEX(GCalXMLT[dfestival4],$D164))</f>
        <v>0</v>
      </c>
      <c r="M164" t="str">
        <f>IFERROR(INDEX(Festivals!$S$2:$S$160,AP164),"")</f>
        <v/>
      </c>
      <c r="N164" t="str">
        <f>IFERROR(IF($AQ164&gt;1,INDEX(Festivals!$S$2:$S$160,$AP164+1),""),"")</f>
        <v/>
      </c>
      <c r="O164" t="str">
        <f>IFERROR(IF($AQ164&gt;2,INDEX(Festivals!$S$2:$S$160,$AP164+2),""),"")</f>
        <v/>
      </c>
      <c r="P164" t="str">
        <f>IFERROR(IF($AQ164&gt;3,INDEX(Festivals!$S$2:$S$160,$AP164+3),""),"")</f>
        <v/>
      </c>
      <c r="Q164" t="str">
        <f>IFERROR(IF($AQ164&gt;4,INDEX(Festivals!$S$2:$S$160,$AP164+4),""),"")</f>
        <v/>
      </c>
      <c r="R164" t="str">
        <f>IFERROR(IF($AQ164&gt;5,INDEX(Festivals!$S$2:$S$160,$AP164+5),""),"")</f>
        <v/>
      </c>
      <c r="S164" t="str">
        <f>IFERROR(IF($AQ164&gt;6,INDEX(Festivals!$S$2:$S$160,$AP164+6),""),"")</f>
        <v/>
      </c>
      <c r="T164">
        <f>INDEX(GCalXMLT[dcaturmasya1],$D164)</f>
        <v>0</v>
      </c>
      <c r="U164">
        <f>INDEX(GCalXMLT[dcaturmasya2],$D164)</f>
        <v>0</v>
      </c>
      <c r="V164" t="str">
        <f>INDEX(GCalXMLT[sankrantirasi],$D164) &amp; " " &amp; INDEX(GCalXMLT[sankrantitime],$D164)</f>
        <v xml:space="preserve"> </v>
      </c>
      <c r="W164" t="str">
        <f ca="1">IFERROR(INDEX('Holidays Calc'!$K$2:$K$233,AR164),"")</f>
        <v/>
      </c>
      <c r="X164" t="str">
        <f ca="1">IF(AR164="","",IF(INDEX('Holidays Calc'!$I$2:$I$233,AR164+1)=A164,INDEX('Holidays Calc'!$K$2:$K$233,AR164+1),""))</f>
        <v/>
      </c>
      <c r="Y164" t="str">
        <f ca="1">IF(AR164="","",IF(INDEX('Holidays Calc'!$I$2:$I$233,AR164+2)=A164,INDEX('Holidays Calc'!$K$2:$K$233,AR164+2),""))</f>
        <v/>
      </c>
      <c r="Z164" t="str">
        <f ca="1">IF(AR164="","",IF(INDEX('Holidays Calc'!$I$2:$I$233,AR164+3)=A164,INDEX('Holidays Calc'!$K$2:$K$2333,AR164+3),""))</f>
        <v/>
      </c>
      <c r="AA164" t="str">
        <f>IF(I164="Last day of Bhisma Pancaka","",IF(G164="*",-0.7,IF(ISBLANK(INDEX(GCalXMLT[dclass1],$D164)),"",INDEX(GCalXMLT[dclass1],$D164))))</f>
        <v/>
      </c>
      <c r="AB164" t="str">
        <f>IF(J164="First day of Bhisma Pancaka","",IF(AND(G164="*",NOT(ISERROR(SEARCH("ekadasi",J164)))),-0.7,IF(ISBLANK(INDEX(GCalXMLT[dclass2],$D164)),"",INDEX(GCalXMLT[dclass2],$D164))))</f>
        <v/>
      </c>
      <c r="AC164" t="str">
        <f>IF(I164="Nandotsava",-1,IF(ISBLANK(INDEX(GCalXMLT[dclass3],$D164)),"",INDEX(GCalXMLT[dclass3],$D164)))</f>
        <v/>
      </c>
      <c r="AD164" t="str">
        <f>IF(I164="Nandotsava",IF(ISBLANK(INDEX(GCalXMLT[dclass3],$D164)),"",INDEX(GCalXMLT[dclass3],$D164)),IF(ISBLANK(INDEX(GCalXMLT[dclass4],$D164)),"",INDEX(GCalXMLT[dclass4],$D164)))</f>
        <v/>
      </c>
      <c r="AE164" t="str">
        <f>IFERROR(INDEX(Festivals!$V$2:$V$160,AP164),"")</f>
        <v/>
      </c>
      <c r="AF164" t="str">
        <f>IFERROR(IF($AQ164&gt;1,INDEX(Festivals!$V$2:$V$160,$AP164+1),""),"")</f>
        <v/>
      </c>
      <c r="AG164" t="str">
        <f>IFERROR(IF($AQ164&gt;2,INDEX(Festivals!$V$2:$V$160,$AP164+2),""),"")</f>
        <v/>
      </c>
      <c r="AH164" t="str">
        <f>IFERROR(IF($AQ164&gt;3,INDEX(Festivals!$V$2:$V$160,$AP164+3),""),"")</f>
        <v/>
      </c>
      <c r="AI164" t="str">
        <f>IFERROR(IF($AQ164&gt;4,INDEX(Festivals!$V$2:$V$160,$AP164+4),""),"")</f>
        <v/>
      </c>
      <c r="AJ164" t="str">
        <f>IFERROR(IF($AQ164&gt;5,INDEX(Festivals!$V$2:$V$160,$AP164+5),""),"")</f>
        <v/>
      </c>
      <c r="AK164" t="str">
        <f>IFERROR(IF($AQ164&gt;6,INDEX(Festivals!$V$2:$V$160,$AP164+6),""),"")</f>
        <v/>
      </c>
      <c r="AL164" t="str">
        <f ca="1">IFERROR(INDEX('Holidays Calc'!$J$2:$J$233,MATCH(A164,'Holidays Calc'!$I$2:$I$233,0)),"")</f>
        <v/>
      </c>
      <c r="AM164" t="str">
        <f ca="1">IF(AR164="","",IF(INDEX('Holidays Calc'!$I$2:$I$233,AR164+1)=A164,INDEX('Holidays Calc'!$J$2:$J$233,AR164+1),""))</f>
        <v/>
      </c>
      <c r="AN164" t="str">
        <f ca="1">IF(AR164="","",IF(INDEX('Holidays Calc'!$I$2:$I$233,AR164+2)=A164,INDEX('Holidays Calc'!$J$2:$J$233,AR164+2),""))</f>
        <v/>
      </c>
      <c r="AO164" t="str">
        <f ca="1">IF(AR164="","",IF(INDEX('Holidays Calc'!$I$2:$I$233,AR164+3)=A164,INDEX('Holidays Calc'!$J$2:$J$233,AR164+3),""))</f>
        <v/>
      </c>
      <c r="AP164" t="str">
        <f>IFERROR(IF($E164=E163,"",MATCH($E164,Festivals!$H$2:$H$160,0)),"")</f>
        <v/>
      </c>
      <c r="AQ164" t="str">
        <f>IF(AP164="","",COUNTIF(Festivals!$H$2:$H$160,$E164))</f>
        <v/>
      </c>
      <c r="AR164" t="str">
        <f ca="1">IFERROR(MATCH(A164,'Holidays Calc'!$I$2:$I$233,0),"")</f>
        <v/>
      </c>
      <c r="AS164" t="str">
        <f t="shared" si="18"/>
        <v/>
      </c>
      <c r="AT164" t="str">
        <f t="shared" si="17"/>
        <v/>
      </c>
      <c r="AU164" t="str">
        <f t="shared" ca="1" si="19"/>
        <v/>
      </c>
      <c r="AV164" t="str">
        <f t="shared" ca="1" si="20"/>
        <v/>
      </c>
    </row>
    <row r="165" spans="1:48" x14ac:dyDescent="0.25">
      <c r="A165" s="265">
        <f t="shared" si="16"/>
        <v>43591</v>
      </c>
      <c r="B165" s="265" t="str">
        <f t="shared" si="21"/>
        <v>6 May 2019</v>
      </c>
      <c r="C165" s="267">
        <f t="shared" si="22"/>
        <v>19</v>
      </c>
      <c r="D165">
        <f>MATCH(A165,GCalXMLT[daydate],0)</f>
        <v>164</v>
      </c>
      <c r="E165">
        <f>VALUE("1" &amp; Masacod(INDEX(GCalXMLT[gymasa],D165)) &amp; PaksaCod(INDEX(GCalXMLT[mpaksaid],D165)) &amp; TithiCod(INDEX(GCalXMLT[stithiname],D165)))</f>
        <v>102102</v>
      </c>
      <c r="F165" t="str">
        <f ca="1">INDEX(Parameters!$K$2:$K$16,MATCH(AV165,Parameters!$L$2:$L$16,0))</f>
        <v/>
      </c>
      <c r="G165">
        <f>INDEX(GCalXMLT[fastmark],$D165)</f>
        <v>0</v>
      </c>
      <c r="H165" t="str">
        <f ca="1">INDEX(Parameters!$J$2:$J$16,MATCH(AV165,Parameters!$L$2:$L$16,0))</f>
        <v/>
      </c>
      <c r="I165">
        <f>INDEX(GCalXMLT[dfestival1],$D165)</f>
        <v>0</v>
      </c>
      <c r="J165">
        <f>IF(INDEX(GCalXMLT[dfestival2],$D165)="(Fast today)",INDEX(Festivals!$R$2:$R$180,MATCH($I165,Festivals!$R$2:$R$180,0)+1),INDEX(GCalXMLT[dfestival2],$D165))</f>
        <v>0</v>
      </c>
      <c r="K165">
        <f>IF(I165="Nandotsava","(Fast till noon)",INDEX(GCalXMLT[dfestival3],$D165))</f>
        <v>0</v>
      </c>
      <c r="L165">
        <f>IF(I165="Nandotsava", INDEX(GCalXMLT[dfestival3],$D165),INDEX(GCalXMLT[dfestival4],$D165))</f>
        <v>0</v>
      </c>
      <c r="M165" t="str">
        <f>IFERROR(INDEX(Festivals!$S$2:$S$160,AP165),"")</f>
        <v/>
      </c>
      <c r="N165" t="str">
        <f>IFERROR(IF($AQ165&gt;1,INDEX(Festivals!$S$2:$S$160,$AP165+1),""),"")</f>
        <v/>
      </c>
      <c r="O165" t="str">
        <f>IFERROR(IF($AQ165&gt;2,INDEX(Festivals!$S$2:$S$160,$AP165+2),""),"")</f>
        <v/>
      </c>
      <c r="P165" t="str">
        <f>IFERROR(IF($AQ165&gt;3,INDEX(Festivals!$S$2:$S$160,$AP165+3),""),"")</f>
        <v/>
      </c>
      <c r="Q165" t="str">
        <f>IFERROR(IF($AQ165&gt;4,INDEX(Festivals!$S$2:$S$160,$AP165+4),""),"")</f>
        <v/>
      </c>
      <c r="R165" t="str">
        <f>IFERROR(IF($AQ165&gt;5,INDEX(Festivals!$S$2:$S$160,$AP165+5),""),"")</f>
        <v/>
      </c>
      <c r="S165" t="str">
        <f>IFERROR(IF($AQ165&gt;6,INDEX(Festivals!$S$2:$S$160,$AP165+6),""),"")</f>
        <v/>
      </c>
      <c r="T165">
        <f>INDEX(GCalXMLT[dcaturmasya1],$D165)</f>
        <v>0</v>
      </c>
      <c r="U165">
        <f>INDEX(GCalXMLT[dcaturmasya2],$D165)</f>
        <v>0</v>
      </c>
      <c r="V165" t="str">
        <f>INDEX(GCalXMLT[sankrantirasi],$D165) &amp; " " &amp; INDEX(GCalXMLT[sankrantitime],$D165)</f>
        <v xml:space="preserve"> </v>
      </c>
      <c r="W165" t="str">
        <f ca="1">IFERROR(INDEX('Holidays Calc'!$K$2:$K$233,AR165),"")</f>
        <v/>
      </c>
      <c r="X165" t="str">
        <f ca="1">IF(AR165="","",IF(INDEX('Holidays Calc'!$I$2:$I$233,AR165+1)=A165,INDEX('Holidays Calc'!$K$2:$K$233,AR165+1),""))</f>
        <v/>
      </c>
      <c r="Y165" t="str">
        <f ca="1">IF(AR165="","",IF(INDEX('Holidays Calc'!$I$2:$I$233,AR165+2)=A165,INDEX('Holidays Calc'!$K$2:$K$233,AR165+2),""))</f>
        <v/>
      </c>
      <c r="Z165" t="str">
        <f ca="1">IF(AR165="","",IF(INDEX('Holidays Calc'!$I$2:$I$233,AR165+3)=A165,INDEX('Holidays Calc'!$K$2:$K$2333,AR165+3),""))</f>
        <v/>
      </c>
      <c r="AA165" t="str">
        <f>IF(I165="Last day of Bhisma Pancaka","",IF(G165="*",-0.7,IF(ISBLANK(INDEX(GCalXMLT[dclass1],$D165)),"",INDEX(GCalXMLT[dclass1],$D165))))</f>
        <v/>
      </c>
      <c r="AB165" t="str">
        <f>IF(J165="First day of Bhisma Pancaka","",IF(AND(G165="*",NOT(ISERROR(SEARCH("ekadasi",J165)))),-0.7,IF(ISBLANK(INDEX(GCalXMLT[dclass2],$D165)),"",INDEX(GCalXMLT[dclass2],$D165))))</f>
        <v/>
      </c>
      <c r="AC165" t="str">
        <f>IF(I165="Nandotsava",-1,IF(ISBLANK(INDEX(GCalXMLT[dclass3],$D165)),"",INDEX(GCalXMLT[dclass3],$D165)))</f>
        <v/>
      </c>
      <c r="AD165" t="str">
        <f>IF(I165="Nandotsava",IF(ISBLANK(INDEX(GCalXMLT[dclass3],$D165)),"",INDEX(GCalXMLT[dclass3],$D165)),IF(ISBLANK(INDEX(GCalXMLT[dclass4],$D165)),"",INDEX(GCalXMLT[dclass4],$D165)))</f>
        <v/>
      </c>
      <c r="AE165" t="str">
        <f>IFERROR(INDEX(Festivals!$V$2:$V$160,AP165),"")</f>
        <v/>
      </c>
      <c r="AF165" t="str">
        <f>IFERROR(IF($AQ165&gt;1,INDEX(Festivals!$V$2:$V$160,$AP165+1),""),"")</f>
        <v/>
      </c>
      <c r="AG165" t="str">
        <f>IFERROR(IF($AQ165&gt;2,INDEX(Festivals!$V$2:$V$160,$AP165+2),""),"")</f>
        <v/>
      </c>
      <c r="AH165" t="str">
        <f>IFERROR(IF($AQ165&gt;3,INDEX(Festivals!$V$2:$V$160,$AP165+3),""),"")</f>
        <v/>
      </c>
      <c r="AI165" t="str">
        <f>IFERROR(IF($AQ165&gt;4,INDEX(Festivals!$V$2:$V$160,$AP165+4),""),"")</f>
        <v/>
      </c>
      <c r="AJ165" t="str">
        <f>IFERROR(IF($AQ165&gt;5,INDEX(Festivals!$V$2:$V$160,$AP165+5),""),"")</f>
        <v/>
      </c>
      <c r="AK165" t="str">
        <f>IFERROR(IF($AQ165&gt;6,INDEX(Festivals!$V$2:$V$160,$AP165+6),""),"")</f>
        <v/>
      </c>
      <c r="AL165" t="str">
        <f ca="1">IFERROR(INDEX('Holidays Calc'!$J$2:$J$233,MATCH(A165,'Holidays Calc'!$I$2:$I$233,0)),"")</f>
        <v/>
      </c>
      <c r="AM165" t="str">
        <f ca="1">IF(AR165="","",IF(INDEX('Holidays Calc'!$I$2:$I$233,AR165+1)=A165,INDEX('Holidays Calc'!$J$2:$J$233,AR165+1),""))</f>
        <v/>
      </c>
      <c r="AN165" t="str">
        <f ca="1">IF(AR165="","",IF(INDEX('Holidays Calc'!$I$2:$I$233,AR165+2)=A165,INDEX('Holidays Calc'!$J$2:$J$233,AR165+2),""))</f>
        <v/>
      </c>
      <c r="AO165" t="str">
        <f ca="1">IF(AR165="","",IF(INDEX('Holidays Calc'!$I$2:$I$233,AR165+3)=A165,INDEX('Holidays Calc'!$J$2:$J$233,AR165+3),""))</f>
        <v/>
      </c>
      <c r="AP165" t="str">
        <f>IFERROR(IF($E165=E164,"",MATCH($E165,Festivals!$H$2:$H$160,0)),"")</f>
        <v/>
      </c>
      <c r="AQ165" t="str">
        <f>IF(AP165="","",COUNTIF(Festivals!$H$2:$H$160,$E165))</f>
        <v/>
      </c>
      <c r="AR165" t="str">
        <f ca="1">IFERROR(MATCH(A165,'Holidays Calc'!$I$2:$I$233,0),"")</f>
        <v/>
      </c>
      <c r="AS165" t="str">
        <f t="shared" si="18"/>
        <v/>
      </c>
      <c r="AT165" t="str">
        <f t="shared" si="17"/>
        <v/>
      </c>
      <c r="AU165" t="str">
        <f t="shared" ca="1" si="19"/>
        <v/>
      </c>
      <c r="AV165" t="str">
        <f t="shared" ca="1" si="20"/>
        <v/>
      </c>
    </row>
    <row r="166" spans="1:48" x14ac:dyDescent="0.25">
      <c r="A166" s="265">
        <f t="shared" si="16"/>
        <v>43592</v>
      </c>
      <c r="B166" s="265" t="str">
        <f t="shared" si="21"/>
        <v>7 May 2019</v>
      </c>
      <c r="C166" s="267">
        <f t="shared" si="22"/>
        <v>19</v>
      </c>
      <c r="D166">
        <f>MATCH(A166,GCalXMLT[daydate],0)</f>
        <v>165</v>
      </c>
      <c r="E166">
        <f>VALUE("1" &amp; Masacod(INDEX(GCalXMLT[gymasa],D166)) &amp; PaksaCod(INDEX(GCalXMLT[mpaksaid],D166)) &amp; TithiCod(INDEX(GCalXMLT[stithiname],D166)))</f>
        <v>102103</v>
      </c>
      <c r="F166" t="str">
        <f ca="1">INDEX(Parameters!$K$2:$K$16,MATCH(AV166,Parameters!$L$2:$L$16,0))</f>
        <v>C</v>
      </c>
      <c r="G166">
        <f>INDEX(GCalXMLT[fastmark],$D166)</f>
        <v>0</v>
      </c>
      <c r="H166" t="str">
        <f ca="1">INDEX(Parameters!$J$2:$J$16,MATCH(AV166,Parameters!$L$2:$L$16,0))</f>
        <v/>
      </c>
      <c r="I166">
        <f>INDEX(GCalXMLT[dfestival1],$D166)</f>
        <v>0</v>
      </c>
      <c r="J166">
        <f>IF(INDEX(GCalXMLT[dfestival2],$D166)="(Fast today)",INDEX(Festivals!$R$2:$R$180,MATCH($I166,Festivals!$R$2:$R$180,0)+1),INDEX(GCalXMLT[dfestival2],$D166))</f>
        <v>0</v>
      </c>
      <c r="K166">
        <f>IF(I166="Nandotsava","(Fast till noon)",INDEX(GCalXMLT[dfestival3],$D166))</f>
        <v>0</v>
      </c>
      <c r="L166">
        <f>IF(I166="Nandotsava", INDEX(GCalXMLT[dfestival3],$D166),INDEX(GCalXMLT[dfestival4],$D166))</f>
        <v>0</v>
      </c>
      <c r="M166" t="str">
        <f>IFERROR(INDEX(Festivals!$S$2:$S$160,AP166),"")</f>
        <v>Aksaya Trtiya. Candana Yatra starts. (Continues for 21 days)</v>
      </c>
      <c r="N166" t="str">
        <f>IFERROR(IF($AQ166&gt;1,INDEX(Festivals!$S$2:$S$160,$AP166+1),""),"")</f>
        <v/>
      </c>
      <c r="O166" t="str">
        <f>IFERROR(IF($AQ166&gt;2,INDEX(Festivals!$S$2:$S$160,$AP166+2),""),"")</f>
        <v/>
      </c>
      <c r="P166" t="str">
        <f>IFERROR(IF($AQ166&gt;3,INDEX(Festivals!$S$2:$S$160,$AP166+3),""),"")</f>
        <v/>
      </c>
      <c r="Q166" t="str">
        <f>IFERROR(IF($AQ166&gt;4,INDEX(Festivals!$S$2:$S$160,$AP166+4),""),"")</f>
        <v/>
      </c>
      <c r="R166" t="str">
        <f>IFERROR(IF($AQ166&gt;5,INDEX(Festivals!$S$2:$S$160,$AP166+5),""),"")</f>
        <v/>
      </c>
      <c r="S166" t="str">
        <f>IFERROR(IF($AQ166&gt;6,INDEX(Festivals!$S$2:$S$160,$AP166+6),""),"")</f>
        <v/>
      </c>
      <c r="T166">
        <f>INDEX(GCalXMLT[dcaturmasya1],$D166)</f>
        <v>0</v>
      </c>
      <c r="U166">
        <f>INDEX(GCalXMLT[dcaturmasya2],$D166)</f>
        <v>0</v>
      </c>
      <c r="V166" t="str">
        <f>INDEX(GCalXMLT[sankrantirasi],$D166) &amp; " " &amp; INDEX(GCalXMLT[sankrantitime],$D166)</f>
        <v xml:space="preserve"> </v>
      </c>
      <c r="W166" t="str">
        <f ca="1">IFERROR(INDEX('Holidays Calc'!$K$2:$K$233,AR166),"")</f>
        <v/>
      </c>
      <c r="X166" t="str">
        <f ca="1">IF(AR166="","",IF(INDEX('Holidays Calc'!$I$2:$I$233,AR166+1)=A166,INDEX('Holidays Calc'!$K$2:$K$233,AR166+1),""))</f>
        <v/>
      </c>
      <c r="Y166" t="str">
        <f ca="1">IF(AR166="","",IF(INDEX('Holidays Calc'!$I$2:$I$233,AR166+2)=A166,INDEX('Holidays Calc'!$K$2:$K$233,AR166+2),""))</f>
        <v/>
      </c>
      <c r="Z166" t="str">
        <f ca="1">IF(AR166="","",IF(INDEX('Holidays Calc'!$I$2:$I$233,AR166+3)=A166,INDEX('Holidays Calc'!$K$2:$K$2333,AR166+3),""))</f>
        <v/>
      </c>
      <c r="AA166" t="str">
        <f>IF(I166="Last day of Bhisma Pancaka","",IF(G166="*",-0.7,IF(ISBLANK(INDEX(GCalXMLT[dclass1],$D166)),"",INDEX(GCalXMLT[dclass1],$D166))))</f>
        <v/>
      </c>
      <c r="AB166" t="str">
        <f>IF(J166="First day of Bhisma Pancaka","",IF(AND(G166="*",NOT(ISERROR(SEARCH("ekadasi",J166)))),-0.7,IF(ISBLANK(INDEX(GCalXMLT[dclass2],$D166)),"",INDEX(GCalXMLT[dclass2],$D166))))</f>
        <v/>
      </c>
      <c r="AC166" t="str">
        <f>IF(I166="Nandotsava",-1,IF(ISBLANK(INDEX(GCalXMLT[dclass3],$D166)),"",INDEX(GCalXMLT[dclass3],$D166)))</f>
        <v/>
      </c>
      <c r="AD166" t="str">
        <f>IF(I166="Nandotsava",IF(ISBLANK(INDEX(GCalXMLT[dclass3],$D166)),"",INDEX(GCalXMLT[dclass3],$D166)),IF(ISBLANK(INDEX(GCalXMLT[dclass4],$D166)),"",INDEX(GCalXMLT[dclass4],$D166)))</f>
        <v/>
      </c>
      <c r="AE166">
        <f>IFERROR(INDEX(Festivals!$V$2:$V$160,AP166),"")</f>
        <v>1</v>
      </c>
      <c r="AF166" t="str">
        <f>IFERROR(IF($AQ166&gt;1,INDEX(Festivals!$V$2:$V$160,$AP166+1),""),"")</f>
        <v/>
      </c>
      <c r="AG166" t="str">
        <f>IFERROR(IF($AQ166&gt;2,INDEX(Festivals!$V$2:$V$160,$AP166+2),""),"")</f>
        <v/>
      </c>
      <c r="AH166" t="str">
        <f>IFERROR(IF($AQ166&gt;3,INDEX(Festivals!$V$2:$V$160,$AP166+3),""),"")</f>
        <v/>
      </c>
      <c r="AI166" t="str">
        <f>IFERROR(IF($AQ166&gt;4,INDEX(Festivals!$V$2:$V$160,$AP166+4),""),"")</f>
        <v/>
      </c>
      <c r="AJ166" t="str">
        <f>IFERROR(IF($AQ166&gt;5,INDEX(Festivals!$V$2:$V$160,$AP166+5),""),"")</f>
        <v/>
      </c>
      <c r="AK166" t="str">
        <f>IFERROR(IF($AQ166&gt;6,INDEX(Festivals!$V$2:$V$160,$AP166+6),""),"")</f>
        <v/>
      </c>
      <c r="AL166" t="str">
        <f ca="1">IFERROR(INDEX('Holidays Calc'!$J$2:$J$233,MATCH(A166,'Holidays Calc'!$I$2:$I$233,0)),"")</f>
        <v/>
      </c>
      <c r="AM166" t="str">
        <f ca="1">IF(AR166="","",IF(INDEX('Holidays Calc'!$I$2:$I$233,AR166+1)=A166,INDEX('Holidays Calc'!$J$2:$J$233,AR166+1),""))</f>
        <v/>
      </c>
      <c r="AN166" t="str">
        <f ca="1">IF(AR166="","",IF(INDEX('Holidays Calc'!$I$2:$I$233,AR166+2)=A166,INDEX('Holidays Calc'!$J$2:$J$233,AR166+2),""))</f>
        <v/>
      </c>
      <c r="AO166" t="str">
        <f ca="1">IF(AR166="","",IF(INDEX('Holidays Calc'!$I$2:$I$233,AR166+3)=A166,INDEX('Holidays Calc'!$J$2:$J$233,AR166+3),""))</f>
        <v/>
      </c>
      <c r="AP166">
        <f>IFERROR(IF($E166=E165,"",MATCH($E166,Festivals!$H$2:$H$160,0)),"")</f>
        <v>12</v>
      </c>
      <c r="AQ166">
        <f>IF(AP166="","",COUNTIF(Festivals!$H$2:$H$160,$E166))</f>
        <v>1</v>
      </c>
      <c r="AR166" t="str">
        <f ca="1">IFERROR(MATCH(A166,'Holidays Calc'!$I$2:$I$233,0),"")</f>
        <v/>
      </c>
      <c r="AS166">
        <f t="shared" si="18"/>
        <v>1</v>
      </c>
      <c r="AT166">
        <f t="shared" si="17"/>
        <v>1</v>
      </c>
      <c r="AU166" t="str">
        <f t="shared" ca="1" si="19"/>
        <v/>
      </c>
      <c r="AV166">
        <f t="shared" ca="1" si="20"/>
        <v>1</v>
      </c>
    </row>
    <row r="167" spans="1:48" x14ac:dyDescent="0.25">
      <c r="A167" s="265">
        <f t="shared" si="16"/>
        <v>43593</v>
      </c>
      <c r="B167" s="265" t="str">
        <f t="shared" si="21"/>
        <v>8 May 2019</v>
      </c>
      <c r="C167" s="267">
        <f t="shared" si="22"/>
        <v>19</v>
      </c>
      <c r="D167">
        <f>MATCH(A167,GCalXMLT[daydate],0)</f>
        <v>166</v>
      </c>
      <c r="E167">
        <f>VALUE("1" &amp; Masacod(INDEX(GCalXMLT[gymasa],D167)) &amp; PaksaCod(INDEX(GCalXMLT[mpaksaid],D167)) &amp; TithiCod(INDEX(GCalXMLT[stithiname],D167)))</f>
        <v>102104</v>
      </c>
      <c r="F167" t="str">
        <f ca="1">INDEX(Parameters!$K$2:$K$16,MATCH(AV167,Parameters!$L$2:$L$16,0))</f>
        <v/>
      </c>
      <c r="G167">
        <f>INDEX(GCalXMLT[fastmark],$D167)</f>
        <v>0</v>
      </c>
      <c r="H167" t="str">
        <f ca="1">INDEX(Parameters!$J$2:$J$16,MATCH(AV167,Parameters!$L$2:$L$16,0))</f>
        <v/>
      </c>
      <c r="I167">
        <f>INDEX(GCalXMLT[dfestival1],$D167)</f>
        <v>0</v>
      </c>
      <c r="J167">
        <f>IF(INDEX(GCalXMLT[dfestival2],$D167)="(Fast today)",INDEX(Festivals!$R$2:$R$180,MATCH($I167,Festivals!$R$2:$R$180,0)+1),INDEX(GCalXMLT[dfestival2],$D167))</f>
        <v>0</v>
      </c>
      <c r="K167">
        <f>IF(I167="Nandotsava","(Fast till noon)",INDEX(GCalXMLT[dfestival3],$D167))</f>
        <v>0</v>
      </c>
      <c r="L167">
        <f>IF(I167="Nandotsava", INDEX(GCalXMLT[dfestival3],$D167),INDEX(GCalXMLT[dfestival4],$D167))</f>
        <v>0</v>
      </c>
      <c r="M167" t="str">
        <f>IFERROR(INDEX(Festivals!$S$2:$S$160,AP167),"")</f>
        <v/>
      </c>
      <c r="N167" t="str">
        <f>IFERROR(IF($AQ167&gt;1,INDEX(Festivals!$S$2:$S$160,$AP167+1),""),"")</f>
        <v/>
      </c>
      <c r="O167" t="str">
        <f>IFERROR(IF($AQ167&gt;2,INDEX(Festivals!$S$2:$S$160,$AP167+2),""),"")</f>
        <v/>
      </c>
      <c r="P167" t="str">
        <f>IFERROR(IF($AQ167&gt;3,INDEX(Festivals!$S$2:$S$160,$AP167+3),""),"")</f>
        <v/>
      </c>
      <c r="Q167" t="str">
        <f>IFERROR(IF($AQ167&gt;4,INDEX(Festivals!$S$2:$S$160,$AP167+4),""),"")</f>
        <v/>
      </c>
      <c r="R167" t="str">
        <f>IFERROR(IF($AQ167&gt;5,INDEX(Festivals!$S$2:$S$160,$AP167+5),""),"")</f>
        <v/>
      </c>
      <c r="S167" t="str">
        <f>IFERROR(IF($AQ167&gt;6,INDEX(Festivals!$S$2:$S$160,$AP167+6),""),"")</f>
        <v/>
      </c>
      <c r="T167">
        <f>INDEX(GCalXMLT[dcaturmasya1],$D167)</f>
        <v>0</v>
      </c>
      <c r="U167">
        <f>INDEX(GCalXMLT[dcaturmasya2],$D167)</f>
        <v>0</v>
      </c>
      <c r="V167" t="str">
        <f>INDEX(GCalXMLT[sankrantirasi],$D167) &amp; " " &amp; INDEX(GCalXMLT[sankrantitime],$D167)</f>
        <v xml:space="preserve"> </v>
      </c>
      <c r="W167" t="str">
        <f ca="1">IFERROR(INDEX('Holidays Calc'!$K$2:$K$233,AR167),"")</f>
        <v/>
      </c>
      <c r="X167" t="str">
        <f ca="1">IF(AR167="","",IF(INDEX('Holidays Calc'!$I$2:$I$233,AR167+1)=A167,INDEX('Holidays Calc'!$K$2:$K$233,AR167+1),""))</f>
        <v/>
      </c>
      <c r="Y167" t="str">
        <f ca="1">IF(AR167="","",IF(INDEX('Holidays Calc'!$I$2:$I$233,AR167+2)=A167,INDEX('Holidays Calc'!$K$2:$K$233,AR167+2),""))</f>
        <v/>
      </c>
      <c r="Z167" t="str">
        <f ca="1">IF(AR167="","",IF(INDEX('Holidays Calc'!$I$2:$I$233,AR167+3)=A167,INDEX('Holidays Calc'!$K$2:$K$2333,AR167+3),""))</f>
        <v/>
      </c>
      <c r="AA167" t="str">
        <f>IF(I167="Last day of Bhisma Pancaka","",IF(G167="*",-0.7,IF(ISBLANK(INDEX(GCalXMLT[dclass1],$D167)),"",INDEX(GCalXMLT[dclass1],$D167))))</f>
        <v/>
      </c>
      <c r="AB167" t="str">
        <f>IF(J167="First day of Bhisma Pancaka","",IF(AND(G167="*",NOT(ISERROR(SEARCH("ekadasi",J167)))),-0.7,IF(ISBLANK(INDEX(GCalXMLT[dclass2],$D167)),"",INDEX(GCalXMLT[dclass2],$D167))))</f>
        <v/>
      </c>
      <c r="AC167" t="str">
        <f>IF(I167="Nandotsava",-1,IF(ISBLANK(INDEX(GCalXMLT[dclass3],$D167)),"",INDEX(GCalXMLT[dclass3],$D167)))</f>
        <v/>
      </c>
      <c r="AD167" t="str">
        <f>IF(I167="Nandotsava",IF(ISBLANK(INDEX(GCalXMLT[dclass3],$D167)),"",INDEX(GCalXMLT[dclass3],$D167)),IF(ISBLANK(INDEX(GCalXMLT[dclass4],$D167)),"",INDEX(GCalXMLT[dclass4],$D167)))</f>
        <v/>
      </c>
      <c r="AE167" t="str">
        <f>IFERROR(INDEX(Festivals!$V$2:$V$160,AP167),"")</f>
        <v/>
      </c>
      <c r="AF167" t="str">
        <f>IFERROR(IF($AQ167&gt;1,INDEX(Festivals!$V$2:$V$160,$AP167+1),""),"")</f>
        <v/>
      </c>
      <c r="AG167" t="str">
        <f>IFERROR(IF($AQ167&gt;2,INDEX(Festivals!$V$2:$V$160,$AP167+2),""),"")</f>
        <v/>
      </c>
      <c r="AH167" t="str">
        <f>IFERROR(IF($AQ167&gt;3,INDEX(Festivals!$V$2:$V$160,$AP167+3),""),"")</f>
        <v/>
      </c>
      <c r="AI167" t="str">
        <f>IFERROR(IF($AQ167&gt;4,INDEX(Festivals!$V$2:$V$160,$AP167+4),""),"")</f>
        <v/>
      </c>
      <c r="AJ167" t="str">
        <f>IFERROR(IF($AQ167&gt;5,INDEX(Festivals!$V$2:$V$160,$AP167+5),""),"")</f>
        <v/>
      </c>
      <c r="AK167" t="str">
        <f>IFERROR(IF($AQ167&gt;6,INDEX(Festivals!$V$2:$V$160,$AP167+6),""),"")</f>
        <v/>
      </c>
      <c r="AL167" t="str">
        <f ca="1">IFERROR(INDEX('Holidays Calc'!$J$2:$J$233,MATCH(A167,'Holidays Calc'!$I$2:$I$233,0)),"")</f>
        <v/>
      </c>
      <c r="AM167" t="str">
        <f ca="1">IF(AR167="","",IF(INDEX('Holidays Calc'!$I$2:$I$233,AR167+1)=A167,INDEX('Holidays Calc'!$J$2:$J$233,AR167+1),""))</f>
        <v/>
      </c>
      <c r="AN167" t="str">
        <f ca="1">IF(AR167="","",IF(INDEX('Holidays Calc'!$I$2:$I$233,AR167+2)=A167,INDEX('Holidays Calc'!$J$2:$J$233,AR167+2),""))</f>
        <v/>
      </c>
      <c r="AO167" t="str">
        <f ca="1">IF(AR167="","",IF(INDEX('Holidays Calc'!$I$2:$I$233,AR167+3)=A167,INDEX('Holidays Calc'!$J$2:$J$233,AR167+3),""))</f>
        <v/>
      </c>
      <c r="AP167" t="str">
        <f>IFERROR(IF($E167=E166,"",MATCH($E167,Festivals!$H$2:$H$160,0)),"")</f>
        <v/>
      </c>
      <c r="AQ167" t="str">
        <f>IF(AP167="","",COUNTIF(Festivals!$H$2:$H$160,$E167))</f>
        <v/>
      </c>
      <c r="AR167" t="str">
        <f ca="1">IFERROR(MATCH(A167,'Holidays Calc'!$I$2:$I$233,0),"")</f>
        <v/>
      </c>
      <c r="AS167" t="str">
        <f t="shared" si="18"/>
        <v/>
      </c>
      <c r="AT167" t="str">
        <f t="shared" si="17"/>
        <v/>
      </c>
      <c r="AU167" t="str">
        <f t="shared" ca="1" si="19"/>
        <v/>
      </c>
      <c r="AV167" t="str">
        <f t="shared" ca="1" si="20"/>
        <v/>
      </c>
    </row>
    <row r="168" spans="1:48" x14ac:dyDescent="0.25">
      <c r="A168" s="265">
        <f t="shared" si="16"/>
        <v>43594</v>
      </c>
      <c r="B168" s="265" t="str">
        <f t="shared" si="21"/>
        <v>9 May 2019</v>
      </c>
      <c r="C168" s="267">
        <f t="shared" si="22"/>
        <v>19</v>
      </c>
      <c r="D168">
        <f>MATCH(A168,GCalXMLT[daydate],0)</f>
        <v>167</v>
      </c>
      <c r="E168">
        <f>VALUE("1" &amp; Masacod(INDEX(GCalXMLT[gymasa],D168)) &amp; PaksaCod(INDEX(GCalXMLT[mpaksaid],D168)) &amp; TithiCod(INDEX(GCalXMLT[stithiname],D168)))</f>
        <v>102105</v>
      </c>
      <c r="F168" t="str">
        <f ca="1">INDEX(Parameters!$K$2:$K$16,MATCH(AV168,Parameters!$L$2:$L$16,0))</f>
        <v/>
      </c>
      <c r="G168">
        <f>INDEX(GCalXMLT[fastmark],$D168)</f>
        <v>0</v>
      </c>
      <c r="H168" t="str">
        <f ca="1">INDEX(Parameters!$J$2:$J$16,MATCH(AV168,Parameters!$L$2:$L$16,0))</f>
        <v/>
      </c>
      <c r="I168">
        <f>INDEX(GCalXMLT[dfestival1],$D168)</f>
        <v>0</v>
      </c>
      <c r="J168">
        <f>IF(INDEX(GCalXMLT[dfestival2],$D168)="(Fast today)",INDEX(Festivals!$R$2:$R$180,MATCH($I168,Festivals!$R$2:$R$180,0)+1),INDEX(GCalXMLT[dfestival2],$D168))</f>
        <v>0</v>
      </c>
      <c r="K168">
        <f>IF(I168="Nandotsava","(Fast till noon)",INDEX(GCalXMLT[dfestival3],$D168))</f>
        <v>0</v>
      </c>
      <c r="L168">
        <f>IF(I168="Nandotsava", INDEX(GCalXMLT[dfestival3],$D168),INDEX(GCalXMLT[dfestival4],$D168))</f>
        <v>0</v>
      </c>
      <c r="M168" t="str">
        <f>IFERROR(INDEX(Festivals!$S$2:$S$160,AP168),"")</f>
        <v/>
      </c>
      <c r="N168" t="str">
        <f>IFERROR(IF($AQ168&gt;1,INDEX(Festivals!$S$2:$S$160,$AP168+1),""),"")</f>
        <v/>
      </c>
      <c r="O168" t="str">
        <f>IFERROR(IF($AQ168&gt;2,INDEX(Festivals!$S$2:$S$160,$AP168+2),""),"")</f>
        <v/>
      </c>
      <c r="P168" t="str">
        <f>IFERROR(IF($AQ168&gt;3,INDEX(Festivals!$S$2:$S$160,$AP168+3),""),"")</f>
        <v/>
      </c>
      <c r="Q168" t="str">
        <f>IFERROR(IF($AQ168&gt;4,INDEX(Festivals!$S$2:$S$160,$AP168+4),""),"")</f>
        <v/>
      </c>
      <c r="R168" t="str">
        <f>IFERROR(IF($AQ168&gt;5,INDEX(Festivals!$S$2:$S$160,$AP168+5),""),"")</f>
        <v/>
      </c>
      <c r="S168" t="str">
        <f>IFERROR(IF($AQ168&gt;6,INDEX(Festivals!$S$2:$S$160,$AP168+6),""),"")</f>
        <v/>
      </c>
      <c r="T168">
        <f>INDEX(GCalXMLT[dcaturmasya1],$D168)</f>
        <v>0</v>
      </c>
      <c r="U168">
        <f>INDEX(GCalXMLT[dcaturmasya2],$D168)</f>
        <v>0</v>
      </c>
      <c r="V168" t="str">
        <f>INDEX(GCalXMLT[sankrantirasi],$D168) &amp; " " &amp; INDEX(GCalXMLT[sankrantitime],$D168)</f>
        <v xml:space="preserve"> </v>
      </c>
      <c r="W168" t="str">
        <f ca="1">IFERROR(INDEX('Holidays Calc'!$K$2:$K$233,AR168),"")</f>
        <v/>
      </c>
      <c r="X168" t="str">
        <f ca="1">IF(AR168="","",IF(INDEX('Holidays Calc'!$I$2:$I$233,AR168+1)=A168,INDEX('Holidays Calc'!$K$2:$K$233,AR168+1),""))</f>
        <v/>
      </c>
      <c r="Y168" t="str">
        <f ca="1">IF(AR168="","",IF(INDEX('Holidays Calc'!$I$2:$I$233,AR168+2)=A168,INDEX('Holidays Calc'!$K$2:$K$233,AR168+2),""))</f>
        <v/>
      </c>
      <c r="Z168" t="str">
        <f ca="1">IF(AR168="","",IF(INDEX('Holidays Calc'!$I$2:$I$233,AR168+3)=A168,INDEX('Holidays Calc'!$K$2:$K$2333,AR168+3),""))</f>
        <v/>
      </c>
      <c r="AA168" t="str">
        <f>IF(I168="Last day of Bhisma Pancaka","",IF(G168="*",-0.7,IF(ISBLANK(INDEX(GCalXMLT[dclass1],$D168)),"",INDEX(GCalXMLT[dclass1],$D168))))</f>
        <v/>
      </c>
      <c r="AB168" t="str">
        <f>IF(J168="First day of Bhisma Pancaka","",IF(AND(G168="*",NOT(ISERROR(SEARCH("ekadasi",J168)))),-0.7,IF(ISBLANK(INDEX(GCalXMLT[dclass2],$D168)),"",INDEX(GCalXMLT[dclass2],$D168))))</f>
        <v/>
      </c>
      <c r="AC168" t="str">
        <f>IF(I168="Nandotsava",-1,IF(ISBLANK(INDEX(GCalXMLT[dclass3],$D168)),"",INDEX(GCalXMLT[dclass3],$D168)))</f>
        <v/>
      </c>
      <c r="AD168" t="str">
        <f>IF(I168="Nandotsava",IF(ISBLANK(INDEX(GCalXMLT[dclass3],$D168)),"",INDEX(GCalXMLT[dclass3],$D168)),IF(ISBLANK(INDEX(GCalXMLT[dclass4],$D168)),"",INDEX(GCalXMLT[dclass4],$D168)))</f>
        <v/>
      </c>
      <c r="AE168" t="str">
        <f>IFERROR(INDEX(Festivals!$V$2:$V$160,AP168),"")</f>
        <v/>
      </c>
      <c r="AF168" t="str">
        <f>IFERROR(IF($AQ168&gt;1,INDEX(Festivals!$V$2:$V$160,$AP168+1),""),"")</f>
        <v/>
      </c>
      <c r="AG168" t="str">
        <f>IFERROR(IF($AQ168&gt;2,INDEX(Festivals!$V$2:$V$160,$AP168+2),""),"")</f>
        <v/>
      </c>
      <c r="AH168" t="str">
        <f>IFERROR(IF($AQ168&gt;3,INDEX(Festivals!$V$2:$V$160,$AP168+3),""),"")</f>
        <v/>
      </c>
      <c r="AI168" t="str">
        <f>IFERROR(IF($AQ168&gt;4,INDEX(Festivals!$V$2:$V$160,$AP168+4),""),"")</f>
        <v/>
      </c>
      <c r="AJ168" t="str">
        <f>IFERROR(IF($AQ168&gt;5,INDEX(Festivals!$V$2:$V$160,$AP168+5),""),"")</f>
        <v/>
      </c>
      <c r="AK168" t="str">
        <f>IFERROR(IF($AQ168&gt;6,INDEX(Festivals!$V$2:$V$160,$AP168+6),""),"")</f>
        <v/>
      </c>
      <c r="AL168" t="str">
        <f ca="1">IFERROR(INDEX('Holidays Calc'!$J$2:$J$233,MATCH(A168,'Holidays Calc'!$I$2:$I$233,0)),"")</f>
        <v/>
      </c>
      <c r="AM168" t="str">
        <f ca="1">IF(AR168="","",IF(INDEX('Holidays Calc'!$I$2:$I$233,AR168+1)=A168,INDEX('Holidays Calc'!$J$2:$J$233,AR168+1),""))</f>
        <v/>
      </c>
      <c r="AN168" t="str">
        <f ca="1">IF(AR168="","",IF(INDEX('Holidays Calc'!$I$2:$I$233,AR168+2)=A168,INDEX('Holidays Calc'!$J$2:$J$233,AR168+2),""))</f>
        <v/>
      </c>
      <c r="AO168" t="str">
        <f ca="1">IF(AR168="","",IF(INDEX('Holidays Calc'!$I$2:$I$233,AR168+3)=A168,INDEX('Holidays Calc'!$J$2:$J$233,AR168+3),""))</f>
        <v/>
      </c>
      <c r="AP168" t="str">
        <f>IFERROR(IF($E168=E167,"",MATCH($E168,Festivals!$H$2:$H$160,0)),"")</f>
        <v/>
      </c>
      <c r="AQ168" t="str">
        <f>IF(AP168="","",COUNTIF(Festivals!$H$2:$H$160,$E168))</f>
        <v/>
      </c>
      <c r="AR168" t="str">
        <f ca="1">IFERROR(MATCH(A168,'Holidays Calc'!$I$2:$I$233,0),"")</f>
        <v/>
      </c>
      <c r="AS168" t="str">
        <f t="shared" si="18"/>
        <v/>
      </c>
      <c r="AT168" t="str">
        <f t="shared" si="17"/>
        <v/>
      </c>
      <c r="AU168" t="str">
        <f t="shared" ca="1" si="19"/>
        <v/>
      </c>
      <c r="AV168" t="str">
        <f t="shared" ca="1" si="20"/>
        <v/>
      </c>
    </row>
    <row r="169" spans="1:48" x14ac:dyDescent="0.25">
      <c r="A169" s="265">
        <f t="shared" si="16"/>
        <v>43595</v>
      </c>
      <c r="B169" s="265" t="str">
        <f t="shared" si="21"/>
        <v>10 May 2019</v>
      </c>
      <c r="C169" s="267">
        <f t="shared" si="22"/>
        <v>19</v>
      </c>
      <c r="D169">
        <f>MATCH(A169,GCalXMLT[daydate],0)</f>
        <v>168</v>
      </c>
      <c r="E169">
        <f>VALUE("1" &amp; Masacod(INDEX(GCalXMLT[gymasa],D169)) &amp; PaksaCod(INDEX(GCalXMLT[mpaksaid],D169)) &amp; TithiCod(INDEX(GCalXMLT[stithiname],D169)))</f>
        <v>102106</v>
      </c>
      <c r="F169" t="str">
        <f ca="1">INDEX(Parameters!$K$2:$K$16,MATCH(AV169,Parameters!$L$2:$L$16,0))</f>
        <v/>
      </c>
      <c r="G169">
        <f>INDEX(GCalXMLT[fastmark],$D169)</f>
        <v>0</v>
      </c>
      <c r="H169" t="str">
        <f ca="1">INDEX(Parameters!$J$2:$J$16,MATCH(AV169,Parameters!$L$2:$L$16,0))</f>
        <v/>
      </c>
      <c r="I169">
        <f>INDEX(GCalXMLT[dfestival1],$D169)</f>
        <v>0</v>
      </c>
      <c r="J169">
        <f>IF(INDEX(GCalXMLT[dfestival2],$D169)="(Fast today)",INDEX(Festivals!$R$2:$R$180,MATCH($I169,Festivals!$R$2:$R$180,0)+1),INDEX(GCalXMLT[dfestival2],$D169))</f>
        <v>0</v>
      </c>
      <c r="K169">
        <f>IF(I169="Nandotsava","(Fast till noon)",INDEX(GCalXMLT[dfestival3],$D169))</f>
        <v>0</v>
      </c>
      <c r="L169">
        <f>IF(I169="Nandotsava", INDEX(GCalXMLT[dfestival3],$D169),INDEX(GCalXMLT[dfestival4],$D169))</f>
        <v>0</v>
      </c>
      <c r="M169" t="str">
        <f>IFERROR(INDEX(Festivals!$S$2:$S$160,AP169),"")</f>
        <v/>
      </c>
      <c r="N169" t="str">
        <f>IFERROR(IF($AQ169&gt;1,INDEX(Festivals!$S$2:$S$160,$AP169+1),""),"")</f>
        <v/>
      </c>
      <c r="O169" t="str">
        <f>IFERROR(IF($AQ169&gt;2,INDEX(Festivals!$S$2:$S$160,$AP169+2),""),"")</f>
        <v/>
      </c>
      <c r="P169" t="str">
        <f>IFERROR(IF($AQ169&gt;3,INDEX(Festivals!$S$2:$S$160,$AP169+3),""),"")</f>
        <v/>
      </c>
      <c r="Q169" t="str">
        <f>IFERROR(IF($AQ169&gt;4,INDEX(Festivals!$S$2:$S$160,$AP169+4),""),"")</f>
        <v/>
      </c>
      <c r="R169" t="str">
        <f>IFERROR(IF($AQ169&gt;5,INDEX(Festivals!$S$2:$S$160,$AP169+5),""),"")</f>
        <v/>
      </c>
      <c r="S169" t="str">
        <f>IFERROR(IF($AQ169&gt;6,INDEX(Festivals!$S$2:$S$160,$AP169+6),""),"")</f>
        <v/>
      </c>
      <c r="T169">
        <f>INDEX(GCalXMLT[dcaturmasya1],$D169)</f>
        <v>0</v>
      </c>
      <c r="U169">
        <f>INDEX(GCalXMLT[dcaturmasya2],$D169)</f>
        <v>0</v>
      </c>
      <c r="V169" t="str">
        <f>INDEX(GCalXMLT[sankrantirasi],$D169) &amp; " " &amp; INDEX(GCalXMLT[sankrantitime],$D169)</f>
        <v xml:space="preserve"> </v>
      </c>
      <c r="W169" t="str">
        <f ca="1">IFERROR(INDEX('Holidays Calc'!$K$2:$K$233,AR169),"")</f>
        <v/>
      </c>
      <c r="X169" t="str">
        <f ca="1">IF(AR169="","",IF(INDEX('Holidays Calc'!$I$2:$I$233,AR169+1)=A169,INDEX('Holidays Calc'!$K$2:$K$233,AR169+1),""))</f>
        <v/>
      </c>
      <c r="Y169" t="str">
        <f ca="1">IF(AR169="","",IF(INDEX('Holidays Calc'!$I$2:$I$233,AR169+2)=A169,INDEX('Holidays Calc'!$K$2:$K$233,AR169+2),""))</f>
        <v/>
      </c>
      <c r="Z169" t="str">
        <f ca="1">IF(AR169="","",IF(INDEX('Holidays Calc'!$I$2:$I$233,AR169+3)=A169,INDEX('Holidays Calc'!$K$2:$K$2333,AR169+3),""))</f>
        <v/>
      </c>
      <c r="AA169" t="str">
        <f>IF(I169="Last day of Bhisma Pancaka","",IF(G169="*",-0.7,IF(ISBLANK(INDEX(GCalXMLT[dclass1],$D169)),"",INDEX(GCalXMLT[dclass1],$D169))))</f>
        <v/>
      </c>
      <c r="AB169" t="str">
        <f>IF(J169="First day of Bhisma Pancaka","",IF(AND(G169="*",NOT(ISERROR(SEARCH("ekadasi",J169)))),-0.7,IF(ISBLANK(INDEX(GCalXMLT[dclass2],$D169)),"",INDEX(GCalXMLT[dclass2],$D169))))</f>
        <v/>
      </c>
      <c r="AC169" t="str">
        <f>IF(I169="Nandotsava",-1,IF(ISBLANK(INDEX(GCalXMLT[dclass3],$D169)),"",INDEX(GCalXMLT[dclass3],$D169)))</f>
        <v/>
      </c>
      <c r="AD169" t="str">
        <f>IF(I169="Nandotsava",IF(ISBLANK(INDEX(GCalXMLT[dclass3],$D169)),"",INDEX(GCalXMLT[dclass3],$D169)),IF(ISBLANK(INDEX(GCalXMLT[dclass4],$D169)),"",INDEX(GCalXMLT[dclass4],$D169)))</f>
        <v/>
      </c>
      <c r="AE169" t="str">
        <f>IFERROR(INDEX(Festivals!$V$2:$V$160,AP169),"")</f>
        <v/>
      </c>
      <c r="AF169" t="str">
        <f>IFERROR(IF($AQ169&gt;1,INDEX(Festivals!$V$2:$V$160,$AP169+1),""),"")</f>
        <v/>
      </c>
      <c r="AG169" t="str">
        <f>IFERROR(IF($AQ169&gt;2,INDEX(Festivals!$V$2:$V$160,$AP169+2),""),"")</f>
        <v/>
      </c>
      <c r="AH169" t="str">
        <f>IFERROR(IF($AQ169&gt;3,INDEX(Festivals!$V$2:$V$160,$AP169+3),""),"")</f>
        <v/>
      </c>
      <c r="AI169" t="str">
        <f>IFERROR(IF($AQ169&gt;4,INDEX(Festivals!$V$2:$V$160,$AP169+4),""),"")</f>
        <v/>
      </c>
      <c r="AJ169" t="str">
        <f>IFERROR(IF($AQ169&gt;5,INDEX(Festivals!$V$2:$V$160,$AP169+5),""),"")</f>
        <v/>
      </c>
      <c r="AK169" t="str">
        <f>IFERROR(IF($AQ169&gt;6,INDEX(Festivals!$V$2:$V$160,$AP169+6),""),"")</f>
        <v/>
      </c>
      <c r="AL169" t="str">
        <f ca="1">IFERROR(INDEX('Holidays Calc'!$J$2:$J$233,MATCH(A169,'Holidays Calc'!$I$2:$I$233,0)),"")</f>
        <v/>
      </c>
      <c r="AM169" t="str">
        <f ca="1">IF(AR169="","",IF(INDEX('Holidays Calc'!$I$2:$I$233,AR169+1)=A169,INDEX('Holidays Calc'!$J$2:$J$233,AR169+1),""))</f>
        <v/>
      </c>
      <c r="AN169" t="str">
        <f ca="1">IF(AR169="","",IF(INDEX('Holidays Calc'!$I$2:$I$233,AR169+2)=A169,INDEX('Holidays Calc'!$J$2:$J$233,AR169+2),""))</f>
        <v/>
      </c>
      <c r="AO169" t="str">
        <f ca="1">IF(AR169="","",IF(INDEX('Holidays Calc'!$I$2:$I$233,AR169+3)=A169,INDEX('Holidays Calc'!$J$2:$J$233,AR169+3),""))</f>
        <v/>
      </c>
      <c r="AP169" t="str">
        <f>IFERROR(IF($E169=E168,"",MATCH($E169,Festivals!$H$2:$H$160,0)),"")</f>
        <v/>
      </c>
      <c r="AQ169" t="str">
        <f>IF(AP169="","",COUNTIF(Festivals!$H$2:$H$160,$E169))</f>
        <v/>
      </c>
      <c r="AR169" t="str">
        <f ca="1">IFERROR(MATCH(A169,'Holidays Calc'!$I$2:$I$233,0),"")</f>
        <v/>
      </c>
      <c r="AS169" t="str">
        <f t="shared" si="18"/>
        <v/>
      </c>
      <c r="AT169" t="str">
        <f t="shared" si="17"/>
        <v/>
      </c>
      <c r="AU169" t="str">
        <f t="shared" ca="1" si="19"/>
        <v/>
      </c>
      <c r="AV169" t="str">
        <f t="shared" ca="1" si="20"/>
        <v/>
      </c>
    </row>
    <row r="170" spans="1:48" x14ac:dyDescent="0.25">
      <c r="A170" s="265">
        <f t="shared" si="16"/>
        <v>43596</v>
      </c>
      <c r="B170" s="265" t="str">
        <f t="shared" si="21"/>
        <v>11 May 2019</v>
      </c>
      <c r="C170" s="267">
        <f t="shared" si="22"/>
        <v>19</v>
      </c>
      <c r="D170">
        <f>MATCH(A170,GCalXMLT[daydate],0)</f>
        <v>169</v>
      </c>
      <c r="E170">
        <f>VALUE("1" &amp; Masacod(INDEX(GCalXMLT[gymasa],D170)) &amp; PaksaCod(INDEX(GCalXMLT[mpaksaid],D170)) &amp; TithiCod(INDEX(GCalXMLT[stithiname],D170)))</f>
        <v>102107</v>
      </c>
      <c r="F170" t="str">
        <f ca="1">INDEX(Parameters!$K$2:$K$16,MATCH(AV170,Parameters!$L$2:$L$16,0))</f>
        <v>C</v>
      </c>
      <c r="G170">
        <f>INDEX(GCalXMLT[fastmark],$D170)</f>
        <v>0</v>
      </c>
      <c r="H170" t="str">
        <f ca="1">INDEX(Parameters!$J$2:$J$16,MATCH(AV170,Parameters!$L$2:$L$16,0))</f>
        <v/>
      </c>
      <c r="I170">
        <f>INDEX(GCalXMLT[dfestival1],$D170)</f>
        <v>0</v>
      </c>
      <c r="J170">
        <f>IF(INDEX(GCalXMLT[dfestival2],$D170)="(Fast today)",INDEX(Festivals!$R$2:$R$180,MATCH($I170,Festivals!$R$2:$R$180,0)+1),INDEX(GCalXMLT[dfestival2],$D170))</f>
        <v>0</v>
      </c>
      <c r="K170">
        <f>IF(I170="Nandotsava","(Fast till noon)",INDEX(GCalXMLT[dfestival3],$D170))</f>
        <v>0</v>
      </c>
      <c r="L170">
        <f>IF(I170="Nandotsava", INDEX(GCalXMLT[dfestival3],$D170),INDEX(GCalXMLT[dfestival4],$D170))</f>
        <v>0</v>
      </c>
      <c r="M170" t="str">
        <f>IFERROR(INDEX(Festivals!$S$2:$S$160,AP170),"")</f>
        <v>Jahnu Saptami</v>
      </c>
      <c r="N170" t="str">
        <f>IFERROR(IF($AQ170&gt;1,INDEX(Festivals!$S$2:$S$160,$AP170+1),""),"")</f>
        <v/>
      </c>
      <c r="O170" t="str">
        <f>IFERROR(IF($AQ170&gt;2,INDEX(Festivals!$S$2:$S$160,$AP170+2),""),"")</f>
        <v/>
      </c>
      <c r="P170" t="str">
        <f>IFERROR(IF($AQ170&gt;3,INDEX(Festivals!$S$2:$S$160,$AP170+3),""),"")</f>
        <v/>
      </c>
      <c r="Q170" t="str">
        <f>IFERROR(IF($AQ170&gt;4,INDEX(Festivals!$S$2:$S$160,$AP170+4),""),"")</f>
        <v/>
      </c>
      <c r="R170" t="str">
        <f>IFERROR(IF($AQ170&gt;5,INDEX(Festivals!$S$2:$S$160,$AP170+5),""),"")</f>
        <v/>
      </c>
      <c r="S170" t="str">
        <f>IFERROR(IF($AQ170&gt;6,INDEX(Festivals!$S$2:$S$160,$AP170+6),""),"")</f>
        <v/>
      </c>
      <c r="T170">
        <f>INDEX(GCalXMLT[dcaturmasya1],$D170)</f>
        <v>0</v>
      </c>
      <c r="U170">
        <f>INDEX(GCalXMLT[dcaturmasya2],$D170)</f>
        <v>0</v>
      </c>
      <c r="V170" t="str">
        <f>INDEX(GCalXMLT[sankrantirasi],$D170) &amp; " " &amp; INDEX(GCalXMLT[sankrantitime],$D170)</f>
        <v xml:space="preserve"> </v>
      </c>
      <c r="W170" t="str">
        <f ca="1">IFERROR(INDEX('Holidays Calc'!$K$2:$K$233,AR170),"")</f>
        <v/>
      </c>
      <c r="X170" t="str">
        <f ca="1">IF(AR170="","",IF(INDEX('Holidays Calc'!$I$2:$I$233,AR170+1)=A170,INDEX('Holidays Calc'!$K$2:$K$233,AR170+1),""))</f>
        <v/>
      </c>
      <c r="Y170" t="str">
        <f ca="1">IF(AR170="","",IF(INDEX('Holidays Calc'!$I$2:$I$233,AR170+2)=A170,INDEX('Holidays Calc'!$K$2:$K$233,AR170+2),""))</f>
        <v/>
      </c>
      <c r="Z170" t="str">
        <f ca="1">IF(AR170="","",IF(INDEX('Holidays Calc'!$I$2:$I$233,AR170+3)=A170,INDEX('Holidays Calc'!$K$2:$K$2333,AR170+3),""))</f>
        <v/>
      </c>
      <c r="AA170" t="str">
        <f>IF(I170="Last day of Bhisma Pancaka","",IF(G170="*",-0.7,IF(ISBLANK(INDEX(GCalXMLT[dclass1],$D170)),"",INDEX(GCalXMLT[dclass1],$D170))))</f>
        <v/>
      </c>
      <c r="AB170" t="str">
        <f>IF(J170="First day of Bhisma Pancaka","",IF(AND(G170="*",NOT(ISERROR(SEARCH("ekadasi",J170)))),-0.7,IF(ISBLANK(INDEX(GCalXMLT[dclass2],$D170)),"",INDEX(GCalXMLT[dclass2],$D170))))</f>
        <v/>
      </c>
      <c r="AC170" t="str">
        <f>IF(I170="Nandotsava",-1,IF(ISBLANK(INDEX(GCalXMLT[dclass3],$D170)),"",INDEX(GCalXMLT[dclass3],$D170)))</f>
        <v/>
      </c>
      <c r="AD170" t="str">
        <f>IF(I170="Nandotsava",IF(ISBLANK(INDEX(GCalXMLT[dclass3],$D170)),"",INDEX(GCalXMLT[dclass3],$D170)),IF(ISBLANK(INDEX(GCalXMLT[dclass4],$D170)),"",INDEX(GCalXMLT[dclass4],$D170)))</f>
        <v/>
      </c>
      <c r="AE170">
        <f>IFERROR(INDEX(Festivals!$V$2:$V$160,AP170),"")</f>
        <v>5</v>
      </c>
      <c r="AF170" t="str">
        <f>IFERROR(IF($AQ170&gt;1,INDEX(Festivals!$V$2:$V$160,$AP170+1),""),"")</f>
        <v/>
      </c>
      <c r="AG170" t="str">
        <f>IFERROR(IF($AQ170&gt;2,INDEX(Festivals!$V$2:$V$160,$AP170+2),""),"")</f>
        <v/>
      </c>
      <c r="AH170" t="str">
        <f>IFERROR(IF($AQ170&gt;3,INDEX(Festivals!$V$2:$V$160,$AP170+3),""),"")</f>
        <v/>
      </c>
      <c r="AI170" t="str">
        <f>IFERROR(IF($AQ170&gt;4,INDEX(Festivals!$V$2:$V$160,$AP170+4),""),"")</f>
        <v/>
      </c>
      <c r="AJ170" t="str">
        <f>IFERROR(IF($AQ170&gt;5,INDEX(Festivals!$V$2:$V$160,$AP170+5),""),"")</f>
        <v/>
      </c>
      <c r="AK170" t="str">
        <f>IFERROR(IF($AQ170&gt;6,INDEX(Festivals!$V$2:$V$160,$AP170+6),""),"")</f>
        <v/>
      </c>
      <c r="AL170" t="str">
        <f ca="1">IFERROR(INDEX('Holidays Calc'!$J$2:$J$233,MATCH(A170,'Holidays Calc'!$I$2:$I$233,0)),"")</f>
        <v/>
      </c>
      <c r="AM170" t="str">
        <f ca="1">IF(AR170="","",IF(INDEX('Holidays Calc'!$I$2:$I$233,AR170+1)=A170,INDEX('Holidays Calc'!$J$2:$J$233,AR170+1),""))</f>
        <v/>
      </c>
      <c r="AN170" t="str">
        <f ca="1">IF(AR170="","",IF(INDEX('Holidays Calc'!$I$2:$I$233,AR170+2)=A170,INDEX('Holidays Calc'!$J$2:$J$233,AR170+2),""))</f>
        <v/>
      </c>
      <c r="AO170" t="str">
        <f ca="1">IF(AR170="","",IF(INDEX('Holidays Calc'!$I$2:$I$233,AR170+3)=A170,INDEX('Holidays Calc'!$J$2:$J$233,AR170+3),""))</f>
        <v/>
      </c>
      <c r="AP170">
        <f>IFERROR(IF($E170=E169,"",MATCH($E170,Festivals!$H$2:$H$160,0)),"")</f>
        <v>13</v>
      </c>
      <c r="AQ170">
        <f>IF(AP170="","",COUNTIF(Festivals!$H$2:$H$160,$E170))</f>
        <v>1</v>
      </c>
      <c r="AR170" t="str">
        <f ca="1">IFERROR(MATCH(A170,'Holidays Calc'!$I$2:$I$233,0),"")</f>
        <v/>
      </c>
      <c r="AS170">
        <f t="shared" si="18"/>
        <v>5</v>
      </c>
      <c r="AT170">
        <f t="shared" si="17"/>
        <v>5</v>
      </c>
      <c r="AU170" t="str">
        <f t="shared" ca="1" si="19"/>
        <v/>
      </c>
      <c r="AV170">
        <f t="shared" ca="1" si="20"/>
        <v>5</v>
      </c>
    </row>
    <row r="171" spans="1:48" x14ac:dyDescent="0.25">
      <c r="A171" s="265">
        <f t="shared" si="16"/>
        <v>43597</v>
      </c>
      <c r="B171" s="265" t="str">
        <f t="shared" si="21"/>
        <v>12 May 2019</v>
      </c>
      <c r="C171" s="267">
        <f t="shared" si="22"/>
        <v>19</v>
      </c>
      <c r="D171">
        <f>MATCH(A171,GCalXMLT[daydate],0)</f>
        <v>170</v>
      </c>
      <c r="E171">
        <f>VALUE("1" &amp; Masacod(INDEX(GCalXMLT[gymasa],D171)) &amp; PaksaCod(INDEX(GCalXMLT[mpaksaid],D171)) &amp; TithiCod(INDEX(GCalXMLT[stithiname],D171)))</f>
        <v>102108</v>
      </c>
      <c r="F171" t="str">
        <f ca="1">INDEX(Parameters!$K$2:$K$16,MATCH(AV171,Parameters!$L$2:$L$16,0))</f>
        <v>C</v>
      </c>
      <c r="G171">
        <f>INDEX(GCalXMLT[fastmark],$D171)</f>
        <v>0</v>
      </c>
      <c r="H171" t="str">
        <f ca="1">INDEX(Parameters!$J$2:$J$16,MATCH(AV171,Parameters!$L$2:$L$16,0))</f>
        <v/>
      </c>
      <c r="I171">
        <f>INDEX(GCalXMLT[dfestival1],$D171)</f>
        <v>0</v>
      </c>
      <c r="J171">
        <f>IF(INDEX(GCalXMLT[dfestival2],$D171)="(Fast today)",INDEX(Festivals!$R$2:$R$180,MATCH($I171,Festivals!$R$2:$R$180,0)+1),INDEX(GCalXMLT[dfestival2],$D171))</f>
        <v>0</v>
      </c>
      <c r="K171">
        <f>IF(I171="Nandotsava","(Fast till noon)",INDEX(GCalXMLT[dfestival3],$D171))</f>
        <v>0</v>
      </c>
      <c r="L171">
        <f>IF(I171="Nandotsava", INDEX(GCalXMLT[dfestival3],$D171),INDEX(GCalXMLT[dfestival4],$D171))</f>
        <v>0</v>
      </c>
      <c r="M171" t="str">
        <f>IFERROR(INDEX(Festivals!$S$2:$S$160,AP171),"")</f>
        <v/>
      </c>
      <c r="N171" t="str">
        <f>IFERROR(IF($AQ171&gt;1,INDEX(Festivals!$S$2:$S$160,$AP171+1),""),"")</f>
        <v/>
      </c>
      <c r="O171" t="str">
        <f>IFERROR(IF($AQ171&gt;2,INDEX(Festivals!$S$2:$S$160,$AP171+2),""),"")</f>
        <v/>
      </c>
      <c r="P171" t="str">
        <f>IFERROR(IF($AQ171&gt;3,INDEX(Festivals!$S$2:$S$160,$AP171+3),""),"")</f>
        <v/>
      </c>
      <c r="Q171" t="str">
        <f>IFERROR(IF($AQ171&gt;4,INDEX(Festivals!$S$2:$S$160,$AP171+4),""),"")</f>
        <v/>
      </c>
      <c r="R171" t="str">
        <f>IFERROR(IF($AQ171&gt;5,INDEX(Festivals!$S$2:$S$160,$AP171+5),""),"")</f>
        <v/>
      </c>
      <c r="S171" t="str">
        <f>IFERROR(IF($AQ171&gt;6,INDEX(Festivals!$S$2:$S$160,$AP171+6),""),"")</f>
        <v/>
      </c>
      <c r="T171">
        <f>INDEX(GCalXMLT[dcaturmasya1],$D171)</f>
        <v>0</v>
      </c>
      <c r="U171">
        <f>INDEX(GCalXMLT[dcaturmasya2],$D171)</f>
        <v>0</v>
      </c>
      <c r="V171" t="str">
        <f>INDEX(GCalXMLT[sankrantirasi],$D171) &amp; " " &amp; INDEX(GCalXMLT[sankrantitime],$D171)</f>
        <v xml:space="preserve"> </v>
      </c>
      <c r="W171" t="str">
        <f ca="1">IFERROR(INDEX('Holidays Calc'!$K$2:$K$233,AR171),"")</f>
        <v>Dia das Mães (2º domingo de maio)</v>
      </c>
      <c r="X171" t="str">
        <f ca="1">IF(AR171="","",IF(INDEX('Holidays Calc'!$I$2:$I$233,AR171+1)=A171,INDEX('Holidays Calc'!$K$2:$K$233,AR171+1),""))</f>
        <v/>
      </c>
      <c r="Y171" t="str">
        <f ca="1">IF(AR171="","",IF(INDEX('Holidays Calc'!$I$2:$I$233,AR171+2)=A171,INDEX('Holidays Calc'!$K$2:$K$233,AR171+2),""))</f>
        <v/>
      </c>
      <c r="Z171" t="str">
        <f ca="1">IF(AR171="","",IF(INDEX('Holidays Calc'!$I$2:$I$233,AR171+3)=A171,INDEX('Holidays Calc'!$K$2:$K$2333,AR171+3),""))</f>
        <v/>
      </c>
      <c r="AA171" t="str">
        <f>IF(I171="Last day of Bhisma Pancaka","",IF(G171="*",-0.7,IF(ISBLANK(INDEX(GCalXMLT[dclass1],$D171)),"",INDEX(GCalXMLT[dclass1],$D171))))</f>
        <v/>
      </c>
      <c r="AB171" t="str">
        <f>IF(J171="First day of Bhisma Pancaka","",IF(AND(G171="*",NOT(ISERROR(SEARCH("ekadasi",J171)))),-0.7,IF(ISBLANK(INDEX(GCalXMLT[dclass2],$D171)),"",INDEX(GCalXMLT[dclass2],$D171))))</f>
        <v/>
      </c>
      <c r="AC171" t="str">
        <f>IF(I171="Nandotsava",-1,IF(ISBLANK(INDEX(GCalXMLT[dclass3],$D171)),"",INDEX(GCalXMLT[dclass3],$D171)))</f>
        <v/>
      </c>
      <c r="AD171" t="str">
        <f>IF(I171="Nandotsava",IF(ISBLANK(INDEX(GCalXMLT[dclass3],$D171)),"",INDEX(GCalXMLT[dclass3],$D171)),IF(ISBLANK(INDEX(GCalXMLT[dclass4],$D171)),"",INDEX(GCalXMLT[dclass4],$D171)))</f>
        <v/>
      </c>
      <c r="AE171" t="str">
        <f>IFERROR(INDEX(Festivals!$V$2:$V$160,AP171),"")</f>
        <v/>
      </c>
      <c r="AF171" t="str">
        <f>IFERROR(IF($AQ171&gt;1,INDEX(Festivals!$V$2:$V$160,$AP171+1),""),"")</f>
        <v/>
      </c>
      <c r="AG171" t="str">
        <f>IFERROR(IF($AQ171&gt;2,INDEX(Festivals!$V$2:$V$160,$AP171+2),""),"")</f>
        <v/>
      </c>
      <c r="AH171" t="str">
        <f>IFERROR(IF($AQ171&gt;3,INDEX(Festivals!$V$2:$V$160,$AP171+3),""),"")</f>
        <v/>
      </c>
      <c r="AI171" t="str">
        <f>IFERROR(IF($AQ171&gt;4,INDEX(Festivals!$V$2:$V$160,$AP171+4),""),"")</f>
        <v/>
      </c>
      <c r="AJ171" t="str">
        <f>IFERROR(IF($AQ171&gt;5,INDEX(Festivals!$V$2:$V$160,$AP171+5),""),"")</f>
        <v/>
      </c>
      <c r="AK171" t="str">
        <f>IFERROR(IF($AQ171&gt;6,INDEX(Festivals!$V$2:$V$160,$AP171+6),""),"")</f>
        <v/>
      </c>
      <c r="AL171">
        <f ca="1">IFERROR(INDEX('Holidays Calc'!$J$2:$J$233,MATCH(A171,'Holidays Calc'!$I$2:$I$233,0)),"")</f>
        <v>0.5</v>
      </c>
      <c r="AM171" t="str">
        <f ca="1">IF(AR171="","",IF(INDEX('Holidays Calc'!$I$2:$I$233,AR171+1)=A171,INDEX('Holidays Calc'!$J$2:$J$233,AR171+1),""))</f>
        <v/>
      </c>
      <c r="AN171" t="str">
        <f ca="1">IF(AR171="","",IF(INDEX('Holidays Calc'!$I$2:$I$233,AR171+2)=A171,INDEX('Holidays Calc'!$J$2:$J$233,AR171+2),""))</f>
        <v/>
      </c>
      <c r="AO171" t="str">
        <f ca="1">IF(AR171="","",IF(INDEX('Holidays Calc'!$I$2:$I$233,AR171+3)=A171,INDEX('Holidays Calc'!$J$2:$J$233,AR171+3),""))</f>
        <v/>
      </c>
      <c r="AP171" t="str">
        <f>IFERROR(IF($E171=E170,"",MATCH($E171,Festivals!$H$2:$H$160,0)),"")</f>
        <v/>
      </c>
      <c r="AQ171" t="str">
        <f>IF(AP171="","",COUNTIF(Festivals!$H$2:$H$160,$E171))</f>
        <v/>
      </c>
      <c r="AR171">
        <f ca="1">IFERROR(MATCH(A171,'Holidays Calc'!$I$2:$I$233,0),"")</f>
        <v>51</v>
      </c>
      <c r="AS171" t="str">
        <f t="shared" si="18"/>
        <v/>
      </c>
      <c r="AT171" t="str">
        <f t="shared" si="17"/>
        <v/>
      </c>
      <c r="AU171">
        <f t="shared" ca="1" si="19"/>
        <v>0.5</v>
      </c>
      <c r="AV171">
        <f t="shared" ca="1" si="20"/>
        <v>0.5</v>
      </c>
    </row>
    <row r="172" spans="1:48" x14ac:dyDescent="0.25">
      <c r="A172" s="265">
        <f t="shared" si="16"/>
        <v>43598</v>
      </c>
      <c r="B172" s="265" t="str">
        <f t="shared" si="21"/>
        <v>13 May 2019</v>
      </c>
      <c r="C172" s="267">
        <f t="shared" si="22"/>
        <v>20</v>
      </c>
      <c r="D172">
        <f>MATCH(A172,GCalXMLT[daydate],0)</f>
        <v>171</v>
      </c>
      <c r="E172">
        <f>VALUE("1" &amp; Masacod(INDEX(GCalXMLT[gymasa],D172)) &amp; PaksaCod(INDEX(GCalXMLT[mpaksaid],D172)) &amp; TithiCod(INDEX(GCalXMLT[stithiname],D172)))</f>
        <v>102109</v>
      </c>
      <c r="F172" t="str">
        <f ca="1">INDEX(Parameters!$K$2:$K$16,MATCH(AV172,Parameters!$L$2:$L$16,0))</f>
        <v>C</v>
      </c>
      <c r="G172">
        <f>INDEX(GCalXMLT[fastmark],$D172)</f>
        <v>0</v>
      </c>
      <c r="H172" t="str">
        <f ca="1">INDEX(Parameters!$J$2:$J$16,MATCH(AV172,Parameters!$L$2:$L$16,0))</f>
        <v/>
      </c>
      <c r="I172">
        <f>INDEX(GCalXMLT[dfestival1],$D172)</f>
        <v>0</v>
      </c>
      <c r="J172">
        <f>IF(INDEX(GCalXMLT[dfestival2],$D172)="(Fast today)",INDEX(Festivals!$R$2:$R$180,MATCH($I172,Festivals!$R$2:$R$180,0)+1),INDEX(GCalXMLT[dfestival2],$D172))</f>
        <v>0</v>
      </c>
      <c r="K172">
        <f>IF(I172="Nandotsava","(Fast till noon)",INDEX(GCalXMLT[dfestival3],$D172))</f>
        <v>0</v>
      </c>
      <c r="L172">
        <f>IF(I172="Nandotsava", INDEX(GCalXMLT[dfestival3],$D172),INDEX(GCalXMLT[dfestival4],$D172))</f>
        <v>0</v>
      </c>
      <c r="M172" t="str">
        <f>IFERROR(INDEX(Festivals!$S$2:$S$160,AP172),"")</f>
        <v>Srimati Sita Devi (consort of Lord Sri Rama) - Appearance</v>
      </c>
      <c r="N172" t="str">
        <f>IFERROR(IF($AQ172&gt;1,INDEX(Festivals!$S$2:$S$160,$AP172+1),""),"")</f>
        <v>Sri Madhu Pandita - Disappearance</v>
      </c>
      <c r="O172" t="str">
        <f>IFERROR(IF($AQ172&gt;2,INDEX(Festivals!$S$2:$S$160,$AP172+2),""),"")</f>
        <v>Srimati Jahnava Devi - Appearance</v>
      </c>
      <c r="P172" t="str">
        <f>IFERROR(IF($AQ172&gt;3,INDEX(Festivals!$S$2:$S$160,$AP172+3),""),"")</f>
        <v/>
      </c>
      <c r="Q172" t="str">
        <f>IFERROR(IF($AQ172&gt;4,INDEX(Festivals!$S$2:$S$160,$AP172+4),""),"")</f>
        <v/>
      </c>
      <c r="R172" t="str">
        <f>IFERROR(IF($AQ172&gt;5,INDEX(Festivals!$S$2:$S$160,$AP172+5),""),"")</f>
        <v/>
      </c>
      <c r="S172" t="str">
        <f>IFERROR(IF($AQ172&gt;6,INDEX(Festivals!$S$2:$S$160,$AP172+6),""),"")</f>
        <v/>
      </c>
      <c r="T172">
        <f>INDEX(GCalXMLT[dcaturmasya1],$D172)</f>
        <v>0</v>
      </c>
      <c r="U172">
        <f>INDEX(GCalXMLT[dcaturmasya2],$D172)</f>
        <v>0</v>
      </c>
      <c r="V172" t="str">
        <f>INDEX(GCalXMLT[sankrantirasi],$D172) &amp; " " &amp; INDEX(GCalXMLT[sankrantitime],$D172)</f>
        <v xml:space="preserve"> </v>
      </c>
      <c r="W172" t="str">
        <f ca="1">IFERROR(INDEX('Holidays Calc'!$K$2:$K$233,AR172),"")</f>
        <v>Dia da Abolição da Escravidão</v>
      </c>
      <c r="X172" t="str">
        <f ca="1">IF(AR172="","",IF(INDEX('Holidays Calc'!$I$2:$I$233,AR172+1)=A172,INDEX('Holidays Calc'!$K$2:$K$233,AR172+1),""))</f>
        <v/>
      </c>
      <c r="Y172" t="str">
        <f ca="1">IF(AR172="","",IF(INDEX('Holidays Calc'!$I$2:$I$233,AR172+2)=A172,INDEX('Holidays Calc'!$K$2:$K$233,AR172+2),""))</f>
        <v/>
      </c>
      <c r="Z172" t="str">
        <f ca="1">IF(AR172="","",IF(INDEX('Holidays Calc'!$I$2:$I$233,AR172+3)=A172,INDEX('Holidays Calc'!$K$2:$K$2333,AR172+3),""))</f>
        <v/>
      </c>
      <c r="AA172" t="str">
        <f>IF(I172="Last day of Bhisma Pancaka","",IF(G172="*",-0.7,IF(ISBLANK(INDEX(GCalXMLT[dclass1],$D172)),"",INDEX(GCalXMLT[dclass1],$D172))))</f>
        <v/>
      </c>
      <c r="AB172" t="str">
        <f>IF(J172="First day of Bhisma Pancaka","",IF(AND(G172="*",NOT(ISERROR(SEARCH("ekadasi",J172)))),-0.7,IF(ISBLANK(INDEX(GCalXMLT[dclass2],$D172)),"",INDEX(GCalXMLT[dclass2],$D172))))</f>
        <v/>
      </c>
      <c r="AC172" t="str">
        <f>IF(I172="Nandotsava",-1,IF(ISBLANK(INDEX(GCalXMLT[dclass3],$D172)),"",INDEX(GCalXMLT[dclass3],$D172)))</f>
        <v/>
      </c>
      <c r="AD172" t="str">
        <f>IF(I172="Nandotsava",IF(ISBLANK(INDEX(GCalXMLT[dclass3],$D172)),"",INDEX(GCalXMLT[dclass3],$D172)),IF(ISBLANK(INDEX(GCalXMLT[dclass4],$D172)),"",INDEX(GCalXMLT[dclass4],$D172)))</f>
        <v/>
      </c>
      <c r="AE172">
        <f>IFERROR(INDEX(Festivals!$V$2:$V$160,AP172),"")</f>
        <v>1</v>
      </c>
      <c r="AF172">
        <f>IFERROR(IF($AQ172&gt;1,INDEX(Festivals!$V$2:$V$160,$AP172+1),""),"")</f>
        <v>3</v>
      </c>
      <c r="AG172">
        <f>IFERROR(IF($AQ172&gt;2,INDEX(Festivals!$V$2:$V$160,$AP172+2),""),"")</f>
        <v>3</v>
      </c>
      <c r="AH172" t="str">
        <f>IFERROR(IF($AQ172&gt;3,INDEX(Festivals!$V$2:$V$160,$AP172+3),""),"")</f>
        <v/>
      </c>
      <c r="AI172" t="str">
        <f>IFERROR(IF($AQ172&gt;4,INDEX(Festivals!$V$2:$V$160,$AP172+4),""),"")</f>
        <v/>
      </c>
      <c r="AJ172" t="str">
        <f>IFERROR(IF($AQ172&gt;5,INDEX(Festivals!$V$2:$V$160,$AP172+5),""),"")</f>
        <v/>
      </c>
      <c r="AK172" t="str">
        <f>IFERROR(IF($AQ172&gt;6,INDEX(Festivals!$V$2:$V$160,$AP172+6),""),"")</f>
        <v/>
      </c>
      <c r="AL172">
        <f ca="1">IFERROR(INDEX('Holidays Calc'!$J$2:$J$233,MATCH(A172,'Holidays Calc'!$I$2:$I$233,0)),"")</f>
        <v>0.5</v>
      </c>
      <c r="AM172" t="str">
        <f ca="1">IF(AR172="","",IF(INDEX('Holidays Calc'!$I$2:$I$233,AR172+1)=A172,INDEX('Holidays Calc'!$J$2:$J$233,AR172+1),""))</f>
        <v/>
      </c>
      <c r="AN172" t="str">
        <f ca="1">IF(AR172="","",IF(INDEX('Holidays Calc'!$I$2:$I$233,AR172+2)=A172,INDEX('Holidays Calc'!$J$2:$J$233,AR172+2),""))</f>
        <v/>
      </c>
      <c r="AO172" t="str">
        <f ca="1">IF(AR172="","",IF(INDEX('Holidays Calc'!$I$2:$I$233,AR172+3)=A172,INDEX('Holidays Calc'!$J$2:$J$233,AR172+3),""))</f>
        <v/>
      </c>
      <c r="AP172">
        <f>IFERROR(IF($E172=E171,"",MATCH($E172,Festivals!$H$2:$H$160,0)),"")</f>
        <v>14</v>
      </c>
      <c r="AQ172">
        <f>IF(AP172="","",COUNTIF(Festivals!$H$2:$H$160,$E172))</f>
        <v>3</v>
      </c>
      <c r="AR172">
        <f ca="1">IFERROR(MATCH(A172,'Holidays Calc'!$I$2:$I$233,0),"")</f>
        <v>52</v>
      </c>
      <c r="AS172">
        <f t="shared" si="18"/>
        <v>1</v>
      </c>
      <c r="AT172">
        <f t="shared" si="17"/>
        <v>1</v>
      </c>
      <c r="AU172">
        <f t="shared" ca="1" si="19"/>
        <v>0.5</v>
      </c>
      <c r="AV172">
        <f t="shared" ca="1" si="20"/>
        <v>0.5</v>
      </c>
    </row>
    <row r="173" spans="1:48" x14ac:dyDescent="0.25">
      <c r="A173" s="265">
        <f t="shared" si="16"/>
        <v>43599</v>
      </c>
      <c r="B173" s="265" t="str">
        <f t="shared" si="21"/>
        <v>14 May 2019</v>
      </c>
      <c r="C173" s="267">
        <f t="shared" si="22"/>
        <v>20</v>
      </c>
      <c r="D173">
        <f>MATCH(A173,GCalXMLT[daydate],0)</f>
        <v>172</v>
      </c>
      <c r="E173">
        <f>VALUE("1" &amp; Masacod(INDEX(GCalXMLT[gymasa],D173)) &amp; PaksaCod(INDEX(GCalXMLT[mpaksaid],D173)) &amp; TithiCod(INDEX(GCalXMLT[stithiname],D173)))</f>
        <v>102111</v>
      </c>
      <c r="F173" t="str">
        <f ca="1">INDEX(Parameters!$K$2:$K$16,MATCH(AV173,Parameters!$L$2:$L$16,0))</f>
        <v>C</v>
      </c>
      <c r="G173">
        <f>INDEX(GCalXMLT[fastmark],$D173)</f>
        <v>0</v>
      </c>
      <c r="H173" t="str">
        <f ca="1">INDEX(Parameters!$J$2:$J$16,MATCH(AV173,Parameters!$L$2:$L$16,0))</f>
        <v/>
      </c>
      <c r="I173" t="str">
        <f>INDEX(GCalXMLT[dfestival1],$D173)</f>
        <v>Tulasi Jala Dan ends.</v>
      </c>
      <c r="J173">
        <f>IF(INDEX(GCalXMLT[dfestival2],$D173)="(Fast today)",INDEX(Festivals!$R$2:$R$180,MATCH($I173,Festivals!$R$2:$R$180,0)+1),INDEX(GCalXMLT[dfestival2],$D173))</f>
        <v>0</v>
      </c>
      <c r="K173">
        <f>IF(I173="Nandotsava","(Fast till noon)",INDEX(GCalXMLT[dfestival3],$D173))</f>
        <v>0</v>
      </c>
      <c r="L173">
        <f>IF(I173="Nandotsava", INDEX(GCalXMLT[dfestival3],$D173),INDEX(GCalXMLT[dfestival4],$D173))</f>
        <v>0</v>
      </c>
      <c r="M173" t="str">
        <f>IFERROR(INDEX(Festivals!$S$2:$S$160,AP173),"")</f>
        <v/>
      </c>
      <c r="N173" t="str">
        <f>IFERROR(IF($AQ173&gt;1,INDEX(Festivals!$S$2:$S$160,$AP173+1),""),"")</f>
        <v/>
      </c>
      <c r="O173" t="str">
        <f>IFERROR(IF($AQ173&gt;2,INDEX(Festivals!$S$2:$S$160,$AP173+2),""),"")</f>
        <v/>
      </c>
      <c r="P173" t="str">
        <f>IFERROR(IF($AQ173&gt;3,INDEX(Festivals!$S$2:$S$160,$AP173+3),""),"")</f>
        <v/>
      </c>
      <c r="Q173" t="str">
        <f>IFERROR(IF($AQ173&gt;4,INDEX(Festivals!$S$2:$S$160,$AP173+4),""),"")</f>
        <v/>
      </c>
      <c r="R173" t="str">
        <f>IFERROR(IF($AQ173&gt;5,INDEX(Festivals!$S$2:$S$160,$AP173+5),""),"")</f>
        <v/>
      </c>
      <c r="S173" t="str">
        <f>IFERROR(IF($AQ173&gt;6,INDEX(Festivals!$S$2:$S$160,$AP173+6),""),"")</f>
        <v/>
      </c>
      <c r="T173">
        <f>INDEX(GCalXMLT[dcaturmasya1],$D173)</f>
        <v>0</v>
      </c>
      <c r="U173">
        <f>INDEX(GCalXMLT[dcaturmasya2],$D173)</f>
        <v>0</v>
      </c>
      <c r="V173" t="str">
        <f>INDEX(GCalXMLT[sankrantirasi],$D173) &amp; " " &amp; INDEX(GCalXMLT[sankrantitime],$D173)</f>
        <v xml:space="preserve"> </v>
      </c>
      <c r="W173" t="str">
        <f ca="1">IFERROR(INDEX('Holidays Calc'!$K$2:$K$233,AR173),"")</f>
        <v/>
      </c>
      <c r="X173" t="str">
        <f ca="1">IF(AR173="","",IF(INDEX('Holidays Calc'!$I$2:$I$233,AR173+1)=A173,INDEX('Holidays Calc'!$K$2:$K$233,AR173+1),""))</f>
        <v/>
      </c>
      <c r="Y173" t="str">
        <f ca="1">IF(AR173="","",IF(INDEX('Holidays Calc'!$I$2:$I$233,AR173+2)=A173,INDEX('Holidays Calc'!$K$2:$K$233,AR173+2),""))</f>
        <v/>
      </c>
      <c r="Z173" t="str">
        <f ca="1">IF(AR173="","",IF(INDEX('Holidays Calc'!$I$2:$I$233,AR173+3)=A173,INDEX('Holidays Calc'!$K$2:$K$2333,AR173+3),""))</f>
        <v/>
      </c>
      <c r="AA173">
        <f>IF(I173="Last day of Bhisma Pancaka","",IF(G173="*",-0.7,IF(ISBLANK(INDEX(GCalXMLT[dclass1],$D173)),"",INDEX(GCalXMLT[dclass1],$D173))))</f>
        <v>5</v>
      </c>
      <c r="AB173" t="str">
        <f>IF(J173="First day of Bhisma Pancaka","",IF(AND(G173="*",NOT(ISERROR(SEARCH("ekadasi",J173)))),-0.7,IF(ISBLANK(INDEX(GCalXMLT[dclass2],$D173)),"",INDEX(GCalXMLT[dclass2],$D173))))</f>
        <v/>
      </c>
      <c r="AC173" t="str">
        <f>IF(I173="Nandotsava",-1,IF(ISBLANK(INDEX(GCalXMLT[dclass3],$D173)),"",INDEX(GCalXMLT[dclass3],$D173)))</f>
        <v/>
      </c>
      <c r="AD173" t="str">
        <f>IF(I173="Nandotsava",IF(ISBLANK(INDEX(GCalXMLT[dclass3],$D173)),"",INDEX(GCalXMLT[dclass3],$D173)),IF(ISBLANK(INDEX(GCalXMLT[dclass4],$D173)),"",INDEX(GCalXMLT[dclass4],$D173)))</f>
        <v/>
      </c>
      <c r="AE173" t="str">
        <f>IFERROR(INDEX(Festivals!$V$2:$V$160,AP173),"")</f>
        <v/>
      </c>
      <c r="AF173" t="str">
        <f>IFERROR(IF($AQ173&gt;1,INDEX(Festivals!$V$2:$V$160,$AP173+1),""),"")</f>
        <v/>
      </c>
      <c r="AG173" t="str">
        <f>IFERROR(IF($AQ173&gt;2,INDEX(Festivals!$V$2:$V$160,$AP173+2),""),"")</f>
        <v/>
      </c>
      <c r="AH173" t="str">
        <f>IFERROR(IF($AQ173&gt;3,INDEX(Festivals!$V$2:$V$160,$AP173+3),""),"")</f>
        <v/>
      </c>
      <c r="AI173" t="str">
        <f>IFERROR(IF($AQ173&gt;4,INDEX(Festivals!$V$2:$V$160,$AP173+4),""),"")</f>
        <v/>
      </c>
      <c r="AJ173" t="str">
        <f>IFERROR(IF($AQ173&gt;5,INDEX(Festivals!$V$2:$V$160,$AP173+5),""),"")</f>
        <v/>
      </c>
      <c r="AK173" t="str">
        <f>IFERROR(IF($AQ173&gt;6,INDEX(Festivals!$V$2:$V$160,$AP173+6),""),"")</f>
        <v/>
      </c>
      <c r="AL173" t="str">
        <f ca="1">IFERROR(INDEX('Holidays Calc'!$J$2:$J$233,MATCH(A173,'Holidays Calc'!$I$2:$I$233,0)),"")</f>
        <v/>
      </c>
      <c r="AM173" t="str">
        <f ca="1">IF(AR173="","",IF(INDEX('Holidays Calc'!$I$2:$I$233,AR173+1)=A173,INDEX('Holidays Calc'!$J$2:$J$233,AR173+1),""))</f>
        <v/>
      </c>
      <c r="AN173" t="str">
        <f ca="1">IF(AR173="","",IF(INDEX('Holidays Calc'!$I$2:$I$233,AR173+2)=A173,INDEX('Holidays Calc'!$J$2:$J$233,AR173+2),""))</f>
        <v/>
      </c>
      <c r="AO173" t="str">
        <f ca="1">IF(AR173="","",IF(INDEX('Holidays Calc'!$I$2:$I$233,AR173+3)=A173,INDEX('Holidays Calc'!$J$2:$J$233,AR173+3),""))</f>
        <v/>
      </c>
      <c r="AP173" t="str">
        <f>IFERROR(IF($E173=E172,"",MATCH($E173,Festivals!$H$2:$H$160,0)),"")</f>
        <v/>
      </c>
      <c r="AQ173" t="str">
        <f>IF(AP173="","",COUNTIF(Festivals!$H$2:$H$160,$E173))</f>
        <v/>
      </c>
      <c r="AR173" t="str">
        <f ca="1">IFERROR(MATCH(A173,'Holidays Calc'!$I$2:$I$233,0),"")</f>
        <v/>
      </c>
      <c r="AS173">
        <f t="shared" si="18"/>
        <v>5</v>
      </c>
      <c r="AT173">
        <f t="shared" si="17"/>
        <v>5</v>
      </c>
      <c r="AU173" t="str">
        <f t="shared" ca="1" si="19"/>
        <v/>
      </c>
      <c r="AV173">
        <f t="shared" ca="1" si="20"/>
        <v>5</v>
      </c>
    </row>
    <row r="174" spans="1:48" x14ac:dyDescent="0.25">
      <c r="A174" s="265">
        <f t="shared" si="16"/>
        <v>43600</v>
      </c>
      <c r="B174" s="265" t="str">
        <f t="shared" si="21"/>
        <v>15 May 2019</v>
      </c>
      <c r="C174" s="267">
        <f t="shared" si="22"/>
        <v>20</v>
      </c>
      <c r="D174">
        <f>MATCH(A174,GCalXMLT[daydate],0)</f>
        <v>173</v>
      </c>
      <c r="E174">
        <f>VALUE("1" &amp; Masacod(INDEX(GCalXMLT[gymasa],D174)) &amp; PaksaCod(INDEX(GCalXMLT[mpaksaid],D174)) &amp; TithiCod(INDEX(GCalXMLT[stithiname],D174)))</f>
        <v>102112</v>
      </c>
      <c r="F174" t="str">
        <f ca="1">INDEX(Parameters!$K$2:$K$16,MATCH(AV174,Parameters!$L$2:$L$16,0))</f>
        <v>E</v>
      </c>
      <c r="G174" t="str">
        <f>INDEX(GCalXMLT[fastmark],$D174)</f>
        <v>*</v>
      </c>
      <c r="H174" t="str">
        <f ca="1">INDEX(Parameters!$J$2:$J$16,MATCH(AV174,Parameters!$L$2:$L$16,0))</f>
        <v>*</v>
      </c>
      <c r="I174" t="str">
        <f>INDEX(GCalXMLT[dfestival1],$D174)</f>
        <v>Fasting for Mohini Ekadasi</v>
      </c>
      <c r="J174">
        <f>IF(INDEX(GCalXMLT[dfestival2],$D174)="(Fast today)",INDEX(Festivals!$R$2:$R$180,MATCH($I174,Festivals!$R$2:$R$180,0)+1),INDEX(GCalXMLT[dfestival2],$D174))</f>
        <v>0</v>
      </c>
      <c r="K174">
        <f>IF(I174="Nandotsava","(Fast till noon)",INDEX(GCalXMLT[dfestival3],$D174))</f>
        <v>0</v>
      </c>
      <c r="L174">
        <f>IF(I174="Nandotsava", INDEX(GCalXMLT[dfestival3],$D174),INDEX(GCalXMLT[dfestival4],$D174))</f>
        <v>0</v>
      </c>
      <c r="M174" t="str">
        <f>IFERROR(INDEX(Festivals!$S$2:$S$160,AP174),"")</f>
        <v>Rukmini Dvadasi</v>
      </c>
      <c r="N174" t="str">
        <f>IFERROR(IF($AQ174&gt;1,INDEX(Festivals!$S$2:$S$160,$AP174+1),""),"")</f>
        <v/>
      </c>
      <c r="O174" t="str">
        <f>IFERROR(IF($AQ174&gt;2,INDEX(Festivals!$S$2:$S$160,$AP174+2),""),"")</f>
        <v/>
      </c>
      <c r="P174" t="str">
        <f>IFERROR(IF($AQ174&gt;3,INDEX(Festivals!$S$2:$S$160,$AP174+3),""),"")</f>
        <v/>
      </c>
      <c r="Q174" t="str">
        <f>IFERROR(IF($AQ174&gt;4,INDEX(Festivals!$S$2:$S$160,$AP174+4),""),"")</f>
        <v/>
      </c>
      <c r="R174" t="str">
        <f>IFERROR(IF($AQ174&gt;5,INDEX(Festivals!$S$2:$S$160,$AP174+5),""),"")</f>
        <v/>
      </c>
      <c r="S174" t="str">
        <f>IFERROR(IF($AQ174&gt;6,INDEX(Festivals!$S$2:$S$160,$AP174+6),""),"")</f>
        <v/>
      </c>
      <c r="T174">
        <f>INDEX(GCalXMLT[dcaturmasya1],$D174)</f>
        <v>0</v>
      </c>
      <c r="U174">
        <f>INDEX(GCalXMLT[dcaturmasya2],$D174)</f>
        <v>0</v>
      </c>
      <c r="V174" t="str">
        <f>INDEX(GCalXMLT[sankrantirasi],$D174) &amp; " " &amp; INDEX(GCalXMLT[sankrantitime],$D174)</f>
        <v>Vrsabha 0,103368055555556</v>
      </c>
      <c r="W174" t="str">
        <f ca="1">IFERROR(INDEX('Holidays Calc'!$K$2:$K$233,AR174),"")</f>
        <v/>
      </c>
      <c r="X174" t="str">
        <f ca="1">IF(AR174="","",IF(INDEX('Holidays Calc'!$I$2:$I$233,AR174+1)=A174,INDEX('Holidays Calc'!$K$2:$K$233,AR174+1),""))</f>
        <v/>
      </c>
      <c r="Y174" t="str">
        <f ca="1">IF(AR174="","",IF(INDEX('Holidays Calc'!$I$2:$I$233,AR174+2)=A174,INDEX('Holidays Calc'!$K$2:$K$233,AR174+2),""))</f>
        <v/>
      </c>
      <c r="Z174" t="str">
        <f ca="1">IF(AR174="","",IF(INDEX('Holidays Calc'!$I$2:$I$233,AR174+3)=A174,INDEX('Holidays Calc'!$K$2:$K$2333,AR174+3),""))</f>
        <v/>
      </c>
      <c r="AA174">
        <f>IF(I174="Last day of Bhisma Pancaka","",IF(G174="*",-0.7,IF(ISBLANK(INDEX(GCalXMLT[dclass1],$D174)),"",INDEX(GCalXMLT[dclass1],$D174))))</f>
        <v>-0.7</v>
      </c>
      <c r="AB174" t="str">
        <f>IF(J174="First day of Bhisma Pancaka","",IF(AND(G174="*",NOT(ISERROR(SEARCH("ekadasi",J174)))),-0.7,IF(ISBLANK(INDEX(GCalXMLT[dclass2],$D174)),"",INDEX(GCalXMLT[dclass2],$D174))))</f>
        <v/>
      </c>
      <c r="AC174" t="str">
        <f>IF(I174="Nandotsava",-1,IF(ISBLANK(INDEX(GCalXMLT[dclass3],$D174)),"",INDEX(GCalXMLT[dclass3],$D174)))</f>
        <v/>
      </c>
      <c r="AD174" t="str">
        <f>IF(I174="Nandotsava",IF(ISBLANK(INDEX(GCalXMLT[dclass3],$D174)),"",INDEX(GCalXMLT[dclass3],$D174)),IF(ISBLANK(INDEX(GCalXMLT[dclass4],$D174)),"",INDEX(GCalXMLT[dclass4],$D174)))</f>
        <v/>
      </c>
      <c r="AE174">
        <f>IFERROR(INDEX(Festivals!$V$2:$V$160,AP174),"")</f>
        <v>1</v>
      </c>
      <c r="AF174" t="str">
        <f>IFERROR(IF($AQ174&gt;1,INDEX(Festivals!$V$2:$V$160,$AP174+1),""),"")</f>
        <v/>
      </c>
      <c r="AG174" t="str">
        <f>IFERROR(IF($AQ174&gt;2,INDEX(Festivals!$V$2:$V$160,$AP174+2),""),"")</f>
        <v/>
      </c>
      <c r="AH174" t="str">
        <f>IFERROR(IF($AQ174&gt;3,INDEX(Festivals!$V$2:$V$160,$AP174+3),""),"")</f>
        <v/>
      </c>
      <c r="AI174" t="str">
        <f>IFERROR(IF($AQ174&gt;4,INDEX(Festivals!$V$2:$V$160,$AP174+4),""),"")</f>
        <v/>
      </c>
      <c r="AJ174" t="str">
        <f>IFERROR(IF($AQ174&gt;5,INDEX(Festivals!$V$2:$V$160,$AP174+5),""),"")</f>
        <v/>
      </c>
      <c r="AK174" t="str">
        <f>IFERROR(IF($AQ174&gt;6,INDEX(Festivals!$V$2:$V$160,$AP174+6),""),"")</f>
        <v/>
      </c>
      <c r="AL174" t="str">
        <f ca="1">IFERROR(INDEX('Holidays Calc'!$J$2:$J$233,MATCH(A174,'Holidays Calc'!$I$2:$I$233,0)),"")</f>
        <v/>
      </c>
      <c r="AM174" t="str">
        <f ca="1">IF(AR174="","",IF(INDEX('Holidays Calc'!$I$2:$I$233,AR174+1)=A174,INDEX('Holidays Calc'!$J$2:$J$233,AR174+1),""))</f>
        <v/>
      </c>
      <c r="AN174" t="str">
        <f ca="1">IF(AR174="","",IF(INDEX('Holidays Calc'!$I$2:$I$233,AR174+2)=A174,INDEX('Holidays Calc'!$J$2:$J$233,AR174+2),""))</f>
        <v/>
      </c>
      <c r="AO174" t="str">
        <f ca="1">IF(AR174="","",IF(INDEX('Holidays Calc'!$I$2:$I$233,AR174+3)=A174,INDEX('Holidays Calc'!$J$2:$J$233,AR174+3),""))</f>
        <v/>
      </c>
      <c r="AP174">
        <f>IFERROR(IF($E174=E173,"",MATCH($E174,Festivals!$H$2:$H$160,0)),"")</f>
        <v>17</v>
      </c>
      <c r="AQ174">
        <f>IF(AP174="","",COUNTIF(Festivals!$H$2:$H$160,$E174))</f>
        <v>1</v>
      </c>
      <c r="AR174" t="str">
        <f ca="1">IFERROR(MATCH(A174,'Holidays Calc'!$I$2:$I$233,0),"")</f>
        <v/>
      </c>
      <c r="AS174">
        <f t="shared" si="18"/>
        <v>-0.7</v>
      </c>
      <c r="AT174">
        <f t="shared" si="17"/>
        <v>-0.7</v>
      </c>
      <c r="AU174" t="str">
        <f t="shared" ca="1" si="19"/>
        <v/>
      </c>
      <c r="AV174">
        <f t="shared" ca="1" si="20"/>
        <v>-0.7</v>
      </c>
    </row>
    <row r="175" spans="1:48" x14ac:dyDescent="0.25">
      <c r="A175" s="265">
        <f t="shared" si="16"/>
        <v>43601</v>
      </c>
      <c r="B175" s="265" t="str">
        <f t="shared" si="21"/>
        <v>16 May 2019</v>
      </c>
      <c r="C175" s="267">
        <f t="shared" si="22"/>
        <v>20</v>
      </c>
      <c r="D175">
        <f>MATCH(A175,GCalXMLT[daydate],0)</f>
        <v>174</v>
      </c>
      <c r="E175">
        <f>VALUE("1" &amp; Masacod(INDEX(GCalXMLT[gymasa],D175)) &amp; PaksaCod(INDEX(GCalXMLT[mpaksaid],D175)) &amp; TithiCod(INDEX(GCalXMLT[stithiname],D175)))</f>
        <v>102113</v>
      </c>
      <c r="F175" t="str">
        <f ca="1">INDEX(Parameters!$K$2:$K$16,MATCH(AV175,Parameters!$L$2:$L$16,0))</f>
        <v>C</v>
      </c>
      <c r="G175">
        <f>INDEX(GCalXMLT[fastmark],$D175)</f>
        <v>0</v>
      </c>
      <c r="H175" t="str">
        <f ca="1">INDEX(Parameters!$J$2:$J$16,MATCH(AV175,Parameters!$L$2:$L$16,0))</f>
        <v/>
      </c>
      <c r="I175">
        <f>INDEX(GCalXMLT[dfestival1],$D175)</f>
        <v>0</v>
      </c>
      <c r="J175">
        <f>IF(INDEX(GCalXMLT[dfestival2],$D175)="(Fast today)",INDEX(Festivals!$R$2:$R$180,MATCH($I175,Festivals!$R$2:$R$180,0)+1),INDEX(GCalXMLT[dfestival2],$D175))</f>
        <v>0</v>
      </c>
      <c r="K175">
        <f>IF(I175="Nandotsava","(Fast till noon)",INDEX(GCalXMLT[dfestival3],$D175))</f>
        <v>0</v>
      </c>
      <c r="L175">
        <f>IF(I175="Nandotsava", INDEX(GCalXMLT[dfestival3],$D175),INDEX(GCalXMLT[dfestival4],$D175))</f>
        <v>0</v>
      </c>
      <c r="M175" t="str">
        <f>IFERROR(INDEX(Festivals!$S$2:$S$160,AP175),"")</f>
        <v>Sri Jayananda Prabhu - Disappearance</v>
      </c>
      <c r="N175" t="str">
        <f>IFERROR(IF($AQ175&gt;1,INDEX(Festivals!$S$2:$S$160,$AP175+1),""),"")</f>
        <v/>
      </c>
      <c r="O175" t="str">
        <f>IFERROR(IF($AQ175&gt;2,INDEX(Festivals!$S$2:$S$160,$AP175+2),""),"")</f>
        <v/>
      </c>
      <c r="P175" t="str">
        <f>IFERROR(IF($AQ175&gt;3,INDEX(Festivals!$S$2:$S$160,$AP175+3),""),"")</f>
        <v/>
      </c>
      <c r="Q175" t="str">
        <f>IFERROR(IF($AQ175&gt;4,INDEX(Festivals!$S$2:$S$160,$AP175+4),""),"")</f>
        <v/>
      </c>
      <c r="R175" t="str">
        <f>IFERROR(IF($AQ175&gt;5,INDEX(Festivals!$S$2:$S$160,$AP175+5),""),"")</f>
        <v/>
      </c>
      <c r="S175" t="str">
        <f>IFERROR(IF($AQ175&gt;6,INDEX(Festivals!$S$2:$S$160,$AP175+6),""),"")</f>
        <v/>
      </c>
      <c r="T175">
        <f>INDEX(GCalXMLT[dcaturmasya1],$D175)</f>
        <v>0</v>
      </c>
      <c r="U175">
        <f>INDEX(GCalXMLT[dcaturmasya2],$D175)</f>
        <v>0</v>
      </c>
      <c r="V175" t="str">
        <f>INDEX(GCalXMLT[sankrantirasi],$D175) &amp; " " &amp; INDEX(GCalXMLT[sankrantitime],$D175)</f>
        <v xml:space="preserve"> </v>
      </c>
      <c r="W175" t="str">
        <f ca="1">IFERROR(INDEX('Holidays Calc'!$K$2:$K$233,AR175),"")</f>
        <v/>
      </c>
      <c r="X175" t="str">
        <f ca="1">IF(AR175="","",IF(INDEX('Holidays Calc'!$I$2:$I$233,AR175+1)=A175,INDEX('Holidays Calc'!$K$2:$K$233,AR175+1),""))</f>
        <v/>
      </c>
      <c r="Y175" t="str">
        <f ca="1">IF(AR175="","",IF(INDEX('Holidays Calc'!$I$2:$I$233,AR175+2)=A175,INDEX('Holidays Calc'!$K$2:$K$233,AR175+2),""))</f>
        <v/>
      </c>
      <c r="Z175" t="str">
        <f ca="1">IF(AR175="","",IF(INDEX('Holidays Calc'!$I$2:$I$233,AR175+3)=A175,INDEX('Holidays Calc'!$K$2:$K$2333,AR175+3),""))</f>
        <v/>
      </c>
      <c r="AA175" t="str">
        <f>IF(I175="Last day of Bhisma Pancaka","",IF(G175="*",-0.7,IF(ISBLANK(INDEX(GCalXMLT[dclass1],$D175)),"",INDEX(GCalXMLT[dclass1],$D175))))</f>
        <v/>
      </c>
      <c r="AB175" t="str">
        <f>IF(J175="First day of Bhisma Pancaka","",IF(AND(G175="*",NOT(ISERROR(SEARCH("ekadasi",J175)))),-0.7,IF(ISBLANK(INDEX(GCalXMLT[dclass2],$D175)),"",INDEX(GCalXMLT[dclass2],$D175))))</f>
        <v/>
      </c>
      <c r="AC175" t="str">
        <f>IF(I175="Nandotsava",-1,IF(ISBLANK(INDEX(GCalXMLT[dclass3],$D175)),"",INDEX(GCalXMLT[dclass3],$D175)))</f>
        <v/>
      </c>
      <c r="AD175" t="str">
        <f>IF(I175="Nandotsava",IF(ISBLANK(INDEX(GCalXMLT[dclass3],$D175)),"",INDEX(GCalXMLT[dclass3],$D175)),IF(ISBLANK(INDEX(GCalXMLT[dclass4],$D175)),"",INDEX(GCalXMLT[dclass4],$D175)))</f>
        <v/>
      </c>
      <c r="AE175">
        <f>IFERROR(INDEX(Festivals!$V$2:$V$160,AP175),"")</f>
        <v>4</v>
      </c>
      <c r="AF175" t="str">
        <f>IFERROR(IF($AQ175&gt;1,INDEX(Festivals!$V$2:$V$160,$AP175+1),""),"")</f>
        <v/>
      </c>
      <c r="AG175" t="str">
        <f>IFERROR(IF($AQ175&gt;2,INDEX(Festivals!$V$2:$V$160,$AP175+2),""),"")</f>
        <v/>
      </c>
      <c r="AH175" t="str">
        <f>IFERROR(IF($AQ175&gt;3,INDEX(Festivals!$V$2:$V$160,$AP175+3),""),"")</f>
        <v/>
      </c>
      <c r="AI175" t="str">
        <f>IFERROR(IF($AQ175&gt;4,INDEX(Festivals!$V$2:$V$160,$AP175+4),""),"")</f>
        <v/>
      </c>
      <c r="AJ175" t="str">
        <f>IFERROR(IF($AQ175&gt;5,INDEX(Festivals!$V$2:$V$160,$AP175+5),""),"")</f>
        <v/>
      </c>
      <c r="AK175" t="str">
        <f>IFERROR(IF($AQ175&gt;6,INDEX(Festivals!$V$2:$V$160,$AP175+6),""),"")</f>
        <v/>
      </c>
      <c r="AL175" t="str">
        <f ca="1">IFERROR(INDEX('Holidays Calc'!$J$2:$J$233,MATCH(A175,'Holidays Calc'!$I$2:$I$233,0)),"")</f>
        <v/>
      </c>
      <c r="AM175" t="str">
        <f ca="1">IF(AR175="","",IF(INDEX('Holidays Calc'!$I$2:$I$233,AR175+1)=A175,INDEX('Holidays Calc'!$J$2:$J$233,AR175+1),""))</f>
        <v/>
      </c>
      <c r="AN175" t="str">
        <f ca="1">IF(AR175="","",IF(INDEX('Holidays Calc'!$I$2:$I$233,AR175+2)=A175,INDEX('Holidays Calc'!$J$2:$J$233,AR175+2),""))</f>
        <v/>
      </c>
      <c r="AO175" t="str">
        <f ca="1">IF(AR175="","",IF(INDEX('Holidays Calc'!$I$2:$I$233,AR175+3)=A175,INDEX('Holidays Calc'!$J$2:$J$233,AR175+3),""))</f>
        <v/>
      </c>
      <c r="AP175">
        <f>IFERROR(IF($E175=E174,"",MATCH($E175,Festivals!$H$2:$H$160,0)),"")</f>
        <v>18</v>
      </c>
      <c r="AQ175">
        <f>IF(AP175="","",COUNTIF(Festivals!$H$2:$H$160,$E175))</f>
        <v>1</v>
      </c>
      <c r="AR175" t="str">
        <f ca="1">IFERROR(MATCH(A175,'Holidays Calc'!$I$2:$I$233,0),"")</f>
        <v/>
      </c>
      <c r="AS175">
        <f t="shared" si="18"/>
        <v>4</v>
      </c>
      <c r="AT175">
        <f t="shared" si="17"/>
        <v>4</v>
      </c>
      <c r="AU175" t="str">
        <f t="shared" ca="1" si="19"/>
        <v/>
      </c>
      <c r="AV175">
        <f t="shared" ca="1" si="20"/>
        <v>4</v>
      </c>
    </row>
    <row r="176" spans="1:48" x14ac:dyDescent="0.25">
      <c r="A176" s="265">
        <f t="shared" si="16"/>
        <v>43602</v>
      </c>
      <c r="B176" s="265" t="str">
        <f t="shared" si="21"/>
        <v>17 May 2019</v>
      </c>
      <c r="C176" s="267">
        <f t="shared" si="22"/>
        <v>20</v>
      </c>
      <c r="D176">
        <f>MATCH(A176,GCalXMLT[daydate],0)</f>
        <v>175</v>
      </c>
      <c r="E176">
        <f>VALUE("1" &amp; Masacod(INDEX(GCalXMLT[gymasa],D176)) &amp; PaksaCod(INDEX(GCalXMLT[mpaksaid],D176)) &amp; TithiCod(INDEX(GCalXMLT[stithiname],D176)))</f>
        <v>102114</v>
      </c>
      <c r="F176" t="str">
        <f ca="1">INDEX(Parameters!$K$2:$K$16,MATCH(AV176,Parameters!$L$2:$L$16,0))</f>
        <v>P</v>
      </c>
      <c r="G176">
        <f>INDEX(GCalXMLT[fastmark],$D176)</f>
        <v>0</v>
      </c>
      <c r="H176" t="str">
        <f ca="1">INDEX(Parameters!$J$2:$J$16,MATCH(AV176,Parameters!$L$2:$L$16,0))</f>
        <v>*</v>
      </c>
      <c r="I176">
        <f>INDEX(GCalXMLT[dfestival1],$D176)</f>
        <v>0</v>
      </c>
      <c r="J176">
        <f>IF(INDEX(GCalXMLT[dfestival2],$D176)="(Fast today)",INDEX(Festivals!$R$2:$R$180,MATCH($I176,Festivals!$R$2:$R$180,0)+1),INDEX(GCalXMLT[dfestival2],$D176))</f>
        <v>0</v>
      </c>
      <c r="K176">
        <f>IF(I176="Nandotsava","(Fast till noon)",INDEX(GCalXMLT[dfestival3],$D176))</f>
        <v>0</v>
      </c>
      <c r="L176">
        <f>IF(I176="Nandotsava", INDEX(GCalXMLT[dfestival3],$D176),INDEX(GCalXMLT[dfestival4],$D176))</f>
        <v>0</v>
      </c>
      <c r="M176" t="str">
        <f>IFERROR(INDEX(Festivals!$S$2:$S$160,AP176),"")</f>
        <v>Nrsimha Caturdasi: Appearance of Lord Nrsimhadeva</v>
      </c>
      <c r="N176" t="str">
        <f>IFERROR(IF($AQ176&gt;1,INDEX(Festivals!$S$2:$S$160,$AP176+1),""),"")</f>
        <v>(Fast till dusk)</v>
      </c>
      <c r="O176" t="str">
        <f>IFERROR(IF($AQ176&gt;2,INDEX(Festivals!$S$2:$S$160,$AP176+2),""),"")</f>
        <v/>
      </c>
      <c r="P176" t="str">
        <f>IFERROR(IF($AQ176&gt;3,INDEX(Festivals!$S$2:$S$160,$AP176+3),""),"")</f>
        <v/>
      </c>
      <c r="Q176" t="str">
        <f>IFERROR(IF($AQ176&gt;4,INDEX(Festivals!$S$2:$S$160,$AP176+4),""),"")</f>
        <v/>
      </c>
      <c r="R176" t="str">
        <f>IFERROR(IF($AQ176&gt;5,INDEX(Festivals!$S$2:$S$160,$AP176+5),""),"")</f>
        <v/>
      </c>
      <c r="S176" t="str">
        <f>IFERROR(IF($AQ176&gt;6,INDEX(Festivals!$S$2:$S$160,$AP176+6),""),"")</f>
        <v/>
      </c>
      <c r="T176">
        <f>INDEX(GCalXMLT[dcaturmasya1],$D176)</f>
        <v>0</v>
      </c>
      <c r="U176">
        <f>INDEX(GCalXMLT[dcaturmasya2],$D176)</f>
        <v>0</v>
      </c>
      <c r="V176" t="str">
        <f>INDEX(GCalXMLT[sankrantirasi],$D176) &amp; " " &amp; INDEX(GCalXMLT[sankrantitime],$D176)</f>
        <v xml:space="preserve"> </v>
      </c>
      <c r="W176" t="str">
        <f ca="1">IFERROR(INDEX('Holidays Calc'!$K$2:$K$233,AR176),"")</f>
        <v/>
      </c>
      <c r="X176" t="str">
        <f ca="1">IF(AR176="","",IF(INDEX('Holidays Calc'!$I$2:$I$233,AR176+1)=A176,INDEX('Holidays Calc'!$K$2:$K$233,AR176+1),""))</f>
        <v/>
      </c>
      <c r="Y176" t="str">
        <f ca="1">IF(AR176="","",IF(INDEX('Holidays Calc'!$I$2:$I$233,AR176+2)=A176,INDEX('Holidays Calc'!$K$2:$K$233,AR176+2),""))</f>
        <v/>
      </c>
      <c r="Z176" t="str">
        <f ca="1">IF(AR176="","",IF(INDEX('Holidays Calc'!$I$2:$I$233,AR176+3)=A176,INDEX('Holidays Calc'!$K$2:$K$2333,AR176+3),""))</f>
        <v/>
      </c>
      <c r="AA176" t="str">
        <f>IF(I176="Last day of Bhisma Pancaka","",IF(G176="*",-0.7,IF(ISBLANK(INDEX(GCalXMLT[dclass1],$D176)),"",INDEX(GCalXMLT[dclass1],$D176))))</f>
        <v/>
      </c>
      <c r="AB176" t="str">
        <f>IF(J176="First day of Bhisma Pancaka","",IF(AND(G176="*",NOT(ISERROR(SEARCH("ekadasi",J176)))),-0.7,IF(ISBLANK(INDEX(GCalXMLT[dclass2],$D176)),"",INDEX(GCalXMLT[dclass2],$D176))))</f>
        <v/>
      </c>
      <c r="AC176" t="str">
        <f>IF(I176="Nandotsava",-1,IF(ISBLANK(INDEX(GCalXMLT[dclass3],$D176)),"",INDEX(GCalXMLT[dclass3],$D176)))</f>
        <v/>
      </c>
      <c r="AD176" t="str">
        <f>IF(I176="Nandotsava",IF(ISBLANK(INDEX(GCalXMLT[dclass3],$D176)),"",INDEX(GCalXMLT[dclass3],$D176)),IF(ISBLANK(INDEX(GCalXMLT[dclass4],$D176)),"",INDEX(GCalXMLT[dclass4],$D176)))</f>
        <v/>
      </c>
      <c r="AE176">
        <f>IFERROR(INDEX(Festivals!$V$2:$V$160,AP176),"")</f>
        <v>0</v>
      </c>
      <c r="AF176">
        <f>IFERROR(IF($AQ176&gt;1,INDEX(Festivals!$V$2:$V$160,$AP176+1),""),"")</f>
        <v>-1</v>
      </c>
      <c r="AG176" t="str">
        <f>IFERROR(IF($AQ176&gt;2,INDEX(Festivals!$V$2:$V$160,$AP176+2),""),"")</f>
        <v/>
      </c>
      <c r="AH176" t="str">
        <f>IFERROR(IF($AQ176&gt;3,INDEX(Festivals!$V$2:$V$160,$AP176+3),""),"")</f>
        <v/>
      </c>
      <c r="AI176" t="str">
        <f>IFERROR(IF($AQ176&gt;4,INDEX(Festivals!$V$2:$V$160,$AP176+4),""),"")</f>
        <v/>
      </c>
      <c r="AJ176" t="str">
        <f>IFERROR(IF($AQ176&gt;5,INDEX(Festivals!$V$2:$V$160,$AP176+5),""),"")</f>
        <v/>
      </c>
      <c r="AK176" t="str">
        <f>IFERROR(IF($AQ176&gt;6,INDEX(Festivals!$V$2:$V$160,$AP176+6),""),"")</f>
        <v/>
      </c>
      <c r="AL176" t="str">
        <f ca="1">IFERROR(INDEX('Holidays Calc'!$J$2:$J$233,MATCH(A176,'Holidays Calc'!$I$2:$I$233,0)),"")</f>
        <v/>
      </c>
      <c r="AM176" t="str">
        <f ca="1">IF(AR176="","",IF(INDEX('Holidays Calc'!$I$2:$I$233,AR176+1)=A176,INDEX('Holidays Calc'!$J$2:$J$233,AR176+1),""))</f>
        <v/>
      </c>
      <c r="AN176" t="str">
        <f ca="1">IF(AR176="","",IF(INDEX('Holidays Calc'!$I$2:$I$233,AR176+2)=A176,INDEX('Holidays Calc'!$J$2:$J$233,AR176+2),""))</f>
        <v/>
      </c>
      <c r="AO176" t="str">
        <f ca="1">IF(AR176="","",IF(INDEX('Holidays Calc'!$I$2:$I$233,AR176+3)=A176,INDEX('Holidays Calc'!$J$2:$J$233,AR176+3),""))</f>
        <v/>
      </c>
      <c r="AP176">
        <f>IFERROR(IF($E176=E175,"",MATCH($E176,Festivals!$H$2:$H$160,0)),"")</f>
        <v>19</v>
      </c>
      <c r="AQ176">
        <f>IF(AP176="","",COUNTIF(Festivals!$H$2:$H$160,$E176))</f>
        <v>2</v>
      </c>
      <c r="AR176" t="str">
        <f ca="1">IFERROR(MATCH(A176,'Holidays Calc'!$I$2:$I$233,0),"")</f>
        <v/>
      </c>
      <c r="AS176">
        <f t="shared" si="18"/>
        <v>-1</v>
      </c>
      <c r="AT176">
        <f t="shared" si="17"/>
        <v>-1</v>
      </c>
      <c r="AU176" t="str">
        <f t="shared" ca="1" si="19"/>
        <v/>
      </c>
      <c r="AV176">
        <f t="shared" ca="1" si="20"/>
        <v>-1</v>
      </c>
    </row>
    <row r="177" spans="1:48" x14ac:dyDescent="0.25">
      <c r="A177" s="265">
        <f t="shared" si="16"/>
        <v>43603</v>
      </c>
      <c r="B177" s="265" t="str">
        <f t="shared" si="21"/>
        <v>18 May 2019</v>
      </c>
      <c r="C177" s="267">
        <f t="shared" si="22"/>
        <v>20</v>
      </c>
      <c r="D177">
        <f>MATCH(A177,GCalXMLT[daydate],0)</f>
        <v>176</v>
      </c>
      <c r="E177">
        <f>VALUE("1" &amp; Masacod(INDEX(GCalXMLT[gymasa],D177)) &amp; PaksaCod(INDEX(GCalXMLT[mpaksaid],D177)) &amp; TithiCod(INDEX(GCalXMLT[stithiname],D177)))</f>
        <v>102115</v>
      </c>
      <c r="F177" t="str">
        <f ca="1">INDEX(Parameters!$K$2:$K$16,MATCH(AV177,Parameters!$L$2:$L$16,0))</f>
        <v>C</v>
      </c>
      <c r="G177">
        <f>INDEX(GCalXMLT[fastmark],$D177)</f>
        <v>0</v>
      </c>
      <c r="H177" t="str">
        <f ca="1">INDEX(Parameters!$J$2:$J$16,MATCH(AV177,Parameters!$L$2:$L$16,0))</f>
        <v/>
      </c>
      <c r="I177">
        <f>INDEX(GCalXMLT[dfestival1],$D177)</f>
        <v>0</v>
      </c>
      <c r="J177">
        <f>IF(INDEX(GCalXMLT[dfestival2],$D177)="(Fast today)",INDEX(Festivals!$R$2:$R$180,MATCH($I177,Festivals!$R$2:$R$180,0)+1),INDEX(GCalXMLT[dfestival2],$D177))</f>
        <v>0</v>
      </c>
      <c r="K177">
        <f>IF(I177="Nandotsava","(Fast till noon)",INDEX(GCalXMLT[dfestival3],$D177))</f>
        <v>0</v>
      </c>
      <c r="L177">
        <f>IF(I177="Nandotsava", INDEX(GCalXMLT[dfestival3],$D177),INDEX(GCalXMLT[dfestival4],$D177))</f>
        <v>0</v>
      </c>
      <c r="M177" t="str">
        <f>IFERROR(INDEX(Festivals!$S$2:$S$160,AP177),"")</f>
        <v>Krsna Phula Dola, Salila Vihara</v>
      </c>
      <c r="N177" t="str">
        <f>IFERROR(IF($AQ177&gt;1,INDEX(Festivals!$S$2:$S$160,$AP177+1),""),"")</f>
        <v>Sri Paramesvari Dasa Thakura - Disappearance</v>
      </c>
      <c r="O177" t="str">
        <f>IFERROR(IF($AQ177&gt;2,INDEX(Festivals!$S$2:$S$160,$AP177+2),""),"")</f>
        <v>Sri Sri Radha-Ramana Devaji - Appearance</v>
      </c>
      <c r="P177" t="str">
        <f>IFERROR(IF($AQ177&gt;3,INDEX(Festivals!$S$2:$S$160,$AP177+3),""),"")</f>
        <v>Sri Madhavendra Puri - Appearance</v>
      </c>
      <c r="Q177" t="str">
        <f>IFERROR(IF($AQ177&gt;4,INDEX(Festivals!$S$2:$S$160,$AP177+4),""),"")</f>
        <v>Sri Srinivasa Acarya - Appearance</v>
      </c>
      <c r="R177" t="str">
        <f>IFERROR(IF($AQ177&gt;5,INDEX(Festivals!$S$2:$S$160,$AP177+5),""),"")</f>
        <v/>
      </c>
      <c r="S177" t="str">
        <f>IFERROR(IF($AQ177&gt;6,INDEX(Festivals!$S$2:$S$160,$AP177+6),""),"")</f>
        <v/>
      </c>
      <c r="T177">
        <f>INDEX(GCalXMLT[dcaturmasya1],$D177)</f>
        <v>0</v>
      </c>
      <c r="U177">
        <f>INDEX(GCalXMLT[dcaturmasya2],$D177)</f>
        <v>0</v>
      </c>
      <c r="V177" t="str">
        <f>INDEX(GCalXMLT[sankrantirasi],$D177) &amp; " " &amp; INDEX(GCalXMLT[sankrantitime],$D177)</f>
        <v xml:space="preserve"> </v>
      </c>
      <c r="W177" t="str">
        <f ca="1">IFERROR(INDEX('Holidays Calc'!$K$2:$K$233,AR177),"")</f>
        <v/>
      </c>
      <c r="X177" t="str">
        <f ca="1">IF(AR177="","",IF(INDEX('Holidays Calc'!$I$2:$I$233,AR177+1)=A177,INDEX('Holidays Calc'!$K$2:$K$233,AR177+1),""))</f>
        <v/>
      </c>
      <c r="Y177" t="str">
        <f ca="1">IF(AR177="","",IF(INDEX('Holidays Calc'!$I$2:$I$233,AR177+2)=A177,INDEX('Holidays Calc'!$K$2:$K$233,AR177+2),""))</f>
        <v/>
      </c>
      <c r="Z177" t="str">
        <f ca="1">IF(AR177="","",IF(INDEX('Holidays Calc'!$I$2:$I$233,AR177+3)=A177,INDEX('Holidays Calc'!$K$2:$K$2333,AR177+3),""))</f>
        <v/>
      </c>
      <c r="AA177" t="str">
        <f>IF(I177="Last day of Bhisma Pancaka","",IF(G177="*",-0.7,IF(ISBLANK(INDEX(GCalXMLT[dclass1],$D177)),"",INDEX(GCalXMLT[dclass1],$D177))))</f>
        <v/>
      </c>
      <c r="AB177" t="str">
        <f>IF(J177="First day of Bhisma Pancaka","",IF(AND(G177="*",NOT(ISERROR(SEARCH("ekadasi",J177)))),-0.7,IF(ISBLANK(INDEX(GCalXMLT[dclass2],$D177)),"",INDEX(GCalXMLT[dclass2],$D177))))</f>
        <v/>
      </c>
      <c r="AC177" t="str">
        <f>IF(I177="Nandotsava",-1,IF(ISBLANK(INDEX(GCalXMLT[dclass3],$D177)),"",INDEX(GCalXMLT[dclass3],$D177)))</f>
        <v/>
      </c>
      <c r="AD177" t="str">
        <f>IF(I177="Nandotsava",IF(ISBLANK(INDEX(GCalXMLT[dclass3],$D177)),"",INDEX(GCalXMLT[dclass3],$D177)),IF(ISBLANK(INDEX(GCalXMLT[dclass4],$D177)),"",INDEX(GCalXMLT[dclass4],$D177)))</f>
        <v/>
      </c>
      <c r="AE177">
        <f>IFERROR(INDEX(Festivals!$V$2:$V$160,AP177),"")</f>
        <v>1</v>
      </c>
      <c r="AF177">
        <f>IFERROR(IF($AQ177&gt;1,INDEX(Festivals!$V$2:$V$160,$AP177+1),""),"")</f>
        <v>3</v>
      </c>
      <c r="AG177">
        <f>IFERROR(IF($AQ177&gt;2,INDEX(Festivals!$V$2:$V$160,$AP177+2),""),"")</f>
        <v>1</v>
      </c>
      <c r="AH177">
        <f>IFERROR(IF($AQ177&gt;3,INDEX(Festivals!$V$2:$V$160,$AP177+3),""),"")</f>
        <v>3</v>
      </c>
      <c r="AI177">
        <f>IFERROR(IF($AQ177&gt;4,INDEX(Festivals!$V$2:$V$160,$AP177+4),""),"")</f>
        <v>3</v>
      </c>
      <c r="AJ177" t="str">
        <f>IFERROR(IF($AQ177&gt;5,INDEX(Festivals!$V$2:$V$160,$AP177+5),""),"")</f>
        <v/>
      </c>
      <c r="AK177" t="str">
        <f>IFERROR(IF($AQ177&gt;6,INDEX(Festivals!$V$2:$V$160,$AP177+6),""),"")</f>
        <v/>
      </c>
      <c r="AL177" t="str">
        <f ca="1">IFERROR(INDEX('Holidays Calc'!$J$2:$J$233,MATCH(A177,'Holidays Calc'!$I$2:$I$233,0)),"")</f>
        <v/>
      </c>
      <c r="AM177" t="str">
        <f ca="1">IF(AR177="","",IF(INDEX('Holidays Calc'!$I$2:$I$233,AR177+1)=A177,INDEX('Holidays Calc'!$J$2:$J$233,AR177+1),""))</f>
        <v/>
      </c>
      <c r="AN177" t="str">
        <f ca="1">IF(AR177="","",IF(INDEX('Holidays Calc'!$I$2:$I$233,AR177+2)=A177,INDEX('Holidays Calc'!$J$2:$J$233,AR177+2),""))</f>
        <v/>
      </c>
      <c r="AO177" t="str">
        <f ca="1">IF(AR177="","",IF(INDEX('Holidays Calc'!$I$2:$I$233,AR177+3)=A177,INDEX('Holidays Calc'!$J$2:$J$233,AR177+3),""))</f>
        <v/>
      </c>
      <c r="AP177">
        <f>IFERROR(IF($E177=E176,"",MATCH($E177,Festivals!$H$2:$H$160,0)),"")</f>
        <v>21</v>
      </c>
      <c r="AQ177">
        <f>IF(AP177="","",COUNTIF(Festivals!$H$2:$H$160,$E177))</f>
        <v>5</v>
      </c>
      <c r="AR177" t="str">
        <f ca="1">IFERROR(MATCH(A177,'Holidays Calc'!$I$2:$I$233,0),"")</f>
        <v/>
      </c>
      <c r="AS177">
        <f t="shared" si="18"/>
        <v>1</v>
      </c>
      <c r="AT177">
        <f t="shared" si="17"/>
        <v>1</v>
      </c>
      <c r="AU177" t="str">
        <f t="shared" ca="1" si="19"/>
        <v/>
      </c>
      <c r="AV177">
        <f t="shared" ca="1" si="20"/>
        <v>1</v>
      </c>
    </row>
    <row r="178" spans="1:48" x14ac:dyDescent="0.25">
      <c r="A178" s="265">
        <f t="shared" si="16"/>
        <v>43604</v>
      </c>
      <c r="B178" s="265" t="str">
        <f t="shared" si="21"/>
        <v>19 May 2019</v>
      </c>
      <c r="C178" s="267">
        <f t="shared" si="22"/>
        <v>20</v>
      </c>
      <c r="D178">
        <f>MATCH(A178,GCalXMLT[daydate],0)</f>
        <v>177</v>
      </c>
      <c r="E178">
        <f>VALUE("1" &amp; Masacod(INDEX(GCalXMLT[gymasa],D178)) &amp; PaksaCod(INDEX(GCalXMLT[mpaksaid],D178)) &amp; TithiCod(INDEX(GCalXMLT[stithiname],D178)))</f>
        <v>103001</v>
      </c>
      <c r="F178" t="str">
        <f ca="1">INDEX(Parameters!$K$2:$K$16,MATCH(AV178,Parameters!$L$2:$L$16,0))</f>
        <v/>
      </c>
      <c r="G178">
        <f>INDEX(GCalXMLT[fastmark],$D178)</f>
        <v>0</v>
      </c>
      <c r="H178" t="str">
        <f ca="1">INDEX(Parameters!$J$2:$J$16,MATCH(AV178,Parameters!$L$2:$L$16,0))</f>
        <v/>
      </c>
      <c r="I178">
        <f>INDEX(GCalXMLT[dfestival1],$D178)</f>
        <v>0</v>
      </c>
      <c r="J178">
        <f>IF(INDEX(GCalXMLT[dfestival2],$D178)="(Fast today)",INDEX(Festivals!$R$2:$R$180,MATCH($I178,Festivals!$R$2:$R$180,0)+1),INDEX(GCalXMLT[dfestival2],$D178))</f>
        <v>0</v>
      </c>
      <c r="K178">
        <f>IF(I178="Nandotsava","(Fast till noon)",INDEX(GCalXMLT[dfestival3],$D178))</f>
        <v>0</v>
      </c>
      <c r="L178">
        <f>IF(I178="Nandotsava", INDEX(GCalXMLT[dfestival3],$D178),INDEX(GCalXMLT[dfestival4],$D178))</f>
        <v>0</v>
      </c>
      <c r="M178" t="str">
        <f>IFERROR(INDEX(Festivals!$S$2:$S$160,AP178),"")</f>
        <v/>
      </c>
      <c r="N178" t="str">
        <f>IFERROR(IF($AQ178&gt;1,INDEX(Festivals!$S$2:$S$160,$AP178+1),""),"")</f>
        <v/>
      </c>
      <c r="O178" t="str">
        <f>IFERROR(IF($AQ178&gt;2,INDEX(Festivals!$S$2:$S$160,$AP178+2),""),"")</f>
        <v/>
      </c>
      <c r="P178" t="str">
        <f>IFERROR(IF($AQ178&gt;3,INDEX(Festivals!$S$2:$S$160,$AP178+3),""),"")</f>
        <v/>
      </c>
      <c r="Q178" t="str">
        <f>IFERROR(IF($AQ178&gt;4,INDEX(Festivals!$S$2:$S$160,$AP178+4),""),"")</f>
        <v/>
      </c>
      <c r="R178" t="str">
        <f>IFERROR(IF($AQ178&gt;5,INDEX(Festivals!$S$2:$S$160,$AP178+5),""),"")</f>
        <v/>
      </c>
      <c r="S178" t="str">
        <f>IFERROR(IF($AQ178&gt;6,INDEX(Festivals!$S$2:$S$160,$AP178+6),""),"")</f>
        <v/>
      </c>
      <c r="T178">
        <f>INDEX(GCalXMLT[dcaturmasya1],$D178)</f>
        <v>0</v>
      </c>
      <c r="U178">
        <f>INDEX(GCalXMLT[dcaturmasya2],$D178)</f>
        <v>0</v>
      </c>
      <c r="V178" t="str">
        <f>INDEX(GCalXMLT[sankrantirasi],$D178) &amp; " " &amp; INDEX(GCalXMLT[sankrantitime],$D178)</f>
        <v xml:space="preserve"> </v>
      </c>
      <c r="W178" t="str">
        <f ca="1">IFERROR(INDEX('Holidays Calc'!$K$2:$K$233,AR178),"")</f>
        <v/>
      </c>
      <c r="X178" t="str">
        <f ca="1">IF(AR178="","",IF(INDEX('Holidays Calc'!$I$2:$I$233,AR178+1)=A178,INDEX('Holidays Calc'!$K$2:$K$233,AR178+1),""))</f>
        <v/>
      </c>
      <c r="Y178" t="str">
        <f ca="1">IF(AR178="","",IF(INDEX('Holidays Calc'!$I$2:$I$233,AR178+2)=A178,INDEX('Holidays Calc'!$K$2:$K$233,AR178+2),""))</f>
        <v/>
      </c>
      <c r="Z178" t="str">
        <f ca="1">IF(AR178="","",IF(INDEX('Holidays Calc'!$I$2:$I$233,AR178+3)=A178,INDEX('Holidays Calc'!$K$2:$K$2333,AR178+3),""))</f>
        <v/>
      </c>
      <c r="AA178" t="str">
        <f>IF(I178="Last day of Bhisma Pancaka","",IF(G178="*",-0.7,IF(ISBLANK(INDEX(GCalXMLT[dclass1],$D178)),"",INDEX(GCalXMLT[dclass1],$D178))))</f>
        <v/>
      </c>
      <c r="AB178" t="str">
        <f>IF(J178="First day of Bhisma Pancaka","",IF(AND(G178="*",NOT(ISERROR(SEARCH("ekadasi",J178)))),-0.7,IF(ISBLANK(INDEX(GCalXMLT[dclass2],$D178)),"",INDEX(GCalXMLT[dclass2],$D178))))</f>
        <v/>
      </c>
      <c r="AC178" t="str">
        <f>IF(I178="Nandotsava",-1,IF(ISBLANK(INDEX(GCalXMLT[dclass3],$D178)),"",INDEX(GCalXMLT[dclass3],$D178)))</f>
        <v/>
      </c>
      <c r="AD178" t="str">
        <f>IF(I178="Nandotsava",IF(ISBLANK(INDEX(GCalXMLT[dclass3],$D178)),"",INDEX(GCalXMLT[dclass3],$D178)),IF(ISBLANK(INDEX(GCalXMLT[dclass4],$D178)),"",INDEX(GCalXMLT[dclass4],$D178)))</f>
        <v/>
      </c>
      <c r="AE178" t="str">
        <f>IFERROR(INDEX(Festivals!$V$2:$V$160,AP178),"")</f>
        <v/>
      </c>
      <c r="AF178" t="str">
        <f>IFERROR(IF($AQ178&gt;1,INDEX(Festivals!$V$2:$V$160,$AP178+1),""),"")</f>
        <v/>
      </c>
      <c r="AG178" t="str">
        <f>IFERROR(IF($AQ178&gt;2,INDEX(Festivals!$V$2:$V$160,$AP178+2),""),"")</f>
        <v/>
      </c>
      <c r="AH178" t="str">
        <f>IFERROR(IF($AQ178&gt;3,INDEX(Festivals!$V$2:$V$160,$AP178+3),""),"")</f>
        <v/>
      </c>
      <c r="AI178" t="str">
        <f>IFERROR(IF($AQ178&gt;4,INDEX(Festivals!$V$2:$V$160,$AP178+4),""),"")</f>
        <v/>
      </c>
      <c r="AJ178" t="str">
        <f>IFERROR(IF($AQ178&gt;5,INDEX(Festivals!$V$2:$V$160,$AP178+5),""),"")</f>
        <v/>
      </c>
      <c r="AK178" t="str">
        <f>IFERROR(IF($AQ178&gt;6,INDEX(Festivals!$V$2:$V$160,$AP178+6),""),"")</f>
        <v/>
      </c>
      <c r="AL178" t="str">
        <f ca="1">IFERROR(INDEX('Holidays Calc'!$J$2:$J$233,MATCH(A178,'Holidays Calc'!$I$2:$I$233,0)),"")</f>
        <v/>
      </c>
      <c r="AM178" t="str">
        <f ca="1">IF(AR178="","",IF(INDEX('Holidays Calc'!$I$2:$I$233,AR178+1)=A178,INDEX('Holidays Calc'!$J$2:$J$233,AR178+1),""))</f>
        <v/>
      </c>
      <c r="AN178" t="str">
        <f ca="1">IF(AR178="","",IF(INDEX('Holidays Calc'!$I$2:$I$233,AR178+2)=A178,INDEX('Holidays Calc'!$J$2:$J$233,AR178+2),""))</f>
        <v/>
      </c>
      <c r="AO178" t="str">
        <f ca="1">IF(AR178="","",IF(INDEX('Holidays Calc'!$I$2:$I$233,AR178+3)=A178,INDEX('Holidays Calc'!$J$2:$J$233,AR178+3),""))</f>
        <v/>
      </c>
      <c r="AP178" t="str">
        <f>IFERROR(IF($E178=E177,"",MATCH($E178,Festivals!$H$2:$H$160,0)),"")</f>
        <v/>
      </c>
      <c r="AQ178" t="str">
        <f>IF(AP178="","",COUNTIF(Festivals!$H$2:$H$160,$E178))</f>
        <v/>
      </c>
      <c r="AR178" t="str">
        <f ca="1">IFERROR(MATCH(A178,'Holidays Calc'!$I$2:$I$233,0),"")</f>
        <v/>
      </c>
      <c r="AS178" t="str">
        <f t="shared" si="18"/>
        <v/>
      </c>
      <c r="AT178" t="str">
        <f t="shared" si="17"/>
        <v/>
      </c>
      <c r="AU178" t="str">
        <f t="shared" ca="1" si="19"/>
        <v/>
      </c>
      <c r="AV178" t="str">
        <f t="shared" ca="1" si="20"/>
        <v/>
      </c>
    </row>
    <row r="179" spans="1:48" x14ac:dyDescent="0.25">
      <c r="A179" s="265">
        <f t="shared" si="16"/>
        <v>43605</v>
      </c>
      <c r="B179" s="265" t="str">
        <f t="shared" si="21"/>
        <v>20 May 2019</v>
      </c>
      <c r="C179" s="267">
        <f t="shared" si="22"/>
        <v>21</v>
      </c>
      <c r="D179">
        <f>MATCH(A179,GCalXMLT[daydate],0)</f>
        <v>178</v>
      </c>
      <c r="E179">
        <f>VALUE("1" &amp; Masacod(INDEX(GCalXMLT[gymasa],D179)) &amp; PaksaCod(INDEX(GCalXMLT[mpaksaid],D179)) &amp; TithiCod(INDEX(GCalXMLT[stithiname],D179)))</f>
        <v>103002</v>
      </c>
      <c r="F179" t="str">
        <f ca="1">INDEX(Parameters!$K$2:$K$16,MATCH(AV179,Parameters!$L$2:$L$16,0))</f>
        <v/>
      </c>
      <c r="G179">
        <f>INDEX(GCalXMLT[fastmark],$D179)</f>
        <v>0</v>
      </c>
      <c r="H179" t="str">
        <f ca="1">INDEX(Parameters!$J$2:$J$16,MATCH(AV179,Parameters!$L$2:$L$16,0))</f>
        <v/>
      </c>
      <c r="I179">
        <f>INDEX(GCalXMLT[dfestival1],$D179)</f>
        <v>0</v>
      </c>
      <c r="J179">
        <f>IF(INDEX(GCalXMLT[dfestival2],$D179)="(Fast today)",INDEX(Festivals!$R$2:$R$180,MATCH($I179,Festivals!$R$2:$R$180,0)+1),INDEX(GCalXMLT[dfestival2],$D179))</f>
        <v>0</v>
      </c>
      <c r="K179">
        <f>IF(I179="Nandotsava","(Fast till noon)",INDEX(GCalXMLT[dfestival3],$D179))</f>
        <v>0</v>
      </c>
      <c r="L179">
        <f>IF(I179="Nandotsava", INDEX(GCalXMLT[dfestival3],$D179),INDEX(GCalXMLT[dfestival4],$D179))</f>
        <v>0</v>
      </c>
      <c r="M179" t="str">
        <f>IFERROR(INDEX(Festivals!$S$2:$S$160,AP179),"")</f>
        <v/>
      </c>
      <c r="N179" t="str">
        <f>IFERROR(IF($AQ179&gt;1,INDEX(Festivals!$S$2:$S$160,$AP179+1),""),"")</f>
        <v/>
      </c>
      <c r="O179" t="str">
        <f>IFERROR(IF($AQ179&gt;2,INDEX(Festivals!$S$2:$S$160,$AP179+2),""),"")</f>
        <v/>
      </c>
      <c r="P179" t="str">
        <f>IFERROR(IF($AQ179&gt;3,INDEX(Festivals!$S$2:$S$160,$AP179+3),""),"")</f>
        <v/>
      </c>
      <c r="Q179" t="str">
        <f>IFERROR(IF($AQ179&gt;4,INDEX(Festivals!$S$2:$S$160,$AP179+4),""),"")</f>
        <v/>
      </c>
      <c r="R179" t="str">
        <f>IFERROR(IF($AQ179&gt;5,INDEX(Festivals!$S$2:$S$160,$AP179+5),""),"")</f>
        <v/>
      </c>
      <c r="S179" t="str">
        <f>IFERROR(IF($AQ179&gt;6,INDEX(Festivals!$S$2:$S$160,$AP179+6),""),"")</f>
        <v/>
      </c>
      <c r="T179">
        <f>INDEX(GCalXMLT[dcaturmasya1],$D179)</f>
        <v>0</v>
      </c>
      <c r="U179">
        <f>INDEX(GCalXMLT[dcaturmasya2],$D179)</f>
        <v>0</v>
      </c>
      <c r="V179" t="str">
        <f>INDEX(GCalXMLT[sankrantirasi],$D179) &amp; " " &amp; INDEX(GCalXMLT[sankrantitime],$D179)</f>
        <v xml:space="preserve"> </v>
      </c>
      <c r="W179" t="str">
        <f ca="1">IFERROR(INDEX('Holidays Calc'!$K$2:$K$233,AR179),"")</f>
        <v/>
      </c>
      <c r="X179" t="str">
        <f ca="1">IF(AR179="","",IF(INDEX('Holidays Calc'!$I$2:$I$233,AR179+1)=A179,INDEX('Holidays Calc'!$K$2:$K$233,AR179+1),""))</f>
        <v/>
      </c>
      <c r="Y179" t="str">
        <f ca="1">IF(AR179="","",IF(INDEX('Holidays Calc'!$I$2:$I$233,AR179+2)=A179,INDEX('Holidays Calc'!$K$2:$K$233,AR179+2),""))</f>
        <v/>
      </c>
      <c r="Z179" t="str">
        <f ca="1">IF(AR179="","",IF(INDEX('Holidays Calc'!$I$2:$I$233,AR179+3)=A179,INDEX('Holidays Calc'!$K$2:$K$2333,AR179+3),""))</f>
        <v/>
      </c>
      <c r="AA179" t="str">
        <f>IF(I179="Last day of Bhisma Pancaka","",IF(G179="*",-0.7,IF(ISBLANK(INDEX(GCalXMLT[dclass1],$D179)),"",INDEX(GCalXMLT[dclass1],$D179))))</f>
        <v/>
      </c>
      <c r="AB179" t="str">
        <f>IF(J179="First day of Bhisma Pancaka","",IF(AND(G179="*",NOT(ISERROR(SEARCH("ekadasi",J179)))),-0.7,IF(ISBLANK(INDEX(GCalXMLT[dclass2],$D179)),"",INDEX(GCalXMLT[dclass2],$D179))))</f>
        <v/>
      </c>
      <c r="AC179" t="str">
        <f>IF(I179="Nandotsava",-1,IF(ISBLANK(INDEX(GCalXMLT[dclass3],$D179)),"",INDEX(GCalXMLT[dclass3],$D179)))</f>
        <v/>
      </c>
      <c r="AD179" t="str">
        <f>IF(I179="Nandotsava",IF(ISBLANK(INDEX(GCalXMLT[dclass3],$D179)),"",INDEX(GCalXMLT[dclass3],$D179)),IF(ISBLANK(INDEX(GCalXMLT[dclass4],$D179)),"",INDEX(GCalXMLT[dclass4],$D179)))</f>
        <v/>
      </c>
      <c r="AE179" t="str">
        <f>IFERROR(INDEX(Festivals!$V$2:$V$160,AP179),"")</f>
        <v/>
      </c>
      <c r="AF179" t="str">
        <f>IFERROR(IF($AQ179&gt;1,INDEX(Festivals!$V$2:$V$160,$AP179+1),""),"")</f>
        <v/>
      </c>
      <c r="AG179" t="str">
        <f>IFERROR(IF($AQ179&gt;2,INDEX(Festivals!$V$2:$V$160,$AP179+2),""),"")</f>
        <v/>
      </c>
      <c r="AH179" t="str">
        <f>IFERROR(IF($AQ179&gt;3,INDEX(Festivals!$V$2:$V$160,$AP179+3),""),"")</f>
        <v/>
      </c>
      <c r="AI179" t="str">
        <f>IFERROR(IF($AQ179&gt;4,INDEX(Festivals!$V$2:$V$160,$AP179+4),""),"")</f>
        <v/>
      </c>
      <c r="AJ179" t="str">
        <f>IFERROR(IF($AQ179&gt;5,INDEX(Festivals!$V$2:$V$160,$AP179+5),""),"")</f>
        <v/>
      </c>
      <c r="AK179" t="str">
        <f>IFERROR(IF($AQ179&gt;6,INDEX(Festivals!$V$2:$V$160,$AP179+6),""),"")</f>
        <v/>
      </c>
      <c r="AL179" t="str">
        <f ca="1">IFERROR(INDEX('Holidays Calc'!$J$2:$J$233,MATCH(A179,'Holidays Calc'!$I$2:$I$233,0)),"")</f>
        <v/>
      </c>
      <c r="AM179" t="str">
        <f ca="1">IF(AR179="","",IF(INDEX('Holidays Calc'!$I$2:$I$233,AR179+1)=A179,INDEX('Holidays Calc'!$J$2:$J$233,AR179+1),""))</f>
        <v/>
      </c>
      <c r="AN179" t="str">
        <f ca="1">IF(AR179="","",IF(INDEX('Holidays Calc'!$I$2:$I$233,AR179+2)=A179,INDEX('Holidays Calc'!$J$2:$J$233,AR179+2),""))</f>
        <v/>
      </c>
      <c r="AO179" t="str">
        <f ca="1">IF(AR179="","",IF(INDEX('Holidays Calc'!$I$2:$I$233,AR179+3)=A179,INDEX('Holidays Calc'!$J$2:$J$233,AR179+3),""))</f>
        <v/>
      </c>
      <c r="AP179" t="str">
        <f>IFERROR(IF($E179=E178,"",MATCH($E179,Festivals!$H$2:$H$160,0)),"")</f>
        <v/>
      </c>
      <c r="AQ179" t="str">
        <f>IF(AP179="","",COUNTIF(Festivals!$H$2:$H$160,$E179))</f>
        <v/>
      </c>
      <c r="AR179" t="str">
        <f ca="1">IFERROR(MATCH(A179,'Holidays Calc'!$I$2:$I$233,0),"")</f>
        <v/>
      </c>
      <c r="AS179" t="str">
        <f t="shared" si="18"/>
        <v/>
      </c>
      <c r="AT179" t="str">
        <f t="shared" si="17"/>
        <v/>
      </c>
      <c r="AU179" t="str">
        <f t="shared" ca="1" si="19"/>
        <v/>
      </c>
      <c r="AV179" t="str">
        <f t="shared" ca="1" si="20"/>
        <v/>
      </c>
    </row>
    <row r="180" spans="1:48" x14ac:dyDescent="0.25">
      <c r="A180" s="265">
        <f t="shared" si="16"/>
        <v>43606</v>
      </c>
      <c r="B180" s="265" t="str">
        <f t="shared" si="21"/>
        <v>21 May 2019</v>
      </c>
      <c r="C180" s="267">
        <f t="shared" si="22"/>
        <v>21</v>
      </c>
      <c r="D180">
        <f>MATCH(A180,GCalXMLT[daydate],0)</f>
        <v>179</v>
      </c>
      <c r="E180">
        <f>VALUE("1" &amp; Masacod(INDEX(GCalXMLT[gymasa],D180)) &amp; PaksaCod(INDEX(GCalXMLT[mpaksaid],D180)) &amp; TithiCod(INDEX(GCalXMLT[stithiname],D180)))</f>
        <v>103003</v>
      </c>
      <c r="F180" t="str">
        <f ca="1">INDEX(Parameters!$K$2:$K$16,MATCH(AV180,Parameters!$L$2:$L$16,0))</f>
        <v/>
      </c>
      <c r="G180">
        <f>INDEX(GCalXMLT[fastmark],$D180)</f>
        <v>0</v>
      </c>
      <c r="H180" t="str">
        <f ca="1">INDEX(Parameters!$J$2:$J$16,MATCH(AV180,Parameters!$L$2:$L$16,0))</f>
        <v/>
      </c>
      <c r="I180">
        <f>INDEX(GCalXMLT[dfestival1],$D180)</f>
        <v>0</v>
      </c>
      <c r="J180">
        <f>IF(INDEX(GCalXMLT[dfestival2],$D180)="(Fast today)",INDEX(Festivals!$R$2:$R$180,MATCH($I180,Festivals!$R$2:$R$180,0)+1),INDEX(GCalXMLT[dfestival2],$D180))</f>
        <v>0</v>
      </c>
      <c r="K180">
        <f>IF(I180="Nandotsava","(Fast till noon)",INDEX(GCalXMLT[dfestival3],$D180))</f>
        <v>0</v>
      </c>
      <c r="L180">
        <f>IF(I180="Nandotsava", INDEX(GCalXMLT[dfestival3],$D180),INDEX(GCalXMLT[dfestival4],$D180))</f>
        <v>0</v>
      </c>
      <c r="M180" t="str">
        <f>IFERROR(INDEX(Festivals!$S$2:$S$160,AP180),"")</f>
        <v/>
      </c>
      <c r="N180" t="str">
        <f>IFERROR(IF($AQ180&gt;1,INDEX(Festivals!$S$2:$S$160,$AP180+1),""),"")</f>
        <v/>
      </c>
      <c r="O180" t="str">
        <f>IFERROR(IF($AQ180&gt;2,INDEX(Festivals!$S$2:$S$160,$AP180+2),""),"")</f>
        <v/>
      </c>
      <c r="P180" t="str">
        <f>IFERROR(IF($AQ180&gt;3,INDEX(Festivals!$S$2:$S$160,$AP180+3),""),"")</f>
        <v/>
      </c>
      <c r="Q180" t="str">
        <f>IFERROR(IF($AQ180&gt;4,INDEX(Festivals!$S$2:$S$160,$AP180+4),""),"")</f>
        <v/>
      </c>
      <c r="R180" t="str">
        <f>IFERROR(IF($AQ180&gt;5,INDEX(Festivals!$S$2:$S$160,$AP180+5),""),"")</f>
        <v/>
      </c>
      <c r="S180" t="str">
        <f>IFERROR(IF($AQ180&gt;6,INDEX(Festivals!$S$2:$S$160,$AP180+6),""),"")</f>
        <v/>
      </c>
      <c r="T180">
        <f>INDEX(GCalXMLT[dcaturmasya1],$D180)</f>
        <v>0</v>
      </c>
      <c r="U180">
        <f>INDEX(GCalXMLT[dcaturmasya2],$D180)</f>
        <v>0</v>
      </c>
      <c r="V180" t="str">
        <f>INDEX(GCalXMLT[sankrantirasi],$D180) &amp; " " &amp; INDEX(GCalXMLT[sankrantitime],$D180)</f>
        <v xml:space="preserve"> </v>
      </c>
      <c r="W180" t="str">
        <f ca="1">IFERROR(INDEX('Holidays Calc'!$K$2:$K$233,AR180),"")</f>
        <v/>
      </c>
      <c r="X180" t="str">
        <f ca="1">IF(AR180="","",IF(INDEX('Holidays Calc'!$I$2:$I$233,AR180+1)=A180,INDEX('Holidays Calc'!$K$2:$K$233,AR180+1),""))</f>
        <v/>
      </c>
      <c r="Y180" t="str">
        <f ca="1">IF(AR180="","",IF(INDEX('Holidays Calc'!$I$2:$I$233,AR180+2)=A180,INDEX('Holidays Calc'!$K$2:$K$233,AR180+2),""))</f>
        <v/>
      </c>
      <c r="Z180" t="str">
        <f ca="1">IF(AR180="","",IF(INDEX('Holidays Calc'!$I$2:$I$233,AR180+3)=A180,INDEX('Holidays Calc'!$K$2:$K$2333,AR180+3),""))</f>
        <v/>
      </c>
      <c r="AA180" t="str">
        <f>IF(I180="Last day of Bhisma Pancaka","",IF(G180="*",-0.7,IF(ISBLANK(INDEX(GCalXMLT[dclass1],$D180)),"",INDEX(GCalXMLT[dclass1],$D180))))</f>
        <v/>
      </c>
      <c r="AB180" t="str">
        <f>IF(J180="First day of Bhisma Pancaka","",IF(AND(G180="*",NOT(ISERROR(SEARCH("ekadasi",J180)))),-0.7,IF(ISBLANK(INDEX(GCalXMLT[dclass2],$D180)),"",INDEX(GCalXMLT[dclass2],$D180))))</f>
        <v/>
      </c>
      <c r="AC180" t="str">
        <f>IF(I180="Nandotsava",-1,IF(ISBLANK(INDEX(GCalXMLT[dclass3],$D180)),"",INDEX(GCalXMLT[dclass3],$D180)))</f>
        <v/>
      </c>
      <c r="AD180" t="str">
        <f>IF(I180="Nandotsava",IF(ISBLANK(INDEX(GCalXMLT[dclass3],$D180)),"",INDEX(GCalXMLT[dclass3],$D180)),IF(ISBLANK(INDEX(GCalXMLT[dclass4],$D180)),"",INDEX(GCalXMLT[dclass4],$D180)))</f>
        <v/>
      </c>
      <c r="AE180" t="str">
        <f>IFERROR(INDEX(Festivals!$V$2:$V$160,AP180),"")</f>
        <v/>
      </c>
      <c r="AF180" t="str">
        <f>IFERROR(IF($AQ180&gt;1,INDEX(Festivals!$V$2:$V$160,$AP180+1),""),"")</f>
        <v/>
      </c>
      <c r="AG180" t="str">
        <f>IFERROR(IF($AQ180&gt;2,INDEX(Festivals!$V$2:$V$160,$AP180+2),""),"")</f>
        <v/>
      </c>
      <c r="AH180" t="str">
        <f>IFERROR(IF($AQ180&gt;3,INDEX(Festivals!$V$2:$V$160,$AP180+3),""),"")</f>
        <v/>
      </c>
      <c r="AI180" t="str">
        <f>IFERROR(IF($AQ180&gt;4,INDEX(Festivals!$V$2:$V$160,$AP180+4),""),"")</f>
        <v/>
      </c>
      <c r="AJ180" t="str">
        <f>IFERROR(IF($AQ180&gt;5,INDEX(Festivals!$V$2:$V$160,$AP180+5),""),"")</f>
        <v/>
      </c>
      <c r="AK180" t="str">
        <f>IFERROR(IF($AQ180&gt;6,INDEX(Festivals!$V$2:$V$160,$AP180+6),""),"")</f>
        <v/>
      </c>
      <c r="AL180" t="str">
        <f ca="1">IFERROR(INDEX('Holidays Calc'!$J$2:$J$233,MATCH(A180,'Holidays Calc'!$I$2:$I$233,0)),"")</f>
        <v/>
      </c>
      <c r="AM180" t="str">
        <f ca="1">IF(AR180="","",IF(INDEX('Holidays Calc'!$I$2:$I$233,AR180+1)=A180,INDEX('Holidays Calc'!$J$2:$J$233,AR180+1),""))</f>
        <v/>
      </c>
      <c r="AN180" t="str">
        <f ca="1">IF(AR180="","",IF(INDEX('Holidays Calc'!$I$2:$I$233,AR180+2)=A180,INDEX('Holidays Calc'!$J$2:$J$233,AR180+2),""))</f>
        <v/>
      </c>
      <c r="AO180" t="str">
        <f ca="1">IF(AR180="","",IF(INDEX('Holidays Calc'!$I$2:$I$233,AR180+3)=A180,INDEX('Holidays Calc'!$J$2:$J$233,AR180+3),""))</f>
        <v/>
      </c>
      <c r="AP180" t="str">
        <f>IFERROR(IF($E180=E179,"",MATCH($E180,Festivals!$H$2:$H$160,0)),"")</f>
        <v/>
      </c>
      <c r="AQ180" t="str">
        <f>IF(AP180="","",COUNTIF(Festivals!$H$2:$H$160,$E180))</f>
        <v/>
      </c>
      <c r="AR180" t="str">
        <f ca="1">IFERROR(MATCH(A180,'Holidays Calc'!$I$2:$I$233,0),"")</f>
        <v/>
      </c>
      <c r="AS180" t="str">
        <f t="shared" si="18"/>
        <v/>
      </c>
      <c r="AT180" t="str">
        <f t="shared" si="17"/>
        <v/>
      </c>
      <c r="AU180" t="str">
        <f t="shared" ca="1" si="19"/>
        <v/>
      </c>
      <c r="AV180" t="str">
        <f t="shared" ca="1" si="20"/>
        <v/>
      </c>
    </row>
    <row r="181" spans="1:48" x14ac:dyDescent="0.25">
      <c r="A181" s="265">
        <f t="shared" si="16"/>
        <v>43607</v>
      </c>
      <c r="B181" s="265" t="str">
        <f t="shared" si="21"/>
        <v>22 May 2019</v>
      </c>
      <c r="C181" s="267">
        <f t="shared" si="22"/>
        <v>21</v>
      </c>
      <c r="D181">
        <f>MATCH(A181,GCalXMLT[daydate],0)</f>
        <v>180</v>
      </c>
      <c r="E181">
        <f>VALUE("1" &amp; Masacod(INDEX(GCalXMLT[gymasa],D181)) &amp; PaksaCod(INDEX(GCalXMLT[mpaksaid],D181)) &amp; TithiCod(INDEX(GCalXMLT[stithiname],D181)))</f>
        <v>103004</v>
      </c>
      <c r="F181" t="str">
        <f ca="1">INDEX(Parameters!$K$2:$K$16,MATCH(AV181,Parameters!$L$2:$L$16,0))</f>
        <v/>
      </c>
      <c r="G181">
        <f>INDEX(GCalXMLT[fastmark],$D181)</f>
        <v>0</v>
      </c>
      <c r="H181" t="str">
        <f ca="1">INDEX(Parameters!$J$2:$J$16,MATCH(AV181,Parameters!$L$2:$L$16,0))</f>
        <v/>
      </c>
      <c r="I181">
        <f>INDEX(GCalXMLT[dfestival1],$D181)</f>
        <v>0</v>
      </c>
      <c r="J181">
        <f>IF(INDEX(GCalXMLT[dfestival2],$D181)="(Fast today)",INDEX(Festivals!$R$2:$R$180,MATCH($I181,Festivals!$R$2:$R$180,0)+1),INDEX(GCalXMLT[dfestival2],$D181))</f>
        <v>0</v>
      </c>
      <c r="K181">
        <f>IF(I181="Nandotsava","(Fast till noon)",INDEX(GCalXMLT[dfestival3],$D181))</f>
        <v>0</v>
      </c>
      <c r="L181">
        <f>IF(I181="Nandotsava", INDEX(GCalXMLT[dfestival3],$D181),INDEX(GCalXMLT[dfestival4],$D181))</f>
        <v>0</v>
      </c>
      <c r="M181" t="str">
        <f>IFERROR(INDEX(Festivals!$S$2:$S$160,AP181),"")</f>
        <v/>
      </c>
      <c r="N181" t="str">
        <f>IFERROR(IF($AQ181&gt;1,INDEX(Festivals!$S$2:$S$160,$AP181+1),""),"")</f>
        <v/>
      </c>
      <c r="O181" t="str">
        <f>IFERROR(IF($AQ181&gt;2,INDEX(Festivals!$S$2:$S$160,$AP181+2),""),"")</f>
        <v/>
      </c>
      <c r="P181" t="str">
        <f>IFERROR(IF($AQ181&gt;3,INDEX(Festivals!$S$2:$S$160,$AP181+3),""),"")</f>
        <v/>
      </c>
      <c r="Q181" t="str">
        <f>IFERROR(IF($AQ181&gt;4,INDEX(Festivals!$S$2:$S$160,$AP181+4),""),"")</f>
        <v/>
      </c>
      <c r="R181" t="str">
        <f>IFERROR(IF($AQ181&gt;5,INDEX(Festivals!$S$2:$S$160,$AP181+5),""),"")</f>
        <v/>
      </c>
      <c r="S181" t="str">
        <f>IFERROR(IF($AQ181&gt;6,INDEX(Festivals!$S$2:$S$160,$AP181+6),""),"")</f>
        <v/>
      </c>
      <c r="T181">
        <f>INDEX(GCalXMLT[dcaturmasya1],$D181)</f>
        <v>0</v>
      </c>
      <c r="U181">
        <f>INDEX(GCalXMLT[dcaturmasya2],$D181)</f>
        <v>0</v>
      </c>
      <c r="V181" t="str">
        <f>INDEX(GCalXMLT[sankrantirasi],$D181) &amp; " " &amp; INDEX(GCalXMLT[sankrantitime],$D181)</f>
        <v xml:space="preserve"> </v>
      </c>
      <c r="W181" t="str">
        <f ca="1">IFERROR(INDEX('Holidays Calc'!$K$2:$K$233,AR181),"")</f>
        <v/>
      </c>
      <c r="X181" t="str">
        <f ca="1">IF(AR181="","",IF(INDEX('Holidays Calc'!$I$2:$I$233,AR181+1)=A181,INDEX('Holidays Calc'!$K$2:$K$233,AR181+1),""))</f>
        <v/>
      </c>
      <c r="Y181" t="str">
        <f ca="1">IF(AR181="","",IF(INDEX('Holidays Calc'!$I$2:$I$233,AR181+2)=A181,INDEX('Holidays Calc'!$K$2:$K$233,AR181+2),""))</f>
        <v/>
      </c>
      <c r="Z181" t="str">
        <f ca="1">IF(AR181="","",IF(INDEX('Holidays Calc'!$I$2:$I$233,AR181+3)=A181,INDEX('Holidays Calc'!$K$2:$K$2333,AR181+3),""))</f>
        <v/>
      </c>
      <c r="AA181" t="str">
        <f>IF(I181="Last day of Bhisma Pancaka","",IF(G181="*",-0.7,IF(ISBLANK(INDEX(GCalXMLT[dclass1],$D181)),"",INDEX(GCalXMLT[dclass1],$D181))))</f>
        <v/>
      </c>
      <c r="AB181" t="str">
        <f>IF(J181="First day of Bhisma Pancaka","",IF(AND(G181="*",NOT(ISERROR(SEARCH("ekadasi",J181)))),-0.7,IF(ISBLANK(INDEX(GCalXMLT[dclass2],$D181)),"",INDEX(GCalXMLT[dclass2],$D181))))</f>
        <v/>
      </c>
      <c r="AC181" t="str">
        <f>IF(I181="Nandotsava",-1,IF(ISBLANK(INDEX(GCalXMLT[dclass3],$D181)),"",INDEX(GCalXMLT[dclass3],$D181)))</f>
        <v/>
      </c>
      <c r="AD181" t="str">
        <f>IF(I181="Nandotsava",IF(ISBLANK(INDEX(GCalXMLT[dclass3],$D181)),"",INDEX(GCalXMLT[dclass3],$D181)),IF(ISBLANK(INDEX(GCalXMLT[dclass4],$D181)),"",INDEX(GCalXMLT[dclass4],$D181)))</f>
        <v/>
      </c>
      <c r="AE181" t="str">
        <f>IFERROR(INDEX(Festivals!$V$2:$V$160,AP181),"")</f>
        <v/>
      </c>
      <c r="AF181" t="str">
        <f>IFERROR(IF($AQ181&gt;1,INDEX(Festivals!$V$2:$V$160,$AP181+1),""),"")</f>
        <v/>
      </c>
      <c r="AG181" t="str">
        <f>IFERROR(IF($AQ181&gt;2,INDEX(Festivals!$V$2:$V$160,$AP181+2),""),"")</f>
        <v/>
      </c>
      <c r="AH181" t="str">
        <f>IFERROR(IF($AQ181&gt;3,INDEX(Festivals!$V$2:$V$160,$AP181+3),""),"")</f>
        <v/>
      </c>
      <c r="AI181" t="str">
        <f>IFERROR(IF($AQ181&gt;4,INDEX(Festivals!$V$2:$V$160,$AP181+4),""),"")</f>
        <v/>
      </c>
      <c r="AJ181" t="str">
        <f>IFERROR(IF($AQ181&gt;5,INDEX(Festivals!$V$2:$V$160,$AP181+5),""),"")</f>
        <v/>
      </c>
      <c r="AK181" t="str">
        <f>IFERROR(IF($AQ181&gt;6,INDEX(Festivals!$V$2:$V$160,$AP181+6),""),"")</f>
        <v/>
      </c>
      <c r="AL181" t="str">
        <f ca="1">IFERROR(INDEX('Holidays Calc'!$J$2:$J$233,MATCH(A181,'Holidays Calc'!$I$2:$I$233,0)),"")</f>
        <v/>
      </c>
      <c r="AM181" t="str">
        <f ca="1">IF(AR181="","",IF(INDEX('Holidays Calc'!$I$2:$I$233,AR181+1)=A181,INDEX('Holidays Calc'!$J$2:$J$233,AR181+1),""))</f>
        <v/>
      </c>
      <c r="AN181" t="str">
        <f ca="1">IF(AR181="","",IF(INDEX('Holidays Calc'!$I$2:$I$233,AR181+2)=A181,INDEX('Holidays Calc'!$J$2:$J$233,AR181+2),""))</f>
        <v/>
      </c>
      <c r="AO181" t="str">
        <f ca="1">IF(AR181="","",IF(INDEX('Holidays Calc'!$I$2:$I$233,AR181+3)=A181,INDEX('Holidays Calc'!$J$2:$J$233,AR181+3),""))</f>
        <v/>
      </c>
      <c r="AP181" t="str">
        <f>IFERROR(IF($E181=E180,"",MATCH($E181,Festivals!$H$2:$H$160,0)),"")</f>
        <v/>
      </c>
      <c r="AQ181" t="str">
        <f>IF(AP181="","",COUNTIF(Festivals!$H$2:$H$160,$E181))</f>
        <v/>
      </c>
      <c r="AR181" t="str">
        <f ca="1">IFERROR(MATCH(A181,'Holidays Calc'!$I$2:$I$233,0),"")</f>
        <v/>
      </c>
      <c r="AS181" t="str">
        <f t="shared" si="18"/>
        <v/>
      </c>
      <c r="AT181" t="str">
        <f t="shared" si="17"/>
        <v/>
      </c>
      <c r="AU181" t="str">
        <f t="shared" ca="1" si="19"/>
        <v/>
      </c>
      <c r="AV181" t="str">
        <f t="shared" ca="1" si="20"/>
        <v/>
      </c>
    </row>
    <row r="182" spans="1:48" x14ac:dyDescent="0.25">
      <c r="A182" s="265">
        <f t="shared" si="16"/>
        <v>43608</v>
      </c>
      <c r="B182" s="265" t="str">
        <f t="shared" si="21"/>
        <v>23 May 2019</v>
      </c>
      <c r="C182" s="267">
        <f t="shared" si="22"/>
        <v>21</v>
      </c>
      <c r="D182">
        <f>MATCH(A182,GCalXMLT[daydate],0)</f>
        <v>181</v>
      </c>
      <c r="E182">
        <f>VALUE("1" &amp; Masacod(INDEX(GCalXMLT[gymasa],D182)) &amp; PaksaCod(INDEX(GCalXMLT[mpaksaid],D182)) &amp; TithiCod(INDEX(GCalXMLT[stithiname],D182)))</f>
        <v>103005</v>
      </c>
      <c r="F182" t="str">
        <f ca="1">INDEX(Parameters!$K$2:$K$16,MATCH(AV182,Parameters!$L$2:$L$16,0))</f>
        <v>C</v>
      </c>
      <c r="G182">
        <f>INDEX(GCalXMLT[fastmark],$D182)</f>
        <v>0</v>
      </c>
      <c r="H182" t="str">
        <f ca="1">INDEX(Parameters!$J$2:$J$16,MATCH(AV182,Parameters!$L$2:$L$16,0))</f>
        <v/>
      </c>
      <c r="I182">
        <f>INDEX(GCalXMLT[dfestival1],$D182)</f>
        <v>0</v>
      </c>
      <c r="J182">
        <f>IF(INDEX(GCalXMLT[dfestival2],$D182)="(Fast today)",INDEX(Festivals!$R$2:$R$180,MATCH($I182,Festivals!$R$2:$R$180,0)+1),INDEX(GCalXMLT[dfestival2],$D182))</f>
        <v>0</v>
      </c>
      <c r="K182">
        <f>IF(I182="Nandotsava","(Fast till noon)",INDEX(GCalXMLT[dfestival3],$D182))</f>
        <v>0</v>
      </c>
      <c r="L182">
        <f>IF(I182="Nandotsava", INDEX(GCalXMLT[dfestival3],$D182),INDEX(GCalXMLT[dfestival4],$D182))</f>
        <v>0</v>
      </c>
      <c r="M182" t="str">
        <f>IFERROR(INDEX(Festivals!$S$2:$S$160,AP182),"")</f>
        <v>Sri Ramananda Raya - Disappearance</v>
      </c>
      <c r="N182" t="str">
        <f>IFERROR(IF($AQ182&gt;1,INDEX(Festivals!$S$2:$S$160,$AP182+1),""),"")</f>
        <v/>
      </c>
      <c r="O182" t="str">
        <f>IFERROR(IF($AQ182&gt;2,INDEX(Festivals!$S$2:$S$160,$AP182+2),""),"")</f>
        <v/>
      </c>
      <c r="P182" t="str">
        <f>IFERROR(IF($AQ182&gt;3,INDEX(Festivals!$S$2:$S$160,$AP182+3),""),"")</f>
        <v/>
      </c>
      <c r="Q182" t="str">
        <f>IFERROR(IF($AQ182&gt;4,INDEX(Festivals!$S$2:$S$160,$AP182+4),""),"")</f>
        <v/>
      </c>
      <c r="R182" t="str">
        <f>IFERROR(IF($AQ182&gt;5,INDEX(Festivals!$S$2:$S$160,$AP182+5),""),"")</f>
        <v/>
      </c>
      <c r="S182" t="str">
        <f>IFERROR(IF($AQ182&gt;6,INDEX(Festivals!$S$2:$S$160,$AP182+6),""),"")</f>
        <v/>
      </c>
      <c r="T182">
        <f>INDEX(GCalXMLT[dcaturmasya1],$D182)</f>
        <v>0</v>
      </c>
      <c r="U182">
        <f>INDEX(GCalXMLT[dcaturmasya2],$D182)</f>
        <v>0</v>
      </c>
      <c r="V182" t="str">
        <f>INDEX(GCalXMLT[sankrantirasi],$D182) &amp; " " &amp; INDEX(GCalXMLT[sankrantitime],$D182)</f>
        <v xml:space="preserve"> </v>
      </c>
      <c r="W182" t="str">
        <f ca="1">IFERROR(INDEX('Holidays Calc'!$K$2:$K$233,AR182),"")</f>
        <v/>
      </c>
      <c r="X182" t="str">
        <f ca="1">IF(AR182="","",IF(INDEX('Holidays Calc'!$I$2:$I$233,AR182+1)=A182,INDEX('Holidays Calc'!$K$2:$K$233,AR182+1),""))</f>
        <v/>
      </c>
      <c r="Y182" t="str">
        <f ca="1">IF(AR182="","",IF(INDEX('Holidays Calc'!$I$2:$I$233,AR182+2)=A182,INDEX('Holidays Calc'!$K$2:$K$233,AR182+2),""))</f>
        <v/>
      </c>
      <c r="Z182" t="str">
        <f ca="1">IF(AR182="","",IF(INDEX('Holidays Calc'!$I$2:$I$233,AR182+3)=A182,INDEX('Holidays Calc'!$K$2:$K$2333,AR182+3),""))</f>
        <v/>
      </c>
      <c r="AA182" t="str">
        <f>IF(I182="Last day of Bhisma Pancaka","",IF(G182="*",-0.7,IF(ISBLANK(INDEX(GCalXMLT[dclass1],$D182)),"",INDEX(GCalXMLT[dclass1],$D182))))</f>
        <v/>
      </c>
      <c r="AB182" t="str">
        <f>IF(J182="First day of Bhisma Pancaka","",IF(AND(G182="*",NOT(ISERROR(SEARCH("ekadasi",J182)))),-0.7,IF(ISBLANK(INDEX(GCalXMLT[dclass2],$D182)),"",INDEX(GCalXMLT[dclass2],$D182))))</f>
        <v/>
      </c>
      <c r="AC182" t="str">
        <f>IF(I182="Nandotsava",-1,IF(ISBLANK(INDEX(GCalXMLT[dclass3],$D182)),"",INDEX(GCalXMLT[dclass3],$D182)))</f>
        <v/>
      </c>
      <c r="AD182" t="str">
        <f>IF(I182="Nandotsava",IF(ISBLANK(INDEX(GCalXMLT[dclass3],$D182)),"",INDEX(GCalXMLT[dclass3],$D182)),IF(ISBLANK(INDEX(GCalXMLT[dclass4],$D182)),"",INDEX(GCalXMLT[dclass4],$D182)))</f>
        <v/>
      </c>
      <c r="AE182">
        <f>IFERROR(INDEX(Festivals!$V$2:$V$160,AP182),"")</f>
        <v>3</v>
      </c>
      <c r="AF182" t="str">
        <f>IFERROR(IF($AQ182&gt;1,INDEX(Festivals!$V$2:$V$160,$AP182+1),""),"")</f>
        <v/>
      </c>
      <c r="AG182" t="str">
        <f>IFERROR(IF($AQ182&gt;2,INDEX(Festivals!$V$2:$V$160,$AP182+2),""),"")</f>
        <v/>
      </c>
      <c r="AH182" t="str">
        <f>IFERROR(IF($AQ182&gt;3,INDEX(Festivals!$V$2:$V$160,$AP182+3),""),"")</f>
        <v/>
      </c>
      <c r="AI182" t="str">
        <f>IFERROR(IF($AQ182&gt;4,INDEX(Festivals!$V$2:$V$160,$AP182+4),""),"")</f>
        <v/>
      </c>
      <c r="AJ182" t="str">
        <f>IFERROR(IF($AQ182&gt;5,INDEX(Festivals!$V$2:$V$160,$AP182+5),""),"")</f>
        <v/>
      </c>
      <c r="AK182" t="str">
        <f>IFERROR(IF($AQ182&gt;6,INDEX(Festivals!$V$2:$V$160,$AP182+6),""),"")</f>
        <v/>
      </c>
      <c r="AL182" t="str">
        <f ca="1">IFERROR(INDEX('Holidays Calc'!$J$2:$J$233,MATCH(A182,'Holidays Calc'!$I$2:$I$233,0)),"")</f>
        <v/>
      </c>
      <c r="AM182" t="str">
        <f ca="1">IF(AR182="","",IF(INDEX('Holidays Calc'!$I$2:$I$233,AR182+1)=A182,INDEX('Holidays Calc'!$J$2:$J$233,AR182+1),""))</f>
        <v/>
      </c>
      <c r="AN182" t="str">
        <f ca="1">IF(AR182="","",IF(INDEX('Holidays Calc'!$I$2:$I$233,AR182+2)=A182,INDEX('Holidays Calc'!$J$2:$J$233,AR182+2),""))</f>
        <v/>
      </c>
      <c r="AO182" t="str">
        <f ca="1">IF(AR182="","",IF(INDEX('Holidays Calc'!$I$2:$I$233,AR182+3)=A182,INDEX('Holidays Calc'!$J$2:$J$233,AR182+3),""))</f>
        <v/>
      </c>
      <c r="AP182">
        <f>IFERROR(IF($E182=E181,"",MATCH($E182,Festivals!$H$2:$H$160,0)),"")</f>
        <v>26</v>
      </c>
      <c r="AQ182">
        <f>IF(AP182="","",COUNTIF(Festivals!$H$2:$H$160,$E182))</f>
        <v>1</v>
      </c>
      <c r="AR182" t="str">
        <f ca="1">IFERROR(MATCH(A182,'Holidays Calc'!$I$2:$I$233,0),"")</f>
        <v/>
      </c>
      <c r="AS182">
        <f t="shared" si="18"/>
        <v>3</v>
      </c>
      <c r="AT182">
        <f t="shared" si="17"/>
        <v>3</v>
      </c>
      <c r="AU182" t="str">
        <f t="shared" ca="1" si="19"/>
        <v/>
      </c>
      <c r="AV182">
        <f t="shared" ca="1" si="20"/>
        <v>3</v>
      </c>
    </row>
    <row r="183" spans="1:48" x14ac:dyDescent="0.25">
      <c r="A183" s="265">
        <f t="shared" si="16"/>
        <v>43609</v>
      </c>
      <c r="B183" s="265" t="str">
        <f t="shared" si="21"/>
        <v>24 May 2019</v>
      </c>
      <c r="C183" s="267">
        <f t="shared" si="22"/>
        <v>21</v>
      </c>
      <c r="D183">
        <f>MATCH(A183,GCalXMLT[daydate],0)</f>
        <v>182</v>
      </c>
      <c r="E183">
        <f>VALUE("1" &amp; Masacod(INDEX(GCalXMLT[gymasa],D183)) &amp; PaksaCod(INDEX(GCalXMLT[mpaksaid],D183)) &amp; TithiCod(INDEX(GCalXMLT[stithiname],D183)))</f>
        <v>103006</v>
      </c>
      <c r="F183" t="str">
        <f ca="1">INDEX(Parameters!$K$2:$K$16,MATCH(AV183,Parameters!$L$2:$L$16,0))</f>
        <v/>
      </c>
      <c r="G183">
        <f>INDEX(GCalXMLT[fastmark],$D183)</f>
        <v>0</v>
      </c>
      <c r="H183" t="str">
        <f ca="1">INDEX(Parameters!$J$2:$J$16,MATCH(AV183,Parameters!$L$2:$L$16,0))</f>
        <v/>
      </c>
      <c r="I183">
        <f>INDEX(GCalXMLT[dfestival1],$D183)</f>
        <v>0</v>
      </c>
      <c r="J183">
        <f>IF(INDEX(GCalXMLT[dfestival2],$D183)="(Fast today)",INDEX(Festivals!$R$2:$R$180,MATCH($I183,Festivals!$R$2:$R$180,0)+1),INDEX(GCalXMLT[dfestival2],$D183))</f>
        <v>0</v>
      </c>
      <c r="K183">
        <f>IF(I183="Nandotsava","(Fast till noon)",INDEX(GCalXMLT[dfestival3],$D183))</f>
        <v>0</v>
      </c>
      <c r="L183">
        <f>IF(I183="Nandotsava", INDEX(GCalXMLT[dfestival3],$D183),INDEX(GCalXMLT[dfestival4],$D183))</f>
        <v>0</v>
      </c>
      <c r="M183" t="str">
        <f>IFERROR(INDEX(Festivals!$S$2:$S$160,AP183),"")</f>
        <v/>
      </c>
      <c r="N183" t="str">
        <f>IFERROR(IF($AQ183&gt;1,INDEX(Festivals!$S$2:$S$160,$AP183+1),""),"")</f>
        <v/>
      </c>
      <c r="O183" t="str">
        <f>IFERROR(IF($AQ183&gt;2,INDEX(Festivals!$S$2:$S$160,$AP183+2),""),"")</f>
        <v/>
      </c>
      <c r="P183" t="str">
        <f>IFERROR(IF($AQ183&gt;3,INDEX(Festivals!$S$2:$S$160,$AP183+3),""),"")</f>
        <v/>
      </c>
      <c r="Q183" t="str">
        <f>IFERROR(IF($AQ183&gt;4,INDEX(Festivals!$S$2:$S$160,$AP183+4),""),"")</f>
        <v/>
      </c>
      <c r="R183" t="str">
        <f>IFERROR(IF($AQ183&gt;5,INDEX(Festivals!$S$2:$S$160,$AP183+5),""),"")</f>
        <v/>
      </c>
      <c r="S183" t="str">
        <f>IFERROR(IF($AQ183&gt;6,INDEX(Festivals!$S$2:$S$160,$AP183+6),""),"")</f>
        <v/>
      </c>
      <c r="T183">
        <f>INDEX(GCalXMLT[dcaturmasya1],$D183)</f>
        <v>0</v>
      </c>
      <c r="U183">
        <f>INDEX(GCalXMLT[dcaturmasya2],$D183)</f>
        <v>0</v>
      </c>
      <c r="V183" t="str">
        <f>INDEX(GCalXMLT[sankrantirasi],$D183) &amp; " " &amp; INDEX(GCalXMLT[sankrantitime],$D183)</f>
        <v xml:space="preserve"> </v>
      </c>
      <c r="W183" t="str">
        <f ca="1">IFERROR(INDEX('Holidays Calc'!$K$2:$K$233,AR183),"")</f>
        <v/>
      </c>
      <c r="X183" t="str">
        <f ca="1">IF(AR183="","",IF(INDEX('Holidays Calc'!$I$2:$I$233,AR183+1)=A183,INDEX('Holidays Calc'!$K$2:$K$233,AR183+1),""))</f>
        <v/>
      </c>
      <c r="Y183" t="str">
        <f ca="1">IF(AR183="","",IF(INDEX('Holidays Calc'!$I$2:$I$233,AR183+2)=A183,INDEX('Holidays Calc'!$K$2:$K$233,AR183+2),""))</f>
        <v/>
      </c>
      <c r="Z183" t="str">
        <f ca="1">IF(AR183="","",IF(INDEX('Holidays Calc'!$I$2:$I$233,AR183+3)=A183,INDEX('Holidays Calc'!$K$2:$K$2333,AR183+3),""))</f>
        <v/>
      </c>
      <c r="AA183" t="str">
        <f>IF(I183="Last day of Bhisma Pancaka","",IF(G183="*",-0.7,IF(ISBLANK(INDEX(GCalXMLT[dclass1],$D183)),"",INDEX(GCalXMLT[dclass1],$D183))))</f>
        <v/>
      </c>
      <c r="AB183" t="str">
        <f>IF(J183="First day of Bhisma Pancaka","",IF(AND(G183="*",NOT(ISERROR(SEARCH("ekadasi",J183)))),-0.7,IF(ISBLANK(INDEX(GCalXMLT[dclass2],$D183)),"",INDEX(GCalXMLT[dclass2],$D183))))</f>
        <v/>
      </c>
      <c r="AC183" t="str">
        <f>IF(I183="Nandotsava",-1,IF(ISBLANK(INDEX(GCalXMLT[dclass3],$D183)),"",INDEX(GCalXMLT[dclass3],$D183)))</f>
        <v/>
      </c>
      <c r="AD183" t="str">
        <f>IF(I183="Nandotsava",IF(ISBLANK(INDEX(GCalXMLT[dclass3],$D183)),"",INDEX(GCalXMLT[dclass3],$D183)),IF(ISBLANK(INDEX(GCalXMLT[dclass4],$D183)),"",INDEX(GCalXMLT[dclass4],$D183)))</f>
        <v/>
      </c>
      <c r="AE183" t="str">
        <f>IFERROR(INDEX(Festivals!$V$2:$V$160,AP183),"")</f>
        <v/>
      </c>
      <c r="AF183" t="str">
        <f>IFERROR(IF($AQ183&gt;1,INDEX(Festivals!$V$2:$V$160,$AP183+1),""),"")</f>
        <v/>
      </c>
      <c r="AG183" t="str">
        <f>IFERROR(IF($AQ183&gt;2,INDEX(Festivals!$V$2:$V$160,$AP183+2),""),"")</f>
        <v/>
      </c>
      <c r="AH183" t="str">
        <f>IFERROR(IF($AQ183&gt;3,INDEX(Festivals!$V$2:$V$160,$AP183+3),""),"")</f>
        <v/>
      </c>
      <c r="AI183" t="str">
        <f>IFERROR(IF($AQ183&gt;4,INDEX(Festivals!$V$2:$V$160,$AP183+4),""),"")</f>
        <v/>
      </c>
      <c r="AJ183" t="str">
        <f>IFERROR(IF($AQ183&gt;5,INDEX(Festivals!$V$2:$V$160,$AP183+5),""),"")</f>
        <v/>
      </c>
      <c r="AK183" t="str">
        <f>IFERROR(IF($AQ183&gt;6,INDEX(Festivals!$V$2:$V$160,$AP183+6),""),"")</f>
        <v/>
      </c>
      <c r="AL183" t="str">
        <f ca="1">IFERROR(INDEX('Holidays Calc'!$J$2:$J$233,MATCH(A183,'Holidays Calc'!$I$2:$I$233,0)),"")</f>
        <v/>
      </c>
      <c r="AM183" t="str">
        <f ca="1">IF(AR183="","",IF(INDEX('Holidays Calc'!$I$2:$I$233,AR183+1)=A183,INDEX('Holidays Calc'!$J$2:$J$233,AR183+1),""))</f>
        <v/>
      </c>
      <c r="AN183" t="str">
        <f ca="1">IF(AR183="","",IF(INDEX('Holidays Calc'!$I$2:$I$233,AR183+2)=A183,INDEX('Holidays Calc'!$J$2:$J$233,AR183+2),""))</f>
        <v/>
      </c>
      <c r="AO183" t="str">
        <f ca="1">IF(AR183="","",IF(INDEX('Holidays Calc'!$I$2:$I$233,AR183+3)=A183,INDEX('Holidays Calc'!$J$2:$J$233,AR183+3),""))</f>
        <v/>
      </c>
      <c r="AP183" t="str">
        <f>IFERROR(IF($E183=E182,"",MATCH($E183,Festivals!$H$2:$H$160,0)),"")</f>
        <v/>
      </c>
      <c r="AQ183" t="str">
        <f>IF(AP183="","",COUNTIF(Festivals!$H$2:$H$160,$E183))</f>
        <v/>
      </c>
      <c r="AR183" t="str">
        <f ca="1">IFERROR(MATCH(A183,'Holidays Calc'!$I$2:$I$233,0),"")</f>
        <v/>
      </c>
      <c r="AS183" t="str">
        <f t="shared" si="18"/>
        <v/>
      </c>
      <c r="AT183" t="str">
        <f t="shared" si="17"/>
        <v/>
      </c>
      <c r="AU183" t="str">
        <f t="shared" ca="1" si="19"/>
        <v/>
      </c>
      <c r="AV183" t="str">
        <f t="shared" ca="1" si="20"/>
        <v/>
      </c>
    </row>
    <row r="184" spans="1:48" x14ac:dyDescent="0.25">
      <c r="A184" s="265">
        <f t="shared" si="16"/>
        <v>43610</v>
      </c>
      <c r="B184" s="265" t="str">
        <f t="shared" si="21"/>
        <v>25 May 2019</v>
      </c>
      <c r="C184" s="267">
        <f t="shared" si="22"/>
        <v>21</v>
      </c>
      <c r="D184">
        <f>MATCH(A184,GCalXMLT[daydate],0)</f>
        <v>183</v>
      </c>
      <c r="E184">
        <f>VALUE("1" &amp; Masacod(INDEX(GCalXMLT[gymasa],D184)) &amp; PaksaCod(INDEX(GCalXMLT[mpaksaid],D184)) &amp; TithiCod(INDEX(GCalXMLT[stithiname],D184)))</f>
        <v>103007</v>
      </c>
      <c r="F184" t="str">
        <f ca="1">INDEX(Parameters!$K$2:$K$16,MATCH(AV184,Parameters!$L$2:$L$16,0))</f>
        <v/>
      </c>
      <c r="G184">
        <f>INDEX(GCalXMLT[fastmark],$D184)</f>
        <v>0</v>
      </c>
      <c r="H184" t="str">
        <f ca="1">INDEX(Parameters!$J$2:$J$16,MATCH(AV184,Parameters!$L$2:$L$16,0))</f>
        <v/>
      </c>
      <c r="I184">
        <f>INDEX(GCalXMLT[dfestival1],$D184)</f>
        <v>0</v>
      </c>
      <c r="J184">
        <f>IF(INDEX(GCalXMLT[dfestival2],$D184)="(Fast today)",INDEX(Festivals!$R$2:$R$180,MATCH($I184,Festivals!$R$2:$R$180,0)+1),INDEX(GCalXMLT[dfestival2],$D184))</f>
        <v>0</v>
      </c>
      <c r="K184">
        <f>IF(I184="Nandotsava","(Fast till noon)",INDEX(GCalXMLT[dfestival3],$D184))</f>
        <v>0</v>
      </c>
      <c r="L184">
        <f>IF(I184="Nandotsava", INDEX(GCalXMLT[dfestival3],$D184),INDEX(GCalXMLT[dfestival4],$D184))</f>
        <v>0</v>
      </c>
      <c r="M184" t="str">
        <f>IFERROR(INDEX(Festivals!$S$2:$S$160,AP184),"")</f>
        <v/>
      </c>
      <c r="N184" t="str">
        <f>IFERROR(IF($AQ184&gt;1,INDEX(Festivals!$S$2:$S$160,$AP184+1),""),"")</f>
        <v/>
      </c>
      <c r="O184" t="str">
        <f>IFERROR(IF($AQ184&gt;2,INDEX(Festivals!$S$2:$S$160,$AP184+2),""),"")</f>
        <v/>
      </c>
      <c r="P184" t="str">
        <f>IFERROR(IF($AQ184&gt;3,INDEX(Festivals!$S$2:$S$160,$AP184+3),""),"")</f>
        <v/>
      </c>
      <c r="Q184" t="str">
        <f>IFERROR(IF($AQ184&gt;4,INDEX(Festivals!$S$2:$S$160,$AP184+4),""),"")</f>
        <v/>
      </c>
      <c r="R184" t="str">
        <f>IFERROR(IF($AQ184&gt;5,INDEX(Festivals!$S$2:$S$160,$AP184+5),""),"")</f>
        <v/>
      </c>
      <c r="S184" t="str">
        <f>IFERROR(IF($AQ184&gt;6,INDEX(Festivals!$S$2:$S$160,$AP184+6),""),"")</f>
        <v/>
      </c>
      <c r="T184">
        <f>INDEX(GCalXMLT[dcaturmasya1],$D184)</f>
        <v>0</v>
      </c>
      <c r="U184">
        <f>INDEX(GCalXMLT[dcaturmasya2],$D184)</f>
        <v>0</v>
      </c>
      <c r="V184" t="str">
        <f>INDEX(GCalXMLT[sankrantirasi],$D184) &amp; " " &amp; INDEX(GCalXMLT[sankrantitime],$D184)</f>
        <v xml:space="preserve"> </v>
      </c>
      <c r="W184" t="str">
        <f ca="1">IFERROR(INDEX('Holidays Calc'!$K$2:$K$233,AR184),"")</f>
        <v/>
      </c>
      <c r="X184" t="str">
        <f ca="1">IF(AR184="","",IF(INDEX('Holidays Calc'!$I$2:$I$233,AR184+1)=A184,INDEX('Holidays Calc'!$K$2:$K$233,AR184+1),""))</f>
        <v/>
      </c>
      <c r="Y184" t="str">
        <f ca="1">IF(AR184="","",IF(INDEX('Holidays Calc'!$I$2:$I$233,AR184+2)=A184,INDEX('Holidays Calc'!$K$2:$K$233,AR184+2),""))</f>
        <v/>
      </c>
      <c r="Z184" t="str">
        <f ca="1">IF(AR184="","",IF(INDEX('Holidays Calc'!$I$2:$I$233,AR184+3)=A184,INDEX('Holidays Calc'!$K$2:$K$2333,AR184+3),""))</f>
        <v/>
      </c>
      <c r="AA184" t="str">
        <f>IF(I184="Last day of Bhisma Pancaka","",IF(G184="*",-0.7,IF(ISBLANK(INDEX(GCalXMLT[dclass1],$D184)),"",INDEX(GCalXMLT[dclass1],$D184))))</f>
        <v/>
      </c>
      <c r="AB184" t="str">
        <f>IF(J184="First day of Bhisma Pancaka","",IF(AND(G184="*",NOT(ISERROR(SEARCH("ekadasi",J184)))),-0.7,IF(ISBLANK(INDEX(GCalXMLT[dclass2],$D184)),"",INDEX(GCalXMLT[dclass2],$D184))))</f>
        <v/>
      </c>
      <c r="AC184" t="str">
        <f>IF(I184="Nandotsava",-1,IF(ISBLANK(INDEX(GCalXMLT[dclass3],$D184)),"",INDEX(GCalXMLT[dclass3],$D184)))</f>
        <v/>
      </c>
      <c r="AD184" t="str">
        <f>IF(I184="Nandotsava",IF(ISBLANK(INDEX(GCalXMLT[dclass3],$D184)),"",INDEX(GCalXMLT[dclass3],$D184)),IF(ISBLANK(INDEX(GCalXMLT[dclass4],$D184)),"",INDEX(GCalXMLT[dclass4],$D184)))</f>
        <v/>
      </c>
      <c r="AE184" t="str">
        <f>IFERROR(INDEX(Festivals!$V$2:$V$160,AP184),"")</f>
        <v/>
      </c>
      <c r="AF184" t="str">
        <f>IFERROR(IF($AQ184&gt;1,INDEX(Festivals!$V$2:$V$160,$AP184+1),""),"")</f>
        <v/>
      </c>
      <c r="AG184" t="str">
        <f>IFERROR(IF($AQ184&gt;2,INDEX(Festivals!$V$2:$V$160,$AP184+2),""),"")</f>
        <v/>
      </c>
      <c r="AH184" t="str">
        <f>IFERROR(IF($AQ184&gt;3,INDEX(Festivals!$V$2:$V$160,$AP184+3),""),"")</f>
        <v/>
      </c>
      <c r="AI184" t="str">
        <f>IFERROR(IF($AQ184&gt;4,INDEX(Festivals!$V$2:$V$160,$AP184+4),""),"")</f>
        <v/>
      </c>
      <c r="AJ184" t="str">
        <f>IFERROR(IF($AQ184&gt;5,INDEX(Festivals!$V$2:$V$160,$AP184+5),""),"")</f>
        <v/>
      </c>
      <c r="AK184" t="str">
        <f>IFERROR(IF($AQ184&gt;6,INDEX(Festivals!$V$2:$V$160,$AP184+6),""),"")</f>
        <v/>
      </c>
      <c r="AL184" t="str">
        <f ca="1">IFERROR(INDEX('Holidays Calc'!$J$2:$J$233,MATCH(A184,'Holidays Calc'!$I$2:$I$233,0)),"")</f>
        <v/>
      </c>
      <c r="AM184" t="str">
        <f ca="1">IF(AR184="","",IF(INDEX('Holidays Calc'!$I$2:$I$233,AR184+1)=A184,INDEX('Holidays Calc'!$J$2:$J$233,AR184+1),""))</f>
        <v/>
      </c>
      <c r="AN184" t="str">
        <f ca="1">IF(AR184="","",IF(INDEX('Holidays Calc'!$I$2:$I$233,AR184+2)=A184,INDEX('Holidays Calc'!$J$2:$J$233,AR184+2),""))</f>
        <v/>
      </c>
      <c r="AO184" t="str">
        <f ca="1">IF(AR184="","",IF(INDEX('Holidays Calc'!$I$2:$I$233,AR184+3)=A184,INDEX('Holidays Calc'!$J$2:$J$233,AR184+3),""))</f>
        <v/>
      </c>
      <c r="AP184" t="str">
        <f>IFERROR(IF($E184=E183,"",MATCH($E184,Festivals!$H$2:$H$160,0)),"")</f>
        <v/>
      </c>
      <c r="AQ184" t="str">
        <f>IF(AP184="","",COUNTIF(Festivals!$H$2:$H$160,$E184))</f>
        <v/>
      </c>
      <c r="AR184" t="str">
        <f ca="1">IFERROR(MATCH(A184,'Holidays Calc'!$I$2:$I$233,0),"")</f>
        <v/>
      </c>
      <c r="AS184" t="str">
        <f t="shared" si="18"/>
        <v/>
      </c>
      <c r="AT184" t="str">
        <f t="shared" si="17"/>
        <v/>
      </c>
      <c r="AU184" t="str">
        <f t="shared" ca="1" si="19"/>
        <v/>
      </c>
      <c r="AV184" t="str">
        <f t="shared" ca="1" si="20"/>
        <v/>
      </c>
    </row>
    <row r="185" spans="1:48" x14ac:dyDescent="0.25">
      <c r="A185" s="265">
        <f t="shared" si="16"/>
        <v>43611</v>
      </c>
      <c r="B185" s="265" t="str">
        <f t="shared" si="21"/>
        <v>26 May 2019</v>
      </c>
      <c r="C185" s="267">
        <f t="shared" si="22"/>
        <v>21</v>
      </c>
      <c r="D185">
        <f>MATCH(A185,GCalXMLT[daydate],0)</f>
        <v>184</v>
      </c>
      <c r="E185">
        <f>VALUE("1" &amp; Masacod(INDEX(GCalXMLT[gymasa],D185)) &amp; PaksaCod(INDEX(GCalXMLT[mpaksaid],D185)) &amp; TithiCod(INDEX(GCalXMLT[stithiname],D185)))</f>
        <v>103008</v>
      </c>
      <c r="F185" t="str">
        <f ca="1">INDEX(Parameters!$K$2:$K$16,MATCH(AV185,Parameters!$L$2:$L$16,0))</f>
        <v/>
      </c>
      <c r="G185">
        <f>INDEX(GCalXMLT[fastmark],$D185)</f>
        <v>0</v>
      </c>
      <c r="H185" t="str">
        <f ca="1">INDEX(Parameters!$J$2:$J$16,MATCH(AV185,Parameters!$L$2:$L$16,0))</f>
        <v/>
      </c>
      <c r="I185">
        <f>INDEX(GCalXMLT[dfestival1],$D185)</f>
        <v>0</v>
      </c>
      <c r="J185">
        <f>IF(INDEX(GCalXMLT[dfestival2],$D185)="(Fast today)",INDEX(Festivals!$R$2:$R$180,MATCH($I185,Festivals!$R$2:$R$180,0)+1),INDEX(GCalXMLT[dfestival2],$D185))</f>
        <v>0</v>
      </c>
      <c r="K185">
        <f>IF(I185="Nandotsava","(Fast till noon)",INDEX(GCalXMLT[dfestival3],$D185))</f>
        <v>0</v>
      </c>
      <c r="L185">
        <f>IF(I185="Nandotsava", INDEX(GCalXMLT[dfestival3],$D185),INDEX(GCalXMLT[dfestival4],$D185))</f>
        <v>0</v>
      </c>
      <c r="M185" t="str">
        <f>IFERROR(INDEX(Festivals!$S$2:$S$160,AP185),"")</f>
        <v/>
      </c>
      <c r="N185" t="str">
        <f>IFERROR(IF($AQ185&gt;1,INDEX(Festivals!$S$2:$S$160,$AP185+1),""),"")</f>
        <v/>
      </c>
      <c r="O185" t="str">
        <f>IFERROR(IF($AQ185&gt;2,INDEX(Festivals!$S$2:$S$160,$AP185+2),""),"")</f>
        <v/>
      </c>
      <c r="P185" t="str">
        <f>IFERROR(IF($AQ185&gt;3,INDEX(Festivals!$S$2:$S$160,$AP185+3),""),"")</f>
        <v/>
      </c>
      <c r="Q185" t="str">
        <f>IFERROR(IF($AQ185&gt;4,INDEX(Festivals!$S$2:$S$160,$AP185+4),""),"")</f>
        <v/>
      </c>
      <c r="R185" t="str">
        <f>IFERROR(IF($AQ185&gt;5,INDEX(Festivals!$S$2:$S$160,$AP185+5),""),"")</f>
        <v/>
      </c>
      <c r="S185" t="str">
        <f>IFERROR(IF($AQ185&gt;6,INDEX(Festivals!$S$2:$S$160,$AP185+6),""),"")</f>
        <v/>
      </c>
      <c r="T185">
        <f>INDEX(GCalXMLT[dcaturmasya1],$D185)</f>
        <v>0</v>
      </c>
      <c r="U185">
        <f>INDEX(GCalXMLT[dcaturmasya2],$D185)</f>
        <v>0</v>
      </c>
      <c r="V185" t="str">
        <f>INDEX(GCalXMLT[sankrantirasi],$D185) &amp; " " &amp; INDEX(GCalXMLT[sankrantitime],$D185)</f>
        <v xml:space="preserve"> </v>
      </c>
      <c r="W185" t="str">
        <f ca="1">IFERROR(INDEX('Holidays Calc'!$K$2:$K$233,AR185),"")</f>
        <v/>
      </c>
      <c r="X185" t="str">
        <f ca="1">IF(AR185="","",IF(INDEX('Holidays Calc'!$I$2:$I$233,AR185+1)=A185,INDEX('Holidays Calc'!$K$2:$K$233,AR185+1),""))</f>
        <v/>
      </c>
      <c r="Y185" t="str">
        <f ca="1">IF(AR185="","",IF(INDEX('Holidays Calc'!$I$2:$I$233,AR185+2)=A185,INDEX('Holidays Calc'!$K$2:$K$233,AR185+2),""))</f>
        <v/>
      </c>
      <c r="Z185" t="str">
        <f ca="1">IF(AR185="","",IF(INDEX('Holidays Calc'!$I$2:$I$233,AR185+3)=A185,INDEX('Holidays Calc'!$K$2:$K$2333,AR185+3),""))</f>
        <v/>
      </c>
      <c r="AA185" t="str">
        <f>IF(I185="Last day of Bhisma Pancaka","",IF(G185="*",-0.7,IF(ISBLANK(INDEX(GCalXMLT[dclass1],$D185)),"",INDEX(GCalXMLT[dclass1],$D185))))</f>
        <v/>
      </c>
      <c r="AB185" t="str">
        <f>IF(J185="First day of Bhisma Pancaka","",IF(AND(G185="*",NOT(ISERROR(SEARCH("ekadasi",J185)))),-0.7,IF(ISBLANK(INDEX(GCalXMLT[dclass2],$D185)),"",INDEX(GCalXMLT[dclass2],$D185))))</f>
        <v/>
      </c>
      <c r="AC185" t="str">
        <f>IF(I185="Nandotsava",-1,IF(ISBLANK(INDEX(GCalXMLT[dclass3],$D185)),"",INDEX(GCalXMLT[dclass3],$D185)))</f>
        <v/>
      </c>
      <c r="AD185" t="str">
        <f>IF(I185="Nandotsava",IF(ISBLANK(INDEX(GCalXMLT[dclass3],$D185)),"",INDEX(GCalXMLT[dclass3],$D185)),IF(ISBLANK(INDEX(GCalXMLT[dclass4],$D185)),"",INDEX(GCalXMLT[dclass4],$D185)))</f>
        <v/>
      </c>
      <c r="AE185" t="str">
        <f>IFERROR(INDEX(Festivals!$V$2:$V$160,AP185),"")</f>
        <v/>
      </c>
      <c r="AF185" t="str">
        <f>IFERROR(IF($AQ185&gt;1,INDEX(Festivals!$V$2:$V$160,$AP185+1),""),"")</f>
        <v/>
      </c>
      <c r="AG185" t="str">
        <f>IFERROR(IF($AQ185&gt;2,INDEX(Festivals!$V$2:$V$160,$AP185+2),""),"")</f>
        <v/>
      </c>
      <c r="AH185" t="str">
        <f>IFERROR(IF($AQ185&gt;3,INDEX(Festivals!$V$2:$V$160,$AP185+3),""),"")</f>
        <v/>
      </c>
      <c r="AI185" t="str">
        <f>IFERROR(IF($AQ185&gt;4,INDEX(Festivals!$V$2:$V$160,$AP185+4),""),"")</f>
        <v/>
      </c>
      <c r="AJ185" t="str">
        <f>IFERROR(IF($AQ185&gt;5,INDEX(Festivals!$V$2:$V$160,$AP185+5),""),"")</f>
        <v/>
      </c>
      <c r="AK185" t="str">
        <f>IFERROR(IF($AQ185&gt;6,INDEX(Festivals!$V$2:$V$160,$AP185+6),""),"")</f>
        <v/>
      </c>
      <c r="AL185" t="str">
        <f ca="1">IFERROR(INDEX('Holidays Calc'!$J$2:$J$233,MATCH(A185,'Holidays Calc'!$I$2:$I$233,0)),"")</f>
        <v/>
      </c>
      <c r="AM185" t="str">
        <f ca="1">IF(AR185="","",IF(INDEX('Holidays Calc'!$I$2:$I$233,AR185+1)=A185,INDEX('Holidays Calc'!$J$2:$J$233,AR185+1),""))</f>
        <v/>
      </c>
      <c r="AN185" t="str">
        <f ca="1">IF(AR185="","",IF(INDEX('Holidays Calc'!$I$2:$I$233,AR185+2)=A185,INDEX('Holidays Calc'!$J$2:$J$233,AR185+2),""))</f>
        <v/>
      </c>
      <c r="AO185" t="str">
        <f ca="1">IF(AR185="","",IF(INDEX('Holidays Calc'!$I$2:$I$233,AR185+3)=A185,INDEX('Holidays Calc'!$J$2:$J$233,AR185+3),""))</f>
        <v/>
      </c>
      <c r="AP185" t="str">
        <f>IFERROR(IF($E185=E184,"",MATCH($E185,Festivals!$H$2:$H$160,0)),"")</f>
        <v/>
      </c>
      <c r="AQ185" t="str">
        <f>IF(AP185="","",COUNTIF(Festivals!$H$2:$H$160,$E185))</f>
        <v/>
      </c>
      <c r="AR185" t="str">
        <f ca="1">IFERROR(MATCH(A185,'Holidays Calc'!$I$2:$I$233,0),"")</f>
        <v/>
      </c>
      <c r="AS185" t="str">
        <f t="shared" si="18"/>
        <v/>
      </c>
      <c r="AT185" t="str">
        <f t="shared" si="17"/>
        <v/>
      </c>
      <c r="AU185" t="str">
        <f t="shared" ca="1" si="19"/>
        <v/>
      </c>
      <c r="AV185" t="str">
        <f t="shared" ca="1" si="20"/>
        <v/>
      </c>
    </row>
    <row r="186" spans="1:48" x14ac:dyDescent="0.25">
      <c r="A186" s="265">
        <f t="shared" si="16"/>
        <v>43612</v>
      </c>
      <c r="B186" s="265" t="str">
        <f t="shared" si="21"/>
        <v>27 May 2019</v>
      </c>
      <c r="C186" s="267">
        <f t="shared" si="22"/>
        <v>22</v>
      </c>
      <c r="D186">
        <f>MATCH(A186,GCalXMLT[daydate],0)</f>
        <v>185</v>
      </c>
      <c r="E186">
        <f>VALUE("1" &amp; Masacod(INDEX(GCalXMLT[gymasa],D186)) &amp; PaksaCod(INDEX(GCalXMLT[mpaksaid],D186)) &amp; TithiCod(INDEX(GCalXMLT[stithiname],D186)))</f>
        <v>103009</v>
      </c>
      <c r="F186" t="str">
        <f ca="1">INDEX(Parameters!$K$2:$K$16,MATCH(AV186,Parameters!$L$2:$L$16,0))</f>
        <v/>
      </c>
      <c r="G186">
        <f>INDEX(GCalXMLT[fastmark],$D186)</f>
        <v>0</v>
      </c>
      <c r="H186" t="str">
        <f ca="1">INDEX(Parameters!$J$2:$J$16,MATCH(AV186,Parameters!$L$2:$L$16,0))</f>
        <v/>
      </c>
      <c r="I186">
        <f>INDEX(GCalXMLT[dfestival1],$D186)</f>
        <v>0</v>
      </c>
      <c r="J186">
        <f>IF(INDEX(GCalXMLT[dfestival2],$D186)="(Fast today)",INDEX(Festivals!$R$2:$R$180,MATCH($I186,Festivals!$R$2:$R$180,0)+1),INDEX(GCalXMLT[dfestival2],$D186))</f>
        <v>0</v>
      </c>
      <c r="K186">
        <f>IF(I186="Nandotsava","(Fast till noon)",INDEX(GCalXMLT[dfestival3],$D186))</f>
        <v>0</v>
      </c>
      <c r="L186">
        <f>IF(I186="Nandotsava", INDEX(GCalXMLT[dfestival3],$D186),INDEX(GCalXMLT[dfestival4],$D186))</f>
        <v>0</v>
      </c>
      <c r="M186" t="str">
        <f>IFERROR(INDEX(Festivals!$S$2:$S$160,AP186),"")</f>
        <v/>
      </c>
      <c r="N186" t="str">
        <f>IFERROR(IF($AQ186&gt;1,INDEX(Festivals!$S$2:$S$160,$AP186+1),""),"")</f>
        <v/>
      </c>
      <c r="O186" t="str">
        <f>IFERROR(IF($AQ186&gt;2,INDEX(Festivals!$S$2:$S$160,$AP186+2),""),"")</f>
        <v/>
      </c>
      <c r="P186" t="str">
        <f>IFERROR(IF($AQ186&gt;3,INDEX(Festivals!$S$2:$S$160,$AP186+3),""),"")</f>
        <v/>
      </c>
      <c r="Q186" t="str">
        <f>IFERROR(IF($AQ186&gt;4,INDEX(Festivals!$S$2:$S$160,$AP186+4),""),"")</f>
        <v/>
      </c>
      <c r="R186" t="str">
        <f>IFERROR(IF($AQ186&gt;5,INDEX(Festivals!$S$2:$S$160,$AP186+5),""),"")</f>
        <v/>
      </c>
      <c r="S186" t="str">
        <f>IFERROR(IF($AQ186&gt;6,INDEX(Festivals!$S$2:$S$160,$AP186+6),""),"")</f>
        <v/>
      </c>
      <c r="T186">
        <f>INDEX(GCalXMLT[dcaturmasya1],$D186)</f>
        <v>0</v>
      </c>
      <c r="U186">
        <f>INDEX(GCalXMLT[dcaturmasya2],$D186)</f>
        <v>0</v>
      </c>
      <c r="V186" t="str">
        <f>INDEX(GCalXMLT[sankrantirasi],$D186) &amp; " " &amp; INDEX(GCalXMLT[sankrantitime],$D186)</f>
        <v xml:space="preserve"> </v>
      </c>
      <c r="W186" t="str">
        <f ca="1">IFERROR(INDEX('Holidays Calc'!$K$2:$K$233,AR186),"")</f>
        <v/>
      </c>
      <c r="X186" t="str">
        <f ca="1">IF(AR186="","",IF(INDEX('Holidays Calc'!$I$2:$I$233,AR186+1)=A186,INDEX('Holidays Calc'!$K$2:$K$233,AR186+1),""))</f>
        <v/>
      </c>
      <c r="Y186" t="str">
        <f ca="1">IF(AR186="","",IF(INDEX('Holidays Calc'!$I$2:$I$233,AR186+2)=A186,INDEX('Holidays Calc'!$K$2:$K$233,AR186+2),""))</f>
        <v/>
      </c>
      <c r="Z186" t="str">
        <f ca="1">IF(AR186="","",IF(INDEX('Holidays Calc'!$I$2:$I$233,AR186+3)=A186,INDEX('Holidays Calc'!$K$2:$K$2333,AR186+3),""))</f>
        <v/>
      </c>
      <c r="AA186" t="str">
        <f>IF(I186="Last day of Bhisma Pancaka","",IF(G186="*",-0.7,IF(ISBLANK(INDEX(GCalXMLT[dclass1],$D186)),"",INDEX(GCalXMLT[dclass1],$D186))))</f>
        <v/>
      </c>
      <c r="AB186" t="str">
        <f>IF(J186="First day of Bhisma Pancaka","",IF(AND(G186="*",NOT(ISERROR(SEARCH("ekadasi",J186)))),-0.7,IF(ISBLANK(INDEX(GCalXMLT[dclass2],$D186)),"",INDEX(GCalXMLT[dclass2],$D186))))</f>
        <v/>
      </c>
      <c r="AC186" t="str">
        <f>IF(I186="Nandotsava",-1,IF(ISBLANK(INDEX(GCalXMLT[dclass3],$D186)),"",INDEX(GCalXMLT[dclass3],$D186)))</f>
        <v/>
      </c>
      <c r="AD186" t="str">
        <f>IF(I186="Nandotsava",IF(ISBLANK(INDEX(GCalXMLT[dclass3],$D186)),"",INDEX(GCalXMLT[dclass3],$D186)),IF(ISBLANK(INDEX(GCalXMLT[dclass4],$D186)),"",INDEX(GCalXMLT[dclass4],$D186)))</f>
        <v/>
      </c>
      <c r="AE186" t="str">
        <f>IFERROR(INDEX(Festivals!$V$2:$V$160,AP186),"")</f>
        <v/>
      </c>
      <c r="AF186" t="str">
        <f>IFERROR(IF($AQ186&gt;1,INDEX(Festivals!$V$2:$V$160,$AP186+1),""),"")</f>
        <v/>
      </c>
      <c r="AG186" t="str">
        <f>IFERROR(IF($AQ186&gt;2,INDEX(Festivals!$V$2:$V$160,$AP186+2),""),"")</f>
        <v/>
      </c>
      <c r="AH186" t="str">
        <f>IFERROR(IF($AQ186&gt;3,INDEX(Festivals!$V$2:$V$160,$AP186+3),""),"")</f>
        <v/>
      </c>
      <c r="AI186" t="str">
        <f>IFERROR(IF($AQ186&gt;4,INDEX(Festivals!$V$2:$V$160,$AP186+4),""),"")</f>
        <v/>
      </c>
      <c r="AJ186" t="str">
        <f>IFERROR(IF($AQ186&gt;5,INDEX(Festivals!$V$2:$V$160,$AP186+5),""),"")</f>
        <v/>
      </c>
      <c r="AK186" t="str">
        <f>IFERROR(IF($AQ186&gt;6,INDEX(Festivals!$V$2:$V$160,$AP186+6),""),"")</f>
        <v/>
      </c>
      <c r="AL186" t="str">
        <f ca="1">IFERROR(INDEX('Holidays Calc'!$J$2:$J$233,MATCH(A186,'Holidays Calc'!$I$2:$I$233,0)),"")</f>
        <v/>
      </c>
      <c r="AM186" t="str">
        <f ca="1">IF(AR186="","",IF(INDEX('Holidays Calc'!$I$2:$I$233,AR186+1)=A186,INDEX('Holidays Calc'!$J$2:$J$233,AR186+1),""))</f>
        <v/>
      </c>
      <c r="AN186" t="str">
        <f ca="1">IF(AR186="","",IF(INDEX('Holidays Calc'!$I$2:$I$233,AR186+2)=A186,INDEX('Holidays Calc'!$J$2:$J$233,AR186+2),""))</f>
        <v/>
      </c>
      <c r="AO186" t="str">
        <f ca="1">IF(AR186="","",IF(INDEX('Holidays Calc'!$I$2:$I$233,AR186+3)=A186,INDEX('Holidays Calc'!$J$2:$J$233,AR186+3),""))</f>
        <v/>
      </c>
      <c r="AP186" t="str">
        <f>IFERROR(IF($E186=E185,"",MATCH($E186,Festivals!$H$2:$H$160,0)),"")</f>
        <v/>
      </c>
      <c r="AQ186" t="str">
        <f>IF(AP186="","",COUNTIF(Festivals!$H$2:$H$160,$E186))</f>
        <v/>
      </c>
      <c r="AR186" t="str">
        <f ca="1">IFERROR(MATCH(A186,'Holidays Calc'!$I$2:$I$233,0),"")</f>
        <v/>
      </c>
      <c r="AS186" t="str">
        <f t="shared" si="18"/>
        <v/>
      </c>
      <c r="AT186" t="str">
        <f t="shared" si="17"/>
        <v/>
      </c>
      <c r="AU186" t="str">
        <f t="shared" ca="1" si="19"/>
        <v/>
      </c>
      <c r="AV186" t="str">
        <f t="shared" ca="1" si="20"/>
        <v/>
      </c>
    </row>
    <row r="187" spans="1:48" x14ac:dyDescent="0.25">
      <c r="A187" s="265">
        <f t="shared" si="16"/>
        <v>43613</v>
      </c>
      <c r="B187" s="265" t="str">
        <f t="shared" si="21"/>
        <v>28 May 2019</v>
      </c>
      <c r="C187" s="267">
        <f t="shared" si="22"/>
        <v>22</v>
      </c>
      <c r="D187">
        <f>MATCH(A187,GCalXMLT[daydate],0)</f>
        <v>186</v>
      </c>
      <c r="E187">
        <f>VALUE("1" &amp; Masacod(INDEX(GCalXMLT[gymasa],D187)) &amp; PaksaCod(INDEX(GCalXMLT[mpaksaid],D187)) &amp; TithiCod(INDEX(GCalXMLT[stithiname],D187)))</f>
        <v>103010</v>
      </c>
      <c r="F187" t="str">
        <f ca="1">INDEX(Parameters!$K$2:$K$16,MATCH(AV187,Parameters!$L$2:$L$16,0))</f>
        <v/>
      </c>
      <c r="G187">
        <f>INDEX(GCalXMLT[fastmark],$D187)</f>
        <v>0</v>
      </c>
      <c r="H187" t="str">
        <f ca="1">INDEX(Parameters!$J$2:$J$16,MATCH(AV187,Parameters!$L$2:$L$16,0))</f>
        <v/>
      </c>
      <c r="I187">
        <f>INDEX(GCalXMLT[dfestival1],$D187)</f>
        <v>0</v>
      </c>
      <c r="J187">
        <f>IF(INDEX(GCalXMLT[dfestival2],$D187)="(Fast today)",INDEX(Festivals!$R$2:$R$180,MATCH($I187,Festivals!$R$2:$R$180,0)+1),INDEX(GCalXMLT[dfestival2],$D187))</f>
        <v>0</v>
      </c>
      <c r="K187">
        <f>IF(I187="Nandotsava","(Fast till noon)",INDEX(GCalXMLT[dfestival3],$D187))</f>
        <v>0</v>
      </c>
      <c r="L187">
        <f>IF(I187="Nandotsava", INDEX(GCalXMLT[dfestival3],$D187),INDEX(GCalXMLT[dfestival4],$D187))</f>
        <v>0</v>
      </c>
      <c r="M187" t="str">
        <f>IFERROR(INDEX(Festivals!$S$2:$S$160,AP187),"")</f>
        <v/>
      </c>
      <c r="N187" t="str">
        <f>IFERROR(IF($AQ187&gt;1,INDEX(Festivals!$S$2:$S$160,$AP187+1),""),"")</f>
        <v/>
      </c>
      <c r="O187" t="str">
        <f>IFERROR(IF($AQ187&gt;2,INDEX(Festivals!$S$2:$S$160,$AP187+2),""),"")</f>
        <v/>
      </c>
      <c r="P187" t="str">
        <f>IFERROR(IF($AQ187&gt;3,INDEX(Festivals!$S$2:$S$160,$AP187+3),""),"")</f>
        <v/>
      </c>
      <c r="Q187" t="str">
        <f>IFERROR(IF($AQ187&gt;4,INDEX(Festivals!$S$2:$S$160,$AP187+4),""),"")</f>
        <v/>
      </c>
      <c r="R187" t="str">
        <f>IFERROR(IF($AQ187&gt;5,INDEX(Festivals!$S$2:$S$160,$AP187+5),""),"")</f>
        <v/>
      </c>
      <c r="S187" t="str">
        <f>IFERROR(IF($AQ187&gt;6,INDEX(Festivals!$S$2:$S$160,$AP187+6),""),"")</f>
        <v/>
      </c>
      <c r="T187">
        <f>INDEX(GCalXMLT[dcaturmasya1],$D187)</f>
        <v>0</v>
      </c>
      <c r="U187">
        <f>INDEX(GCalXMLT[dcaturmasya2],$D187)</f>
        <v>0</v>
      </c>
      <c r="V187" t="str">
        <f>INDEX(GCalXMLT[sankrantirasi],$D187) &amp; " " &amp; INDEX(GCalXMLT[sankrantitime],$D187)</f>
        <v xml:space="preserve"> </v>
      </c>
      <c r="W187" t="str">
        <f ca="1">IFERROR(INDEX('Holidays Calc'!$K$2:$K$233,AR187),"")</f>
        <v/>
      </c>
      <c r="X187" t="str">
        <f ca="1">IF(AR187="","",IF(INDEX('Holidays Calc'!$I$2:$I$233,AR187+1)=A187,INDEX('Holidays Calc'!$K$2:$K$233,AR187+1),""))</f>
        <v/>
      </c>
      <c r="Y187" t="str">
        <f ca="1">IF(AR187="","",IF(INDEX('Holidays Calc'!$I$2:$I$233,AR187+2)=A187,INDEX('Holidays Calc'!$K$2:$K$233,AR187+2),""))</f>
        <v/>
      </c>
      <c r="Z187" t="str">
        <f ca="1">IF(AR187="","",IF(INDEX('Holidays Calc'!$I$2:$I$233,AR187+3)=A187,INDEX('Holidays Calc'!$K$2:$K$2333,AR187+3),""))</f>
        <v/>
      </c>
      <c r="AA187" t="str">
        <f>IF(I187="Last day of Bhisma Pancaka","",IF(G187="*",-0.7,IF(ISBLANK(INDEX(GCalXMLT[dclass1],$D187)),"",INDEX(GCalXMLT[dclass1],$D187))))</f>
        <v/>
      </c>
      <c r="AB187" t="str">
        <f>IF(J187="First day of Bhisma Pancaka","",IF(AND(G187="*",NOT(ISERROR(SEARCH("ekadasi",J187)))),-0.7,IF(ISBLANK(INDEX(GCalXMLT[dclass2],$D187)),"",INDEX(GCalXMLT[dclass2],$D187))))</f>
        <v/>
      </c>
      <c r="AC187" t="str">
        <f>IF(I187="Nandotsava",-1,IF(ISBLANK(INDEX(GCalXMLT[dclass3],$D187)),"",INDEX(GCalXMLT[dclass3],$D187)))</f>
        <v/>
      </c>
      <c r="AD187" t="str">
        <f>IF(I187="Nandotsava",IF(ISBLANK(INDEX(GCalXMLT[dclass3],$D187)),"",INDEX(GCalXMLT[dclass3],$D187)),IF(ISBLANK(INDEX(GCalXMLT[dclass4],$D187)),"",INDEX(GCalXMLT[dclass4],$D187)))</f>
        <v/>
      </c>
      <c r="AE187" t="str">
        <f>IFERROR(INDEX(Festivals!$V$2:$V$160,AP187),"")</f>
        <v/>
      </c>
      <c r="AF187" t="str">
        <f>IFERROR(IF($AQ187&gt;1,INDEX(Festivals!$V$2:$V$160,$AP187+1),""),"")</f>
        <v/>
      </c>
      <c r="AG187" t="str">
        <f>IFERROR(IF($AQ187&gt;2,INDEX(Festivals!$V$2:$V$160,$AP187+2),""),"")</f>
        <v/>
      </c>
      <c r="AH187" t="str">
        <f>IFERROR(IF($AQ187&gt;3,INDEX(Festivals!$V$2:$V$160,$AP187+3),""),"")</f>
        <v/>
      </c>
      <c r="AI187" t="str">
        <f>IFERROR(IF($AQ187&gt;4,INDEX(Festivals!$V$2:$V$160,$AP187+4),""),"")</f>
        <v/>
      </c>
      <c r="AJ187" t="str">
        <f>IFERROR(IF($AQ187&gt;5,INDEX(Festivals!$V$2:$V$160,$AP187+5),""),"")</f>
        <v/>
      </c>
      <c r="AK187" t="str">
        <f>IFERROR(IF($AQ187&gt;6,INDEX(Festivals!$V$2:$V$160,$AP187+6),""),"")</f>
        <v/>
      </c>
      <c r="AL187" t="str">
        <f ca="1">IFERROR(INDEX('Holidays Calc'!$J$2:$J$233,MATCH(A187,'Holidays Calc'!$I$2:$I$233,0)),"")</f>
        <v/>
      </c>
      <c r="AM187" t="str">
        <f ca="1">IF(AR187="","",IF(INDEX('Holidays Calc'!$I$2:$I$233,AR187+1)=A187,INDEX('Holidays Calc'!$J$2:$J$233,AR187+1),""))</f>
        <v/>
      </c>
      <c r="AN187" t="str">
        <f ca="1">IF(AR187="","",IF(INDEX('Holidays Calc'!$I$2:$I$233,AR187+2)=A187,INDEX('Holidays Calc'!$J$2:$J$233,AR187+2),""))</f>
        <v/>
      </c>
      <c r="AO187" t="str">
        <f ca="1">IF(AR187="","",IF(INDEX('Holidays Calc'!$I$2:$I$233,AR187+3)=A187,INDEX('Holidays Calc'!$J$2:$J$233,AR187+3),""))</f>
        <v/>
      </c>
      <c r="AP187" t="str">
        <f>IFERROR(IF($E187=E186,"",MATCH($E187,Festivals!$H$2:$H$160,0)),"")</f>
        <v/>
      </c>
      <c r="AQ187" t="str">
        <f>IF(AP187="","",COUNTIF(Festivals!$H$2:$H$160,$E187))</f>
        <v/>
      </c>
      <c r="AR187" t="str">
        <f ca="1">IFERROR(MATCH(A187,'Holidays Calc'!$I$2:$I$233,0),"")</f>
        <v/>
      </c>
      <c r="AS187" t="str">
        <f t="shared" si="18"/>
        <v/>
      </c>
      <c r="AT187" t="str">
        <f t="shared" si="17"/>
        <v/>
      </c>
      <c r="AU187" t="str">
        <f t="shared" ca="1" si="19"/>
        <v/>
      </c>
      <c r="AV187" t="str">
        <f t="shared" ca="1" si="20"/>
        <v/>
      </c>
    </row>
    <row r="188" spans="1:48" x14ac:dyDescent="0.25">
      <c r="A188" s="265">
        <f t="shared" si="16"/>
        <v>43614</v>
      </c>
      <c r="B188" s="265" t="str">
        <f t="shared" si="21"/>
        <v>29 May 2019</v>
      </c>
      <c r="C188" s="267">
        <f t="shared" si="22"/>
        <v>22</v>
      </c>
      <c r="D188">
        <f>MATCH(A188,GCalXMLT[daydate],0)</f>
        <v>187</v>
      </c>
      <c r="E188">
        <f>VALUE("1" &amp; Masacod(INDEX(GCalXMLT[gymasa],D188)) &amp; PaksaCod(INDEX(GCalXMLT[mpaksaid],D188)) &amp; TithiCod(INDEX(GCalXMLT[stithiname],D188)))</f>
        <v>103010</v>
      </c>
      <c r="F188" t="str">
        <f ca="1">INDEX(Parameters!$K$2:$K$16,MATCH(AV188,Parameters!$L$2:$L$16,0))</f>
        <v/>
      </c>
      <c r="G188">
        <f>INDEX(GCalXMLT[fastmark],$D188)</f>
        <v>0</v>
      </c>
      <c r="H188" t="str">
        <f ca="1">INDEX(Parameters!$J$2:$J$16,MATCH(AV188,Parameters!$L$2:$L$16,0))</f>
        <v/>
      </c>
      <c r="I188">
        <f>INDEX(GCalXMLT[dfestival1],$D188)</f>
        <v>0</v>
      </c>
      <c r="J188">
        <f>IF(INDEX(GCalXMLT[dfestival2],$D188)="(Fast today)",INDEX(Festivals!$R$2:$R$180,MATCH($I188,Festivals!$R$2:$R$180,0)+1),INDEX(GCalXMLT[dfestival2],$D188))</f>
        <v>0</v>
      </c>
      <c r="K188">
        <f>IF(I188="Nandotsava","(Fast till noon)",INDEX(GCalXMLT[dfestival3],$D188))</f>
        <v>0</v>
      </c>
      <c r="L188">
        <f>IF(I188="Nandotsava", INDEX(GCalXMLT[dfestival3],$D188),INDEX(GCalXMLT[dfestival4],$D188))</f>
        <v>0</v>
      </c>
      <c r="M188" t="str">
        <f>IFERROR(INDEX(Festivals!$S$2:$S$160,AP188),"")</f>
        <v/>
      </c>
      <c r="N188" t="str">
        <f>IFERROR(IF($AQ188&gt;1,INDEX(Festivals!$S$2:$S$160,$AP188+1),""),"")</f>
        <v/>
      </c>
      <c r="O188" t="str">
        <f>IFERROR(IF($AQ188&gt;2,INDEX(Festivals!$S$2:$S$160,$AP188+2),""),"")</f>
        <v/>
      </c>
      <c r="P188" t="str">
        <f>IFERROR(IF($AQ188&gt;3,INDEX(Festivals!$S$2:$S$160,$AP188+3),""),"")</f>
        <v/>
      </c>
      <c r="Q188" t="str">
        <f>IFERROR(IF($AQ188&gt;4,INDEX(Festivals!$S$2:$S$160,$AP188+4),""),"")</f>
        <v/>
      </c>
      <c r="R188" t="str">
        <f>IFERROR(IF($AQ188&gt;5,INDEX(Festivals!$S$2:$S$160,$AP188+5),""),"")</f>
        <v/>
      </c>
      <c r="S188" t="str">
        <f>IFERROR(IF($AQ188&gt;6,INDEX(Festivals!$S$2:$S$160,$AP188+6),""),"")</f>
        <v/>
      </c>
      <c r="T188">
        <f>INDEX(GCalXMLT[dcaturmasya1],$D188)</f>
        <v>0</v>
      </c>
      <c r="U188">
        <f>INDEX(GCalXMLT[dcaturmasya2],$D188)</f>
        <v>0</v>
      </c>
      <c r="V188" t="str">
        <f>INDEX(GCalXMLT[sankrantirasi],$D188) &amp; " " &amp; INDEX(GCalXMLT[sankrantitime],$D188)</f>
        <v xml:space="preserve"> </v>
      </c>
      <c r="W188" t="str">
        <f ca="1">IFERROR(INDEX('Holidays Calc'!$K$2:$K$233,AR188),"")</f>
        <v/>
      </c>
      <c r="X188" t="str">
        <f ca="1">IF(AR188="","",IF(INDEX('Holidays Calc'!$I$2:$I$233,AR188+1)=A188,INDEX('Holidays Calc'!$K$2:$K$233,AR188+1),""))</f>
        <v/>
      </c>
      <c r="Y188" t="str">
        <f ca="1">IF(AR188="","",IF(INDEX('Holidays Calc'!$I$2:$I$233,AR188+2)=A188,INDEX('Holidays Calc'!$K$2:$K$233,AR188+2),""))</f>
        <v/>
      </c>
      <c r="Z188" t="str">
        <f ca="1">IF(AR188="","",IF(INDEX('Holidays Calc'!$I$2:$I$233,AR188+3)=A188,INDEX('Holidays Calc'!$K$2:$K$2333,AR188+3),""))</f>
        <v/>
      </c>
      <c r="AA188" t="str">
        <f>IF(I188="Last day of Bhisma Pancaka","",IF(G188="*",-0.7,IF(ISBLANK(INDEX(GCalXMLT[dclass1],$D188)),"",INDEX(GCalXMLT[dclass1],$D188))))</f>
        <v/>
      </c>
      <c r="AB188" t="str">
        <f>IF(J188="First day of Bhisma Pancaka","",IF(AND(G188="*",NOT(ISERROR(SEARCH("ekadasi",J188)))),-0.7,IF(ISBLANK(INDEX(GCalXMLT[dclass2],$D188)),"",INDEX(GCalXMLT[dclass2],$D188))))</f>
        <v/>
      </c>
      <c r="AC188" t="str">
        <f>IF(I188="Nandotsava",-1,IF(ISBLANK(INDEX(GCalXMLT[dclass3],$D188)),"",INDEX(GCalXMLT[dclass3],$D188)))</f>
        <v/>
      </c>
      <c r="AD188" t="str">
        <f>IF(I188="Nandotsava",IF(ISBLANK(INDEX(GCalXMLT[dclass3],$D188)),"",INDEX(GCalXMLT[dclass3],$D188)),IF(ISBLANK(INDEX(GCalXMLT[dclass4],$D188)),"",INDEX(GCalXMLT[dclass4],$D188)))</f>
        <v/>
      </c>
      <c r="AE188" t="str">
        <f>IFERROR(INDEX(Festivals!$V$2:$V$160,AP188),"")</f>
        <v/>
      </c>
      <c r="AF188" t="str">
        <f>IFERROR(IF($AQ188&gt;1,INDEX(Festivals!$V$2:$V$160,$AP188+1),""),"")</f>
        <v/>
      </c>
      <c r="AG188" t="str">
        <f>IFERROR(IF($AQ188&gt;2,INDEX(Festivals!$V$2:$V$160,$AP188+2),""),"")</f>
        <v/>
      </c>
      <c r="AH188" t="str">
        <f>IFERROR(IF($AQ188&gt;3,INDEX(Festivals!$V$2:$V$160,$AP188+3),""),"")</f>
        <v/>
      </c>
      <c r="AI188" t="str">
        <f>IFERROR(IF($AQ188&gt;4,INDEX(Festivals!$V$2:$V$160,$AP188+4),""),"")</f>
        <v/>
      </c>
      <c r="AJ188" t="str">
        <f>IFERROR(IF($AQ188&gt;5,INDEX(Festivals!$V$2:$V$160,$AP188+5),""),"")</f>
        <v/>
      </c>
      <c r="AK188" t="str">
        <f>IFERROR(IF($AQ188&gt;6,INDEX(Festivals!$V$2:$V$160,$AP188+6),""),"")</f>
        <v/>
      </c>
      <c r="AL188" t="str">
        <f ca="1">IFERROR(INDEX('Holidays Calc'!$J$2:$J$233,MATCH(A188,'Holidays Calc'!$I$2:$I$233,0)),"")</f>
        <v/>
      </c>
      <c r="AM188" t="str">
        <f ca="1">IF(AR188="","",IF(INDEX('Holidays Calc'!$I$2:$I$233,AR188+1)=A188,INDEX('Holidays Calc'!$J$2:$J$233,AR188+1),""))</f>
        <v/>
      </c>
      <c r="AN188" t="str">
        <f ca="1">IF(AR188="","",IF(INDEX('Holidays Calc'!$I$2:$I$233,AR188+2)=A188,INDEX('Holidays Calc'!$J$2:$J$233,AR188+2),""))</f>
        <v/>
      </c>
      <c r="AO188" t="str">
        <f ca="1">IF(AR188="","",IF(INDEX('Holidays Calc'!$I$2:$I$233,AR188+3)=A188,INDEX('Holidays Calc'!$J$2:$J$233,AR188+3),""))</f>
        <v/>
      </c>
      <c r="AP188" t="str">
        <f>IFERROR(IF($E188=E187,"",MATCH($E188,Festivals!$H$2:$H$160,0)),"")</f>
        <v/>
      </c>
      <c r="AQ188" t="str">
        <f>IF(AP188="","",COUNTIF(Festivals!$H$2:$H$160,$E188))</f>
        <v/>
      </c>
      <c r="AR188" t="str">
        <f ca="1">IFERROR(MATCH(A188,'Holidays Calc'!$I$2:$I$233,0),"")</f>
        <v/>
      </c>
      <c r="AS188" t="str">
        <f t="shared" si="18"/>
        <v/>
      </c>
      <c r="AT188" t="str">
        <f t="shared" si="17"/>
        <v/>
      </c>
      <c r="AU188" t="str">
        <f t="shared" ca="1" si="19"/>
        <v/>
      </c>
      <c r="AV188" t="str">
        <f t="shared" ca="1" si="20"/>
        <v/>
      </c>
    </row>
    <row r="189" spans="1:48" x14ac:dyDescent="0.25">
      <c r="A189" s="265">
        <f t="shared" si="16"/>
        <v>43615</v>
      </c>
      <c r="B189" s="265" t="str">
        <f t="shared" si="21"/>
        <v>30 May 2019</v>
      </c>
      <c r="C189" s="267">
        <f t="shared" si="22"/>
        <v>22</v>
      </c>
      <c r="D189">
        <f>MATCH(A189,GCalXMLT[daydate],0)</f>
        <v>188</v>
      </c>
      <c r="E189">
        <f>VALUE("1" &amp; Masacod(INDEX(GCalXMLT[gymasa],D189)) &amp; PaksaCod(INDEX(GCalXMLT[mpaksaid],D189)) &amp; TithiCod(INDEX(GCalXMLT[stithiname],D189)))</f>
        <v>103011</v>
      </c>
      <c r="F189" t="str">
        <f ca="1">INDEX(Parameters!$K$2:$K$16,MATCH(AV189,Parameters!$L$2:$L$16,0))</f>
        <v>E</v>
      </c>
      <c r="G189" t="str">
        <f>INDEX(GCalXMLT[fastmark],$D189)</f>
        <v>*</v>
      </c>
      <c r="H189" t="str">
        <f ca="1">INDEX(Parameters!$J$2:$J$16,MATCH(AV189,Parameters!$L$2:$L$16,0))</f>
        <v>*</v>
      </c>
      <c r="I189" t="str">
        <f>INDEX(GCalXMLT[dfestival1],$D189)</f>
        <v>Fasting for Apara Ekadasi</v>
      </c>
      <c r="J189">
        <f>IF(INDEX(GCalXMLT[dfestival2],$D189)="(Fast today)",INDEX(Festivals!$R$2:$R$180,MATCH($I189,Festivals!$R$2:$R$180,0)+1),INDEX(GCalXMLT[dfestival2],$D189))</f>
        <v>0</v>
      </c>
      <c r="K189">
        <f>IF(I189="Nandotsava","(Fast till noon)",INDEX(GCalXMLT[dfestival3],$D189))</f>
        <v>0</v>
      </c>
      <c r="L189">
        <f>IF(I189="Nandotsava", INDEX(GCalXMLT[dfestival3],$D189),INDEX(GCalXMLT[dfestival4],$D189))</f>
        <v>0</v>
      </c>
      <c r="M189" t="str">
        <f>IFERROR(INDEX(Festivals!$S$2:$S$160,AP189),"")</f>
        <v/>
      </c>
      <c r="N189" t="str">
        <f>IFERROR(IF($AQ189&gt;1,INDEX(Festivals!$S$2:$S$160,$AP189+1),""),"")</f>
        <v/>
      </c>
      <c r="O189" t="str">
        <f>IFERROR(IF($AQ189&gt;2,INDEX(Festivals!$S$2:$S$160,$AP189+2),""),"")</f>
        <v/>
      </c>
      <c r="P189" t="str">
        <f>IFERROR(IF($AQ189&gt;3,INDEX(Festivals!$S$2:$S$160,$AP189+3),""),"")</f>
        <v/>
      </c>
      <c r="Q189" t="str">
        <f>IFERROR(IF($AQ189&gt;4,INDEX(Festivals!$S$2:$S$160,$AP189+4),""),"")</f>
        <v/>
      </c>
      <c r="R189" t="str">
        <f>IFERROR(IF($AQ189&gt;5,INDEX(Festivals!$S$2:$S$160,$AP189+5),""),"")</f>
        <v/>
      </c>
      <c r="S189" t="str">
        <f>IFERROR(IF($AQ189&gt;6,INDEX(Festivals!$S$2:$S$160,$AP189+6),""),"")</f>
        <v/>
      </c>
      <c r="T189">
        <f>INDEX(GCalXMLT[dcaturmasya1],$D189)</f>
        <v>0</v>
      </c>
      <c r="U189">
        <f>INDEX(GCalXMLT[dcaturmasya2],$D189)</f>
        <v>0</v>
      </c>
      <c r="V189" t="str">
        <f>INDEX(GCalXMLT[sankrantirasi],$D189) &amp; " " &amp; INDEX(GCalXMLT[sankrantitime],$D189)</f>
        <v xml:space="preserve"> </v>
      </c>
      <c r="W189" t="str">
        <f ca="1">IFERROR(INDEX('Holidays Calc'!$K$2:$K$233,AR189),"")</f>
        <v/>
      </c>
      <c r="X189" t="str">
        <f ca="1">IF(AR189="","",IF(INDEX('Holidays Calc'!$I$2:$I$233,AR189+1)=A189,INDEX('Holidays Calc'!$K$2:$K$233,AR189+1),""))</f>
        <v/>
      </c>
      <c r="Y189" t="str">
        <f ca="1">IF(AR189="","",IF(INDEX('Holidays Calc'!$I$2:$I$233,AR189+2)=A189,INDEX('Holidays Calc'!$K$2:$K$233,AR189+2),""))</f>
        <v/>
      </c>
      <c r="Z189" t="str">
        <f ca="1">IF(AR189="","",IF(INDEX('Holidays Calc'!$I$2:$I$233,AR189+3)=A189,INDEX('Holidays Calc'!$K$2:$K$2333,AR189+3),""))</f>
        <v/>
      </c>
      <c r="AA189">
        <f>IF(I189="Last day of Bhisma Pancaka","",IF(G189="*",-0.7,IF(ISBLANK(INDEX(GCalXMLT[dclass1],$D189)),"",INDEX(GCalXMLT[dclass1],$D189))))</f>
        <v>-0.7</v>
      </c>
      <c r="AB189" t="str">
        <f>IF(J189="First day of Bhisma Pancaka","",IF(AND(G189="*",NOT(ISERROR(SEARCH("ekadasi",J189)))),-0.7,IF(ISBLANK(INDEX(GCalXMLT[dclass2],$D189)),"",INDEX(GCalXMLT[dclass2],$D189))))</f>
        <v/>
      </c>
      <c r="AC189" t="str">
        <f>IF(I189="Nandotsava",-1,IF(ISBLANK(INDEX(GCalXMLT[dclass3],$D189)),"",INDEX(GCalXMLT[dclass3],$D189)))</f>
        <v/>
      </c>
      <c r="AD189" t="str">
        <f>IF(I189="Nandotsava",IF(ISBLANK(INDEX(GCalXMLT[dclass3],$D189)),"",INDEX(GCalXMLT[dclass3],$D189)),IF(ISBLANK(INDEX(GCalXMLT[dclass4],$D189)),"",INDEX(GCalXMLT[dclass4],$D189)))</f>
        <v/>
      </c>
      <c r="AE189" t="str">
        <f>IFERROR(INDEX(Festivals!$V$2:$V$160,AP189),"")</f>
        <v/>
      </c>
      <c r="AF189" t="str">
        <f>IFERROR(IF($AQ189&gt;1,INDEX(Festivals!$V$2:$V$160,$AP189+1),""),"")</f>
        <v/>
      </c>
      <c r="AG189" t="str">
        <f>IFERROR(IF($AQ189&gt;2,INDEX(Festivals!$V$2:$V$160,$AP189+2),""),"")</f>
        <v/>
      </c>
      <c r="AH189" t="str">
        <f>IFERROR(IF($AQ189&gt;3,INDEX(Festivals!$V$2:$V$160,$AP189+3),""),"")</f>
        <v/>
      </c>
      <c r="AI189" t="str">
        <f>IFERROR(IF($AQ189&gt;4,INDEX(Festivals!$V$2:$V$160,$AP189+4),""),"")</f>
        <v/>
      </c>
      <c r="AJ189" t="str">
        <f>IFERROR(IF($AQ189&gt;5,INDEX(Festivals!$V$2:$V$160,$AP189+5),""),"")</f>
        <v/>
      </c>
      <c r="AK189" t="str">
        <f>IFERROR(IF($AQ189&gt;6,INDEX(Festivals!$V$2:$V$160,$AP189+6),""),"")</f>
        <v/>
      </c>
      <c r="AL189" t="str">
        <f ca="1">IFERROR(INDEX('Holidays Calc'!$J$2:$J$233,MATCH(A189,'Holidays Calc'!$I$2:$I$233,0)),"")</f>
        <v/>
      </c>
      <c r="AM189" t="str">
        <f ca="1">IF(AR189="","",IF(INDEX('Holidays Calc'!$I$2:$I$233,AR189+1)=A189,INDEX('Holidays Calc'!$J$2:$J$233,AR189+1),""))</f>
        <v/>
      </c>
      <c r="AN189" t="str">
        <f ca="1">IF(AR189="","",IF(INDEX('Holidays Calc'!$I$2:$I$233,AR189+2)=A189,INDEX('Holidays Calc'!$J$2:$J$233,AR189+2),""))</f>
        <v/>
      </c>
      <c r="AO189" t="str">
        <f ca="1">IF(AR189="","",IF(INDEX('Holidays Calc'!$I$2:$I$233,AR189+3)=A189,INDEX('Holidays Calc'!$J$2:$J$233,AR189+3),""))</f>
        <v/>
      </c>
      <c r="AP189" t="str">
        <f>IFERROR(IF($E189=E188,"",MATCH($E189,Festivals!$H$2:$H$160,0)),"")</f>
        <v/>
      </c>
      <c r="AQ189" t="str">
        <f>IF(AP189="","",COUNTIF(Festivals!$H$2:$H$160,$E189))</f>
        <v/>
      </c>
      <c r="AR189" t="str">
        <f ca="1">IFERROR(MATCH(A189,'Holidays Calc'!$I$2:$I$233,0),"")</f>
        <v/>
      </c>
      <c r="AS189">
        <f t="shared" si="18"/>
        <v>-0.7</v>
      </c>
      <c r="AT189">
        <f t="shared" si="17"/>
        <v>-0.7</v>
      </c>
      <c r="AU189" t="str">
        <f t="shared" ca="1" si="19"/>
        <v/>
      </c>
      <c r="AV189">
        <f t="shared" ca="1" si="20"/>
        <v>-0.7</v>
      </c>
    </row>
    <row r="190" spans="1:48" x14ac:dyDescent="0.25">
      <c r="A190" s="265">
        <f t="shared" si="16"/>
        <v>43616</v>
      </c>
      <c r="B190" s="265" t="str">
        <f t="shared" si="21"/>
        <v>31 May 2019</v>
      </c>
      <c r="C190" s="267">
        <f t="shared" si="22"/>
        <v>22</v>
      </c>
      <c r="D190">
        <f>MATCH(A190,GCalXMLT[daydate],0)</f>
        <v>189</v>
      </c>
      <c r="E190">
        <f>VALUE("1" &amp; Masacod(INDEX(GCalXMLT[gymasa],D190)) &amp; PaksaCod(INDEX(GCalXMLT[mpaksaid],D190)) &amp; TithiCod(INDEX(GCalXMLT[stithiname],D190)))</f>
        <v>103012</v>
      </c>
      <c r="F190" t="str">
        <f ca="1">INDEX(Parameters!$K$2:$K$16,MATCH(AV190,Parameters!$L$2:$L$16,0))</f>
        <v>C</v>
      </c>
      <c r="G190">
        <f>INDEX(GCalXMLT[fastmark],$D190)</f>
        <v>0</v>
      </c>
      <c r="H190" t="str">
        <f ca="1">INDEX(Parameters!$J$2:$J$16,MATCH(AV190,Parameters!$L$2:$L$16,0))</f>
        <v/>
      </c>
      <c r="I190">
        <f>INDEX(GCalXMLT[dfestival1],$D190)</f>
        <v>0</v>
      </c>
      <c r="J190">
        <f>IF(INDEX(GCalXMLT[dfestival2],$D190)="(Fast today)",INDEX(Festivals!$R$2:$R$180,MATCH($I190,Festivals!$R$2:$R$180,0)+1),INDEX(GCalXMLT[dfestival2],$D190))</f>
        <v>0</v>
      </c>
      <c r="K190">
        <f>IF(I190="Nandotsava","(Fast till noon)",INDEX(GCalXMLT[dfestival3],$D190))</f>
        <v>0</v>
      </c>
      <c r="L190">
        <f>IF(I190="Nandotsava", INDEX(GCalXMLT[dfestival3],$D190),INDEX(GCalXMLT[dfestival4],$D190))</f>
        <v>0</v>
      </c>
      <c r="M190" t="str">
        <f>IFERROR(INDEX(Festivals!$S$2:$S$160,AP190),"")</f>
        <v>Srila Vrndavana Dasa Thakura - Appearance</v>
      </c>
      <c r="N190" t="str">
        <f>IFERROR(IF($AQ190&gt;1,INDEX(Festivals!$S$2:$S$160,$AP190+1),""),"")</f>
        <v/>
      </c>
      <c r="O190" t="str">
        <f>IFERROR(IF($AQ190&gt;2,INDEX(Festivals!$S$2:$S$160,$AP190+2),""),"")</f>
        <v/>
      </c>
      <c r="P190" t="str">
        <f>IFERROR(IF($AQ190&gt;3,INDEX(Festivals!$S$2:$S$160,$AP190+3),""),"")</f>
        <v/>
      </c>
      <c r="Q190" t="str">
        <f>IFERROR(IF($AQ190&gt;4,INDEX(Festivals!$S$2:$S$160,$AP190+4),""),"")</f>
        <v/>
      </c>
      <c r="R190" t="str">
        <f>IFERROR(IF($AQ190&gt;5,INDEX(Festivals!$S$2:$S$160,$AP190+5),""),"")</f>
        <v/>
      </c>
      <c r="S190" t="str">
        <f>IFERROR(IF($AQ190&gt;6,INDEX(Festivals!$S$2:$S$160,$AP190+6),""),"")</f>
        <v/>
      </c>
      <c r="T190">
        <f>INDEX(GCalXMLT[dcaturmasya1],$D190)</f>
        <v>0</v>
      </c>
      <c r="U190">
        <f>INDEX(GCalXMLT[dcaturmasya2],$D190)</f>
        <v>0</v>
      </c>
      <c r="V190" t="str">
        <f>INDEX(GCalXMLT[sankrantirasi],$D190) &amp; " " &amp; INDEX(GCalXMLT[sankrantitime],$D190)</f>
        <v xml:space="preserve"> </v>
      </c>
      <c r="W190" t="str">
        <f ca="1">IFERROR(INDEX('Holidays Calc'!$K$2:$K$233,AR190),"")</f>
        <v/>
      </c>
      <c r="X190" t="str">
        <f ca="1">IF(AR190="","",IF(INDEX('Holidays Calc'!$I$2:$I$233,AR190+1)=A190,INDEX('Holidays Calc'!$K$2:$K$233,AR190+1),""))</f>
        <v/>
      </c>
      <c r="Y190" t="str">
        <f ca="1">IF(AR190="","",IF(INDEX('Holidays Calc'!$I$2:$I$233,AR190+2)=A190,INDEX('Holidays Calc'!$K$2:$K$233,AR190+2),""))</f>
        <v/>
      </c>
      <c r="Z190" t="str">
        <f ca="1">IF(AR190="","",IF(INDEX('Holidays Calc'!$I$2:$I$233,AR190+3)=A190,INDEX('Holidays Calc'!$K$2:$K$2333,AR190+3),""))</f>
        <v/>
      </c>
      <c r="AA190" t="str">
        <f>IF(I190="Last day of Bhisma Pancaka","",IF(G190="*",-0.7,IF(ISBLANK(INDEX(GCalXMLT[dclass1],$D190)),"",INDEX(GCalXMLT[dclass1],$D190))))</f>
        <v/>
      </c>
      <c r="AB190" t="str">
        <f>IF(J190="First day of Bhisma Pancaka","",IF(AND(G190="*",NOT(ISERROR(SEARCH("ekadasi",J190)))),-0.7,IF(ISBLANK(INDEX(GCalXMLT[dclass2],$D190)),"",INDEX(GCalXMLT[dclass2],$D190))))</f>
        <v/>
      </c>
      <c r="AC190" t="str">
        <f>IF(I190="Nandotsava",-1,IF(ISBLANK(INDEX(GCalXMLT[dclass3],$D190)),"",INDEX(GCalXMLT[dclass3],$D190)))</f>
        <v/>
      </c>
      <c r="AD190" t="str">
        <f>IF(I190="Nandotsava",IF(ISBLANK(INDEX(GCalXMLT[dclass3],$D190)),"",INDEX(GCalXMLT[dclass3],$D190)),IF(ISBLANK(INDEX(GCalXMLT[dclass4],$D190)),"",INDEX(GCalXMLT[dclass4],$D190)))</f>
        <v/>
      </c>
      <c r="AE190">
        <f>IFERROR(INDEX(Festivals!$V$2:$V$160,AP190),"")</f>
        <v>3</v>
      </c>
      <c r="AF190" t="str">
        <f>IFERROR(IF($AQ190&gt;1,INDEX(Festivals!$V$2:$V$160,$AP190+1),""),"")</f>
        <v/>
      </c>
      <c r="AG190" t="str">
        <f>IFERROR(IF($AQ190&gt;2,INDEX(Festivals!$V$2:$V$160,$AP190+2),""),"")</f>
        <v/>
      </c>
      <c r="AH190" t="str">
        <f>IFERROR(IF($AQ190&gt;3,INDEX(Festivals!$V$2:$V$160,$AP190+3),""),"")</f>
        <v/>
      </c>
      <c r="AI190" t="str">
        <f>IFERROR(IF($AQ190&gt;4,INDEX(Festivals!$V$2:$V$160,$AP190+4),""),"")</f>
        <v/>
      </c>
      <c r="AJ190" t="str">
        <f>IFERROR(IF($AQ190&gt;5,INDEX(Festivals!$V$2:$V$160,$AP190+5),""),"")</f>
        <v/>
      </c>
      <c r="AK190" t="str">
        <f>IFERROR(IF($AQ190&gt;6,INDEX(Festivals!$V$2:$V$160,$AP190+6),""),"")</f>
        <v/>
      </c>
      <c r="AL190" t="str">
        <f ca="1">IFERROR(INDEX('Holidays Calc'!$J$2:$J$233,MATCH(A190,'Holidays Calc'!$I$2:$I$233,0)),"")</f>
        <v/>
      </c>
      <c r="AM190" t="str">
        <f ca="1">IF(AR190="","",IF(INDEX('Holidays Calc'!$I$2:$I$233,AR190+1)=A190,INDEX('Holidays Calc'!$J$2:$J$233,AR190+1),""))</f>
        <v/>
      </c>
      <c r="AN190" t="str">
        <f ca="1">IF(AR190="","",IF(INDEX('Holidays Calc'!$I$2:$I$233,AR190+2)=A190,INDEX('Holidays Calc'!$J$2:$J$233,AR190+2),""))</f>
        <v/>
      </c>
      <c r="AO190" t="str">
        <f ca="1">IF(AR190="","",IF(INDEX('Holidays Calc'!$I$2:$I$233,AR190+3)=A190,INDEX('Holidays Calc'!$J$2:$J$233,AR190+3),""))</f>
        <v/>
      </c>
      <c r="AP190">
        <f>IFERROR(IF($E190=E189,"",MATCH($E190,Festivals!$H$2:$H$160,0)),"")</f>
        <v>27</v>
      </c>
      <c r="AQ190">
        <f>IF(AP190="","",COUNTIF(Festivals!$H$2:$H$160,$E190))</f>
        <v>1</v>
      </c>
      <c r="AR190" t="str">
        <f ca="1">IFERROR(MATCH(A190,'Holidays Calc'!$I$2:$I$233,0),"")</f>
        <v/>
      </c>
      <c r="AS190">
        <f t="shared" si="18"/>
        <v>3</v>
      </c>
      <c r="AT190">
        <f t="shared" si="17"/>
        <v>3</v>
      </c>
      <c r="AU190" t="str">
        <f t="shared" ca="1" si="19"/>
        <v/>
      </c>
      <c r="AV190">
        <f t="shared" ca="1" si="20"/>
        <v>3</v>
      </c>
    </row>
    <row r="191" spans="1:48" x14ac:dyDescent="0.25">
      <c r="A191" s="265">
        <f t="shared" si="16"/>
        <v>43617</v>
      </c>
      <c r="B191" s="265" t="str">
        <f t="shared" si="21"/>
        <v>1 Jun 2019</v>
      </c>
      <c r="C191" s="267">
        <f t="shared" si="22"/>
        <v>22</v>
      </c>
      <c r="D191">
        <f>MATCH(A191,GCalXMLT[daydate],0)</f>
        <v>190</v>
      </c>
      <c r="E191">
        <f>VALUE("1" &amp; Masacod(INDEX(GCalXMLT[gymasa],D191)) &amp; PaksaCod(INDEX(GCalXMLT[mpaksaid],D191)) &amp; TithiCod(INDEX(GCalXMLT[stithiname],D191)))</f>
        <v>103013</v>
      </c>
      <c r="F191" t="str">
        <f ca="1">INDEX(Parameters!$K$2:$K$16,MATCH(AV191,Parameters!$L$2:$L$16,0))</f>
        <v/>
      </c>
      <c r="G191">
        <f>INDEX(GCalXMLT[fastmark],$D191)</f>
        <v>0</v>
      </c>
      <c r="H191" t="str">
        <f ca="1">INDEX(Parameters!$J$2:$J$16,MATCH(AV191,Parameters!$L$2:$L$16,0))</f>
        <v/>
      </c>
      <c r="I191">
        <f>INDEX(GCalXMLT[dfestival1],$D191)</f>
        <v>0</v>
      </c>
      <c r="J191">
        <f>IF(INDEX(GCalXMLT[dfestival2],$D191)="(Fast today)",INDEX(Festivals!$R$2:$R$180,MATCH($I191,Festivals!$R$2:$R$180,0)+1),INDEX(GCalXMLT[dfestival2],$D191))</f>
        <v>0</v>
      </c>
      <c r="K191">
        <f>IF(I191="Nandotsava","(Fast till noon)",INDEX(GCalXMLT[dfestival3],$D191))</f>
        <v>0</v>
      </c>
      <c r="L191">
        <f>IF(I191="Nandotsava", INDEX(GCalXMLT[dfestival3],$D191),INDEX(GCalXMLT[dfestival4],$D191))</f>
        <v>0</v>
      </c>
      <c r="M191" t="str">
        <f>IFERROR(INDEX(Festivals!$S$2:$S$160,AP191),"")</f>
        <v/>
      </c>
      <c r="N191" t="str">
        <f>IFERROR(IF($AQ191&gt;1,INDEX(Festivals!$S$2:$S$160,$AP191+1),""),"")</f>
        <v/>
      </c>
      <c r="O191" t="str">
        <f>IFERROR(IF($AQ191&gt;2,INDEX(Festivals!$S$2:$S$160,$AP191+2),""),"")</f>
        <v/>
      </c>
      <c r="P191" t="str">
        <f>IFERROR(IF($AQ191&gt;3,INDEX(Festivals!$S$2:$S$160,$AP191+3),""),"")</f>
        <v/>
      </c>
      <c r="Q191" t="str">
        <f>IFERROR(IF($AQ191&gt;4,INDEX(Festivals!$S$2:$S$160,$AP191+4),""),"")</f>
        <v/>
      </c>
      <c r="R191" t="str">
        <f>IFERROR(IF($AQ191&gt;5,INDEX(Festivals!$S$2:$S$160,$AP191+5),""),"")</f>
        <v/>
      </c>
      <c r="S191" t="str">
        <f>IFERROR(IF($AQ191&gt;6,INDEX(Festivals!$S$2:$S$160,$AP191+6),""),"")</f>
        <v/>
      </c>
      <c r="T191">
        <f>INDEX(GCalXMLT[dcaturmasya1],$D191)</f>
        <v>0</v>
      </c>
      <c r="U191">
        <f>INDEX(GCalXMLT[dcaturmasya2],$D191)</f>
        <v>0</v>
      </c>
      <c r="V191" t="str">
        <f>INDEX(GCalXMLT[sankrantirasi],$D191) &amp; " " &amp; INDEX(GCalXMLT[sankrantitime],$D191)</f>
        <v xml:space="preserve"> </v>
      </c>
      <c r="W191" t="str">
        <f ca="1">IFERROR(INDEX('Holidays Calc'!$K$2:$K$233,AR191),"")</f>
        <v/>
      </c>
      <c r="X191" t="str">
        <f ca="1">IF(AR191="","",IF(INDEX('Holidays Calc'!$I$2:$I$233,AR191+1)=A191,INDEX('Holidays Calc'!$K$2:$K$233,AR191+1),""))</f>
        <v/>
      </c>
      <c r="Y191" t="str">
        <f ca="1">IF(AR191="","",IF(INDEX('Holidays Calc'!$I$2:$I$233,AR191+2)=A191,INDEX('Holidays Calc'!$K$2:$K$233,AR191+2),""))</f>
        <v/>
      </c>
      <c r="Z191" t="str">
        <f ca="1">IF(AR191="","",IF(INDEX('Holidays Calc'!$I$2:$I$233,AR191+3)=A191,INDEX('Holidays Calc'!$K$2:$K$2333,AR191+3),""))</f>
        <v/>
      </c>
      <c r="AA191" t="str">
        <f>IF(I191="Last day of Bhisma Pancaka","",IF(G191="*",-0.7,IF(ISBLANK(INDEX(GCalXMLT[dclass1],$D191)),"",INDEX(GCalXMLT[dclass1],$D191))))</f>
        <v/>
      </c>
      <c r="AB191" t="str">
        <f>IF(J191="First day of Bhisma Pancaka","",IF(AND(G191="*",NOT(ISERROR(SEARCH("ekadasi",J191)))),-0.7,IF(ISBLANK(INDEX(GCalXMLT[dclass2],$D191)),"",INDEX(GCalXMLT[dclass2],$D191))))</f>
        <v/>
      </c>
      <c r="AC191" t="str">
        <f>IF(I191="Nandotsava",-1,IF(ISBLANK(INDEX(GCalXMLT[dclass3],$D191)),"",INDEX(GCalXMLT[dclass3],$D191)))</f>
        <v/>
      </c>
      <c r="AD191" t="str">
        <f>IF(I191="Nandotsava",IF(ISBLANK(INDEX(GCalXMLT[dclass3],$D191)),"",INDEX(GCalXMLT[dclass3],$D191)),IF(ISBLANK(INDEX(GCalXMLT[dclass4],$D191)),"",INDEX(GCalXMLT[dclass4],$D191)))</f>
        <v/>
      </c>
      <c r="AE191" t="str">
        <f>IFERROR(INDEX(Festivals!$V$2:$V$160,AP191),"")</f>
        <v/>
      </c>
      <c r="AF191" t="str">
        <f>IFERROR(IF($AQ191&gt;1,INDEX(Festivals!$V$2:$V$160,$AP191+1),""),"")</f>
        <v/>
      </c>
      <c r="AG191" t="str">
        <f>IFERROR(IF($AQ191&gt;2,INDEX(Festivals!$V$2:$V$160,$AP191+2),""),"")</f>
        <v/>
      </c>
      <c r="AH191" t="str">
        <f>IFERROR(IF($AQ191&gt;3,INDEX(Festivals!$V$2:$V$160,$AP191+3),""),"")</f>
        <v/>
      </c>
      <c r="AI191" t="str">
        <f>IFERROR(IF($AQ191&gt;4,INDEX(Festivals!$V$2:$V$160,$AP191+4),""),"")</f>
        <v/>
      </c>
      <c r="AJ191" t="str">
        <f>IFERROR(IF($AQ191&gt;5,INDEX(Festivals!$V$2:$V$160,$AP191+5),""),"")</f>
        <v/>
      </c>
      <c r="AK191" t="str">
        <f>IFERROR(IF($AQ191&gt;6,INDEX(Festivals!$V$2:$V$160,$AP191+6),""),"")</f>
        <v/>
      </c>
      <c r="AL191" t="str">
        <f ca="1">IFERROR(INDEX('Holidays Calc'!$J$2:$J$233,MATCH(A191,'Holidays Calc'!$I$2:$I$233,0)),"")</f>
        <v/>
      </c>
      <c r="AM191" t="str">
        <f ca="1">IF(AR191="","",IF(INDEX('Holidays Calc'!$I$2:$I$233,AR191+1)=A191,INDEX('Holidays Calc'!$J$2:$J$233,AR191+1),""))</f>
        <v/>
      </c>
      <c r="AN191" t="str">
        <f ca="1">IF(AR191="","",IF(INDEX('Holidays Calc'!$I$2:$I$233,AR191+2)=A191,INDEX('Holidays Calc'!$J$2:$J$233,AR191+2),""))</f>
        <v/>
      </c>
      <c r="AO191" t="str">
        <f ca="1">IF(AR191="","",IF(INDEX('Holidays Calc'!$I$2:$I$233,AR191+3)=A191,INDEX('Holidays Calc'!$J$2:$J$233,AR191+3),""))</f>
        <v/>
      </c>
      <c r="AP191" t="str">
        <f>IFERROR(IF($E191=E190,"",MATCH($E191,Festivals!$H$2:$H$160,0)),"")</f>
        <v/>
      </c>
      <c r="AQ191" t="str">
        <f>IF(AP191="","",COUNTIF(Festivals!$H$2:$H$160,$E191))</f>
        <v/>
      </c>
      <c r="AR191" t="str">
        <f ca="1">IFERROR(MATCH(A191,'Holidays Calc'!$I$2:$I$233,0),"")</f>
        <v/>
      </c>
      <c r="AS191" t="str">
        <f t="shared" si="18"/>
        <v/>
      </c>
      <c r="AT191" t="str">
        <f t="shared" si="17"/>
        <v/>
      </c>
      <c r="AU191" t="str">
        <f t="shared" ca="1" si="19"/>
        <v/>
      </c>
      <c r="AV191" t="str">
        <f t="shared" ca="1" si="20"/>
        <v/>
      </c>
    </row>
    <row r="192" spans="1:48" x14ac:dyDescent="0.25">
      <c r="A192" s="265">
        <f t="shared" si="16"/>
        <v>43618</v>
      </c>
      <c r="B192" s="265" t="str">
        <f t="shared" si="21"/>
        <v>2 Jun 2019</v>
      </c>
      <c r="C192" s="267">
        <f t="shared" si="22"/>
        <v>22</v>
      </c>
      <c r="D192">
        <f>MATCH(A192,GCalXMLT[daydate],0)</f>
        <v>191</v>
      </c>
      <c r="E192">
        <f>VALUE("1" &amp; Masacod(INDEX(GCalXMLT[gymasa],D192)) &amp; PaksaCod(INDEX(GCalXMLT[mpaksaid],D192)) &amp; TithiCod(INDEX(GCalXMLT[stithiname],D192)))</f>
        <v>103014</v>
      </c>
      <c r="F192" t="str">
        <f ca="1">INDEX(Parameters!$K$2:$K$16,MATCH(AV192,Parameters!$L$2:$L$16,0))</f>
        <v/>
      </c>
      <c r="G192">
        <f>INDEX(GCalXMLT[fastmark],$D192)</f>
        <v>0</v>
      </c>
      <c r="H192" t="str">
        <f ca="1">INDEX(Parameters!$J$2:$J$16,MATCH(AV192,Parameters!$L$2:$L$16,0))</f>
        <v/>
      </c>
      <c r="I192">
        <f>INDEX(GCalXMLT[dfestival1],$D192)</f>
        <v>0</v>
      </c>
      <c r="J192">
        <f>IF(INDEX(GCalXMLT[dfestival2],$D192)="(Fast today)",INDEX(Festivals!$R$2:$R$180,MATCH($I192,Festivals!$R$2:$R$180,0)+1),INDEX(GCalXMLT[dfestival2],$D192))</f>
        <v>0</v>
      </c>
      <c r="K192">
        <f>IF(I192="Nandotsava","(Fast till noon)",INDEX(GCalXMLT[dfestival3],$D192))</f>
        <v>0</v>
      </c>
      <c r="L192">
        <f>IF(I192="Nandotsava", INDEX(GCalXMLT[dfestival3],$D192),INDEX(GCalXMLT[dfestival4],$D192))</f>
        <v>0</v>
      </c>
      <c r="M192" t="str">
        <f>IFERROR(INDEX(Festivals!$S$2:$S$160,AP192),"")</f>
        <v/>
      </c>
      <c r="N192" t="str">
        <f>IFERROR(IF($AQ192&gt;1,INDEX(Festivals!$S$2:$S$160,$AP192+1),""),"")</f>
        <v/>
      </c>
      <c r="O192" t="str">
        <f>IFERROR(IF($AQ192&gt;2,INDEX(Festivals!$S$2:$S$160,$AP192+2),""),"")</f>
        <v/>
      </c>
      <c r="P192" t="str">
        <f>IFERROR(IF($AQ192&gt;3,INDEX(Festivals!$S$2:$S$160,$AP192+3),""),"")</f>
        <v/>
      </c>
      <c r="Q192" t="str">
        <f>IFERROR(IF($AQ192&gt;4,INDEX(Festivals!$S$2:$S$160,$AP192+4),""),"")</f>
        <v/>
      </c>
      <c r="R192" t="str">
        <f>IFERROR(IF($AQ192&gt;5,INDEX(Festivals!$S$2:$S$160,$AP192+5),""),"")</f>
        <v/>
      </c>
      <c r="S192" t="str">
        <f>IFERROR(IF($AQ192&gt;6,INDEX(Festivals!$S$2:$S$160,$AP192+6),""),"")</f>
        <v/>
      </c>
      <c r="T192">
        <f>INDEX(GCalXMLT[dcaturmasya1],$D192)</f>
        <v>0</v>
      </c>
      <c r="U192">
        <f>INDEX(GCalXMLT[dcaturmasya2],$D192)</f>
        <v>0</v>
      </c>
      <c r="V192" t="str">
        <f>INDEX(GCalXMLT[sankrantirasi],$D192) &amp; " " &amp; INDEX(GCalXMLT[sankrantitime],$D192)</f>
        <v xml:space="preserve"> </v>
      </c>
      <c r="W192" t="str">
        <f ca="1">IFERROR(INDEX('Holidays Calc'!$K$2:$K$233,AR192),"")</f>
        <v/>
      </c>
      <c r="X192" t="str">
        <f ca="1">IF(AR192="","",IF(INDEX('Holidays Calc'!$I$2:$I$233,AR192+1)=A192,INDEX('Holidays Calc'!$K$2:$K$233,AR192+1),""))</f>
        <v/>
      </c>
      <c r="Y192" t="str">
        <f ca="1">IF(AR192="","",IF(INDEX('Holidays Calc'!$I$2:$I$233,AR192+2)=A192,INDEX('Holidays Calc'!$K$2:$K$233,AR192+2),""))</f>
        <v/>
      </c>
      <c r="Z192" t="str">
        <f ca="1">IF(AR192="","",IF(INDEX('Holidays Calc'!$I$2:$I$233,AR192+3)=A192,INDEX('Holidays Calc'!$K$2:$K$2333,AR192+3),""))</f>
        <v/>
      </c>
      <c r="AA192" t="str">
        <f>IF(I192="Last day of Bhisma Pancaka","",IF(G192="*",-0.7,IF(ISBLANK(INDEX(GCalXMLT[dclass1],$D192)),"",INDEX(GCalXMLT[dclass1],$D192))))</f>
        <v/>
      </c>
      <c r="AB192" t="str">
        <f>IF(J192="First day of Bhisma Pancaka","",IF(AND(G192="*",NOT(ISERROR(SEARCH("ekadasi",J192)))),-0.7,IF(ISBLANK(INDEX(GCalXMLT[dclass2],$D192)),"",INDEX(GCalXMLT[dclass2],$D192))))</f>
        <v/>
      </c>
      <c r="AC192" t="str">
        <f>IF(I192="Nandotsava",-1,IF(ISBLANK(INDEX(GCalXMLT[dclass3],$D192)),"",INDEX(GCalXMLT[dclass3],$D192)))</f>
        <v/>
      </c>
      <c r="AD192" t="str">
        <f>IF(I192="Nandotsava",IF(ISBLANK(INDEX(GCalXMLT[dclass3],$D192)),"",INDEX(GCalXMLT[dclass3],$D192)),IF(ISBLANK(INDEX(GCalXMLT[dclass4],$D192)),"",INDEX(GCalXMLT[dclass4],$D192)))</f>
        <v/>
      </c>
      <c r="AE192" t="str">
        <f>IFERROR(INDEX(Festivals!$V$2:$V$160,AP192),"")</f>
        <v/>
      </c>
      <c r="AF192" t="str">
        <f>IFERROR(IF($AQ192&gt;1,INDEX(Festivals!$V$2:$V$160,$AP192+1),""),"")</f>
        <v/>
      </c>
      <c r="AG192" t="str">
        <f>IFERROR(IF($AQ192&gt;2,INDEX(Festivals!$V$2:$V$160,$AP192+2),""),"")</f>
        <v/>
      </c>
      <c r="AH192" t="str">
        <f>IFERROR(IF($AQ192&gt;3,INDEX(Festivals!$V$2:$V$160,$AP192+3),""),"")</f>
        <v/>
      </c>
      <c r="AI192" t="str">
        <f>IFERROR(IF($AQ192&gt;4,INDEX(Festivals!$V$2:$V$160,$AP192+4),""),"")</f>
        <v/>
      </c>
      <c r="AJ192" t="str">
        <f>IFERROR(IF($AQ192&gt;5,INDEX(Festivals!$V$2:$V$160,$AP192+5),""),"")</f>
        <v/>
      </c>
      <c r="AK192" t="str">
        <f>IFERROR(IF($AQ192&gt;6,INDEX(Festivals!$V$2:$V$160,$AP192+6),""),"")</f>
        <v/>
      </c>
      <c r="AL192" t="str">
        <f ca="1">IFERROR(INDEX('Holidays Calc'!$J$2:$J$233,MATCH(A192,'Holidays Calc'!$I$2:$I$233,0)),"")</f>
        <v/>
      </c>
      <c r="AM192" t="str">
        <f ca="1">IF(AR192="","",IF(INDEX('Holidays Calc'!$I$2:$I$233,AR192+1)=A192,INDEX('Holidays Calc'!$J$2:$J$233,AR192+1),""))</f>
        <v/>
      </c>
      <c r="AN192" t="str">
        <f ca="1">IF(AR192="","",IF(INDEX('Holidays Calc'!$I$2:$I$233,AR192+2)=A192,INDEX('Holidays Calc'!$J$2:$J$233,AR192+2),""))</f>
        <v/>
      </c>
      <c r="AO192" t="str">
        <f ca="1">IF(AR192="","",IF(INDEX('Holidays Calc'!$I$2:$I$233,AR192+3)=A192,INDEX('Holidays Calc'!$J$2:$J$233,AR192+3),""))</f>
        <v/>
      </c>
      <c r="AP192" t="str">
        <f>IFERROR(IF($E192=E191,"",MATCH($E192,Festivals!$H$2:$H$160,0)),"")</f>
        <v/>
      </c>
      <c r="AQ192" t="str">
        <f>IF(AP192="","",COUNTIF(Festivals!$H$2:$H$160,$E192))</f>
        <v/>
      </c>
      <c r="AR192" t="str">
        <f ca="1">IFERROR(MATCH(A192,'Holidays Calc'!$I$2:$I$233,0),"")</f>
        <v/>
      </c>
      <c r="AS192" t="str">
        <f t="shared" si="18"/>
        <v/>
      </c>
      <c r="AT192" t="str">
        <f t="shared" si="17"/>
        <v/>
      </c>
      <c r="AU192" t="str">
        <f t="shared" ca="1" si="19"/>
        <v/>
      </c>
      <c r="AV192" t="str">
        <f t="shared" ca="1" si="20"/>
        <v/>
      </c>
    </row>
    <row r="193" spans="1:48" x14ac:dyDescent="0.25">
      <c r="A193" s="265">
        <f t="shared" si="16"/>
        <v>43619</v>
      </c>
      <c r="B193" s="265" t="str">
        <f t="shared" si="21"/>
        <v>3 Jun 2019</v>
      </c>
      <c r="C193" s="267">
        <f t="shared" si="22"/>
        <v>23</v>
      </c>
      <c r="D193">
        <f>MATCH(A193,GCalXMLT[daydate],0)</f>
        <v>192</v>
      </c>
      <c r="E193">
        <f>VALUE("1" &amp; Masacod(INDEX(GCalXMLT[gymasa],D193)) &amp; PaksaCod(INDEX(GCalXMLT[mpaksaid],D193)) &amp; TithiCod(INDEX(GCalXMLT[stithiname],D193)))</f>
        <v>103015</v>
      </c>
      <c r="F193" t="str">
        <f ca="1">INDEX(Parameters!$K$2:$K$16,MATCH(AV193,Parameters!$L$2:$L$16,0))</f>
        <v/>
      </c>
      <c r="G193">
        <f>INDEX(GCalXMLT[fastmark],$D193)</f>
        <v>0</v>
      </c>
      <c r="H193" t="str">
        <f ca="1">INDEX(Parameters!$J$2:$J$16,MATCH(AV193,Parameters!$L$2:$L$16,0))</f>
        <v/>
      </c>
      <c r="I193">
        <f>INDEX(GCalXMLT[dfestival1],$D193)</f>
        <v>0</v>
      </c>
      <c r="J193">
        <f>IF(INDEX(GCalXMLT[dfestival2],$D193)="(Fast today)",INDEX(Festivals!$R$2:$R$180,MATCH($I193,Festivals!$R$2:$R$180,0)+1),INDEX(GCalXMLT[dfestival2],$D193))</f>
        <v>0</v>
      </c>
      <c r="K193">
        <f>IF(I193="Nandotsava","(Fast till noon)",INDEX(GCalXMLT[dfestival3],$D193))</f>
        <v>0</v>
      </c>
      <c r="L193">
        <f>IF(I193="Nandotsava", INDEX(GCalXMLT[dfestival3],$D193),INDEX(GCalXMLT[dfestival4],$D193))</f>
        <v>0</v>
      </c>
      <c r="M193" t="str">
        <f>IFERROR(INDEX(Festivals!$S$2:$S$160,AP193),"")</f>
        <v/>
      </c>
      <c r="N193" t="str">
        <f>IFERROR(IF($AQ193&gt;1,INDEX(Festivals!$S$2:$S$160,$AP193+1),""),"")</f>
        <v/>
      </c>
      <c r="O193" t="str">
        <f>IFERROR(IF($AQ193&gt;2,INDEX(Festivals!$S$2:$S$160,$AP193+2),""),"")</f>
        <v/>
      </c>
      <c r="P193" t="str">
        <f>IFERROR(IF($AQ193&gt;3,INDEX(Festivals!$S$2:$S$160,$AP193+3),""),"")</f>
        <v/>
      </c>
      <c r="Q193" t="str">
        <f>IFERROR(IF($AQ193&gt;4,INDEX(Festivals!$S$2:$S$160,$AP193+4),""),"")</f>
        <v/>
      </c>
      <c r="R193" t="str">
        <f>IFERROR(IF($AQ193&gt;5,INDEX(Festivals!$S$2:$S$160,$AP193+5),""),"")</f>
        <v/>
      </c>
      <c r="S193" t="str">
        <f>IFERROR(IF($AQ193&gt;6,INDEX(Festivals!$S$2:$S$160,$AP193+6),""),"")</f>
        <v/>
      </c>
      <c r="T193">
        <f>INDEX(GCalXMLT[dcaturmasya1],$D193)</f>
        <v>0</v>
      </c>
      <c r="U193">
        <f>INDEX(GCalXMLT[dcaturmasya2],$D193)</f>
        <v>0</v>
      </c>
      <c r="V193" t="str">
        <f>INDEX(GCalXMLT[sankrantirasi],$D193) &amp; " " &amp; INDEX(GCalXMLT[sankrantitime],$D193)</f>
        <v xml:space="preserve"> </v>
      </c>
      <c r="W193" t="str">
        <f ca="1">IFERROR(INDEX('Holidays Calc'!$K$2:$K$233,AR193),"")</f>
        <v/>
      </c>
      <c r="X193" t="str">
        <f ca="1">IF(AR193="","",IF(INDEX('Holidays Calc'!$I$2:$I$233,AR193+1)=A193,INDEX('Holidays Calc'!$K$2:$K$233,AR193+1),""))</f>
        <v/>
      </c>
      <c r="Y193" t="str">
        <f ca="1">IF(AR193="","",IF(INDEX('Holidays Calc'!$I$2:$I$233,AR193+2)=A193,INDEX('Holidays Calc'!$K$2:$K$233,AR193+2),""))</f>
        <v/>
      </c>
      <c r="Z193" t="str">
        <f ca="1">IF(AR193="","",IF(INDEX('Holidays Calc'!$I$2:$I$233,AR193+3)=A193,INDEX('Holidays Calc'!$K$2:$K$2333,AR193+3),""))</f>
        <v/>
      </c>
      <c r="AA193" t="str">
        <f>IF(I193="Last day of Bhisma Pancaka","",IF(G193="*",-0.7,IF(ISBLANK(INDEX(GCalXMLT[dclass1],$D193)),"",INDEX(GCalXMLT[dclass1],$D193))))</f>
        <v/>
      </c>
      <c r="AB193" t="str">
        <f>IF(J193="First day of Bhisma Pancaka","",IF(AND(G193="*",NOT(ISERROR(SEARCH("ekadasi",J193)))),-0.7,IF(ISBLANK(INDEX(GCalXMLT[dclass2],$D193)),"",INDEX(GCalXMLT[dclass2],$D193))))</f>
        <v/>
      </c>
      <c r="AC193" t="str">
        <f>IF(I193="Nandotsava",-1,IF(ISBLANK(INDEX(GCalXMLT[dclass3],$D193)),"",INDEX(GCalXMLT[dclass3],$D193)))</f>
        <v/>
      </c>
      <c r="AD193" t="str">
        <f>IF(I193="Nandotsava",IF(ISBLANK(INDEX(GCalXMLT[dclass3],$D193)),"",INDEX(GCalXMLT[dclass3],$D193)),IF(ISBLANK(INDEX(GCalXMLT[dclass4],$D193)),"",INDEX(GCalXMLT[dclass4],$D193)))</f>
        <v/>
      </c>
      <c r="AE193" t="str">
        <f>IFERROR(INDEX(Festivals!$V$2:$V$160,AP193),"")</f>
        <v/>
      </c>
      <c r="AF193" t="str">
        <f>IFERROR(IF($AQ193&gt;1,INDEX(Festivals!$V$2:$V$160,$AP193+1),""),"")</f>
        <v/>
      </c>
      <c r="AG193" t="str">
        <f>IFERROR(IF($AQ193&gt;2,INDEX(Festivals!$V$2:$V$160,$AP193+2),""),"")</f>
        <v/>
      </c>
      <c r="AH193" t="str">
        <f>IFERROR(IF($AQ193&gt;3,INDEX(Festivals!$V$2:$V$160,$AP193+3),""),"")</f>
        <v/>
      </c>
      <c r="AI193" t="str">
        <f>IFERROR(IF($AQ193&gt;4,INDEX(Festivals!$V$2:$V$160,$AP193+4),""),"")</f>
        <v/>
      </c>
      <c r="AJ193" t="str">
        <f>IFERROR(IF($AQ193&gt;5,INDEX(Festivals!$V$2:$V$160,$AP193+5),""),"")</f>
        <v/>
      </c>
      <c r="AK193" t="str">
        <f>IFERROR(IF($AQ193&gt;6,INDEX(Festivals!$V$2:$V$160,$AP193+6),""),"")</f>
        <v/>
      </c>
      <c r="AL193" t="str">
        <f ca="1">IFERROR(INDEX('Holidays Calc'!$J$2:$J$233,MATCH(A193,'Holidays Calc'!$I$2:$I$233,0)),"")</f>
        <v/>
      </c>
      <c r="AM193" t="str">
        <f ca="1">IF(AR193="","",IF(INDEX('Holidays Calc'!$I$2:$I$233,AR193+1)=A193,INDEX('Holidays Calc'!$J$2:$J$233,AR193+1),""))</f>
        <v/>
      </c>
      <c r="AN193" t="str">
        <f ca="1">IF(AR193="","",IF(INDEX('Holidays Calc'!$I$2:$I$233,AR193+2)=A193,INDEX('Holidays Calc'!$J$2:$J$233,AR193+2),""))</f>
        <v/>
      </c>
      <c r="AO193" t="str">
        <f ca="1">IF(AR193="","",IF(INDEX('Holidays Calc'!$I$2:$I$233,AR193+3)=A193,INDEX('Holidays Calc'!$J$2:$J$233,AR193+3),""))</f>
        <v/>
      </c>
      <c r="AP193" t="str">
        <f>IFERROR(IF($E193=E192,"",MATCH($E193,Festivals!$H$2:$H$160,0)),"")</f>
        <v/>
      </c>
      <c r="AQ193" t="str">
        <f>IF(AP193="","",COUNTIF(Festivals!$H$2:$H$160,$E193))</f>
        <v/>
      </c>
      <c r="AR193" t="str">
        <f ca="1">IFERROR(MATCH(A193,'Holidays Calc'!$I$2:$I$233,0),"")</f>
        <v/>
      </c>
      <c r="AS193" t="str">
        <f t="shared" si="18"/>
        <v/>
      </c>
      <c r="AT193" t="str">
        <f t="shared" si="17"/>
        <v/>
      </c>
      <c r="AU193" t="str">
        <f t="shared" ca="1" si="19"/>
        <v/>
      </c>
      <c r="AV193" t="str">
        <f t="shared" ca="1" si="20"/>
        <v/>
      </c>
    </row>
    <row r="194" spans="1:48" x14ac:dyDescent="0.25">
      <c r="A194" s="265">
        <f t="shared" ref="A194:A257" si="23">A193+1</f>
        <v>43620</v>
      </c>
      <c r="B194" s="265" t="str">
        <f t="shared" si="21"/>
        <v>4 Jun 2019</v>
      </c>
      <c r="C194" s="267">
        <f t="shared" si="22"/>
        <v>23</v>
      </c>
      <c r="D194">
        <f>MATCH(A194,GCalXMLT[daydate],0)</f>
        <v>193</v>
      </c>
      <c r="E194">
        <f>VALUE("1" &amp; Masacod(INDEX(GCalXMLT[gymasa],D194)) &amp; PaksaCod(INDEX(GCalXMLT[mpaksaid],D194)) &amp; TithiCod(INDEX(GCalXMLT[stithiname],D194)))</f>
        <v>103101</v>
      </c>
      <c r="F194" t="str">
        <f ca="1">INDEX(Parameters!$K$2:$K$16,MATCH(AV194,Parameters!$L$2:$L$16,0))</f>
        <v/>
      </c>
      <c r="G194">
        <f>INDEX(GCalXMLT[fastmark],$D194)</f>
        <v>0</v>
      </c>
      <c r="H194" t="str">
        <f ca="1">INDEX(Parameters!$J$2:$J$16,MATCH(AV194,Parameters!$L$2:$L$16,0))</f>
        <v/>
      </c>
      <c r="I194">
        <f>INDEX(GCalXMLT[dfestival1],$D194)</f>
        <v>0</v>
      </c>
      <c r="J194">
        <f>IF(INDEX(GCalXMLT[dfestival2],$D194)="(Fast today)",INDEX(Festivals!$R$2:$R$180,MATCH($I194,Festivals!$R$2:$R$180,0)+1),INDEX(GCalXMLT[dfestival2],$D194))</f>
        <v>0</v>
      </c>
      <c r="K194">
        <f>IF(I194="Nandotsava","(Fast till noon)",INDEX(GCalXMLT[dfestival3],$D194))</f>
        <v>0</v>
      </c>
      <c r="L194">
        <f>IF(I194="Nandotsava", INDEX(GCalXMLT[dfestival3],$D194),INDEX(GCalXMLT[dfestival4],$D194))</f>
        <v>0</v>
      </c>
      <c r="M194" t="str">
        <f>IFERROR(INDEX(Festivals!$S$2:$S$160,AP194),"")</f>
        <v/>
      </c>
      <c r="N194" t="str">
        <f>IFERROR(IF($AQ194&gt;1,INDEX(Festivals!$S$2:$S$160,$AP194+1),""),"")</f>
        <v/>
      </c>
      <c r="O194" t="str">
        <f>IFERROR(IF($AQ194&gt;2,INDEX(Festivals!$S$2:$S$160,$AP194+2),""),"")</f>
        <v/>
      </c>
      <c r="P194" t="str">
        <f>IFERROR(IF($AQ194&gt;3,INDEX(Festivals!$S$2:$S$160,$AP194+3),""),"")</f>
        <v/>
      </c>
      <c r="Q194" t="str">
        <f>IFERROR(IF($AQ194&gt;4,INDEX(Festivals!$S$2:$S$160,$AP194+4),""),"")</f>
        <v/>
      </c>
      <c r="R194" t="str">
        <f>IFERROR(IF($AQ194&gt;5,INDEX(Festivals!$S$2:$S$160,$AP194+5),""),"")</f>
        <v/>
      </c>
      <c r="S194" t="str">
        <f>IFERROR(IF($AQ194&gt;6,INDEX(Festivals!$S$2:$S$160,$AP194+6),""),"")</f>
        <v/>
      </c>
      <c r="T194">
        <f>INDEX(GCalXMLT[dcaturmasya1],$D194)</f>
        <v>0</v>
      </c>
      <c r="U194">
        <f>INDEX(GCalXMLT[dcaturmasya2],$D194)</f>
        <v>0</v>
      </c>
      <c r="V194" t="str">
        <f>INDEX(GCalXMLT[sankrantirasi],$D194) &amp; " " &amp; INDEX(GCalXMLT[sankrantitime],$D194)</f>
        <v xml:space="preserve"> </v>
      </c>
      <c r="W194" t="str">
        <f ca="1">IFERROR(INDEX('Holidays Calc'!$K$2:$K$233,AR194),"")</f>
        <v/>
      </c>
      <c r="X194" t="str">
        <f ca="1">IF(AR194="","",IF(INDEX('Holidays Calc'!$I$2:$I$233,AR194+1)=A194,INDEX('Holidays Calc'!$K$2:$K$233,AR194+1),""))</f>
        <v/>
      </c>
      <c r="Y194" t="str">
        <f ca="1">IF(AR194="","",IF(INDEX('Holidays Calc'!$I$2:$I$233,AR194+2)=A194,INDEX('Holidays Calc'!$K$2:$K$233,AR194+2),""))</f>
        <v/>
      </c>
      <c r="Z194" t="str">
        <f ca="1">IF(AR194="","",IF(INDEX('Holidays Calc'!$I$2:$I$233,AR194+3)=A194,INDEX('Holidays Calc'!$K$2:$K$2333,AR194+3),""))</f>
        <v/>
      </c>
      <c r="AA194" t="str">
        <f>IF(I194="Last day of Bhisma Pancaka","",IF(G194="*",-0.7,IF(ISBLANK(INDEX(GCalXMLT[dclass1],$D194)),"",INDEX(GCalXMLT[dclass1],$D194))))</f>
        <v/>
      </c>
      <c r="AB194" t="str">
        <f>IF(J194="First day of Bhisma Pancaka","",IF(AND(G194="*",NOT(ISERROR(SEARCH("ekadasi",J194)))),-0.7,IF(ISBLANK(INDEX(GCalXMLT[dclass2],$D194)),"",INDEX(GCalXMLT[dclass2],$D194))))</f>
        <v/>
      </c>
      <c r="AC194" t="str">
        <f>IF(I194="Nandotsava",-1,IF(ISBLANK(INDEX(GCalXMLT[dclass3],$D194)),"",INDEX(GCalXMLT[dclass3],$D194)))</f>
        <v/>
      </c>
      <c r="AD194" t="str">
        <f>IF(I194="Nandotsava",IF(ISBLANK(INDEX(GCalXMLT[dclass3],$D194)),"",INDEX(GCalXMLT[dclass3],$D194)),IF(ISBLANK(INDEX(GCalXMLT[dclass4],$D194)),"",INDEX(GCalXMLT[dclass4],$D194)))</f>
        <v/>
      </c>
      <c r="AE194" t="str">
        <f>IFERROR(INDEX(Festivals!$V$2:$V$160,AP194),"")</f>
        <v/>
      </c>
      <c r="AF194" t="str">
        <f>IFERROR(IF($AQ194&gt;1,INDEX(Festivals!$V$2:$V$160,$AP194+1),""),"")</f>
        <v/>
      </c>
      <c r="AG194" t="str">
        <f>IFERROR(IF($AQ194&gt;2,INDEX(Festivals!$V$2:$V$160,$AP194+2),""),"")</f>
        <v/>
      </c>
      <c r="AH194" t="str">
        <f>IFERROR(IF($AQ194&gt;3,INDEX(Festivals!$V$2:$V$160,$AP194+3),""),"")</f>
        <v/>
      </c>
      <c r="AI194" t="str">
        <f>IFERROR(IF($AQ194&gt;4,INDEX(Festivals!$V$2:$V$160,$AP194+4),""),"")</f>
        <v/>
      </c>
      <c r="AJ194" t="str">
        <f>IFERROR(IF($AQ194&gt;5,INDEX(Festivals!$V$2:$V$160,$AP194+5),""),"")</f>
        <v/>
      </c>
      <c r="AK194" t="str">
        <f>IFERROR(IF($AQ194&gt;6,INDEX(Festivals!$V$2:$V$160,$AP194+6),""),"")</f>
        <v/>
      </c>
      <c r="AL194" t="str">
        <f ca="1">IFERROR(INDEX('Holidays Calc'!$J$2:$J$233,MATCH(A194,'Holidays Calc'!$I$2:$I$233,0)),"")</f>
        <v/>
      </c>
      <c r="AM194" t="str">
        <f ca="1">IF(AR194="","",IF(INDEX('Holidays Calc'!$I$2:$I$233,AR194+1)=A194,INDEX('Holidays Calc'!$J$2:$J$233,AR194+1),""))</f>
        <v/>
      </c>
      <c r="AN194" t="str">
        <f ca="1">IF(AR194="","",IF(INDEX('Holidays Calc'!$I$2:$I$233,AR194+2)=A194,INDEX('Holidays Calc'!$J$2:$J$233,AR194+2),""))</f>
        <v/>
      </c>
      <c r="AO194" t="str">
        <f ca="1">IF(AR194="","",IF(INDEX('Holidays Calc'!$I$2:$I$233,AR194+3)=A194,INDEX('Holidays Calc'!$J$2:$J$233,AR194+3),""))</f>
        <v/>
      </c>
      <c r="AP194" t="str">
        <f>IFERROR(IF($E194=E193,"",MATCH($E194,Festivals!$H$2:$H$160,0)),"")</f>
        <v/>
      </c>
      <c r="AQ194" t="str">
        <f>IF(AP194="","",COUNTIF(Festivals!$H$2:$H$160,$E194))</f>
        <v/>
      </c>
      <c r="AR194" t="str">
        <f ca="1">IFERROR(MATCH(A194,'Holidays Calc'!$I$2:$I$233,0),"")</f>
        <v/>
      </c>
      <c r="AS194" t="str">
        <f t="shared" si="18"/>
        <v/>
      </c>
      <c r="AT194" t="str">
        <f t="shared" ref="AT194:AT257" si="24">IF(AND(G194 = "*", AS194 &lt;= -1 ), -2, IF(AND(G193 = "*", AS194 &lt;= -1), -0.3, AS194))</f>
        <v/>
      </c>
      <c r="AU194" t="str">
        <f t="shared" ca="1" si="19"/>
        <v/>
      </c>
      <c r="AV194" t="str">
        <f t="shared" ca="1" si="20"/>
        <v/>
      </c>
    </row>
    <row r="195" spans="1:48" x14ac:dyDescent="0.25">
      <c r="A195" s="265">
        <f t="shared" si="23"/>
        <v>43621</v>
      </c>
      <c r="B195" s="265" t="str">
        <f t="shared" si="21"/>
        <v>5 Jun 2019</v>
      </c>
      <c r="C195" s="267">
        <f t="shared" si="22"/>
        <v>23</v>
      </c>
      <c r="D195">
        <f>MATCH(A195,GCalXMLT[daydate],0)</f>
        <v>194</v>
      </c>
      <c r="E195">
        <f>VALUE("1" &amp; Masacod(INDEX(GCalXMLT[gymasa],D195)) &amp; PaksaCod(INDEX(GCalXMLT[mpaksaid],D195)) &amp; TithiCod(INDEX(GCalXMLT[stithiname],D195)))</f>
        <v>103103</v>
      </c>
      <c r="F195" t="str">
        <f ca="1">INDEX(Parameters!$K$2:$K$16,MATCH(AV195,Parameters!$L$2:$L$16,0))</f>
        <v/>
      </c>
      <c r="G195">
        <f>INDEX(GCalXMLT[fastmark],$D195)</f>
        <v>0</v>
      </c>
      <c r="H195" t="str">
        <f ca="1">INDEX(Parameters!$J$2:$J$16,MATCH(AV195,Parameters!$L$2:$L$16,0))</f>
        <v/>
      </c>
      <c r="I195">
        <f>INDEX(GCalXMLT[dfestival1],$D195)</f>
        <v>0</v>
      </c>
      <c r="J195">
        <f>IF(INDEX(GCalXMLT[dfestival2],$D195)="(Fast today)",INDEX(Festivals!$R$2:$R$180,MATCH($I195,Festivals!$R$2:$R$180,0)+1),INDEX(GCalXMLT[dfestival2],$D195))</f>
        <v>0</v>
      </c>
      <c r="K195">
        <f>IF(I195="Nandotsava","(Fast till noon)",INDEX(GCalXMLT[dfestival3],$D195))</f>
        <v>0</v>
      </c>
      <c r="L195">
        <f>IF(I195="Nandotsava", INDEX(GCalXMLT[dfestival3],$D195),INDEX(GCalXMLT[dfestival4],$D195))</f>
        <v>0</v>
      </c>
      <c r="M195" t="str">
        <f>IFERROR(INDEX(Festivals!$S$2:$S$160,AP195),"")</f>
        <v/>
      </c>
      <c r="N195" t="str">
        <f>IFERROR(IF($AQ195&gt;1,INDEX(Festivals!$S$2:$S$160,$AP195+1),""),"")</f>
        <v/>
      </c>
      <c r="O195" t="str">
        <f>IFERROR(IF($AQ195&gt;2,INDEX(Festivals!$S$2:$S$160,$AP195+2),""),"")</f>
        <v/>
      </c>
      <c r="P195" t="str">
        <f>IFERROR(IF($AQ195&gt;3,INDEX(Festivals!$S$2:$S$160,$AP195+3),""),"")</f>
        <v/>
      </c>
      <c r="Q195" t="str">
        <f>IFERROR(IF($AQ195&gt;4,INDEX(Festivals!$S$2:$S$160,$AP195+4),""),"")</f>
        <v/>
      </c>
      <c r="R195" t="str">
        <f>IFERROR(IF($AQ195&gt;5,INDEX(Festivals!$S$2:$S$160,$AP195+5),""),"")</f>
        <v/>
      </c>
      <c r="S195" t="str">
        <f>IFERROR(IF($AQ195&gt;6,INDEX(Festivals!$S$2:$S$160,$AP195+6),""),"")</f>
        <v/>
      </c>
      <c r="T195">
        <f>INDEX(GCalXMLT[dcaturmasya1],$D195)</f>
        <v>0</v>
      </c>
      <c r="U195">
        <f>INDEX(GCalXMLT[dcaturmasya2],$D195)</f>
        <v>0</v>
      </c>
      <c r="V195" t="str">
        <f>INDEX(GCalXMLT[sankrantirasi],$D195) &amp; " " &amp; INDEX(GCalXMLT[sankrantitime],$D195)</f>
        <v xml:space="preserve"> </v>
      </c>
      <c r="W195" t="str">
        <f ca="1">IFERROR(INDEX('Holidays Calc'!$K$2:$K$233,AR195),"")</f>
        <v/>
      </c>
      <c r="X195" t="str">
        <f ca="1">IF(AR195="","",IF(INDEX('Holidays Calc'!$I$2:$I$233,AR195+1)=A195,INDEX('Holidays Calc'!$K$2:$K$233,AR195+1),""))</f>
        <v/>
      </c>
      <c r="Y195" t="str">
        <f ca="1">IF(AR195="","",IF(INDEX('Holidays Calc'!$I$2:$I$233,AR195+2)=A195,INDEX('Holidays Calc'!$K$2:$K$233,AR195+2),""))</f>
        <v/>
      </c>
      <c r="Z195" t="str">
        <f ca="1">IF(AR195="","",IF(INDEX('Holidays Calc'!$I$2:$I$233,AR195+3)=A195,INDEX('Holidays Calc'!$K$2:$K$2333,AR195+3),""))</f>
        <v/>
      </c>
      <c r="AA195" t="str">
        <f>IF(I195="Last day of Bhisma Pancaka","",IF(G195="*",-0.7,IF(ISBLANK(INDEX(GCalXMLT[dclass1],$D195)),"",INDEX(GCalXMLT[dclass1],$D195))))</f>
        <v/>
      </c>
      <c r="AB195" t="str">
        <f>IF(J195="First day of Bhisma Pancaka","",IF(AND(G195="*",NOT(ISERROR(SEARCH("ekadasi",J195)))),-0.7,IF(ISBLANK(INDEX(GCalXMLT[dclass2],$D195)),"",INDEX(GCalXMLT[dclass2],$D195))))</f>
        <v/>
      </c>
      <c r="AC195" t="str">
        <f>IF(I195="Nandotsava",-1,IF(ISBLANK(INDEX(GCalXMLT[dclass3],$D195)),"",INDEX(GCalXMLT[dclass3],$D195)))</f>
        <v/>
      </c>
      <c r="AD195" t="str">
        <f>IF(I195="Nandotsava",IF(ISBLANK(INDEX(GCalXMLT[dclass3],$D195)),"",INDEX(GCalXMLT[dclass3],$D195)),IF(ISBLANK(INDEX(GCalXMLT[dclass4],$D195)),"",INDEX(GCalXMLT[dclass4],$D195)))</f>
        <v/>
      </c>
      <c r="AE195" t="str">
        <f>IFERROR(INDEX(Festivals!$V$2:$V$160,AP195),"")</f>
        <v/>
      </c>
      <c r="AF195" t="str">
        <f>IFERROR(IF($AQ195&gt;1,INDEX(Festivals!$V$2:$V$160,$AP195+1),""),"")</f>
        <v/>
      </c>
      <c r="AG195" t="str">
        <f>IFERROR(IF($AQ195&gt;2,INDEX(Festivals!$V$2:$V$160,$AP195+2),""),"")</f>
        <v/>
      </c>
      <c r="AH195" t="str">
        <f>IFERROR(IF($AQ195&gt;3,INDEX(Festivals!$V$2:$V$160,$AP195+3),""),"")</f>
        <v/>
      </c>
      <c r="AI195" t="str">
        <f>IFERROR(IF($AQ195&gt;4,INDEX(Festivals!$V$2:$V$160,$AP195+4),""),"")</f>
        <v/>
      </c>
      <c r="AJ195" t="str">
        <f>IFERROR(IF($AQ195&gt;5,INDEX(Festivals!$V$2:$V$160,$AP195+5),""),"")</f>
        <v/>
      </c>
      <c r="AK195" t="str">
        <f>IFERROR(IF($AQ195&gt;6,INDEX(Festivals!$V$2:$V$160,$AP195+6),""),"")</f>
        <v/>
      </c>
      <c r="AL195" t="str">
        <f ca="1">IFERROR(INDEX('Holidays Calc'!$J$2:$J$233,MATCH(A195,'Holidays Calc'!$I$2:$I$233,0)),"")</f>
        <v/>
      </c>
      <c r="AM195" t="str">
        <f ca="1">IF(AR195="","",IF(INDEX('Holidays Calc'!$I$2:$I$233,AR195+1)=A195,INDEX('Holidays Calc'!$J$2:$J$233,AR195+1),""))</f>
        <v/>
      </c>
      <c r="AN195" t="str">
        <f ca="1">IF(AR195="","",IF(INDEX('Holidays Calc'!$I$2:$I$233,AR195+2)=A195,INDEX('Holidays Calc'!$J$2:$J$233,AR195+2),""))</f>
        <v/>
      </c>
      <c r="AO195" t="str">
        <f ca="1">IF(AR195="","",IF(INDEX('Holidays Calc'!$I$2:$I$233,AR195+3)=A195,INDEX('Holidays Calc'!$J$2:$J$233,AR195+3),""))</f>
        <v/>
      </c>
      <c r="AP195" t="str">
        <f>IFERROR(IF($E195=E194,"",MATCH($E195,Festivals!$H$2:$H$160,0)),"")</f>
        <v/>
      </c>
      <c r="AQ195" t="str">
        <f>IF(AP195="","",COUNTIF(Festivals!$H$2:$H$160,$E195))</f>
        <v/>
      </c>
      <c r="AR195" t="str">
        <f ca="1">IFERROR(MATCH(A195,'Holidays Calc'!$I$2:$I$233,0),"")</f>
        <v/>
      </c>
      <c r="AS195" t="str">
        <f t="shared" ref="AS195:AS258" si="25">IF(COUNT(AA195:AK195)&lt;1,"",MIN(AA195:AK195))</f>
        <v/>
      </c>
      <c r="AT195" t="str">
        <f t="shared" si="24"/>
        <v/>
      </c>
      <c r="AU195" t="str">
        <f t="shared" ref="AU195:AU258" ca="1" si="26">IF(COUNT(AL195:AO195)&lt;1,"",MIN(AL195:AO195))</f>
        <v/>
      </c>
      <c r="AV195" t="str">
        <f t="shared" ref="AV195:AV258" ca="1" si="27">IF(AND(AU195 &lt; -10,AT195 &lt; -0.5),-21,IF(COUNT(AT195:AU195)&lt;1,"",MIN(AT195:AU195)))</f>
        <v/>
      </c>
    </row>
    <row r="196" spans="1:48" x14ac:dyDescent="0.25">
      <c r="A196" s="265">
        <f t="shared" si="23"/>
        <v>43622</v>
      </c>
      <c r="B196" s="265" t="str">
        <f t="shared" si="21"/>
        <v>6 Jun 2019</v>
      </c>
      <c r="C196" s="267">
        <f t="shared" si="22"/>
        <v>23</v>
      </c>
      <c r="D196">
        <f>MATCH(A196,GCalXMLT[daydate],0)</f>
        <v>195</v>
      </c>
      <c r="E196">
        <f>VALUE("1" &amp; Masacod(INDEX(GCalXMLT[gymasa],D196)) &amp; PaksaCod(INDEX(GCalXMLT[mpaksaid],D196)) &amp; TithiCod(INDEX(GCalXMLT[stithiname],D196)))</f>
        <v>103104</v>
      </c>
      <c r="F196" t="str">
        <f ca="1">INDEX(Parameters!$K$2:$K$16,MATCH(AV196,Parameters!$L$2:$L$16,0))</f>
        <v/>
      </c>
      <c r="G196">
        <f>INDEX(GCalXMLT[fastmark],$D196)</f>
        <v>0</v>
      </c>
      <c r="H196" t="str">
        <f ca="1">INDEX(Parameters!$J$2:$J$16,MATCH(AV196,Parameters!$L$2:$L$16,0))</f>
        <v/>
      </c>
      <c r="I196">
        <f>INDEX(GCalXMLT[dfestival1],$D196)</f>
        <v>0</v>
      </c>
      <c r="J196">
        <f>IF(INDEX(GCalXMLT[dfestival2],$D196)="(Fast today)",INDEX(Festivals!$R$2:$R$180,MATCH($I196,Festivals!$R$2:$R$180,0)+1),INDEX(GCalXMLT[dfestival2],$D196))</f>
        <v>0</v>
      </c>
      <c r="K196">
        <f>IF(I196="Nandotsava","(Fast till noon)",INDEX(GCalXMLT[dfestival3],$D196))</f>
        <v>0</v>
      </c>
      <c r="L196">
        <f>IF(I196="Nandotsava", INDEX(GCalXMLT[dfestival3],$D196),INDEX(GCalXMLT[dfestival4],$D196))</f>
        <v>0</v>
      </c>
      <c r="M196" t="str">
        <f>IFERROR(INDEX(Festivals!$S$2:$S$160,AP196),"")</f>
        <v/>
      </c>
      <c r="N196" t="str">
        <f>IFERROR(IF($AQ196&gt;1,INDEX(Festivals!$S$2:$S$160,$AP196+1),""),"")</f>
        <v/>
      </c>
      <c r="O196" t="str">
        <f>IFERROR(IF($AQ196&gt;2,INDEX(Festivals!$S$2:$S$160,$AP196+2),""),"")</f>
        <v/>
      </c>
      <c r="P196" t="str">
        <f>IFERROR(IF($AQ196&gt;3,INDEX(Festivals!$S$2:$S$160,$AP196+3),""),"")</f>
        <v/>
      </c>
      <c r="Q196" t="str">
        <f>IFERROR(IF($AQ196&gt;4,INDEX(Festivals!$S$2:$S$160,$AP196+4),""),"")</f>
        <v/>
      </c>
      <c r="R196" t="str">
        <f>IFERROR(IF($AQ196&gt;5,INDEX(Festivals!$S$2:$S$160,$AP196+5),""),"")</f>
        <v/>
      </c>
      <c r="S196" t="str">
        <f>IFERROR(IF($AQ196&gt;6,INDEX(Festivals!$S$2:$S$160,$AP196+6),""),"")</f>
        <v/>
      </c>
      <c r="T196">
        <f>INDEX(GCalXMLT[dcaturmasya1],$D196)</f>
        <v>0</v>
      </c>
      <c r="U196">
        <f>INDEX(GCalXMLT[dcaturmasya2],$D196)</f>
        <v>0</v>
      </c>
      <c r="V196" t="str">
        <f>INDEX(GCalXMLT[sankrantirasi],$D196) &amp; " " &amp; INDEX(GCalXMLT[sankrantitime],$D196)</f>
        <v xml:space="preserve"> </v>
      </c>
      <c r="W196" t="str">
        <f ca="1">IFERROR(INDEX('Holidays Calc'!$K$2:$K$233,AR196),"")</f>
        <v/>
      </c>
      <c r="X196" t="str">
        <f ca="1">IF(AR196="","",IF(INDEX('Holidays Calc'!$I$2:$I$233,AR196+1)=A196,INDEX('Holidays Calc'!$K$2:$K$233,AR196+1),""))</f>
        <v/>
      </c>
      <c r="Y196" t="str">
        <f ca="1">IF(AR196="","",IF(INDEX('Holidays Calc'!$I$2:$I$233,AR196+2)=A196,INDEX('Holidays Calc'!$K$2:$K$233,AR196+2),""))</f>
        <v/>
      </c>
      <c r="Z196" t="str">
        <f ca="1">IF(AR196="","",IF(INDEX('Holidays Calc'!$I$2:$I$233,AR196+3)=A196,INDEX('Holidays Calc'!$K$2:$K$2333,AR196+3),""))</f>
        <v/>
      </c>
      <c r="AA196" t="str">
        <f>IF(I196="Last day of Bhisma Pancaka","",IF(G196="*",-0.7,IF(ISBLANK(INDEX(GCalXMLT[dclass1],$D196)),"",INDEX(GCalXMLT[dclass1],$D196))))</f>
        <v/>
      </c>
      <c r="AB196" t="str">
        <f>IF(J196="First day of Bhisma Pancaka","",IF(AND(G196="*",NOT(ISERROR(SEARCH("ekadasi",J196)))),-0.7,IF(ISBLANK(INDEX(GCalXMLT[dclass2],$D196)),"",INDEX(GCalXMLT[dclass2],$D196))))</f>
        <v/>
      </c>
      <c r="AC196" t="str">
        <f>IF(I196="Nandotsava",-1,IF(ISBLANK(INDEX(GCalXMLT[dclass3],$D196)),"",INDEX(GCalXMLT[dclass3],$D196)))</f>
        <v/>
      </c>
      <c r="AD196" t="str">
        <f>IF(I196="Nandotsava",IF(ISBLANK(INDEX(GCalXMLT[dclass3],$D196)),"",INDEX(GCalXMLT[dclass3],$D196)),IF(ISBLANK(INDEX(GCalXMLT[dclass4],$D196)),"",INDEX(GCalXMLT[dclass4],$D196)))</f>
        <v/>
      </c>
      <c r="AE196" t="str">
        <f>IFERROR(INDEX(Festivals!$V$2:$V$160,AP196),"")</f>
        <v/>
      </c>
      <c r="AF196" t="str">
        <f>IFERROR(IF($AQ196&gt;1,INDEX(Festivals!$V$2:$V$160,$AP196+1),""),"")</f>
        <v/>
      </c>
      <c r="AG196" t="str">
        <f>IFERROR(IF($AQ196&gt;2,INDEX(Festivals!$V$2:$V$160,$AP196+2),""),"")</f>
        <v/>
      </c>
      <c r="AH196" t="str">
        <f>IFERROR(IF($AQ196&gt;3,INDEX(Festivals!$V$2:$V$160,$AP196+3),""),"")</f>
        <v/>
      </c>
      <c r="AI196" t="str">
        <f>IFERROR(IF($AQ196&gt;4,INDEX(Festivals!$V$2:$V$160,$AP196+4),""),"")</f>
        <v/>
      </c>
      <c r="AJ196" t="str">
        <f>IFERROR(IF($AQ196&gt;5,INDEX(Festivals!$V$2:$V$160,$AP196+5),""),"")</f>
        <v/>
      </c>
      <c r="AK196" t="str">
        <f>IFERROR(IF($AQ196&gt;6,INDEX(Festivals!$V$2:$V$160,$AP196+6),""),"")</f>
        <v/>
      </c>
      <c r="AL196" t="str">
        <f ca="1">IFERROR(INDEX('Holidays Calc'!$J$2:$J$233,MATCH(A196,'Holidays Calc'!$I$2:$I$233,0)),"")</f>
        <v/>
      </c>
      <c r="AM196" t="str">
        <f ca="1">IF(AR196="","",IF(INDEX('Holidays Calc'!$I$2:$I$233,AR196+1)=A196,INDEX('Holidays Calc'!$J$2:$J$233,AR196+1),""))</f>
        <v/>
      </c>
      <c r="AN196" t="str">
        <f ca="1">IF(AR196="","",IF(INDEX('Holidays Calc'!$I$2:$I$233,AR196+2)=A196,INDEX('Holidays Calc'!$J$2:$J$233,AR196+2),""))</f>
        <v/>
      </c>
      <c r="AO196" t="str">
        <f ca="1">IF(AR196="","",IF(INDEX('Holidays Calc'!$I$2:$I$233,AR196+3)=A196,INDEX('Holidays Calc'!$J$2:$J$233,AR196+3),""))</f>
        <v/>
      </c>
      <c r="AP196" t="str">
        <f>IFERROR(IF($E196=E195,"",MATCH($E196,Festivals!$H$2:$H$160,0)),"")</f>
        <v/>
      </c>
      <c r="AQ196" t="str">
        <f>IF(AP196="","",COUNTIF(Festivals!$H$2:$H$160,$E196))</f>
        <v/>
      </c>
      <c r="AR196" t="str">
        <f ca="1">IFERROR(MATCH(A196,'Holidays Calc'!$I$2:$I$233,0),"")</f>
        <v/>
      </c>
      <c r="AS196" t="str">
        <f t="shared" si="25"/>
        <v/>
      </c>
      <c r="AT196" t="str">
        <f t="shared" si="24"/>
        <v/>
      </c>
      <c r="AU196" t="str">
        <f t="shared" ca="1" si="26"/>
        <v/>
      </c>
      <c r="AV196" t="str">
        <f t="shared" ca="1" si="27"/>
        <v/>
      </c>
    </row>
    <row r="197" spans="1:48" x14ac:dyDescent="0.25">
      <c r="A197" s="265">
        <f t="shared" si="23"/>
        <v>43623</v>
      </c>
      <c r="B197" s="265" t="str">
        <f t="shared" si="21"/>
        <v>7 Jun 2019</v>
      </c>
      <c r="C197" s="267">
        <f t="shared" si="22"/>
        <v>23</v>
      </c>
      <c r="D197">
        <f>MATCH(A197,GCalXMLT[daydate],0)</f>
        <v>196</v>
      </c>
      <c r="E197">
        <f>VALUE("1" &amp; Masacod(INDEX(GCalXMLT[gymasa],D197)) &amp; PaksaCod(INDEX(GCalXMLT[mpaksaid],D197)) &amp; TithiCod(INDEX(GCalXMLT[stithiname],D197)))</f>
        <v>103105</v>
      </c>
      <c r="F197" t="str">
        <f ca="1">INDEX(Parameters!$K$2:$K$16,MATCH(AV197,Parameters!$L$2:$L$16,0))</f>
        <v/>
      </c>
      <c r="G197">
        <f>INDEX(GCalXMLT[fastmark],$D197)</f>
        <v>0</v>
      </c>
      <c r="H197" t="str">
        <f ca="1">INDEX(Parameters!$J$2:$J$16,MATCH(AV197,Parameters!$L$2:$L$16,0))</f>
        <v/>
      </c>
      <c r="I197">
        <f>INDEX(GCalXMLT[dfestival1],$D197)</f>
        <v>0</v>
      </c>
      <c r="J197">
        <f>IF(INDEX(GCalXMLT[dfestival2],$D197)="(Fast today)",INDEX(Festivals!$R$2:$R$180,MATCH($I197,Festivals!$R$2:$R$180,0)+1),INDEX(GCalXMLT[dfestival2],$D197))</f>
        <v>0</v>
      </c>
      <c r="K197">
        <f>IF(I197="Nandotsava","(Fast till noon)",INDEX(GCalXMLT[dfestival3],$D197))</f>
        <v>0</v>
      </c>
      <c r="L197">
        <f>IF(I197="Nandotsava", INDEX(GCalXMLT[dfestival3],$D197),INDEX(GCalXMLT[dfestival4],$D197))</f>
        <v>0</v>
      </c>
      <c r="M197" t="str">
        <f>IFERROR(INDEX(Festivals!$S$2:$S$160,AP197),"")</f>
        <v/>
      </c>
      <c r="N197" t="str">
        <f>IFERROR(IF($AQ197&gt;1,INDEX(Festivals!$S$2:$S$160,$AP197+1),""),"")</f>
        <v/>
      </c>
      <c r="O197" t="str">
        <f>IFERROR(IF($AQ197&gt;2,INDEX(Festivals!$S$2:$S$160,$AP197+2),""),"")</f>
        <v/>
      </c>
      <c r="P197" t="str">
        <f>IFERROR(IF($AQ197&gt;3,INDEX(Festivals!$S$2:$S$160,$AP197+3),""),"")</f>
        <v/>
      </c>
      <c r="Q197" t="str">
        <f>IFERROR(IF($AQ197&gt;4,INDEX(Festivals!$S$2:$S$160,$AP197+4),""),"")</f>
        <v/>
      </c>
      <c r="R197" t="str">
        <f>IFERROR(IF($AQ197&gt;5,INDEX(Festivals!$S$2:$S$160,$AP197+5),""),"")</f>
        <v/>
      </c>
      <c r="S197" t="str">
        <f>IFERROR(IF($AQ197&gt;6,INDEX(Festivals!$S$2:$S$160,$AP197+6),""),"")</f>
        <v/>
      </c>
      <c r="T197">
        <f>INDEX(GCalXMLT[dcaturmasya1],$D197)</f>
        <v>0</v>
      </c>
      <c r="U197">
        <f>INDEX(GCalXMLT[dcaturmasya2],$D197)</f>
        <v>0</v>
      </c>
      <c r="V197" t="str">
        <f>INDEX(GCalXMLT[sankrantirasi],$D197) &amp; " " &amp; INDEX(GCalXMLT[sankrantitime],$D197)</f>
        <v xml:space="preserve"> </v>
      </c>
      <c r="W197" t="str">
        <f ca="1">IFERROR(INDEX('Holidays Calc'!$K$2:$K$233,AR197),"")</f>
        <v/>
      </c>
      <c r="X197" t="str">
        <f ca="1">IF(AR197="","",IF(INDEX('Holidays Calc'!$I$2:$I$233,AR197+1)=A197,INDEX('Holidays Calc'!$K$2:$K$233,AR197+1),""))</f>
        <v/>
      </c>
      <c r="Y197" t="str">
        <f ca="1">IF(AR197="","",IF(INDEX('Holidays Calc'!$I$2:$I$233,AR197+2)=A197,INDEX('Holidays Calc'!$K$2:$K$233,AR197+2),""))</f>
        <v/>
      </c>
      <c r="Z197" t="str">
        <f ca="1">IF(AR197="","",IF(INDEX('Holidays Calc'!$I$2:$I$233,AR197+3)=A197,INDEX('Holidays Calc'!$K$2:$K$2333,AR197+3),""))</f>
        <v/>
      </c>
      <c r="AA197" t="str">
        <f>IF(I197="Last day of Bhisma Pancaka","",IF(G197="*",-0.7,IF(ISBLANK(INDEX(GCalXMLT[dclass1],$D197)),"",INDEX(GCalXMLT[dclass1],$D197))))</f>
        <v/>
      </c>
      <c r="AB197" t="str">
        <f>IF(J197="First day of Bhisma Pancaka","",IF(AND(G197="*",NOT(ISERROR(SEARCH("ekadasi",J197)))),-0.7,IF(ISBLANK(INDEX(GCalXMLT[dclass2],$D197)),"",INDEX(GCalXMLT[dclass2],$D197))))</f>
        <v/>
      </c>
      <c r="AC197" t="str">
        <f>IF(I197="Nandotsava",-1,IF(ISBLANK(INDEX(GCalXMLT[dclass3],$D197)),"",INDEX(GCalXMLT[dclass3],$D197)))</f>
        <v/>
      </c>
      <c r="AD197" t="str">
        <f>IF(I197="Nandotsava",IF(ISBLANK(INDEX(GCalXMLT[dclass3],$D197)),"",INDEX(GCalXMLT[dclass3],$D197)),IF(ISBLANK(INDEX(GCalXMLT[dclass4],$D197)),"",INDEX(GCalXMLT[dclass4],$D197)))</f>
        <v/>
      </c>
      <c r="AE197" t="str">
        <f>IFERROR(INDEX(Festivals!$V$2:$V$160,AP197),"")</f>
        <v/>
      </c>
      <c r="AF197" t="str">
        <f>IFERROR(IF($AQ197&gt;1,INDEX(Festivals!$V$2:$V$160,$AP197+1),""),"")</f>
        <v/>
      </c>
      <c r="AG197" t="str">
        <f>IFERROR(IF($AQ197&gt;2,INDEX(Festivals!$V$2:$V$160,$AP197+2),""),"")</f>
        <v/>
      </c>
      <c r="AH197" t="str">
        <f>IFERROR(IF($AQ197&gt;3,INDEX(Festivals!$V$2:$V$160,$AP197+3),""),"")</f>
        <v/>
      </c>
      <c r="AI197" t="str">
        <f>IFERROR(IF($AQ197&gt;4,INDEX(Festivals!$V$2:$V$160,$AP197+4),""),"")</f>
        <v/>
      </c>
      <c r="AJ197" t="str">
        <f>IFERROR(IF($AQ197&gt;5,INDEX(Festivals!$V$2:$V$160,$AP197+5),""),"")</f>
        <v/>
      </c>
      <c r="AK197" t="str">
        <f>IFERROR(IF($AQ197&gt;6,INDEX(Festivals!$V$2:$V$160,$AP197+6),""),"")</f>
        <v/>
      </c>
      <c r="AL197" t="str">
        <f ca="1">IFERROR(INDEX('Holidays Calc'!$J$2:$J$233,MATCH(A197,'Holidays Calc'!$I$2:$I$233,0)),"")</f>
        <v/>
      </c>
      <c r="AM197" t="str">
        <f ca="1">IF(AR197="","",IF(INDEX('Holidays Calc'!$I$2:$I$233,AR197+1)=A197,INDEX('Holidays Calc'!$J$2:$J$233,AR197+1),""))</f>
        <v/>
      </c>
      <c r="AN197" t="str">
        <f ca="1">IF(AR197="","",IF(INDEX('Holidays Calc'!$I$2:$I$233,AR197+2)=A197,INDEX('Holidays Calc'!$J$2:$J$233,AR197+2),""))</f>
        <v/>
      </c>
      <c r="AO197" t="str">
        <f ca="1">IF(AR197="","",IF(INDEX('Holidays Calc'!$I$2:$I$233,AR197+3)=A197,INDEX('Holidays Calc'!$J$2:$J$233,AR197+3),""))</f>
        <v/>
      </c>
      <c r="AP197" t="str">
        <f>IFERROR(IF($E197=E196,"",MATCH($E197,Festivals!$H$2:$H$160,0)),"")</f>
        <v/>
      </c>
      <c r="AQ197" t="str">
        <f>IF(AP197="","",COUNTIF(Festivals!$H$2:$H$160,$E197))</f>
        <v/>
      </c>
      <c r="AR197" t="str">
        <f ca="1">IFERROR(MATCH(A197,'Holidays Calc'!$I$2:$I$233,0),"")</f>
        <v/>
      </c>
      <c r="AS197" t="str">
        <f t="shared" si="25"/>
        <v/>
      </c>
      <c r="AT197" t="str">
        <f t="shared" si="24"/>
        <v/>
      </c>
      <c r="AU197" t="str">
        <f t="shared" ca="1" si="26"/>
        <v/>
      </c>
      <c r="AV197" t="str">
        <f t="shared" ca="1" si="27"/>
        <v/>
      </c>
    </row>
    <row r="198" spans="1:48" x14ac:dyDescent="0.25">
      <c r="A198" s="265">
        <f t="shared" si="23"/>
        <v>43624</v>
      </c>
      <c r="B198" s="265" t="str">
        <f t="shared" si="21"/>
        <v>8 Jun 2019</v>
      </c>
      <c r="C198" s="267">
        <f t="shared" si="22"/>
        <v>23</v>
      </c>
      <c r="D198">
        <f>MATCH(A198,GCalXMLT[daydate],0)</f>
        <v>197</v>
      </c>
      <c r="E198">
        <f>VALUE("1" &amp; Masacod(INDEX(GCalXMLT[gymasa],D198)) &amp; PaksaCod(INDEX(GCalXMLT[mpaksaid],D198)) &amp; TithiCod(INDEX(GCalXMLT[stithiname],D198)))</f>
        <v>103106</v>
      </c>
      <c r="F198" t="str">
        <f ca="1">INDEX(Parameters!$K$2:$K$16,MATCH(AV198,Parameters!$L$2:$L$16,0))</f>
        <v/>
      </c>
      <c r="G198">
        <f>INDEX(GCalXMLT[fastmark],$D198)</f>
        <v>0</v>
      </c>
      <c r="H198" t="str">
        <f ca="1">INDEX(Parameters!$J$2:$J$16,MATCH(AV198,Parameters!$L$2:$L$16,0))</f>
        <v/>
      </c>
      <c r="I198">
        <f>INDEX(GCalXMLT[dfestival1],$D198)</f>
        <v>0</v>
      </c>
      <c r="J198">
        <f>IF(INDEX(GCalXMLT[dfestival2],$D198)="(Fast today)",INDEX(Festivals!$R$2:$R$180,MATCH($I198,Festivals!$R$2:$R$180,0)+1),INDEX(GCalXMLT[dfestival2],$D198))</f>
        <v>0</v>
      </c>
      <c r="K198">
        <f>IF(I198="Nandotsava","(Fast till noon)",INDEX(GCalXMLT[dfestival3],$D198))</f>
        <v>0</v>
      </c>
      <c r="L198">
        <f>IF(I198="Nandotsava", INDEX(GCalXMLT[dfestival3],$D198),INDEX(GCalXMLT[dfestival4],$D198))</f>
        <v>0</v>
      </c>
      <c r="M198" t="str">
        <f>IFERROR(INDEX(Festivals!$S$2:$S$160,AP198),"")</f>
        <v/>
      </c>
      <c r="N198" t="str">
        <f>IFERROR(IF($AQ198&gt;1,INDEX(Festivals!$S$2:$S$160,$AP198+1),""),"")</f>
        <v/>
      </c>
      <c r="O198" t="str">
        <f>IFERROR(IF($AQ198&gt;2,INDEX(Festivals!$S$2:$S$160,$AP198+2),""),"")</f>
        <v/>
      </c>
      <c r="P198" t="str">
        <f>IFERROR(IF($AQ198&gt;3,INDEX(Festivals!$S$2:$S$160,$AP198+3),""),"")</f>
        <v/>
      </c>
      <c r="Q198" t="str">
        <f>IFERROR(IF($AQ198&gt;4,INDEX(Festivals!$S$2:$S$160,$AP198+4),""),"")</f>
        <v/>
      </c>
      <c r="R198" t="str">
        <f>IFERROR(IF($AQ198&gt;5,INDEX(Festivals!$S$2:$S$160,$AP198+5),""),"")</f>
        <v/>
      </c>
      <c r="S198" t="str">
        <f>IFERROR(IF($AQ198&gt;6,INDEX(Festivals!$S$2:$S$160,$AP198+6),""),"")</f>
        <v/>
      </c>
      <c r="T198">
        <f>INDEX(GCalXMLT[dcaturmasya1],$D198)</f>
        <v>0</v>
      </c>
      <c r="U198">
        <f>INDEX(GCalXMLT[dcaturmasya2],$D198)</f>
        <v>0</v>
      </c>
      <c r="V198" t="str">
        <f>INDEX(GCalXMLT[sankrantirasi],$D198) &amp; " " &amp; INDEX(GCalXMLT[sankrantitime],$D198)</f>
        <v xml:space="preserve"> </v>
      </c>
      <c r="W198" t="str">
        <f ca="1">IFERROR(INDEX('Holidays Calc'!$K$2:$K$233,AR198),"")</f>
        <v/>
      </c>
      <c r="X198" t="str">
        <f ca="1">IF(AR198="","",IF(INDEX('Holidays Calc'!$I$2:$I$233,AR198+1)=A198,INDEX('Holidays Calc'!$K$2:$K$233,AR198+1),""))</f>
        <v/>
      </c>
      <c r="Y198" t="str">
        <f ca="1">IF(AR198="","",IF(INDEX('Holidays Calc'!$I$2:$I$233,AR198+2)=A198,INDEX('Holidays Calc'!$K$2:$K$233,AR198+2),""))</f>
        <v/>
      </c>
      <c r="Z198" t="str">
        <f ca="1">IF(AR198="","",IF(INDEX('Holidays Calc'!$I$2:$I$233,AR198+3)=A198,INDEX('Holidays Calc'!$K$2:$K$2333,AR198+3),""))</f>
        <v/>
      </c>
      <c r="AA198" t="str">
        <f>IF(I198="Last day of Bhisma Pancaka","",IF(G198="*",-0.7,IF(ISBLANK(INDEX(GCalXMLT[dclass1],$D198)),"",INDEX(GCalXMLT[dclass1],$D198))))</f>
        <v/>
      </c>
      <c r="AB198" t="str">
        <f>IF(J198="First day of Bhisma Pancaka","",IF(AND(G198="*",NOT(ISERROR(SEARCH("ekadasi",J198)))),-0.7,IF(ISBLANK(INDEX(GCalXMLT[dclass2],$D198)),"",INDEX(GCalXMLT[dclass2],$D198))))</f>
        <v/>
      </c>
      <c r="AC198" t="str">
        <f>IF(I198="Nandotsava",-1,IF(ISBLANK(INDEX(GCalXMLT[dclass3],$D198)),"",INDEX(GCalXMLT[dclass3],$D198)))</f>
        <v/>
      </c>
      <c r="AD198" t="str">
        <f>IF(I198="Nandotsava",IF(ISBLANK(INDEX(GCalXMLT[dclass3],$D198)),"",INDEX(GCalXMLT[dclass3],$D198)),IF(ISBLANK(INDEX(GCalXMLT[dclass4],$D198)),"",INDEX(GCalXMLT[dclass4],$D198)))</f>
        <v/>
      </c>
      <c r="AE198" t="str">
        <f>IFERROR(INDEX(Festivals!$V$2:$V$160,AP198),"")</f>
        <v/>
      </c>
      <c r="AF198" t="str">
        <f>IFERROR(IF($AQ198&gt;1,INDEX(Festivals!$V$2:$V$160,$AP198+1),""),"")</f>
        <v/>
      </c>
      <c r="AG198" t="str">
        <f>IFERROR(IF($AQ198&gt;2,INDEX(Festivals!$V$2:$V$160,$AP198+2),""),"")</f>
        <v/>
      </c>
      <c r="AH198" t="str">
        <f>IFERROR(IF($AQ198&gt;3,INDEX(Festivals!$V$2:$V$160,$AP198+3),""),"")</f>
        <v/>
      </c>
      <c r="AI198" t="str">
        <f>IFERROR(IF($AQ198&gt;4,INDEX(Festivals!$V$2:$V$160,$AP198+4),""),"")</f>
        <v/>
      </c>
      <c r="AJ198" t="str">
        <f>IFERROR(IF($AQ198&gt;5,INDEX(Festivals!$V$2:$V$160,$AP198+5),""),"")</f>
        <v/>
      </c>
      <c r="AK198" t="str">
        <f>IFERROR(IF($AQ198&gt;6,INDEX(Festivals!$V$2:$V$160,$AP198+6),""),"")</f>
        <v/>
      </c>
      <c r="AL198" t="str">
        <f ca="1">IFERROR(INDEX('Holidays Calc'!$J$2:$J$233,MATCH(A198,'Holidays Calc'!$I$2:$I$233,0)),"")</f>
        <v/>
      </c>
      <c r="AM198" t="str">
        <f ca="1">IF(AR198="","",IF(INDEX('Holidays Calc'!$I$2:$I$233,AR198+1)=A198,INDEX('Holidays Calc'!$J$2:$J$233,AR198+1),""))</f>
        <v/>
      </c>
      <c r="AN198" t="str">
        <f ca="1">IF(AR198="","",IF(INDEX('Holidays Calc'!$I$2:$I$233,AR198+2)=A198,INDEX('Holidays Calc'!$J$2:$J$233,AR198+2),""))</f>
        <v/>
      </c>
      <c r="AO198" t="str">
        <f ca="1">IF(AR198="","",IF(INDEX('Holidays Calc'!$I$2:$I$233,AR198+3)=A198,INDEX('Holidays Calc'!$J$2:$J$233,AR198+3),""))</f>
        <v/>
      </c>
      <c r="AP198" t="str">
        <f>IFERROR(IF($E198=E197,"",MATCH($E198,Festivals!$H$2:$H$160,0)),"")</f>
        <v/>
      </c>
      <c r="AQ198" t="str">
        <f>IF(AP198="","",COUNTIF(Festivals!$H$2:$H$160,$E198))</f>
        <v/>
      </c>
      <c r="AR198" t="str">
        <f ca="1">IFERROR(MATCH(A198,'Holidays Calc'!$I$2:$I$233,0),"")</f>
        <v/>
      </c>
      <c r="AS198" t="str">
        <f t="shared" si="25"/>
        <v/>
      </c>
      <c r="AT198" t="str">
        <f t="shared" si="24"/>
        <v/>
      </c>
      <c r="AU198" t="str">
        <f t="shared" ca="1" si="26"/>
        <v/>
      </c>
      <c r="AV198" t="str">
        <f t="shared" ca="1" si="27"/>
        <v/>
      </c>
    </row>
    <row r="199" spans="1:48" x14ac:dyDescent="0.25">
      <c r="A199" s="265">
        <f t="shared" si="23"/>
        <v>43625</v>
      </c>
      <c r="B199" s="265" t="str">
        <f t="shared" si="21"/>
        <v>9 Jun 2019</v>
      </c>
      <c r="C199" s="267">
        <f t="shared" si="22"/>
        <v>23</v>
      </c>
      <c r="D199">
        <f>MATCH(A199,GCalXMLT[daydate],0)</f>
        <v>198</v>
      </c>
      <c r="E199">
        <f>VALUE("1" &amp; Masacod(INDEX(GCalXMLT[gymasa],D199)) &amp; PaksaCod(INDEX(GCalXMLT[mpaksaid],D199)) &amp; TithiCod(INDEX(GCalXMLT[stithiname],D199)))</f>
        <v>103107</v>
      </c>
      <c r="F199" t="str">
        <f ca="1">INDEX(Parameters!$K$2:$K$16,MATCH(AV199,Parameters!$L$2:$L$16,0))</f>
        <v/>
      </c>
      <c r="G199">
        <f>INDEX(GCalXMLT[fastmark],$D199)</f>
        <v>0</v>
      </c>
      <c r="H199" t="str">
        <f ca="1">INDEX(Parameters!$J$2:$J$16,MATCH(AV199,Parameters!$L$2:$L$16,0))</f>
        <v/>
      </c>
      <c r="I199">
        <f>INDEX(GCalXMLT[dfestival1],$D199)</f>
        <v>0</v>
      </c>
      <c r="J199">
        <f>IF(INDEX(GCalXMLT[dfestival2],$D199)="(Fast today)",INDEX(Festivals!$R$2:$R$180,MATCH($I199,Festivals!$R$2:$R$180,0)+1),INDEX(GCalXMLT[dfestival2],$D199))</f>
        <v>0</v>
      </c>
      <c r="K199">
        <f>IF(I199="Nandotsava","(Fast till noon)",INDEX(GCalXMLT[dfestival3],$D199))</f>
        <v>0</v>
      </c>
      <c r="L199">
        <f>IF(I199="Nandotsava", INDEX(GCalXMLT[dfestival3],$D199),INDEX(GCalXMLT[dfestival4],$D199))</f>
        <v>0</v>
      </c>
      <c r="M199" t="str">
        <f>IFERROR(INDEX(Festivals!$S$2:$S$160,AP199),"")</f>
        <v/>
      </c>
      <c r="N199" t="str">
        <f>IFERROR(IF($AQ199&gt;1,INDEX(Festivals!$S$2:$S$160,$AP199+1),""),"")</f>
        <v/>
      </c>
      <c r="O199" t="str">
        <f>IFERROR(IF($AQ199&gt;2,INDEX(Festivals!$S$2:$S$160,$AP199+2),""),"")</f>
        <v/>
      </c>
      <c r="P199" t="str">
        <f>IFERROR(IF($AQ199&gt;3,INDEX(Festivals!$S$2:$S$160,$AP199+3),""),"")</f>
        <v/>
      </c>
      <c r="Q199" t="str">
        <f>IFERROR(IF($AQ199&gt;4,INDEX(Festivals!$S$2:$S$160,$AP199+4),""),"")</f>
        <v/>
      </c>
      <c r="R199" t="str">
        <f>IFERROR(IF($AQ199&gt;5,INDEX(Festivals!$S$2:$S$160,$AP199+5),""),"")</f>
        <v/>
      </c>
      <c r="S199" t="str">
        <f>IFERROR(IF($AQ199&gt;6,INDEX(Festivals!$S$2:$S$160,$AP199+6),""),"")</f>
        <v/>
      </c>
      <c r="T199">
        <f>INDEX(GCalXMLT[dcaturmasya1],$D199)</f>
        <v>0</v>
      </c>
      <c r="U199">
        <f>INDEX(GCalXMLT[dcaturmasya2],$D199)</f>
        <v>0</v>
      </c>
      <c r="V199" t="str">
        <f>INDEX(GCalXMLT[sankrantirasi],$D199) &amp; " " &amp; INDEX(GCalXMLT[sankrantitime],$D199)</f>
        <v xml:space="preserve"> </v>
      </c>
      <c r="W199" t="str">
        <f ca="1">IFERROR(INDEX('Holidays Calc'!$K$2:$K$233,AR199),"")</f>
        <v/>
      </c>
      <c r="X199" t="str">
        <f ca="1">IF(AR199="","",IF(INDEX('Holidays Calc'!$I$2:$I$233,AR199+1)=A199,INDEX('Holidays Calc'!$K$2:$K$233,AR199+1),""))</f>
        <v/>
      </c>
      <c r="Y199" t="str">
        <f ca="1">IF(AR199="","",IF(INDEX('Holidays Calc'!$I$2:$I$233,AR199+2)=A199,INDEX('Holidays Calc'!$K$2:$K$233,AR199+2),""))</f>
        <v/>
      </c>
      <c r="Z199" t="str">
        <f ca="1">IF(AR199="","",IF(INDEX('Holidays Calc'!$I$2:$I$233,AR199+3)=A199,INDEX('Holidays Calc'!$K$2:$K$2333,AR199+3),""))</f>
        <v/>
      </c>
      <c r="AA199" t="str">
        <f>IF(I199="Last day of Bhisma Pancaka","",IF(G199="*",-0.7,IF(ISBLANK(INDEX(GCalXMLT[dclass1],$D199)),"",INDEX(GCalXMLT[dclass1],$D199))))</f>
        <v/>
      </c>
      <c r="AB199" t="str">
        <f>IF(J199="First day of Bhisma Pancaka","",IF(AND(G199="*",NOT(ISERROR(SEARCH("ekadasi",J199)))),-0.7,IF(ISBLANK(INDEX(GCalXMLT[dclass2],$D199)),"",INDEX(GCalXMLT[dclass2],$D199))))</f>
        <v/>
      </c>
      <c r="AC199" t="str">
        <f>IF(I199="Nandotsava",-1,IF(ISBLANK(INDEX(GCalXMLT[dclass3],$D199)),"",INDEX(GCalXMLT[dclass3],$D199)))</f>
        <v/>
      </c>
      <c r="AD199" t="str">
        <f>IF(I199="Nandotsava",IF(ISBLANK(INDEX(GCalXMLT[dclass3],$D199)),"",INDEX(GCalXMLT[dclass3],$D199)),IF(ISBLANK(INDEX(GCalXMLT[dclass4],$D199)),"",INDEX(GCalXMLT[dclass4],$D199)))</f>
        <v/>
      </c>
      <c r="AE199" t="str">
        <f>IFERROR(INDEX(Festivals!$V$2:$V$160,AP199),"")</f>
        <v/>
      </c>
      <c r="AF199" t="str">
        <f>IFERROR(IF($AQ199&gt;1,INDEX(Festivals!$V$2:$V$160,$AP199+1),""),"")</f>
        <v/>
      </c>
      <c r="AG199" t="str">
        <f>IFERROR(IF($AQ199&gt;2,INDEX(Festivals!$V$2:$V$160,$AP199+2),""),"")</f>
        <v/>
      </c>
      <c r="AH199" t="str">
        <f>IFERROR(IF($AQ199&gt;3,INDEX(Festivals!$V$2:$V$160,$AP199+3),""),"")</f>
        <v/>
      </c>
      <c r="AI199" t="str">
        <f>IFERROR(IF($AQ199&gt;4,INDEX(Festivals!$V$2:$V$160,$AP199+4),""),"")</f>
        <v/>
      </c>
      <c r="AJ199" t="str">
        <f>IFERROR(IF($AQ199&gt;5,INDEX(Festivals!$V$2:$V$160,$AP199+5),""),"")</f>
        <v/>
      </c>
      <c r="AK199" t="str">
        <f>IFERROR(IF($AQ199&gt;6,INDEX(Festivals!$V$2:$V$160,$AP199+6),""),"")</f>
        <v/>
      </c>
      <c r="AL199" t="str">
        <f ca="1">IFERROR(INDEX('Holidays Calc'!$J$2:$J$233,MATCH(A199,'Holidays Calc'!$I$2:$I$233,0)),"")</f>
        <v/>
      </c>
      <c r="AM199" t="str">
        <f ca="1">IF(AR199="","",IF(INDEX('Holidays Calc'!$I$2:$I$233,AR199+1)=A199,INDEX('Holidays Calc'!$J$2:$J$233,AR199+1),""))</f>
        <v/>
      </c>
      <c r="AN199" t="str">
        <f ca="1">IF(AR199="","",IF(INDEX('Holidays Calc'!$I$2:$I$233,AR199+2)=A199,INDEX('Holidays Calc'!$J$2:$J$233,AR199+2),""))</f>
        <v/>
      </c>
      <c r="AO199" t="str">
        <f ca="1">IF(AR199="","",IF(INDEX('Holidays Calc'!$I$2:$I$233,AR199+3)=A199,INDEX('Holidays Calc'!$J$2:$J$233,AR199+3),""))</f>
        <v/>
      </c>
      <c r="AP199" t="str">
        <f>IFERROR(IF($E199=E198,"",MATCH($E199,Festivals!$H$2:$H$160,0)),"")</f>
        <v/>
      </c>
      <c r="AQ199" t="str">
        <f>IF(AP199="","",COUNTIF(Festivals!$H$2:$H$160,$E199))</f>
        <v/>
      </c>
      <c r="AR199" t="str">
        <f ca="1">IFERROR(MATCH(A199,'Holidays Calc'!$I$2:$I$233,0),"")</f>
        <v/>
      </c>
      <c r="AS199" t="str">
        <f t="shared" si="25"/>
        <v/>
      </c>
      <c r="AT199" t="str">
        <f t="shared" si="24"/>
        <v/>
      </c>
      <c r="AU199" t="str">
        <f t="shared" ca="1" si="26"/>
        <v/>
      </c>
      <c r="AV199" t="str">
        <f t="shared" ca="1" si="27"/>
        <v/>
      </c>
    </row>
    <row r="200" spans="1:48" x14ac:dyDescent="0.25">
      <c r="A200" s="265">
        <f t="shared" si="23"/>
        <v>43626</v>
      </c>
      <c r="B200" s="265" t="str">
        <f t="shared" si="21"/>
        <v>10 Jun 2019</v>
      </c>
      <c r="C200" s="267">
        <f t="shared" si="22"/>
        <v>24</v>
      </c>
      <c r="D200">
        <f>MATCH(A200,GCalXMLT[daydate],0)</f>
        <v>199</v>
      </c>
      <c r="E200">
        <f>VALUE("1" &amp; Masacod(INDEX(GCalXMLT[gymasa],D200)) &amp; PaksaCod(INDEX(GCalXMLT[mpaksaid],D200)) &amp; TithiCod(INDEX(GCalXMLT[stithiname],D200)))</f>
        <v>103108</v>
      </c>
      <c r="F200" t="str">
        <f ca="1">INDEX(Parameters!$K$2:$K$16,MATCH(AV200,Parameters!$L$2:$L$16,0))</f>
        <v/>
      </c>
      <c r="G200">
        <f>INDEX(GCalXMLT[fastmark],$D200)</f>
        <v>0</v>
      </c>
      <c r="H200" t="str">
        <f ca="1">INDEX(Parameters!$J$2:$J$16,MATCH(AV200,Parameters!$L$2:$L$16,0))</f>
        <v/>
      </c>
      <c r="I200">
        <f>INDEX(GCalXMLT[dfestival1],$D200)</f>
        <v>0</v>
      </c>
      <c r="J200">
        <f>IF(INDEX(GCalXMLT[dfestival2],$D200)="(Fast today)",INDEX(Festivals!$R$2:$R$180,MATCH($I200,Festivals!$R$2:$R$180,0)+1),INDEX(GCalXMLT[dfestival2],$D200))</f>
        <v>0</v>
      </c>
      <c r="K200">
        <f>IF(I200="Nandotsava","(Fast till noon)",INDEX(GCalXMLT[dfestival3],$D200))</f>
        <v>0</v>
      </c>
      <c r="L200">
        <f>IF(I200="Nandotsava", INDEX(GCalXMLT[dfestival3],$D200),INDEX(GCalXMLT[dfestival4],$D200))</f>
        <v>0</v>
      </c>
      <c r="M200" t="str">
        <f>IFERROR(INDEX(Festivals!$S$2:$S$160,AP200),"")</f>
        <v/>
      </c>
      <c r="N200" t="str">
        <f>IFERROR(IF($AQ200&gt;1,INDEX(Festivals!$S$2:$S$160,$AP200+1),""),"")</f>
        <v/>
      </c>
      <c r="O200" t="str">
        <f>IFERROR(IF($AQ200&gt;2,INDEX(Festivals!$S$2:$S$160,$AP200+2),""),"")</f>
        <v/>
      </c>
      <c r="P200" t="str">
        <f>IFERROR(IF($AQ200&gt;3,INDEX(Festivals!$S$2:$S$160,$AP200+3),""),"")</f>
        <v/>
      </c>
      <c r="Q200" t="str">
        <f>IFERROR(IF($AQ200&gt;4,INDEX(Festivals!$S$2:$S$160,$AP200+4),""),"")</f>
        <v/>
      </c>
      <c r="R200" t="str">
        <f>IFERROR(IF($AQ200&gt;5,INDEX(Festivals!$S$2:$S$160,$AP200+5),""),"")</f>
        <v/>
      </c>
      <c r="S200" t="str">
        <f>IFERROR(IF($AQ200&gt;6,INDEX(Festivals!$S$2:$S$160,$AP200+6),""),"")</f>
        <v/>
      </c>
      <c r="T200">
        <f>INDEX(GCalXMLT[dcaturmasya1],$D200)</f>
        <v>0</v>
      </c>
      <c r="U200">
        <f>INDEX(GCalXMLT[dcaturmasya2],$D200)</f>
        <v>0</v>
      </c>
      <c r="V200" t="str">
        <f>INDEX(GCalXMLT[sankrantirasi],$D200) &amp; " " &amp; INDEX(GCalXMLT[sankrantitime],$D200)</f>
        <v xml:space="preserve"> </v>
      </c>
      <c r="W200" t="str">
        <f ca="1">IFERROR(INDEX('Holidays Calc'!$K$2:$K$233,AR200),"")</f>
        <v/>
      </c>
      <c r="X200" t="str">
        <f ca="1">IF(AR200="","",IF(INDEX('Holidays Calc'!$I$2:$I$233,AR200+1)=A200,INDEX('Holidays Calc'!$K$2:$K$233,AR200+1),""))</f>
        <v/>
      </c>
      <c r="Y200" t="str">
        <f ca="1">IF(AR200="","",IF(INDEX('Holidays Calc'!$I$2:$I$233,AR200+2)=A200,INDEX('Holidays Calc'!$K$2:$K$233,AR200+2),""))</f>
        <v/>
      </c>
      <c r="Z200" t="str">
        <f ca="1">IF(AR200="","",IF(INDEX('Holidays Calc'!$I$2:$I$233,AR200+3)=A200,INDEX('Holidays Calc'!$K$2:$K$2333,AR200+3),""))</f>
        <v/>
      </c>
      <c r="AA200" t="str">
        <f>IF(I200="Last day of Bhisma Pancaka","",IF(G200="*",-0.7,IF(ISBLANK(INDEX(GCalXMLT[dclass1],$D200)),"",INDEX(GCalXMLT[dclass1],$D200))))</f>
        <v/>
      </c>
      <c r="AB200" t="str">
        <f>IF(J200="First day of Bhisma Pancaka","",IF(AND(G200="*",NOT(ISERROR(SEARCH("ekadasi",J200)))),-0.7,IF(ISBLANK(INDEX(GCalXMLT[dclass2],$D200)),"",INDEX(GCalXMLT[dclass2],$D200))))</f>
        <v/>
      </c>
      <c r="AC200" t="str">
        <f>IF(I200="Nandotsava",-1,IF(ISBLANK(INDEX(GCalXMLT[dclass3],$D200)),"",INDEX(GCalXMLT[dclass3],$D200)))</f>
        <v/>
      </c>
      <c r="AD200" t="str">
        <f>IF(I200="Nandotsava",IF(ISBLANK(INDEX(GCalXMLT[dclass3],$D200)),"",INDEX(GCalXMLT[dclass3],$D200)),IF(ISBLANK(INDEX(GCalXMLT[dclass4],$D200)),"",INDEX(GCalXMLT[dclass4],$D200)))</f>
        <v/>
      </c>
      <c r="AE200" t="str">
        <f>IFERROR(INDEX(Festivals!$V$2:$V$160,AP200),"")</f>
        <v/>
      </c>
      <c r="AF200" t="str">
        <f>IFERROR(IF($AQ200&gt;1,INDEX(Festivals!$V$2:$V$160,$AP200+1),""),"")</f>
        <v/>
      </c>
      <c r="AG200" t="str">
        <f>IFERROR(IF($AQ200&gt;2,INDEX(Festivals!$V$2:$V$160,$AP200+2),""),"")</f>
        <v/>
      </c>
      <c r="AH200" t="str">
        <f>IFERROR(IF($AQ200&gt;3,INDEX(Festivals!$V$2:$V$160,$AP200+3),""),"")</f>
        <v/>
      </c>
      <c r="AI200" t="str">
        <f>IFERROR(IF($AQ200&gt;4,INDEX(Festivals!$V$2:$V$160,$AP200+4),""),"")</f>
        <v/>
      </c>
      <c r="AJ200" t="str">
        <f>IFERROR(IF($AQ200&gt;5,INDEX(Festivals!$V$2:$V$160,$AP200+5),""),"")</f>
        <v/>
      </c>
      <c r="AK200" t="str">
        <f>IFERROR(IF($AQ200&gt;6,INDEX(Festivals!$V$2:$V$160,$AP200+6),""),"")</f>
        <v/>
      </c>
      <c r="AL200" t="str">
        <f ca="1">IFERROR(INDEX('Holidays Calc'!$J$2:$J$233,MATCH(A200,'Holidays Calc'!$I$2:$I$233,0)),"")</f>
        <v/>
      </c>
      <c r="AM200" t="str">
        <f ca="1">IF(AR200="","",IF(INDEX('Holidays Calc'!$I$2:$I$233,AR200+1)=A200,INDEX('Holidays Calc'!$J$2:$J$233,AR200+1),""))</f>
        <v/>
      </c>
      <c r="AN200" t="str">
        <f ca="1">IF(AR200="","",IF(INDEX('Holidays Calc'!$I$2:$I$233,AR200+2)=A200,INDEX('Holidays Calc'!$J$2:$J$233,AR200+2),""))</f>
        <v/>
      </c>
      <c r="AO200" t="str">
        <f ca="1">IF(AR200="","",IF(INDEX('Holidays Calc'!$I$2:$I$233,AR200+3)=A200,INDEX('Holidays Calc'!$J$2:$J$233,AR200+3),""))</f>
        <v/>
      </c>
      <c r="AP200" t="str">
        <f>IFERROR(IF($E200=E199,"",MATCH($E200,Festivals!$H$2:$H$160,0)),"")</f>
        <v/>
      </c>
      <c r="AQ200" t="str">
        <f>IF(AP200="","",COUNTIF(Festivals!$H$2:$H$160,$E200))</f>
        <v/>
      </c>
      <c r="AR200" t="str">
        <f ca="1">IFERROR(MATCH(A200,'Holidays Calc'!$I$2:$I$233,0),"")</f>
        <v/>
      </c>
      <c r="AS200" t="str">
        <f t="shared" si="25"/>
        <v/>
      </c>
      <c r="AT200" t="str">
        <f t="shared" si="24"/>
        <v/>
      </c>
      <c r="AU200" t="str">
        <f t="shared" ca="1" si="26"/>
        <v/>
      </c>
      <c r="AV200" t="str">
        <f t="shared" ca="1" si="27"/>
        <v/>
      </c>
    </row>
    <row r="201" spans="1:48" x14ac:dyDescent="0.25">
      <c r="A201" s="265">
        <f t="shared" si="23"/>
        <v>43627</v>
      </c>
      <c r="B201" s="265" t="str">
        <f t="shared" si="21"/>
        <v>11 Jun 2019</v>
      </c>
      <c r="C201" s="267">
        <f t="shared" si="22"/>
        <v>24</v>
      </c>
      <c r="D201">
        <f>MATCH(A201,GCalXMLT[daydate],0)</f>
        <v>200</v>
      </c>
      <c r="E201">
        <f>VALUE("1" &amp; Masacod(INDEX(GCalXMLT[gymasa],D201)) &amp; PaksaCod(INDEX(GCalXMLT[mpaksaid],D201)) &amp; TithiCod(INDEX(GCalXMLT[stithiname],D201)))</f>
        <v>103109</v>
      </c>
      <c r="F201" t="str">
        <f ca="1">INDEX(Parameters!$K$2:$K$16,MATCH(AV201,Parameters!$L$2:$L$16,0))</f>
        <v/>
      </c>
      <c r="G201">
        <f>INDEX(GCalXMLT[fastmark],$D201)</f>
        <v>0</v>
      </c>
      <c r="H201" t="str">
        <f ca="1">INDEX(Parameters!$J$2:$J$16,MATCH(AV201,Parameters!$L$2:$L$16,0))</f>
        <v/>
      </c>
      <c r="I201">
        <f>INDEX(GCalXMLT[dfestival1],$D201)</f>
        <v>0</v>
      </c>
      <c r="J201">
        <f>IF(INDEX(GCalXMLT[dfestival2],$D201)="(Fast today)",INDEX(Festivals!$R$2:$R$180,MATCH($I201,Festivals!$R$2:$R$180,0)+1),INDEX(GCalXMLT[dfestival2],$D201))</f>
        <v>0</v>
      </c>
      <c r="K201">
        <f>IF(I201="Nandotsava","(Fast till noon)",INDEX(GCalXMLT[dfestival3],$D201))</f>
        <v>0</v>
      </c>
      <c r="L201">
        <f>IF(I201="Nandotsava", INDEX(GCalXMLT[dfestival3],$D201),INDEX(GCalXMLT[dfestival4],$D201))</f>
        <v>0</v>
      </c>
      <c r="M201" t="str">
        <f>IFERROR(INDEX(Festivals!$S$2:$S$160,AP201),"")</f>
        <v/>
      </c>
      <c r="N201" t="str">
        <f>IFERROR(IF($AQ201&gt;1,INDEX(Festivals!$S$2:$S$160,$AP201+1),""),"")</f>
        <v/>
      </c>
      <c r="O201" t="str">
        <f>IFERROR(IF($AQ201&gt;2,INDEX(Festivals!$S$2:$S$160,$AP201+2),""),"")</f>
        <v/>
      </c>
      <c r="P201" t="str">
        <f>IFERROR(IF($AQ201&gt;3,INDEX(Festivals!$S$2:$S$160,$AP201+3),""),"")</f>
        <v/>
      </c>
      <c r="Q201" t="str">
        <f>IFERROR(IF($AQ201&gt;4,INDEX(Festivals!$S$2:$S$160,$AP201+4),""),"")</f>
        <v/>
      </c>
      <c r="R201" t="str">
        <f>IFERROR(IF($AQ201&gt;5,INDEX(Festivals!$S$2:$S$160,$AP201+5),""),"")</f>
        <v/>
      </c>
      <c r="S201" t="str">
        <f>IFERROR(IF($AQ201&gt;6,INDEX(Festivals!$S$2:$S$160,$AP201+6),""),"")</f>
        <v/>
      </c>
      <c r="T201">
        <f>INDEX(GCalXMLT[dcaturmasya1],$D201)</f>
        <v>0</v>
      </c>
      <c r="U201">
        <f>INDEX(GCalXMLT[dcaturmasya2],$D201)</f>
        <v>0</v>
      </c>
      <c r="V201" t="str">
        <f>INDEX(GCalXMLT[sankrantirasi],$D201) &amp; " " &amp; INDEX(GCalXMLT[sankrantitime],$D201)</f>
        <v xml:space="preserve"> </v>
      </c>
      <c r="W201" t="str">
        <f ca="1">IFERROR(INDEX('Holidays Calc'!$K$2:$K$233,AR201),"")</f>
        <v/>
      </c>
      <c r="X201" t="str">
        <f ca="1">IF(AR201="","",IF(INDEX('Holidays Calc'!$I$2:$I$233,AR201+1)=A201,INDEX('Holidays Calc'!$K$2:$K$233,AR201+1),""))</f>
        <v/>
      </c>
      <c r="Y201" t="str">
        <f ca="1">IF(AR201="","",IF(INDEX('Holidays Calc'!$I$2:$I$233,AR201+2)=A201,INDEX('Holidays Calc'!$K$2:$K$233,AR201+2),""))</f>
        <v/>
      </c>
      <c r="Z201" t="str">
        <f ca="1">IF(AR201="","",IF(INDEX('Holidays Calc'!$I$2:$I$233,AR201+3)=A201,INDEX('Holidays Calc'!$K$2:$K$2333,AR201+3),""))</f>
        <v/>
      </c>
      <c r="AA201" t="str">
        <f>IF(I201="Last day of Bhisma Pancaka","",IF(G201="*",-0.7,IF(ISBLANK(INDEX(GCalXMLT[dclass1],$D201)),"",INDEX(GCalXMLT[dclass1],$D201))))</f>
        <v/>
      </c>
      <c r="AB201" t="str">
        <f>IF(J201="First day of Bhisma Pancaka","",IF(AND(G201="*",NOT(ISERROR(SEARCH("ekadasi",J201)))),-0.7,IF(ISBLANK(INDEX(GCalXMLT[dclass2],$D201)),"",INDEX(GCalXMLT[dclass2],$D201))))</f>
        <v/>
      </c>
      <c r="AC201" t="str">
        <f>IF(I201="Nandotsava",-1,IF(ISBLANK(INDEX(GCalXMLT[dclass3],$D201)),"",INDEX(GCalXMLT[dclass3],$D201)))</f>
        <v/>
      </c>
      <c r="AD201" t="str">
        <f>IF(I201="Nandotsava",IF(ISBLANK(INDEX(GCalXMLT[dclass3],$D201)),"",INDEX(GCalXMLT[dclass3],$D201)),IF(ISBLANK(INDEX(GCalXMLT[dclass4],$D201)),"",INDEX(GCalXMLT[dclass4],$D201)))</f>
        <v/>
      </c>
      <c r="AE201" t="str">
        <f>IFERROR(INDEX(Festivals!$V$2:$V$160,AP201),"")</f>
        <v/>
      </c>
      <c r="AF201" t="str">
        <f>IFERROR(IF($AQ201&gt;1,INDEX(Festivals!$V$2:$V$160,$AP201+1),""),"")</f>
        <v/>
      </c>
      <c r="AG201" t="str">
        <f>IFERROR(IF($AQ201&gt;2,INDEX(Festivals!$V$2:$V$160,$AP201+2),""),"")</f>
        <v/>
      </c>
      <c r="AH201" t="str">
        <f>IFERROR(IF($AQ201&gt;3,INDEX(Festivals!$V$2:$V$160,$AP201+3),""),"")</f>
        <v/>
      </c>
      <c r="AI201" t="str">
        <f>IFERROR(IF($AQ201&gt;4,INDEX(Festivals!$V$2:$V$160,$AP201+4),""),"")</f>
        <v/>
      </c>
      <c r="AJ201" t="str">
        <f>IFERROR(IF($AQ201&gt;5,INDEX(Festivals!$V$2:$V$160,$AP201+5),""),"")</f>
        <v/>
      </c>
      <c r="AK201" t="str">
        <f>IFERROR(IF($AQ201&gt;6,INDEX(Festivals!$V$2:$V$160,$AP201+6),""),"")</f>
        <v/>
      </c>
      <c r="AL201" t="str">
        <f ca="1">IFERROR(INDEX('Holidays Calc'!$J$2:$J$233,MATCH(A201,'Holidays Calc'!$I$2:$I$233,0)),"")</f>
        <v/>
      </c>
      <c r="AM201" t="str">
        <f ca="1">IF(AR201="","",IF(INDEX('Holidays Calc'!$I$2:$I$233,AR201+1)=A201,INDEX('Holidays Calc'!$J$2:$J$233,AR201+1),""))</f>
        <v/>
      </c>
      <c r="AN201" t="str">
        <f ca="1">IF(AR201="","",IF(INDEX('Holidays Calc'!$I$2:$I$233,AR201+2)=A201,INDEX('Holidays Calc'!$J$2:$J$233,AR201+2),""))</f>
        <v/>
      </c>
      <c r="AO201" t="str">
        <f ca="1">IF(AR201="","",IF(INDEX('Holidays Calc'!$I$2:$I$233,AR201+3)=A201,INDEX('Holidays Calc'!$J$2:$J$233,AR201+3),""))</f>
        <v/>
      </c>
      <c r="AP201" t="str">
        <f>IFERROR(IF($E201=E200,"",MATCH($E201,Festivals!$H$2:$H$160,0)),"")</f>
        <v/>
      </c>
      <c r="AQ201" t="str">
        <f>IF(AP201="","",COUNTIF(Festivals!$H$2:$H$160,$E201))</f>
        <v/>
      </c>
      <c r="AR201" t="str">
        <f ca="1">IFERROR(MATCH(A201,'Holidays Calc'!$I$2:$I$233,0),"")</f>
        <v/>
      </c>
      <c r="AS201" t="str">
        <f t="shared" si="25"/>
        <v/>
      </c>
      <c r="AT201" t="str">
        <f t="shared" si="24"/>
        <v/>
      </c>
      <c r="AU201" t="str">
        <f t="shared" ca="1" si="26"/>
        <v/>
      </c>
      <c r="AV201" t="str">
        <f t="shared" ca="1" si="27"/>
        <v/>
      </c>
    </row>
    <row r="202" spans="1:48" x14ac:dyDescent="0.25">
      <c r="A202" s="265">
        <f t="shared" si="23"/>
        <v>43628</v>
      </c>
      <c r="B202" s="265" t="str">
        <f t="shared" si="21"/>
        <v>12 Jun 2019</v>
      </c>
      <c r="C202" s="267">
        <f t="shared" si="22"/>
        <v>24</v>
      </c>
      <c r="D202">
        <f>MATCH(A202,GCalXMLT[daydate],0)</f>
        <v>201</v>
      </c>
      <c r="E202">
        <f>VALUE("1" &amp; Masacod(INDEX(GCalXMLT[gymasa],D202)) &amp; PaksaCod(INDEX(GCalXMLT[mpaksaid],D202)) &amp; TithiCod(INDEX(GCalXMLT[stithiname],D202)))</f>
        <v>103110</v>
      </c>
      <c r="F202" t="str">
        <f ca="1">INDEX(Parameters!$K$2:$K$16,MATCH(AV202,Parameters!$L$2:$L$16,0))</f>
        <v>C</v>
      </c>
      <c r="G202">
        <f>INDEX(GCalXMLT[fastmark],$D202)</f>
        <v>0</v>
      </c>
      <c r="H202" t="str">
        <f ca="1">INDEX(Parameters!$J$2:$J$16,MATCH(AV202,Parameters!$L$2:$L$16,0))</f>
        <v/>
      </c>
      <c r="I202">
        <f>INDEX(GCalXMLT[dfestival1],$D202)</f>
        <v>0</v>
      </c>
      <c r="J202">
        <f>IF(INDEX(GCalXMLT[dfestival2],$D202)="(Fast today)",INDEX(Festivals!$R$2:$R$180,MATCH($I202,Festivals!$R$2:$R$180,0)+1),INDEX(GCalXMLT[dfestival2],$D202))</f>
        <v>0</v>
      </c>
      <c r="K202">
        <f>IF(I202="Nandotsava","(Fast till noon)",INDEX(GCalXMLT[dfestival3],$D202))</f>
        <v>0</v>
      </c>
      <c r="L202">
        <f>IF(I202="Nandotsava", INDEX(GCalXMLT[dfestival3],$D202),INDEX(GCalXMLT[dfestival4],$D202))</f>
        <v>0</v>
      </c>
      <c r="M202" t="str">
        <f>IFERROR(INDEX(Festivals!$S$2:$S$160,AP202),"")</f>
        <v>Sri Baladeva Vidyabhusana - Disappearance</v>
      </c>
      <c r="N202" t="str">
        <f>IFERROR(IF($AQ202&gt;1,INDEX(Festivals!$S$2:$S$160,$AP202+1),""),"")</f>
        <v>Ganga Puja</v>
      </c>
      <c r="O202" t="str">
        <f>IFERROR(IF($AQ202&gt;2,INDEX(Festivals!$S$2:$S$160,$AP202+2),""),"")</f>
        <v>Srimati Gangamata Gosvamini - Appearance</v>
      </c>
      <c r="P202" t="str">
        <f>IFERROR(IF($AQ202&gt;3,INDEX(Festivals!$S$2:$S$160,$AP202+3),""),"")</f>
        <v/>
      </c>
      <c r="Q202" t="str">
        <f>IFERROR(IF($AQ202&gt;4,INDEX(Festivals!$S$2:$S$160,$AP202+4),""),"")</f>
        <v/>
      </c>
      <c r="R202" t="str">
        <f>IFERROR(IF($AQ202&gt;5,INDEX(Festivals!$S$2:$S$160,$AP202+5),""),"")</f>
        <v/>
      </c>
      <c r="S202" t="str">
        <f>IFERROR(IF($AQ202&gt;6,INDEX(Festivals!$S$2:$S$160,$AP202+6),""),"")</f>
        <v/>
      </c>
      <c r="T202">
        <f>INDEX(GCalXMLT[dcaturmasya1],$D202)</f>
        <v>0</v>
      </c>
      <c r="U202">
        <f>INDEX(GCalXMLT[dcaturmasya2],$D202)</f>
        <v>0</v>
      </c>
      <c r="V202" t="str">
        <f>INDEX(GCalXMLT[sankrantirasi],$D202) &amp; " " &amp; INDEX(GCalXMLT[sankrantitime],$D202)</f>
        <v xml:space="preserve"> </v>
      </c>
      <c r="W202" t="str">
        <f ca="1">IFERROR(INDEX('Holidays Calc'!$K$2:$K$233,AR202),"")</f>
        <v>Dia dos Namorados</v>
      </c>
      <c r="X202" t="str">
        <f ca="1">IF(AR202="","",IF(INDEX('Holidays Calc'!$I$2:$I$233,AR202+1)=A202,INDEX('Holidays Calc'!$K$2:$K$233,AR202+1),""))</f>
        <v/>
      </c>
      <c r="Y202" t="str">
        <f ca="1">IF(AR202="","",IF(INDEX('Holidays Calc'!$I$2:$I$233,AR202+2)=A202,INDEX('Holidays Calc'!$K$2:$K$233,AR202+2),""))</f>
        <v/>
      </c>
      <c r="Z202" t="str">
        <f ca="1">IF(AR202="","",IF(INDEX('Holidays Calc'!$I$2:$I$233,AR202+3)=A202,INDEX('Holidays Calc'!$K$2:$K$2333,AR202+3),""))</f>
        <v/>
      </c>
      <c r="AA202" t="str">
        <f>IF(I202="Last day of Bhisma Pancaka","",IF(G202="*",-0.7,IF(ISBLANK(INDEX(GCalXMLT[dclass1],$D202)),"",INDEX(GCalXMLT[dclass1],$D202))))</f>
        <v/>
      </c>
      <c r="AB202" t="str">
        <f>IF(J202="First day of Bhisma Pancaka","",IF(AND(G202="*",NOT(ISERROR(SEARCH("ekadasi",J202)))),-0.7,IF(ISBLANK(INDEX(GCalXMLT[dclass2],$D202)),"",INDEX(GCalXMLT[dclass2],$D202))))</f>
        <v/>
      </c>
      <c r="AC202" t="str">
        <f>IF(I202="Nandotsava",-1,IF(ISBLANK(INDEX(GCalXMLT[dclass3],$D202)),"",INDEX(GCalXMLT[dclass3],$D202)))</f>
        <v/>
      </c>
      <c r="AD202" t="str">
        <f>IF(I202="Nandotsava",IF(ISBLANK(INDEX(GCalXMLT[dclass3],$D202)),"",INDEX(GCalXMLT[dclass3],$D202)),IF(ISBLANK(INDEX(GCalXMLT[dclass4],$D202)),"",INDEX(GCalXMLT[dclass4],$D202)))</f>
        <v/>
      </c>
      <c r="AE202">
        <f>IFERROR(INDEX(Festivals!$V$2:$V$160,AP202),"")</f>
        <v>3</v>
      </c>
      <c r="AF202">
        <f>IFERROR(IF($AQ202&gt;1,INDEX(Festivals!$V$2:$V$160,$AP202+1),""),"")</f>
        <v>1</v>
      </c>
      <c r="AG202">
        <f>IFERROR(IF($AQ202&gt;2,INDEX(Festivals!$V$2:$V$160,$AP202+2),""),"")</f>
        <v>3</v>
      </c>
      <c r="AH202" t="str">
        <f>IFERROR(IF($AQ202&gt;3,INDEX(Festivals!$V$2:$V$160,$AP202+3),""),"")</f>
        <v/>
      </c>
      <c r="AI202" t="str">
        <f>IFERROR(IF($AQ202&gt;4,INDEX(Festivals!$V$2:$V$160,$AP202+4),""),"")</f>
        <v/>
      </c>
      <c r="AJ202" t="str">
        <f>IFERROR(IF($AQ202&gt;5,INDEX(Festivals!$V$2:$V$160,$AP202+5),""),"")</f>
        <v/>
      </c>
      <c r="AK202" t="str">
        <f>IFERROR(IF($AQ202&gt;6,INDEX(Festivals!$V$2:$V$160,$AP202+6),""),"")</f>
        <v/>
      </c>
      <c r="AL202">
        <f ca="1">IFERROR(INDEX('Holidays Calc'!$J$2:$J$233,MATCH(A202,'Holidays Calc'!$I$2:$I$233,0)),"")</f>
        <v>0.5</v>
      </c>
      <c r="AM202" t="str">
        <f ca="1">IF(AR202="","",IF(INDEX('Holidays Calc'!$I$2:$I$233,AR202+1)=A202,INDEX('Holidays Calc'!$J$2:$J$233,AR202+1),""))</f>
        <v/>
      </c>
      <c r="AN202" t="str">
        <f ca="1">IF(AR202="","",IF(INDEX('Holidays Calc'!$I$2:$I$233,AR202+2)=A202,INDEX('Holidays Calc'!$J$2:$J$233,AR202+2),""))</f>
        <v/>
      </c>
      <c r="AO202" t="str">
        <f ca="1">IF(AR202="","",IF(INDEX('Holidays Calc'!$I$2:$I$233,AR202+3)=A202,INDEX('Holidays Calc'!$J$2:$J$233,AR202+3),""))</f>
        <v/>
      </c>
      <c r="AP202">
        <f>IFERROR(IF($E202=E201,"",MATCH($E202,Festivals!$H$2:$H$160,0)),"")</f>
        <v>28</v>
      </c>
      <c r="AQ202">
        <f>IF(AP202="","",COUNTIF(Festivals!$H$2:$H$160,$E202))</f>
        <v>3</v>
      </c>
      <c r="AR202">
        <f ca="1">IFERROR(MATCH(A202,'Holidays Calc'!$I$2:$I$233,0),"")</f>
        <v>53</v>
      </c>
      <c r="AS202">
        <f t="shared" si="25"/>
        <v>1</v>
      </c>
      <c r="AT202">
        <f t="shared" si="24"/>
        <v>1</v>
      </c>
      <c r="AU202">
        <f t="shared" ca="1" si="26"/>
        <v>0.5</v>
      </c>
      <c r="AV202">
        <f t="shared" ca="1" si="27"/>
        <v>0.5</v>
      </c>
    </row>
    <row r="203" spans="1:48" x14ac:dyDescent="0.25">
      <c r="A203" s="265">
        <f t="shared" si="23"/>
        <v>43629</v>
      </c>
      <c r="B203" s="265" t="str">
        <f t="shared" si="21"/>
        <v>13 Jun 2019</v>
      </c>
      <c r="C203" s="267">
        <f t="shared" si="22"/>
        <v>24</v>
      </c>
      <c r="D203">
        <f>MATCH(A203,GCalXMLT[daydate],0)</f>
        <v>202</v>
      </c>
      <c r="E203">
        <f>VALUE("1" &amp; Masacod(INDEX(GCalXMLT[gymasa],D203)) &amp; PaksaCod(INDEX(GCalXMLT[mpaksaid],D203)) &amp; TithiCod(INDEX(GCalXMLT[stithiname],D203)))</f>
        <v>103111</v>
      </c>
      <c r="F203" t="str">
        <f ca="1">INDEX(Parameters!$K$2:$K$16,MATCH(AV203,Parameters!$L$2:$L$16,0))</f>
        <v>E</v>
      </c>
      <c r="G203" t="str">
        <f>INDEX(GCalXMLT[fastmark],$D203)</f>
        <v>*</v>
      </c>
      <c r="H203" t="str">
        <f ca="1">INDEX(Parameters!$J$2:$J$16,MATCH(AV203,Parameters!$L$2:$L$16,0))</f>
        <v>*</v>
      </c>
      <c r="I203" t="str">
        <f>INDEX(GCalXMLT[dfestival1],$D203)</f>
        <v>Fasting for Pandava Nirjala Ekadasi</v>
      </c>
      <c r="J203" t="str">
        <f>IF(INDEX(GCalXMLT[dfestival2],$D203)="(Fast today)",INDEX(Festivals!$R$2:$R$180,MATCH($I203,Festivals!$R$2:$R$180,0)+1),INDEX(GCalXMLT[dfestival2],$D203))</f>
        <v>(Total fast, even from water, if you have broken Ekadasi)</v>
      </c>
      <c r="K203">
        <f>IF(I203="Nandotsava","(Fast till noon)",INDEX(GCalXMLT[dfestival3],$D203))</f>
        <v>0</v>
      </c>
      <c r="L203">
        <f>IF(I203="Nandotsava", INDEX(GCalXMLT[dfestival3],$D203),INDEX(GCalXMLT[dfestival4],$D203))</f>
        <v>0</v>
      </c>
      <c r="M203" t="str">
        <f>IFERROR(INDEX(Festivals!$S$2:$S$160,AP203),"")</f>
        <v/>
      </c>
      <c r="N203" t="str">
        <f>IFERROR(IF($AQ203&gt;1,INDEX(Festivals!$S$2:$S$160,$AP203+1),""),"")</f>
        <v/>
      </c>
      <c r="O203" t="str">
        <f>IFERROR(IF($AQ203&gt;2,INDEX(Festivals!$S$2:$S$160,$AP203+2),""),"")</f>
        <v/>
      </c>
      <c r="P203" t="str">
        <f>IFERROR(IF($AQ203&gt;3,INDEX(Festivals!$S$2:$S$160,$AP203+3),""),"")</f>
        <v/>
      </c>
      <c r="Q203" t="str">
        <f>IFERROR(IF($AQ203&gt;4,INDEX(Festivals!$S$2:$S$160,$AP203+4),""),"")</f>
        <v/>
      </c>
      <c r="R203" t="str">
        <f>IFERROR(IF($AQ203&gt;5,INDEX(Festivals!$S$2:$S$160,$AP203+5),""),"")</f>
        <v/>
      </c>
      <c r="S203" t="str">
        <f>IFERROR(IF($AQ203&gt;6,INDEX(Festivals!$S$2:$S$160,$AP203+6),""),"")</f>
        <v/>
      </c>
      <c r="T203">
        <f>INDEX(GCalXMLT[dcaturmasya1],$D203)</f>
        <v>0</v>
      </c>
      <c r="U203">
        <f>INDEX(GCalXMLT[dcaturmasya2],$D203)</f>
        <v>0</v>
      </c>
      <c r="V203" t="str">
        <f>INDEX(GCalXMLT[sankrantirasi],$D203) &amp; " " &amp; INDEX(GCalXMLT[sankrantitime],$D203)</f>
        <v xml:space="preserve"> </v>
      </c>
      <c r="W203" t="str">
        <f ca="1">IFERROR(INDEX('Holidays Calc'!$K$2:$K$233,AR203),"")</f>
        <v/>
      </c>
      <c r="X203" t="str">
        <f ca="1">IF(AR203="","",IF(INDEX('Holidays Calc'!$I$2:$I$233,AR203+1)=A203,INDEX('Holidays Calc'!$K$2:$K$233,AR203+1),""))</f>
        <v/>
      </c>
      <c r="Y203" t="str">
        <f ca="1">IF(AR203="","",IF(INDEX('Holidays Calc'!$I$2:$I$233,AR203+2)=A203,INDEX('Holidays Calc'!$K$2:$K$233,AR203+2),""))</f>
        <v/>
      </c>
      <c r="Z203" t="str">
        <f ca="1">IF(AR203="","",IF(INDEX('Holidays Calc'!$I$2:$I$233,AR203+3)=A203,INDEX('Holidays Calc'!$K$2:$K$2333,AR203+3),""))</f>
        <v/>
      </c>
      <c r="AA203">
        <f>IF(I203="Last day of Bhisma Pancaka","",IF(G203="*",-0.7,IF(ISBLANK(INDEX(GCalXMLT[dclass1],$D203)),"",INDEX(GCalXMLT[dclass1],$D203))))</f>
        <v>-0.7</v>
      </c>
      <c r="AB203">
        <f>IF(J203="First day of Bhisma Pancaka","",IF(AND(G203="*",NOT(ISERROR(SEARCH("ekadasi",J203)))),-0.7,IF(ISBLANK(INDEX(GCalXMLT[dclass2],$D203)),"",INDEX(GCalXMLT[dclass2],$D203))))</f>
        <v>-0.7</v>
      </c>
      <c r="AC203" t="str">
        <f>IF(I203="Nandotsava",-1,IF(ISBLANK(INDEX(GCalXMLT[dclass3],$D203)),"",INDEX(GCalXMLT[dclass3],$D203)))</f>
        <v/>
      </c>
      <c r="AD203" t="str">
        <f>IF(I203="Nandotsava",IF(ISBLANK(INDEX(GCalXMLT[dclass3],$D203)),"",INDEX(GCalXMLT[dclass3],$D203)),IF(ISBLANK(INDEX(GCalXMLT[dclass4],$D203)),"",INDEX(GCalXMLT[dclass4],$D203)))</f>
        <v/>
      </c>
      <c r="AE203" t="str">
        <f>IFERROR(INDEX(Festivals!$V$2:$V$160,AP203),"")</f>
        <v/>
      </c>
      <c r="AF203" t="str">
        <f>IFERROR(IF($AQ203&gt;1,INDEX(Festivals!$V$2:$V$160,$AP203+1),""),"")</f>
        <v/>
      </c>
      <c r="AG203" t="str">
        <f>IFERROR(IF($AQ203&gt;2,INDEX(Festivals!$V$2:$V$160,$AP203+2),""),"")</f>
        <v/>
      </c>
      <c r="AH203" t="str">
        <f>IFERROR(IF($AQ203&gt;3,INDEX(Festivals!$V$2:$V$160,$AP203+3),""),"")</f>
        <v/>
      </c>
      <c r="AI203" t="str">
        <f>IFERROR(IF($AQ203&gt;4,INDEX(Festivals!$V$2:$V$160,$AP203+4),""),"")</f>
        <v/>
      </c>
      <c r="AJ203" t="str">
        <f>IFERROR(IF($AQ203&gt;5,INDEX(Festivals!$V$2:$V$160,$AP203+5),""),"")</f>
        <v/>
      </c>
      <c r="AK203" t="str">
        <f>IFERROR(IF($AQ203&gt;6,INDEX(Festivals!$V$2:$V$160,$AP203+6),""),"")</f>
        <v/>
      </c>
      <c r="AL203" t="str">
        <f ca="1">IFERROR(INDEX('Holidays Calc'!$J$2:$J$233,MATCH(A203,'Holidays Calc'!$I$2:$I$233,0)),"")</f>
        <v/>
      </c>
      <c r="AM203" t="str">
        <f ca="1">IF(AR203="","",IF(INDEX('Holidays Calc'!$I$2:$I$233,AR203+1)=A203,INDEX('Holidays Calc'!$J$2:$J$233,AR203+1),""))</f>
        <v/>
      </c>
      <c r="AN203" t="str">
        <f ca="1">IF(AR203="","",IF(INDEX('Holidays Calc'!$I$2:$I$233,AR203+2)=A203,INDEX('Holidays Calc'!$J$2:$J$233,AR203+2),""))</f>
        <v/>
      </c>
      <c r="AO203" t="str">
        <f ca="1">IF(AR203="","",IF(INDEX('Holidays Calc'!$I$2:$I$233,AR203+3)=A203,INDEX('Holidays Calc'!$J$2:$J$233,AR203+3),""))</f>
        <v/>
      </c>
      <c r="AP203" t="str">
        <f>IFERROR(IF($E203=E202,"",MATCH($E203,Festivals!$H$2:$H$160,0)),"")</f>
        <v/>
      </c>
      <c r="AQ203" t="str">
        <f>IF(AP203="","",COUNTIF(Festivals!$H$2:$H$160,$E203))</f>
        <v/>
      </c>
      <c r="AR203" t="str">
        <f ca="1">IFERROR(MATCH(A203,'Holidays Calc'!$I$2:$I$233,0),"")</f>
        <v/>
      </c>
      <c r="AS203">
        <f t="shared" si="25"/>
        <v>-0.7</v>
      </c>
      <c r="AT203">
        <f t="shared" si="24"/>
        <v>-0.7</v>
      </c>
      <c r="AU203" t="str">
        <f t="shared" ca="1" si="26"/>
        <v/>
      </c>
      <c r="AV203">
        <f t="shared" ca="1" si="27"/>
        <v>-0.7</v>
      </c>
    </row>
    <row r="204" spans="1:48" x14ac:dyDescent="0.25">
      <c r="A204" s="265">
        <f t="shared" si="23"/>
        <v>43630</v>
      </c>
      <c r="B204" s="265" t="str">
        <f t="shared" ref="B204:B267" si="28">DAY(A204) &amp; " " &amp; MonthStr(MONTH(A204)) &amp; " " &amp; YEAR(A204)</f>
        <v>14 Jun 2019</v>
      </c>
      <c r="C204" s="267">
        <f t="shared" ref="C204:C267" si="29">WEEKNUM(A204,2)</f>
        <v>24</v>
      </c>
      <c r="D204">
        <f>MATCH(A204,GCalXMLT[daydate],0)</f>
        <v>203</v>
      </c>
      <c r="E204">
        <f>VALUE("1" &amp; Masacod(INDEX(GCalXMLT[gymasa],D204)) &amp; PaksaCod(INDEX(GCalXMLT[mpaksaid],D204)) &amp; TithiCod(INDEX(GCalXMLT[stithiname],D204)))</f>
        <v>103112</v>
      </c>
      <c r="F204" t="str">
        <f ca="1">INDEX(Parameters!$K$2:$K$16,MATCH(AV204,Parameters!$L$2:$L$16,0))</f>
        <v/>
      </c>
      <c r="G204">
        <f>INDEX(GCalXMLT[fastmark],$D204)</f>
        <v>0</v>
      </c>
      <c r="H204" t="str">
        <f ca="1">INDEX(Parameters!$J$2:$J$16,MATCH(AV204,Parameters!$L$2:$L$16,0))</f>
        <v/>
      </c>
      <c r="I204">
        <f>INDEX(GCalXMLT[dfestival1],$D204)</f>
        <v>0</v>
      </c>
      <c r="J204">
        <f>IF(INDEX(GCalXMLT[dfestival2],$D204)="(Fast today)",INDEX(Festivals!$R$2:$R$180,MATCH($I204,Festivals!$R$2:$R$180,0)+1),INDEX(GCalXMLT[dfestival2],$D204))</f>
        <v>0</v>
      </c>
      <c r="K204">
        <f>IF(I204="Nandotsava","(Fast till noon)",INDEX(GCalXMLT[dfestival3],$D204))</f>
        <v>0</v>
      </c>
      <c r="L204">
        <f>IF(I204="Nandotsava", INDEX(GCalXMLT[dfestival3],$D204),INDEX(GCalXMLT[dfestival4],$D204))</f>
        <v>0</v>
      </c>
      <c r="M204" t="str">
        <f>IFERROR(INDEX(Festivals!$S$2:$S$160,AP204),"")</f>
        <v/>
      </c>
      <c r="N204" t="str">
        <f>IFERROR(IF($AQ204&gt;1,INDEX(Festivals!$S$2:$S$160,$AP204+1),""),"")</f>
        <v/>
      </c>
      <c r="O204" t="str">
        <f>IFERROR(IF($AQ204&gt;2,INDEX(Festivals!$S$2:$S$160,$AP204+2),""),"")</f>
        <v/>
      </c>
      <c r="P204" t="str">
        <f>IFERROR(IF($AQ204&gt;3,INDEX(Festivals!$S$2:$S$160,$AP204+3),""),"")</f>
        <v/>
      </c>
      <c r="Q204" t="str">
        <f>IFERROR(IF($AQ204&gt;4,INDEX(Festivals!$S$2:$S$160,$AP204+4),""),"")</f>
        <v/>
      </c>
      <c r="R204" t="str">
        <f>IFERROR(IF($AQ204&gt;5,INDEX(Festivals!$S$2:$S$160,$AP204+5),""),"")</f>
        <v/>
      </c>
      <c r="S204" t="str">
        <f>IFERROR(IF($AQ204&gt;6,INDEX(Festivals!$S$2:$S$160,$AP204+6),""),"")</f>
        <v/>
      </c>
      <c r="T204">
        <f>INDEX(GCalXMLT[dcaturmasya1],$D204)</f>
        <v>0</v>
      </c>
      <c r="U204">
        <f>INDEX(GCalXMLT[dcaturmasya2],$D204)</f>
        <v>0</v>
      </c>
      <c r="V204" t="str">
        <f>INDEX(GCalXMLT[sankrantirasi],$D204) &amp; " " &amp; INDEX(GCalXMLT[sankrantitime],$D204)</f>
        <v xml:space="preserve"> </v>
      </c>
      <c r="W204" t="str">
        <f ca="1">IFERROR(INDEX('Holidays Calc'!$K$2:$K$233,AR204),"")</f>
        <v/>
      </c>
      <c r="X204" t="str">
        <f ca="1">IF(AR204="","",IF(INDEX('Holidays Calc'!$I$2:$I$233,AR204+1)=A204,INDEX('Holidays Calc'!$K$2:$K$233,AR204+1),""))</f>
        <v/>
      </c>
      <c r="Y204" t="str">
        <f ca="1">IF(AR204="","",IF(INDEX('Holidays Calc'!$I$2:$I$233,AR204+2)=A204,INDEX('Holidays Calc'!$K$2:$K$233,AR204+2),""))</f>
        <v/>
      </c>
      <c r="Z204" t="str">
        <f ca="1">IF(AR204="","",IF(INDEX('Holidays Calc'!$I$2:$I$233,AR204+3)=A204,INDEX('Holidays Calc'!$K$2:$K$2333,AR204+3),""))</f>
        <v/>
      </c>
      <c r="AA204" t="str">
        <f>IF(I204="Last day of Bhisma Pancaka","",IF(G204="*",-0.7,IF(ISBLANK(INDEX(GCalXMLT[dclass1],$D204)),"",INDEX(GCalXMLT[dclass1],$D204))))</f>
        <v/>
      </c>
      <c r="AB204" t="str">
        <f>IF(J204="First day of Bhisma Pancaka","",IF(AND(G204="*",NOT(ISERROR(SEARCH("ekadasi",J204)))),-0.7,IF(ISBLANK(INDEX(GCalXMLT[dclass2],$D204)),"",INDEX(GCalXMLT[dclass2],$D204))))</f>
        <v/>
      </c>
      <c r="AC204" t="str">
        <f>IF(I204="Nandotsava",-1,IF(ISBLANK(INDEX(GCalXMLT[dclass3],$D204)),"",INDEX(GCalXMLT[dclass3],$D204)))</f>
        <v/>
      </c>
      <c r="AD204" t="str">
        <f>IF(I204="Nandotsava",IF(ISBLANK(INDEX(GCalXMLT[dclass3],$D204)),"",INDEX(GCalXMLT[dclass3],$D204)),IF(ISBLANK(INDEX(GCalXMLT[dclass4],$D204)),"",INDEX(GCalXMLT[dclass4],$D204)))</f>
        <v/>
      </c>
      <c r="AE204" t="str">
        <f>IFERROR(INDEX(Festivals!$V$2:$V$160,AP204),"")</f>
        <v/>
      </c>
      <c r="AF204" t="str">
        <f>IFERROR(IF($AQ204&gt;1,INDEX(Festivals!$V$2:$V$160,$AP204+1),""),"")</f>
        <v/>
      </c>
      <c r="AG204" t="str">
        <f>IFERROR(IF($AQ204&gt;2,INDEX(Festivals!$V$2:$V$160,$AP204+2),""),"")</f>
        <v/>
      </c>
      <c r="AH204" t="str">
        <f>IFERROR(IF($AQ204&gt;3,INDEX(Festivals!$V$2:$V$160,$AP204+3),""),"")</f>
        <v/>
      </c>
      <c r="AI204" t="str">
        <f>IFERROR(IF($AQ204&gt;4,INDEX(Festivals!$V$2:$V$160,$AP204+4),""),"")</f>
        <v/>
      </c>
      <c r="AJ204" t="str">
        <f>IFERROR(IF($AQ204&gt;5,INDEX(Festivals!$V$2:$V$160,$AP204+5),""),"")</f>
        <v/>
      </c>
      <c r="AK204" t="str">
        <f>IFERROR(IF($AQ204&gt;6,INDEX(Festivals!$V$2:$V$160,$AP204+6),""),"")</f>
        <v/>
      </c>
      <c r="AL204" t="str">
        <f ca="1">IFERROR(INDEX('Holidays Calc'!$J$2:$J$233,MATCH(A204,'Holidays Calc'!$I$2:$I$233,0)),"")</f>
        <v/>
      </c>
      <c r="AM204" t="str">
        <f ca="1">IF(AR204="","",IF(INDEX('Holidays Calc'!$I$2:$I$233,AR204+1)=A204,INDEX('Holidays Calc'!$J$2:$J$233,AR204+1),""))</f>
        <v/>
      </c>
      <c r="AN204" t="str">
        <f ca="1">IF(AR204="","",IF(INDEX('Holidays Calc'!$I$2:$I$233,AR204+2)=A204,INDEX('Holidays Calc'!$J$2:$J$233,AR204+2),""))</f>
        <v/>
      </c>
      <c r="AO204" t="str">
        <f ca="1">IF(AR204="","",IF(INDEX('Holidays Calc'!$I$2:$I$233,AR204+3)=A204,INDEX('Holidays Calc'!$J$2:$J$233,AR204+3),""))</f>
        <v/>
      </c>
      <c r="AP204" t="str">
        <f>IFERROR(IF($E204=E203,"",MATCH($E204,Festivals!$H$2:$H$160,0)),"")</f>
        <v/>
      </c>
      <c r="AQ204" t="str">
        <f>IF(AP204="","",COUNTIF(Festivals!$H$2:$H$160,$E204))</f>
        <v/>
      </c>
      <c r="AR204" t="str">
        <f ca="1">IFERROR(MATCH(A204,'Holidays Calc'!$I$2:$I$233,0),"")</f>
        <v/>
      </c>
      <c r="AS204" t="str">
        <f t="shared" si="25"/>
        <v/>
      </c>
      <c r="AT204" t="str">
        <f t="shared" si="24"/>
        <v/>
      </c>
      <c r="AU204" t="str">
        <f t="shared" ca="1" si="26"/>
        <v/>
      </c>
      <c r="AV204" t="str">
        <f t="shared" ca="1" si="27"/>
        <v/>
      </c>
    </row>
    <row r="205" spans="1:48" x14ac:dyDescent="0.25">
      <c r="A205" s="265">
        <f t="shared" si="23"/>
        <v>43631</v>
      </c>
      <c r="B205" s="265" t="str">
        <f t="shared" si="28"/>
        <v>15 Jun 2019</v>
      </c>
      <c r="C205" s="267">
        <f t="shared" si="29"/>
        <v>24</v>
      </c>
      <c r="D205">
        <f>MATCH(A205,GCalXMLT[daydate],0)</f>
        <v>204</v>
      </c>
      <c r="E205">
        <f>VALUE("1" &amp; Masacod(INDEX(GCalXMLT[gymasa],D205)) &amp; PaksaCod(INDEX(GCalXMLT[mpaksaid],D205)) &amp; TithiCod(INDEX(GCalXMLT[stithiname],D205)))</f>
        <v>103113</v>
      </c>
      <c r="F205" t="str">
        <f ca="1">INDEX(Parameters!$K$2:$K$16,MATCH(AV205,Parameters!$L$2:$L$16,0))</f>
        <v>C</v>
      </c>
      <c r="G205">
        <f>INDEX(GCalXMLT[fastmark],$D205)</f>
        <v>0</v>
      </c>
      <c r="H205" t="str">
        <f ca="1">INDEX(Parameters!$J$2:$J$16,MATCH(AV205,Parameters!$L$2:$L$16,0))</f>
        <v/>
      </c>
      <c r="I205">
        <f>INDEX(GCalXMLT[dfestival1],$D205)</f>
        <v>0</v>
      </c>
      <c r="J205">
        <f>IF(INDEX(GCalXMLT[dfestival2],$D205)="(Fast today)",INDEX(Festivals!$R$2:$R$180,MATCH($I205,Festivals!$R$2:$R$180,0)+1),INDEX(GCalXMLT[dfestival2],$D205))</f>
        <v>0</v>
      </c>
      <c r="K205">
        <f>IF(I205="Nandotsava","(Fast till noon)",INDEX(GCalXMLT[dfestival3],$D205))</f>
        <v>0</v>
      </c>
      <c r="L205">
        <f>IF(I205="Nandotsava", INDEX(GCalXMLT[dfestival3],$D205),INDEX(GCalXMLT[dfestival4],$D205))</f>
        <v>0</v>
      </c>
      <c r="M205" t="str">
        <f>IFERROR(INDEX(Festivals!$S$2:$S$160,AP205),"")</f>
        <v>Panihati Cida Dahi Utsava</v>
      </c>
      <c r="N205" t="str">
        <f>IFERROR(IF($AQ205&gt;1,INDEX(Festivals!$S$2:$S$160,$AP205+1),""),"")</f>
        <v/>
      </c>
      <c r="O205" t="str">
        <f>IFERROR(IF($AQ205&gt;2,INDEX(Festivals!$S$2:$S$160,$AP205+2),""),"")</f>
        <v/>
      </c>
      <c r="P205" t="str">
        <f>IFERROR(IF($AQ205&gt;3,INDEX(Festivals!$S$2:$S$160,$AP205+3),""),"")</f>
        <v/>
      </c>
      <c r="Q205" t="str">
        <f>IFERROR(IF($AQ205&gt;4,INDEX(Festivals!$S$2:$S$160,$AP205+4),""),"")</f>
        <v/>
      </c>
      <c r="R205" t="str">
        <f>IFERROR(IF($AQ205&gt;5,INDEX(Festivals!$S$2:$S$160,$AP205+5),""),"")</f>
        <v/>
      </c>
      <c r="S205" t="str">
        <f>IFERROR(IF($AQ205&gt;6,INDEX(Festivals!$S$2:$S$160,$AP205+6),""),"")</f>
        <v/>
      </c>
      <c r="T205">
        <f>INDEX(GCalXMLT[dcaturmasya1],$D205)</f>
        <v>0</v>
      </c>
      <c r="U205">
        <f>INDEX(GCalXMLT[dcaturmasya2],$D205)</f>
        <v>0</v>
      </c>
      <c r="V205" t="str">
        <f>INDEX(GCalXMLT[sankrantirasi],$D205) &amp; " " &amp; INDEX(GCalXMLT[sankrantitime],$D205)</f>
        <v>Mithuna 0,378483796296296</v>
      </c>
      <c r="W205" t="str">
        <f ca="1">IFERROR(INDEX('Holidays Calc'!$K$2:$K$233,AR205),"")</f>
        <v/>
      </c>
      <c r="X205" t="str">
        <f ca="1">IF(AR205="","",IF(INDEX('Holidays Calc'!$I$2:$I$233,AR205+1)=A205,INDEX('Holidays Calc'!$K$2:$K$233,AR205+1),""))</f>
        <v/>
      </c>
      <c r="Y205" t="str">
        <f ca="1">IF(AR205="","",IF(INDEX('Holidays Calc'!$I$2:$I$233,AR205+2)=A205,INDEX('Holidays Calc'!$K$2:$K$233,AR205+2),""))</f>
        <v/>
      </c>
      <c r="Z205" t="str">
        <f ca="1">IF(AR205="","",IF(INDEX('Holidays Calc'!$I$2:$I$233,AR205+3)=A205,INDEX('Holidays Calc'!$K$2:$K$2333,AR205+3),""))</f>
        <v/>
      </c>
      <c r="AA205" t="str">
        <f>IF(I205="Last day of Bhisma Pancaka","",IF(G205="*",-0.7,IF(ISBLANK(INDEX(GCalXMLT[dclass1],$D205)),"",INDEX(GCalXMLT[dclass1],$D205))))</f>
        <v/>
      </c>
      <c r="AB205" t="str">
        <f>IF(J205="First day of Bhisma Pancaka","",IF(AND(G205="*",NOT(ISERROR(SEARCH("ekadasi",J205)))),-0.7,IF(ISBLANK(INDEX(GCalXMLT[dclass2],$D205)),"",INDEX(GCalXMLT[dclass2],$D205))))</f>
        <v/>
      </c>
      <c r="AC205" t="str">
        <f>IF(I205="Nandotsava",-1,IF(ISBLANK(INDEX(GCalXMLT[dclass3],$D205)),"",INDEX(GCalXMLT[dclass3],$D205)))</f>
        <v/>
      </c>
      <c r="AD205" t="str">
        <f>IF(I205="Nandotsava",IF(ISBLANK(INDEX(GCalXMLT[dclass3],$D205)),"",INDEX(GCalXMLT[dclass3],$D205)),IF(ISBLANK(INDEX(GCalXMLT[dclass4],$D205)),"",INDEX(GCalXMLT[dclass4],$D205)))</f>
        <v/>
      </c>
      <c r="AE205">
        <f>IFERROR(INDEX(Festivals!$V$2:$V$160,AP205),"")</f>
        <v>1</v>
      </c>
      <c r="AF205" t="str">
        <f>IFERROR(IF($AQ205&gt;1,INDEX(Festivals!$V$2:$V$160,$AP205+1),""),"")</f>
        <v/>
      </c>
      <c r="AG205" t="str">
        <f>IFERROR(IF($AQ205&gt;2,INDEX(Festivals!$V$2:$V$160,$AP205+2),""),"")</f>
        <v/>
      </c>
      <c r="AH205" t="str">
        <f>IFERROR(IF($AQ205&gt;3,INDEX(Festivals!$V$2:$V$160,$AP205+3),""),"")</f>
        <v/>
      </c>
      <c r="AI205" t="str">
        <f>IFERROR(IF($AQ205&gt;4,INDEX(Festivals!$V$2:$V$160,$AP205+4),""),"")</f>
        <v/>
      </c>
      <c r="AJ205" t="str">
        <f>IFERROR(IF($AQ205&gt;5,INDEX(Festivals!$V$2:$V$160,$AP205+5),""),"")</f>
        <v/>
      </c>
      <c r="AK205" t="str">
        <f>IFERROR(IF($AQ205&gt;6,INDEX(Festivals!$V$2:$V$160,$AP205+6),""),"")</f>
        <v/>
      </c>
      <c r="AL205" t="str">
        <f ca="1">IFERROR(INDEX('Holidays Calc'!$J$2:$J$233,MATCH(A205,'Holidays Calc'!$I$2:$I$233,0)),"")</f>
        <v/>
      </c>
      <c r="AM205" t="str">
        <f ca="1">IF(AR205="","",IF(INDEX('Holidays Calc'!$I$2:$I$233,AR205+1)=A205,INDEX('Holidays Calc'!$J$2:$J$233,AR205+1),""))</f>
        <v/>
      </c>
      <c r="AN205" t="str">
        <f ca="1">IF(AR205="","",IF(INDEX('Holidays Calc'!$I$2:$I$233,AR205+2)=A205,INDEX('Holidays Calc'!$J$2:$J$233,AR205+2),""))</f>
        <v/>
      </c>
      <c r="AO205" t="str">
        <f ca="1">IF(AR205="","",IF(INDEX('Holidays Calc'!$I$2:$I$233,AR205+3)=A205,INDEX('Holidays Calc'!$J$2:$J$233,AR205+3),""))</f>
        <v/>
      </c>
      <c r="AP205">
        <f>IFERROR(IF($E205=E204,"",MATCH($E205,Festivals!$H$2:$H$160,0)),"")</f>
        <v>31</v>
      </c>
      <c r="AQ205">
        <f>IF(AP205="","",COUNTIF(Festivals!$H$2:$H$160,$E205))</f>
        <v>1</v>
      </c>
      <c r="AR205" t="str">
        <f ca="1">IFERROR(MATCH(A205,'Holidays Calc'!$I$2:$I$233,0),"")</f>
        <v/>
      </c>
      <c r="AS205">
        <f t="shared" si="25"/>
        <v>1</v>
      </c>
      <c r="AT205">
        <f t="shared" si="24"/>
        <v>1</v>
      </c>
      <c r="AU205" t="str">
        <f t="shared" ca="1" si="26"/>
        <v/>
      </c>
      <c r="AV205">
        <f t="shared" ca="1" si="27"/>
        <v>1</v>
      </c>
    </row>
    <row r="206" spans="1:48" x14ac:dyDescent="0.25">
      <c r="A206" s="265">
        <f t="shared" si="23"/>
        <v>43632</v>
      </c>
      <c r="B206" s="265" t="str">
        <f t="shared" si="28"/>
        <v>16 Jun 2019</v>
      </c>
      <c r="C206" s="267">
        <f t="shared" si="29"/>
        <v>24</v>
      </c>
      <c r="D206">
        <f>MATCH(A206,GCalXMLT[daydate],0)</f>
        <v>205</v>
      </c>
      <c r="E206">
        <f>VALUE("1" &amp; Masacod(INDEX(GCalXMLT[gymasa],D206)) &amp; PaksaCod(INDEX(GCalXMLT[mpaksaid],D206)) &amp; TithiCod(INDEX(GCalXMLT[stithiname],D206)))</f>
        <v>103114</v>
      </c>
      <c r="F206" t="str">
        <f ca="1">INDEX(Parameters!$K$2:$K$16,MATCH(AV206,Parameters!$L$2:$L$16,0))</f>
        <v/>
      </c>
      <c r="G206">
        <f>INDEX(GCalXMLT[fastmark],$D206)</f>
        <v>0</v>
      </c>
      <c r="H206" t="str">
        <f ca="1">INDEX(Parameters!$J$2:$J$16,MATCH(AV206,Parameters!$L$2:$L$16,0))</f>
        <v/>
      </c>
      <c r="I206">
        <f>INDEX(GCalXMLT[dfestival1],$D206)</f>
        <v>0</v>
      </c>
      <c r="J206">
        <f>IF(INDEX(GCalXMLT[dfestival2],$D206)="(Fast today)",INDEX(Festivals!$R$2:$R$180,MATCH($I206,Festivals!$R$2:$R$180,0)+1),INDEX(GCalXMLT[dfestival2],$D206))</f>
        <v>0</v>
      </c>
      <c r="K206">
        <f>IF(I206="Nandotsava","(Fast till noon)",INDEX(GCalXMLT[dfestival3],$D206))</f>
        <v>0</v>
      </c>
      <c r="L206">
        <f>IF(I206="Nandotsava", INDEX(GCalXMLT[dfestival3],$D206),INDEX(GCalXMLT[dfestival4],$D206))</f>
        <v>0</v>
      </c>
      <c r="M206" t="str">
        <f>IFERROR(INDEX(Festivals!$S$2:$S$160,AP206),"")</f>
        <v/>
      </c>
      <c r="N206" t="str">
        <f>IFERROR(IF($AQ206&gt;1,INDEX(Festivals!$S$2:$S$160,$AP206+1),""),"")</f>
        <v/>
      </c>
      <c r="O206" t="str">
        <f>IFERROR(IF($AQ206&gt;2,INDEX(Festivals!$S$2:$S$160,$AP206+2),""),"")</f>
        <v/>
      </c>
      <c r="P206" t="str">
        <f>IFERROR(IF($AQ206&gt;3,INDEX(Festivals!$S$2:$S$160,$AP206+3),""),"")</f>
        <v/>
      </c>
      <c r="Q206" t="str">
        <f>IFERROR(IF($AQ206&gt;4,INDEX(Festivals!$S$2:$S$160,$AP206+4),""),"")</f>
        <v/>
      </c>
      <c r="R206" t="str">
        <f>IFERROR(IF($AQ206&gt;5,INDEX(Festivals!$S$2:$S$160,$AP206+5),""),"")</f>
        <v/>
      </c>
      <c r="S206" t="str">
        <f>IFERROR(IF($AQ206&gt;6,INDEX(Festivals!$S$2:$S$160,$AP206+6),""),"")</f>
        <v/>
      </c>
      <c r="T206">
        <f>INDEX(GCalXMLT[dcaturmasya1],$D206)</f>
        <v>0</v>
      </c>
      <c r="U206">
        <f>INDEX(GCalXMLT[dcaturmasya2],$D206)</f>
        <v>0</v>
      </c>
      <c r="V206" t="str">
        <f>INDEX(GCalXMLT[sankrantirasi],$D206) &amp; " " &amp; INDEX(GCalXMLT[sankrantitime],$D206)</f>
        <v xml:space="preserve"> </v>
      </c>
      <c r="W206" t="str">
        <f ca="1">IFERROR(INDEX('Holidays Calc'!$K$2:$K$233,AR206),"")</f>
        <v/>
      </c>
      <c r="X206" t="str">
        <f ca="1">IF(AR206="","",IF(INDEX('Holidays Calc'!$I$2:$I$233,AR206+1)=A206,INDEX('Holidays Calc'!$K$2:$K$233,AR206+1),""))</f>
        <v/>
      </c>
      <c r="Y206" t="str">
        <f ca="1">IF(AR206="","",IF(INDEX('Holidays Calc'!$I$2:$I$233,AR206+2)=A206,INDEX('Holidays Calc'!$K$2:$K$233,AR206+2),""))</f>
        <v/>
      </c>
      <c r="Z206" t="str">
        <f ca="1">IF(AR206="","",IF(INDEX('Holidays Calc'!$I$2:$I$233,AR206+3)=A206,INDEX('Holidays Calc'!$K$2:$K$2333,AR206+3),""))</f>
        <v/>
      </c>
      <c r="AA206" t="str">
        <f>IF(I206="Last day of Bhisma Pancaka","",IF(G206="*",-0.7,IF(ISBLANK(INDEX(GCalXMLT[dclass1],$D206)),"",INDEX(GCalXMLT[dclass1],$D206))))</f>
        <v/>
      </c>
      <c r="AB206" t="str">
        <f>IF(J206="First day of Bhisma Pancaka","",IF(AND(G206="*",NOT(ISERROR(SEARCH("ekadasi",J206)))),-0.7,IF(ISBLANK(INDEX(GCalXMLT[dclass2],$D206)),"",INDEX(GCalXMLT[dclass2],$D206))))</f>
        <v/>
      </c>
      <c r="AC206" t="str">
        <f>IF(I206="Nandotsava",-1,IF(ISBLANK(INDEX(GCalXMLT[dclass3],$D206)),"",INDEX(GCalXMLT[dclass3],$D206)))</f>
        <v/>
      </c>
      <c r="AD206" t="str">
        <f>IF(I206="Nandotsava",IF(ISBLANK(INDEX(GCalXMLT[dclass3],$D206)),"",INDEX(GCalXMLT[dclass3],$D206)),IF(ISBLANK(INDEX(GCalXMLT[dclass4],$D206)),"",INDEX(GCalXMLT[dclass4],$D206)))</f>
        <v/>
      </c>
      <c r="AE206" t="str">
        <f>IFERROR(INDEX(Festivals!$V$2:$V$160,AP206),"")</f>
        <v/>
      </c>
      <c r="AF206" t="str">
        <f>IFERROR(IF($AQ206&gt;1,INDEX(Festivals!$V$2:$V$160,$AP206+1),""),"")</f>
        <v/>
      </c>
      <c r="AG206" t="str">
        <f>IFERROR(IF($AQ206&gt;2,INDEX(Festivals!$V$2:$V$160,$AP206+2),""),"")</f>
        <v/>
      </c>
      <c r="AH206" t="str">
        <f>IFERROR(IF($AQ206&gt;3,INDEX(Festivals!$V$2:$V$160,$AP206+3),""),"")</f>
        <v/>
      </c>
      <c r="AI206" t="str">
        <f>IFERROR(IF($AQ206&gt;4,INDEX(Festivals!$V$2:$V$160,$AP206+4),""),"")</f>
        <v/>
      </c>
      <c r="AJ206" t="str">
        <f>IFERROR(IF($AQ206&gt;5,INDEX(Festivals!$V$2:$V$160,$AP206+5),""),"")</f>
        <v/>
      </c>
      <c r="AK206" t="str">
        <f>IFERROR(IF($AQ206&gt;6,INDEX(Festivals!$V$2:$V$160,$AP206+6),""),"")</f>
        <v/>
      </c>
      <c r="AL206" t="str">
        <f ca="1">IFERROR(INDEX('Holidays Calc'!$J$2:$J$233,MATCH(A206,'Holidays Calc'!$I$2:$I$233,0)),"")</f>
        <v/>
      </c>
      <c r="AM206" t="str">
        <f ca="1">IF(AR206="","",IF(INDEX('Holidays Calc'!$I$2:$I$233,AR206+1)=A206,INDEX('Holidays Calc'!$J$2:$J$233,AR206+1),""))</f>
        <v/>
      </c>
      <c r="AN206" t="str">
        <f ca="1">IF(AR206="","",IF(INDEX('Holidays Calc'!$I$2:$I$233,AR206+2)=A206,INDEX('Holidays Calc'!$J$2:$J$233,AR206+2),""))</f>
        <v/>
      </c>
      <c r="AO206" t="str">
        <f ca="1">IF(AR206="","",IF(INDEX('Holidays Calc'!$I$2:$I$233,AR206+3)=A206,INDEX('Holidays Calc'!$J$2:$J$233,AR206+3),""))</f>
        <v/>
      </c>
      <c r="AP206" t="str">
        <f>IFERROR(IF($E206=E205,"",MATCH($E206,Festivals!$H$2:$H$160,0)),"")</f>
        <v/>
      </c>
      <c r="AQ206" t="str">
        <f>IF(AP206="","",COUNTIF(Festivals!$H$2:$H$160,$E206))</f>
        <v/>
      </c>
      <c r="AR206" t="str">
        <f ca="1">IFERROR(MATCH(A206,'Holidays Calc'!$I$2:$I$233,0),"")</f>
        <v/>
      </c>
      <c r="AS206" t="str">
        <f t="shared" si="25"/>
        <v/>
      </c>
      <c r="AT206" t="str">
        <f t="shared" si="24"/>
        <v/>
      </c>
      <c r="AU206" t="str">
        <f t="shared" ca="1" si="26"/>
        <v/>
      </c>
      <c r="AV206" t="str">
        <f t="shared" ca="1" si="27"/>
        <v/>
      </c>
    </row>
    <row r="207" spans="1:48" x14ac:dyDescent="0.25">
      <c r="A207" s="265">
        <f t="shared" si="23"/>
        <v>43633</v>
      </c>
      <c r="B207" s="265" t="str">
        <f t="shared" si="28"/>
        <v>17 Jun 2019</v>
      </c>
      <c r="C207" s="267">
        <f t="shared" si="29"/>
        <v>25</v>
      </c>
      <c r="D207">
        <f>MATCH(A207,GCalXMLT[daydate],0)</f>
        <v>206</v>
      </c>
      <c r="E207">
        <f>VALUE("1" &amp; Masacod(INDEX(GCalXMLT[gymasa],D207)) &amp; PaksaCod(INDEX(GCalXMLT[mpaksaid],D207)) &amp; TithiCod(INDEX(GCalXMLT[stithiname],D207)))</f>
        <v>103115</v>
      </c>
      <c r="F207" t="str">
        <f ca="1">INDEX(Parameters!$K$2:$K$16,MATCH(AV207,Parameters!$L$2:$L$16,0))</f>
        <v>C</v>
      </c>
      <c r="G207">
        <f>INDEX(GCalXMLT[fastmark],$D207)</f>
        <v>0</v>
      </c>
      <c r="H207" t="str">
        <f ca="1">INDEX(Parameters!$J$2:$J$16,MATCH(AV207,Parameters!$L$2:$L$16,0))</f>
        <v/>
      </c>
      <c r="I207">
        <f>INDEX(GCalXMLT[dfestival1],$D207)</f>
        <v>0</v>
      </c>
      <c r="J207">
        <f>IF(INDEX(GCalXMLT[dfestival2],$D207)="(Fast today)",INDEX(Festivals!$R$2:$R$180,MATCH($I207,Festivals!$R$2:$R$180,0)+1),INDEX(GCalXMLT[dfestival2],$D207))</f>
        <v>0</v>
      </c>
      <c r="K207">
        <f>IF(I207="Nandotsava","(Fast till noon)",INDEX(GCalXMLT[dfestival3],$D207))</f>
        <v>0</v>
      </c>
      <c r="L207">
        <f>IF(I207="Nandotsava", INDEX(GCalXMLT[dfestival3],$D207),INDEX(GCalXMLT[dfestival4],$D207))</f>
        <v>0</v>
      </c>
      <c r="M207" t="str">
        <f>IFERROR(INDEX(Festivals!$S$2:$S$160,AP207),"")</f>
        <v>Snana Yatra</v>
      </c>
      <c r="N207" t="str">
        <f>IFERROR(IF($AQ207&gt;1,INDEX(Festivals!$S$2:$S$160,$AP207+1),""),"")</f>
        <v>Sri Mukunda Datta - Disappearance</v>
      </c>
      <c r="O207" t="str">
        <f>IFERROR(IF($AQ207&gt;2,INDEX(Festivals!$S$2:$S$160,$AP207+2),""),"")</f>
        <v>Sri Sridhara Pandita - Disappearance</v>
      </c>
      <c r="P207" t="str">
        <f>IFERROR(IF($AQ207&gt;3,INDEX(Festivals!$S$2:$S$160,$AP207+3),""),"")</f>
        <v/>
      </c>
      <c r="Q207" t="str">
        <f>IFERROR(IF($AQ207&gt;4,INDEX(Festivals!$S$2:$S$160,$AP207+4),""),"")</f>
        <v/>
      </c>
      <c r="R207" t="str">
        <f>IFERROR(IF($AQ207&gt;5,INDEX(Festivals!$S$2:$S$160,$AP207+5),""),"")</f>
        <v/>
      </c>
      <c r="S207" t="str">
        <f>IFERROR(IF($AQ207&gt;6,INDEX(Festivals!$S$2:$S$160,$AP207+6),""),"")</f>
        <v/>
      </c>
      <c r="T207">
        <f>INDEX(GCalXMLT[dcaturmasya1],$D207)</f>
        <v>0</v>
      </c>
      <c r="U207">
        <f>INDEX(GCalXMLT[dcaturmasya2],$D207)</f>
        <v>0</v>
      </c>
      <c r="V207" t="str">
        <f>INDEX(GCalXMLT[sankrantirasi],$D207) &amp; " " &amp; INDEX(GCalXMLT[sankrantitime],$D207)</f>
        <v xml:space="preserve"> </v>
      </c>
      <c r="W207" t="str">
        <f ca="1">IFERROR(INDEX('Holidays Calc'!$K$2:$K$233,AR207),"")</f>
        <v/>
      </c>
      <c r="X207" t="str">
        <f ca="1">IF(AR207="","",IF(INDEX('Holidays Calc'!$I$2:$I$233,AR207+1)=A207,INDEX('Holidays Calc'!$K$2:$K$233,AR207+1),""))</f>
        <v/>
      </c>
      <c r="Y207" t="str">
        <f ca="1">IF(AR207="","",IF(INDEX('Holidays Calc'!$I$2:$I$233,AR207+2)=A207,INDEX('Holidays Calc'!$K$2:$K$233,AR207+2),""))</f>
        <v/>
      </c>
      <c r="Z207" t="str">
        <f ca="1">IF(AR207="","",IF(INDEX('Holidays Calc'!$I$2:$I$233,AR207+3)=A207,INDEX('Holidays Calc'!$K$2:$K$2333,AR207+3),""))</f>
        <v/>
      </c>
      <c r="AA207" t="str">
        <f>IF(I207="Last day of Bhisma Pancaka","",IF(G207="*",-0.7,IF(ISBLANK(INDEX(GCalXMLT[dclass1],$D207)),"",INDEX(GCalXMLT[dclass1],$D207))))</f>
        <v/>
      </c>
      <c r="AB207" t="str">
        <f>IF(J207="First day of Bhisma Pancaka","",IF(AND(G207="*",NOT(ISERROR(SEARCH("ekadasi",J207)))),-0.7,IF(ISBLANK(INDEX(GCalXMLT[dclass2],$D207)),"",INDEX(GCalXMLT[dclass2],$D207))))</f>
        <v/>
      </c>
      <c r="AC207" t="str">
        <f>IF(I207="Nandotsava",-1,IF(ISBLANK(INDEX(GCalXMLT[dclass3],$D207)),"",INDEX(GCalXMLT[dclass3],$D207)))</f>
        <v/>
      </c>
      <c r="AD207" t="str">
        <f>IF(I207="Nandotsava",IF(ISBLANK(INDEX(GCalXMLT[dclass3],$D207)),"",INDEX(GCalXMLT[dclass3],$D207)),IF(ISBLANK(INDEX(GCalXMLT[dclass4],$D207)),"",INDEX(GCalXMLT[dclass4],$D207)))</f>
        <v/>
      </c>
      <c r="AE207">
        <f>IFERROR(INDEX(Festivals!$V$2:$V$160,AP207),"")</f>
        <v>1</v>
      </c>
      <c r="AF207">
        <f>IFERROR(IF($AQ207&gt;1,INDEX(Festivals!$V$2:$V$160,$AP207+1),""),"")</f>
        <v>3</v>
      </c>
      <c r="AG207">
        <f>IFERROR(IF($AQ207&gt;2,INDEX(Festivals!$V$2:$V$160,$AP207+2),""),"")</f>
        <v>3</v>
      </c>
      <c r="AH207" t="str">
        <f>IFERROR(IF($AQ207&gt;3,INDEX(Festivals!$V$2:$V$160,$AP207+3),""),"")</f>
        <v/>
      </c>
      <c r="AI207" t="str">
        <f>IFERROR(IF($AQ207&gt;4,INDEX(Festivals!$V$2:$V$160,$AP207+4),""),"")</f>
        <v/>
      </c>
      <c r="AJ207" t="str">
        <f>IFERROR(IF($AQ207&gt;5,INDEX(Festivals!$V$2:$V$160,$AP207+5),""),"")</f>
        <v/>
      </c>
      <c r="AK207" t="str">
        <f>IFERROR(IF($AQ207&gt;6,INDEX(Festivals!$V$2:$V$160,$AP207+6),""),"")</f>
        <v/>
      </c>
      <c r="AL207" t="str">
        <f ca="1">IFERROR(INDEX('Holidays Calc'!$J$2:$J$233,MATCH(A207,'Holidays Calc'!$I$2:$I$233,0)),"")</f>
        <v/>
      </c>
      <c r="AM207" t="str">
        <f ca="1">IF(AR207="","",IF(INDEX('Holidays Calc'!$I$2:$I$233,AR207+1)=A207,INDEX('Holidays Calc'!$J$2:$J$233,AR207+1),""))</f>
        <v/>
      </c>
      <c r="AN207" t="str">
        <f ca="1">IF(AR207="","",IF(INDEX('Holidays Calc'!$I$2:$I$233,AR207+2)=A207,INDEX('Holidays Calc'!$J$2:$J$233,AR207+2),""))</f>
        <v/>
      </c>
      <c r="AO207" t="str">
        <f ca="1">IF(AR207="","",IF(INDEX('Holidays Calc'!$I$2:$I$233,AR207+3)=A207,INDEX('Holidays Calc'!$J$2:$J$233,AR207+3),""))</f>
        <v/>
      </c>
      <c r="AP207">
        <f>IFERROR(IF($E207=E206,"",MATCH($E207,Festivals!$H$2:$H$160,0)),"")</f>
        <v>32</v>
      </c>
      <c r="AQ207">
        <f>IF(AP207="","",COUNTIF(Festivals!$H$2:$H$160,$E207))</f>
        <v>3</v>
      </c>
      <c r="AR207" t="str">
        <f ca="1">IFERROR(MATCH(A207,'Holidays Calc'!$I$2:$I$233,0),"")</f>
        <v/>
      </c>
      <c r="AS207">
        <f t="shared" si="25"/>
        <v>1</v>
      </c>
      <c r="AT207">
        <f t="shared" si="24"/>
        <v>1</v>
      </c>
      <c r="AU207" t="str">
        <f t="shared" ca="1" si="26"/>
        <v/>
      </c>
      <c r="AV207">
        <f t="shared" ca="1" si="27"/>
        <v>1</v>
      </c>
    </row>
    <row r="208" spans="1:48" x14ac:dyDescent="0.25">
      <c r="A208" s="265">
        <f t="shared" si="23"/>
        <v>43634</v>
      </c>
      <c r="B208" s="265" t="str">
        <f t="shared" si="28"/>
        <v>18 Jun 2019</v>
      </c>
      <c r="C208" s="267">
        <f t="shared" si="29"/>
        <v>25</v>
      </c>
      <c r="D208">
        <f>MATCH(A208,GCalXMLT[daydate],0)</f>
        <v>207</v>
      </c>
      <c r="E208">
        <f>VALUE("1" &amp; Masacod(INDEX(GCalXMLT[gymasa],D208)) &amp; PaksaCod(INDEX(GCalXMLT[mpaksaid],D208)) &amp; TithiCod(INDEX(GCalXMLT[stithiname],D208)))</f>
        <v>104001</v>
      </c>
      <c r="F208" t="str">
        <f ca="1">INDEX(Parameters!$K$2:$K$16,MATCH(AV208,Parameters!$L$2:$L$16,0))</f>
        <v>C</v>
      </c>
      <c r="G208">
        <f>INDEX(GCalXMLT[fastmark],$D208)</f>
        <v>0</v>
      </c>
      <c r="H208" t="str">
        <f ca="1">INDEX(Parameters!$J$2:$J$16,MATCH(AV208,Parameters!$L$2:$L$16,0))</f>
        <v/>
      </c>
      <c r="I208">
        <f>INDEX(GCalXMLT[dfestival1],$D208)</f>
        <v>0</v>
      </c>
      <c r="J208">
        <f>IF(INDEX(GCalXMLT[dfestival2],$D208)="(Fast today)",INDEX(Festivals!$R$2:$R$180,MATCH($I208,Festivals!$R$2:$R$180,0)+1),INDEX(GCalXMLT[dfestival2],$D208))</f>
        <v>0</v>
      </c>
      <c r="K208">
        <f>IF(I208="Nandotsava","(Fast till noon)",INDEX(GCalXMLT[dfestival3],$D208))</f>
        <v>0</v>
      </c>
      <c r="L208">
        <f>IF(I208="Nandotsava", INDEX(GCalXMLT[dfestival3],$D208),INDEX(GCalXMLT[dfestival4],$D208))</f>
        <v>0</v>
      </c>
      <c r="M208" t="str">
        <f>IFERROR(INDEX(Festivals!$S$2:$S$160,AP208),"")</f>
        <v>Sri Syamananda Prabhu - Disappearance</v>
      </c>
      <c r="N208" t="str">
        <f>IFERROR(IF($AQ208&gt;1,INDEX(Festivals!$S$2:$S$160,$AP208+1),""),"")</f>
        <v/>
      </c>
      <c r="O208" t="str">
        <f>IFERROR(IF($AQ208&gt;2,INDEX(Festivals!$S$2:$S$160,$AP208+2),""),"")</f>
        <v/>
      </c>
      <c r="P208" t="str">
        <f>IFERROR(IF($AQ208&gt;3,INDEX(Festivals!$S$2:$S$160,$AP208+3),""),"")</f>
        <v/>
      </c>
      <c r="Q208" t="str">
        <f>IFERROR(IF($AQ208&gt;4,INDEX(Festivals!$S$2:$S$160,$AP208+4),""),"")</f>
        <v/>
      </c>
      <c r="R208" t="str">
        <f>IFERROR(IF($AQ208&gt;5,INDEX(Festivals!$S$2:$S$160,$AP208+5),""),"")</f>
        <v/>
      </c>
      <c r="S208" t="str">
        <f>IFERROR(IF($AQ208&gt;6,INDEX(Festivals!$S$2:$S$160,$AP208+6),""),"")</f>
        <v/>
      </c>
      <c r="T208">
        <f>INDEX(GCalXMLT[dcaturmasya1],$D208)</f>
        <v>0</v>
      </c>
      <c r="U208">
        <f>INDEX(GCalXMLT[dcaturmasya2],$D208)</f>
        <v>0</v>
      </c>
      <c r="V208" t="str">
        <f>INDEX(GCalXMLT[sankrantirasi],$D208) &amp; " " &amp; INDEX(GCalXMLT[sankrantitime],$D208)</f>
        <v xml:space="preserve"> </v>
      </c>
      <c r="W208" t="str">
        <f ca="1">IFERROR(INDEX('Holidays Calc'!$K$2:$K$233,AR208),"")</f>
        <v/>
      </c>
      <c r="X208" t="str">
        <f ca="1">IF(AR208="","",IF(INDEX('Holidays Calc'!$I$2:$I$233,AR208+1)=A208,INDEX('Holidays Calc'!$K$2:$K$233,AR208+1),""))</f>
        <v/>
      </c>
      <c r="Y208" t="str">
        <f ca="1">IF(AR208="","",IF(INDEX('Holidays Calc'!$I$2:$I$233,AR208+2)=A208,INDEX('Holidays Calc'!$K$2:$K$233,AR208+2),""))</f>
        <v/>
      </c>
      <c r="Z208" t="str">
        <f ca="1">IF(AR208="","",IF(INDEX('Holidays Calc'!$I$2:$I$233,AR208+3)=A208,INDEX('Holidays Calc'!$K$2:$K$2333,AR208+3),""))</f>
        <v/>
      </c>
      <c r="AA208" t="str">
        <f>IF(I208="Last day of Bhisma Pancaka","",IF(G208="*",-0.7,IF(ISBLANK(INDEX(GCalXMLT[dclass1],$D208)),"",INDEX(GCalXMLT[dclass1],$D208))))</f>
        <v/>
      </c>
      <c r="AB208" t="str">
        <f>IF(J208="First day of Bhisma Pancaka","",IF(AND(G208="*",NOT(ISERROR(SEARCH("ekadasi",J208)))),-0.7,IF(ISBLANK(INDEX(GCalXMLT[dclass2],$D208)),"",INDEX(GCalXMLT[dclass2],$D208))))</f>
        <v/>
      </c>
      <c r="AC208" t="str">
        <f>IF(I208="Nandotsava",-1,IF(ISBLANK(INDEX(GCalXMLT[dclass3],$D208)),"",INDEX(GCalXMLT[dclass3],$D208)))</f>
        <v/>
      </c>
      <c r="AD208" t="str">
        <f>IF(I208="Nandotsava",IF(ISBLANK(INDEX(GCalXMLT[dclass3],$D208)),"",INDEX(GCalXMLT[dclass3],$D208)),IF(ISBLANK(INDEX(GCalXMLT[dclass4],$D208)),"",INDEX(GCalXMLT[dclass4],$D208)))</f>
        <v/>
      </c>
      <c r="AE208">
        <f>IFERROR(INDEX(Festivals!$V$2:$V$160,AP208),"")</f>
        <v>3</v>
      </c>
      <c r="AF208" t="str">
        <f>IFERROR(IF($AQ208&gt;1,INDEX(Festivals!$V$2:$V$160,$AP208+1),""),"")</f>
        <v/>
      </c>
      <c r="AG208" t="str">
        <f>IFERROR(IF($AQ208&gt;2,INDEX(Festivals!$V$2:$V$160,$AP208+2),""),"")</f>
        <v/>
      </c>
      <c r="AH208" t="str">
        <f>IFERROR(IF($AQ208&gt;3,INDEX(Festivals!$V$2:$V$160,$AP208+3),""),"")</f>
        <v/>
      </c>
      <c r="AI208" t="str">
        <f>IFERROR(IF($AQ208&gt;4,INDEX(Festivals!$V$2:$V$160,$AP208+4),""),"")</f>
        <v/>
      </c>
      <c r="AJ208" t="str">
        <f>IFERROR(IF($AQ208&gt;5,INDEX(Festivals!$V$2:$V$160,$AP208+5),""),"")</f>
        <v/>
      </c>
      <c r="AK208" t="str">
        <f>IFERROR(IF($AQ208&gt;6,INDEX(Festivals!$V$2:$V$160,$AP208+6),""),"")</f>
        <v/>
      </c>
      <c r="AL208" t="str">
        <f ca="1">IFERROR(INDEX('Holidays Calc'!$J$2:$J$233,MATCH(A208,'Holidays Calc'!$I$2:$I$233,0)),"")</f>
        <v/>
      </c>
      <c r="AM208" t="str">
        <f ca="1">IF(AR208="","",IF(INDEX('Holidays Calc'!$I$2:$I$233,AR208+1)=A208,INDEX('Holidays Calc'!$J$2:$J$233,AR208+1),""))</f>
        <v/>
      </c>
      <c r="AN208" t="str">
        <f ca="1">IF(AR208="","",IF(INDEX('Holidays Calc'!$I$2:$I$233,AR208+2)=A208,INDEX('Holidays Calc'!$J$2:$J$233,AR208+2),""))</f>
        <v/>
      </c>
      <c r="AO208" t="str">
        <f ca="1">IF(AR208="","",IF(INDEX('Holidays Calc'!$I$2:$I$233,AR208+3)=A208,INDEX('Holidays Calc'!$J$2:$J$233,AR208+3),""))</f>
        <v/>
      </c>
      <c r="AP208">
        <f>IFERROR(IF($E208=E207,"",MATCH($E208,Festivals!$H$2:$H$160,0)),"")</f>
        <v>35</v>
      </c>
      <c r="AQ208">
        <f>IF(AP208="","",COUNTIF(Festivals!$H$2:$H$160,$E208))</f>
        <v>1</v>
      </c>
      <c r="AR208" t="str">
        <f ca="1">IFERROR(MATCH(A208,'Holidays Calc'!$I$2:$I$233,0),"")</f>
        <v/>
      </c>
      <c r="AS208">
        <f t="shared" si="25"/>
        <v>3</v>
      </c>
      <c r="AT208">
        <f t="shared" si="24"/>
        <v>3</v>
      </c>
      <c r="AU208" t="str">
        <f t="shared" ca="1" si="26"/>
        <v/>
      </c>
      <c r="AV208">
        <f t="shared" ca="1" si="27"/>
        <v>3</v>
      </c>
    </row>
    <row r="209" spans="1:48" x14ac:dyDescent="0.25">
      <c r="A209" s="265">
        <f t="shared" si="23"/>
        <v>43635</v>
      </c>
      <c r="B209" s="265" t="str">
        <f t="shared" si="28"/>
        <v>19 Jun 2019</v>
      </c>
      <c r="C209" s="267">
        <f t="shared" si="29"/>
        <v>25</v>
      </c>
      <c r="D209">
        <f>MATCH(A209,GCalXMLT[daydate],0)</f>
        <v>208</v>
      </c>
      <c r="E209">
        <f>VALUE("1" &amp; Masacod(INDEX(GCalXMLT[gymasa],D209)) &amp; PaksaCod(INDEX(GCalXMLT[mpaksaid],D209)) &amp; TithiCod(INDEX(GCalXMLT[stithiname],D209)))</f>
        <v>104002</v>
      </c>
      <c r="F209" t="str">
        <f ca="1">INDEX(Parameters!$K$2:$K$16,MATCH(AV209,Parameters!$L$2:$L$16,0))</f>
        <v/>
      </c>
      <c r="G209">
        <f>INDEX(GCalXMLT[fastmark],$D209)</f>
        <v>0</v>
      </c>
      <c r="H209" t="str">
        <f ca="1">INDEX(Parameters!$J$2:$J$16,MATCH(AV209,Parameters!$L$2:$L$16,0))</f>
        <v/>
      </c>
      <c r="I209">
        <f>INDEX(GCalXMLT[dfestival1],$D209)</f>
        <v>0</v>
      </c>
      <c r="J209">
        <f>IF(INDEX(GCalXMLT[dfestival2],$D209)="(Fast today)",INDEX(Festivals!$R$2:$R$180,MATCH($I209,Festivals!$R$2:$R$180,0)+1),INDEX(GCalXMLT[dfestival2],$D209))</f>
        <v>0</v>
      </c>
      <c r="K209">
        <f>IF(I209="Nandotsava","(Fast till noon)",INDEX(GCalXMLT[dfestival3],$D209))</f>
        <v>0</v>
      </c>
      <c r="L209">
        <f>IF(I209="Nandotsava", INDEX(GCalXMLT[dfestival3],$D209),INDEX(GCalXMLT[dfestival4],$D209))</f>
        <v>0</v>
      </c>
      <c r="M209" t="str">
        <f>IFERROR(INDEX(Festivals!$S$2:$S$160,AP209),"")</f>
        <v/>
      </c>
      <c r="N209" t="str">
        <f>IFERROR(IF($AQ209&gt;1,INDEX(Festivals!$S$2:$S$160,$AP209+1),""),"")</f>
        <v/>
      </c>
      <c r="O209" t="str">
        <f>IFERROR(IF($AQ209&gt;2,INDEX(Festivals!$S$2:$S$160,$AP209+2),""),"")</f>
        <v/>
      </c>
      <c r="P209" t="str">
        <f>IFERROR(IF($AQ209&gt;3,INDEX(Festivals!$S$2:$S$160,$AP209+3),""),"")</f>
        <v/>
      </c>
      <c r="Q209" t="str">
        <f>IFERROR(IF($AQ209&gt;4,INDEX(Festivals!$S$2:$S$160,$AP209+4),""),"")</f>
        <v/>
      </c>
      <c r="R209" t="str">
        <f>IFERROR(IF($AQ209&gt;5,INDEX(Festivals!$S$2:$S$160,$AP209+5),""),"")</f>
        <v/>
      </c>
      <c r="S209" t="str">
        <f>IFERROR(IF($AQ209&gt;6,INDEX(Festivals!$S$2:$S$160,$AP209+6),""),"")</f>
        <v/>
      </c>
      <c r="T209">
        <f>INDEX(GCalXMLT[dcaturmasya1],$D209)</f>
        <v>0</v>
      </c>
      <c r="U209">
        <f>INDEX(GCalXMLT[dcaturmasya2],$D209)</f>
        <v>0</v>
      </c>
      <c r="V209" t="str">
        <f>INDEX(GCalXMLT[sankrantirasi],$D209) &amp; " " &amp; INDEX(GCalXMLT[sankrantitime],$D209)</f>
        <v xml:space="preserve"> </v>
      </c>
      <c r="W209" t="str">
        <f ca="1">IFERROR(INDEX('Holidays Calc'!$K$2:$K$233,AR209),"")</f>
        <v/>
      </c>
      <c r="X209" t="str">
        <f ca="1">IF(AR209="","",IF(INDEX('Holidays Calc'!$I$2:$I$233,AR209+1)=A209,INDEX('Holidays Calc'!$K$2:$K$233,AR209+1),""))</f>
        <v/>
      </c>
      <c r="Y209" t="str">
        <f ca="1">IF(AR209="","",IF(INDEX('Holidays Calc'!$I$2:$I$233,AR209+2)=A209,INDEX('Holidays Calc'!$K$2:$K$233,AR209+2),""))</f>
        <v/>
      </c>
      <c r="Z209" t="str">
        <f ca="1">IF(AR209="","",IF(INDEX('Holidays Calc'!$I$2:$I$233,AR209+3)=A209,INDEX('Holidays Calc'!$K$2:$K$2333,AR209+3),""))</f>
        <v/>
      </c>
      <c r="AA209" t="str">
        <f>IF(I209="Last day of Bhisma Pancaka","",IF(G209="*",-0.7,IF(ISBLANK(INDEX(GCalXMLT[dclass1],$D209)),"",INDEX(GCalXMLT[dclass1],$D209))))</f>
        <v/>
      </c>
      <c r="AB209" t="str">
        <f>IF(J209="First day of Bhisma Pancaka","",IF(AND(G209="*",NOT(ISERROR(SEARCH("ekadasi",J209)))),-0.7,IF(ISBLANK(INDEX(GCalXMLT[dclass2],$D209)),"",INDEX(GCalXMLT[dclass2],$D209))))</f>
        <v/>
      </c>
      <c r="AC209" t="str">
        <f>IF(I209="Nandotsava",-1,IF(ISBLANK(INDEX(GCalXMLT[dclass3],$D209)),"",INDEX(GCalXMLT[dclass3],$D209)))</f>
        <v/>
      </c>
      <c r="AD209" t="str">
        <f>IF(I209="Nandotsava",IF(ISBLANK(INDEX(GCalXMLT[dclass3],$D209)),"",INDEX(GCalXMLT[dclass3],$D209)),IF(ISBLANK(INDEX(GCalXMLT[dclass4],$D209)),"",INDEX(GCalXMLT[dclass4],$D209)))</f>
        <v/>
      </c>
      <c r="AE209" t="str">
        <f>IFERROR(INDEX(Festivals!$V$2:$V$160,AP209),"")</f>
        <v/>
      </c>
      <c r="AF209" t="str">
        <f>IFERROR(IF($AQ209&gt;1,INDEX(Festivals!$V$2:$V$160,$AP209+1),""),"")</f>
        <v/>
      </c>
      <c r="AG209" t="str">
        <f>IFERROR(IF($AQ209&gt;2,INDEX(Festivals!$V$2:$V$160,$AP209+2),""),"")</f>
        <v/>
      </c>
      <c r="AH209" t="str">
        <f>IFERROR(IF($AQ209&gt;3,INDEX(Festivals!$V$2:$V$160,$AP209+3),""),"")</f>
        <v/>
      </c>
      <c r="AI209" t="str">
        <f>IFERROR(IF($AQ209&gt;4,INDEX(Festivals!$V$2:$V$160,$AP209+4),""),"")</f>
        <v/>
      </c>
      <c r="AJ209" t="str">
        <f>IFERROR(IF($AQ209&gt;5,INDEX(Festivals!$V$2:$V$160,$AP209+5),""),"")</f>
        <v/>
      </c>
      <c r="AK209" t="str">
        <f>IFERROR(IF($AQ209&gt;6,INDEX(Festivals!$V$2:$V$160,$AP209+6),""),"")</f>
        <v/>
      </c>
      <c r="AL209" t="str">
        <f ca="1">IFERROR(INDEX('Holidays Calc'!$J$2:$J$233,MATCH(A209,'Holidays Calc'!$I$2:$I$233,0)),"")</f>
        <v/>
      </c>
      <c r="AM209" t="str">
        <f ca="1">IF(AR209="","",IF(INDEX('Holidays Calc'!$I$2:$I$233,AR209+1)=A209,INDEX('Holidays Calc'!$J$2:$J$233,AR209+1),""))</f>
        <v/>
      </c>
      <c r="AN209" t="str">
        <f ca="1">IF(AR209="","",IF(INDEX('Holidays Calc'!$I$2:$I$233,AR209+2)=A209,INDEX('Holidays Calc'!$J$2:$J$233,AR209+2),""))</f>
        <v/>
      </c>
      <c r="AO209" t="str">
        <f ca="1">IF(AR209="","",IF(INDEX('Holidays Calc'!$I$2:$I$233,AR209+3)=A209,INDEX('Holidays Calc'!$J$2:$J$233,AR209+3),""))</f>
        <v/>
      </c>
      <c r="AP209" t="str">
        <f>IFERROR(IF($E209=E208,"",MATCH($E209,Festivals!$H$2:$H$160,0)),"")</f>
        <v/>
      </c>
      <c r="AQ209" t="str">
        <f>IF(AP209="","",COUNTIF(Festivals!$H$2:$H$160,$E209))</f>
        <v/>
      </c>
      <c r="AR209" t="str">
        <f ca="1">IFERROR(MATCH(A209,'Holidays Calc'!$I$2:$I$233,0),"")</f>
        <v/>
      </c>
      <c r="AS209" t="str">
        <f t="shared" si="25"/>
        <v/>
      </c>
      <c r="AT209" t="str">
        <f t="shared" si="24"/>
        <v/>
      </c>
      <c r="AU209" t="str">
        <f t="shared" ca="1" si="26"/>
        <v/>
      </c>
      <c r="AV209" t="str">
        <f t="shared" ca="1" si="27"/>
        <v/>
      </c>
    </row>
    <row r="210" spans="1:48" x14ac:dyDescent="0.25">
      <c r="A210" s="265">
        <f t="shared" si="23"/>
        <v>43636</v>
      </c>
      <c r="B210" s="265" t="str">
        <f t="shared" si="28"/>
        <v>20 Jun 2019</v>
      </c>
      <c r="C210" s="267">
        <f t="shared" si="29"/>
        <v>25</v>
      </c>
      <c r="D210">
        <f>MATCH(A210,GCalXMLT[daydate],0)</f>
        <v>209</v>
      </c>
      <c r="E210">
        <f>VALUE("1" &amp; Masacod(INDEX(GCalXMLT[gymasa],D210)) &amp; PaksaCod(INDEX(GCalXMLT[mpaksaid],D210)) &amp; TithiCod(INDEX(GCalXMLT[stithiname],D210)))</f>
        <v>104003</v>
      </c>
      <c r="F210" t="str">
        <f ca="1">INDEX(Parameters!$K$2:$K$16,MATCH(AV210,Parameters!$L$2:$L$16,0))</f>
        <v>H</v>
      </c>
      <c r="G210">
        <f>INDEX(GCalXMLT[fastmark],$D210)</f>
        <v>0</v>
      </c>
      <c r="H210" t="str">
        <f ca="1">INDEX(Parameters!$J$2:$J$16,MATCH(AV210,Parameters!$L$2:$L$16,0))</f>
        <v/>
      </c>
      <c r="I210">
        <f>INDEX(GCalXMLT[dfestival1],$D210)</f>
        <v>0</v>
      </c>
      <c r="J210">
        <f>IF(INDEX(GCalXMLT[dfestival2],$D210)="(Fast today)",INDEX(Festivals!$R$2:$R$180,MATCH($I210,Festivals!$R$2:$R$180,0)+1),INDEX(GCalXMLT[dfestival2],$D210))</f>
        <v>0</v>
      </c>
      <c r="K210">
        <f>IF(I210="Nandotsava","(Fast till noon)",INDEX(GCalXMLT[dfestival3],$D210))</f>
        <v>0</v>
      </c>
      <c r="L210">
        <f>IF(I210="Nandotsava", INDEX(GCalXMLT[dfestival3],$D210),INDEX(GCalXMLT[dfestival4],$D210))</f>
        <v>0</v>
      </c>
      <c r="M210" t="str">
        <f>IFERROR(INDEX(Festivals!$S$2:$S$160,AP210),"")</f>
        <v/>
      </c>
      <c r="N210" t="str">
        <f>IFERROR(IF($AQ210&gt;1,INDEX(Festivals!$S$2:$S$160,$AP210+1),""),"")</f>
        <v/>
      </c>
      <c r="O210" t="str">
        <f>IFERROR(IF($AQ210&gt;2,INDEX(Festivals!$S$2:$S$160,$AP210+2),""),"")</f>
        <v/>
      </c>
      <c r="P210" t="str">
        <f>IFERROR(IF($AQ210&gt;3,INDEX(Festivals!$S$2:$S$160,$AP210+3),""),"")</f>
        <v/>
      </c>
      <c r="Q210" t="str">
        <f>IFERROR(IF($AQ210&gt;4,INDEX(Festivals!$S$2:$S$160,$AP210+4),""),"")</f>
        <v/>
      </c>
      <c r="R210" t="str">
        <f>IFERROR(IF($AQ210&gt;5,INDEX(Festivals!$S$2:$S$160,$AP210+5),""),"")</f>
        <v/>
      </c>
      <c r="S210" t="str">
        <f>IFERROR(IF($AQ210&gt;6,INDEX(Festivals!$S$2:$S$160,$AP210+6),""),"")</f>
        <v/>
      </c>
      <c r="T210">
        <f>INDEX(GCalXMLT[dcaturmasya1],$D210)</f>
        <v>0</v>
      </c>
      <c r="U210">
        <f>INDEX(GCalXMLT[dcaturmasya2],$D210)</f>
        <v>0</v>
      </c>
      <c r="V210" t="str">
        <f>INDEX(GCalXMLT[sankrantirasi],$D210) &amp; " " &amp; INDEX(GCalXMLT[sankrantitime],$D210)</f>
        <v xml:space="preserve"> </v>
      </c>
      <c r="W210" t="str">
        <f ca="1">IFERROR(INDEX('Holidays Calc'!$K$2:$K$233,AR210),"")</f>
        <v>Corpus Christi</v>
      </c>
      <c r="X210" t="str">
        <f ca="1">IF(AR210="","",IF(INDEX('Holidays Calc'!$I$2:$I$233,AR210+1)=A210,INDEX('Holidays Calc'!$K$2:$K$233,AR210+1),""))</f>
        <v>Inverno</v>
      </c>
      <c r="Y210" t="str">
        <f ca="1">IF(AR210="","",IF(INDEX('Holidays Calc'!$I$2:$I$233,AR210+2)=A210,INDEX('Holidays Calc'!$K$2:$K$233,AR210+2),""))</f>
        <v/>
      </c>
      <c r="Z210" t="str">
        <f ca="1">IF(AR210="","",IF(INDEX('Holidays Calc'!$I$2:$I$233,AR210+3)=A210,INDEX('Holidays Calc'!$K$2:$K$2333,AR210+3),""))</f>
        <v/>
      </c>
      <c r="AA210" t="str">
        <f>IF(I210="Last day of Bhisma Pancaka","",IF(G210="*",-0.7,IF(ISBLANK(INDEX(GCalXMLT[dclass1],$D210)),"",INDEX(GCalXMLT[dclass1],$D210))))</f>
        <v/>
      </c>
      <c r="AB210" t="str">
        <f>IF(J210="First day of Bhisma Pancaka","",IF(AND(G210="*",NOT(ISERROR(SEARCH("ekadasi",J210)))),-0.7,IF(ISBLANK(INDEX(GCalXMLT[dclass2],$D210)),"",INDEX(GCalXMLT[dclass2],$D210))))</f>
        <v/>
      </c>
      <c r="AC210" t="str">
        <f>IF(I210="Nandotsava",-1,IF(ISBLANK(INDEX(GCalXMLT[dclass3],$D210)),"",INDEX(GCalXMLT[dclass3],$D210)))</f>
        <v/>
      </c>
      <c r="AD210" t="str">
        <f>IF(I210="Nandotsava",IF(ISBLANK(INDEX(GCalXMLT[dclass3],$D210)),"",INDEX(GCalXMLT[dclass3],$D210)),IF(ISBLANK(INDEX(GCalXMLT[dclass4],$D210)),"",INDEX(GCalXMLT[dclass4],$D210)))</f>
        <v/>
      </c>
      <c r="AE210" t="str">
        <f>IFERROR(INDEX(Festivals!$V$2:$V$160,AP210),"")</f>
        <v/>
      </c>
      <c r="AF210" t="str">
        <f>IFERROR(IF($AQ210&gt;1,INDEX(Festivals!$V$2:$V$160,$AP210+1),""),"")</f>
        <v/>
      </c>
      <c r="AG210" t="str">
        <f>IFERROR(IF($AQ210&gt;2,INDEX(Festivals!$V$2:$V$160,$AP210+2),""),"")</f>
        <v/>
      </c>
      <c r="AH210" t="str">
        <f>IFERROR(IF($AQ210&gt;3,INDEX(Festivals!$V$2:$V$160,$AP210+3),""),"")</f>
        <v/>
      </c>
      <c r="AI210" t="str">
        <f>IFERROR(IF($AQ210&gt;4,INDEX(Festivals!$V$2:$V$160,$AP210+4),""),"")</f>
        <v/>
      </c>
      <c r="AJ210" t="str">
        <f>IFERROR(IF($AQ210&gt;5,INDEX(Festivals!$V$2:$V$160,$AP210+5),""),"")</f>
        <v/>
      </c>
      <c r="AK210" t="str">
        <f>IFERROR(IF($AQ210&gt;6,INDEX(Festivals!$V$2:$V$160,$AP210+6),""),"")</f>
        <v/>
      </c>
      <c r="AL210">
        <f ca="1">IFERROR(INDEX('Holidays Calc'!$J$2:$J$233,MATCH(A210,'Holidays Calc'!$I$2:$I$233,0)),"")</f>
        <v>-11</v>
      </c>
      <c r="AM210">
        <f ca="1">IF(AR210="","",IF(INDEX('Holidays Calc'!$I$2:$I$233,AR210+1)=A210,INDEX('Holidays Calc'!$J$2:$J$233,AR210+1),""))</f>
        <v>0.5</v>
      </c>
      <c r="AN210" t="str">
        <f ca="1">IF(AR210="","",IF(INDEX('Holidays Calc'!$I$2:$I$233,AR210+2)=A210,INDEX('Holidays Calc'!$J$2:$J$233,AR210+2),""))</f>
        <v/>
      </c>
      <c r="AO210" t="str">
        <f ca="1">IF(AR210="","",IF(INDEX('Holidays Calc'!$I$2:$I$233,AR210+3)=A210,INDEX('Holidays Calc'!$J$2:$J$233,AR210+3),""))</f>
        <v/>
      </c>
      <c r="AP210" t="str">
        <f>IFERROR(IF($E210=E209,"",MATCH($E210,Festivals!$H$2:$H$160,0)),"")</f>
        <v/>
      </c>
      <c r="AQ210" t="str">
        <f>IF(AP210="","",COUNTIF(Festivals!$H$2:$H$160,$E210))</f>
        <v/>
      </c>
      <c r="AR210">
        <f ca="1">IFERROR(MATCH(A210,'Holidays Calc'!$I$2:$I$233,0),"")</f>
        <v>54</v>
      </c>
      <c r="AS210" t="str">
        <f t="shared" si="25"/>
        <v/>
      </c>
      <c r="AT210" t="str">
        <f t="shared" si="24"/>
        <v/>
      </c>
      <c r="AU210">
        <f t="shared" ca="1" si="26"/>
        <v>-11</v>
      </c>
      <c r="AV210">
        <f t="shared" ca="1" si="27"/>
        <v>-11</v>
      </c>
    </row>
    <row r="211" spans="1:48" x14ac:dyDescent="0.25">
      <c r="A211" s="265">
        <f t="shared" si="23"/>
        <v>43637</v>
      </c>
      <c r="B211" s="265" t="str">
        <f t="shared" si="28"/>
        <v>21 Jun 2019</v>
      </c>
      <c r="C211" s="267">
        <f t="shared" si="29"/>
        <v>25</v>
      </c>
      <c r="D211">
        <f>MATCH(A211,GCalXMLT[daydate],0)</f>
        <v>210</v>
      </c>
      <c r="E211">
        <f>VALUE("1" &amp; Masacod(INDEX(GCalXMLT[gymasa],D211)) &amp; PaksaCod(INDEX(GCalXMLT[mpaksaid],D211)) &amp; TithiCod(INDEX(GCalXMLT[stithiname],D211)))</f>
        <v>104004</v>
      </c>
      <c r="F211" t="str">
        <f ca="1">INDEX(Parameters!$K$2:$K$16,MATCH(AV211,Parameters!$L$2:$L$16,0))</f>
        <v/>
      </c>
      <c r="G211">
        <f>INDEX(GCalXMLT[fastmark],$D211)</f>
        <v>0</v>
      </c>
      <c r="H211" t="str">
        <f ca="1">INDEX(Parameters!$J$2:$J$16,MATCH(AV211,Parameters!$L$2:$L$16,0))</f>
        <v/>
      </c>
      <c r="I211">
        <f>INDEX(GCalXMLT[dfestival1],$D211)</f>
        <v>0</v>
      </c>
      <c r="J211">
        <f>IF(INDEX(GCalXMLT[dfestival2],$D211)="(Fast today)",INDEX(Festivals!$R$2:$R$180,MATCH($I211,Festivals!$R$2:$R$180,0)+1),INDEX(GCalXMLT[dfestival2],$D211))</f>
        <v>0</v>
      </c>
      <c r="K211">
        <f>IF(I211="Nandotsava","(Fast till noon)",INDEX(GCalXMLT[dfestival3],$D211))</f>
        <v>0</v>
      </c>
      <c r="L211">
        <f>IF(I211="Nandotsava", INDEX(GCalXMLT[dfestival3],$D211),INDEX(GCalXMLT[dfestival4],$D211))</f>
        <v>0</v>
      </c>
      <c r="M211" t="str">
        <f>IFERROR(INDEX(Festivals!$S$2:$S$160,AP211),"")</f>
        <v/>
      </c>
      <c r="N211" t="str">
        <f>IFERROR(IF($AQ211&gt;1,INDEX(Festivals!$S$2:$S$160,$AP211+1),""),"")</f>
        <v/>
      </c>
      <c r="O211" t="str">
        <f>IFERROR(IF($AQ211&gt;2,INDEX(Festivals!$S$2:$S$160,$AP211+2),""),"")</f>
        <v/>
      </c>
      <c r="P211" t="str">
        <f>IFERROR(IF($AQ211&gt;3,INDEX(Festivals!$S$2:$S$160,$AP211+3),""),"")</f>
        <v/>
      </c>
      <c r="Q211" t="str">
        <f>IFERROR(IF($AQ211&gt;4,INDEX(Festivals!$S$2:$S$160,$AP211+4),""),"")</f>
        <v/>
      </c>
      <c r="R211" t="str">
        <f>IFERROR(IF($AQ211&gt;5,INDEX(Festivals!$S$2:$S$160,$AP211+5),""),"")</f>
        <v/>
      </c>
      <c r="S211" t="str">
        <f>IFERROR(IF($AQ211&gt;6,INDEX(Festivals!$S$2:$S$160,$AP211+6),""),"")</f>
        <v/>
      </c>
      <c r="T211">
        <f>INDEX(GCalXMLT[dcaturmasya1],$D211)</f>
        <v>0</v>
      </c>
      <c r="U211">
        <f>INDEX(GCalXMLT[dcaturmasya2],$D211)</f>
        <v>0</v>
      </c>
      <c r="V211" t="str">
        <f>INDEX(GCalXMLT[sankrantirasi],$D211) &amp; " " &amp; INDEX(GCalXMLT[sankrantitime],$D211)</f>
        <v xml:space="preserve"> </v>
      </c>
      <c r="W211" t="str">
        <f ca="1">IFERROR(INDEX('Holidays Calc'!$K$2:$K$233,AR211),"")</f>
        <v/>
      </c>
      <c r="X211" t="str">
        <f ca="1">IF(AR211="","",IF(INDEX('Holidays Calc'!$I$2:$I$233,AR211+1)=A211,INDEX('Holidays Calc'!$K$2:$K$233,AR211+1),""))</f>
        <v/>
      </c>
      <c r="Y211" t="str">
        <f ca="1">IF(AR211="","",IF(INDEX('Holidays Calc'!$I$2:$I$233,AR211+2)=A211,INDEX('Holidays Calc'!$K$2:$K$233,AR211+2),""))</f>
        <v/>
      </c>
      <c r="Z211" t="str">
        <f ca="1">IF(AR211="","",IF(INDEX('Holidays Calc'!$I$2:$I$233,AR211+3)=A211,INDEX('Holidays Calc'!$K$2:$K$2333,AR211+3),""))</f>
        <v/>
      </c>
      <c r="AA211" t="str">
        <f>IF(I211="Last day of Bhisma Pancaka","",IF(G211="*",-0.7,IF(ISBLANK(INDEX(GCalXMLT[dclass1],$D211)),"",INDEX(GCalXMLT[dclass1],$D211))))</f>
        <v/>
      </c>
      <c r="AB211" t="str">
        <f>IF(J211="First day of Bhisma Pancaka","",IF(AND(G211="*",NOT(ISERROR(SEARCH("ekadasi",J211)))),-0.7,IF(ISBLANK(INDEX(GCalXMLT[dclass2],$D211)),"",INDEX(GCalXMLT[dclass2],$D211))))</f>
        <v/>
      </c>
      <c r="AC211" t="str">
        <f>IF(I211="Nandotsava",-1,IF(ISBLANK(INDEX(GCalXMLT[dclass3],$D211)),"",INDEX(GCalXMLT[dclass3],$D211)))</f>
        <v/>
      </c>
      <c r="AD211" t="str">
        <f>IF(I211="Nandotsava",IF(ISBLANK(INDEX(GCalXMLT[dclass3],$D211)),"",INDEX(GCalXMLT[dclass3],$D211)),IF(ISBLANK(INDEX(GCalXMLT[dclass4],$D211)),"",INDEX(GCalXMLT[dclass4],$D211)))</f>
        <v/>
      </c>
      <c r="AE211" t="str">
        <f>IFERROR(INDEX(Festivals!$V$2:$V$160,AP211),"")</f>
        <v/>
      </c>
      <c r="AF211" t="str">
        <f>IFERROR(IF($AQ211&gt;1,INDEX(Festivals!$V$2:$V$160,$AP211+1),""),"")</f>
        <v/>
      </c>
      <c r="AG211" t="str">
        <f>IFERROR(IF($AQ211&gt;2,INDEX(Festivals!$V$2:$V$160,$AP211+2),""),"")</f>
        <v/>
      </c>
      <c r="AH211" t="str">
        <f>IFERROR(IF($AQ211&gt;3,INDEX(Festivals!$V$2:$V$160,$AP211+3),""),"")</f>
        <v/>
      </c>
      <c r="AI211" t="str">
        <f>IFERROR(IF($AQ211&gt;4,INDEX(Festivals!$V$2:$V$160,$AP211+4),""),"")</f>
        <v/>
      </c>
      <c r="AJ211" t="str">
        <f>IFERROR(IF($AQ211&gt;5,INDEX(Festivals!$V$2:$V$160,$AP211+5),""),"")</f>
        <v/>
      </c>
      <c r="AK211" t="str">
        <f>IFERROR(IF($AQ211&gt;6,INDEX(Festivals!$V$2:$V$160,$AP211+6),""),"")</f>
        <v/>
      </c>
      <c r="AL211" t="str">
        <f ca="1">IFERROR(INDEX('Holidays Calc'!$J$2:$J$233,MATCH(A211,'Holidays Calc'!$I$2:$I$233,0)),"")</f>
        <v/>
      </c>
      <c r="AM211" t="str">
        <f ca="1">IF(AR211="","",IF(INDEX('Holidays Calc'!$I$2:$I$233,AR211+1)=A211,INDEX('Holidays Calc'!$J$2:$J$233,AR211+1),""))</f>
        <v/>
      </c>
      <c r="AN211" t="str">
        <f ca="1">IF(AR211="","",IF(INDEX('Holidays Calc'!$I$2:$I$233,AR211+2)=A211,INDEX('Holidays Calc'!$J$2:$J$233,AR211+2),""))</f>
        <v/>
      </c>
      <c r="AO211" t="str">
        <f ca="1">IF(AR211="","",IF(INDEX('Holidays Calc'!$I$2:$I$233,AR211+3)=A211,INDEX('Holidays Calc'!$J$2:$J$233,AR211+3),""))</f>
        <v/>
      </c>
      <c r="AP211" t="str">
        <f>IFERROR(IF($E211=E210,"",MATCH($E211,Festivals!$H$2:$H$160,0)),"")</f>
        <v/>
      </c>
      <c r="AQ211" t="str">
        <f>IF(AP211="","",COUNTIF(Festivals!$H$2:$H$160,$E211))</f>
        <v/>
      </c>
      <c r="AR211" t="str">
        <f ca="1">IFERROR(MATCH(A211,'Holidays Calc'!$I$2:$I$233,0),"")</f>
        <v/>
      </c>
      <c r="AS211" t="str">
        <f t="shared" si="25"/>
        <v/>
      </c>
      <c r="AT211" t="str">
        <f t="shared" si="24"/>
        <v/>
      </c>
      <c r="AU211" t="str">
        <f t="shared" ca="1" si="26"/>
        <v/>
      </c>
      <c r="AV211" t="str">
        <f t="shared" ca="1" si="27"/>
        <v/>
      </c>
    </row>
    <row r="212" spans="1:48" x14ac:dyDescent="0.25">
      <c r="A212" s="265">
        <f t="shared" si="23"/>
        <v>43638</v>
      </c>
      <c r="B212" s="265" t="str">
        <f t="shared" si="28"/>
        <v>22 Jun 2019</v>
      </c>
      <c r="C212" s="267">
        <f t="shared" si="29"/>
        <v>25</v>
      </c>
      <c r="D212">
        <f>MATCH(A212,GCalXMLT[daydate],0)</f>
        <v>211</v>
      </c>
      <c r="E212">
        <f>VALUE("1" &amp; Masacod(INDEX(GCalXMLT[gymasa],D212)) &amp; PaksaCod(INDEX(GCalXMLT[mpaksaid],D212)) &amp; TithiCod(INDEX(GCalXMLT[stithiname],D212)))</f>
        <v>104005</v>
      </c>
      <c r="F212" t="str">
        <f ca="1">INDEX(Parameters!$K$2:$K$16,MATCH(AV212,Parameters!$L$2:$L$16,0))</f>
        <v>C</v>
      </c>
      <c r="G212">
        <f>INDEX(GCalXMLT[fastmark],$D212)</f>
        <v>0</v>
      </c>
      <c r="H212" t="str">
        <f ca="1">INDEX(Parameters!$J$2:$J$16,MATCH(AV212,Parameters!$L$2:$L$16,0))</f>
        <v/>
      </c>
      <c r="I212">
        <f>INDEX(GCalXMLT[dfestival1],$D212)</f>
        <v>0</v>
      </c>
      <c r="J212">
        <f>IF(INDEX(GCalXMLT[dfestival2],$D212)="(Fast today)",INDEX(Festivals!$R$2:$R$180,MATCH($I212,Festivals!$R$2:$R$180,0)+1),INDEX(GCalXMLT[dfestival2],$D212))</f>
        <v>0</v>
      </c>
      <c r="K212">
        <f>IF(I212="Nandotsava","(Fast till noon)",INDEX(GCalXMLT[dfestival3],$D212))</f>
        <v>0</v>
      </c>
      <c r="L212">
        <f>IF(I212="Nandotsava", INDEX(GCalXMLT[dfestival3],$D212),INDEX(GCalXMLT[dfestival4],$D212))</f>
        <v>0</v>
      </c>
      <c r="M212" t="str">
        <f>IFERROR(INDEX(Festivals!$S$2:$S$160,AP212),"")</f>
        <v>Sri Vakresvara Pandita - Appearance</v>
      </c>
      <c r="N212" t="str">
        <f>IFERROR(IF($AQ212&gt;1,INDEX(Festivals!$S$2:$S$160,$AP212+1),""),"")</f>
        <v/>
      </c>
      <c r="O212" t="str">
        <f>IFERROR(IF($AQ212&gt;2,INDEX(Festivals!$S$2:$S$160,$AP212+2),""),"")</f>
        <v/>
      </c>
      <c r="P212" t="str">
        <f>IFERROR(IF($AQ212&gt;3,INDEX(Festivals!$S$2:$S$160,$AP212+3),""),"")</f>
        <v/>
      </c>
      <c r="Q212" t="str">
        <f>IFERROR(IF($AQ212&gt;4,INDEX(Festivals!$S$2:$S$160,$AP212+4),""),"")</f>
        <v/>
      </c>
      <c r="R212" t="str">
        <f>IFERROR(IF($AQ212&gt;5,INDEX(Festivals!$S$2:$S$160,$AP212+5),""),"")</f>
        <v/>
      </c>
      <c r="S212" t="str">
        <f>IFERROR(IF($AQ212&gt;6,INDEX(Festivals!$S$2:$S$160,$AP212+6),""),"")</f>
        <v/>
      </c>
      <c r="T212">
        <f>INDEX(GCalXMLT[dcaturmasya1],$D212)</f>
        <v>0</v>
      </c>
      <c r="U212">
        <f>INDEX(GCalXMLT[dcaturmasya2],$D212)</f>
        <v>0</v>
      </c>
      <c r="V212" t="str">
        <f>INDEX(GCalXMLT[sankrantirasi],$D212) &amp; " " &amp; INDEX(GCalXMLT[sankrantitime],$D212)</f>
        <v xml:space="preserve"> </v>
      </c>
      <c r="W212" t="str">
        <f ca="1">IFERROR(INDEX('Holidays Calc'!$K$2:$K$233,AR212),"")</f>
        <v/>
      </c>
      <c r="X212" t="str">
        <f ca="1">IF(AR212="","",IF(INDEX('Holidays Calc'!$I$2:$I$233,AR212+1)=A212,INDEX('Holidays Calc'!$K$2:$K$233,AR212+1),""))</f>
        <v/>
      </c>
      <c r="Y212" t="str">
        <f ca="1">IF(AR212="","",IF(INDEX('Holidays Calc'!$I$2:$I$233,AR212+2)=A212,INDEX('Holidays Calc'!$K$2:$K$233,AR212+2),""))</f>
        <v/>
      </c>
      <c r="Z212" t="str">
        <f ca="1">IF(AR212="","",IF(INDEX('Holidays Calc'!$I$2:$I$233,AR212+3)=A212,INDEX('Holidays Calc'!$K$2:$K$2333,AR212+3),""))</f>
        <v/>
      </c>
      <c r="AA212" t="str">
        <f>IF(I212="Last day of Bhisma Pancaka","",IF(G212="*",-0.7,IF(ISBLANK(INDEX(GCalXMLT[dclass1],$D212)),"",INDEX(GCalXMLT[dclass1],$D212))))</f>
        <v/>
      </c>
      <c r="AB212" t="str">
        <f>IF(J212="First day of Bhisma Pancaka","",IF(AND(G212="*",NOT(ISERROR(SEARCH("ekadasi",J212)))),-0.7,IF(ISBLANK(INDEX(GCalXMLT[dclass2],$D212)),"",INDEX(GCalXMLT[dclass2],$D212))))</f>
        <v/>
      </c>
      <c r="AC212" t="str">
        <f>IF(I212="Nandotsava",-1,IF(ISBLANK(INDEX(GCalXMLT[dclass3],$D212)),"",INDEX(GCalXMLT[dclass3],$D212)))</f>
        <v/>
      </c>
      <c r="AD212" t="str">
        <f>IF(I212="Nandotsava",IF(ISBLANK(INDEX(GCalXMLT[dclass3],$D212)),"",INDEX(GCalXMLT[dclass3],$D212)),IF(ISBLANK(INDEX(GCalXMLT[dclass4],$D212)),"",INDEX(GCalXMLT[dclass4],$D212)))</f>
        <v/>
      </c>
      <c r="AE212">
        <f>IFERROR(INDEX(Festivals!$V$2:$V$160,AP212),"")</f>
        <v>3</v>
      </c>
      <c r="AF212" t="str">
        <f>IFERROR(IF($AQ212&gt;1,INDEX(Festivals!$V$2:$V$160,$AP212+1),""),"")</f>
        <v/>
      </c>
      <c r="AG212" t="str">
        <f>IFERROR(IF($AQ212&gt;2,INDEX(Festivals!$V$2:$V$160,$AP212+2),""),"")</f>
        <v/>
      </c>
      <c r="AH212" t="str">
        <f>IFERROR(IF($AQ212&gt;3,INDEX(Festivals!$V$2:$V$160,$AP212+3),""),"")</f>
        <v/>
      </c>
      <c r="AI212" t="str">
        <f>IFERROR(IF($AQ212&gt;4,INDEX(Festivals!$V$2:$V$160,$AP212+4),""),"")</f>
        <v/>
      </c>
      <c r="AJ212" t="str">
        <f>IFERROR(IF($AQ212&gt;5,INDEX(Festivals!$V$2:$V$160,$AP212+5),""),"")</f>
        <v/>
      </c>
      <c r="AK212" t="str">
        <f>IFERROR(IF($AQ212&gt;6,INDEX(Festivals!$V$2:$V$160,$AP212+6),""),"")</f>
        <v/>
      </c>
      <c r="AL212" t="str">
        <f ca="1">IFERROR(INDEX('Holidays Calc'!$J$2:$J$233,MATCH(A212,'Holidays Calc'!$I$2:$I$233,0)),"")</f>
        <v/>
      </c>
      <c r="AM212" t="str">
        <f ca="1">IF(AR212="","",IF(INDEX('Holidays Calc'!$I$2:$I$233,AR212+1)=A212,INDEX('Holidays Calc'!$J$2:$J$233,AR212+1),""))</f>
        <v/>
      </c>
      <c r="AN212" t="str">
        <f ca="1">IF(AR212="","",IF(INDEX('Holidays Calc'!$I$2:$I$233,AR212+2)=A212,INDEX('Holidays Calc'!$J$2:$J$233,AR212+2),""))</f>
        <v/>
      </c>
      <c r="AO212" t="str">
        <f ca="1">IF(AR212="","",IF(INDEX('Holidays Calc'!$I$2:$I$233,AR212+3)=A212,INDEX('Holidays Calc'!$J$2:$J$233,AR212+3),""))</f>
        <v/>
      </c>
      <c r="AP212">
        <f>IFERROR(IF($E212=E211,"",MATCH($E212,Festivals!$H$2:$H$160,0)),"")</f>
        <v>36</v>
      </c>
      <c r="AQ212">
        <f>IF(AP212="","",COUNTIF(Festivals!$H$2:$H$160,$E212))</f>
        <v>1</v>
      </c>
      <c r="AR212" t="str">
        <f ca="1">IFERROR(MATCH(A212,'Holidays Calc'!$I$2:$I$233,0),"")</f>
        <v/>
      </c>
      <c r="AS212">
        <f t="shared" si="25"/>
        <v>3</v>
      </c>
      <c r="AT212">
        <f t="shared" si="24"/>
        <v>3</v>
      </c>
      <c r="AU212" t="str">
        <f t="shared" ca="1" si="26"/>
        <v/>
      </c>
      <c r="AV212">
        <f t="shared" ca="1" si="27"/>
        <v>3</v>
      </c>
    </row>
    <row r="213" spans="1:48" x14ac:dyDescent="0.25">
      <c r="A213" s="265">
        <f t="shared" si="23"/>
        <v>43639</v>
      </c>
      <c r="B213" s="265" t="str">
        <f t="shared" si="28"/>
        <v>23 Jun 2019</v>
      </c>
      <c r="C213" s="267">
        <f t="shared" si="29"/>
        <v>25</v>
      </c>
      <c r="D213">
        <f>MATCH(A213,GCalXMLT[daydate],0)</f>
        <v>212</v>
      </c>
      <c r="E213">
        <f>VALUE("1" &amp; Masacod(INDEX(GCalXMLT[gymasa],D213)) &amp; PaksaCod(INDEX(GCalXMLT[mpaksaid],D213)) &amp; TithiCod(INDEX(GCalXMLT[stithiname],D213)))</f>
        <v>104006</v>
      </c>
      <c r="F213" t="str">
        <f ca="1">INDEX(Parameters!$K$2:$K$16,MATCH(AV213,Parameters!$L$2:$L$16,0))</f>
        <v/>
      </c>
      <c r="G213">
        <f>INDEX(GCalXMLT[fastmark],$D213)</f>
        <v>0</v>
      </c>
      <c r="H213" t="str">
        <f ca="1">INDEX(Parameters!$J$2:$J$16,MATCH(AV213,Parameters!$L$2:$L$16,0))</f>
        <v/>
      </c>
      <c r="I213">
        <f>INDEX(GCalXMLT[dfestival1],$D213)</f>
        <v>0</v>
      </c>
      <c r="J213">
        <f>IF(INDEX(GCalXMLT[dfestival2],$D213)="(Fast today)",INDEX(Festivals!$R$2:$R$180,MATCH($I213,Festivals!$R$2:$R$180,0)+1),INDEX(GCalXMLT[dfestival2],$D213))</f>
        <v>0</v>
      </c>
      <c r="K213">
        <f>IF(I213="Nandotsava","(Fast till noon)",INDEX(GCalXMLT[dfestival3],$D213))</f>
        <v>0</v>
      </c>
      <c r="L213">
        <f>IF(I213="Nandotsava", INDEX(GCalXMLT[dfestival3],$D213),INDEX(GCalXMLT[dfestival4],$D213))</f>
        <v>0</v>
      </c>
      <c r="M213" t="str">
        <f>IFERROR(INDEX(Festivals!$S$2:$S$160,AP213),"")</f>
        <v/>
      </c>
      <c r="N213" t="str">
        <f>IFERROR(IF($AQ213&gt;1,INDEX(Festivals!$S$2:$S$160,$AP213+1),""),"")</f>
        <v/>
      </c>
      <c r="O213" t="str">
        <f>IFERROR(IF($AQ213&gt;2,INDEX(Festivals!$S$2:$S$160,$AP213+2),""),"")</f>
        <v/>
      </c>
      <c r="P213" t="str">
        <f>IFERROR(IF($AQ213&gt;3,INDEX(Festivals!$S$2:$S$160,$AP213+3),""),"")</f>
        <v/>
      </c>
      <c r="Q213" t="str">
        <f>IFERROR(IF($AQ213&gt;4,INDEX(Festivals!$S$2:$S$160,$AP213+4),""),"")</f>
        <v/>
      </c>
      <c r="R213" t="str">
        <f>IFERROR(IF($AQ213&gt;5,INDEX(Festivals!$S$2:$S$160,$AP213+5),""),"")</f>
        <v/>
      </c>
      <c r="S213" t="str">
        <f>IFERROR(IF($AQ213&gt;6,INDEX(Festivals!$S$2:$S$160,$AP213+6),""),"")</f>
        <v/>
      </c>
      <c r="T213">
        <f>INDEX(GCalXMLT[dcaturmasya1],$D213)</f>
        <v>0</v>
      </c>
      <c r="U213">
        <f>INDEX(GCalXMLT[dcaturmasya2],$D213)</f>
        <v>0</v>
      </c>
      <c r="V213" t="str">
        <f>INDEX(GCalXMLT[sankrantirasi],$D213) &amp; " " &amp; INDEX(GCalXMLT[sankrantitime],$D213)</f>
        <v xml:space="preserve"> </v>
      </c>
      <c r="W213" t="str">
        <f ca="1">IFERROR(INDEX('Holidays Calc'!$K$2:$K$233,AR213),"")</f>
        <v/>
      </c>
      <c r="X213" t="str">
        <f ca="1">IF(AR213="","",IF(INDEX('Holidays Calc'!$I$2:$I$233,AR213+1)=A213,INDEX('Holidays Calc'!$K$2:$K$233,AR213+1),""))</f>
        <v/>
      </c>
      <c r="Y213" t="str">
        <f ca="1">IF(AR213="","",IF(INDEX('Holidays Calc'!$I$2:$I$233,AR213+2)=A213,INDEX('Holidays Calc'!$K$2:$K$233,AR213+2),""))</f>
        <v/>
      </c>
      <c r="Z213" t="str">
        <f ca="1">IF(AR213="","",IF(INDEX('Holidays Calc'!$I$2:$I$233,AR213+3)=A213,INDEX('Holidays Calc'!$K$2:$K$2333,AR213+3),""))</f>
        <v/>
      </c>
      <c r="AA213" t="str">
        <f>IF(I213="Last day of Bhisma Pancaka","",IF(G213="*",-0.7,IF(ISBLANK(INDEX(GCalXMLT[dclass1],$D213)),"",INDEX(GCalXMLT[dclass1],$D213))))</f>
        <v/>
      </c>
      <c r="AB213" t="str">
        <f>IF(J213="First day of Bhisma Pancaka","",IF(AND(G213="*",NOT(ISERROR(SEARCH("ekadasi",J213)))),-0.7,IF(ISBLANK(INDEX(GCalXMLT[dclass2],$D213)),"",INDEX(GCalXMLT[dclass2],$D213))))</f>
        <v/>
      </c>
      <c r="AC213" t="str">
        <f>IF(I213="Nandotsava",-1,IF(ISBLANK(INDEX(GCalXMLT[dclass3],$D213)),"",INDEX(GCalXMLT[dclass3],$D213)))</f>
        <v/>
      </c>
      <c r="AD213" t="str">
        <f>IF(I213="Nandotsava",IF(ISBLANK(INDEX(GCalXMLT[dclass3],$D213)),"",INDEX(GCalXMLT[dclass3],$D213)),IF(ISBLANK(INDEX(GCalXMLT[dclass4],$D213)),"",INDEX(GCalXMLT[dclass4],$D213)))</f>
        <v/>
      </c>
      <c r="AE213" t="str">
        <f>IFERROR(INDEX(Festivals!$V$2:$V$160,AP213),"")</f>
        <v/>
      </c>
      <c r="AF213" t="str">
        <f>IFERROR(IF($AQ213&gt;1,INDEX(Festivals!$V$2:$V$160,$AP213+1),""),"")</f>
        <v/>
      </c>
      <c r="AG213" t="str">
        <f>IFERROR(IF($AQ213&gt;2,INDEX(Festivals!$V$2:$V$160,$AP213+2),""),"")</f>
        <v/>
      </c>
      <c r="AH213" t="str">
        <f>IFERROR(IF($AQ213&gt;3,INDEX(Festivals!$V$2:$V$160,$AP213+3),""),"")</f>
        <v/>
      </c>
      <c r="AI213" t="str">
        <f>IFERROR(IF($AQ213&gt;4,INDEX(Festivals!$V$2:$V$160,$AP213+4),""),"")</f>
        <v/>
      </c>
      <c r="AJ213" t="str">
        <f>IFERROR(IF($AQ213&gt;5,INDEX(Festivals!$V$2:$V$160,$AP213+5),""),"")</f>
        <v/>
      </c>
      <c r="AK213" t="str">
        <f>IFERROR(IF($AQ213&gt;6,INDEX(Festivals!$V$2:$V$160,$AP213+6),""),"")</f>
        <v/>
      </c>
      <c r="AL213" t="str">
        <f ca="1">IFERROR(INDEX('Holidays Calc'!$J$2:$J$233,MATCH(A213,'Holidays Calc'!$I$2:$I$233,0)),"")</f>
        <v/>
      </c>
      <c r="AM213" t="str">
        <f ca="1">IF(AR213="","",IF(INDEX('Holidays Calc'!$I$2:$I$233,AR213+1)=A213,INDEX('Holidays Calc'!$J$2:$J$233,AR213+1),""))</f>
        <v/>
      </c>
      <c r="AN213" t="str">
        <f ca="1">IF(AR213="","",IF(INDEX('Holidays Calc'!$I$2:$I$233,AR213+2)=A213,INDEX('Holidays Calc'!$J$2:$J$233,AR213+2),""))</f>
        <v/>
      </c>
      <c r="AO213" t="str">
        <f ca="1">IF(AR213="","",IF(INDEX('Holidays Calc'!$I$2:$I$233,AR213+3)=A213,INDEX('Holidays Calc'!$J$2:$J$233,AR213+3),""))</f>
        <v/>
      </c>
      <c r="AP213" t="str">
        <f>IFERROR(IF($E213=E212,"",MATCH($E213,Festivals!$H$2:$H$160,0)),"")</f>
        <v/>
      </c>
      <c r="AQ213" t="str">
        <f>IF(AP213="","",COUNTIF(Festivals!$H$2:$H$160,$E213))</f>
        <v/>
      </c>
      <c r="AR213" t="str">
        <f ca="1">IFERROR(MATCH(A213,'Holidays Calc'!$I$2:$I$233,0),"")</f>
        <v/>
      </c>
      <c r="AS213" t="str">
        <f t="shared" si="25"/>
        <v/>
      </c>
      <c r="AT213" t="str">
        <f t="shared" si="24"/>
        <v/>
      </c>
      <c r="AU213" t="str">
        <f t="shared" ca="1" si="26"/>
        <v/>
      </c>
      <c r="AV213" t="str">
        <f t="shared" ca="1" si="27"/>
        <v/>
      </c>
    </row>
    <row r="214" spans="1:48" x14ac:dyDescent="0.25">
      <c r="A214" s="265">
        <f t="shared" si="23"/>
        <v>43640</v>
      </c>
      <c r="B214" s="265" t="str">
        <f t="shared" si="28"/>
        <v>24 Jun 2019</v>
      </c>
      <c r="C214" s="267">
        <f t="shared" si="29"/>
        <v>26</v>
      </c>
      <c r="D214">
        <f>MATCH(A214,GCalXMLT[daydate],0)</f>
        <v>213</v>
      </c>
      <c r="E214">
        <f>VALUE("1" &amp; Masacod(INDEX(GCalXMLT[gymasa],D214)) &amp; PaksaCod(INDEX(GCalXMLT[mpaksaid],D214)) &amp; TithiCod(INDEX(GCalXMLT[stithiname],D214)))</f>
        <v>104007</v>
      </c>
      <c r="F214" t="str">
        <f ca="1">INDEX(Parameters!$K$2:$K$16,MATCH(AV214,Parameters!$L$2:$L$16,0))</f>
        <v/>
      </c>
      <c r="G214">
        <f>INDEX(GCalXMLT[fastmark],$D214)</f>
        <v>0</v>
      </c>
      <c r="H214" t="str">
        <f ca="1">INDEX(Parameters!$J$2:$J$16,MATCH(AV214,Parameters!$L$2:$L$16,0))</f>
        <v/>
      </c>
      <c r="I214">
        <f>INDEX(GCalXMLT[dfestival1],$D214)</f>
        <v>0</v>
      </c>
      <c r="J214">
        <f>IF(INDEX(GCalXMLT[dfestival2],$D214)="(Fast today)",INDEX(Festivals!$R$2:$R$180,MATCH($I214,Festivals!$R$2:$R$180,0)+1),INDEX(GCalXMLT[dfestival2],$D214))</f>
        <v>0</v>
      </c>
      <c r="K214">
        <f>IF(I214="Nandotsava","(Fast till noon)",INDEX(GCalXMLT[dfestival3],$D214))</f>
        <v>0</v>
      </c>
      <c r="L214">
        <f>IF(I214="Nandotsava", INDEX(GCalXMLT[dfestival3],$D214),INDEX(GCalXMLT[dfestival4],$D214))</f>
        <v>0</v>
      </c>
      <c r="M214" t="str">
        <f>IFERROR(INDEX(Festivals!$S$2:$S$160,AP214),"")</f>
        <v/>
      </c>
      <c r="N214" t="str">
        <f>IFERROR(IF($AQ214&gt;1,INDEX(Festivals!$S$2:$S$160,$AP214+1),""),"")</f>
        <v/>
      </c>
      <c r="O214" t="str">
        <f>IFERROR(IF($AQ214&gt;2,INDEX(Festivals!$S$2:$S$160,$AP214+2),""),"")</f>
        <v/>
      </c>
      <c r="P214" t="str">
        <f>IFERROR(IF($AQ214&gt;3,INDEX(Festivals!$S$2:$S$160,$AP214+3),""),"")</f>
        <v/>
      </c>
      <c r="Q214" t="str">
        <f>IFERROR(IF($AQ214&gt;4,INDEX(Festivals!$S$2:$S$160,$AP214+4),""),"")</f>
        <v/>
      </c>
      <c r="R214" t="str">
        <f>IFERROR(IF($AQ214&gt;5,INDEX(Festivals!$S$2:$S$160,$AP214+5),""),"")</f>
        <v/>
      </c>
      <c r="S214" t="str">
        <f>IFERROR(IF($AQ214&gt;6,INDEX(Festivals!$S$2:$S$160,$AP214+6),""),"")</f>
        <v/>
      </c>
      <c r="T214">
        <f>INDEX(GCalXMLT[dcaturmasya1],$D214)</f>
        <v>0</v>
      </c>
      <c r="U214">
        <f>INDEX(GCalXMLT[dcaturmasya2],$D214)</f>
        <v>0</v>
      </c>
      <c r="V214" t="str">
        <f>INDEX(GCalXMLT[sankrantirasi],$D214) &amp; " " &amp; INDEX(GCalXMLT[sankrantitime],$D214)</f>
        <v xml:space="preserve"> </v>
      </c>
      <c r="W214" t="str">
        <f ca="1">IFERROR(INDEX('Holidays Calc'!$K$2:$K$233,AR214),"")</f>
        <v/>
      </c>
      <c r="X214" t="str">
        <f ca="1">IF(AR214="","",IF(INDEX('Holidays Calc'!$I$2:$I$233,AR214+1)=A214,INDEX('Holidays Calc'!$K$2:$K$233,AR214+1),""))</f>
        <v/>
      </c>
      <c r="Y214" t="str">
        <f ca="1">IF(AR214="","",IF(INDEX('Holidays Calc'!$I$2:$I$233,AR214+2)=A214,INDEX('Holidays Calc'!$K$2:$K$233,AR214+2),""))</f>
        <v/>
      </c>
      <c r="Z214" t="str">
        <f ca="1">IF(AR214="","",IF(INDEX('Holidays Calc'!$I$2:$I$233,AR214+3)=A214,INDEX('Holidays Calc'!$K$2:$K$2333,AR214+3),""))</f>
        <v/>
      </c>
      <c r="AA214" t="str">
        <f>IF(I214="Last day of Bhisma Pancaka","",IF(G214="*",-0.7,IF(ISBLANK(INDEX(GCalXMLT[dclass1],$D214)),"",INDEX(GCalXMLT[dclass1],$D214))))</f>
        <v/>
      </c>
      <c r="AB214" t="str">
        <f>IF(J214="First day of Bhisma Pancaka","",IF(AND(G214="*",NOT(ISERROR(SEARCH("ekadasi",J214)))),-0.7,IF(ISBLANK(INDEX(GCalXMLT[dclass2],$D214)),"",INDEX(GCalXMLT[dclass2],$D214))))</f>
        <v/>
      </c>
      <c r="AC214" t="str">
        <f>IF(I214="Nandotsava",-1,IF(ISBLANK(INDEX(GCalXMLT[dclass3],$D214)),"",INDEX(GCalXMLT[dclass3],$D214)))</f>
        <v/>
      </c>
      <c r="AD214" t="str">
        <f>IF(I214="Nandotsava",IF(ISBLANK(INDEX(GCalXMLT[dclass3],$D214)),"",INDEX(GCalXMLT[dclass3],$D214)),IF(ISBLANK(INDEX(GCalXMLT[dclass4],$D214)),"",INDEX(GCalXMLT[dclass4],$D214)))</f>
        <v/>
      </c>
      <c r="AE214" t="str">
        <f>IFERROR(INDEX(Festivals!$V$2:$V$160,AP214),"")</f>
        <v/>
      </c>
      <c r="AF214" t="str">
        <f>IFERROR(IF($AQ214&gt;1,INDEX(Festivals!$V$2:$V$160,$AP214+1),""),"")</f>
        <v/>
      </c>
      <c r="AG214" t="str">
        <f>IFERROR(IF($AQ214&gt;2,INDEX(Festivals!$V$2:$V$160,$AP214+2),""),"")</f>
        <v/>
      </c>
      <c r="AH214" t="str">
        <f>IFERROR(IF($AQ214&gt;3,INDEX(Festivals!$V$2:$V$160,$AP214+3),""),"")</f>
        <v/>
      </c>
      <c r="AI214" t="str">
        <f>IFERROR(IF($AQ214&gt;4,INDEX(Festivals!$V$2:$V$160,$AP214+4),""),"")</f>
        <v/>
      </c>
      <c r="AJ214" t="str">
        <f>IFERROR(IF($AQ214&gt;5,INDEX(Festivals!$V$2:$V$160,$AP214+5),""),"")</f>
        <v/>
      </c>
      <c r="AK214" t="str">
        <f>IFERROR(IF($AQ214&gt;6,INDEX(Festivals!$V$2:$V$160,$AP214+6),""),"")</f>
        <v/>
      </c>
      <c r="AL214" t="str">
        <f ca="1">IFERROR(INDEX('Holidays Calc'!$J$2:$J$233,MATCH(A214,'Holidays Calc'!$I$2:$I$233,0)),"")</f>
        <v/>
      </c>
      <c r="AM214" t="str">
        <f ca="1">IF(AR214="","",IF(INDEX('Holidays Calc'!$I$2:$I$233,AR214+1)=A214,INDEX('Holidays Calc'!$J$2:$J$233,AR214+1),""))</f>
        <v/>
      </c>
      <c r="AN214" t="str">
        <f ca="1">IF(AR214="","",IF(INDEX('Holidays Calc'!$I$2:$I$233,AR214+2)=A214,INDEX('Holidays Calc'!$J$2:$J$233,AR214+2),""))</f>
        <v/>
      </c>
      <c r="AO214" t="str">
        <f ca="1">IF(AR214="","",IF(INDEX('Holidays Calc'!$I$2:$I$233,AR214+3)=A214,INDEX('Holidays Calc'!$J$2:$J$233,AR214+3),""))</f>
        <v/>
      </c>
      <c r="AP214" t="str">
        <f>IFERROR(IF($E214=E213,"",MATCH($E214,Festivals!$H$2:$H$160,0)),"")</f>
        <v/>
      </c>
      <c r="AQ214" t="str">
        <f>IF(AP214="","",COUNTIF(Festivals!$H$2:$H$160,$E214))</f>
        <v/>
      </c>
      <c r="AR214" t="str">
        <f ca="1">IFERROR(MATCH(A214,'Holidays Calc'!$I$2:$I$233,0),"")</f>
        <v/>
      </c>
      <c r="AS214" t="str">
        <f t="shared" si="25"/>
        <v/>
      </c>
      <c r="AT214" t="str">
        <f t="shared" si="24"/>
        <v/>
      </c>
      <c r="AU214" t="str">
        <f t="shared" ca="1" si="26"/>
        <v/>
      </c>
      <c r="AV214" t="str">
        <f t="shared" ca="1" si="27"/>
        <v/>
      </c>
    </row>
    <row r="215" spans="1:48" x14ac:dyDescent="0.25">
      <c r="A215" s="265">
        <f t="shared" si="23"/>
        <v>43641</v>
      </c>
      <c r="B215" s="265" t="str">
        <f t="shared" si="28"/>
        <v>25 Jun 2019</v>
      </c>
      <c r="C215" s="267">
        <f t="shared" si="29"/>
        <v>26</v>
      </c>
      <c r="D215">
        <f>MATCH(A215,GCalXMLT[daydate],0)</f>
        <v>214</v>
      </c>
      <c r="E215">
        <f>VALUE("1" &amp; Masacod(INDEX(GCalXMLT[gymasa],D215)) &amp; PaksaCod(INDEX(GCalXMLT[mpaksaid],D215)) &amp; TithiCod(INDEX(GCalXMLT[stithiname],D215)))</f>
        <v>104008</v>
      </c>
      <c r="F215" t="str">
        <f ca="1">INDEX(Parameters!$K$2:$K$16,MATCH(AV215,Parameters!$L$2:$L$16,0))</f>
        <v/>
      </c>
      <c r="G215">
        <f>INDEX(GCalXMLT[fastmark],$D215)</f>
        <v>0</v>
      </c>
      <c r="H215" t="str">
        <f ca="1">INDEX(Parameters!$J$2:$J$16,MATCH(AV215,Parameters!$L$2:$L$16,0))</f>
        <v/>
      </c>
      <c r="I215">
        <f>INDEX(GCalXMLT[dfestival1],$D215)</f>
        <v>0</v>
      </c>
      <c r="J215">
        <f>IF(INDEX(GCalXMLT[dfestival2],$D215)="(Fast today)",INDEX(Festivals!$R$2:$R$180,MATCH($I215,Festivals!$R$2:$R$180,0)+1),INDEX(GCalXMLT[dfestival2],$D215))</f>
        <v>0</v>
      </c>
      <c r="K215">
        <f>IF(I215="Nandotsava","(Fast till noon)",INDEX(GCalXMLT[dfestival3],$D215))</f>
        <v>0</v>
      </c>
      <c r="L215">
        <f>IF(I215="Nandotsava", INDEX(GCalXMLT[dfestival3],$D215),INDEX(GCalXMLT[dfestival4],$D215))</f>
        <v>0</v>
      </c>
      <c r="M215" t="str">
        <f>IFERROR(INDEX(Festivals!$S$2:$S$160,AP215),"")</f>
        <v/>
      </c>
      <c r="N215" t="str">
        <f>IFERROR(IF($AQ215&gt;1,INDEX(Festivals!$S$2:$S$160,$AP215+1),""),"")</f>
        <v/>
      </c>
      <c r="O215" t="str">
        <f>IFERROR(IF($AQ215&gt;2,INDEX(Festivals!$S$2:$S$160,$AP215+2),""),"")</f>
        <v/>
      </c>
      <c r="P215" t="str">
        <f>IFERROR(IF($AQ215&gt;3,INDEX(Festivals!$S$2:$S$160,$AP215+3),""),"")</f>
        <v/>
      </c>
      <c r="Q215" t="str">
        <f>IFERROR(IF($AQ215&gt;4,INDEX(Festivals!$S$2:$S$160,$AP215+4),""),"")</f>
        <v/>
      </c>
      <c r="R215" t="str">
        <f>IFERROR(IF($AQ215&gt;5,INDEX(Festivals!$S$2:$S$160,$AP215+5),""),"")</f>
        <v/>
      </c>
      <c r="S215" t="str">
        <f>IFERROR(IF($AQ215&gt;6,INDEX(Festivals!$S$2:$S$160,$AP215+6),""),"")</f>
        <v/>
      </c>
      <c r="T215">
        <f>INDEX(GCalXMLT[dcaturmasya1],$D215)</f>
        <v>0</v>
      </c>
      <c r="U215">
        <f>INDEX(GCalXMLT[dcaturmasya2],$D215)</f>
        <v>0</v>
      </c>
      <c r="V215" t="str">
        <f>INDEX(GCalXMLT[sankrantirasi],$D215) &amp; " " &amp; INDEX(GCalXMLT[sankrantitime],$D215)</f>
        <v xml:space="preserve"> </v>
      </c>
      <c r="W215" t="str">
        <f ca="1">IFERROR(INDEX('Holidays Calc'!$K$2:$K$233,AR215),"")</f>
        <v/>
      </c>
      <c r="X215" t="str">
        <f ca="1">IF(AR215="","",IF(INDEX('Holidays Calc'!$I$2:$I$233,AR215+1)=A215,INDEX('Holidays Calc'!$K$2:$K$233,AR215+1),""))</f>
        <v/>
      </c>
      <c r="Y215" t="str">
        <f ca="1">IF(AR215="","",IF(INDEX('Holidays Calc'!$I$2:$I$233,AR215+2)=A215,INDEX('Holidays Calc'!$K$2:$K$233,AR215+2),""))</f>
        <v/>
      </c>
      <c r="Z215" t="str">
        <f ca="1">IF(AR215="","",IF(INDEX('Holidays Calc'!$I$2:$I$233,AR215+3)=A215,INDEX('Holidays Calc'!$K$2:$K$2333,AR215+3),""))</f>
        <v/>
      </c>
      <c r="AA215" t="str">
        <f>IF(I215="Last day of Bhisma Pancaka","",IF(G215="*",-0.7,IF(ISBLANK(INDEX(GCalXMLT[dclass1],$D215)),"",INDEX(GCalXMLT[dclass1],$D215))))</f>
        <v/>
      </c>
      <c r="AB215" t="str">
        <f>IF(J215="First day of Bhisma Pancaka","",IF(AND(G215="*",NOT(ISERROR(SEARCH("ekadasi",J215)))),-0.7,IF(ISBLANK(INDEX(GCalXMLT[dclass2],$D215)),"",INDEX(GCalXMLT[dclass2],$D215))))</f>
        <v/>
      </c>
      <c r="AC215" t="str">
        <f>IF(I215="Nandotsava",-1,IF(ISBLANK(INDEX(GCalXMLT[dclass3],$D215)),"",INDEX(GCalXMLT[dclass3],$D215)))</f>
        <v/>
      </c>
      <c r="AD215" t="str">
        <f>IF(I215="Nandotsava",IF(ISBLANK(INDEX(GCalXMLT[dclass3],$D215)),"",INDEX(GCalXMLT[dclass3],$D215)),IF(ISBLANK(INDEX(GCalXMLT[dclass4],$D215)),"",INDEX(GCalXMLT[dclass4],$D215)))</f>
        <v/>
      </c>
      <c r="AE215" t="str">
        <f>IFERROR(INDEX(Festivals!$V$2:$V$160,AP215),"")</f>
        <v/>
      </c>
      <c r="AF215" t="str">
        <f>IFERROR(IF($AQ215&gt;1,INDEX(Festivals!$V$2:$V$160,$AP215+1),""),"")</f>
        <v/>
      </c>
      <c r="AG215" t="str">
        <f>IFERROR(IF($AQ215&gt;2,INDEX(Festivals!$V$2:$V$160,$AP215+2),""),"")</f>
        <v/>
      </c>
      <c r="AH215" t="str">
        <f>IFERROR(IF($AQ215&gt;3,INDEX(Festivals!$V$2:$V$160,$AP215+3),""),"")</f>
        <v/>
      </c>
      <c r="AI215" t="str">
        <f>IFERROR(IF($AQ215&gt;4,INDEX(Festivals!$V$2:$V$160,$AP215+4),""),"")</f>
        <v/>
      </c>
      <c r="AJ215" t="str">
        <f>IFERROR(IF($AQ215&gt;5,INDEX(Festivals!$V$2:$V$160,$AP215+5),""),"")</f>
        <v/>
      </c>
      <c r="AK215" t="str">
        <f>IFERROR(IF($AQ215&gt;6,INDEX(Festivals!$V$2:$V$160,$AP215+6),""),"")</f>
        <v/>
      </c>
      <c r="AL215" t="str">
        <f ca="1">IFERROR(INDEX('Holidays Calc'!$J$2:$J$233,MATCH(A215,'Holidays Calc'!$I$2:$I$233,0)),"")</f>
        <v/>
      </c>
      <c r="AM215" t="str">
        <f ca="1">IF(AR215="","",IF(INDEX('Holidays Calc'!$I$2:$I$233,AR215+1)=A215,INDEX('Holidays Calc'!$J$2:$J$233,AR215+1),""))</f>
        <v/>
      </c>
      <c r="AN215" t="str">
        <f ca="1">IF(AR215="","",IF(INDEX('Holidays Calc'!$I$2:$I$233,AR215+2)=A215,INDEX('Holidays Calc'!$J$2:$J$233,AR215+2),""))</f>
        <v/>
      </c>
      <c r="AO215" t="str">
        <f ca="1">IF(AR215="","",IF(INDEX('Holidays Calc'!$I$2:$I$233,AR215+3)=A215,INDEX('Holidays Calc'!$J$2:$J$233,AR215+3),""))</f>
        <v/>
      </c>
      <c r="AP215" t="str">
        <f>IFERROR(IF($E215=E214,"",MATCH($E215,Festivals!$H$2:$H$160,0)),"")</f>
        <v/>
      </c>
      <c r="AQ215" t="str">
        <f>IF(AP215="","",COUNTIF(Festivals!$H$2:$H$160,$E215))</f>
        <v/>
      </c>
      <c r="AR215" t="str">
        <f ca="1">IFERROR(MATCH(A215,'Holidays Calc'!$I$2:$I$233,0),"")</f>
        <v/>
      </c>
      <c r="AS215" t="str">
        <f t="shared" si="25"/>
        <v/>
      </c>
      <c r="AT215" t="str">
        <f t="shared" si="24"/>
        <v/>
      </c>
      <c r="AU215" t="str">
        <f t="shared" ca="1" si="26"/>
        <v/>
      </c>
      <c r="AV215" t="str">
        <f t="shared" ca="1" si="27"/>
        <v/>
      </c>
    </row>
    <row r="216" spans="1:48" x14ac:dyDescent="0.25">
      <c r="A216" s="265">
        <f t="shared" si="23"/>
        <v>43642</v>
      </c>
      <c r="B216" s="265" t="str">
        <f t="shared" si="28"/>
        <v>26 Jun 2019</v>
      </c>
      <c r="C216" s="267">
        <f t="shared" si="29"/>
        <v>26</v>
      </c>
      <c r="D216">
        <f>MATCH(A216,GCalXMLT[daydate],0)</f>
        <v>215</v>
      </c>
      <c r="E216">
        <f>VALUE("1" &amp; Masacod(INDEX(GCalXMLT[gymasa],D216)) &amp; PaksaCod(INDEX(GCalXMLT[mpaksaid],D216)) &amp; TithiCod(INDEX(GCalXMLT[stithiname],D216)))</f>
        <v>104009</v>
      </c>
      <c r="F216" t="str">
        <f ca="1">INDEX(Parameters!$K$2:$K$16,MATCH(AV216,Parameters!$L$2:$L$16,0))</f>
        <v/>
      </c>
      <c r="G216">
        <f>INDEX(GCalXMLT[fastmark],$D216)</f>
        <v>0</v>
      </c>
      <c r="H216" t="str">
        <f ca="1">INDEX(Parameters!$J$2:$J$16,MATCH(AV216,Parameters!$L$2:$L$16,0))</f>
        <v/>
      </c>
      <c r="I216">
        <f>INDEX(GCalXMLT[dfestival1],$D216)</f>
        <v>0</v>
      </c>
      <c r="J216">
        <f>IF(INDEX(GCalXMLT[dfestival2],$D216)="(Fast today)",INDEX(Festivals!$R$2:$R$180,MATCH($I216,Festivals!$R$2:$R$180,0)+1),INDEX(GCalXMLT[dfestival2],$D216))</f>
        <v>0</v>
      </c>
      <c r="K216">
        <f>IF(I216="Nandotsava","(Fast till noon)",INDEX(GCalXMLT[dfestival3],$D216))</f>
        <v>0</v>
      </c>
      <c r="L216">
        <f>IF(I216="Nandotsava", INDEX(GCalXMLT[dfestival3],$D216),INDEX(GCalXMLT[dfestival4],$D216))</f>
        <v>0</v>
      </c>
      <c r="M216" t="str">
        <f>IFERROR(INDEX(Festivals!$S$2:$S$160,AP216),"")</f>
        <v/>
      </c>
      <c r="N216" t="str">
        <f>IFERROR(IF($AQ216&gt;1,INDEX(Festivals!$S$2:$S$160,$AP216+1),""),"")</f>
        <v/>
      </c>
      <c r="O216" t="str">
        <f>IFERROR(IF($AQ216&gt;2,INDEX(Festivals!$S$2:$S$160,$AP216+2),""),"")</f>
        <v/>
      </c>
      <c r="P216" t="str">
        <f>IFERROR(IF($AQ216&gt;3,INDEX(Festivals!$S$2:$S$160,$AP216+3),""),"")</f>
        <v/>
      </c>
      <c r="Q216" t="str">
        <f>IFERROR(IF($AQ216&gt;4,INDEX(Festivals!$S$2:$S$160,$AP216+4),""),"")</f>
        <v/>
      </c>
      <c r="R216" t="str">
        <f>IFERROR(IF($AQ216&gt;5,INDEX(Festivals!$S$2:$S$160,$AP216+5),""),"")</f>
        <v/>
      </c>
      <c r="S216" t="str">
        <f>IFERROR(IF($AQ216&gt;6,INDEX(Festivals!$S$2:$S$160,$AP216+6),""),"")</f>
        <v/>
      </c>
      <c r="T216">
        <f>INDEX(GCalXMLT[dcaturmasya1],$D216)</f>
        <v>0</v>
      </c>
      <c r="U216">
        <f>INDEX(GCalXMLT[dcaturmasya2],$D216)</f>
        <v>0</v>
      </c>
      <c r="V216" t="str">
        <f>INDEX(GCalXMLT[sankrantirasi],$D216) &amp; " " &amp; INDEX(GCalXMLT[sankrantitime],$D216)</f>
        <v xml:space="preserve"> </v>
      </c>
      <c r="W216" t="str">
        <f ca="1">IFERROR(INDEX('Holidays Calc'!$K$2:$K$233,AR216),"")</f>
        <v/>
      </c>
      <c r="X216" t="str">
        <f ca="1">IF(AR216="","",IF(INDEX('Holidays Calc'!$I$2:$I$233,AR216+1)=A216,INDEX('Holidays Calc'!$K$2:$K$233,AR216+1),""))</f>
        <v/>
      </c>
      <c r="Y216" t="str">
        <f ca="1">IF(AR216="","",IF(INDEX('Holidays Calc'!$I$2:$I$233,AR216+2)=A216,INDEX('Holidays Calc'!$K$2:$K$233,AR216+2),""))</f>
        <v/>
      </c>
      <c r="Z216" t="str">
        <f ca="1">IF(AR216="","",IF(INDEX('Holidays Calc'!$I$2:$I$233,AR216+3)=A216,INDEX('Holidays Calc'!$K$2:$K$2333,AR216+3),""))</f>
        <v/>
      </c>
      <c r="AA216" t="str">
        <f>IF(I216="Last day of Bhisma Pancaka","",IF(G216="*",-0.7,IF(ISBLANK(INDEX(GCalXMLT[dclass1],$D216)),"",INDEX(GCalXMLT[dclass1],$D216))))</f>
        <v/>
      </c>
      <c r="AB216" t="str">
        <f>IF(J216="First day of Bhisma Pancaka","",IF(AND(G216="*",NOT(ISERROR(SEARCH("ekadasi",J216)))),-0.7,IF(ISBLANK(INDEX(GCalXMLT[dclass2],$D216)),"",INDEX(GCalXMLT[dclass2],$D216))))</f>
        <v/>
      </c>
      <c r="AC216" t="str">
        <f>IF(I216="Nandotsava",-1,IF(ISBLANK(INDEX(GCalXMLT[dclass3],$D216)),"",INDEX(GCalXMLT[dclass3],$D216)))</f>
        <v/>
      </c>
      <c r="AD216" t="str">
        <f>IF(I216="Nandotsava",IF(ISBLANK(INDEX(GCalXMLT[dclass3],$D216)),"",INDEX(GCalXMLT[dclass3],$D216)),IF(ISBLANK(INDEX(GCalXMLT[dclass4],$D216)),"",INDEX(GCalXMLT[dclass4],$D216)))</f>
        <v/>
      </c>
      <c r="AE216" t="str">
        <f>IFERROR(INDEX(Festivals!$V$2:$V$160,AP216),"")</f>
        <v/>
      </c>
      <c r="AF216" t="str">
        <f>IFERROR(IF($AQ216&gt;1,INDEX(Festivals!$V$2:$V$160,$AP216+1),""),"")</f>
        <v/>
      </c>
      <c r="AG216" t="str">
        <f>IFERROR(IF($AQ216&gt;2,INDEX(Festivals!$V$2:$V$160,$AP216+2),""),"")</f>
        <v/>
      </c>
      <c r="AH216" t="str">
        <f>IFERROR(IF($AQ216&gt;3,INDEX(Festivals!$V$2:$V$160,$AP216+3),""),"")</f>
        <v/>
      </c>
      <c r="AI216" t="str">
        <f>IFERROR(IF($AQ216&gt;4,INDEX(Festivals!$V$2:$V$160,$AP216+4),""),"")</f>
        <v/>
      </c>
      <c r="AJ216" t="str">
        <f>IFERROR(IF($AQ216&gt;5,INDEX(Festivals!$V$2:$V$160,$AP216+5),""),"")</f>
        <v/>
      </c>
      <c r="AK216" t="str">
        <f>IFERROR(IF($AQ216&gt;6,INDEX(Festivals!$V$2:$V$160,$AP216+6),""),"")</f>
        <v/>
      </c>
      <c r="AL216" t="str">
        <f ca="1">IFERROR(INDEX('Holidays Calc'!$J$2:$J$233,MATCH(A216,'Holidays Calc'!$I$2:$I$233,0)),"")</f>
        <v/>
      </c>
      <c r="AM216" t="str">
        <f ca="1">IF(AR216="","",IF(INDEX('Holidays Calc'!$I$2:$I$233,AR216+1)=A216,INDEX('Holidays Calc'!$J$2:$J$233,AR216+1),""))</f>
        <v/>
      </c>
      <c r="AN216" t="str">
        <f ca="1">IF(AR216="","",IF(INDEX('Holidays Calc'!$I$2:$I$233,AR216+2)=A216,INDEX('Holidays Calc'!$J$2:$J$233,AR216+2),""))</f>
        <v/>
      </c>
      <c r="AO216" t="str">
        <f ca="1">IF(AR216="","",IF(INDEX('Holidays Calc'!$I$2:$I$233,AR216+3)=A216,INDEX('Holidays Calc'!$J$2:$J$233,AR216+3),""))</f>
        <v/>
      </c>
      <c r="AP216" t="str">
        <f>IFERROR(IF($E216=E215,"",MATCH($E216,Festivals!$H$2:$H$160,0)),"")</f>
        <v/>
      </c>
      <c r="AQ216" t="str">
        <f>IF(AP216="","",COUNTIF(Festivals!$H$2:$H$160,$E216))</f>
        <v/>
      </c>
      <c r="AR216" t="str">
        <f ca="1">IFERROR(MATCH(A216,'Holidays Calc'!$I$2:$I$233,0),"")</f>
        <v/>
      </c>
      <c r="AS216" t="str">
        <f t="shared" si="25"/>
        <v/>
      </c>
      <c r="AT216" t="str">
        <f t="shared" si="24"/>
        <v/>
      </c>
      <c r="AU216" t="str">
        <f t="shared" ca="1" si="26"/>
        <v/>
      </c>
      <c r="AV216" t="str">
        <f t="shared" ca="1" si="27"/>
        <v/>
      </c>
    </row>
    <row r="217" spans="1:48" x14ac:dyDescent="0.25">
      <c r="A217" s="265">
        <f t="shared" si="23"/>
        <v>43643</v>
      </c>
      <c r="B217" s="265" t="str">
        <f t="shared" si="28"/>
        <v>27 Jun 2019</v>
      </c>
      <c r="C217" s="267">
        <f t="shared" si="29"/>
        <v>26</v>
      </c>
      <c r="D217">
        <f>MATCH(A217,GCalXMLT[daydate],0)</f>
        <v>216</v>
      </c>
      <c r="E217">
        <f>VALUE("1" &amp; Masacod(INDEX(GCalXMLT[gymasa],D217)) &amp; PaksaCod(INDEX(GCalXMLT[mpaksaid],D217)) &amp; TithiCod(INDEX(GCalXMLT[stithiname],D217)))</f>
        <v>104010</v>
      </c>
      <c r="F217" t="str">
        <f ca="1">INDEX(Parameters!$K$2:$K$16,MATCH(AV217,Parameters!$L$2:$L$16,0))</f>
        <v>C</v>
      </c>
      <c r="G217">
        <f>INDEX(GCalXMLT[fastmark],$D217)</f>
        <v>0</v>
      </c>
      <c r="H217" t="str">
        <f ca="1">INDEX(Parameters!$J$2:$J$16,MATCH(AV217,Parameters!$L$2:$L$16,0))</f>
        <v/>
      </c>
      <c r="I217">
        <f>INDEX(GCalXMLT[dfestival1],$D217)</f>
        <v>0</v>
      </c>
      <c r="J217">
        <f>IF(INDEX(GCalXMLT[dfestival2],$D217)="(Fast today)",INDEX(Festivals!$R$2:$R$180,MATCH($I217,Festivals!$R$2:$R$180,0)+1),INDEX(GCalXMLT[dfestival2],$D217))</f>
        <v>0</v>
      </c>
      <c r="K217">
        <f>IF(I217="Nandotsava","(Fast till noon)",INDEX(GCalXMLT[dfestival3],$D217))</f>
        <v>0</v>
      </c>
      <c r="L217">
        <f>IF(I217="Nandotsava", INDEX(GCalXMLT[dfestival3],$D217),INDEX(GCalXMLT[dfestival4],$D217))</f>
        <v>0</v>
      </c>
      <c r="M217" t="str">
        <f>IFERROR(INDEX(Festivals!$S$2:$S$160,AP217),"")</f>
        <v>Sri Srivasa Pandita - Disappearance</v>
      </c>
      <c r="N217" t="str">
        <f>IFERROR(IF($AQ217&gt;1,INDEX(Festivals!$S$2:$S$160,$AP217+1),""),"")</f>
        <v/>
      </c>
      <c r="O217" t="str">
        <f>IFERROR(IF($AQ217&gt;2,INDEX(Festivals!$S$2:$S$160,$AP217+2),""),"")</f>
        <v/>
      </c>
      <c r="P217" t="str">
        <f>IFERROR(IF($AQ217&gt;3,INDEX(Festivals!$S$2:$S$160,$AP217+3),""),"")</f>
        <v/>
      </c>
      <c r="Q217" t="str">
        <f>IFERROR(IF($AQ217&gt;4,INDEX(Festivals!$S$2:$S$160,$AP217+4),""),"")</f>
        <v/>
      </c>
      <c r="R217" t="str">
        <f>IFERROR(IF($AQ217&gt;5,INDEX(Festivals!$S$2:$S$160,$AP217+5),""),"")</f>
        <v/>
      </c>
      <c r="S217" t="str">
        <f>IFERROR(IF($AQ217&gt;6,INDEX(Festivals!$S$2:$S$160,$AP217+6),""),"")</f>
        <v/>
      </c>
      <c r="T217">
        <f>INDEX(GCalXMLT[dcaturmasya1],$D217)</f>
        <v>0</v>
      </c>
      <c r="U217">
        <f>INDEX(GCalXMLT[dcaturmasya2],$D217)</f>
        <v>0</v>
      </c>
      <c r="V217" t="str">
        <f>INDEX(GCalXMLT[sankrantirasi],$D217) &amp; " " &amp; INDEX(GCalXMLT[sankrantitime],$D217)</f>
        <v xml:space="preserve"> </v>
      </c>
      <c r="W217" t="str">
        <f ca="1">IFERROR(INDEX('Holidays Calc'!$K$2:$K$233,AR217),"")</f>
        <v/>
      </c>
      <c r="X217" t="str">
        <f ca="1">IF(AR217="","",IF(INDEX('Holidays Calc'!$I$2:$I$233,AR217+1)=A217,INDEX('Holidays Calc'!$K$2:$K$233,AR217+1),""))</f>
        <v/>
      </c>
      <c r="Y217" t="str">
        <f ca="1">IF(AR217="","",IF(INDEX('Holidays Calc'!$I$2:$I$233,AR217+2)=A217,INDEX('Holidays Calc'!$K$2:$K$233,AR217+2),""))</f>
        <v/>
      </c>
      <c r="Z217" t="str">
        <f ca="1">IF(AR217="","",IF(INDEX('Holidays Calc'!$I$2:$I$233,AR217+3)=A217,INDEX('Holidays Calc'!$K$2:$K$2333,AR217+3),""))</f>
        <v/>
      </c>
      <c r="AA217" t="str">
        <f>IF(I217="Last day of Bhisma Pancaka","",IF(G217="*",-0.7,IF(ISBLANK(INDEX(GCalXMLT[dclass1],$D217)),"",INDEX(GCalXMLT[dclass1],$D217))))</f>
        <v/>
      </c>
      <c r="AB217" t="str">
        <f>IF(J217="First day of Bhisma Pancaka","",IF(AND(G217="*",NOT(ISERROR(SEARCH("ekadasi",J217)))),-0.7,IF(ISBLANK(INDEX(GCalXMLT[dclass2],$D217)),"",INDEX(GCalXMLT[dclass2],$D217))))</f>
        <v/>
      </c>
      <c r="AC217" t="str">
        <f>IF(I217="Nandotsava",-1,IF(ISBLANK(INDEX(GCalXMLT[dclass3],$D217)),"",INDEX(GCalXMLT[dclass3],$D217)))</f>
        <v/>
      </c>
      <c r="AD217" t="str">
        <f>IF(I217="Nandotsava",IF(ISBLANK(INDEX(GCalXMLT[dclass3],$D217)),"",INDEX(GCalXMLT[dclass3],$D217)),IF(ISBLANK(INDEX(GCalXMLT[dclass4],$D217)),"",INDEX(GCalXMLT[dclass4],$D217)))</f>
        <v/>
      </c>
      <c r="AE217">
        <f>IFERROR(INDEX(Festivals!$V$2:$V$160,AP217),"")</f>
        <v>3</v>
      </c>
      <c r="AF217" t="str">
        <f>IFERROR(IF($AQ217&gt;1,INDEX(Festivals!$V$2:$V$160,$AP217+1),""),"")</f>
        <v/>
      </c>
      <c r="AG217" t="str">
        <f>IFERROR(IF($AQ217&gt;2,INDEX(Festivals!$V$2:$V$160,$AP217+2),""),"")</f>
        <v/>
      </c>
      <c r="AH217" t="str">
        <f>IFERROR(IF($AQ217&gt;3,INDEX(Festivals!$V$2:$V$160,$AP217+3),""),"")</f>
        <v/>
      </c>
      <c r="AI217" t="str">
        <f>IFERROR(IF($AQ217&gt;4,INDEX(Festivals!$V$2:$V$160,$AP217+4),""),"")</f>
        <v/>
      </c>
      <c r="AJ217" t="str">
        <f>IFERROR(IF($AQ217&gt;5,INDEX(Festivals!$V$2:$V$160,$AP217+5),""),"")</f>
        <v/>
      </c>
      <c r="AK217" t="str">
        <f>IFERROR(IF($AQ217&gt;6,INDEX(Festivals!$V$2:$V$160,$AP217+6),""),"")</f>
        <v/>
      </c>
      <c r="AL217" t="str">
        <f ca="1">IFERROR(INDEX('Holidays Calc'!$J$2:$J$233,MATCH(A217,'Holidays Calc'!$I$2:$I$233,0)),"")</f>
        <v/>
      </c>
      <c r="AM217" t="str">
        <f ca="1">IF(AR217="","",IF(INDEX('Holidays Calc'!$I$2:$I$233,AR217+1)=A217,INDEX('Holidays Calc'!$J$2:$J$233,AR217+1),""))</f>
        <v/>
      </c>
      <c r="AN217" t="str">
        <f ca="1">IF(AR217="","",IF(INDEX('Holidays Calc'!$I$2:$I$233,AR217+2)=A217,INDEX('Holidays Calc'!$J$2:$J$233,AR217+2),""))</f>
        <v/>
      </c>
      <c r="AO217" t="str">
        <f ca="1">IF(AR217="","",IF(INDEX('Holidays Calc'!$I$2:$I$233,AR217+3)=A217,INDEX('Holidays Calc'!$J$2:$J$233,AR217+3),""))</f>
        <v/>
      </c>
      <c r="AP217">
        <f>IFERROR(IF($E217=E216,"",MATCH($E217,Festivals!$H$2:$H$160,0)),"")</f>
        <v>37</v>
      </c>
      <c r="AQ217">
        <f>IF(AP217="","",COUNTIF(Festivals!$H$2:$H$160,$E217))</f>
        <v>1</v>
      </c>
      <c r="AR217" t="str">
        <f ca="1">IFERROR(MATCH(A217,'Holidays Calc'!$I$2:$I$233,0),"")</f>
        <v/>
      </c>
      <c r="AS217">
        <f t="shared" si="25"/>
        <v>3</v>
      </c>
      <c r="AT217">
        <f t="shared" si="24"/>
        <v>3</v>
      </c>
      <c r="AU217" t="str">
        <f t="shared" ca="1" si="26"/>
        <v/>
      </c>
      <c r="AV217">
        <f t="shared" ca="1" si="27"/>
        <v>3</v>
      </c>
    </row>
    <row r="218" spans="1:48" x14ac:dyDescent="0.25">
      <c r="A218" s="265">
        <f t="shared" si="23"/>
        <v>43644</v>
      </c>
      <c r="B218" s="265" t="str">
        <f t="shared" si="28"/>
        <v>28 Jun 2019</v>
      </c>
      <c r="C218" s="267">
        <f t="shared" si="29"/>
        <v>26</v>
      </c>
      <c r="D218">
        <f>MATCH(A218,GCalXMLT[daydate],0)</f>
        <v>217</v>
      </c>
      <c r="E218">
        <f>VALUE("1" &amp; Masacod(INDEX(GCalXMLT[gymasa],D218)) &amp; PaksaCod(INDEX(GCalXMLT[mpaksaid],D218)) &amp; TithiCod(INDEX(GCalXMLT[stithiname],D218)))</f>
        <v>104011</v>
      </c>
      <c r="F218" t="str">
        <f ca="1">INDEX(Parameters!$K$2:$K$16,MATCH(AV218,Parameters!$L$2:$L$16,0))</f>
        <v>E</v>
      </c>
      <c r="G218" t="str">
        <f>INDEX(GCalXMLT[fastmark],$D218)</f>
        <v>*</v>
      </c>
      <c r="H218" t="str">
        <f ca="1">INDEX(Parameters!$J$2:$J$16,MATCH(AV218,Parameters!$L$2:$L$16,0))</f>
        <v>*</v>
      </c>
      <c r="I218" t="str">
        <f>INDEX(GCalXMLT[dfestival1],$D218)</f>
        <v>Fasting for Yogini Ekadasi</v>
      </c>
      <c r="J218">
        <f>IF(INDEX(GCalXMLT[dfestival2],$D218)="(Fast today)",INDEX(Festivals!$R$2:$R$180,MATCH($I218,Festivals!$R$2:$R$180,0)+1),INDEX(GCalXMLT[dfestival2],$D218))</f>
        <v>0</v>
      </c>
      <c r="K218">
        <f>IF(I218="Nandotsava","(Fast till noon)",INDEX(GCalXMLT[dfestival3],$D218))</f>
        <v>0</v>
      </c>
      <c r="L218">
        <f>IF(I218="Nandotsava", INDEX(GCalXMLT[dfestival3],$D218),INDEX(GCalXMLT[dfestival4],$D218))</f>
        <v>0</v>
      </c>
      <c r="M218" t="str">
        <f>IFERROR(INDEX(Festivals!$S$2:$S$160,AP218),"")</f>
        <v/>
      </c>
      <c r="N218" t="str">
        <f>IFERROR(IF($AQ218&gt;1,INDEX(Festivals!$S$2:$S$160,$AP218+1),""),"")</f>
        <v/>
      </c>
      <c r="O218" t="str">
        <f>IFERROR(IF($AQ218&gt;2,INDEX(Festivals!$S$2:$S$160,$AP218+2),""),"")</f>
        <v/>
      </c>
      <c r="P218" t="str">
        <f>IFERROR(IF($AQ218&gt;3,INDEX(Festivals!$S$2:$S$160,$AP218+3),""),"")</f>
        <v/>
      </c>
      <c r="Q218" t="str">
        <f>IFERROR(IF($AQ218&gt;4,INDEX(Festivals!$S$2:$S$160,$AP218+4),""),"")</f>
        <v/>
      </c>
      <c r="R218" t="str">
        <f>IFERROR(IF($AQ218&gt;5,INDEX(Festivals!$S$2:$S$160,$AP218+5),""),"")</f>
        <v/>
      </c>
      <c r="S218" t="str">
        <f>IFERROR(IF($AQ218&gt;6,INDEX(Festivals!$S$2:$S$160,$AP218+6),""),"")</f>
        <v/>
      </c>
      <c r="T218">
        <f>INDEX(GCalXMLT[dcaturmasya1],$D218)</f>
        <v>0</v>
      </c>
      <c r="U218">
        <f>INDEX(GCalXMLT[dcaturmasya2],$D218)</f>
        <v>0</v>
      </c>
      <c r="V218" t="str">
        <f>INDEX(GCalXMLT[sankrantirasi],$D218) &amp; " " &amp; INDEX(GCalXMLT[sankrantitime],$D218)</f>
        <v xml:space="preserve"> </v>
      </c>
      <c r="W218" t="str">
        <f ca="1">IFERROR(INDEX('Holidays Calc'!$K$2:$K$233,AR218),"")</f>
        <v/>
      </c>
      <c r="X218" t="str">
        <f ca="1">IF(AR218="","",IF(INDEX('Holidays Calc'!$I$2:$I$233,AR218+1)=A218,INDEX('Holidays Calc'!$K$2:$K$233,AR218+1),""))</f>
        <v/>
      </c>
      <c r="Y218" t="str">
        <f ca="1">IF(AR218="","",IF(INDEX('Holidays Calc'!$I$2:$I$233,AR218+2)=A218,INDEX('Holidays Calc'!$K$2:$K$233,AR218+2),""))</f>
        <v/>
      </c>
      <c r="Z218" t="str">
        <f ca="1">IF(AR218="","",IF(INDEX('Holidays Calc'!$I$2:$I$233,AR218+3)=A218,INDEX('Holidays Calc'!$K$2:$K$2333,AR218+3),""))</f>
        <v/>
      </c>
      <c r="AA218">
        <f>IF(I218="Last day of Bhisma Pancaka","",IF(G218="*",-0.7,IF(ISBLANK(INDEX(GCalXMLT[dclass1],$D218)),"",INDEX(GCalXMLT[dclass1],$D218))))</f>
        <v>-0.7</v>
      </c>
      <c r="AB218" t="str">
        <f>IF(J218="First day of Bhisma Pancaka","",IF(AND(G218="*",NOT(ISERROR(SEARCH("ekadasi",J218)))),-0.7,IF(ISBLANK(INDEX(GCalXMLT[dclass2],$D218)),"",INDEX(GCalXMLT[dclass2],$D218))))</f>
        <v/>
      </c>
      <c r="AC218" t="str">
        <f>IF(I218="Nandotsava",-1,IF(ISBLANK(INDEX(GCalXMLT[dclass3],$D218)),"",INDEX(GCalXMLT[dclass3],$D218)))</f>
        <v/>
      </c>
      <c r="AD218" t="str">
        <f>IF(I218="Nandotsava",IF(ISBLANK(INDEX(GCalXMLT[dclass3],$D218)),"",INDEX(GCalXMLT[dclass3],$D218)),IF(ISBLANK(INDEX(GCalXMLT[dclass4],$D218)),"",INDEX(GCalXMLT[dclass4],$D218)))</f>
        <v/>
      </c>
      <c r="AE218" t="str">
        <f>IFERROR(INDEX(Festivals!$V$2:$V$160,AP218),"")</f>
        <v/>
      </c>
      <c r="AF218" t="str">
        <f>IFERROR(IF($AQ218&gt;1,INDEX(Festivals!$V$2:$V$160,$AP218+1),""),"")</f>
        <v/>
      </c>
      <c r="AG218" t="str">
        <f>IFERROR(IF($AQ218&gt;2,INDEX(Festivals!$V$2:$V$160,$AP218+2),""),"")</f>
        <v/>
      </c>
      <c r="AH218" t="str">
        <f>IFERROR(IF($AQ218&gt;3,INDEX(Festivals!$V$2:$V$160,$AP218+3),""),"")</f>
        <v/>
      </c>
      <c r="AI218" t="str">
        <f>IFERROR(IF($AQ218&gt;4,INDEX(Festivals!$V$2:$V$160,$AP218+4),""),"")</f>
        <v/>
      </c>
      <c r="AJ218" t="str">
        <f>IFERROR(IF($AQ218&gt;5,INDEX(Festivals!$V$2:$V$160,$AP218+5),""),"")</f>
        <v/>
      </c>
      <c r="AK218" t="str">
        <f>IFERROR(IF($AQ218&gt;6,INDEX(Festivals!$V$2:$V$160,$AP218+6),""),"")</f>
        <v/>
      </c>
      <c r="AL218" t="str">
        <f ca="1">IFERROR(INDEX('Holidays Calc'!$J$2:$J$233,MATCH(A218,'Holidays Calc'!$I$2:$I$233,0)),"")</f>
        <v/>
      </c>
      <c r="AM218" t="str">
        <f ca="1">IF(AR218="","",IF(INDEX('Holidays Calc'!$I$2:$I$233,AR218+1)=A218,INDEX('Holidays Calc'!$J$2:$J$233,AR218+1),""))</f>
        <v/>
      </c>
      <c r="AN218" t="str">
        <f ca="1">IF(AR218="","",IF(INDEX('Holidays Calc'!$I$2:$I$233,AR218+2)=A218,INDEX('Holidays Calc'!$J$2:$J$233,AR218+2),""))</f>
        <v/>
      </c>
      <c r="AO218" t="str">
        <f ca="1">IF(AR218="","",IF(INDEX('Holidays Calc'!$I$2:$I$233,AR218+3)=A218,INDEX('Holidays Calc'!$J$2:$J$233,AR218+3),""))</f>
        <v/>
      </c>
      <c r="AP218" t="str">
        <f>IFERROR(IF($E218=E217,"",MATCH($E218,Festivals!$H$2:$H$160,0)),"")</f>
        <v/>
      </c>
      <c r="AQ218" t="str">
        <f>IF(AP218="","",COUNTIF(Festivals!$H$2:$H$160,$E218))</f>
        <v/>
      </c>
      <c r="AR218" t="str">
        <f ca="1">IFERROR(MATCH(A218,'Holidays Calc'!$I$2:$I$233,0),"")</f>
        <v/>
      </c>
      <c r="AS218">
        <f t="shared" si="25"/>
        <v>-0.7</v>
      </c>
      <c r="AT218">
        <f t="shared" si="24"/>
        <v>-0.7</v>
      </c>
      <c r="AU218" t="str">
        <f t="shared" ca="1" si="26"/>
        <v/>
      </c>
      <c r="AV218">
        <f t="shared" ca="1" si="27"/>
        <v>-0.7</v>
      </c>
    </row>
    <row r="219" spans="1:48" x14ac:dyDescent="0.25">
      <c r="A219" s="265">
        <f t="shared" si="23"/>
        <v>43645</v>
      </c>
      <c r="B219" s="265" t="str">
        <f t="shared" si="28"/>
        <v>29 Jun 2019</v>
      </c>
      <c r="C219" s="267">
        <f t="shared" si="29"/>
        <v>26</v>
      </c>
      <c r="D219">
        <f>MATCH(A219,GCalXMLT[daydate],0)</f>
        <v>218</v>
      </c>
      <c r="E219">
        <f>VALUE("1" &amp; Masacod(INDEX(GCalXMLT[gymasa],D219)) &amp; PaksaCod(INDEX(GCalXMLT[mpaksaid],D219)) &amp; TithiCod(INDEX(GCalXMLT[stithiname],D219)))</f>
        <v>104012</v>
      </c>
      <c r="F219" t="str">
        <f ca="1">INDEX(Parameters!$K$2:$K$16,MATCH(AV219,Parameters!$L$2:$L$16,0))</f>
        <v/>
      </c>
      <c r="G219">
        <f>INDEX(GCalXMLT[fastmark],$D219)</f>
        <v>0</v>
      </c>
      <c r="H219" t="str">
        <f ca="1">INDEX(Parameters!$J$2:$J$16,MATCH(AV219,Parameters!$L$2:$L$16,0))</f>
        <v/>
      </c>
      <c r="I219">
        <f>INDEX(GCalXMLT[dfestival1],$D219)</f>
        <v>0</v>
      </c>
      <c r="J219">
        <f>IF(INDEX(GCalXMLT[dfestival2],$D219)="(Fast today)",INDEX(Festivals!$R$2:$R$180,MATCH($I219,Festivals!$R$2:$R$180,0)+1),INDEX(GCalXMLT[dfestival2],$D219))</f>
        <v>0</v>
      </c>
      <c r="K219">
        <f>IF(I219="Nandotsava","(Fast till noon)",INDEX(GCalXMLT[dfestival3],$D219))</f>
        <v>0</v>
      </c>
      <c r="L219">
        <f>IF(I219="Nandotsava", INDEX(GCalXMLT[dfestival3],$D219),INDEX(GCalXMLT[dfestival4],$D219))</f>
        <v>0</v>
      </c>
      <c r="M219" t="str">
        <f>IFERROR(INDEX(Festivals!$S$2:$S$160,AP219),"")</f>
        <v/>
      </c>
      <c r="N219" t="str">
        <f>IFERROR(IF($AQ219&gt;1,INDEX(Festivals!$S$2:$S$160,$AP219+1),""),"")</f>
        <v/>
      </c>
      <c r="O219" t="str">
        <f>IFERROR(IF($AQ219&gt;2,INDEX(Festivals!$S$2:$S$160,$AP219+2),""),"")</f>
        <v/>
      </c>
      <c r="P219" t="str">
        <f>IFERROR(IF($AQ219&gt;3,INDEX(Festivals!$S$2:$S$160,$AP219+3),""),"")</f>
        <v/>
      </c>
      <c r="Q219" t="str">
        <f>IFERROR(IF($AQ219&gt;4,INDEX(Festivals!$S$2:$S$160,$AP219+4),""),"")</f>
        <v/>
      </c>
      <c r="R219" t="str">
        <f>IFERROR(IF($AQ219&gt;5,INDEX(Festivals!$S$2:$S$160,$AP219+5),""),"")</f>
        <v/>
      </c>
      <c r="S219" t="str">
        <f>IFERROR(IF($AQ219&gt;6,INDEX(Festivals!$S$2:$S$160,$AP219+6),""),"")</f>
        <v/>
      </c>
      <c r="T219">
        <f>INDEX(GCalXMLT[dcaturmasya1],$D219)</f>
        <v>0</v>
      </c>
      <c r="U219">
        <f>INDEX(GCalXMLT[dcaturmasya2],$D219)</f>
        <v>0</v>
      </c>
      <c r="V219" t="str">
        <f>INDEX(GCalXMLT[sankrantirasi],$D219) &amp; " " &amp; INDEX(GCalXMLT[sankrantitime],$D219)</f>
        <v xml:space="preserve"> </v>
      </c>
      <c r="W219" t="str">
        <f ca="1">IFERROR(INDEX('Holidays Calc'!$K$2:$K$233,AR219),"")</f>
        <v/>
      </c>
      <c r="X219" t="str">
        <f ca="1">IF(AR219="","",IF(INDEX('Holidays Calc'!$I$2:$I$233,AR219+1)=A219,INDEX('Holidays Calc'!$K$2:$K$233,AR219+1),""))</f>
        <v/>
      </c>
      <c r="Y219" t="str">
        <f ca="1">IF(AR219="","",IF(INDEX('Holidays Calc'!$I$2:$I$233,AR219+2)=A219,INDEX('Holidays Calc'!$K$2:$K$233,AR219+2),""))</f>
        <v/>
      </c>
      <c r="Z219" t="str">
        <f ca="1">IF(AR219="","",IF(INDEX('Holidays Calc'!$I$2:$I$233,AR219+3)=A219,INDEX('Holidays Calc'!$K$2:$K$2333,AR219+3),""))</f>
        <v/>
      </c>
      <c r="AA219" t="str">
        <f>IF(I219="Last day of Bhisma Pancaka","",IF(G219="*",-0.7,IF(ISBLANK(INDEX(GCalXMLT[dclass1],$D219)),"",INDEX(GCalXMLT[dclass1],$D219))))</f>
        <v/>
      </c>
      <c r="AB219" t="str">
        <f>IF(J219="First day of Bhisma Pancaka","",IF(AND(G219="*",NOT(ISERROR(SEARCH("ekadasi",J219)))),-0.7,IF(ISBLANK(INDEX(GCalXMLT[dclass2],$D219)),"",INDEX(GCalXMLT[dclass2],$D219))))</f>
        <v/>
      </c>
      <c r="AC219" t="str">
        <f>IF(I219="Nandotsava",-1,IF(ISBLANK(INDEX(GCalXMLT[dclass3],$D219)),"",INDEX(GCalXMLT[dclass3],$D219)))</f>
        <v/>
      </c>
      <c r="AD219" t="str">
        <f>IF(I219="Nandotsava",IF(ISBLANK(INDEX(GCalXMLT[dclass3],$D219)),"",INDEX(GCalXMLT[dclass3],$D219)),IF(ISBLANK(INDEX(GCalXMLT[dclass4],$D219)),"",INDEX(GCalXMLT[dclass4],$D219)))</f>
        <v/>
      </c>
      <c r="AE219" t="str">
        <f>IFERROR(INDEX(Festivals!$V$2:$V$160,AP219),"")</f>
        <v/>
      </c>
      <c r="AF219" t="str">
        <f>IFERROR(IF($AQ219&gt;1,INDEX(Festivals!$V$2:$V$160,$AP219+1),""),"")</f>
        <v/>
      </c>
      <c r="AG219" t="str">
        <f>IFERROR(IF($AQ219&gt;2,INDEX(Festivals!$V$2:$V$160,$AP219+2),""),"")</f>
        <v/>
      </c>
      <c r="AH219" t="str">
        <f>IFERROR(IF($AQ219&gt;3,INDEX(Festivals!$V$2:$V$160,$AP219+3),""),"")</f>
        <v/>
      </c>
      <c r="AI219" t="str">
        <f>IFERROR(IF($AQ219&gt;4,INDEX(Festivals!$V$2:$V$160,$AP219+4),""),"")</f>
        <v/>
      </c>
      <c r="AJ219" t="str">
        <f>IFERROR(IF($AQ219&gt;5,INDEX(Festivals!$V$2:$V$160,$AP219+5),""),"")</f>
        <v/>
      </c>
      <c r="AK219" t="str">
        <f>IFERROR(IF($AQ219&gt;6,INDEX(Festivals!$V$2:$V$160,$AP219+6),""),"")</f>
        <v/>
      </c>
      <c r="AL219" t="str">
        <f ca="1">IFERROR(INDEX('Holidays Calc'!$J$2:$J$233,MATCH(A219,'Holidays Calc'!$I$2:$I$233,0)),"")</f>
        <v/>
      </c>
      <c r="AM219" t="str">
        <f ca="1">IF(AR219="","",IF(INDEX('Holidays Calc'!$I$2:$I$233,AR219+1)=A219,INDEX('Holidays Calc'!$J$2:$J$233,AR219+1),""))</f>
        <v/>
      </c>
      <c r="AN219" t="str">
        <f ca="1">IF(AR219="","",IF(INDEX('Holidays Calc'!$I$2:$I$233,AR219+2)=A219,INDEX('Holidays Calc'!$J$2:$J$233,AR219+2),""))</f>
        <v/>
      </c>
      <c r="AO219" t="str">
        <f ca="1">IF(AR219="","",IF(INDEX('Holidays Calc'!$I$2:$I$233,AR219+3)=A219,INDEX('Holidays Calc'!$J$2:$J$233,AR219+3),""))</f>
        <v/>
      </c>
      <c r="AP219" t="str">
        <f>IFERROR(IF($E219=E218,"",MATCH($E219,Festivals!$H$2:$H$160,0)),"")</f>
        <v/>
      </c>
      <c r="AQ219" t="str">
        <f>IF(AP219="","",COUNTIF(Festivals!$H$2:$H$160,$E219))</f>
        <v/>
      </c>
      <c r="AR219" t="str">
        <f ca="1">IFERROR(MATCH(A219,'Holidays Calc'!$I$2:$I$233,0),"")</f>
        <v/>
      </c>
      <c r="AS219" t="str">
        <f t="shared" si="25"/>
        <v/>
      </c>
      <c r="AT219" t="str">
        <f t="shared" si="24"/>
        <v/>
      </c>
      <c r="AU219" t="str">
        <f t="shared" ca="1" si="26"/>
        <v/>
      </c>
      <c r="AV219" t="str">
        <f t="shared" ca="1" si="27"/>
        <v/>
      </c>
    </row>
    <row r="220" spans="1:48" x14ac:dyDescent="0.25">
      <c r="A220" s="265">
        <f t="shared" si="23"/>
        <v>43646</v>
      </c>
      <c r="B220" s="265" t="str">
        <f t="shared" si="28"/>
        <v>30 Jun 2019</v>
      </c>
      <c r="C220" s="267">
        <f t="shared" si="29"/>
        <v>26</v>
      </c>
      <c r="D220">
        <f>MATCH(A220,GCalXMLT[daydate],0)</f>
        <v>219</v>
      </c>
      <c r="E220">
        <f>VALUE("1" &amp; Masacod(INDEX(GCalXMLT[gymasa],D220)) &amp; PaksaCod(INDEX(GCalXMLT[mpaksaid],D220)) &amp; TithiCod(INDEX(GCalXMLT[stithiname],D220)))</f>
        <v>104013</v>
      </c>
      <c r="F220" t="str">
        <f ca="1">INDEX(Parameters!$K$2:$K$16,MATCH(AV220,Parameters!$L$2:$L$16,0))</f>
        <v/>
      </c>
      <c r="G220">
        <f>INDEX(GCalXMLT[fastmark],$D220)</f>
        <v>0</v>
      </c>
      <c r="H220" t="str">
        <f ca="1">INDEX(Parameters!$J$2:$J$16,MATCH(AV220,Parameters!$L$2:$L$16,0))</f>
        <v/>
      </c>
      <c r="I220">
        <f>INDEX(GCalXMLT[dfestival1],$D220)</f>
        <v>0</v>
      </c>
      <c r="J220">
        <f>IF(INDEX(GCalXMLT[dfestival2],$D220)="(Fast today)",INDEX(Festivals!$R$2:$R$180,MATCH($I220,Festivals!$R$2:$R$180,0)+1),INDEX(GCalXMLT[dfestival2],$D220))</f>
        <v>0</v>
      </c>
      <c r="K220">
        <f>IF(I220="Nandotsava","(Fast till noon)",INDEX(GCalXMLT[dfestival3],$D220))</f>
        <v>0</v>
      </c>
      <c r="L220">
        <f>IF(I220="Nandotsava", INDEX(GCalXMLT[dfestival3],$D220),INDEX(GCalXMLT[dfestival4],$D220))</f>
        <v>0</v>
      </c>
      <c r="M220" t="str">
        <f>IFERROR(INDEX(Festivals!$S$2:$S$160,AP220),"")</f>
        <v/>
      </c>
      <c r="N220" t="str">
        <f>IFERROR(IF($AQ220&gt;1,INDEX(Festivals!$S$2:$S$160,$AP220+1),""),"")</f>
        <v/>
      </c>
      <c r="O220" t="str">
        <f>IFERROR(IF($AQ220&gt;2,INDEX(Festivals!$S$2:$S$160,$AP220+2),""),"")</f>
        <v/>
      </c>
      <c r="P220" t="str">
        <f>IFERROR(IF($AQ220&gt;3,INDEX(Festivals!$S$2:$S$160,$AP220+3),""),"")</f>
        <v/>
      </c>
      <c r="Q220" t="str">
        <f>IFERROR(IF($AQ220&gt;4,INDEX(Festivals!$S$2:$S$160,$AP220+4),""),"")</f>
        <v/>
      </c>
      <c r="R220" t="str">
        <f>IFERROR(IF($AQ220&gt;5,INDEX(Festivals!$S$2:$S$160,$AP220+5),""),"")</f>
        <v/>
      </c>
      <c r="S220" t="str">
        <f>IFERROR(IF($AQ220&gt;6,INDEX(Festivals!$S$2:$S$160,$AP220+6),""),"")</f>
        <v/>
      </c>
      <c r="T220">
        <f>INDEX(GCalXMLT[dcaturmasya1],$D220)</f>
        <v>0</v>
      </c>
      <c r="U220">
        <f>INDEX(GCalXMLT[dcaturmasya2],$D220)</f>
        <v>0</v>
      </c>
      <c r="V220" t="str">
        <f>INDEX(GCalXMLT[sankrantirasi],$D220) &amp; " " &amp; INDEX(GCalXMLT[sankrantitime],$D220)</f>
        <v xml:space="preserve"> </v>
      </c>
      <c r="W220" t="str">
        <f ca="1">IFERROR(INDEX('Holidays Calc'!$K$2:$K$233,AR220),"")</f>
        <v/>
      </c>
      <c r="X220" t="str">
        <f ca="1">IF(AR220="","",IF(INDEX('Holidays Calc'!$I$2:$I$233,AR220+1)=A220,INDEX('Holidays Calc'!$K$2:$K$233,AR220+1),""))</f>
        <v/>
      </c>
      <c r="Y220" t="str">
        <f ca="1">IF(AR220="","",IF(INDEX('Holidays Calc'!$I$2:$I$233,AR220+2)=A220,INDEX('Holidays Calc'!$K$2:$K$233,AR220+2),""))</f>
        <v/>
      </c>
      <c r="Z220" t="str">
        <f ca="1">IF(AR220="","",IF(INDEX('Holidays Calc'!$I$2:$I$233,AR220+3)=A220,INDEX('Holidays Calc'!$K$2:$K$2333,AR220+3),""))</f>
        <v/>
      </c>
      <c r="AA220" t="str">
        <f>IF(I220="Last day of Bhisma Pancaka","",IF(G220="*",-0.7,IF(ISBLANK(INDEX(GCalXMLT[dclass1],$D220)),"",INDEX(GCalXMLT[dclass1],$D220))))</f>
        <v/>
      </c>
      <c r="AB220" t="str">
        <f>IF(J220="First day of Bhisma Pancaka","",IF(AND(G220="*",NOT(ISERROR(SEARCH("ekadasi",J220)))),-0.7,IF(ISBLANK(INDEX(GCalXMLT[dclass2],$D220)),"",INDEX(GCalXMLT[dclass2],$D220))))</f>
        <v/>
      </c>
      <c r="AC220" t="str">
        <f>IF(I220="Nandotsava",-1,IF(ISBLANK(INDEX(GCalXMLT[dclass3],$D220)),"",INDEX(GCalXMLT[dclass3],$D220)))</f>
        <v/>
      </c>
      <c r="AD220" t="str">
        <f>IF(I220="Nandotsava",IF(ISBLANK(INDEX(GCalXMLT[dclass3],$D220)),"",INDEX(GCalXMLT[dclass3],$D220)),IF(ISBLANK(INDEX(GCalXMLT[dclass4],$D220)),"",INDEX(GCalXMLT[dclass4],$D220)))</f>
        <v/>
      </c>
      <c r="AE220" t="str">
        <f>IFERROR(INDEX(Festivals!$V$2:$V$160,AP220),"")</f>
        <v/>
      </c>
      <c r="AF220" t="str">
        <f>IFERROR(IF($AQ220&gt;1,INDEX(Festivals!$V$2:$V$160,$AP220+1),""),"")</f>
        <v/>
      </c>
      <c r="AG220" t="str">
        <f>IFERROR(IF($AQ220&gt;2,INDEX(Festivals!$V$2:$V$160,$AP220+2),""),"")</f>
        <v/>
      </c>
      <c r="AH220" t="str">
        <f>IFERROR(IF($AQ220&gt;3,INDEX(Festivals!$V$2:$V$160,$AP220+3),""),"")</f>
        <v/>
      </c>
      <c r="AI220" t="str">
        <f>IFERROR(IF($AQ220&gt;4,INDEX(Festivals!$V$2:$V$160,$AP220+4),""),"")</f>
        <v/>
      </c>
      <c r="AJ220" t="str">
        <f>IFERROR(IF($AQ220&gt;5,INDEX(Festivals!$V$2:$V$160,$AP220+5),""),"")</f>
        <v/>
      </c>
      <c r="AK220" t="str">
        <f>IFERROR(IF($AQ220&gt;6,INDEX(Festivals!$V$2:$V$160,$AP220+6),""),"")</f>
        <v/>
      </c>
      <c r="AL220" t="str">
        <f ca="1">IFERROR(INDEX('Holidays Calc'!$J$2:$J$233,MATCH(A220,'Holidays Calc'!$I$2:$I$233,0)),"")</f>
        <v/>
      </c>
      <c r="AM220" t="str">
        <f ca="1">IF(AR220="","",IF(INDEX('Holidays Calc'!$I$2:$I$233,AR220+1)=A220,INDEX('Holidays Calc'!$J$2:$J$233,AR220+1),""))</f>
        <v/>
      </c>
      <c r="AN220" t="str">
        <f ca="1">IF(AR220="","",IF(INDEX('Holidays Calc'!$I$2:$I$233,AR220+2)=A220,INDEX('Holidays Calc'!$J$2:$J$233,AR220+2),""))</f>
        <v/>
      </c>
      <c r="AO220" t="str">
        <f ca="1">IF(AR220="","",IF(INDEX('Holidays Calc'!$I$2:$I$233,AR220+3)=A220,INDEX('Holidays Calc'!$J$2:$J$233,AR220+3),""))</f>
        <v/>
      </c>
      <c r="AP220" t="str">
        <f>IFERROR(IF($E220=E219,"",MATCH($E220,Festivals!$H$2:$H$160,0)),"")</f>
        <v/>
      </c>
      <c r="AQ220" t="str">
        <f>IF(AP220="","",COUNTIF(Festivals!$H$2:$H$160,$E220))</f>
        <v/>
      </c>
      <c r="AR220" t="str">
        <f ca="1">IFERROR(MATCH(A220,'Holidays Calc'!$I$2:$I$233,0),"")</f>
        <v/>
      </c>
      <c r="AS220" t="str">
        <f t="shared" si="25"/>
        <v/>
      </c>
      <c r="AT220" t="str">
        <f t="shared" si="24"/>
        <v/>
      </c>
      <c r="AU220" t="str">
        <f t="shared" ca="1" si="26"/>
        <v/>
      </c>
      <c r="AV220" t="str">
        <f t="shared" ca="1" si="27"/>
        <v/>
      </c>
    </row>
    <row r="221" spans="1:48" x14ac:dyDescent="0.25">
      <c r="A221" s="265">
        <f t="shared" si="23"/>
        <v>43647</v>
      </c>
      <c r="B221" s="265" t="str">
        <f t="shared" si="28"/>
        <v>1 Jul 2019</v>
      </c>
      <c r="C221" s="267">
        <f t="shared" si="29"/>
        <v>27</v>
      </c>
      <c r="D221">
        <f>MATCH(A221,GCalXMLT[daydate],0)</f>
        <v>220</v>
      </c>
      <c r="E221">
        <f>VALUE("1" &amp; Masacod(INDEX(GCalXMLT[gymasa],D221)) &amp; PaksaCod(INDEX(GCalXMLT[mpaksaid],D221)) &amp; TithiCod(INDEX(GCalXMLT[stithiname],D221)))</f>
        <v>104014</v>
      </c>
      <c r="F221" t="str">
        <f ca="1">INDEX(Parameters!$K$2:$K$16,MATCH(AV221,Parameters!$L$2:$L$16,0))</f>
        <v/>
      </c>
      <c r="G221">
        <f>INDEX(GCalXMLT[fastmark],$D221)</f>
        <v>0</v>
      </c>
      <c r="H221" t="str">
        <f ca="1">INDEX(Parameters!$J$2:$J$16,MATCH(AV221,Parameters!$L$2:$L$16,0))</f>
        <v/>
      </c>
      <c r="I221">
        <f>INDEX(GCalXMLT[dfestival1],$D221)</f>
        <v>0</v>
      </c>
      <c r="J221">
        <f>IF(INDEX(GCalXMLT[dfestival2],$D221)="(Fast today)",INDEX(Festivals!$R$2:$R$180,MATCH($I221,Festivals!$R$2:$R$180,0)+1),INDEX(GCalXMLT[dfestival2],$D221))</f>
        <v>0</v>
      </c>
      <c r="K221">
        <f>IF(I221="Nandotsava","(Fast till noon)",INDEX(GCalXMLT[dfestival3],$D221))</f>
        <v>0</v>
      </c>
      <c r="L221">
        <f>IF(I221="Nandotsava", INDEX(GCalXMLT[dfestival3],$D221),INDEX(GCalXMLT[dfestival4],$D221))</f>
        <v>0</v>
      </c>
      <c r="M221" t="str">
        <f>IFERROR(INDEX(Festivals!$S$2:$S$160,AP221),"")</f>
        <v/>
      </c>
      <c r="N221" t="str">
        <f>IFERROR(IF($AQ221&gt;1,INDEX(Festivals!$S$2:$S$160,$AP221+1),""),"")</f>
        <v/>
      </c>
      <c r="O221" t="str">
        <f>IFERROR(IF($AQ221&gt;2,INDEX(Festivals!$S$2:$S$160,$AP221+2),""),"")</f>
        <v/>
      </c>
      <c r="P221" t="str">
        <f>IFERROR(IF($AQ221&gt;3,INDEX(Festivals!$S$2:$S$160,$AP221+3),""),"")</f>
        <v/>
      </c>
      <c r="Q221" t="str">
        <f>IFERROR(IF($AQ221&gt;4,INDEX(Festivals!$S$2:$S$160,$AP221+4),""),"")</f>
        <v/>
      </c>
      <c r="R221" t="str">
        <f>IFERROR(IF($AQ221&gt;5,INDEX(Festivals!$S$2:$S$160,$AP221+5),""),"")</f>
        <v/>
      </c>
      <c r="S221" t="str">
        <f>IFERROR(IF($AQ221&gt;6,INDEX(Festivals!$S$2:$S$160,$AP221+6),""),"")</f>
        <v/>
      </c>
      <c r="T221">
        <f>INDEX(GCalXMLT[dcaturmasya1],$D221)</f>
        <v>0</v>
      </c>
      <c r="U221">
        <f>INDEX(GCalXMLT[dcaturmasya2],$D221)</f>
        <v>0</v>
      </c>
      <c r="V221" t="str">
        <f>INDEX(GCalXMLT[sankrantirasi],$D221) &amp; " " &amp; INDEX(GCalXMLT[sankrantitime],$D221)</f>
        <v xml:space="preserve"> </v>
      </c>
      <c r="W221" t="str">
        <f ca="1">IFERROR(INDEX('Holidays Calc'!$K$2:$K$233,AR221),"")</f>
        <v/>
      </c>
      <c r="X221" t="str">
        <f ca="1">IF(AR221="","",IF(INDEX('Holidays Calc'!$I$2:$I$233,AR221+1)=A221,INDEX('Holidays Calc'!$K$2:$K$233,AR221+1),""))</f>
        <v/>
      </c>
      <c r="Y221" t="str">
        <f ca="1">IF(AR221="","",IF(INDEX('Holidays Calc'!$I$2:$I$233,AR221+2)=A221,INDEX('Holidays Calc'!$K$2:$K$233,AR221+2),""))</f>
        <v/>
      </c>
      <c r="Z221" t="str">
        <f ca="1">IF(AR221="","",IF(INDEX('Holidays Calc'!$I$2:$I$233,AR221+3)=A221,INDEX('Holidays Calc'!$K$2:$K$2333,AR221+3),""))</f>
        <v/>
      </c>
      <c r="AA221" t="str">
        <f>IF(I221="Last day of Bhisma Pancaka","",IF(G221="*",-0.7,IF(ISBLANK(INDEX(GCalXMLT[dclass1],$D221)),"",INDEX(GCalXMLT[dclass1],$D221))))</f>
        <v/>
      </c>
      <c r="AB221" t="str">
        <f>IF(J221="First day of Bhisma Pancaka","",IF(AND(G221="*",NOT(ISERROR(SEARCH("ekadasi",J221)))),-0.7,IF(ISBLANK(INDEX(GCalXMLT[dclass2],$D221)),"",INDEX(GCalXMLT[dclass2],$D221))))</f>
        <v/>
      </c>
      <c r="AC221" t="str">
        <f>IF(I221="Nandotsava",-1,IF(ISBLANK(INDEX(GCalXMLT[dclass3],$D221)),"",INDEX(GCalXMLT[dclass3],$D221)))</f>
        <v/>
      </c>
      <c r="AD221" t="str">
        <f>IF(I221="Nandotsava",IF(ISBLANK(INDEX(GCalXMLT[dclass3],$D221)),"",INDEX(GCalXMLT[dclass3],$D221)),IF(ISBLANK(INDEX(GCalXMLT[dclass4],$D221)),"",INDEX(GCalXMLT[dclass4],$D221)))</f>
        <v/>
      </c>
      <c r="AE221" t="str">
        <f>IFERROR(INDEX(Festivals!$V$2:$V$160,AP221),"")</f>
        <v/>
      </c>
      <c r="AF221" t="str">
        <f>IFERROR(IF($AQ221&gt;1,INDEX(Festivals!$V$2:$V$160,$AP221+1),""),"")</f>
        <v/>
      </c>
      <c r="AG221" t="str">
        <f>IFERROR(IF($AQ221&gt;2,INDEX(Festivals!$V$2:$V$160,$AP221+2),""),"")</f>
        <v/>
      </c>
      <c r="AH221" t="str">
        <f>IFERROR(IF($AQ221&gt;3,INDEX(Festivals!$V$2:$V$160,$AP221+3),""),"")</f>
        <v/>
      </c>
      <c r="AI221" t="str">
        <f>IFERROR(IF($AQ221&gt;4,INDEX(Festivals!$V$2:$V$160,$AP221+4),""),"")</f>
        <v/>
      </c>
      <c r="AJ221" t="str">
        <f>IFERROR(IF($AQ221&gt;5,INDEX(Festivals!$V$2:$V$160,$AP221+5),""),"")</f>
        <v/>
      </c>
      <c r="AK221" t="str">
        <f>IFERROR(IF($AQ221&gt;6,INDEX(Festivals!$V$2:$V$160,$AP221+6),""),"")</f>
        <v/>
      </c>
      <c r="AL221" t="str">
        <f ca="1">IFERROR(INDEX('Holidays Calc'!$J$2:$J$233,MATCH(A221,'Holidays Calc'!$I$2:$I$233,0)),"")</f>
        <v/>
      </c>
      <c r="AM221" t="str">
        <f ca="1">IF(AR221="","",IF(INDEX('Holidays Calc'!$I$2:$I$233,AR221+1)=A221,INDEX('Holidays Calc'!$J$2:$J$233,AR221+1),""))</f>
        <v/>
      </c>
      <c r="AN221" t="str">
        <f ca="1">IF(AR221="","",IF(INDEX('Holidays Calc'!$I$2:$I$233,AR221+2)=A221,INDEX('Holidays Calc'!$J$2:$J$233,AR221+2),""))</f>
        <v/>
      </c>
      <c r="AO221" t="str">
        <f ca="1">IF(AR221="","",IF(INDEX('Holidays Calc'!$I$2:$I$233,AR221+3)=A221,INDEX('Holidays Calc'!$J$2:$J$233,AR221+3),""))</f>
        <v/>
      </c>
      <c r="AP221" t="str">
        <f>IFERROR(IF($E221=E220,"",MATCH($E221,Festivals!$H$2:$H$160,0)),"")</f>
        <v/>
      </c>
      <c r="AQ221" t="str">
        <f>IF(AP221="","",COUNTIF(Festivals!$H$2:$H$160,$E221))</f>
        <v/>
      </c>
      <c r="AR221" t="str">
        <f ca="1">IFERROR(MATCH(A221,'Holidays Calc'!$I$2:$I$233,0),"")</f>
        <v/>
      </c>
      <c r="AS221" t="str">
        <f t="shared" si="25"/>
        <v/>
      </c>
      <c r="AT221" t="str">
        <f t="shared" si="24"/>
        <v/>
      </c>
      <c r="AU221" t="str">
        <f t="shared" ca="1" si="26"/>
        <v/>
      </c>
      <c r="AV221" t="str">
        <f t="shared" ca="1" si="27"/>
        <v/>
      </c>
    </row>
    <row r="222" spans="1:48" x14ac:dyDescent="0.25">
      <c r="A222" s="265">
        <f t="shared" si="23"/>
        <v>43648</v>
      </c>
      <c r="B222" s="265" t="str">
        <f t="shared" si="28"/>
        <v>2 Jul 2019</v>
      </c>
      <c r="C222" s="267">
        <f t="shared" si="29"/>
        <v>27</v>
      </c>
      <c r="D222">
        <f>MATCH(A222,GCalXMLT[daydate],0)</f>
        <v>221</v>
      </c>
      <c r="E222">
        <f>VALUE("1" &amp; Masacod(INDEX(GCalXMLT[gymasa],D222)) &amp; PaksaCod(INDEX(GCalXMLT[mpaksaid],D222)) &amp; TithiCod(INDEX(GCalXMLT[stithiname],D222)))</f>
        <v>104015</v>
      </c>
      <c r="F222" t="str">
        <f ca="1">INDEX(Parameters!$K$2:$K$16,MATCH(AV222,Parameters!$L$2:$L$16,0))</f>
        <v>P</v>
      </c>
      <c r="G222">
        <f>INDEX(GCalXMLT[fastmark],$D222)</f>
        <v>0</v>
      </c>
      <c r="H222" t="str">
        <f ca="1">INDEX(Parameters!$J$2:$J$16,MATCH(AV222,Parameters!$L$2:$L$16,0))</f>
        <v>*</v>
      </c>
      <c r="I222">
        <f>INDEX(GCalXMLT[dfestival1],$D222)</f>
        <v>0</v>
      </c>
      <c r="J222">
        <f>IF(INDEX(GCalXMLT[dfestival2],$D222)="(Fast today)",INDEX(Festivals!$R$2:$R$180,MATCH($I222,Festivals!$R$2:$R$180,0)+1),INDEX(GCalXMLT[dfestival2],$D222))</f>
        <v>0</v>
      </c>
      <c r="K222">
        <f>IF(I222="Nandotsava","(Fast till noon)",INDEX(GCalXMLT[dfestival3],$D222))</f>
        <v>0</v>
      </c>
      <c r="L222">
        <f>IF(I222="Nandotsava", INDEX(GCalXMLT[dfestival3],$D222),INDEX(GCalXMLT[dfestival4],$D222))</f>
        <v>0</v>
      </c>
      <c r="M222" t="str">
        <f>IFERROR(INDEX(Festivals!$S$2:$S$160,AP222),"")</f>
        <v>Sri Gadadhara Pandita - Disappearance</v>
      </c>
      <c r="N222" t="str">
        <f>IFERROR(IF($AQ222&gt;1,INDEX(Festivals!$S$2:$S$160,$AP222+1),""),"")</f>
        <v>Srila Bhaktivinoda Thakura - Disappearance</v>
      </c>
      <c r="O222" t="str">
        <f>IFERROR(IF($AQ222&gt;2,INDEX(Festivals!$S$2:$S$160,$AP222+2),""),"")</f>
        <v>(Fast till noon)</v>
      </c>
      <c r="P222" t="str">
        <f>IFERROR(IF($AQ222&gt;3,INDEX(Festivals!$S$2:$S$160,$AP222+3),""),"")</f>
        <v/>
      </c>
      <c r="Q222" t="str">
        <f>IFERROR(IF($AQ222&gt;4,INDEX(Festivals!$S$2:$S$160,$AP222+4),""),"")</f>
        <v/>
      </c>
      <c r="R222" t="str">
        <f>IFERROR(IF($AQ222&gt;5,INDEX(Festivals!$S$2:$S$160,$AP222+5),""),"")</f>
        <v/>
      </c>
      <c r="S222" t="str">
        <f>IFERROR(IF($AQ222&gt;6,INDEX(Festivals!$S$2:$S$160,$AP222+6),""),"")</f>
        <v/>
      </c>
      <c r="T222">
        <f>INDEX(GCalXMLT[dcaturmasya1],$D222)</f>
        <v>0</v>
      </c>
      <c r="U222">
        <f>INDEX(GCalXMLT[dcaturmasya2],$D222)</f>
        <v>0</v>
      </c>
      <c r="V222" t="str">
        <f>INDEX(GCalXMLT[sankrantirasi],$D222) &amp; " " &amp; INDEX(GCalXMLT[sankrantitime],$D222)</f>
        <v xml:space="preserve"> </v>
      </c>
      <c r="W222" t="str">
        <f ca="1">IFERROR(INDEX('Holidays Calc'!$K$2:$K$233,AR222),"")</f>
        <v/>
      </c>
      <c r="X222" t="str">
        <f ca="1">IF(AR222="","",IF(INDEX('Holidays Calc'!$I$2:$I$233,AR222+1)=A222,INDEX('Holidays Calc'!$K$2:$K$233,AR222+1),""))</f>
        <v/>
      </c>
      <c r="Y222" t="str">
        <f ca="1">IF(AR222="","",IF(INDEX('Holidays Calc'!$I$2:$I$233,AR222+2)=A222,INDEX('Holidays Calc'!$K$2:$K$233,AR222+2),""))</f>
        <v/>
      </c>
      <c r="Z222" t="str">
        <f ca="1">IF(AR222="","",IF(INDEX('Holidays Calc'!$I$2:$I$233,AR222+3)=A222,INDEX('Holidays Calc'!$K$2:$K$2333,AR222+3),""))</f>
        <v/>
      </c>
      <c r="AA222" t="str">
        <f>IF(I222="Last day of Bhisma Pancaka","",IF(G222="*",-0.7,IF(ISBLANK(INDEX(GCalXMLT[dclass1],$D222)),"",INDEX(GCalXMLT[dclass1],$D222))))</f>
        <v/>
      </c>
      <c r="AB222" t="str">
        <f>IF(J222="First day of Bhisma Pancaka","",IF(AND(G222="*",NOT(ISERROR(SEARCH("ekadasi",J222)))),-0.7,IF(ISBLANK(INDEX(GCalXMLT[dclass2],$D222)),"",INDEX(GCalXMLT[dclass2],$D222))))</f>
        <v/>
      </c>
      <c r="AC222" t="str">
        <f>IF(I222="Nandotsava",-1,IF(ISBLANK(INDEX(GCalXMLT[dclass3],$D222)),"",INDEX(GCalXMLT[dclass3],$D222)))</f>
        <v/>
      </c>
      <c r="AD222" t="str">
        <f>IF(I222="Nandotsava",IF(ISBLANK(INDEX(GCalXMLT[dclass3],$D222)),"",INDEX(GCalXMLT[dclass3],$D222)),IF(ISBLANK(INDEX(GCalXMLT[dclass4],$D222)),"",INDEX(GCalXMLT[dclass4],$D222)))</f>
        <v/>
      </c>
      <c r="AE222">
        <f>IFERROR(INDEX(Festivals!$V$2:$V$160,AP222),"")</f>
        <v>3</v>
      </c>
      <c r="AF222">
        <f>IFERROR(IF($AQ222&gt;1,INDEX(Festivals!$V$2:$V$160,$AP222+1),""),"")</f>
        <v>2</v>
      </c>
      <c r="AG222">
        <f>IFERROR(IF($AQ222&gt;2,INDEX(Festivals!$V$2:$V$160,$AP222+2),""),"")</f>
        <v>-1</v>
      </c>
      <c r="AH222" t="str">
        <f>IFERROR(IF($AQ222&gt;3,INDEX(Festivals!$V$2:$V$160,$AP222+3),""),"")</f>
        <v/>
      </c>
      <c r="AI222" t="str">
        <f>IFERROR(IF($AQ222&gt;4,INDEX(Festivals!$V$2:$V$160,$AP222+4),""),"")</f>
        <v/>
      </c>
      <c r="AJ222" t="str">
        <f>IFERROR(IF($AQ222&gt;5,INDEX(Festivals!$V$2:$V$160,$AP222+5),""),"")</f>
        <v/>
      </c>
      <c r="AK222" t="str">
        <f>IFERROR(IF($AQ222&gt;6,INDEX(Festivals!$V$2:$V$160,$AP222+6),""),"")</f>
        <v/>
      </c>
      <c r="AL222" t="str">
        <f ca="1">IFERROR(INDEX('Holidays Calc'!$J$2:$J$233,MATCH(A222,'Holidays Calc'!$I$2:$I$233,0)),"")</f>
        <v/>
      </c>
      <c r="AM222" t="str">
        <f ca="1">IF(AR222="","",IF(INDEX('Holidays Calc'!$I$2:$I$233,AR222+1)=A222,INDEX('Holidays Calc'!$J$2:$J$233,AR222+1),""))</f>
        <v/>
      </c>
      <c r="AN222" t="str">
        <f ca="1">IF(AR222="","",IF(INDEX('Holidays Calc'!$I$2:$I$233,AR222+2)=A222,INDEX('Holidays Calc'!$J$2:$J$233,AR222+2),""))</f>
        <v/>
      </c>
      <c r="AO222" t="str">
        <f ca="1">IF(AR222="","",IF(INDEX('Holidays Calc'!$I$2:$I$233,AR222+3)=A222,INDEX('Holidays Calc'!$J$2:$J$233,AR222+3),""))</f>
        <v/>
      </c>
      <c r="AP222">
        <f>IFERROR(IF($E222=E221,"",MATCH($E222,Festivals!$H$2:$H$160,0)),"")</f>
        <v>38</v>
      </c>
      <c r="AQ222">
        <f>IF(AP222="","",COUNTIF(Festivals!$H$2:$H$160,$E222))</f>
        <v>3</v>
      </c>
      <c r="AR222" t="str">
        <f ca="1">IFERROR(MATCH(A222,'Holidays Calc'!$I$2:$I$233,0),"")</f>
        <v/>
      </c>
      <c r="AS222">
        <f t="shared" si="25"/>
        <v>-1</v>
      </c>
      <c r="AT222">
        <f t="shared" si="24"/>
        <v>-1</v>
      </c>
      <c r="AU222" t="str">
        <f t="shared" ca="1" si="26"/>
        <v/>
      </c>
      <c r="AV222">
        <f t="shared" ca="1" si="27"/>
        <v>-1</v>
      </c>
    </row>
    <row r="223" spans="1:48" x14ac:dyDescent="0.25">
      <c r="A223" s="265">
        <f t="shared" si="23"/>
        <v>43649</v>
      </c>
      <c r="B223" s="265" t="str">
        <f t="shared" si="28"/>
        <v>3 Jul 2019</v>
      </c>
      <c r="C223" s="267">
        <f t="shared" si="29"/>
        <v>27</v>
      </c>
      <c r="D223">
        <f>MATCH(A223,GCalXMLT[daydate],0)</f>
        <v>222</v>
      </c>
      <c r="E223">
        <f>VALUE("1" &amp; Masacod(INDEX(GCalXMLT[gymasa],D223)) &amp; PaksaCod(INDEX(GCalXMLT[mpaksaid],D223)) &amp; TithiCod(INDEX(GCalXMLT[stithiname],D223)))</f>
        <v>104101</v>
      </c>
      <c r="F223" t="str">
        <f ca="1">INDEX(Parameters!$K$2:$K$16,MATCH(AV223,Parameters!$L$2:$L$16,0))</f>
        <v>C</v>
      </c>
      <c r="G223">
        <f>INDEX(GCalXMLT[fastmark],$D223)</f>
        <v>0</v>
      </c>
      <c r="H223" t="str">
        <f ca="1">INDEX(Parameters!$J$2:$J$16,MATCH(AV223,Parameters!$L$2:$L$16,0))</f>
        <v/>
      </c>
      <c r="I223" t="str">
        <f>INDEX(GCalXMLT[dfestival1],$D223)</f>
        <v>Gundica Marjana</v>
      </c>
      <c r="J223">
        <f>IF(INDEX(GCalXMLT[dfestival2],$D223)="(Fast today)",INDEX(Festivals!$R$2:$R$180,MATCH($I223,Festivals!$R$2:$R$180,0)+1),INDEX(GCalXMLT[dfestival2],$D223))</f>
        <v>0</v>
      </c>
      <c r="K223">
        <f>IF(I223="Nandotsava","(Fast till noon)",INDEX(GCalXMLT[dfestival3],$D223))</f>
        <v>0</v>
      </c>
      <c r="L223">
        <f>IF(I223="Nandotsava", INDEX(GCalXMLT[dfestival3],$D223),INDEX(GCalXMLT[dfestival4],$D223))</f>
        <v>0</v>
      </c>
      <c r="M223" t="str">
        <f>IFERROR(INDEX(Festivals!$S$2:$S$160,AP223),"")</f>
        <v/>
      </c>
      <c r="N223" t="str">
        <f>IFERROR(IF($AQ223&gt;1,INDEX(Festivals!$S$2:$S$160,$AP223+1),""),"")</f>
        <v/>
      </c>
      <c r="O223" t="str">
        <f>IFERROR(IF($AQ223&gt;2,INDEX(Festivals!$S$2:$S$160,$AP223+2),""),"")</f>
        <v/>
      </c>
      <c r="P223" t="str">
        <f>IFERROR(IF($AQ223&gt;3,INDEX(Festivals!$S$2:$S$160,$AP223+3),""),"")</f>
        <v/>
      </c>
      <c r="Q223" t="str">
        <f>IFERROR(IF($AQ223&gt;4,INDEX(Festivals!$S$2:$S$160,$AP223+4),""),"")</f>
        <v/>
      </c>
      <c r="R223" t="str">
        <f>IFERROR(IF($AQ223&gt;5,INDEX(Festivals!$S$2:$S$160,$AP223+5),""),"")</f>
        <v/>
      </c>
      <c r="S223" t="str">
        <f>IFERROR(IF($AQ223&gt;6,INDEX(Festivals!$S$2:$S$160,$AP223+6),""),"")</f>
        <v/>
      </c>
      <c r="T223">
        <f>INDEX(GCalXMLT[dcaturmasya1],$D223)</f>
        <v>0</v>
      </c>
      <c r="U223">
        <f>INDEX(GCalXMLT[dcaturmasya2],$D223)</f>
        <v>0</v>
      </c>
      <c r="V223" t="str">
        <f>INDEX(GCalXMLT[sankrantirasi],$D223) &amp; " " &amp; INDEX(GCalXMLT[sankrantitime],$D223)</f>
        <v xml:space="preserve"> </v>
      </c>
      <c r="W223" t="str">
        <f ca="1">IFERROR(INDEX('Holidays Calc'!$K$2:$K$233,AR223),"")</f>
        <v/>
      </c>
      <c r="X223" t="str">
        <f ca="1">IF(AR223="","",IF(INDEX('Holidays Calc'!$I$2:$I$233,AR223+1)=A223,INDEX('Holidays Calc'!$K$2:$K$233,AR223+1),""))</f>
        <v/>
      </c>
      <c r="Y223" t="str">
        <f ca="1">IF(AR223="","",IF(INDEX('Holidays Calc'!$I$2:$I$233,AR223+2)=A223,INDEX('Holidays Calc'!$K$2:$K$233,AR223+2),""))</f>
        <v/>
      </c>
      <c r="Z223" t="str">
        <f ca="1">IF(AR223="","",IF(INDEX('Holidays Calc'!$I$2:$I$233,AR223+3)=A223,INDEX('Holidays Calc'!$K$2:$K$2333,AR223+3),""))</f>
        <v/>
      </c>
      <c r="AA223">
        <f>IF(I223="Last day of Bhisma Pancaka","",IF(G223="*",-0.7,IF(ISBLANK(INDEX(GCalXMLT[dclass1],$D223)),"",INDEX(GCalXMLT[dclass1],$D223))))</f>
        <v>1</v>
      </c>
      <c r="AB223" t="str">
        <f>IF(J223="First day of Bhisma Pancaka","",IF(AND(G223="*",NOT(ISERROR(SEARCH("ekadasi",J223)))),-0.7,IF(ISBLANK(INDEX(GCalXMLT[dclass2],$D223)),"",INDEX(GCalXMLT[dclass2],$D223))))</f>
        <v/>
      </c>
      <c r="AC223" t="str">
        <f>IF(I223="Nandotsava",-1,IF(ISBLANK(INDEX(GCalXMLT[dclass3],$D223)),"",INDEX(GCalXMLT[dclass3],$D223)))</f>
        <v/>
      </c>
      <c r="AD223" t="str">
        <f>IF(I223="Nandotsava",IF(ISBLANK(INDEX(GCalXMLT[dclass3],$D223)),"",INDEX(GCalXMLT[dclass3],$D223)),IF(ISBLANK(INDEX(GCalXMLT[dclass4],$D223)),"",INDEX(GCalXMLT[dclass4],$D223)))</f>
        <v/>
      </c>
      <c r="AE223" t="str">
        <f>IFERROR(INDEX(Festivals!$V$2:$V$160,AP223),"")</f>
        <v/>
      </c>
      <c r="AF223" t="str">
        <f>IFERROR(IF($AQ223&gt;1,INDEX(Festivals!$V$2:$V$160,$AP223+1),""),"")</f>
        <v/>
      </c>
      <c r="AG223" t="str">
        <f>IFERROR(IF($AQ223&gt;2,INDEX(Festivals!$V$2:$V$160,$AP223+2),""),"")</f>
        <v/>
      </c>
      <c r="AH223" t="str">
        <f>IFERROR(IF($AQ223&gt;3,INDEX(Festivals!$V$2:$V$160,$AP223+3),""),"")</f>
        <v/>
      </c>
      <c r="AI223" t="str">
        <f>IFERROR(IF($AQ223&gt;4,INDEX(Festivals!$V$2:$V$160,$AP223+4),""),"")</f>
        <v/>
      </c>
      <c r="AJ223" t="str">
        <f>IFERROR(IF($AQ223&gt;5,INDEX(Festivals!$V$2:$V$160,$AP223+5),""),"")</f>
        <v/>
      </c>
      <c r="AK223" t="str">
        <f>IFERROR(IF($AQ223&gt;6,INDEX(Festivals!$V$2:$V$160,$AP223+6),""),"")</f>
        <v/>
      </c>
      <c r="AL223" t="str">
        <f ca="1">IFERROR(INDEX('Holidays Calc'!$J$2:$J$233,MATCH(A223,'Holidays Calc'!$I$2:$I$233,0)),"")</f>
        <v/>
      </c>
      <c r="AM223" t="str">
        <f ca="1">IF(AR223="","",IF(INDEX('Holidays Calc'!$I$2:$I$233,AR223+1)=A223,INDEX('Holidays Calc'!$J$2:$J$233,AR223+1),""))</f>
        <v/>
      </c>
      <c r="AN223" t="str">
        <f ca="1">IF(AR223="","",IF(INDEX('Holidays Calc'!$I$2:$I$233,AR223+2)=A223,INDEX('Holidays Calc'!$J$2:$J$233,AR223+2),""))</f>
        <v/>
      </c>
      <c r="AO223" t="str">
        <f ca="1">IF(AR223="","",IF(INDEX('Holidays Calc'!$I$2:$I$233,AR223+3)=A223,INDEX('Holidays Calc'!$J$2:$J$233,AR223+3),""))</f>
        <v/>
      </c>
      <c r="AP223" t="str">
        <f>IFERROR(IF($E223=E222,"",MATCH($E223,Festivals!$H$2:$H$160,0)),"")</f>
        <v/>
      </c>
      <c r="AQ223" t="str">
        <f>IF(AP223="","",COUNTIF(Festivals!$H$2:$H$160,$E223))</f>
        <v/>
      </c>
      <c r="AR223" t="str">
        <f ca="1">IFERROR(MATCH(A223,'Holidays Calc'!$I$2:$I$233,0),"")</f>
        <v/>
      </c>
      <c r="AS223">
        <f t="shared" si="25"/>
        <v>1</v>
      </c>
      <c r="AT223">
        <f t="shared" si="24"/>
        <v>1</v>
      </c>
      <c r="AU223" t="str">
        <f t="shared" ca="1" si="26"/>
        <v/>
      </c>
      <c r="AV223">
        <f t="shared" ca="1" si="27"/>
        <v>1</v>
      </c>
    </row>
    <row r="224" spans="1:48" x14ac:dyDescent="0.25">
      <c r="A224" s="265">
        <f t="shared" si="23"/>
        <v>43650</v>
      </c>
      <c r="B224" s="265" t="str">
        <f t="shared" si="28"/>
        <v>4 Jul 2019</v>
      </c>
      <c r="C224" s="267">
        <f t="shared" si="29"/>
        <v>27</v>
      </c>
      <c r="D224">
        <f>MATCH(A224,GCalXMLT[daydate],0)</f>
        <v>223</v>
      </c>
      <c r="E224">
        <f>VALUE("1" &amp; Masacod(INDEX(GCalXMLT[gymasa],D224)) &amp; PaksaCod(INDEX(GCalXMLT[mpaksaid],D224)) &amp; TithiCod(INDEX(GCalXMLT[stithiname],D224)))</f>
        <v>104102</v>
      </c>
      <c r="F224" t="str">
        <f ca="1">INDEX(Parameters!$K$2:$K$16,MATCH(AV224,Parameters!$L$2:$L$16,0))</f>
        <v>C</v>
      </c>
      <c r="G224">
        <f>INDEX(GCalXMLT[fastmark],$D224)</f>
        <v>0</v>
      </c>
      <c r="H224" t="str">
        <f ca="1">INDEX(Parameters!$J$2:$J$16,MATCH(AV224,Parameters!$L$2:$L$16,0))</f>
        <v/>
      </c>
      <c r="I224" t="str">
        <f>INDEX(GCalXMLT[dfestival1],$D224)</f>
        <v>Ratha Yatra</v>
      </c>
      <c r="J224">
        <f>IF(INDEX(GCalXMLT[dfestival2],$D224)="(Fast today)",INDEX(Festivals!$R$2:$R$180,MATCH($I224,Festivals!$R$2:$R$180,0)+1),INDEX(GCalXMLT[dfestival2],$D224))</f>
        <v>0</v>
      </c>
      <c r="K224">
        <f>IF(I224="Nandotsava","(Fast till noon)",INDEX(GCalXMLT[dfestival3],$D224))</f>
        <v>0</v>
      </c>
      <c r="L224">
        <f>IF(I224="Nandotsava", INDEX(GCalXMLT[dfestival3],$D224),INDEX(GCalXMLT[dfestival4],$D224))</f>
        <v>0</v>
      </c>
      <c r="M224" t="str">
        <f>IFERROR(INDEX(Festivals!$S$2:$S$160,AP224),"")</f>
        <v>Sri Svarupa Damodara Gosvami - Disappearance</v>
      </c>
      <c r="N224" t="str">
        <f>IFERROR(IF($AQ224&gt;1,INDEX(Festivals!$S$2:$S$160,$AP224+1),""),"")</f>
        <v>Sri Sivananda Sena - Disappearance</v>
      </c>
      <c r="O224" t="str">
        <f>IFERROR(IF($AQ224&gt;2,INDEX(Festivals!$S$2:$S$160,$AP224+2),""),"")</f>
        <v/>
      </c>
      <c r="P224" t="str">
        <f>IFERROR(IF($AQ224&gt;3,INDEX(Festivals!$S$2:$S$160,$AP224+3),""),"")</f>
        <v/>
      </c>
      <c r="Q224" t="str">
        <f>IFERROR(IF($AQ224&gt;4,INDEX(Festivals!$S$2:$S$160,$AP224+4),""),"")</f>
        <v/>
      </c>
      <c r="R224" t="str">
        <f>IFERROR(IF($AQ224&gt;5,INDEX(Festivals!$S$2:$S$160,$AP224+5),""),"")</f>
        <v/>
      </c>
      <c r="S224" t="str">
        <f>IFERROR(IF($AQ224&gt;6,INDEX(Festivals!$S$2:$S$160,$AP224+6),""),"")</f>
        <v/>
      </c>
      <c r="T224">
        <f>INDEX(GCalXMLT[dcaturmasya1],$D224)</f>
        <v>0</v>
      </c>
      <c r="U224">
        <f>INDEX(GCalXMLT[dcaturmasya2],$D224)</f>
        <v>0</v>
      </c>
      <c r="V224" t="str">
        <f>INDEX(GCalXMLT[sankrantirasi],$D224) &amp; " " &amp; INDEX(GCalXMLT[sankrantitime],$D224)</f>
        <v xml:space="preserve"> </v>
      </c>
      <c r="W224" t="str">
        <f ca="1">IFERROR(INDEX('Holidays Calc'!$K$2:$K$233,AR224),"")</f>
        <v/>
      </c>
      <c r="X224" t="str">
        <f ca="1">IF(AR224="","",IF(INDEX('Holidays Calc'!$I$2:$I$233,AR224+1)=A224,INDEX('Holidays Calc'!$K$2:$K$233,AR224+1),""))</f>
        <v/>
      </c>
      <c r="Y224" t="str">
        <f ca="1">IF(AR224="","",IF(INDEX('Holidays Calc'!$I$2:$I$233,AR224+2)=A224,INDEX('Holidays Calc'!$K$2:$K$233,AR224+2),""))</f>
        <v/>
      </c>
      <c r="Z224" t="str">
        <f ca="1">IF(AR224="","",IF(INDEX('Holidays Calc'!$I$2:$I$233,AR224+3)=A224,INDEX('Holidays Calc'!$K$2:$K$2333,AR224+3),""))</f>
        <v/>
      </c>
      <c r="AA224">
        <f>IF(I224="Last day of Bhisma Pancaka","",IF(G224="*",-0.7,IF(ISBLANK(INDEX(GCalXMLT[dclass1],$D224)),"",INDEX(GCalXMLT[dclass1],$D224))))</f>
        <v>1</v>
      </c>
      <c r="AB224" t="str">
        <f>IF(J224="First day of Bhisma Pancaka","",IF(AND(G224="*",NOT(ISERROR(SEARCH("ekadasi",J224)))),-0.7,IF(ISBLANK(INDEX(GCalXMLT[dclass2],$D224)),"",INDEX(GCalXMLT[dclass2],$D224))))</f>
        <v/>
      </c>
      <c r="AC224" t="str">
        <f>IF(I224="Nandotsava",-1,IF(ISBLANK(INDEX(GCalXMLT[dclass3],$D224)),"",INDEX(GCalXMLT[dclass3],$D224)))</f>
        <v/>
      </c>
      <c r="AD224" t="str">
        <f>IF(I224="Nandotsava",IF(ISBLANK(INDEX(GCalXMLT[dclass3],$D224)),"",INDEX(GCalXMLT[dclass3],$D224)),IF(ISBLANK(INDEX(GCalXMLT[dclass4],$D224)),"",INDEX(GCalXMLT[dclass4],$D224)))</f>
        <v/>
      </c>
      <c r="AE224">
        <f>IFERROR(INDEX(Festivals!$V$2:$V$160,AP224),"")</f>
        <v>3</v>
      </c>
      <c r="AF224">
        <f>IFERROR(IF($AQ224&gt;1,INDEX(Festivals!$V$2:$V$160,$AP224+1),""),"")</f>
        <v>3</v>
      </c>
      <c r="AG224" t="str">
        <f>IFERROR(IF($AQ224&gt;2,INDEX(Festivals!$V$2:$V$160,$AP224+2),""),"")</f>
        <v/>
      </c>
      <c r="AH224" t="str">
        <f>IFERROR(IF($AQ224&gt;3,INDEX(Festivals!$V$2:$V$160,$AP224+3),""),"")</f>
        <v/>
      </c>
      <c r="AI224" t="str">
        <f>IFERROR(IF($AQ224&gt;4,INDEX(Festivals!$V$2:$V$160,$AP224+4),""),"")</f>
        <v/>
      </c>
      <c r="AJ224" t="str">
        <f>IFERROR(IF($AQ224&gt;5,INDEX(Festivals!$V$2:$V$160,$AP224+5),""),"")</f>
        <v/>
      </c>
      <c r="AK224" t="str">
        <f>IFERROR(IF($AQ224&gt;6,INDEX(Festivals!$V$2:$V$160,$AP224+6),""),"")</f>
        <v/>
      </c>
      <c r="AL224" t="str">
        <f ca="1">IFERROR(INDEX('Holidays Calc'!$J$2:$J$233,MATCH(A224,'Holidays Calc'!$I$2:$I$233,0)),"")</f>
        <v/>
      </c>
      <c r="AM224" t="str">
        <f ca="1">IF(AR224="","",IF(INDEX('Holidays Calc'!$I$2:$I$233,AR224+1)=A224,INDEX('Holidays Calc'!$J$2:$J$233,AR224+1),""))</f>
        <v/>
      </c>
      <c r="AN224" t="str">
        <f ca="1">IF(AR224="","",IF(INDEX('Holidays Calc'!$I$2:$I$233,AR224+2)=A224,INDEX('Holidays Calc'!$J$2:$J$233,AR224+2),""))</f>
        <v/>
      </c>
      <c r="AO224" t="str">
        <f ca="1">IF(AR224="","",IF(INDEX('Holidays Calc'!$I$2:$I$233,AR224+3)=A224,INDEX('Holidays Calc'!$J$2:$J$233,AR224+3),""))</f>
        <v/>
      </c>
      <c r="AP224">
        <f>IFERROR(IF($E224=E223,"",MATCH($E224,Festivals!$H$2:$H$160,0)),"")</f>
        <v>41</v>
      </c>
      <c r="AQ224">
        <f>IF(AP224="","",COUNTIF(Festivals!$H$2:$H$160,$E224))</f>
        <v>2</v>
      </c>
      <c r="AR224" t="str">
        <f ca="1">IFERROR(MATCH(A224,'Holidays Calc'!$I$2:$I$233,0),"")</f>
        <v/>
      </c>
      <c r="AS224">
        <f t="shared" si="25"/>
        <v>1</v>
      </c>
      <c r="AT224">
        <f t="shared" si="24"/>
        <v>1</v>
      </c>
      <c r="AU224" t="str">
        <f t="shared" ca="1" si="26"/>
        <v/>
      </c>
      <c r="AV224">
        <f t="shared" ca="1" si="27"/>
        <v>1</v>
      </c>
    </row>
    <row r="225" spans="1:48" x14ac:dyDescent="0.25">
      <c r="A225" s="265">
        <f t="shared" si="23"/>
        <v>43651</v>
      </c>
      <c r="B225" s="265" t="str">
        <f t="shared" si="28"/>
        <v>5 Jul 2019</v>
      </c>
      <c r="C225" s="267">
        <f t="shared" si="29"/>
        <v>27</v>
      </c>
      <c r="D225">
        <f>MATCH(A225,GCalXMLT[daydate],0)</f>
        <v>224</v>
      </c>
      <c r="E225">
        <f>VALUE("1" &amp; Masacod(INDEX(GCalXMLT[gymasa],D225)) &amp; PaksaCod(INDEX(GCalXMLT[mpaksaid],D225)) &amp; TithiCod(INDEX(GCalXMLT[stithiname],D225)))</f>
        <v>104103</v>
      </c>
      <c r="F225" t="str">
        <f ca="1">INDEX(Parameters!$K$2:$K$16,MATCH(AV225,Parameters!$L$2:$L$16,0))</f>
        <v/>
      </c>
      <c r="G225">
        <f>INDEX(GCalXMLT[fastmark],$D225)</f>
        <v>0</v>
      </c>
      <c r="H225" t="str">
        <f ca="1">INDEX(Parameters!$J$2:$J$16,MATCH(AV225,Parameters!$L$2:$L$16,0))</f>
        <v/>
      </c>
      <c r="I225">
        <f>INDEX(GCalXMLT[dfestival1],$D225)</f>
        <v>0</v>
      </c>
      <c r="J225">
        <f>IF(INDEX(GCalXMLT[dfestival2],$D225)="(Fast today)",INDEX(Festivals!$R$2:$R$180,MATCH($I225,Festivals!$R$2:$R$180,0)+1),INDEX(GCalXMLT[dfestival2],$D225))</f>
        <v>0</v>
      </c>
      <c r="K225">
        <f>IF(I225="Nandotsava","(Fast till noon)",INDEX(GCalXMLT[dfestival3],$D225))</f>
        <v>0</v>
      </c>
      <c r="L225">
        <f>IF(I225="Nandotsava", INDEX(GCalXMLT[dfestival3],$D225),INDEX(GCalXMLT[dfestival4],$D225))</f>
        <v>0</v>
      </c>
      <c r="M225" t="str">
        <f>IFERROR(INDEX(Festivals!$S$2:$S$160,AP225),"")</f>
        <v/>
      </c>
      <c r="N225" t="str">
        <f>IFERROR(IF($AQ225&gt;1,INDEX(Festivals!$S$2:$S$160,$AP225+1),""),"")</f>
        <v/>
      </c>
      <c r="O225" t="str">
        <f>IFERROR(IF($AQ225&gt;2,INDEX(Festivals!$S$2:$S$160,$AP225+2),""),"")</f>
        <v/>
      </c>
      <c r="P225" t="str">
        <f>IFERROR(IF($AQ225&gt;3,INDEX(Festivals!$S$2:$S$160,$AP225+3),""),"")</f>
        <v/>
      </c>
      <c r="Q225" t="str">
        <f>IFERROR(IF($AQ225&gt;4,INDEX(Festivals!$S$2:$S$160,$AP225+4),""),"")</f>
        <v/>
      </c>
      <c r="R225" t="str">
        <f>IFERROR(IF($AQ225&gt;5,INDEX(Festivals!$S$2:$S$160,$AP225+5),""),"")</f>
        <v/>
      </c>
      <c r="S225" t="str">
        <f>IFERROR(IF($AQ225&gt;6,INDEX(Festivals!$S$2:$S$160,$AP225+6),""),"")</f>
        <v/>
      </c>
      <c r="T225">
        <f>INDEX(GCalXMLT[dcaturmasya1],$D225)</f>
        <v>0</v>
      </c>
      <c r="U225">
        <f>INDEX(GCalXMLT[dcaturmasya2],$D225)</f>
        <v>0</v>
      </c>
      <c r="V225" t="str">
        <f>INDEX(GCalXMLT[sankrantirasi],$D225) &amp; " " &amp; INDEX(GCalXMLT[sankrantitime],$D225)</f>
        <v xml:space="preserve"> </v>
      </c>
      <c r="W225" t="str">
        <f ca="1">IFERROR(INDEX('Holidays Calc'!$K$2:$K$233,AR225),"")</f>
        <v/>
      </c>
      <c r="X225" t="str">
        <f ca="1">IF(AR225="","",IF(INDEX('Holidays Calc'!$I$2:$I$233,AR225+1)=A225,INDEX('Holidays Calc'!$K$2:$K$233,AR225+1),""))</f>
        <v/>
      </c>
      <c r="Y225" t="str">
        <f ca="1">IF(AR225="","",IF(INDEX('Holidays Calc'!$I$2:$I$233,AR225+2)=A225,INDEX('Holidays Calc'!$K$2:$K$233,AR225+2),""))</f>
        <v/>
      </c>
      <c r="Z225" t="str">
        <f ca="1">IF(AR225="","",IF(INDEX('Holidays Calc'!$I$2:$I$233,AR225+3)=A225,INDEX('Holidays Calc'!$K$2:$K$2333,AR225+3),""))</f>
        <v/>
      </c>
      <c r="AA225" t="str">
        <f>IF(I225="Last day of Bhisma Pancaka","",IF(G225="*",-0.7,IF(ISBLANK(INDEX(GCalXMLT[dclass1],$D225)),"",INDEX(GCalXMLT[dclass1],$D225))))</f>
        <v/>
      </c>
      <c r="AB225" t="str">
        <f>IF(J225="First day of Bhisma Pancaka","",IF(AND(G225="*",NOT(ISERROR(SEARCH("ekadasi",J225)))),-0.7,IF(ISBLANK(INDEX(GCalXMLT[dclass2],$D225)),"",INDEX(GCalXMLT[dclass2],$D225))))</f>
        <v/>
      </c>
      <c r="AC225" t="str">
        <f>IF(I225="Nandotsava",-1,IF(ISBLANK(INDEX(GCalXMLT[dclass3],$D225)),"",INDEX(GCalXMLT[dclass3],$D225)))</f>
        <v/>
      </c>
      <c r="AD225" t="str">
        <f>IF(I225="Nandotsava",IF(ISBLANK(INDEX(GCalXMLT[dclass3],$D225)),"",INDEX(GCalXMLT[dclass3],$D225)),IF(ISBLANK(INDEX(GCalXMLT[dclass4],$D225)),"",INDEX(GCalXMLT[dclass4],$D225)))</f>
        <v/>
      </c>
      <c r="AE225" t="str">
        <f>IFERROR(INDEX(Festivals!$V$2:$V$160,AP225),"")</f>
        <v/>
      </c>
      <c r="AF225" t="str">
        <f>IFERROR(IF($AQ225&gt;1,INDEX(Festivals!$V$2:$V$160,$AP225+1),""),"")</f>
        <v/>
      </c>
      <c r="AG225" t="str">
        <f>IFERROR(IF($AQ225&gt;2,INDEX(Festivals!$V$2:$V$160,$AP225+2),""),"")</f>
        <v/>
      </c>
      <c r="AH225" t="str">
        <f>IFERROR(IF($AQ225&gt;3,INDEX(Festivals!$V$2:$V$160,$AP225+3),""),"")</f>
        <v/>
      </c>
      <c r="AI225" t="str">
        <f>IFERROR(IF($AQ225&gt;4,INDEX(Festivals!$V$2:$V$160,$AP225+4),""),"")</f>
        <v/>
      </c>
      <c r="AJ225" t="str">
        <f>IFERROR(IF($AQ225&gt;5,INDEX(Festivals!$V$2:$V$160,$AP225+5),""),"")</f>
        <v/>
      </c>
      <c r="AK225" t="str">
        <f>IFERROR(IF($AQ225&gt;6,INDEX(Festivals!$V$2:$V$160,$AP225+6),""),"")</f>
        <v/>
      </c>
      <c r="AL225" t="str">
        <f ca="1">IFERROR(INDEX('Holidays Calc'!$J$2:$J$233,MATCH(A225,'Holidays Calc'!$I$2:$I$233,0)),"")</f>
        <v/>
      </c>
      <c r="AM225" t="str">
        <f ca="1">IF(AR225="","",IF(INDEX('Holidays Calc'!$I$2:$I$233,AR225+1)=A225,INDEX('Holidays Calc'!$J$2:$J$233,AR225+1),""))</f>
        <v/>
      </c>
      <c r="AN225" t="str">
        <f ca="1">IF(AR225="","",IF(INDEX('Holidays Calc'!$I$2:$I$233,AR225+2)=A225,INDEX('Holidays Calc'!$J$2:$J$233,AR225+2),""))</f>
        <v/>
      </c>
      <c r="AO225" t="str">
        <f ca="1">IF(AR225="","",IF(INDEX('Holidays Calc'!$I$2:$I$233,AR225+3)=A225,INDEX('Holidays Calc'!$J$2:$J$233,AR225+3),""))</f>
        <v/>
      </c>
      <c r="AP225" t="str">
        <f>IFERROR(IF($E225=E224,"",MATCH($E225,Festivals!$H$2:$H$160,0)),"")</f>
        <v/>
      </c>
      <c r="AQ225" t="str">
        <f>IF(AP225="","",COUNTIF(Festivals!$H$2:$H$160,$E225))</f>
        <v/>
      </c>
      <c r="AR225" t="str">
        <f ca="1">IFERROR(MATCH(A225,'Holidays Calc'!$I$2:$I$233,0),"")</f>
        <v/>
      </c>
      <c r="AS225" t="str">
        <f t="shared" si="25"/>
        <v/>
      </c>
      <c r="AT225" t="str">
        <f t="shared" si="24"/>
        <v/>
      </c>
      <c r="AU225" t="str">
        <f t="shared" ca="1" si="26"/>
        <v/>
      </c>
      <c r="AV225" t="str">
        <f t="shared" ca="1" si="27"/>
        <v/>
      </c>
    </row>
    <row r="226" spans="1:48" x14ac:dyDescent="0.25">
      <c r="A226" s="265">
        <f t="shared" si="23"/>
        <v>43652</v>
      </c>
      <c r="B226" s="265" t="str">
        <f t="shared" si="28"/>
        <v>6 Jul 2019</v>
      </c>
      <c r="C226" s="267">
        <f t="shared" si="29"/>
        <v>27</v>
      </c>
      <c r="D226">
        <f>MATCH(A226,GCalXMLT[daydate],0)</f>
        <v>225</v>
      </c>
      <c r="E226">
        <f>VALUE("1" &amp; Masacod(INDEX(GCalXMLT[gymasa],D226)) &amp; PaksaCod(INDEX(GCalXMLT[mpaksaid],D226)) &amp; TithiCod(INDEX(GCalXMLT[stithiname],D226)))</f>
        <v>104105</v>
      </c>
      <c r="F226" t="str">
        <f ca="1">INDEX(Parameters!$K$2:$K$16,MATCH(AV226,Parameters!$L$2:$L$16,0))</f>
        <v/>
      </c>
      <c r="G226">
        <f>INDEX(GCalXMLT[fastmark],$D226)</f>
        <v>0</v>
      </c>
      <c r="H226" t="str">
        <f ca="1">INDEX(Parameters!$J$2:$J$16,MATCH(AV226,Parameters!$L$2:$L$16,0))</f>
        <v/>
      </c>
      <c r="I226">
        <f>INDEX(GCalXMLT[dfestival1],$D226)</f>
        <v>0</v>
      </c>
      <c r="J226">
        <f>IF(INDEX(GCalXMLT[dfestival2],$D226)="(Fast today)",INDEX(Festivals!$R$2:$R$180,MATCH($I226,Festivals!$R$2:$R$180,0)+1),INDEX(GCalXMLT[dfestival2],$D226))</f>
        <v>0</v>
      </c>
      <c r="K226">
        <f>IF(I226="Nandotsava","(Fast till noon)",INDEX(GCalXMLT[dfestival3],$D226))</f>
        <v>0</v>
      </c>
      <c r="L226">
        <f>IF(I226="Nandotsava", INDEX(GCalXMLT[dfestival3],$D226),INDEX(GCalXMLT[dfestival4],$D226))</f>
        <v>0</v>
      </c>
      <c r="M226" t="str">
        <f>IFERROR(INDEX(Festivals!$S$2:$S$160,AP226),"")</f>
        <v/>
      </c>
      <c r="N226" t="str">
        <f>IFERROR(IF($AQ226&gt;1,INDEX(Festivals!$S$2:$S$160,$AP226+1),""),"")</f>
        <v/>
      </c>
      <c r="O226" t="str">
        <f>IFERROR(IF($AQ226&gt;2,INDEX(Festivals!$S$2:$S$160,$AP226+2),""),"")</f>
        <v/>
      </c>
      <c r="P226" t="str">
        <f>IFERROR(IF($AQ226&gt;3,INDEX(Festivals!$S$2:$S$160,$AP226+3),""),"")</f>
        <v/>
      </c>
      <c r="Q226" t="str">
        <f>IFERROR(IF($AQ226&gt;4,INDEX(Festivals!$S$2:$S$160,$AP226+4),""),"")</f>
        <v/>
      </c>
      <c r="R226" t="str">
        <f>IFERROR(IF($AQ226&gt;5,INDEX(Festivals!$S$2:$S$160,$AP226+5),""),"")</f>
        <v/>
      </c>
      <c r="S226" t="str">
        <f>IFERROR(IF($AQ226&gt;6,INDEX(Festivals!$S$2:$S$160,$AP226+6),""),"")</f>
        <v/>
      </c>
      <c r="T226">
        <f>INDEX(GCalXMLT[dcaturmasya1],$D226)</f>
        <v>0</v>
      </c>
      <c r="U226">
        <f>INDEX(GCalXMLT[dcaturmasya2],$D226)</f>
        <v>0</v>
      </c>
      <c r="V226" t="str">
        <f>INDEX(GCalXMLT[sankrantirasi],$D226) &amp; " " &amp; INDEX(GCalXMLT[sankrantitime],$D226)</f>
        <v xml:space="preserve"> </v>
      </c>
      <c r="W226" t="str">
        <f ca="1">IFERROR(INDEX('Holidays Calc'!$K$2:$K$233,AR226),"")</f>
        <v/>
      </c>
      <c r="X226" t="str">
        <f ca="1">IF(AR226="","",IF(INDEX('Holidays Calc'!$I$2:$I$233,AR226+1)=A226,INDEX('Holidays Calc'!$K$2:$K$233,AR226+1),""))</f>
        <v/>
      </c>
      <c r="Y226" t="str">
        <f ca="1">IF(AR226="","",IF(INDEX('Holidays Calc'!$I$2:$I$233,AR226+2)=A226,INDEX('Holidays Calc'!$K$2:$K$233,AR226+2),""))</f>
        <v/>
      </c>
      <c r="Z226" t="str">
        <f ca="1">IF(AR226="","",IF(INDEX('Holidays Calc'!$I$2:$I$233,AR226+3)=A226,INDEX('Holidays Calc'!$K$2:$K$2333,AR226+3),""))</f>
        <v/>
      </c>
      <c r="AA226" t="str">
        <f>IF(I226="Last day of Bhisma Pancaka","",IF(G226="*",-0.7,IF(ISBLANK(INDEX(GCalXMLT[dclass1],$D226)),"",INDEX(GCalXMLT[dclass1],$D226))))</f>
        <v/>
      </c>
      <c r="AB226" t="str">
        <f>IF(J226="First day of Bhisma Pancaka","",IF(AND(G226="*",NOT(ISERROR(SEARCH("ekadasi",J226)))),-0.7,IF(ISBLANK(INDEX(GCalXMLT[dclass2],$D226)),"",INDEX(GCalXMLT[dclass2],$D226))))</f>
        <v/>
      </c>
      <c r="AC226" t="str">
        <f>IF(I226="Nandotsava",-1,IF(ISBLANK(INDEX(GCalXMLT[dclass3],$D226)),"",INDEX(GCalXMLT[dclass3],$D226)))</f>
        <v/>
      </c>
      <c r="AD226" t="str">
        <f>IF(I226="Nandotsava",IF(ISBLANK(INDEX(GCalXMLT[dclass3],$D226)),"",INDEX(GCalXMLT[dclass3],$D226)),IF(ISBLANK(INDEX(GCalXMLT[dclass4],$D226)),"",INDEX(GCalXMLT[dclass4],$D226)))</f>
        <v/>
      </c>
      <c r="AE226" t="str">
        <f>IFERROR(INDEX(Festivals!$V$2:$V$160,AP226),"")</f>
        <v/>
      </c>
      <c r="AF226" t="str">
        <f>IFERROR(IF($AQ226&gt;1,INDEX(Festivals!$V$2:$V$160,$AP226+1),""),"")</f>
        <v/>
      </c>
      <c r="AG226" t="str">
        <f>IFERROR(IF($AQ226&gt;2,INDEX(Festivals!$V$2:$V$160,$AP226+2),""),"")</f>
        <v/>
      </c>
      <c r="AH226" t="str">
        <f>IFERROR(IF($AQ226&gt;3,INDEX(Festivals!$V$2:$V$160,$AP226+3),""),"")</f>
        <v/>
      </c>
      <c r="AI226" t="str">
        <f>IFERROR(IF($AQ226&gt;4,INDEX(Festivals!$V$2:$V$160,$AP226+4),""),"")</f>
        <v/>
      </c>
      <c r="AJ226" t="str">
        <f>IFERROR(IF($AQ226&gt;5,INDEX(Festivals!$V$2:$V$160,$AP226+5),""),"")</f>
        <v/>
      </c>
      <c r="AK226" t="str">
        <f>IFERROR(IF($AQ226&gt;6,INDEX(Festivals!$V$2:$V$160,$AP226+6),""),"")</f>
        <v/>
      </c>
      <c r="AL226" t="str">
        <f ca="1">IFERROR(INDEX('Holidays Calc'!$J$2:$J$233,MATCH(A226,'Holidays Calc'!$I$2:$I$233,0)),"")</f>
        <v/>
      </c>
      <c r="AM226" t="str">
        <f ca="1">IF(AR226="","",IF(INDEX('Holidays Calc'!$I$2:$I$233,AR226+1)=A226,INDEX('Holidays Calc'!$J$2:$J$233,AR226+1),""))</f>
        <v/>
      </c>
      <c r="AN226" t="str">
        <f ca="1">IF(AR226="","",IF(INDEX('Holidays Calc'!$I$2:$I$233,AR226+2)=A226,INDEX('Holidays Calc'!$J$2:$J$233,AR226+2),""))</f>
        <v/>
      </c>
      <c r="AO226" t="str">
        <f ca="1">IF(AR226="","",IF(INDEX('Holidays Calc'!$I$2:$I$233,AR226+3)=A226,INDEX('Holidays Calc'!$J$2:$J$233,AR226+3),""))</f>
        <v/>
      </c>
      <c r="AP226" t="str">
        <f>IFERROR(IF($E226=E225,"",MATCH($E226,Festivals!$H$2:$H$160,0)),"")</f>
        <v/>
      </c>
      <c r="AQ226" t="str">
        <f>IF(AP226="","",COUNTIF(Festivals!$H$2:$H$160,$E226))</f>
        <v/>
      </c>
      <c r="AR226" t="str">
        <f ca="1">IFERROR(MATCH(A226,'Holidays Calc'!$I$2:$I$233,0),"")</f>
        <v/>
      </c>
      <c r="AS226" t="str">
        <f t="shared" si="25"/>
        <v/>
      </c>
      <c r="AT226" t="str">
        <f t="shared" si="24"/>
        <v/>
      </c>
      <c r="AU226" t="str">
        <f t="shared" ca="1" si="26"/>
        <v/>
      </c>
      <c r="AV226" t="str">
        <f t="shared" ca="1" si="27"/>
        <v/>
      </c>
    </row>
    <row r="227" spans="1:48" x14ac:dyDescent="0.25">
      <c r="A227" s="265">
        <f t="shared" si="23"/>
        <v>43653</v>
      </c>
      <c r="B227" s="265" t="str">
        <f t="shared" si="28"/>
        <v>7 Jul 2019</v>
      </c>
      <c r="C227" s="267">
        <f t="shared" si="29"/>
        <v>27</v>
      </c>
      <c r="D227">
        <f>MATCH(A227,GCalXMLT[daydate],0)</f>
        <v>226</v>
      </c>
      <c r="E227">
        <f>VALUE("1" &amp; Masacod(INDEX(GCalXMLT[gymasa],D227)) &amp; PaksaCod(INDEX(GCalXMLT[mpaksaid],D227)) &amp; TithiCod(INDEX(GCalXMLT[stithiname],D227)))</f>
        <v>104106</v>
      </c>
      <c r="F227" t="str">
        <f ca="1">INDEX(Parameters!$K$2:$K$16,MATCH(AV227,Parameters!$L$2:$L$16,0))</f>
        <v>C</v>
      </c>
      <c r="G227">
        <f>INDEX(GCalXMLT[fastmark],$D227)</f>
        <v>0</v>
      </c>
      <c r="H227" t="str">
        <f ca="1">INDEX(Parameters!$J$2:$J$16,MATCH(AV227,Parameters!$L$2:$L$16,0))</f>
        <v/>
      </c>
      <c r="I227">
        <f>INDEX(GCalXMLT[dfestival1],$D227)</f>
        <v>0</v>
      </c>
      <c r="J227">
        <f>IF(INDEX(GCalXMLT[dfestival2],$D227)="(Fast today)",INDEX(Festivals!$R$2:$R$180,MATCH($I227,Festivals!$R$2:$R$180,0)+1),INDEX(GCalXMLT[dfestival2],$D227))</f>
        <v>0</v>
      </c>
      <c r="K227">
        <f>IF(I227="Nandotsava","(Fast till noon)",INDEX(GCalXMLT[dfestival3],$D227))</f>
        <v>0</v>
      </c>
      <c r="L227">
        <f>IF(I227="Nandotsava", INDEX(GCalXMLT[dfestival3],$D227),INDEX(GCalXMLT[dfestival4],$D227))</f>
        <v>0</v>
      </c>
      <c r="M227" t="str">
        <f>IFERROR(INDEX(Festivals!$S$2:$S$160,AP227),"")</f>
        <v>Sri Vakresvara Pandita - Disappearance</v>
      </c>
      <c r="N227" t="str">
        <f>IFERROR(IF($AQ227&gt;1,INDEX(Festivals!$S$2:$S$160,$AP227+1),""),"")</f>
        <v/>
      </c>
      <c r="O227" t="str">
        <f>IFERROR(IF($AQ227&gt;2,INDEX(Festivals!$S$2:$S$160,$AP227+2),""),"")</f>
        <v/>
      </c>
      <c r="P227" t="str">
        <f>IFERROR(IF($AQ227&gt;3,INDEX(Festivals!$S$2:$S$160,$AP227+3),""),"")</f>
        <v/>
      </c>
      <c r="Q227" t="str">
        <f>IFERROR(IF($AQ227&gt;4,INDEX(Festivals!$S$2:$S$160,$AP227+4),""),"")</f>
        <v/>
      </c>
      <c r="R227" t="str">
        <f>IFERROR(IF($AQ227&gt;5,INDEX(Festivals!$S$2:$S$160,$AP227+5),""),"")</f>
        <v/>
      </c>
      <c r="S227" t="str">
        <f>IFERROR(IF($AQ227&gt;6,INDEX(Festivals!$S$2:$S$160,$AP227+6),""),"")</f>
        <v/>
      </c>
      <c r="T227">
        <f>INDEX(GCalXMLT[dcaturmasya1],$D227)</f>
        <v>0</v>
      </c>
      <c r="U227">
        <f>INDEX(GCalXMLT[dcaturmasya2],$D227)</f>
        <v>0</v>
      </c>
      <c r="V227" t="str">
        <f>INDEX(GCalXMLT[sankrantirasi],$D227) &amp; " " &amp; INDEX(GCalXMLT[sankrantitime],$D227)</f>
        <v xml:space="preserve"> </v>
      </c>
      <c r="W227" t="str">
        <f ca="1">IFERROR(INDEX('Holidays Calc'!$K$2:$K$233,AR227),"")</f>
        <v/>
      </c>
      <c r="X227" t="str">
        <f ca="1">IF(AR227="","",IF(INDEX('Holidays Calc'!$I$2:$I$233,AR227+1)=A227,INDEX('Holidays Calc'!$K$2:$K$233,AR227+1),""))</f>
        <v/>
      </c>
      <c r="Y227" t="str">
        <f ca="1">IF(AR227="","",IF(INDEX('Holidays Calc'!$I$2:$I$233,AR227+2)=A227,INDEX('Holidays Calc'!$K$2:$K$233,AR227+2),""))</f>
        <v/>
      </c>
      <c r="Z227" t="str">
        <f ca="1">IF(AR227="","",IF(INDEX('Holidays Calc'!$I$2:$I$233,AR227+3)=A227,INDEX('Holidays Calc'!$K$2:$K$2333,AR227+3),""))</f>
        <v/>
      </c>
      <c r="AA227" t="str">
        <f>IF(I227="Last day of Bhisma Pancaka","",IF(G227="*",-0.7,IF(ISBLANK(INDEX(GCalXMLT[dclass1],$D227)),"",INDEX(GCalXMLT[dclass1],$D227))))</f>
        <v/>
      </c>
      <c r="AB227" t="str">
        <f>IF(J227="First day of Bhisma Pancaka","",IF(AND(G227="*",NOT(ISERROR(SEARCH("ekadasi",J227)))),-0.7,IF(ISBLANK(INDEX(GCalXMLT[dclass2],$D227)),"",INDEX(GCalXMLT[dclass2],$D227))))</f>
        <v/>
      </c>
      <c r="AC227" t="str">
        <f>IF(I227="Nandotsava",-1,IF(ISBLANK(INDEX(GCalXMLT[dclass3],$D227)),"",INDEX(GCalXMLT[dclass3],$D227)))</f>
        <v/>
      </c>
      <c r="AD227" t="str">
        <f>IF(I227="Nandotsava",IF(ISBLANK(INDEX(GCalXMLT[dclass3],$D227)),"",INDEX(GCalXMLT[dclass3],$D227)),IF(ISBLANK(INDEX(GCalXMLT[dclass4],$D227)),"",INDEX(GCalXMLT[dclass4],$D227)))</f>
        <v/>
      </c>
      <c r="AE227">
        <f>IFERROR(INDEX(Festivals!$V$2:$V$160,AP227),"")</f>
        <v>3</v>
      </c>
      <c r="AF227" t="str">
        <f>IFERROR(IF($AQ227&gt;1,INDEX(Festivals!$V$2:$V$160,$AP227+1),""),"")</f>
        <v/>
      </c>
      <c r="AG227" t="str">
        <f>IFERROR(IF($AQ227&gt;2,INDEX(Festivals!$V$2:$V$160,$AP227+2),""),"")</f>
        <v/>
      </c>
      <c r="AH227" t="str">
        <f>IFERROR(IF($AQ227&gt;3,INDEX(Festivals!$V$2:$V$160,$AP227+3),""),"")</f>
        <v/>
      </c>
      <c r="AI227" t="str">
        <f>IFERROR(IF($AQ227&gt;4,INDEX(Festivals!$V$2:$V$160,$AP227+4),""),"")</f>
        <v/>
      </c>
      <c r="AJ227" t="str">
        <f>IFERROR(IF($AQ227&gt;5,INDEX(Festivals!$V$2:$V$160,$AP227+5),""),"")</f>
        <v/>
      </c>
      <c r="AK227" t="str">
        <f>IFERROR(IF($AQ227&gt;6,INDEX(Festivals!$V$2:$V$160,$AP227+6),""),"")</f>
        <v/>
      </c>
      <c r="AL227" t="str">
        <f ca="1">IFERROR(INDEX('Holidays Calc'!$J$2:$J$233,MATCH(A227,'Holidays Calc'!$I$2:$I$233,0)),"")</f>
        <v/>
      </c>
      <c r="AM227" t="str">
        <f ca="1">IF(AR227="","",IF(INDEX('Holidays Calc'!$I$2:$I$233,AR227+1)=A227,INDEX('Holidays Calc'!$J$2:$J$233,AR227+1),""))</f>
        <v/>
      </c>
      <c r="AN227" t="str">
        <f ca="1">IF(AR227="","",IF(INDEX('Holidays Calc'!$I$2:$I$233,AR227+2)=A227,INDEX('Holidays Calc'!$J$2:$J$233,AR227+2),""))</f>
        <v/>
      </c>
      <c r="AO227" t="str">
        <f ca="1">IF(AR227="","",IF(INDEX('Holidays Calc'!$I$2:$I$233,AR227+3)=A227,INDEX('Holidays Calc'!$J$2:$J$233,AR227+3),""))</f>
        <v/>
      </c>
      <c r="AP227">
        <f>IFERROR(IF($E227=E226,"",MATCH($E227,Festivals!$H$2:$H$160,0)),"")</f>
        <v>43</v>
      </c>
      <c r="AQ227">
        <f>IF(AP227="","",COUNTIF(Festivals!$H$2:$H$160,$E227))</f>
        <v>1</v>
      </c>
      <c r="AR227" t="str">
        <f ca="1">IFERROR(MATCH(A227,'Holidays Calc'!$I$2:$I$233,0),"")</f>
        <v/>
      </c>
      <c r="AS227">
        <f t="shared" si="25"/>
        <v>3</v>
      </c>
      <c r="AT227">
        <f t="shared" si="24"/>
        <v>3</v>
      </c>
      <c r="AU227" t="str">
        <f t="shared" ca="1" si="26"/>
        <v/>
      </c>
      <c r="AV227">
        <f t="shared" ca="1" si="27"/>
        <v>3</v>
      </c>
    </row>
    <row r="228" spans="1:48" x14ac:dyDescent="0.25">
      <c r="A228" s="265">
        <f t="shared" si="23"/>
        <v>43654</v>
      </c>
      <c r="B228" s="265" t="str">
        <f t="shared" si="28"/>
        <v>8 Jul 2019</v>
      </c>
      <c r="C228" s="267">
        <f t="shared" si="29"/>
        <v>28</v>
      </c>
      <c r="D228">
        <f>MATCH(A228,GCalXMLT[daydate],0)</f>
        <v>227</v>
      </c>
      <c r="E228">
        <f>VALUE("1" &amp; Masacod(INDEX(GCalXMLT[gymasa],D228)) &amp; PaksaCod(INDEX(GCalXMLT[mpaksaid],D228)) &amp; TithiCod(INDEX(GCalXMLT[stithiname],D228)))</f>
        <v>104107</v>
      </c>
      <c r="F228" t="str">
        <f ca="1">INDEX(Parameters!$K$2:$K$16,MATCH(AV228,Parameters!$L$2:$L$16,0))</f>
        <v>C</v>
      </c>
      <c r="G228">
        <f>INDEX(GCalXMLT[fastmark],$D228)</f>
        <v>0</v>
      </c>
      <c r="H228" t="str">
        <f ca="1">INDEX(Parameters!$J$2:$J$16,MATCH(AV228,Parameters!$L$2:$L$16,0))</f>
        <v/>
      </c>
      <c r="I228" t="str">
        <f>INDEX(GCalXMLT[dfestival1],$D228)</f>
        <v>Hera Pancami (4 days after Ratha Yatra)</v>
      </c>
      <c r="J228">
        <f>IF(INDEX(GCalXMLT[dfestival2],$D228)="(Fast today)",INDEX(Festivals!$R$2:$R$180,MATCH($I228,Festivals!$R$2:$R$180,0)+1),INDEX(GCalXMLT[dfestival2],$D228))</f>
        <v>0</v>
      </c>
      <c r="K228">
        <f>IF(I228="Nandotsava","(Fast till noon)",INDEX(GCalXMLT[dfestival3],$D228))</f>
        <v>0</v>
      </c>
      <c r="L228">
        <f>IF(I228="Nandotsava", INDEX(GCalXMLT[dfestival3],$D228),INDEX(GCalXMLT[dfestival4],$D228))</f>
        <v>0</v>
      </c>
      <c r="M228" t="str">
        <f>IFERROR(INDEX(Festivals!$S$2:$S$160,AP228),"")</f>
        <v/>
      </c>
      <c r="N228" t="str">
        <f>IFERROR(IF($AQ228&gt;1,INDEX(Festivals!$S$2:$S$160,$AP228+1),""),"")</f>
        <v/>
      </c>
      <c r="O228" t="str">
        <f>IFERROR(IF($AQ228&gt;2,INDEX(Festivals!$S$2:$S$160,$AP228+2),""),"")</f>
        <v/>
      </c>
      <c r="P228" t="str">
        <f>IFERROR(IF($AQ228&gt;3,INDEX(Festivals!$S$2:$S$160,$AP228+3),""),"")</f>
        <v/>
      </c>
      <c r="Q228" t="str">
        <f>IFERROR(IF($AQ228&gt;4,INDEX(Festivals!$S$2:$S$160,$AP228+4),""),"")</f>
        <v/>
      </c>
      <c r="R228" t="str">
        <f>IFERROR(IF($AQ228&gt;5,INDEX(Festivals!$S$2:$S$160,$AP228+5),""),"")</f>
        <v/>
      </c>
      <c r="S228" t="str">
        <f>IFERROR(IF($AQ228&gt;6,INDEX(Festivals!$S$2:$S$160,$AP228+6),""),"")</f>
        <v/>
      </c>
      <c r="T228">
        <f>INDEX(GCalXMLT[dcaturmasya1],$D228)</f>
        <v>0</v>
      </c>
      <c r="U228">
        <f>INDEX(GCalXMLT[dcaturmasya2],$D228)</f>
        <v>0</v>
      </c>
      <c r="V228" t="str">
        <f>INDEX(GCalXMLT[sankrantirasi],$D228) &amp; " " &amp; INDEX(GCalXMLT[sankrantitime],$D228)</f>
        <v xml:space="preserve"> </v>
      </c>
      <c r="W228" t="str">
        <f ca="1">IFERROR(INDEX('Holidays Calc'!$K$2:$K$233,AR228),"")</f>
        <v/>
      </c>
      <c r="X228" t="str">
        <f ca="1">IF(AR228="","",IF(INDEX('Holidays Calc'!$I$2:$I$233,AR228+1)=A228,INDEX('Holidays Calc'!$K$2:$K$233,AR228+1),""))</f>
        <v/>
      </c>
      <c r="Y228" t="str">
        <f ca="1">IF(AR228="","",IF(INDEX('Holidays Calc'!$I$2:$I$233,AR228+2)=A228,INDEX('Holidays Calc'!$K$2:$K$233,AR228+2),""))</f>
        <v/>
      </c>
      <c r="Z228" t="str">
        <f ca="1">IF(AR228="","",IF(INDEX('Holidays Calc'!$I$2:$I$233,AR228+3)=A228,INDEX('Holidays Calc'!$K$2:$K$2333,AR228+3),""))</f>
        <v/>
      </c>
      <c r="AA228">
        <f>IF(I228="Last day of Bhisma Pancaka","",IF(G228="*",-0.7,IF(ISBLANK(INDEX(GCalXMLT[dclass1],$D228)),"",INDEX(GCalXMLT[dclass1],$D228))))</f>
        <v>1</v>
      </c>
      <c r="AB228" t="str">
        <f>IF(J228="First day of Bhisma Pancaka","",IF(AND(G228="*",NOT(ISERROR(SEARCH("ekadasi",J228)))),-0.7,IF(ISBLANK(INDEX(GCalXMLT[dclass2],$D228)),"",INDEX(GCalXMLT[dclass2],$D228))))</f>
        <v/>
      </c>
      <c r="AC228" t="str">
        <f>IF(I228="Nandotsava",-1,IF(ISBLANK(INDEX(GCalXMLT[dclass3],$D228)),"",INDEX(GCalXMLT[dclass3],$D228)))</f>
        <v/>
      </c>
      <c r="AD228" t="str">
        <f>IF(I228="Nandotsava",IF(ISBLANK(INDEX(GCalXMLT[dclass3],$D228)),"",INDEX(GCalXMLT[dclass3],$D228)),IF(ISBLANK(INDEX(GCalXMLT[dclass4],$D228)),"",INDEX(GCalXMLT[dclass4],$D228)))</f>
        <v/>
      </c>
      <c r="AE228" t="str">
        <f>IFERROR(INDEX(Festivals!$V$2:$V$160,AP228),"")</f>
        <v/>
      </c>
      <c r="AF228" t="str">
        <f>IFERROR(IF($AQ228&gt;1,INDEX(Festivals!$V$2:$V$160,$AP228+1),""),"")</f>
        <v/>
      </c>
      <c r="AG228" t="str">
        <f>IFERROR(IF($AQ228&gt;2,INDEX(Festivals!$V$2:$V$160,$AP228+2),""),"")</f>
        <v/>
      </c>
      <c r="AH228" t="str">
        <f>IFERROR(IF($AQ228&gt;3,INDEX(Festivals!$V$2:$V$160,$AP228+3),""),"")</f>
        <v/>
      </c>
      <c r="AI228" t="str">
        <f>IFERROR(IF($AQ228&gt;4,INDEX(Festivals!$V$2:$V$160,$AP228+4),""),"")</f>
        <v/>
      </c>
      <c r="AJ228" t="str">
        <f>IFERROR(IF($AQ228&gt;5,INDEX(Festivals!$V$2:$V$160,$AP228+5),""),"")</f>
        <v/>
      </c>
      <c r="AK228" t="str">
        <f>IFERROR(IF($AQ228&gt;6,INDEX(Festivals!$V$2:$V$160,$AP228+6),""),"")</f>
        <v/>
      </c>
      <c r="AL228" t="str">
        <f ca="1">IFERROR(INDEX('Holidays Calc'!$J$2:$J$233,MATCH(A228,'Holidays Calc'!$I$2:$I$233,0)),"")</f>
        <v/>
      </c>
      <c r="AM228" t="str">
        <f ca="1">IF(AR228="","",IF(INDEX('Holidays Calc'!$I$2:$I$233,AR228+1)=A228,INDEX('Holidays Calc'!$J$2:$J$233,AR228+1),""))</f>
        <v/>
      </c>
      <c r="AN228" t="str">
        <f ca="1">IF(AR228="","",IF(INDEX('Holidays Calc'!$I$2:$I$233,AR228+2)=A228,INDEX('Holidays Calc'!$J$2:$J$233,AR228+2),""))</f>
        <v/>
      </c>
      <c r="AO228" t="str">
        <f ca="1">IF(AR228="","",IF(INDEX('Holidays Calc'!$I$2:$I$233,AR228+3)=A228,INDEX('Holidays Calc'!$J$2:$J$233,AR228+3),""))</f>
        <v/>
      </c>
      <c r="AP228" t="str">
        <f>IFERROR(IF($E228=E227,"",MATCH($E228,Festivals!$H$2:$H$160,0)),"")</f>
        <v/>
      </c>
      <c r="AQ228" t="str">
        <f>IF(AP228="","",COUNTIF(Festivals!$H$2:$H$160,$E228))</f>
        <v/>
      </c>
      <c r="AR228" t="str">
        <f ca="1">IFERROR(MATCH(A228,'Holidays Calc'!$I$2:$I$233,0),"")</f>
        <v/>
      </c>
      <c r="AS228">
        <f t="shared" si="25"/>
        <v>1</v>
      </c>
      <c r="AT228">
        <f t="shared" si="24"/>
        <v>1</v>
      </c>
      <c r="AU228" t="str">
        <f t="shared" ca="1" si="26"/>
        <v/>
      </c>
      <c r="AV228">
        <f t="shared" ca="1" si="27"/>
        <v>1</v>
      </c>
    </row>
    <row r="229" spans="1:48" x14ac:dyDescent="0.25">
      <c r="A229" s="265">
        <f t="shared" si="23"/>
        <v>43655</v>
      </c>
      <c r="B229" s="265" t="str">
        <f t="shared" si="28"/>
        <v>9 Jul 2019</v>
      </c>
      <c r="C229" s="267">
        <f t="shared" si="29"/>
        <v>28</v>
      </c>
      <c r="D229">
        <f>MATCH(A229,GCalXMLT[daydate],0)</f>
        <v>228</v>
      </c>
      <c r="E229">
        <f>VALUE("1" &amp; Masacod(INDEX(GCalXMLT[gymasa],D229)) &amp; PaksaCod(INDEX(GCalXMLT[mpaksaid],D229)) &amp; TithiCod(INDEX(GCalXMLT[stithiname],D229)))</f>
        <v>104108</v>
      </c>
      <c r="F229" t="str">
        <f ca="1">INDEX(Parameters!$K$2:$K$16,MATCH(AV229,Parameters!$L$2:$L$16,0))</f>
        <v/>
      </c>
      <c r="G229">
        <f>INDEX(GCalXMLT[fastmark],$D229)</f>
        <v>0</v>
      </c>
      <c r="H229" t="str">
        <f ca="1">INDEX(Parameters!$J$2:$J$16,MATCH(AV229,Parameters!$L$2:$L$16,0))</f>
        <v/>
      </c>
      <c r="I229">
        <f>INDEX(GCalXMLT[dfestival1],$D229)</f>
        <v>0</v>
      </c>
      <c r="J229">
        <f>IF(INDEX(GCalXMLT[dfestival2],$D229)="(Fast today)",INDEX(Festivals!$R$2:$R$180,MATCH($I229,Festivals!$R$2:$R$180,0)+1),INDEX(GCalXMLT[dfestival2],$D229))</f>
        <v>0</v>
      </c>
      <c r="K229">
        <f>IF(I229="Nandotsava","(Fast till noon)",INDEX(GCalXMLT[dfestival3],$D229))</f>
        <v>0</v>
      </c>
      <c r="L229">
        <f>IF(I229="Nandotsava", INDEX(GCalXMLT[dfestival3],$D229),INDEX(GCalXMLT[dfestival4],$D229))</f>
        <v>0</v>
      </c>
      <c r="M229" t="str">
        <f>IFERROR(INDEX(Festivals!$S$2:$S$160,AP229),"")</f>
        <v/>
      </c>
      <c r="N229" t="str">
        <f>IFERROR(IF($AQ229&gt;1,INDEX(Festivals!$S$2:$S$160,$AP229+1),""),"")</f>
        <v/>
      </c>
      <c r="O229" t="str">
        <f>IFERROR(IF($AQ229&gt;2,INDEX(Festivals!$S$2:$S$160,$AP229+2),""),"")</f>
        <v/>
      </c>
      <c r="P229" t="str">
        <f>IFERROR(IF($AQ229&gt;3,INDEX(Festivals!$S$2:$S$160,$AP229+3),""),"")</f>
        <v/>
      </c>
      <c r="Q229" t="str">
        <f>IFERROR(IF($AQ229&gt;4,INDEX(Festivals!$S$2:$S$160,$AP229+4),""),"")</f>
        <v/>
      </c>
      <c r="R229" t="str">
        <f>IFERROR(IF($AQ229&gt;5,INDEX(Festivals!$S$2:$S$160,$AP229+5),""),"")</f>
        <v/>
      </c>
      <c r="S229" t="str">
        <f>IFERROR(IF($AQ229&gt;6,INDEX(Festivals!$S$2:$S$160,$AP229+6),""),"")</f>
        <v/>
      </c>
      <c r="T229">
        <f>INDEX(GCalXMLT[dcaturmasya1],$D229)</f>
        <v>0</v>
      </c>
      <c r="U229">
        <f>INDEX(GCalXMLT[dcaturmasya2],$D229)</f>
        <v>0</v>
      </c>
      <c r="V229" t="str">
        <f>INDEX(GCalXMLT[sankrantirasi],$D229) &amp; " " &amp; INDEX(GCalXMLT[sankrantitime],$D229)</f>
        <v xml:space="preserve"> </v>
      </c>
      <c r="W229" t="str">
        <f ca="1">IFERROR(INDEX('Holidays Calc'!$K$2:$K$233,AR229),"")</f>
        <v/>
      </c>
      <c r="X229" t="str">
        <f ca="1">IF(AR229="","",IF(INDEX('Holidays Calc'!$I$2:$I$233,AR229+1)=A229,INDEX('Holidays Calc'!$K$2:$K$233,AR229+1),""))</f>
        <v/>
      </c>
      <c r="Y229" t="str">
        <f ca="1">IF(AR229="","",IF(INDEX('Holidays Calc'!$I$2:$I$233,AR229+2)=A229,INDEX('Holidays Calc'!$K$2:$K$233,AR229+2),""))</f>
        <v/>
      </c>
      <c r="Z229" t="str">
        <f ca="1">IF(AR229="","",IF(INDEX('Holidays Calc'!$I$2:$I$233,AR229+3)=A229,INDEX('Holidays Calc'!$K$2:$K$2333,AR229+3),""))</f>
        <v/>
      </c>
      <c r="AA229" t="str">
        <f>IF(I229="Last day of Bhisma Pancaka","",IF(G229="*",-0.7,IF(ISBLANK(INDEX(GCalXMLT[dclass1],$D229)),"",INDEX(GCalXMLT[dclass1],$D229))))</f>
        <v/>
      </c>
      <c r="AB229" t="str">
        <f>IF(J229="First day of Bhisma Pancaka","",IF(AND(G229="*",NOT(ISERROR(SEARCH("ekadasi",J229)))),-0.7,IF(ISBLANK(INDEX(GCalXMLT[dclass2],$D229)),"",INDEX(GCalXMLT[dclass2],$D229))))</f>
        <v/>
      </c>
      <c r="AC229" t="str">
        <f>IF(I229="Nandotsava",-1,IF(ISBLANK(INDEX(GCalXMLT[dclass3],$D229)),"",INDEX(GCalXMLT[dclass3],$D229)))</f>
        <v/>
      </c>
      <c r="AD229" t="str">
        <f>IF(I229="Nandotsava",IF(ISBLANK(INDEX(GCalXMLT[dclass3],$D229)),"",INDEX(GCalXMLT[dclass3],$D229)),IF(ISBLANK(INDEX(GCalXMLT[dclass4],$D229)),"",INDEX(GCalXMLT[dclass4],$D229)))</f>
        <v/>
      </c>
      <c r="AE229" t="str">
        <f>IFERROR(INDEX(Festivals!$V$2:$V$160,AP229),"")</f>
        <v/>
      </c>
      <c r="AF229" t="str">
        <f>IFERROR(IF($AQ229&gt;1,INDEX(Festivals!$V$2:$V$160,$AP229+1),""),"")</f>
        <v/>
      </c>
      <c r="AG229" t="str">
        <f>IFERROR(IF($AQ229&gt;2,INDEX(Festivals!$V$2:$V$160,$AP229+2),""),"")</f>
        <v/>
      </c>
      <c r="AH229" t="str">
        <f>IFERROR(IF($AQ229&gt;3,INDEX(Festivals!$V$2:$V$160,$AP229+3),""),"")</f>
        <v/>
      </c>
      <c r="AI229" t="str">
        <f>IFERROR(IF($AQ229&gt;4,INDEX(Festivals!$V$2:$V$160,$AP229+4),""),"")</f>
        <v/>
      </c>
      <c r="AJ229" t="str">
        <f>IFERROR(IF($AQ229&gt;5,INDEX(Festivals!$V$2:$V$160,$AP229+5),""),"")</f>
        <v/>
      </c>
      <c r="AK229" t="str">
        <f>IFERROR(IF($AQ229&gt;6,INDEX(Festivals!$V$2:$V$160,$AP229+6),""),"")</f>
        <v/>
      </c>
      <c r="AL229" t="str">
        <f ca="1">IFERROR(INDEX('Holidays Calc'!$J$2:$J$233,MATCH(A229,'Holidays Calc'!$I$2:$I$233,0)),"")</f>
        <v/>
      </c>
      <c r="AM229" t="str">
        <f ca="1">IF(AR229="","",IF(INDEX('Holidays Calc'!$I$2:$I$233,AR229+1)=A229,INDEX('Holidays Calc'!$J$2:$J$233,AR229+1),""))</f>
        <v/>
      </c>
      <c r="AN229" t="str">
        <f ca="1">IF(AR229="","",IF(INDEX('Holidays Calc'!$I$2:$I$233,AR229+2)=A229,INDEX('Holidays Calc'!$J$2:$J$233,AR229+2),""))</f>
        <v/>
      </c>
      <c r="AO229" t="str">
        <f ca="1">IF(AR229="","",IF(INDEX('Holidays Calc'!$I$2:$I$233,AR229+3)=A229,INDEX('Holidays Calc'!$J$2:$J$233,AR229+3),""))</f>
        <v/>
      </c>
      <c r="AP229" t="str">
        <f>IFERROR(IF($E229=E228,"",MATCH($E229,Festivals!$H$2:$H$160,0)),"")</f>
        <v/>
      </c>
      <c r="AQ229" t="str">
        <f>IF(AP229="","",COUNTIF(Festivals!$H$2:$H$160,$E229))</f>
        <v/>
      </c>
      <c r="AR229" t="str">
        <f ca="1">IFERROR(MATCH(A229,'Holidays Calc'!$I$2:$I$233,0),"")</f>
        <v/>
      </c>
      <c r="AS229" t="str">
        <f t="shared" si="25"/>
        <v/>
      </c>
      <c r="AT229" t="str">
        <f t="shared" si="24"/>
        <v/>
      </c>
      <c r="AU229" t="str">
        <f t="shared" ca="1" si="26"/>
        <v/>
      </c>
      <c r="AV229" t="str">
        <f t="shared" ca="1" si="27"/>
        <v/>
      </c>
    </row>
    <row r="230" spans="1:48" x14ac:dyDescent="0.25">
      <c r="A230" s="265">
        <f t="shared" si="23"/>
        <v>43656</v>
      </c>
      <c r="B230" s="265" t="str">
        <f t="shared" si="28"/>
        <v>10 Jul 2019</v>
      </c>
      <c r="C230" s="267">
        <f t="shared" si="29"/>
        <v>28</v>
      </c>
      <c r="D230">
        <f>MATCH(A230,GCalXMLT[daydate],0)</f>
        <v>229</v>
      </c>
      <c r="E230">
        <f>VALUE("1" &amp; Masacod(INDEX(GCalXMLT[gymasa],D230)) &amp; PaksaCod(INDEX(GCalXMLT[mpaksaid],D230)) &amp; TithiCod(INDEX(GCalXMLT[stithiname],D230)))</f>
        <v>104109</v>
      </c>
      <c r="F230" t="str">
        <f ca="1">INDEX(Parameters!$K$2:$K$16,MATCH(AV230,Parameters!$L$2:$L$16,0))</f>
        <v/>
      </c>
      <c r="G230">
        <f>INDEX(GCalXMLT[fastmark],$D230)</f>
        <v>0</v>
      </c>
      <c r="H230" t="str">
        <f ca="1">INDEX(Parameters!$J$2:$J$16,MATCH(AV230,Parameters!$L$2:$L$16,0))</f>
        <v/>
      </c>
      <c r="I230">
        <f>INDEX(GCalXMLT[dfestival1],$D230)</f>
        <v>0</v>
      </c>
      <c r="J230">
        <f>IF(INDEX(GCalXMLT[dfestival2],$D230)="(Fast today)",INDEX(Festivals!$R$2:$R$180,MATCH($I230,Festivals!$R$2:$R$180,0)+1),INDEX(GCalXMLT[dfestival2],$D230))</f>
        <v>0</v>
      </c>
      <c r="K230">
        <f>IF(I230="Nandotsava","(Fast till noon)",INDEX(GCalXMLT[dfestival3],$D230))</f>
        <v>0</v>
      </c>
      <c r="L230">
        <f>IF(I230="Nandotsava", INDEX(GCalXMLT[dfestival3],$D230),INDEX(GCalXMLT[dfestival4],$D230))</f>
        <v>0</v>
      </c>
      <c r="M230" t="str">
        <f>IFERROR(INDEX(Festivals!$S$2:$S$160,AP230),"")</f>
        <v/>
      </c>
      <c r="N230" t="str">
        <f>IFERROR(IF($AQ230&gt;1,INDEX(Festivals!$S$2:$S$160,$AP230+1),""),"")</f>
        <v/>
      </c>
      <c r="O230" t="str">
        <f>IFERROR(IF($AQ230&gt;2,INDEX(Festivals!$S$2:$S$160,$AP230+2),""),"")</f>
        <v/>
      </c>
      <c r="P230" t="str">
        <f>IFERROR(IF($AQ230&gt;3,INDEX(Festivals!$S$2:$S$160,$AP230+3),""),"")</f>
        <v/>
      </c>
      <c r="Q230" t="str">
        <f>IFERROR(IF($AQ230&gt;4,INDEX(Festivals!$S$2:$S$160,$AP230+4),""),"")</f>
        <v/>
      </c>
      <c r="R230" t="str">
        <f>IFERROR(IF($AQ230&gt;5,INDEX(Festivals!$S$2:$S$160,$AP230+5),""),"")</f>
        <v/>
      </c>
      <c r="S230" t="str">
        <f>IFERROR(IF($AQ230&gt;6,INDEX(Festivals!$S$2:$S$160,$AP230+6),""),"")</f>
        <v/>
      </c>
      <c r="T230">
        <f>INDEX(GCalXMLT[dcaturmasya1],$D230)</f>
        <v>0</v>
      </c>
      <c r="U230">
        <f>INDEX(GCalXMLT[dcaturmasya2],$D230)</f>
        <v>0</v>
      </c>
      <c r="V230" t="str">
        <f>INDEX(GCalXMLT[sankrantirasi],$D230) &amp; " " &amp; INDEX(GCalXMLT[sankrantitime],$D230)</f>
        <v xml:space="preserve"> </v>
      </c>
      <c r="W230" t="str">
        <f ca="1">IFERROR(INDEX('Holidays Calc'!$K$2:$K$233,AR230),"")</f>
        <v/>
      </c>
      <c r="X230" t="str">
        <f ca="1">IF(AR230="","",IF(INDEX('Holidays Calc'!$I$2:$I$233,AR230+1)=A230,INDEX('Holidays Calc'!$K$2:$K$233,AR230+1),""))</f>
        <v/>
      </c>
      <c r="Y230" t="str">
        <f ca="1">IF(AR230="","",IF(INDEX('Holidays Calc'!$I$2:$I$233,AR230+2)=A230,INDEX('Holidays Calc'!$K$2:$K$233,AR230+2),""))</f>
        <v/>
      </c>
      <c r="Z230" t="str">
        <f ca="1">IF(AR230="","",IF(INDEX('Holidays Calc'!$I$2:$I$233,AR230+3)=A230,INDEX('Holidays Calc'!$K$2:$K$2333,AR230+3),""))</f>
        <v/>
      </c>
      <c r="AA230" t="str">
        <f>IF(I230="Last day of Bhisma Pancaka","",IF(G230="*",-0.7,IF(ISBLANK(INDEX(GCalXMLT[dclass1],$D230)),"",INDEX(GCalXMLT[dclass1],$D230))))</f>
        <v/>
      </c>
      <c r="AB230" t="str">
        <f>IF(J230="First day of Bhisma Pancaka","",IF(AND(G230="*",NOT(ISERROR(SEARCH("ekadasi",J230)))),-0.7,IF(ISBLANK(INDEX(GCalXMLT[dclass2],$D230)),"",INDEX(GCalXMLT[dclass2],$D230))))</f>
        <v/>
      </c>
      <c r="AC230" t="str">
        <f>IF(I230="Nandotsava",-1,IF(ISBLANK(INDEX(GCalXMLT[dclass3],$D230)),"",INDEX(GCalXMLT[dclass3],$D230)))</f>
        <v/>
      </c>
      <c r="AD230" t="str">
        <f>IF(I230="Nandotsava",IF(ISBLANK(INDEX(GCalXMLT[dclass3],$D230)),"",INDEX(GCalXMLT[dclass3],$D230)),IF(ISBLANK(INDEX(GCalXMLT[dclass4],$D230)),"",INDEX(GCalXMLT[dclass4],$D230)))</f>
        <v/>
      </c>
      <c r="AE230" t="str">
        <f>IFERROR(INDEX(Festivals!$V$2:$V$160,AP230),"")</f>
        <v/>
      </c>
      <c r="AF230" t="str">
        <f>IFERROR(IF($AQ230&gt;1,INDEX(Festivals!$V$2:$V$160,$AP230+1),""),"")</f>
        <v/>
      </c>
      <c r="AG230" t="str">
        <f>IFERROR(IF($AQ230&gt;2,INDEX(Festivals!$V$2:$V$160,$AP230+2),""),"")</f>
        <v/>
      </c>
      <c r="AH230" t="str">
        <f>IFERROR(IF($AQ230&gt;3,INDEX(Festivals!$V$2:$V$160,$AP230+3),""),"")</f>
        <v/>
      </c>
      <c r="AI230" t="str">
        <f>IFERROR(IF($AQ230&gt;4,INDEX(Festivals!$V$2:$V$160,$AP230+4),""),"")</f>
        <v/>
      </c>
      <c r="AJ230" t="str">
        <f>IFERROR(IF($AQ230&gt;5,INDEX(Festivals!$V$2:$V$160,$AP230+5),""),"")</f>
        <v/>
      </c>
      <c r="AK230" t="str">
        <f>IFERROR(IF($AQ230&gt;6,INDEX(Festivals!$V$2:$V$160,$AP230+6),""),"")</f>
        <v/>
      </c>
      <c r="AL230" t="str">
        <f ca="1">IFERROR(INDEX('Holidays Calc'!$J$2:$J$233,MATCH(A230,'Holidays Calc'!$I$2:$I$233,0)),"")</f>
        <v/>
      </c>
      <c r="AM230" t="str">
        <f ca="1">IF(AR230="","",IF(INDEX('Holidays Calc'!$I$2:$I$233,AR230+1)=A230,INDEX('Holidays Calc'!$J$2:$J$233,AR230+1),""))</f>
        <v/>
      </c>
      <c r="AN230" t="str">
        <f ca="1">IF(AR230="","",IF(INDEX('Holidays Calc'!$I$2:$I$233,AR230+2)=A230,INDEX('Holidays Calc'!$J$2:$J$233,AR230+2),""))</f>
        <v/>
      </c>
      <c r="AO230" t="str">
        <f ca="1">IF(AR230="","",IF(INDEX('Holidays Calc'!$I$2:$I$233,AR230+3)=A230,INDEX('Holidays Calc'!$J$2:$J$233,AR230+3),""))</f>
        <v/>
      </c>
      <c r="AP230" t="str">
        <f>IFERROR(IF($E230=E229,"",MATCH($E230,Festivals!$H$2:$H$160,0)),"")</f>
        <v/>
      </c>
      <c r="AQ230" t="str">
        <f>IF(AP230="","",COUNTIF(Festivals!$H$2:$H$160,$E230))</f>
        <v/>
      </c>
      <c r="AR230" t="str">
        <f ca="1">IFERROR(MATCH(A230,'Holidays Calc'!$I$2:$I$233,0),"")</f>
        <v/>
      </c>
      <c r="AS230" t="str">
        <f t="shared" si="25"/>
        <v/>
      </c>
      <c r="AT230" t="str">
        <f t="shared" si="24"/>
        <v/>
      </c>
      <c r="AU230" t="str">
        <f t="shared" ca="1" si="26"/>
        <v/>
      </c>
      <c r="AV230" t="str">
        <f t="shared" ca="1" si="27"/>
        <v/>
      </c>
    </row>
    <row r="231" spans="1:48" x14ac:dyDescent="0.25">
      <c r="A231" s="265">
        <f t="shared" si="23"/>
        <v>43657</v>
      </c>
      <c r="B231" s="265" t="str">
        <f t="shared" si="28"/>
        <v>11 Jul 2019</v>
      </c>
      <c r="C231" s="267">
        <f t="shared" si="29"/>
        <v>28</v>
      </c>
      <c r="D231">
        <f>MATCH(A231,GCalXMLT[daydate],0)</f>
        <v>230</v>
      </c>
      <c r="E231">
        <f>VALUE("1" &amp; Masacod(INDEX(GCalXMLT[gymasa],D231)) &amp; PaksaCod(INDEX(GCalXMLT[mpaksaid],D231)) &amp; TithiCod(INDEX(GCalXMLT[stithiname],D231)))</f>
        <v>104110</v>
      </c>
      <c r="F231" t="str">
        <f ca="1">INDEX(Parameters!$K$2:$K$16,MATCH(AV231,Parameters!$L$2:$L$16,0))</f>
        <v/>
      </c>
      <c r="G231">
        <f>INDEX(GCalXMLT[fastmark],$D231)</f>
        <v>0</v>
      </c>
      <c r="H231" t="str">
        <f ca="1">INDEX(Parameters!$J$2:$J$16,MATCH(AV231,Parameters!$L$2:$L$16,0))</f>
        <v/>
      </c>
      <c r="I231">
        <f>INDEX(GCalXMLT[dfestival1],$D231)</f>
        <v>0</v>
      </c>
      <c r="J231">
        <f>IF(INDEX(GCalXMLT[dfestival2],$D231)="(Fast today)",INDEX(Festivals!$R$2:$R$180,MATCH($I231,Festivals!$R$2:$R$180,0)+1),INDEX(GCalXMLT[dfestival2],$D231))</f>
        <v>0</v>
      </c>
      <c r="K231">
        <f>IF(I231="Nandotsava","(Fast till noon)",INDEX(GCalXMLT[dfestival3],$D231))</f>
        <v>0</v>
      </c>
      <c r="L231">
        <f>IF(I231="Nandotsava", INDEX(GCalXMLT[dfestival3],$D231),INDEX(GCalXMLT[dfestival4],$D231))</f>
        <v>0</v>
      </c>
      <c r="M231" t="str">
        <f>IFERROR(INDEX(Festivals!$S$2:$S$160,AP231),"")</f>
        <v/>
      </c>
      <c r="N231" t="str">
        <f>IFERROR(IF($AQ231&gt;1,INDEX(Festivals!$S$2:$S$160,$AP231+1),""),"")</f>
        <v/>
      </c>
      <c r="O231" t="str">
        <f>IFERROR(IF($AQ231&gt;2,INDEX(Festivals!$S$2:$S$160,$AP231+2),""),"")</f>
        <v/>
      </c>
      <c r="P231" t="str">
        <f>IFERROR(IF($AQ231&gt;3,INDEX(Festivals!$S$2:$S$160,$AP231+3),""),"")</f>
        <v/>
      </c>
      <c r="Q231" t="str">
        <f>IFERROR(IF($AQ231&gt;4,INDEX(Festivals!$S$2:$S$160,$AP231+4),""),"")</f>
        <v/>
      </c>
      <c r="R231" t="str">
        <f>IFERROR(IF($AQ231&gt;5,INDEX(Festivals!$S$2:$S$160,$AP231+5),""),"")</f>
        <v/>
      </c>
      <c r="S231" t="str">
        <f>IFERROR(IF($AQ231&gt;6,INDEX(Festivals!$S$2:$S$160,$AP231+6),""),"")</f>
        <v/>
      </c>
      <c r="T231">
        <f>INDEX(GCalXMLT[dcaturmasya1],$D231)</f>
        <v>0</v>
      </c>
      <c r="U231">
        <f>INDEX(GCalXMLT[dcaturmasya2],$D231)</f>
        <v>0</v>
      </c>
      <c r="V231" t="str">
        <f>INDEX(GCalXMLT[sankrantirasi],$D231) &amp; " " &amp; INDEX(GCalXMLT[sankrantitime],$D231)</f>
        <v xml:space="preserve"> </v>
      </c>
      <c r="W231" t="str">
        <f ca="1">IFERROR(INDEX('Holidays Calc'!$K$2:$K$233,AR231),"")</f>
        <v/>
      </c>
      <c r="X231" t="str">
        <f ca="1">IF(AR231="","",IF(INDEX('Holidays Calc'!$I$2:$I$233,AR231+1)=A231,INDEX('Holidays Calc'!$K$2:$K$233,AR231+1),""))</f>
        <v/>
      </c>
      <c r="Y231" t="str">
        <f ca="1">IF(AR231="","",IF(INDEX('Holidays Calc'!$I$2:$I$233,AR231+2)=A231,INDEX('Holidays Calc'!$K$2:$K$233,AR231+2),""))</f>
        <v/>
      </c>
      <c r="Z231" t="str">
        <f ca="1">IF(AR231="","",IF(INDEX('Holidays Calc'!$I$2:$I$233,AR231+3)=A231,INDEX('Holidays Calc'!$K$2:$K$2333,AR231+3),""))</f>
        <v/>
      </c>
      <c r="AA231" t="str">
        <f>IF(I231="Last day of Bhisma Pancaka","",IF(G231="*",-0.7,IF(ISBLANK(INDEX(GCalXMLT[dclass1],$D231)),"",INDEX(GCalXMLT[dclass1],$D231))))</f>
        <v/>
      </c>
      <c r="AB231" t="str">
        <f>IF(J231="First day of Bhisma Pancaka","",IF(AND(G231="*",NOT(ISERROR(SEARCH("ekadasi",J231)))),-0.7,IF(ISBLANK(INDEX(GCalXMLT[dclass2],$D231)),"",INDEX(GCalXMLT[dclass2],$D231))))</f>
        <v/>
      </c>
      <c r="AC231" t="str">
        <f>IF(I231="Nandotsava",-1,IF(ISBLANK(INDEX(GCalXMLT[dclass3],$D231)),"",INDEX(GCalXMLT[dclass3],$D231)))</f>
        <v/>
      </c>
      <c r="AD231" t="str">
        <f>IF(I231="Nandotsava",IF(ISBLANK(INDEX(GCalXMLT[dclass3],$D231)),"",INDEX(GCalXMLT[dclass3],$D231)),IF(ISBLANK(INDEX(GCalXMLT[dclass4],$D231)),"",INDEX(GCalXMLT[dclass4],$D231)))</f>
        <v/>
      </c>
      <c r="AE231" t="str">
        <f>IFERROR(INDEX(Festivals!$V$2:$V$160,AP231),"")</f>
        <v/>
      </c>
      <c r="AF231" t="str">
        <f>IFERROR(IF($AQ231&gt;1,INDEX(Festivals!$V$2:$V$160,$AP231+1),""),"")</f>
        <v/>
      </c>
      <c r="AG231" t="str">
        <f>IFERROR(IF($AQ231&gt;2,INDEX(Festivals!$V$2:$V$160,$AP231+2),""),"")</f>
        <v/>
      </c>
      <c r="AH231" t="str">
        <f>IFERROR(IF($AQ231&gt;3,INDEX(Festivals!$V$2:$V$160,$AP231+3),""),"")</f>
        <v/>
      </c>
      <c r="AI231" t="str">
        <f>IFERROR(IF($AQ231&gt;4,INDEX(Festivals!$V$2:$V$160,$AP231+4),""),"")</f>
        <v/>
      </c>
      <c r="AJ231" t="str">
        <f>IFERROR(IF($AQ231&gt;5,INDEX(Festivals!$V$2:$V$160,$AP231+5),""),"")</f>
        <v/>
      </c>
      <c r="AK231" t="str">
        <f>IFERROR(IF($AQ231&gt;6,INDEX(Festivals!$V$2:$V$160,$AP231+6),""),"")</f>
        <v/>
      </c>
      <c r="AL231" t="str">
        <f ca="1">IFERROR(INDEX('Holidays Calc'!$J$2:$J$233,MATCH(A231,'Holidays Calc'!$I$2:$I$233,0)),"")</f>
        <v/>
      </c>
      <c r="AM231" t="str">
        <f ca="1">IF(AR231="","",IF(INDEX('Holidays Calc'!$I$2:$I$233,AR231+1)=A231,INDEX('Holidays Calc'!$J$2:$J$233,AR231+1),""))</f>
        <v/>
      </c>
      <c r="AN231" t="str">
        <f ca="1">IF(AR231="","",IF(INDEX('Holidays Calc'!$I$2:$I$233,AR231+2)=A231,INDEX('Holidays Calc'!$J$2:$J$233,AR231+2),""))</f>
        <v/>
      </c>
      <c r="AO231" t="str">
        <f ca="1">IF(AR231="","",IF(INDEX('Holidays Calc'!$I$2:$I$233,AR231+3)=A231,INDEX('Holidays Calc'!$J$2:$J$233,AR231+3),""))</f>
        <v/>
      </c>
      <c r="AP231" t="str">
        <f>IFERROR(IF($E231=E230,"",MATCH($E231,Festivals!$H$2:$H$160,0)),"")</f>
        <v/>
      </c>
      <c r="AQ231" t="str">
        <f>IF(AP231="","",COUNTIF(Festivals!$H$2:$H$160,$E231))</f>
        <v/>
      </c>
      <c r="AR231" t="str">
        <f ca="1">IFERROR(MATCH(A231,'Holidays Calc'!$I$2:$I$233,0),"")</f>
        <v/>
      </c>
      <c r="AS231" t="str">
        <f t="shared" si="25"/>
        <v/>
      </c>
      <c r="AT231" t="str">
        <f t="shared" si="24"/>
        <v/>
      </c>
      <c r="AU231" t="str">
        <f t="shared" ca="1" si="26"/>
        <v/>
      </c>
      <c r="AV231" t="str">
        <f t="shared" ca="1" si="27"/>
        <v/>
      </c>
    </row>
    <row r="232" spans="1:48" x14ac:dyDescent="0.25">
      <c r="A232" s="265">
        <f t="shared" si="23"/>
        <v>43658</v>
      </c>
      <c r="B232" s="265" t="str">
        <f t="shared" si="28"/>
        <v>12 Jul 2019</v>
      </c>
      <c r="C232" s="267">
        <f t="shared" si="29"/>
        <v>28</v>
      </c>
      <c r="D232">
        <f>MATCH(A232,GCalXMLT[daydate],0)</f>
        <v>231</v>
      </c>
      <c r="E232">
        <f>VALUE("1" &amp; Masacod(INDEX(GCalXMLT[gymasa],D232)) &amp; PaksaCod(INDEX(GCalXMLT[mpaksaid],D232)) &amp; TithiCod(INDEX(GCalXMLT[stithiname],D232)))</f>
        <v>104111</v>
      </c>
      <c r="F232" t="str">
        <f ca="1">INDEX(Parameters!$K$2:$K$16,MATCH(AV232,Parameters!$L$2:$L$16,0))</f>
        <v>E</v>
      </c>
      <c r="G232" t="str">
        <f>INDEX(GCalXMLT[fastmark],$D232)</f>
        <v>*</v>
      </c>
      <c r="H232" t="str">
        <f ca="1">INDEX(Parameters!$J$2:$J$16,MATCH(AV232,Parameters!$L$2:$L$16,0))</f>
        <v>*</v>
      </c>
      <c r="I232" t="str">
        <f>INDEX(GCalXMLT[dfestival1],$D232)</f>
        <v>Fasting for Sayana Ekadasi</v>
      </c>
      <c r="J232" t="str">
        <f>IF(INDEX(GCalXMLT[dfestival2],$D232)="(Fast today)",INDEX(Festivals!$R$2:$R$180,MATCH($I232,Festivals!$R$2:$R$180,0)+1),INDEX(GCalXMLT[dfestival2],$D232))</f>
        <v>Return Ratha (8 days after Ratha Yatra)</v>
      </c>
      <c r="K232">
        <f>IF(I232="Nandotsava","(Fast till noon)",INDEX(GCalXMLT[dfestival3],$D232))</f>
        <v>0</v>
      </c>
      <c r="L232">
        <f>IF(I232="Nandotsava", INDEX(GCalXMLT[dfestival3],$D232),INDEX(GCalXMLT[dfestival4],$D232))</f>
        <v>0</v>
      </c>
      <c r="M232" t="str">
        <f>IFERROR(INDEX(Festivals!$S$2:$S$160,AP232),"")</f>
        <v/>
      </c>
      <c r="N232" t="str">
        <f>IFERROR(IF($AQ232&gt;1,INDEX(Festivals!$S$2:$S$160,$AP232+1),""),"")</f>
        <v/>
      </c>
      <c r="O232" t="str">
        <f>IFERROR(IF($AQ232&gt;2,INDEX(Festivals!$S$2:$S$160,$AP232+2),""),"")</f>
        <v/>
      </c>
      <c r="P232" t="str">
        <f>IFERROR(IF($AQ232&gt;3,INDEX(Festivals!$S$2:$S$160,$AP232+3),""),"")</f>
        <v/>
      </c>
      <c r="Q232" t="str">
        <f>IFERROR(IF($AQ232&gt;4,INDEX(Festivals!$S$2:$S$160,$AP232+4),""),"")</f>
        <v/>
      </c>
      <c r="R232" t="str">
        <f>IFERROR(IF($AQ232&gt;5,INDEX(Festivals!$S$2:$S$160,$AP232+5),""),"")</f>
        <v/>
      </c>
      <c r="S232" t="str">
        <f>IFERROR(IF($AQ232&gt;6,INDEX(Festivals!$S$2:$S$160,$AP232+6),""),"")</f>
        <v/>
      </c>
      <c r="T232" t="str">
        <f>INDEX(GCalXMLT[dcaturmasya1],$D232)</f>
        <v>1first_EKADASI_</v>
      </c>
      <c r="U232">
        <f>INDEX(GCalXMLT[dcaturmasya2],$D232)</f>
        <v>0</v>
      </c>
      <c r="V232" t="str">
        <f>INDEX(GCalXMLT[sankrantirasi],$D232) &amp; " " &amp; INDEX(GCalXMLT[sankrantitime],$D232)</f>
        <v xml:space="preserve"> </v>
      </c>
      <c r="W232" t="str">
        <f ca="1">IFERROR(INDEX('Holidays Calc'!$K$2:$K$233,AR232),"")</f>
        <v/>
      </c>
      <c r="X232" t="str">
        <f ca="1">IF(AR232="","",IF(INDEX('Holidays Calc'!$I$2:$I$233,AR232+1)=A232,INDEX('Holidays Calc'!$K$2:$K$233,AR232+1),""))</f>
        <v/>
      </c>
      <c r="Y232" t="str">
        <f ca="1">IF(AR232="","",IF(INDEX('Holidays Calc'!$I$2:$I$233,AR232+2)=A232,INDEX('Holidays Calc'!$K$2:$K$233,AR232+2),""))</f>
        <v/>
      </c>
      <c r="Z232" t="str">
        <f ca="1">IF(AR232="","",IF(INDEX('Holidays Calc'!$I$2:$I$233,AR232+3)=A232,INDEX('Holidays Calc'!$K$2:$K$2333,AR232+3),""))</f>
        <v/>
      </c>
      <c r="AA232">
        <f>IF(I232="Last day of Bhisma Pancaka","",IF(G232="*",-0.7,IF(ISBLANK(INDEX(GCalXMLT[dclass1],$D232)),"",INDEX(GCalXMLT[dclass1],$D232))))</f>
        <v>-0.7</v>
      </c>
      <c r="AB232">
        <f>IF(J232="First day of Bhisma Pancaka","",IF(AND(G232="*",NOT(ISERROR(SEARCH("ekadasi",J232)))),-0.7,IF(ISBLANK(INDEX(GCalXMLT[dclass2],$D232)),"",INDEX(GCalXMLT[dclass2],$D232))))</f>
        <v>1</v>
      </c>
      <c r="AC232" t="str">
        <f>IF(I232="Nandotsava",-1,IF(ISBLANK(INDEX(GCalXMLT[dclass3],$D232)),"",INDEX(GCalXMLT[dclass3],$D232)))</f>
        <v/>
      </c>
      <c r="AD232" t="str">
        <f>IF(I232="Nandotsava",IF(ISBLANK(INDEX(GCalXMLT[dclass3],$D232)),"",INDEX(GCalXMLT[dclass3],$D232)),IF(ISBLANK(INDEX(GCalXMLT[dclass4],$D232)),"",INDEX(GCalXMLT[dclass4],$D232)))</f>
        <v/>
      </c>
      <c r="AE232" t="str">
        <f>IFERROR(INDEX(Festivals!$V$2:$V$160,AP232),"")</f>
        <v/>
      </c>
      <c r="AF232" t="str">
        <f>IFERROR(IF($AQ232&gt;1,INDEX(Festivals!$V$2:$V$160,$AP232+1),""),"")</f>
        <v/>
      </c>
      <c r="AG232" t="str">
        <f>IFERROR(IF($AQ232&gt;2,INDEX(Festivals!$V$2:$V$160,$AP232+2),""),"")</f>
        <v/>
      </c>
      <c r="AH232" t="str">
        <f>IFERROR(IF($AQ232&gt;3,INDEX(Festivals!$V$2:$V$160,$AP232+3),""),"")</f>
        <v/>
      </c>
      <c r="AI232" t="str">
        <f>IFERROR(IF($AQ232&gt;4,INDEX(Festivals!$V$2:$V$160,$AP232+4),""),"")</f>
        <v/>
      </c>
      <c r="AJ232" t="str">
        <f>IFERROR(IF($AQ232&gt;5,INDEX(Festivals!$V$2:$V$160,$AP232+5),""),"")</f>
        <v/>
      </c>
      <c r="AK232" t="str">
        <f>IFERROR(IF($AQ232&gt;6,INDEX(Festivals!$V$2:$V$160,$AP232+6),""),"")</f>
        <v/>
      </c>
      <c r="AL232" t="str">
        <f ca="1">IFERROR(INDEX('Holidays Calc'!$J$2:$J$233,MATCH(A232,'Holidays Calc'!$I$2:$I$233,0)),"")</f>
        <v/>
      </c>
      <c r="AM232" t="str">
        <f ca="1">IF(AR232="","",IF(INDEX('Holidays Calc'!$I$2:$I$233,AR232+1)=A232,INDEX('Holidays Calc'!$J$2:$J$233,AR232+1),""))</f>
        <v/>
      </c>
      <c r="AN232" t="str">
        <f ca="1">IF(AR232="","",IF(INDEX('Holidays Calc'!$I$2:$I$233,AR232+2)=A232,INDEX('Holidays Calc'!$J$2:$J$233,AR232+2),""))</f>
        <v/>
      </c>
      <c r="AO232" t="str">
        <f ca="1">IF(AR232="","",IF(INDEX('Holidays Calc'!$I$2:$I$233,AR232+3)=A232,INDEX('Holidays Calc'!$J$2:$J$233,AR232+3),""))</f>
        <v/>
      </c>
      <c r="AP232" t="str">
        <f>IFERROR(IF($E232=E231,"",MATCH($E232,Festivals!$H$2:$H$160,0)),"")</f>
        <v/>
      </c>
      <c r="AQ232" t="str">
        <f>IF(AP232="","",COUNTIF(Festivals!$H$2:$H$160,$E232))</f>
        <v/>
      </c>
      <c r="AR232" t="str">
        <f ca="1">IFERROR(MATCH(A232,'Holidays Calc'!$I$2:$I$233,0),"")</f>
        <v/>
      </c>
      <c r="AS232">
        <f t="shared" si="25"/>
        <v>-0.7</v>
      </c>
      <c r="AT232">
        <f t="shared" si="24"/>
        <v>-0.7</v>
      </c>
      <c r="AU232" t="str">
        <f t="shared" ca="1" si="26"/>
        <v/>
      </c>
      <c r="AV232">
        <f t="shared" ca="1" si="27"/>
        <v>-0.7</v>
      </c>
    </row>
    <row r="233" spans="1:48" x14ac:dyDescent="0.25">
      <c r="A233" s="265">
        <f t="shared" si="23"/>
        <v>43659</v>
      </c>
      <c r="B233" s="265" t="str">
        <f t="shared" si="28"/>
        <v>13 Jul 2019</v>
      </c>
      <c r="C233" s="267">
        <f t="shared" si="29"/>
        <v>28</v>
      </c>
      <c r="D233">
        <f>MATCH(A233,GCalXMLT[daydate],0)</f>
        <v>232</v>
      </c>
      <c r="E233">
        <f>VALUE("1" &amp; Masacod(INDEX(GCalXMLT[gymasa],D233)) &amp; PaksaCod(INDEX(GCalXMLT[mpaksaid],D233)) &amp; TithiCod(INDEX(GCalXMLT[stithiname],D233)))</f>
        <v>104112</v>
      </c>
      <c r="F233" t="str">
        <f ca="1">INDEX(Parameters!$K$2:$K$16,MATCH(AV233,Parameters!$L$2:$L$16,0))</f>
        <v/>
      </c>
      <c r="G233">
        <f>INDEX(GCalXMLT[fastmark],$D233)</f>
        <v>0</v>
      </c>
      <c r="H233" t="str">
        <f ca="1">INDEX(Parameters!$J$2:$J$16,MATCH(AV233,Parameters!$L$2:$L$16,0))</f>
        <v/>
      </c>
      <c r="I233">
        <f>INDEX(GCalXMLT[dfestival1],$D233)</f>
        <v>0</v>
      </c>
      <c r="J233">
        <f>IF(INDEX(GCalXMLT[dfestival2],$D233)="(Fast today)",INDEX(Festivals!$R$2:$R$180,MATCH($I233,Festivals!$R$2:$R$180,0)+1),INDEX(GCalXMLT[dfestival2],$D233))</f>
        <v>0</v>
      </c>
      <c r="K233">
        <f>IF(I233="Nandotsava","(Fast till noon)",INDEX(GCalXMLT[dfestival3],$D233))</f>
        <v>0</v>
      </c>
      <c r="L233">
        <f>IF(I233="Nandotsava", INDEX(GCalXMLT[dfestival3],$D233),INDEX(GCalXMLT[dfestival4],$D233))</f>
        <v>0</v>
      </c>
      <c r="M233" t="str">
        <f>IFERROR(INDEX(Festivals!$S$2:$S$160,AP233),"")</f>
        <v/>
      </c>
      <c r="N233" t="str">
        <f>IFERROR(IF($AQ233&gt;1,INDEX(Festivals!$S$2:$S$160,$AP233+1),""),"")</f>
        <v/>
      </c>
      <c r="O233" t="str">
        <f>IFERROR(IF($AQ233&gt;2,INDEX(Festivals!$S$2:$S$160,$AP233+2),""),"")</f>
        <v/>
      </c>
      <c r="P233" t="str">
        <f>IFERROR(IF($AQ233&gt;3,INDEX(Festivals!$S$2:$S$160,$AP233+3),""),"")</f>
        <v/>
      </c>
      <c r="Q233" t="str">
        <f>IFERROR(IF($AQ233&gt;4,INDEX(Festivals!$S$2:$S$160,$AP233+4),""),"")</f>
        <v/>
      </c>
      <c r="R233" t="str">
        <f>IFERROR(IF($AQ233&gt;5,INDEX(Festivals!$S$2:$S$160,$AP233+5),""),"")</f>
        <v/>
      </c>
      <c r="S233" t="str">
        <f>IFERROR(IF($AQ233&gt;6,INDEX(Festivals!$S$2:$S$160,$AP233+6),""),"")</f>
        <v/>
      </c>
      <c r="T233">
        <f>INDEX(GCalXMLT[dcaturmasya1],$D233)</f>
        <v>0</v>
      </c>
      <c r="U233">
        <f>INDEX(GCalXMLT[dcaturmasya2],$D233)</f>
        <v>0</v>
      </c>
      <c r="V233" t="str">
        <f>INDEX(GCalXMLT[sankrantirasi],$D233) &amp; " " &amp; INDEX(GCalXMLT[sankrantitime],$D233)</f>
        <v xml:space="preserve"> </v>
      </c>
      <c r="W233" t="str">
        <f ca="1">IFERROR(INDEX('Holidays Calc'!$K$2:$K$233,AR233),"")</f>
        <v/>
      </c>
      <c r="X233" t="str">
        <f ca="1">IF(AR233="","",IF(INDEX('Holidays Calc'!$I$2:$I$233,AR233+1)=A233,INDEX('Holidays Calc'!$K$2:$K$233,AR233+1),""))</f>
        <v/>
      </c>
      <c r="Y233" t="str">
        <f ca="1">IF(AR233="","",IF(INDEX('Holidays Calc'!$I$2:$I$233,AR233+2)=A233,INDEX('Holidays Calc'!$K$2:$K$233,AR233+2),""))</f>
        <v/>
      </c>
      <c r="Z233" t="str">
        <f ca="1">IF(AR233="","",IF(INDEX('Holidays Calc'!$I$2:$I$233,AR233+3)=A233,INDEX('Holidays Calc'!$K$2:$K$2333,AR233+3),""))</f>
        <v/>
      </c>
      <c r="AA233" t="str">
        <f>IF(I233="Last day of Bhisma Pancaka","",IF(G233="*",-0.7,IF(ISBLANK(INDEX(GCalXMLT[dclass1],$D233)),"",INDEX(GCalXMLT[dclass1],$D233))))</f>
        <v/>
      </c>
      <c r="AB233" t="str">
        <f>IF(J233="First day of Bhisma Pancaka","",IF(AND(G233="*",NOT(ISERROR(SEARCH("ekadasi",J233)))),-0.7,IF(ISBLANK(INDEX(GCalXMLT[dclass2],$D233)),"",INDEX(GCalXMLT[dclass2],$D233))))</f>
        <v/>
      </c>
      <c r="AC233" t="str">
        <f>IF(I233="Nandotsava",-1,IF(ISBLANK(INDEX(GCalXMLT[dclass3],$D233)),"",INDEX(GCalXMLT[dclass3],$D233)))</f>
        <v/>
      </c>
      <c r="AD233" t="str">
        <f>IF(I233="Nandotsava",IF(ISBLANK(INDEX(GCalXMLT[dclass3],$D233)),"",INDEX(GCalXMLT[dclass3],$D233)),IF(ISBLANK(INDEX(GCalXMLT[dclass4],$D233)),"",INDEX(GCalXMLT[dclass4],$D233)))</f>
        <v/>
      </c>
      <c r="AE233" t="str">
        <f>IFERROR(INDEX(Festivals!$V$2:$V$160,AP233),"")</f>
        <v/>
      </c>
      <c r="AF233" t="str">
        <f>IFERROR(IF($AQ233&gt;1,INDEX(Festivals!$V$2:$V$160,$AP233+1),""),"")</f>
        <v/>
      </c>
      <c r="AG233" t="str">
        <f>IFERROR(IF($AQ233&gt;2,INDEX(Festivals!$V$2:$V$160,$AP233+2),""),"")</f>
        <v/>
      </c>
      <c r="AH233" t="str">
        <f>IFERROR(IF($AQ233&gt;3,INDEX(Festivals!$V$2:$V$160,$AP233+3),""),"")</f>
        <v/>
      </c>
      <c r="AI233" t="str">
        <f>IFERROR(IF($AQ233&gt;4,INDEX(Festivals!$V$2:$V$160,$AP233+4),""),"")</f>
        <v/>
      </c>
      <c r="AJ233" t="str">
        <f>IFERROR(IF($AQ233&gt;5,INDEX(Festivals!$V$2:$V$160,$AP233+5),""),"")</f>
        <v/>
      </c>
      <c r="AK233" t="str">
        <f>IFERROR(IF($AQ233&gt;6,INDEX(Festivals!$V$2:$V$160,$AP233+6),""),"")</f>
        <v/>
      </c>
      <c r="AL233" t="str">
        <f ca="1">IFERROR(INDEX('Holidays Calc'!$J$2:$J$233,MATCH(A233,'Holidays Calc'!$I$2:$I$233,0)),"")</f>
        <v/>
      </c>
      <c r="AM233" t="str">
        <f ca="1">IF(AR233="","",IF(INDEX('Holidays Calc'!$I$2:$I$233,AR233+1)=A233,INDEX('Holidays Calc'!$J$2:$J$233,AR233+1),""))</f>
        <v/>
      </c>
      <c r="AN233" t="str">
        <f ca="1">IF(AR233="","",IF(INDEX('Holidays Calc'!$I$2:$I$233,AR233+2)=A233,INDEX('Holidays Calc'!$J$2:$J$233,AR233+2),""))</f>
        <v/>
      </c>
      <c r="AO233" t="str">
        <f ca="1">IF(AR233="","",IF(INDEX('Holidays Calc'!$I$2:$I$233,AR233+3)=A233,INDEX('Holidays Calc'!$J$2:$J$233,AR233+3),""))</f>
        <v/>
      </c>
      <c r="AP233" t="str">
        <f>IFERROR(IF($E233=E232,"",MATCH($E233,Festivals!$H$2:$H$160,0)),"")</f>
        <v/>
      </c>
      <c r="AQ233" t="str">
        <f>IF(AP233="","",COUNTIF(Festivals!$H$2:$H$160,$E233))</f>
        <v/>
      </c>
      <c r="AR233" t="str">
        <f ca="1">IFERROR(MATCH(A233,'Holidays Calc'!$I$2:$I$233,0),"")</f>
        <v/>
      </c>
      <c r="AS233" t="str">
        <f t="shared" si="25"/>
        <v/>
      </c>
      <c r="AT233" t="str">
        <f t="shared" si="24"/>
        <v/>
      </c>
      <c r="AU233" t="str">
        <f t="shared" ca="1" si="26"/>
        <v/>
      </c>
      <c r="AV233" t="str">
        <f t="shared" ca="1" si="27"/>
        <v/>
      </c>
    </row>
    <row r="234" spans="1:48" x14ac:dyDescent="0.25">
      <c r="A234" s="265">
        <f t="shared" si="23"/>
        <v>43660</v>
      </c>
      <c r="B234" s="265" t="str">
        <f t="shared" si="28"/>
        <v>14 Jul 2019</v>
      </c>
      <c r="C234" s="267">
        <f t="shared" si="29"/>
        <v>28</v>
      </c>
      <c r="D234">
        <f>MATCH(A234,GCalXMLT[daydate],0)</f>
        <v>233</v>
      </c>
      <c r="E234">
        <f>VALUE("1" &amp; Masacod(INDEX(GCalXMLT[gymasa],D234)) &amp; PaksaCod(INDEX(GCalXMLT[mpaksaid],D234)) &amp; TithiCod(INDEX(GCalXMLT[stithiname],D234)))</f>
        <v>104113</v>
      </c>
      <c r="F234" t="str">
        <f ca="1">INDEX(Parameters!$K$2:$K$16,MATCH(AV234,Parameters!$L$2:$L$16,0))</f>
        <v/>
      </c>
      <c r="G234">
        <f>INDEX(GCalXMLT[fastmark],$D234)</f>
        <v>0</v>
      </c>
      <c r="H234" t="str">
        <f ca="1">INDEX(Parameters!$J$2:$J$16,MATCH(AV234,Parameters!$L$2:$L$16,0))</f>
        <v/>
      </c>
      <c r="I234">
        <f>INDEX(GCalXMLT[dfestival1],$D234)</f>
        <v>0</v>
      </c>
      <c r="J234">
        <f>IF(INDEX(GCalXMLT[dfestival2],$D234)="(Fast today)",INDEX(Festivals!$R$2:$R$180,MATCH($I234,Festivals!$R$2:$R$180,0)+1),INDEX(GCalXMLT[dfestival2],$D234))</f>
        <v>0</v>
      </c>
      <c r="K234">
        <f>IF(I234="Nandotsava","(Fast till noon)",INDEX(GCalXMLT[dfestival3],$D234))</f>
        <v>0</v>
      </c>
      <c r="L234">
        <f>IF(I234="Nandotsava", INDEX(GCalXMLT[dfestival3],$D234),INDEX(GCalXMLT[dfestival4],$D234))</f>
        <v>0</v>
      </c>
      <c r="M234" t="str">
        <f>IFERROR(INDEX(Festivals!$S$2:$S$160,AP234),"")</f>
        <v/>
      </c>
      <c r="N234" t="str">
        <f>IFERROR(IF($AQ234&gt;1,INDEX(Festivals!$S$2:$S$160,$AP234+1),""),"")</f>
        <v/>
      </c>
      <c r="O234" t="str">
        <f>IFERROR(IF($AQ234&gt;2,INDEX(Festivals!$S$2:$S$160,$AP234+2),""),"")</f>
        <v/>
      </c>
      <c r="P234" t="str">
        <f>IFERROR(IF($AQ234&gt;3,INDEX(Festivals!$S$2:$S$160,$AP234+3),""),"")</f>
        <v/>
      </c>
      <c r="Q234" t="str">
        <f>IFERROR(IF($AQ234&gt;4,INDEX(Festivals!$S$2:$S$160,$AP234+4),""),"")</f>
        <v/>
      </c>
      <c r="R234" t="str">
        <f>IFERROR(IF($AQ234&gt;5,INDEX(Festivals!$S$2:$S$160,$AP234+5),""),"")</f>
        <v/>
      </c>
      <c r="S234" t="str">
        <f>IFERROR(IF($AQ234&gt;6,INDEX(Festivals!$S$2:$S$160,$AP234+6),""),"")</f>
        <v/>
      </c>
      <c r="T234">
        <f>INDEX(GCalXMLT[dcaturmasya1],$D234)</f>
        <v>0</v>
      </c>
      <c r="U234">
        <f>INDEX(GCalXMLT[dcaturmasya2],$D234)</f>
        <v>0</v>
      </c>
      <c r="V234" t="str">
        <f>INDEX(GCalXMLT[sankrantirasi],$D234) &amp; " " &amp; INDEX(GCalXMLT[sankrantitime],$D234)</f>
        <v xml:space="preserve"> </v>
      </c>
      <c r="W234" t="str">
        <f ca="1">IFERROR(INDEX('Holidays Calc'!$K$2:$K$233,AR234),"")</f>
        <v/>
      </c>
      <c r="X234" t="str">
        <f ca="1">IF(AR234="","",IF(INDEX('Holidays Calc'!$I$2:$I$233,AR234+1)=A234,INDEX('Holidays Calc'!$K$2:$K$233,AR234+1),""))</f>
        <v/>
      </c>
      <c r="Y234" t="str">
        <f ca="1">IF(AR234="","",IF(INDEX('Holidays Calc'!$I$2:$I$233,AR234+2)=A234,INDEX('Holidays Calc'!$K$2:$K$233,AR234+2),""))</f>
        <v/>
      </c>
      <c r="Z234" t="str">
        <f ca="1">IF(AR234="","",IF(INDEX('Holidays Calc'!$I$2:$I$233,AR234+3)=A234,INDEX('Holidays Calc'!$K$2:$K$2333,AR234+3),""))</f>
        <v/>
      </c>
      <c r="AA234" t="str">
        <f>IF(I234="Last day of Bhisma Pancaka","",IF(G234="*",-0.7,IF(ISBLANK(INDEX(GCalXMLT[dclass1],$D234)),"",INDEX(GCalXMLT[dclass1],$D234))))</f>
        <v/>
      </c>
      <c r="AB234" t="str">
        <f>IF(J234="First day of Bhisma Pancaka","",IF(AND(G234="*",NOT(ISERROR(SEARCH("ekadasi",J234)))),-0.7,IF(ISBLANK(INDEX(GCalXMLT[dclass2],$D234)),"",INDEX(GCalXMLT[dclass2],$D234))))</f>
        <v/>
      </c>
      <c r="AC234" t="str">
        <f>IF(I234="Nandotsava",-1,IF(ISBLANK(INDEX(GCalXMLT[dclass3],$D234)),"",INDEX(GCalXMLT[dclass3],$D234)))</f>
        <v/>
      </c>
      <c r="AD234" t="str">
        <f>IF(I234="Nandotsava",IF(ISBLANK(INDEX(GCalXMLT[dclass3],$D234)),"",INDEX(GCalXMLT[dclass3],$D234)),IF(ISBLANK(INDEX(GCalXMLT[dclass4],$D234)),"",INDEX(GCalXMLT[dclass4],$D234)))</f>
        <v/>
      </c>
      <c r="AE234" t="str">
        <f>IFERROR(INDEX(Festivals!$V$2:$V$160,AP234),"")</f>
        <v/>
      </c>
      <c r="AF234" t="str">
        <f>IFERROR(IF($AQ234&gt;1,INDEX(Festivals!$V$2:$V$160,$AP234+1),""),"")</f>
        <v/>
      </c>
      <c r="AG234" t="str">
        <f>IFERROR(IF($AQ234&gt;2,INDEX(Festivals!$V$2:$V$160,$AP234+2),""),"")</f>
        <v/>
      </c>
      <c r="AH234" t="str">
        <f>IFERROR(IF($AQ234&gt;3,INDEX(Festivals!$V$2:$V$160,$AP234+3),""),"")</f>
        <v/>
      </c>
      <c r="AI234" t="str">
        <f>IFERROR(IF($AQ234&gt;4,INDEX(Festivals!$V$2:$V$160,$AP234+4),""),"")</f>
        <v/>
      </c>
      <c r="AJ234" t="str">
        <f>IFERROR(IF($AQ234&gt;5,INDEX(Festivals!$V$2:$V$160,$AP234+5),""),"")</f>
        <v/>
      </c>
      <c r="AK234" t="str">
        <f>IFERROR(IF($AQ234&gt;6,INDEX(Festivals!$V$2:$V$160,$AP234+6),""),"")</f>
        <v/>
      </c>
      <c r="AL234" t="str">
        <f ca="1">IFERROR(INDEX('Holidays Calc'!$J$2:$J$233,MATCH(A234,'Holidays Calc'!$I$2:$I$233,0)),"")</f>
        <v/>
      </c>
      <c r="AM234" t="str">
        <f ca="1">IF(AR234="","",IF(INDEX('Holidays Calc'!$I$2:$I$233,AR234+1)=A234,INDEX('Holidays Calc'!$J$2:$J$233,AR234+1),""))</f>
        <v/>
      </c>
      <c r="AN234" t="str">
        <f ca="1">IF(AR234="","",IF(INDEX('Holidays Calc'!$I$2:$I$233,AR234+2)=A234,INDEX('Holidays Calc'!$J$2:$J$233,AR234+2),""))</f>
        <v/>
      </c>
      <c r="AO234" t="str">
        <f ca="1">IF(AR234="","",IF(INDEX('Holidays Calc'!$I$2:$I$233,AR234+3)=A234,INDEX('Holidays Calc'!$J$2:$J$233,AR234+3),""))</f>
        <v/>
      </c>
      <c r="AP234" t="str">
        <f>IFERROR(IF($E234=E233,"",MATCH($E234,Festivals!$H$2:$H$160,0)),"")</f>
        <v/>
      </c>
      <c r="AQ234" t="str">
        <f>IF(AP234="","",COUNTIF(Festivals!$H$2:$H$160,$E234))</f>
        <v/>
      </c>
      <c r="AR234" t="str">
        <f ca="1">IFERROR(MATCH(A234,'Holidays Calc'!$I$2:$I$233,0),"")</f>
        <v/>
      </c>
      <c r="AS234" t="str">
        <f t="shared" si="25"/>
        <v/>
      </c>
      <c r="AT234" t="str">
        <f t="shared" si="24"/>
        <v/>
      </c>
      <c r="AU234" t="str">
        <f t="shared" ca="1" si="26"/>
        <v/>
      </c>
      <c r="AV234" t="str">
        <f t="shared" ca="1" si="27"/>
        <v/>
      </c>
    </row>
    <row r="235" spans="1:48" x14ac:dyDescent="0.25">
      <c r="A235" s="265">
        <f t="shared" si="23"/>
        <v>43661</v>
      </c>
      <c r="B235" s="265" t="str">
        <f t="shared" si="28"/>
        <v>15 Jul 2019</v>
      </c>
      <c r="C235" s="267">
        <f t="shared" si="29"/>
        <v>29</v>
      </c>
      <c r="D235">
        <f>MATCH(A235,GCalXMLT[daydate],0)</f>
        <v>234</v>
      </c>
      <c r="E235">
        <f>VALUE("1" &amp; Masacod(INDEX(GCalXMLT[gymasa],D235)) &amp; PaksaCod(INDEX(GCalXMLT[mpaksaid],D235)) &amp; TithiCod(INDEX(GCalXMLT[stithiname],D235)))</f>
        <v>104114</v>
      </c>
      <c r="F235" t="str">
        <f ca="1">INDEX(Parameters!$K$2:$K$16,MATCH(AV235,Parameters!$L$2:$L$16,0))</f>
        <v/>
      </c>
      <c r="G235">
        <f>INDEX(GCalXMLT[fastmark],$D235)</f>
        <v>0</v>
      </c>
      <c r="H235" t="str">
        <f ca="1">INDEX(Parameters!$J$2:$J$16,MATCH(AV235,Parameters!$L$2:$L$16,0))</f>
        <v/>
      </c>
      <c r="I235">
        <f>INDEX(GCalXMLT[dfestival1],$D235)</f>
        <v>0</v>
      </c>
      <c r="J235">
        <f>IF(INDEX(GCalXMLT[dfestival2],$D235)="(Fast today)",INDEX(Festivals!$R$2:$R$180,MATCH($I235,Festivals!$R$2:$R$180,0)+1),INDEX(GCalXMLT[dfestival2],$D235))</f>
        <v>0</v>
      </c>
      <c r="K235">
        <f>IF(I235="Nandotsava","(Fast till noon)",INDEX(GCalXMLT[dfestival3],$D235))</f>
        <v>0</v>
      </c>
      <c r="L235">
        <f>IF(I235="Nandotsava", INDEX(GCalXMLT[dfestival3],$D235),INDEX(GCalXMLT[dfestival4],$D235))</f>
        <v>0</v>
      </c>
      <c r="M235" t="str">
        <f>IFERROR(INDEX(Festivals!$S$2:$S$160,AP235),"")</f>
        <v/>
      </c>
      <c r="N235" t="str">
        <f>IFERROR(IF($AQ235&gt;1,INDEX(Festivals!$S$2:$S$160,$AP235+1),""),"")</f>
        <v/>
      </c>
      <c r="O235" t="str">
        <f>IFERROR(IF($AQ235&gt;2,INDEX(Festivals!$S$2:$S$160,$AP235+2),""),"")</f>
        <v/>
      </c>
      <c r="P235" t="str">
        <f>IFERROR(IF($AQ235&gt;3,INDEX(Festivals!$S$2:$S$160,$AP235+3),""),"")</f>
        <v/>
      </c>
      <c r="Q235" t="str">
        <f>IFERROR(IF($AQ235&gt;4,INDEX(Festivals!$S$2:$S$160,$AP235+4),""),"")</f>
        <v/>
      </c>
      <c r="R235" t="str">
        <f>IFERROR(IF($AQ235&gt;5,INDEX(Festivals!$S$2:$S$160,$AP235+5),""),"")</f>
        <v/>
      </c>
      <c r="S235" t="str">
        <f>IFERROR(IF($AQ235&gt;6,INDEX(Festivals!$S$2:$S$160,$AP235+6),""),"")</f>
        <v/>
      </c>
      <c r="T235">
        <f>INDEX(GCalXMLT[dcaturmasya1],$D235)</f>
        <v>0</v>
      </c>
      <c r="U235">
        <f>INDEX(GCalXMLT[dcaturmasya2],$D235)</f>
        <v>0</v>
      </c>
      <c r="V235" t="str">
        <f>INDEX(GCalXMLT[sankrantirasi],$D235) &amp; " " &amp; INDEX(GCalXMLT[sankrantitime],$D235)</f>
        <v xml:space="preserve"> </v>
      </c>
      <c r="W235" t="str">
        <f ca="1">IFERROR(INDEX('Holidays Calc'!$K$2:$K$233,AR235),"")</f>
        <v/>
      </c>
      <c r="X235" t="str">
        <f ca="1">IF(AR235="","",IF(INDEX('Holidays Calc'!$I$2:$I$233,AR235+1)=A235,INDEX('Holidays Calc'!$K$2:$K$233,AR235+1),""))</f>
        <v/>
      </c>
      <c r="Y235" t="str">
        <f ca="1">IF(AR235="","",IF(INDEX('Holidays Calc'!$I$2:$I$233,AR235+2)=A235,INDEX('Holidays Calc'!$K$2:$K$233,AR235+2),""))</f>
        <v/>
      </c>
      <c r="Z235" t="str">
        <f ca="1">IF(AR235="","",IF(INDEX('Holidays Calc'!$I$2:$I$233,AR235+3)=A235,INDEX('Holidays Calc'!$K$2:$K$2333,AR235+3),""))</f>
        <v/>
      </c>
      <c r="AA235" t="str">
        <f>IF(I235="Last day of Bhisma Pancaka","",IF(G235="*",-0.7,IF(ISBLANK(INDEX(GCalXMLT[dclass1],$D235)),"",INDEX(GCalXMLT[dclass1],$D235))))</f>
        <v/>
      </c>
      <c r="AB235" t="str">
        <f>IF(J235="First day of Bhisma Pancaka","",IF(AND(G235="*",NOT(ISERROR(SEARCH("ekadasi",J235)))),-0.7,IF(ISBLANK(INDEX(GCalXMLT[dclass2],$D235)),"",INDEX(GCalXMLT[dclass2],$D235))))</f>
        <v/>
      </c>
      <c r="AC235" t="str">
        <f>IF(I235="Nandotsava",-1,IF(ISBLANK(INDEX(GCalXMLT[dclass3],$D235)),"",INDEX(GCalXMLT[dclass3],$D235)))</f>
        <v/>
      </c>
      <c r="AD235" t="str">
        <f>IF(I235="Nandotsava",IF(ISBLANK(INDEX(GCalXMLT[dclass3],$D235)),"",INDEX(GCalXMLT[dclass3],$D235)),IF(ISBLANK(INDEX(GCalXMLT[dclass4],$D235)),"",INDEX(GCalXMLT[dclass4],$D235)))</f>
        <v/>
      </c>
      <c r="AE235" t="str">
        <f>IFERROR(INDEX(Festivals!$V$2:$V$160,AP235),"")</f>
        <v/>
      </c>
      <c r="AF235" t="str">
        <f>IFERROR(IF($AQ235&gt;1,INDEX(Festivals!$V$2:$V$160,$AP235+1),""),"")</f>
        <v/>
      </c>
      <c r="AG235" t="str">
        <f>IFERROR(IF($AQ235&gt;2,INDEX(Festivals!$V$2:$V$160,$AP235+2),""),"")</f>
        <v/>
      </c>
      <c r="AH235" t="str">
        <f>IFERROR(IF($AQ235&gt;3,INDEX(Festivals!$V$2:$V$160,$AP235+3),""),"")</f>
        <v/>
      </c>
      <c r="AI235" t="str">
        <f>IFERROR(IF($AQ235&gt;4,INDEX(Festivals!$V$2:$V$160,$AP235+4),""),"")</f>
        <v/>
      </c>
      <c r="AJ235" t="str">
        <f>IFERROR(IF($AQ235&gt;5,INDEX(Festivals!$V$2:$V$160,$AP235+5),""),"")</f>
        <v/>
      </c>
      <c r="AK235" t="str">
        <f>IFERROR(IF($AQ235&gt;6,INDEX(Festivals!$V$2:$V$160,$AP235+6),""),"")</f>
        <v/>
      </c>
      <c r="AL235" t="str">
        <f ca="1">IFERROR(INDEX('Holidays Calc'!$J$2:$J$233,MATCH(A235,'Holidays Calc'!$I$2:$I$233,0)),"")</f>
        <v/>
      </c>
      <c r="AM235" t="str">
        <f ca="1">IF(AR235="","",IF(INDEX('Holidays Calc'!$I$2:$I$233,AR235+1)=A235,INDEX('Holidays Calc'!$J$2:$J$233,AR235+1),""))</f>
        <v/>
      </c>
      <c r="AN235" t="str">
        <f ca="1">IF(AR235="","",IF(INDEX('Holidays Calc'!$I$2:$I$233,AR235+2)=A235,INDEX('Holidays Calc'!$J$2:$J$233,AR235+2),""))</f>
        <v/>
      </c>
      <c r="AO235" t="str">
        <f ca="1">IF(AR235="","",IF(INDEX('Holidays Calc'!$I$2:$I$233,AR235+3)=A235,INDEX('Holidays Calc'!$J$2:$J$233,AR235+3),""))</f>
        <v/>
      </c>
      <c r="AP235" t="str">
        <f>IFERROR(IF($E235=E234,"",MATCH($E235,Festivals!$H$2:$H$160,0)),"")</f>
        <v/>
      </c>
      <c r="AQ235" t="str">
        <f>IF(AP235="","",COUNTIF(Festivals!$H$2:$H$160,$E235))</f>
        <v/>
      </c>
      <c r="AR235" t="str">
        <f ca="1">IFERROR(MATCH(A235,'Holidays Calc'!$I$2:$I$233,0),"")</f>
        <v/>
      </c>
      <c r="AS235" t="str">
        <f t="shared" si="25"/>
        <v/>
      </c>
      <c r="AT235" t="str">
        <f t="shared" si="24"/>
        <v/>
      </c>
      <c r="AU235" t="str">
        <f t="shared" ca="1" si="26"/>
        <v/>
      </c>
      <c r="AV235" t="str">
        <f t="shared" ca="1" si="27"/>
        <v/>
      </c>
    </row>
    <row r="236" spans="1:48" x14ac:dyDescent="0.25">
      <c r="A236" s="265">
        <f t="shared" si="23"/>
        <v>43662</v>
      </c>
      <c r="B236" s="265" t="str">
        <f t="shared" si="28"/>
        <v>16 Jul 2019</v>
      </c>
      <c r="C236" s="267">
        <f t="shared" si="29"/>
        <v>29</v>
      </c>
      <c r="D236">
        <f>MATCH(A236,GCalXMLT[daydate],0)</f>
        <v>235</v>
      </c>
      <c r="E236">
        <f>VALUE("1" &amp; Masacod(INDEX(GCalXMLT[gymasa],D236)) &amp; PaksaCod(INDEX(GCalXMLT[mpaksaid],D236)) &amp; TithiCod(INDEX(GCalXMLT[stithiname],D236)))</f>
        <v>104115</v>
      </c>
      <c r="F236" t="str">
        <f ca="1">INDEX(Parameters!$K$2:$K$16,MATCH(AV236,Parameters!$L$2:$L$16,0))</f>
        <v>C</v>
      </c>
      <c r="G236">
        <f>INDEX(GCalXMLT[fastmark],$D236)</f>
        <v>0</v>
      </c>
      <c r="H236" t="str">
        <f ca="1">INDEX(Parameters!$J$2:$J$16,MATCH(AV236,Parameters!$L$2:$L$16,0))</f>
        <v/>
      </c>
      <c r="I236">
        <f>INDEX(GCalXMLT[dfestival1],$D236)</f>
        <v>0</v>
      </c>
      <c r="J236">
        <f>IF(INDEX(GCalXMLT[dfestival2],$D236)="(Fast today)",INDEX(Festivals!$R$2:$R$180,MATCH($I236,Festivals!$R$2:$R$180,0)+1),INDEX(GCalXMLT[dfestival2],$D236))</f>
        <v>0</v>
      </c>
      <c r="K236">
        <f>IF(I236="Nandotsava","(Fast till noon)",INDEX(GCalXMLT[dfestival3],$D236))</f>
        <v>0</v>
      </c>
      <c r="L236">
        <f>IF(I236="Nandotsava", INDEX(GCalXMLT[dfestival3],$D236),INDEX(GCalXMLT[dfestival4],$D236))</f>
        <v>0</v>
      </c>
      <c r="M236" t="str">
        <f>IFERROR(INDEX(Festivals!$S$2:$S$160,AP236),"")</f>
        <v>Guru (Vyasa) Purnima</v>
      </c>
      <c r="N236" t="str">
        <f>IFERROR(IF($AQ236&gt;1,INDEX(Festivals!$S$2:$S$160,$AP236+1),""),"")</f>
        <v>Srila Sanatana Gosvami - Disappearance</v>
      </c>
      <c r="O236" t="str">
        <f>IFERROR(IF($AQ236&gt;2,INDEX(Festivals!$S$2:$S$160,$AP236+2),""),"")</f>
        <v/>
      </c>
      <c r="P236" t="str">
        <f>IFERROR(IF($AQ236&gt;3,INDEX(Festivals!$S$2:$S$160,$AP236+3),""),"")</f>
        <v/>
      </c>
      <c r="Q236" t="str">
        <f>IFERROR(IF($AQ236&gt;4,INDEX(Festivals!$S$2:$S$160,$AP236+4),""),"")</f>
        <v/>
      </c>
      <c r="R236" t="str">
        <f>IFERROR(IF($AQ236&gt;5,INDEX(Festivals!$S$2:$S$160,$AP236+5),""),"")</f>
        <v/>
      </c>
      <c r="S236" t="str">
        <f>IFERROR(IF($AQ236&gt;6,INDEX(Festivals!$S$2:$S$160,$AP236+6),""),"")</f>
        <v/>
      </c>
      <c r="T236" t="str">
        <f>INDEX(GCalXMLT[dcaturmasya1],$D236)</f>
        <v>1first_PURNIMA_</v>
      </c>
      <c r="U236">
        <f>INDEX(GCalXMLT[dcaturmasya2],$D236)</f>
        <v>0</v>
      </c>
      <c r="V236" t="str">
        <f>INDEX(GCalXMLT[sankrantirasi],$D236) &amp; " " &amp; INDEX(GCalXMLT[sankrantitime],$D236)</f>
        <v xml:space="preserve"> </v>
      </c>
      <c r="W236" t="str">
        <f ca="1">IFERROR(INDEX('Holidays Calc'!$K$2:$K$233,AR236),"")</f>
        <v/>
      </c>
      <c r="X236" t="str">
        <f ca="1">IF(AR236="","",IF(INDEX('Holidays Calc'!$I$2:$I$233,AR236+1)=A236,INDEX('Holidays Calc'!$K$2:$K$233,AR236+1),""))</f>
        <v/>
      </c>
      <c r="Y236" t="str">
        <f ca="1">IF(AR236="","",IF(INDEX('Holidays Calc'!$I$2:$I$233,AR236+2)=A236,INDEX('Holidays Calc'!$K$2:$K$233,AR236+2),""))</f>
        <v/>
      </c>
      <c r="Z236" t="str">
        <f ca="1">IF(AR236="","",IF(INDEX('Holidays Calc'!$I$2:$I$233,AR236+3)=A236,INDEX('Holidays Calc'!$K$2:$K$2333,AR236+3),""))</f>
        <v/>
      </c>
      <c r="AA236" t="str">
        <f>IF(I236="Last day of Bhisma Pancaka","",IF(G236="*",-0.7,IF(ISBLANK(INDEX(GCalXMLT[dclass1],$D236)),"",INDEX(GCalXMLT[dclass1],$D236))))</f>
        <v/>
      </c>
      <c r="AB236" t="str">
        <f>IF(J236="First day of Bhisma Pancaka","",IF(AND(G236="*",NOT(ISERROR(SEARCH("ekadasi",J236)))),-0.7,IF(ISBLANK(INDEX(GCalXMLT[dclass2],$D236)),"",INDEX(GCalXMLT[dclass2],$D236))))</f>
        <v/>
      </c>
      <c r="AC236" t="str">
        <f>IF(I236="Nandotsava",-1,IF(ISBLANK(INDEX(GCalXMLT[dclass3],$D236)),"",INDEX(GCalXMLT[dclass3],$D236)))</f>
        <v/>
      </c>
      <c r="AD236" t="str">
        <f>IF(I236="Nandotsava",IF(ISBLANK(INDEX(GCalXMLT[dclass3],$D236)),"",INDEX(GCalXMLT[dclass3],$D236)),IF(ISBLANK(INDEX(GCalXMLT[dclass4],$D236)),"",INDEX(GCalXMLT[dclass4],$D236)))</f>
        <v/>
      </c>
      <c r="AE236">
        <f>IFERROR(INDEX(Festivals!$V$2:$V$160,AP236),"")</f>
        <v>1</v>
      </c>
      <c r="AF236">
        <f>IFERROR(IF($AQ236&gt;1,INDEX(Festivals!$V$2:$V$160,$AP236+1),""),"")</f>
        <v>3</v>
      </c>
      <c r="AG236" t="str">
        <f>IFERROR(IF($AQ236&gt;2,INDEX(Festivals!$V$2:$V$160,$AP236+2),""),"")</f>
        <v/>
      </c>
      <c r="AH236" t="str">
        <f>IFERROR(IF($AQ236&gt;3,INDEX(Festivals!$V$2:$V$160,$AP236+3),""),"")</f>
        <v/>
      </c>
      <c r="AI236" t="str">
        <f>IFERROR(IF($AQ236&gt;4,INDEX(Festivals!$V$2:$V$160,$AP236+4),""),"")</f>
        <v/>
      </c>
      <c r="AJ236" t="str">
        <f>IFERROR(IF($AQ236&gt;5,INDEX(Festivals!$V$2:$V$160,$AP236+5),""),"")</f>
        <v/>
      </c>
      <c r="AK236" t="str">
        <f>IFERROR(IF($AQ236&gt;6,INDEX(Festivals!$V$2:$V$160,$AP236+6),""),"")</f>
        <v/>
      </c>
      <c r="AL236" t="str">
        <f ca="1">IFERROR(INDEX('Holidays Calc'!$J$2:$J$233,MATCH(A236,'Holidays Calc'!$I$2:$I$233,0)),"")</f>
        <v/>
      </c>
      <c r="AM236" t="str">
        <f ca="1">IF(AR236="","",IF(INDEX('Holidays Calc'!$I$2:$I$233,AR236+1)=A236,INDEX('Holidays Calc'!$J$2:$J$233,AR236+1),""))</f>
        <v/>
      </c>
      <c r="AN236" t="str">
        <f ca="1">IF(AR236="","",IF(INDEX('Holidays Calc'!$I$2:$I$233,AR236+2)=A236,INDEX('Holidays Calc'!$J$2:$J$233,AR236+2),""))</f>
        <v/>
      </c>
      <c r="AO236" t="str">
        <f ca="1">IF(AR236="","",IF(INDEX('Holidays Calc'!$I$2:$I$233,AR236+3)=A236,INDEX('Holidays Calc'!$J$2:$J$233,AR236+3),""))</f>
        <v/>
      </c>
      <c r="AP236">
        <f>IFERROR(IF($E236=E235,"",MATCH($E236,Festivals!$H$2:$H$160,0)),"")</f>
        <v>44</v>
      </c>
      <c r="AQ236">
        <f>IF(AP236="","",COUNTIF(Festivals!$H$2:$H$160,$E236))</f>
        <v>2</v>
      </c>
      <c r="AR236" t="str">
        <f ca="1">IFERROR(MATCH(A236,'Holidays Calc'!$I$2:$I$233,0),"")</f>
        <v/>
      </c>
      <c r="AS236">
        <f t="shared" si="25"/>
        <v>1</v>
      </c>
      <c r="AT236">
        <f t="shared" si="24"/>
        <v>1</v>
      </c>
      <c r="AU236" t="str">
        <f t="shared" ca="1" si="26"/>
        <v/>
      </c>
      <c r="AV236">
        <f t="shared" ca="1" si="27"/>
        <v>1</v>
      </c>
    </row>
    <row r="237" spans="1:48" x14ac:dyDescent="0.25">
      <c r="A237" s="265">
        <f t="shared" si="23"/>
        <v>43663</v>
      </c>
      <c r="B237" s="265" t="str">
        <f t="shared" si="28"/>
        <v>17 Jul 2019</v>
      </c>
      <c r="C237" s="267">
        <f t="shared" si="29"/>
        <v>29</v>
      </c>
      <c r="D237">
        <f>MATCH(A237,GCalXMLT[daydate],0)</f>
        <v>236</v>
      </c>
      <c r="E237">
        <f>VALUE("1" &amp; Masacod(INDEX(GCalXMLT[gymasa],D237)) &amp; PaksaCod(INDEX(GCalXMLT[mpaksaid],D237)) &amp; TithiCod(INDEX(GCalXMLT[stithiname],D237)))</f>
        <v>105001</v>
      </c>
      <c r="F237" t="str">
        <f ca="1">INDEX(Parameters!$K$2:$K$16,MATCH(AV237,Parameters!$L$2:$L$16,0))</f>
        <v/>
      </c>
      <c r="G237">
        <f>INDEX(GCalXMLT[fastmark],$D237)</f>
        <v>0</v>
      </c>
      <c r="H237" t="str">
        <f ca="1">INDEX(Parameters!$J$2:$J$16,MATCH(AV237,Parameters!$L$2:$L$16,0))</f>
        <v/>
      </c>
      <c r="I237">
        <f>INDEX(GCalXMLT[dfestival1],$D237)</f>
        <v>0</v>
      </c>
      <c r="J237">
        <f>IF(INDEX(GCalXMLT[dfestival2],$D237)="(Fast today)",INDEX(Festivals!$R$2:$R$180,MATCH($I237,Festivals!$R$2:$R$180,0)+1),INDEX(GCalXMLT[dfestival2],$D237))</f>
        <v>0</v>
      </c>
      <c r="K237">
        <f>IF(I237="Nandotsava","(Fast till noon)",INDEX(GCalXMLT[dfestival3],$D237))</f>
        <v>0</v>
      </c>
      <c r="L237">
        <f>IF(I237="Nandotsava", INDEX(GCalXMLT[dfestival3],$D237),INDEX(GCalXMLT[dfestival4],$D237))</f>
        <v>0</v>
      </c>
      <c r="M237" t="str">
        <f>IFERROR(INDEX(Festivals!$S$2:$S$160,AP237),"")</f>
        <v/>
      </c>
      <c r="N237" t="str">
        <f>IFERROR(IF($AQ237&gt;1,INDEX(Festivals!$S$2:$S$160,$AP237+1),""),"")</f>
        <v/>
      </c>
      <c r="O237" t="str">
        <f>IFERROR(IF($AQ237&gt;2,INDEX(Festivals!$S$2:$S$160,$AP237+2),""),"")</f>
        <v/>
      </c>
      <c r="P237" t="str">
        <f>IFERROR(IF($AQ237&gt;3,INDEX(Festivals!$S$2:$S$160,$AP237+3),""),"")</f>
        <v/>
      </c>
      <c r="Q237" t="str">
        <f>IFERROR(IF($AQ237&gt;4,INDEX(Festivals!$S$2:$S$160,$AP237+4),""),"")</f>
        <v/>
      </c>
      <c r="R237" t="str">
        <f>IFERROR(IF($AQ237&gt;5,INDEX(Festivals!$S$2:$S$160,$AP237+5),""),"")</f>
        <v/>
      </c>
      <c r="S237" t="str">
        <f>IFERROR(IF($AQ237&gt;6,INDEX(Festivals!$S$2:$S$160,$AP237+6),""),"")</f>
        <v/>
      </c>
      <c r="T237" t="str">
        <f>INDEX(GCalXMLT[dcaturmasya1],$D237)</f>
        <v>1first_PRATIPAT</v>
      </c>
      <c r="U237">
        <f>INDEX(GCalXMLT[dcaturmasya2],$D237)</f>
        <v>0</v>
      </c>
      <c r="V237" t="str">
        <f>INDEX(GCalXMLT[sankrantirasi],$D237) &amp; " " &amp; INDEX(GCalXMLT[sankrantitime],$D237)</f>
        <v>Karka 0,831527777777778</v>
      </c>
      <c r="W237" t="str">
        <f ca="1">IFERROR(INDEX('Holidays Calc'!$K$2:$K$233,AR237),"")</f>
        <v/>
      </c>
      <c r="X237" t="str">
        <f ca="1">IF(AR237="","",IF(INDEX('Holidays Calc'!$I$2:$I$233,AR237+1)=A237,INDEX('Holidays Calc'!$K$2:$K$233,AR237+1),""))</f>
        <v/>
      </c>
      <c r="Y237" t="str">
        <f ca="1">IF(AR237="","",IF(INDEX('Holidays Calc'!$I$2:$I$233,AR237+2)=A237,INDEX('Holidays Calc'!$K$2:$K$233,AR237+2),""))</f>
        <v/>
      </c>
      <c r="Z237" t="str">
        <f ca="1">IF(AR237="","",IF(INDEX('Holidays Calc'!$I$2:$I$233,AR237+3)=A237,INDEX('Holidays Calc'!$K$2:$K$2333,AR237+3),""))</f>
        <v/>
      </c>
      <c r="AA237" t="str">
        <f>IF(I237="Last day of Bhisma Pancaka","",IF(G237="*",-0.7,IF(ISBLANK(INDEX(GCalXMLT[dclass1],$D237)),"",INDEX(GCalXMLT[dclass1],$D237))))</f>
        <v/>
      </c>
      <c r="AB237" t="str">
        <f>IF(J237="First day of Bhisma Pancaka","",IF(AND(G237="*",NOT(ISERROR(SEARCH("ekadasi",J237)))),-0.7,IF(ISBLANK(INDEX(GCalXMLT[dclass2],$D237)),"",INDEX(GCalXMLT[dclass2],$D237))))</f>
        <v/>
      </c>
      <c r="AC237" t="str">
        <f>IF(I237="Nandotsava",-1,IF(ISBLANK(INDEX(GCalXMLT[dclass3],$D237)),"",INDEX(GCalXMLT[dclass3],$D237)))</f>
        <v/>
      </c>
      <c r="AD237" t="str">
        <f>IF(I237="Nandotsava",IF(ISBLANK(INDEX(GCalXMLT[dclass3],$D237)),"",INDEX(GCalXMLT[dclass3],$D237)),IF(ISBLANK(INDEX(GCalXMLT[dclass4],$D237)),"",INDEX(GCalXMLT[dclass4],$D237)))</f>
        <v/>
      </c>
      <c r="AE237" t="str">
        <f>IFERROR(INDEX(Festivals!$V$2:$V$160,AP237),"")</f>
        <v/>
      </c>
      <c r="AF237" t="str">
        <f>IFERROR(IF($AQ237&gt;1,INDEX(Festivals!$V$2:$V$160,$AP237+1),""),"")</f>
        <v/>
      </c>
      <c r="AG237" t="str">
        <f>IFERROR(IF($AQ237&gt;2,INDEX(Festivals!$V$2:$V$160,$AP237+2),""),"")</f>
        <v/>
      </c>
      <c r="AH237" t="str">
        <f>IFERROR(IF($AQ237&gt;3,INDEX(Festivals!$V$2:$V$160,$AP237+3),""),"")</f>
        <v/>
      </c>
      <c r="AI237" t="str">
        <f>IFERROR(IF($AQ237&gt;4,INDEX(Festivals!$V$2:$V$160,$AP237+4),""),"")</f>
        <v/>
      </c>
      <c r="AJ237" t="str">
        <f>IFERROR(IF($AQ237&gt;5,INDEX(Festivals!$V$2:$V$160,$AP237+5),""),"")</f>
        <v/>
      </c>
      <c r="AK237" t="str">
        <f>IFERROR(IF($AQ237&gt;6,INDEX(Festivals!$V$2:$V$160,$AP237+6),""),"")</f>
        <v/>
      </c>
      <c r="AL237" t="str">
        <f ca="1">IFERROR(INDEX('Holidays Calc'!$J$2:$J$233,MATCH(A237,'Holidays Calc'!$I$2:$I$233,0)),"")</f>
        <v/>
      </c>
      <c r="AM237" t="str">
        <f ca="1">IF(AR237="","",IF(INDEX('Holidays Calc'!$I$2:$I$233,AR237+1)=A237,INDEX('Holidays Calc'!$J$2:$J$233,AR237+1),""))</f>
        <v/>
      </c>
      <c r="AN237" t="str">
        <f ca="1">IF(AR237="","",IF(INDEX('Holidays Calc'!$I$2:$I$233,AR237+2)=A237,INDEX('Holidays Calc'!$J$2:$J$233,AR237+2),""))</f>
        <v/>
      </c>
      <c r="AO237" t="str">
        <f ca="1">IF(AR237="","",IF(INDEX('Holidays Calc'!$I$2:$I$233,AR237+3)=A237,INDEX('Holidays Calc'!$J$2:$J$233,AR237+3),""))</f>
        <v/>
      </c>
      <c r="AP237" t="str">
        <f>IFERROR(IF($E237=E236,"",MATCH($E237,Festivals!$H$2:$H$160,0)),"")</f>
        <v/>
      </c>
      <c r="AQ237" t="str">
        <f>IF(AP237="","",COUNTIF(Festivals!$H$2:$H$160,$E237))</f>
        <v/>
      </c>
      <c r="AR237" t="str">
        <f ca="1">IFERROR(MATCH(A237,'Holidays Calc'!$I$2:$I$233,0),"")</f>
        <v/>
      </c>
      <c r="AS237" t="str">
        <f t="shared" si="25"/>
        <v/>
      </c>
      <c r="AT237" t="str">
        <f t="shared" si="24"/>
        <v/>
      </c>
      <c r="AU237" t="str">
        <f t="shared" ca="1" si="26"/>
        <v/>
      </c>
      <c r="AV237" t="str">
        <f t="shared" ca="1" si="27"/>
        <v/>
      </c>
    </row>
    <row r="238" spans="1:48" x14ac:dyDescent="0.25">
      <c r="A238" s="265">
        <f t="shared" si="23"/>
        <v>43664</v>
      </c>
      <c r="B238" s="265" t="str">
        <f t="shared" si="28"/>
        <v>18 Jul 2019</v>
      </c>
      <c r="C238" s="267">
        <f t="shared" si="29"/>
        <v>29</v>
      </c>
      <c r="D238">
        <f>MATCH(A238,GCalXMLT[daydate],0)</f>
        <v>237</v>
      </c>
      <c r="E238">
        <f>VALUE("1" &amp; Masacod(INDEX(GCalXMLT[gymasa],D238)) &amp; PaksaCod(INDEX(GCalXMLT[mpaksaid],D238)) &amp; TithiCod(INDEX(GCalXMLT[stithiname],D238)))</f>
        <v>105002</v>
      </c>
      <c r="F238" t="str">
        <f ca="1">INDEX(Parameters!$K$2:$K$16,MATCH(AV238,Parameters!$L$2:$L$16,0))</f>
        <v/>
      </c>
      <c r="G238">
        <f>INDEX(GCalXMLT[fastmark],$D238)</f>
        <v>0</v>
      </c>
      <c r="H238" t="str">
        <f ca="1">INDEX(Parameters!$J$2:$J$16,MATCH(AV238,Parameters!$L$2:$L$16,0))</f>
        <v/>
      </c>
      <c r="I238">
        <f>INDEX(GCalXMLT[dfestival1],$D238)</f>
        <v>0</v>
      </c>
      <c r="J238">
        <f>IF(INDEX(GCalXMLT[dfestival2],$D238)="(Fast today)",INDEX(Festivals!$R$2:$R$180,MATCH($I238,Festivals!$R$2:$R$180,0)+1),INDEX(GCalXMLT[dfestival2],$D238))</f>
        <v>0</v>
      </c>
      <c r="K238">
        <f>IF(I238="Nandotsava","(Fast till noon)",INDEX(GCalXMLT[dfestival3],$D238))</f>
        <v>0</v>
      </c>
      <c r="L238">
        <f>IF(I238="Nandotsava", INDEX(GCalXMLT[dfestival3],$D238),INDEX(GCalXMLT[dfestival4],$D238))</f>
        <v>0</v>
      </c>
      <c r="M238" t="str">
        <f>IFERROR(INDEX(Festivals!$S$2:$S$160,AP238),"")</f>
        <v/>
      </c>
      <c r="N238" t="str">
        <f>IFERROR(IF($AQ238&gt;1,INDEX(Festivals!$S$2:$S$160,$AP238+1),""),"")</f>
        <v/>
      </c>
      <c r="O238" t="str">
        <f>IFERROR(IF($AQ238&gt;2,INDEX(Festivals!$S$2:$S$160,$AP238+2),""),"")</f>
        <v/>
      </c>
      <c r="P238" t="str">
        <f>IFERROR(IF($AQ238&gt;3,INDEX(Festivals!$S$2:$S$160,$AP238+3),""),"")</f>
        <v/>
      </c>
      <c r="Q238" t="str">
        <f>IFERROR(IF($AQ238&gt;4,INDEX(Festivals!$S$2:$S$160,$AP238+4),""),"")</f>
        <v/>
      </c>
      <c r="R238" t="str">
        <f>IFERROR(IF($AQ238&gt;5,INDEX(Festivals!$S$2:$S$160,$AP238+5),""),"")</f>
        <v/>
      </c>
      <c r="S238" t="str">
        <f>IFERROR(IF($AQ238&gt;6,INDEX(Festivals!$S$2:$S$160,$AP238+6),""),"")</f>
        <v/>
      </c>
      <c r="T238">
        <f>INDEX(GCalXMLT[dcaturmasya1],$D238)</f>
        <v>0</v>
      </c>
      <c r="U238">
        <f>INDEX(GCalXMLT[dcaturmasya2],$D238)</f>
        <v>0</v>
      </c>
      <c r="V238" t="str">
        <f>INDEX(GCalXMLT[sankrantirasi],$D238) &amp; " " &amp; INDEX(GCalXMLT[sankrantitime],$D238)</f>
        <v xml:space="preserve"> </v>
      </c>
      <c r="W238" t="str">
        <f ca="1">IFERROR(INDEX('Holidays Calc'!$K$2:$K$233,AR238),"")</f>
        <v/>
      </c>
      <c r="X238" t="str">
        <f ca="1">IF(AR238="","",IF(INDEX('Holidays Calc'!$I$2:$I$233,AR238+1)=A238,INDEX('Holidays Calc'!$K$2:$K$233,AR238+1),""))</f>
        <v/>
      </c>
      <c r="Y238" t="str">
        <f ca="1">IF(AR238="","",IF(INDEX('Holidays Calc'!$I$2:$I$233,AR238+2)=A238,INDEX('Holidays Calc'!$K$2:$K$233,AR238+2),""))</f>
        <v/>
      </c>
      <c r="Z238" t="str">
        <f ca="1">IF(AR238="","",IF(INDEX('Holidays Calc'!$I$2:$I$233,AR238+3)=A238,INDEX('Holidays Calc'!$K$2:$K$2333,AR238+3),""))</f>
        <v/>
      </c>
      <c r="AA238" t="str">
        <f>IF(I238="Last day of Bhisma Pancaka","",IF(G238="*",-0.7,IF(ISBLANK(INDEX(GCalXMLT[dclass1],$D238)),"",INDEX(GCalXMLT[dclass1],$D238))))</f>
        <v/>
      </c>
      <c r="AB238" t="str">
        <f>IF(J238="First day of Bhisma Pancaka","",IF(AND(G238="*",NOT(ISERROR(SEARCH("ekadasi",J238)))),-0.7,IF(ISBLANK(INDEX(GCalXMLT[dclass2],$D238)),"",INDEX(GCalXMLT[dclass2],$D238))))</f>
        <v/>
      </c>
      <c r="AC238" t="str">
        <f>IF(I238="Nandotsava",-1,IF(ISBLANK(INDEX(GCalXMLT[dclass3],$D238)),"",INDEX(GCalXMLT[dclass3],$D238)))</f>
        <v/>
      </c>
      <c r="AD238" t="str">
        <f>IF(I238="Nandotsava",IF(ISBLANK(INDEX(GCalXMLT[dclass3],$D238)),"",INDEX(GCalXMLT[dclass3],$D238)),IF(ISBLANK(INDEX(GCalXMLT[dclass4],$D238)),"",INDEX(GCalXMLT[dclass4],$D238)))</f>
        <v/>
      </c>
      <c r="AE238" t="str">
        <f>IFERROR(INDEX(Festivals!$V$2:$V$160,AP238),"")</f>
        <v/>
      </c>
      <c r="AF238" t="str">
        <f>IFERROR(IF($AQ238&gt;1,INDEX(Festivals!$V$2:$V$160,$AP238+1),""),"")</f>
        <v/>
      </c>
      <c r="AG238" t="str">
        <f>IFERROR(IF($AQ238&gt;2,INDEX(Festivals!$V$2:$V$160,$AP238+2),""),"")</f>
        <v/>
      </c>
      <c r="AH238" t="str">
        <f>IFERROR(IF($AQ238&gt;3,INDEX(Festivals!$V$2:$V$160,$AP238+3),""),"")</f>
        <v/>
      </c>
      <c r="AI238" t="str">
        <f>IFERROR(IF($AQ238&gt;4,INDEX(Festivals!$V$2:$V$160,$AP238+4),""),"")</f>
        <v/>
      </c>
      <c r="AJ238" t="str">
        <f>IFERROR(IF($AQ238&gt;5,INDEX(Festivals!$V$2:$V$160,$AP238+5),""),"")</f>
        <v/>
      </c>
      <c r="AK238" t="str">
        <f>IFERROR(IF($AQ238&gt;6,INDEX(Festivals!$V$2:$V$160,$AP238+6),""),"")</f>
        <v/>
      </c>
      <c r="AL238" t="str">
        <f ca="1">IFERROR(INDEX('Holidays Calc'!$J$2:$J$233,MATCH(A238,'Holidays Calc'!$I$2:$I$233,0)),"")</f>
        <v/>
      </c>
      <c r="AM238" t="str">
        <f ca="1">IF(AR238="","",IF(INDEX('Holidays Calc'!$I$2:$I$233,AR238+1)=A238,INDEX('Holidays Calc'!$J$2:$J$233,AR238+1),""))</f>
        <v/>
      </c>
      <c r="AN238" t="str">
        <f ca="1">IF(AR238="","",IF(INDEX('Holidays Calc'!$I$2:$I$233,AR238+2)=A238,INDEX('Holidays Calc'!$J$2:$J$233,AR238+2),""))</f>
        <v/>
      </c>
      <c r="AO238" t="str">
        <f ca="1">IF(AR238="","",IF(INDEX('Holidays Calc'!$I$2:$I$233,AR238+3)=A238,INDEX('Holidays Calc'!$J$2:$J$233,AR238+3),""))</f>
        <v/>
      </c>
      <c r="AP238" t="str">
        <f>IFERROR(IF($E238=E237,"",MATCH($E238,Festivals!$H$2:$H$160,0)),"")</f>
        <v/>
      </c>
      <c r="AQ238" t="str">
        <f>IF(AP238="","",COUNTIF(Festivals!$H$2:$H$160,$E238))</f>
        <v/>
      </c>
      <c r="AR238" t="str">
        <f ca="1">IFERROR(MATCH(A238,'Holidays Calc'!$I$2:$I$233,0),"")</f>
        <v/>
      </c>
      <c r="AS238" t="str">
        <f t="shared" si="25"/>
        <v/>
      </c>
      <c r="AT238" t="str">
        <f t="shared" si="24"/>
        <v/>
      </c>
      <c r="AU238" t="str">
        <f t="shared" ca="1" si="26"/>
        <v/>
      </c>
      <c r="AV238" t="str">
        <f t="shared" ca="1" si="27"/>
        <v/>
      </c>
    </row>
    <row r="239" spans="1:48" x14ac:dyDescent="0.25">
      <c r="A239" s="265">
        <f t="shared" si="23"/>
        <v>43665</v>
      </c>
      <c r="B239" s="265" t="str">
        <f t="shared" si="28"/>
        <v>19 Jul 2019</v>
      </c>
      <c r="C239" s="267">
        <f t="shared" si="29"/>
        <v>29</v>
      </c>
      <c r="D239">
        <f>MATCH(A239,GCalXMLT[daydate],0)</f>
        <v>238</v>
      </c>
      <c r="E239">
        <f>VALUE("1" &amp; Masacod(INDEX(GCalXMLT[gymasa],D239)) &amp; PaksaCod(INDEX(GCalXMLT[mpaksaid],D239)) &amp; TithiCod(INDEX(GCalXMLT[stithiname],D239)))</f>
        <v>105003</v>
      </c>
      <c r="F239" t="str">
        <f ca="1">INDEX(Parameters!$K$2:$K$16,MATCH(AV239,Parameters!$L$2:$L$16,0))</f>
        <v/>
      </c>
      <c r="G239">
        <f>INDEX(GCalXMLT[fastmark],$D239)</f>
        <v>0</v>
      </c>
      <c r="H239" t="str">
        <f ca="1">INDEX(Parameters!$J$2:$J$16,MATCH(AV239,Parameters!$L$2:$L$16,0))</f>
        <v/>
      </c>
      <c r="I239">
        <f>INDEX(GCalXMLT[dfestival1],$D239)</f>
        <v>0</v>
      </c>
      <c r="J239">
        <f>IF(INDEX(GCalXMLT[dfestival2],$D239)="(Fast today)",INDEX(Festivals!$R$2:$R$180,MATCH($I239,Festivals!$R$2:$R$180,0)+1),INDEX(GCalXMLT[dfestival2],$D239))</f>
        <v>0</v>
      </c>
      <c r="K239">
        <f>IF(I239="Nandotsava","(Fast till noon)",INDEX(GCalXMLT[dfestival3],$D239))</f>
        <v>0</v>
      </c>
      <c r="L239">
        <f>IF(I239="Nandotsava", INDEX(GCalXMLT[dfestival3],$D239),INDEX(GCalXMLT[dfestival4],$D239))</f>
        <v>0</v>
      </c>
      <c r="M239" t="str">
        <f>IFERROR(INDEX(Festivals!$S$2:$S$160,AP239),"")</f>
        <v/>
      </c>
      <c r="N239" t="str">
        <f>IFERROR(IF($AQ239&gt;1,INDEX(Festivals!$S$2:$S$160,$AP239+1),""),"")</f>
        <v/>
      </c>
      <c r="O239" t="str">
        <f>IFERROR(IF($AQ239&gt;2,INDEX(Festivals!$S$2:$S$160,$AP239+2),""),"")</f>
        <v/>
      </c>
      <c r="P239" t="str">
        <f>IFERROR(IF($AQ239&gt;3,INDEX(Festivals!$S$2:$S$160,$AP239+3),""),"")</f>
        <v/>
      </c>
      <c r="Q239" t="str">
        <f>IFERROR(IF($AQ239&gt;4,INDEX(Festivals!$S$2:$S$160,$AP239+4),""),"")</f>
        <v/>
      </c>
      <c r="R239" t="str">
        <f>IFERROR(IF($AQ239&gt;5,INDEX(Festivals!$S$2:$S$160,$AP239+5),""),"")</f>
        <v/>
      </c>
      <c r="S239" t="str">
        <f>IFERROR(IF($AQ239&gt;6,INDEX(Festivals!$S$2:$S$160,$AP239+6),""),"")</f>
        <v/>
      </c>
      <c r="T239">
        <f>INDEX(GCalXMLT[dcaturmasya1],$D239)</f>
        <v>0</v>
      </c>
      <c r="U239">
        <f>INDEX(GCalXMLT[dcaturmasya2],$D239)</f>
        <v>0</v>
      </c>
      <c r="V239" t="str">
        <f>INDEX(GCalXMLT[sankrantirasi],$D239) &amp; " " &amp; INDEX(GCalXMLT[sankrantitime],$D239)</f>
        <v xml:space="preserve"> </v>
      </c>
      <c r="W239" t="str">
        <f ca="1">IFERROR(INDEX('Holidays Calc'!$K$2:$K$233,AR239),"")</f>
        <v/>
      </c>
      <c r="X239" t="str">
        <f ca="1">IF(AR239="","",IF(INDEX('Holidays Calc'!$I$2:$I$233,AR239+1)=A239,INDEX('Holidays Calc'!$K$2:$K$233,AR239+1),""))</f>
        <v/>
      </c>
      <c r="Y239" t="str">
        <f ca="1">IF(AR239="","",IF(INDEX('Holidays Calc'!$I$2:$I$233,AR239+2)=A239,INDEX('Holidays Calc'!$K$2:$K$233,AR239+2),""))</f>
        <v/>
      </c>
      <c r="Z239" t="str">
        <f ca="1">IF(AR239="","",IF(INDEX('Holidays Calc'!$I$2:$I$233,AR239+3)=A239,INDEX('Holidays Calc'!$K$2:$K$2333,AR239+3),""))</f>
        <v/>
      </c>
      <c r="AA239" t="str">
        <f>IF(I239="Last day of Bhisma Pancaka","",IF(G239="*",-0.7,IF(ISBLANK(INDEX(GCalXMLT[dclass1],$D239)),"",INDEX(GCalXMLT[dclass1],$D239))))</f>
        <v/>
      </c>
      <c r="AB239" t="str">
        <f>IF(J239="First day of Bhisma Pancaka","",IF(AND(G239="*",NOT(ISERROR(SEARCH("ekadasi",J239)))),-0.7,IF(ISBLANK(INDEX(GCalXMLT[dclass2],$D239)),"",INDEX(GCalXMLT[dclass2],$D239))))</f>
        <v/>
      </c>
      <c r="AC239" t="str">
        <f>IF(I239="Nandotsava",-1,IF(ISBLANK(INDEX(GCalXMLT[dclass3],$D239)),"",INDEX(GCalXMLT[dclass3],$D239)))</f>
        <v/>
      </c>
      <c r="AD239" t="str">
        <f>IF(I239="Nandotsava",IF(ISBLANK(INDEX(GCalXMLT[dclass3],$D239)),"",INDEX(GCalXMLT[dclass3],$D239)),IF(ISBLANK(INDEX(GCalXMLT[dclass4],$D239)),"",INDEX(GCalXMLT[dclass4],$D239)))</f>
        <v/>
      </c>
      <c r="AE239" t="str">
        <f>IFERROR(INDEX(Festivals!$V$2:$V$160,AP239),"")</f>
        <v/>
      </c>
      <c r="AF239" t="str">
        <f>IFERROR(IF($AQ239&gt;1,INDEX(Festivals!$V$2:$V$160,$AP239+1),""),"")</f>
        <v/>
      </c>
      <c r="AG239" t="str">
        <f>IFERROR(IF($AQ239&gt;2,INDEX(Festivals!$V$2:$V$160,$AP239+2),""),"")</f>
        <v/>
      </c>
      <c r="AH239" t="str">
        <f>IFERROR(IF($AQ239&gt;3,INDEX(Festivals!$V$2:$V$160,$AP239+3),""),"")</f>
        <v/>
      </c>
      <c r="AI239" t="str">
        <f>IFERROR(IF($AQ239&gt;4,INDEX(Festivals!$V$2:$V$160,$AP239+4),""),"")</f>
        <v/>
      </c>
      <c r="AJ239" t="str">
        <f>IFERROR(IF($AQ239&gt;5,INDEX(Festivals!$V$2:$V$160,$AP239+5),""),"")</f>
        <v/>
      </c>
      <c r="AK239" t="str">
        <f>IFERROR(IF($AQ239&gt;6,INDEX(Festivals!$V$2:$V$160,$AP239+6),""),"")</f>
        <v/>
      </c>
      <c r="AL239" t="str">
        <f ca="1">IFERROR(INDEX('Holidays Calc'!$J$2:$J$233,MATCH(A239,'Holidays Calc'!$I$2:$I$233,0)),"")</f>
        <v/>
      </c>
      <c r="AM239" t="str">
        <f ca="1">IF(AR239="","",IF(INDEX('Holidays Calc'!$I$2:$I$233,AR239+1)=A239,INDEX('Holidays Calc'!$J$2:$J$233,AR239+1),""))</f>
        <v/>
      </c>
      <c r="AN239" t="str">
        <f ca="1">IF(AR239="","",IF(INDEX('Holidays Calc'!$I$2:$I$233,AR239+2)=A239,INDEX('Holidays Calc'!$J$2:$J$233,AR239+2),""))</f>
        <v/>
      </c>
      <c r="AO239" t="str">
        <f ca="1">IF(AR239="","",IF(INDEX('Holidays Calc'!$I$2:$I$233,AR239+3)=A239,INDEX('Holidays Calc'!$J$2:$J$233,AR239+3),""))</f>
        <v/>
      </c>
      <c r="AP239" t="str">
        <f>IFERROR(IF($E239=E238,"",MATCH($E239,Festivals!$H$2:$H$160,0)),"")</f>
        <v/>
      </c>
      <c r="AQ239" t="str">
        <f>IF(AP239="","",COUNTIF(Festivals!$H$2:$H$160,$E239))</f>
        <v/>
      </c>
      <c r="AR239" t="str">
        <f ca="1">IFERROR(MATCH(A239,'Holidays Calc'!$I$2:$I$233,0),"")</f>
        <v/>
      </c>
      <c r="AS239" t="str">
        <f t="shared" si="25"/>
        <v/>
      </c>
      <c r="AT239" t="str">
        <f t="shared" si="24"/>
        <v/>
      </c>
      <c r="AU239" t="str">
        <f t="shared" ca="1" si="26"/>
        <v/>
      </c>
      <c r="AV239" t="str">
        <f t="shared" ca="1" si="27"/>
        <v/>
      </c>
    </row>
    <row r="240" spans="1:48" x14ac:dyDescent="0.25">
      <c r="A240" s="265">
        <f t="shared" si="23"/>
        <v>43666</v>
      </c>
      <c r="B240" s="265" t="str">
        <f t="shared" si="28"/>
        <v>20 Jul 2019</v>
      </c>
      <c r="C240" s="267">
        <f t="shared" si="29"/>
        <v>29</v>
      </c>
      <c r="D240">
        <f>MATCH(A240,GCalXMLT[daydate],0)</f>
        <v>239</v>
      </c>
      <c r="E240">
        <f>VALUE("1" &amp; Masacod(INDEX(GCalXMLT[gymasa],D240)) &amp; PaksaCod(INDEX(GCalXMLT[mpaksaid],D240)) &amp; TithiCod(INDEX(GCalXMLT[stithiname],D240)))</f>
        <v>105004</v>
      </c>
      <c r="F240" t="str">
        <f ca="1">INDEX(Parameters!$K$2:$K$16,MATCH(AV240,Parameters!$L$2:$L$16,0))</f>
        <v/>
      </c>
      <c r="G240">
        <f>INDEX(GCalXMLT[fastmark],$D240)</f>
        <v>0</v>
      </c>
      <c r="H240" t="str">
        <f ca="1">INDEX(Parameters!$J$2:$J$16,MATCH(AV240,Parameters!$L$2:$L$16,0))</f>
        <v/>
      </c>
      <c r="I240">
        <f>INDEX(GCalXMLT[dfestival1],$D240)</f>
        <v>0</v>
      </c>
      <c r="J240">
        <f>IF(INDEX(GCalXMLT[dfestival2],$D240)="(Fast today)",INDEX(Festivals!$R$2:$R$180,MATCH($I240,Festivals!$R$2:$R$180,0)+1),INDEX(GCalXMLT[dfestival2],$D240))</f>
        <v>0</v>
      </c>
      <c r="K240">
        <f>IF(I240="Nandotsava","(Fast till noon)",INDEX(GCalXMLT[dfestival3],$D240))</f>
        <v>0</v>
      </c>
      <c r="L240">
        <f>IF(I240="Nandotsava", INDEX(GCalXMLT[dfestival3],$D240),INDEX(GCalXMLT[dfestival4],$D240))</f>
        <v>0</v>
      </c>
      <c r="M240" t="str">
        <f>IFERROR(INDEX(Festivals!$S$2:$S$160,AP240),"")</f>
        <v/>
      </c>
      <c r="N240" t="str">
        <f>IFERROR(IF($AQ240&gt;1,INDEX(Festivals!$S$2:$S$160,$AP240+1),""),"")</f>
        <v/>
      </c>
      <c r="O240" t="str">
        <f>IFERROR(IF($AQ240&gt;2,INDEX(Festivals!$S$2:$S$160,$AP240+2),""),"")</f>
        <v/>
      </c>
      <c r="P240" t="str">
        <f>IFERROR(IF($AQ240&gt;3,INDEX(Festivals!$S$2:$S$160,$AP240+3),""),"")</f>
        <v/>
      </c>
      <c r="Q240" t="str">
        <f>IFERROR(IF($AQ240&gt;4,INDEX(Festivals!$S$2:$S$160,$AP240+4),""),"")</f>
        <v/>
      </c>
      <c r="R240" t="str">
        <f>IFERROR(IF($AQ240&gt;5,INDEX(Festivals!$S$2:$S$160,$AP240+5),""),"")</f>
        <v/>
      </c>
      <c r="S240" t="str">
        <f>IFERROR(IF($AQ240&gt;6,INDEX(Festivals!$S$2:$S$160,$AP240+6),""),"")</f>
        <v/>
      </c>
      <c r="T240">
        <f>INDEX(GCalXMLT[dcaturmasya1],$D240)</f>
        <v>0</v>
      </c>
      <c r="U240">
        <f>INDEX(GCalXMLT[dcaturmasya2],$D240)</f>
        <v>0</v>
      </c>
      <c r="V240" t="str">
        <f>INDEX(GCalXMLT[sankrantirasi],$D240) &amp; " " &amp; INDEX(GCalXMLT[sankrantitime],$D240)</f>
        <v xml:space="preserve"> </v>
      </c>
      <c r="W240" t="str">
        <f ca="1">IFERROR(INDEX('Holidays Calc'!$K$2:$K$233,AR240),"")</f>
        <v/>
      </c>
      <c r="X240" t="str">
        <f ca="1">IF(AR240="","",IF(INDEX('Holidays Calc'!$I$2:$I$233,AR240+1)=A240,INDEX('Holidays Calc'!$K$2:$K$233,AR240+1),""))</f>
        <v/>
      </c>
      <c r="Y240" t="str">
        <f ca="1">IF(AR240="","",IF(INDEX('Holidays Calc'!$I$2:$I$233,AR240+2)=A240,INDEX('Holidays Calc'!$K$2:$K$233,AR240+2),""))</f>
        <v/>
      </c>
      <c r="Z240" t="str">
        <f ca="1">IF(AR240="","",IF(INDEX('Holidays Calc'!$I$2:$I$233,AR240+3)=A240,INDEX('Holidays Calc'!$K$2:$K$2333,AR240+3),""))</f>
        <v/>
      </c>
      <c r="AA240" t="str">
        <f>IF(I240="Last day of Bhisma Pancaka","",IF(G240="*",-0.7,IF(ISBLANK(INDEX(GCalXMLT[dclass1],$D240)),"",INDEX(GCalXMLT[dclass1],$D240))))</f>
        <v/>
      </c>
      <c r="AB240" t="str">
        <f>IF(J240="First day of Bhisma Pancaka","",IF(AND(G240="*",NOT(ISERROR(SEARCH("ekadasi",J240)))),-0.7,IF(ISBLANK(INDEX(GCalXMLT[dclass2],$D240)),"",INDEX(GCalXMLT[dclass2],$D240))))</f>
        <v/>
      </c>
      <c r="AC240" t="str">
        <f>IF(I240="Nandotsava",-1,IF(ISBLANK(INDEX(GCalXMLT[dclass3],$D240)),"",INDEX(GCalXMLT[dclass3],$D240)))</f>
        <v/>
      </c>
      <c r="AD240" t="str">
        <f>IF(I240="Nandotsava",IF(ISBLANK(INDEX(GCalXMLT[dclass3],$D240)),"",INDEX(GCalXMLT[dclass3],$D240)),IF(ISBLANK(INDEX(GCalXMLT[dclass4],$D240)),"",INDEX(GCalXMLT[dclass4],$D240)))</f>
        <v/>
      </c>
      <c r="AE240" t="str">
        <f>IFERROR(INDEX(Festivals!$V$2:$V$160,AP240),"")</f>
        <v/>
      </c>
      <c r="AF240" t="str">
        <f>IFERROR(IF($AQ240&gt;1,INDEX(Festivals!$V$2:$V$160,$AP240+1),""),"")</f>
        <v/>
      </c>
      <c r="AG240" t="str">
        <f>IFERROR(IF($AQ240&gt;2,INDEX(Festivals!$V$2:$V$160,$AP240+2),""),"")</f>
        <v/>
      </c>
      <c r="AH240" t="str">
        <f>IFERROR(IF($AQ240&gt;3,INDEX(Festivals!$V$2:$V$160,$AP240+3),""),"")</f>
        <v/>
      </c>
      <c r="AI240" t="str">
        <f>IFERROR(IF($AQ240&gt;4,INDEX(Festivals!$V$2:$V$160,$AP240+4),""),"")</f>
        <v/>
      </c>
      <c r="AJ240" t="str">
        <f>IFERROR(IF($AQ240&gt;5,INDEX(Festivals!$V$2:$V$160,$AP240+5),""),"")</f>
        <v/>
      </c>
      <c r="AK240" t="str">
        <f>IFERROR(IF($AQ240&gt;6,INDEX(Festivals!$V$2:$V$160,$AP240+6),""),"")</f>
        <v/>
      </c>
      <c r="AL240" t="str">
        <f ca="1">IFERROR(INDEX('Holidays Calc'!$J$2:$J$233,MATCH(A240,'Holidays Calc'!$I$2:$I$233,0)),"")</f>
        <v/>
      </c>
      <c r="AM240" t="str">
        <f ca="1">IF(AR240="","",IF(INDEX('Holidays Calc'!$I$2:$I$233,AR240+1)=A240,INDEX('Holidays Calc'!$J$2:$J$233,AR240+1),""))</f>
        <v/>
      </c>
      <c r="AN240" t="str">
        <f ca="1">IF(AR240="","",IF(INDEX('Holidays Calc'!$I$2:$I$233,AR240+2)=A240,INDEX('Holidays Calc'!$J$2:$J$233,AR240+2),""))</f>
        <v/>
      </c>
      <c r="AO240" t="str">
        <f ca="1">IF(AR240="","",IF(INDEX('Holidays Calc'!$I$2:$I$233,AR240+3)=A240,INDEX('Holidays Calc'!$J$2:$J$233,AR240+3),""))</f>
        <v/>
      </c>
      <c r="AP240" t="str">
        <f>IFERROR(IF($E240=E239,"",MATCH($E240,Festivals!$H$2:$H$160,0)),"")</f>
        <v/>
      </c>
      <c r="AQ240" t="str">
        <f>IF(AP240="","",COUNTIF(Festivals!$H$2:$H$160,$E240))</f>
        <v/>
      </c>
      <c r="AR240" t="str">
        <f ca="1">IFERROR(MATCH(A240,'Holidays Calc'!$I$2:$I$233,0),"")</f>
        <v/>
      </c>
      <c r="AS240" t="str">
        <f t="shared" si="25"/>
        <v/>
      </c>
      <c r="AT240" t="str">
        <f t="shared" si="24"/>
        <v/>
      </c>
      <c r="AU240" t="str">
        <f t="shared" ca="1" si="26"/>
        <v/>
      </c>
      <c r="AV240" t="str">
        <f t="shared" ca="1" si="27"/>
        <v/>
      </c>
    </row>
    <row r="241" spans="1:48" x14ac:dyDescent="0.25">
      <c r="A241" s="265">
        <f t="shared" si="23"/>
        <v>43667</v>
      </c>
      <c r="B241" s="265" t="str">
        <f t="shared" si="28"/>
        <v>21 Jul 2019</v>
      </c>
      <c r="C241" s="267">
        <f t="shared" si="29"/>
        <v>29</v>
      </c>
      <c r="D241">
        <f>MATCH(A241,GCalXMLT[daydate],0)</f>
        <v>240</v>
      </c>
      <c r="E241">
        <f>VALUE("1" &amp; Masacod(INDEX(GCalXMLT[gymasa],D241)) &amp; PaksaCod(INDEX(GCalXMLT[mpaksaid],D241)) &amp; TithiCod(INDEX(GCalXMLT[stithiname],D241)))</f>
        <v>105005</v>
      </c>
      <c r="F241" t="str">
        <f ca="1">INDEX(Parameters!$K$2:$K$16,MATCH(AV241,Parameters!$L$2:$L$16,0))</f>
        <v>C</v>
      </c>
      <c r="G241">
        <f>INDEX(GCalXMLT[fastmark],$D241)</f>
        <v>0</v>
      </c>
      <c r="H241" t="str">
        <f ca="1">INDEX(Parameters!$J$2:$J$16,MATCH(AV241,Parameters!$L$2:$L$16,0))</f>
        <v/>
      </c>
      <c r="I241">
        <f>INDEX(GCalXMLT[dfestival1],$D241)</f>
        <v>0</v>
      </c>
      <c r="J241">
        <f>IF(INDEX(GCalXMLT[dfestival2],$D241)="(Fast today)",INDEX(Festivals!$R$2:$R$180,MATCH($I241,Festivals!$R$2:$R$180,0)+1),INDEX(GCalXMLT[dfestival2],$D241))</f>
        <v>0</v>
      </c>
      <c r="K241">
        <f>IF(I241="Nandotsava","(Fast till noon)",INDEX(GCalXMLT[dfestival3],$D241))</f>
        <v>0</v>
      </c>
      <c r="L241">
        <f>IF(I241="Nandotsava", INDEX(GCalXMLT[dfestival3],$D241),INDEX(GCalXMLT[dfestival4],$D241))</f>
        <v>0</v>
      </c>
      <c r="M241" t="str">
        <f>IFERROR(INDEX(Festivals!$S$2:$S$160,AP241),"")</f>
        <v>Srila Gopala Bhatta Gosvami - Disappearance</v>
      </c>
      <c r="N241" t="str">
        <f>IFERROR(IF($AQ241&gt;1,INDEX(Festivals!$S$2:$S$160,$AP241+1),""),"")</f>
        <v/>
      </c>
      <c r="O241" t="str">
        <f>IFERROR(IF($AQ241&gt;2,INDEX(Festivals!$S$2:$S$160,$AP241+2),""),"")</f>
        <v/>
      </c>
      <c r="P241" t="str">
        <f>IFERROR(IF($AQ241&gt;3,INDEX(Festivals!$S$2:$S$160,$AP241+3),""),"")</f>
        <v/>
      </c>
      <c r="Q241" t="str">
        <f>IFERROR(IF($AQ241&gt;4,INDEX(Festivals!$S$2:$S$160,$AP241+4),""),"")</f>
        <v/>
      </c>
      <c r="R241" t="str">
        <f>IFERROR(IF($AQ241&gt;5,INDEX(Festivals!$S$2:$S$160,$AP241+5),""),"")</f>
        <v/>
      </c>
      <c r="S241" t="str">
        <f>IFERROR(IF($AQ241&gt;6,INDEX(Festivals!$S$2:$S$160,$AP241+6),""),"")</f>
        <v/>
      </c>
      <c r="T241">
        <f>INDEX(GCalXMLT[dcaturmasya1],$D241)</f>
        <v>0</v>
      </c>
      <c r="U241">
        <f>INDEX(GCalXMLT[dcaturmasya2],$D241)</f>
        <v>0</v>
      </c>
      <c r="V241" t="str">
        <f>INDEX(GCalXMLT[sankrantirasi],$D241) &amp; " " &amp; INDEX(GCalXMLT[sankrantitime],$D241)</f>
        <v xml:space="preserve"> </v>
      </c>
      <c r="W241" t="str">
        <f ca="1">IFERROR(INDEX('Holidays Calc'!$K$2:$K$233,AR241),"")</f>
        <v/>
      </c>
      <c r="X241" t="str">
        <f ca="1">IF(AR241="","",IF(INDEX('Holidays Calc'!$I$2:$I$233,AR241+1)=A241,INDEX('Holidays Calc'!$K$2:$K$233,AR241+1),""))</f>
        <v/>
      </c>
      <c r="Y241" t="str">
        <f ca="1">IF(AR241="","",IF(INDEX('Holidays Calc'!$I$2:$I$233,AR241+2)=A241,INDEX('Holidays Calc'!$K$2:$K$233,AR241+2),""))</f>
        <v/>
      </c>
      <c r="Z241" t="str">
        <f ca="1">IF(AR241="","",IF(INDEX('Holidays Calc'!$I$2:$I$233,AR241+3)=A241,INDEX('Holidays Calc'!$K$2:$K$2333,AR241+3),""))</f>
        <v/>
      </c>
      <c r="AA241" t="str">
        <f>IF(I241="Last day of Bhisma Pancaka","",IF(G241="*",-0.7,IF(ISBLANK(INDEX(GCalXMLT[dclass1],$D241)),"",INDEX(GCalXMLT[dclass1],$D241))))</f>
        <v/>
      </c>
      <c r="AB241" t="str">
        <f>IF(J241="First day of Bhisma Pancaka","",IF(AND(G241="*",NOT(ISERROR(SEARCH("ekadasi",J241)))),-0.7,IF(ISBLANK(INDEX(GCalXMLT[dclass2],$D241)),"",INDEX(GCalXMLT[dclass2],$D241))))</f>
        <v/>
      </c>
      <c r="AC241" t="str">
        <f>IF(I241="Nandotsava",-1,IF(ISBLANK(INDEX(GCalXMLT[dclass3],$D241)),"",INDEX(GCalXMLT[dclass3],$D241)))</f>
        <v/>
      </c>
      <c r="AD241" t="str">
        <f>IF(I241="Nandotsava",IF(ISBLANK(INDEX(GCalXMLT[dclass3],$D241)),"",INDEX(GCalXMLT[dclass3],$D241)),IF(ISBLANK(INDEX(GCalXMLT[dclass4],$D241)),"",INDEX(GCalXMLT[dclass4],$D241)))</f>
        <v/>
      </c>
      <c r="AE241">
        <f>IFERROR(INDEX(Festivals!$V$2:$V$160,AP241),"")</f>
        <v>3</v>
      </c>
      <c r="AF241" t="str">
        <f>IFERROR(IF($AQ241&gt;1,INDEX(Festivals!$V$2:$V$160,$AP241+1),""),"")</f>
        <v/>
      </c>
      <c r="AG241" t="str">
        <f>IFERROR(IF($AQ241&gt;2,INDEX(Festivals!$V$2:$V$160,$AP241+2),""),"")</f>
        <v/>
      </c>
      <c r="AH241" t="str">
        <f>IFERROR(IF($AQ241&gt;3,INDEX(Festivals!$V$2:$V$160,$AP241+3),""),"")</f>
        <v/>
      </c>
      <c r="AI241" t="str">
        <f>IFERROR(IF($AQ241&gt;4,INDEX(Festivals!$V$2:$V$160,$AP241+4),""),"")</f>
        <v/>
      </c>
      <c r="AJ241" t="str">
        <f>IFERROR(IF($AQ241&gt;5,INDEX(Festivals!$V$2:$V$160,$AP241+5),""),"")</f>
        <v/>
      </c>
      <c r="AK241" t="str">
        <f>IFERROR(IF($AQ241&gt;6,INDEX(Festivals!$V$2:$V$160,$AP241+6),""),"")</f>
        <v/>
      </c>
      <c r="AL241" t="str">
        <f ca="1">IFERROR(INDEX('Holidays Calc'!$J$2:$J$233,MATCH(A241,'Holidays Calc'!$I$2:$I$233,0)),"")</f>
        <v/>
      </c>
      <c r="AM241" t="str">
        <f ca="1">IF(AR241="","",IF(INDEX('Holidays Calc'!$I$2:$I$233,AR241+1)=A241,INDEX('Holidays Calc'!$J$2:$J$233,AR241+1),""))</f>
        <v/>
      </c>
      <c r="AN241" t="str">
        <f ca="1">IF(AR241="","",IF(INDEX('Holidays Calc'!$I$2:$I$233,AR241+2)=A241,INDEX('Holidays Calc'!$J$2:$J$233,AR241+2),""))</f>
        <v/>
      </c>
      <c r="AO241" t="str">
        <f ca="1">IF(AR241="","",IF(INDEX('Holidays Calc'!$I$2:$I$233,AR241+3)=A241,INDEX('Holidays Calc'!$J$2:$J$233,AR241+3),""))</f>
        <v/>
      </c>
      <c r="AP241">
        <f>IFERROR(IF($E241=E240,"",MATCH($E241,Festivals!$H$2:$H$160,0)),"")</f>
        <v>46</v>
      </c>
      <c r="AQ241">
        <f>IF(AP241="","",COUNTIF(Festivals!$H$2:$H$160,$E241))</f>
        <v>1</v>
      </c>
      <c r="AR241" t="str">
        <f ca="1">IFERROR(MATCH(A241,'Holidays Calc'!$I$2:$I$233,0),"")</f>
        <v/>
      </c>
      <c r="AS241">
        <f t="shared" si="25"/>
        <v>3</v>
      </c>
      <c r="AT241">
        <f t="shared" si="24"/>
        <v>3</v>
      </c>
      <c r="AU241" t="str">
        <f t="shared" ca="1" si="26"/>
        <v/>
      </c>
      <c r="AV241">
        <f t="shared" ca="1" si="27"/>
        <v>3</v>
      </c>
    </row>
    <row r="242" spans="1:48" x14ac:dyDescent="0.25">
      <c r="A242" s="265">
        <f t="shared" si="23"/>
        <v>43668</v>
      </c>
      <c r="B242" s="265" t="str">
        <f t="shared" si="28"/>
        <v>22 Jul 2019</v>
      </c>
      <c r="C242" s="267">
        <f t="shared" si="29"/>
        <v>30</v>
      </c>
      <c r="D242">
        <f>MATCH(A242,GCalXMLT[daydate],0)</f>
        <v>241</v>
      </c>
      <c r="E242">
        <f>VALUE("1" &amp; Masacod(INDEX(GCalXMLT[gymasa],D242)) &amp; PaksaCod(INDEX(GCalXMLT[mpaksaid],D242)) &amp; TithiCod(INDEX(GCalXMLT[stithiname],D242)))</f>
        <v>105005</v>
      </c>
      <c r="F242" t="str">
        <f ca="1">INDEX(Parameters!$K$2:$K$16,MATCH(AV242,Parameters!$L$2:$L$16,0))</f>
        <v/>
      </c>
      <c r="G242">
        <f>INDEX(GCalXMLT[fastmark],$D242)</f>
        <v>0</v>
      </c>
      <c r="H242" t="str">
        <f ca="1">INDEX(Parameters!$J$2:$J$16,MATCH(AV242,Parameters!$L$2:$L$16,0))</f>
        <v/>
      </c>
      <c r="I242">
        <f>INDEX(GCalXMLT[dfestival1],$D242)</f>
        <v>0</v>
      </c>
      <c r="J242">
        <f>IF(INDEX(GCalXMLT[dfestival2],$D242)="(Fast today)",INDEX(Festivals!$R$2:$R$180,MATCH($I242,Festivals!$R$2:$R$180,0)+1),INDEX(GCalXMLT[dfestival2],$D242))</f>
        <v>0</v>
      </c>
      <c r="K242">
        <f>IF(I242="Nandotsava","(Fast till noon)",INDEX(GCalXMLT[dfestival3],$D242))</f>
        <v>0</v>
      </c>
      <c r="L242">
        <f>IF(I242="Nandotsava", INDEX(GCalXMLT[dfestival3],$D242),INDEX(GCalXMLT[dfestival4],$D242))</f>
        <v>0</v>
      </c>
      <c r="M242" t="str">
        <f>IFERROR(INDEX(Festivals!$S$2:$S$160,AP242),"")</f>
        <v/>
      </c>
      <c r="N242" t="str">
        <f>IFERROR(IF($AQ242&gt;1,INDEX(Festivals!$S$2:$S$160,$AP242+1),""),"")</f>
        <v/>
      </c>
      <c r="O242" t="str">
        <f>IFERROR(IF($AQ242&gt;2,INDEX(Festivals!$S$2:$S$160,$AP242+2),""),"")</f>
        <v/>
      </c>
      <c r="P242" t="str">
        <f>IFERROR(IF($AQ242&gt;3,INDEX(Festivals!$S$2:$S$160,$AP242+3),""),"")</f>
        <v/>
      </c>
      <c r="Q242" t="str">
        <f>IFERROR(IF($AQ242&gt;4,INDEX(Festivals!$S$2:$S$160,$AP242+4),""),"")</f>
        <v/>
      </c>
      <c r="R242" t="str">
        <f>IFERROR(IF($AQ242&gt;5,INDEX(Festivals!$S$2:$S$160,$AP242+5),""),"")</f>
        <v/>
      </c>
      <c r="S242" t="str">
        <f>IFERROR(IF($AQ242&gt;6,INDEX(Festivals!$S$2:$S$160,$AP242+6),""),"")</f>
        <v/>
      </c>
      <c r="T242">
        <f>INDEX(GCalXMLT[dcaturmasya1],$D242)</f>
        <v>0</v>
      </c>
      <c r="U242">
        <f>INDEX(GCalXMLT[dcaturmasya2],$D242)</f>
        <v>0</v>
      </c>
      <c r="V242" t="str">
        <f>INDEX(GCalXMLT[sankrantirasi],$D242) &amp; " " &amp; INDEX(GCalXMLT[sankrantitime],$D242)</f>
        <v xml:space="preserve"> </v>
      </c>
      <c r="W242" t="str">
        <f ca="1">IFERROR(INDEX('Holidays Calc'!$K$2:$K$233,AR242),"")</f>
        <v/>
      </c>
      <c r="X242" t="str">
        <f ca="1">IF(AR242="","",IF(INDEX('Holidays Calc'!$I$2:$I$233,AR242+1)=A242,INDEX('Holidays Calc'!$K$2:$K$233,AR242+1),""))</f>
        <v/>
      </c>
      <c r="Y242" t="str">
        <f ca="1">IF(AR242="","",IF(INDEX('Holidays Calc'!$I$2:$I$233,AR242+2)=A242,INDEX('Holidays Calc'!$K$2:$K$233,AR242+2),""))</f>
        <v/>
      </c>
      <c r="Z242" t="str">
        <f ca="1">IF(AR242="","",IF(INDEX('Holidays Calc'!$I$2:$I$233,AR242+3)=A242,INDEX('Holidays Calc'!$K$2:$K$2333,AR242+3),""))</f>
        <v/>
      </c>
      <c r="AA242" t="str">
        <f>IF(I242="Last day of Bhisma Pancaka","",IF(G242="*",-0.7,IF(ISBLANK(INDEX(GCalXMLT[dclass1],$D242)),"",INDEX(GCalXMLT[dclass1],$D242))))</f>
        <v/>
      </c>
      <c r="AB242" t="str">
        <f>IF(J242="First day of Bhisma Pancaka","",IF(AND(G242="*",NOT(ISERROR(SEARCH("ekadasi",J242)))),-0.7,IF(ISBLANK(INDEX(GCalXMLT[dclass2],$D242)),"",INDEX(GCalXMLT[dclass2],$D242))))</f>
        <v/>
      </c>
      <c r="AC242" t="str">
        <f>IF(I242="Nandotsava",-1,IF(ISBLANK(INDEX(GCalXMLT[dclass3],$D242)),"",INDEX(GCalXMLT[dclass3],$D242)))</f>
        <v/>
      </c>
      <c r="AD242" t="str">
        <f>IF(I242="Nandotsava",IF(ISBLANK(INDEX(GCalXMLT[dclass3],$D242)),"",INDEX(GCalXMLT[dclass3],$D242)),IF(ISBLANK(INDEX(GCalXMLT[dclass4],$D242)),"",INDEX(GCalXMLT[dclass4],$D242)))</f>
        <v/>
      </c>
      <c r="AE242" t="str">
        <f>IFERROR(INDEX(Festivals!$V$2:$V$160,AP242),"")</f>
        <v/>
      </c>
      <c r="AF242" t="str">
        <f>IFERROR(IF($AQ242&gt;1,INDEX(Festivals!$V$2:$V$160,$AP242+1),""),"")</f>
        <v/>
      </c>
      <c r="AG242" t="str">
        <f>IFERROR(IF($AQ242&gt;2,INDEX(Festivals!$V$2:$V$160,$AP242+2),""),"")</f>
        <v/>
      </c>
      <c r="AH242" t="str">
        <f>IFERROR(IF($AQ242&gt;3,INDEX(Festivals!$V$2:$V$160,$AP242+3),""),"")</f>
        <v/>
      </c>
      <c r="AI242" t="str">
        <f>IFERROR(IF($AQ242&gt;4,INDEX(Festivals!$V$2:$V$160,$AP242+4),""),"")</f>
        <v/>
      </c>
      <c r="AJ242" t="str">
        <f>IFERROR(IF($AQ242&gt;5,INDEX(Festivals!$V$2:$V$160,$AP242+5),""),"")</f>
        <v/>
      </c>
      <c r="AK242" t="str">
        <f>IFERROR(IF($AQ242&gt;6,INDEX(Festivals!$V$2:$V$160,$AP242+6),""),"")</f>
        <v/>
      </c>
      <c r="AL242" t="str">
        <f ca="1">IFERROR(INDEX('Holidays Calc'!$J$2:$J$233,MATCH(A242,'Holidays Calc'!$I$2:$I$233,0)),"")</f>
        <v/>
      </c>
      <c r="AM242" t="str">
        <f ca="1">IF(AR242="","",IF(INDEX('Holidays Calc'!$I$2:$I$233,AR242+1)=A242,INDEX('Holidays Calc'!$J$2:$J$233,AR242+1),""))</f>
        <v/>
      </c>
      <c r="AN242" t="str">
        <f ca="1">IF(AR242="","",IF(INDEX('Holidays Calc'!$I$2:$I$233,AR242+2)=A242,INDEX('Holidays Calc'!$J$2:$J$233,AR242+2),""))</f>
        <v/>
      </c>
      <c r="AO242" t="str">
        <f ca="1">IF(AR242="","",IF(INDEX('Holidays Calc'!$I$2:$I$233,AR242+3)=A242,INDEX('Holidays Calc'!$J$2:$J$233,AR242+3),""))</f>
        <v/>
      </c>
      <c r="AP242" t="str">
        <f>IFERROR(IF($E242=E241,"",MATCH($E242,Festivals!$H$2:$H$160,0)),"")</f>
        <v/>
      </c>
      <c r="AQ242" t="str">
        <f>IF(AP242="","",COUNTIF(Festivals!$H$2:$H$160,$E242))</f>
        <v/>
      </c>
      <c r="AR242" t="str">
        <f ca="1">IFERROR(MATCH(A242,'Holidays Calc'!$I$2:$I$233,0),"")</f>
        <v/>
      </c>
      <c r="AS242" t="str">
        <f t="shared" si="25"/>
        <v/>
      </c>
      <c r="AT242" t="str">
        <f t="shared" si="24"/>
        <v/>
      </c>
      <c r="AU242" t="str">
        <f t="shared" ca="1" si="26"/>
        <v/>
      </c>
      <c r="AV242" t="str">
        <f t="shared" ca="1" si="27"/>
        <v/>
      </c>
    </row>
    <row r="243" spans="1:48" x14ac:dyDescent="0.25">
      <c r="A243" s="265">
        <f t="shared" si="23"/>
        <v>43669</v>
      </c>
      <c r="B243" s="265" t="str">
        <f t="shared" si="28"/>
        <v>23 Jul 2019</v>
      </c>
      <c r="C243" s="267">
        <f t="shared" si="29"/>
        <v>30</v>
      </c>
      <c r="D243">
        <f>MATCH(A243,GCalXMLT[daydate],0)</f>
        <v>242</v>
      </c>
      <c r="E243">
        <f>VALUE("1" &amp; Masacod(INDEX(GCalXMLT[gymasa],D243)) &amp; PaksaCod(INDEX(GCalXMLT[mpaksaid],D243)) &amp; TithiCod(INDEX(GCalXMLT[stithiname],D243)))</f>
        <v>105006</v>
      </c>
      <c r="F243" t="str">
        <f ca="1">INDEX(Parameters!$K$2:$K$16,MATCH(AV243,Parameters!$L$2:$L$16,0))</f>
        <v/>
      </c>
      <c r="G243">
        <f>INDEX(GCalXMLT[fastmark],$D243)</f>
        <v>0</v>
      </c>
      <c r="H243" t="str">
        <f ca="1">INDEX(Parameters!$J$2:$J$16,MATCH(AV243,Parameters!$L$2:$L$16,0))</f>
        <v/>
      </c>
      <c r="I243">
        <f>INDEX(GCalXMLT[dfestival1],$D243)</f>
        <v>0</v>
      </c>
      <c r="J243">
        <f>IF(INDEX(GCalXMLT[dfestival2],$D243)="(Fast today)",INDEX(Festivals!$R$2:$R$180,MATCH($I243,Festivals!$R$2:$R$180,0)+1),INDEX(GCalXMLT[dfestival2],$D243))</f>
        <v>0</v>
      </c>
      <c r="K243">
        <f>IF(I243="Nandotsava","(Fast till noon)",INDEX(GCalXMLT[dfestival3],$D243))</f>
        <v>0</v>
      </c>
      <c r="L243">
        <f>IF(I243="Nandotsava", INDEX(GCalXMLT[dfestival3],$D243),INDEX(GCalXMLT[dfestival4],$D243))</f>
        <v>0</v>
      </c>
      <c r="M243" t="str">
        <f>IFERROR(INDEX(Festivals!$S$2:$S$160,AP243),"")</f>
        <v/>
      </c>
      <c r="N243" t="str">
        <f>IFERROR(IF($AQ243&gt;1,INDEX(Festivals!$S$2:$S$160,$AP243+1),""),"")</f>
        <v/>
      </c>
      <c r="O243" t="str">
        <f>IFERROR(IF($AQ243&gt;2,INDEX(Festivals!$S$2:$S$160,$AP243+2),""),"")</f>
        <v/>
      </c>
      <c r="P243" t="str">
        <f>IFERROR(IF($AQ243&gt;3,INDEX(Festivals!$S$2:$S$160,$AP243+3),""),"")</f>
        <v/>
      </c>
      <c r="Q243" t="str">
        <f>IFERROR(IF($AQ243&gt;4,INDEX(Festivals!$S$2:$S$160,$AP243+4),""),"")</f>
        <v/>
      </c>
      <c r="R243" t="str">
        <f>IFERROR(IF($AQ243&gt;5,INDEX(Festivals!$S$2:$S$160,$AP243+5),""),"")</f>
        <v/>
      </c>
      <c r="S243" t="str">
        <f>IFERROR(IF($AQ243&gt;6,INDEX(Festivals!$S$2:$S$160,$AP243+6),""),"")</f>
        <v/>
      </c>
      <c r="T243">
        <f>INDEX(GCalXMLT[dcaturmasya1],$D243)</f>
        <v>0</v>
      </c>
      <c r="U243">
        <f>INDEX(GCalXMLT[dcaturmasya2],$D243)</f>
        <v>0</v>
      </c>
      <c r="V243" t="str">
        <f>INDEX(GCalXMLT[sankrantirasi],$D243) &amp; " " &amp; INDEX(GCalXMLT[sankrantitime],$D243)</f>
        <v xml:space="preserve"> </v>
      </c>
      <c r="W243" t="str">
        <f ca="1">IFERROR(INDEX('Holidays Calc'!$K$2:$K$233,AR243),"")</f>
        <v/>
      </c>
      <c r="X243" t="str">
        <f ca="1">IF(AR243="","",IF(INDEX('Holidays Calc'!$I$2:$I$233,AR243+1)=A243,INDEX('Holidays Calc'!$K$2:$K$233,AR243+1),""))</f>
        <v/>
      </c>
      <c r="Y243" t="str">
        <f ca="1">IF(AR243="","",IF(INDEX('Holidays Calc'!$I$2:$I$233,AR243+2)=A243,INDEX('Holidays Calc'!$K$2:$K$233,AR243+2),""))</f>
        <v/>
      </c>
      <c r="Z243" t="str">
        <f ca="1">IF(AR243="","",IF(INDEX('Holidays Calc'!$I$2:$I$233,AR243+3)=A243,INDEX('Holidays Calc'!$K$2:$K$2333,AR243+3),""))</f>
        <v/>
      </c>
      <c r="AA243" t="str">
        <f>IF(I243="Last day of Bhisma Pancaka","",IF(G243="*",-0.7,IF(ISBLANK(INDEX(GCalXMLT[dclass1],$D243)),"",INDEX(GCalXMLT[dclass1],$D243))))</f>
        <v/>
      </c>
      <c r="AB243" t="str">
        <f>IF(J243="First day of Bhisma Pancaka","",IF(AND(G243="*",NOT(ISERROR(SEARCH("ekadasi",J243)))),-0.7,IF(ISBLANK(INDEX(GCalXMLT[dclass2],$D243)),"",INDEX(GCalXMLT[dclass2],$D243))))</f>
        <v/>
      </c>
      <c r="AC243" t="str">
        <f>IF(I243="Nandotsava",-1,IF(ISBLANK(INDEX(GCalXMLT[dclass3],$D243)),"",INDEX(GCalXMLT[dclass3],$D243)))</f>
        <v/>
      </c>
      <c r="AD243" t="str">
        <f>IF(I243="Nandotsava",IF(ISBLANK(INDEX(GCalXMLT[dclass3],$D243)),"",INDEX(GCalXMLT[dclass3],$D243)),IF(ISBLANK(INDEX(GCalXMLT[dclass4],$D243)),"",INDEX(GCalXMLT[dclass4],$D243)))</f>
        <v/>
      </c>
      <c r="AE243" t="str">
        <f>IFERROR(INDEX(Festivals!$V$2:$V$160,AP243),"")</f>
        <v/>
      </c>
      <c r="AF243" t="str">
        <f>IFERROR(IF($AQ243&gt;1,INDEX(Festivals!$V$2:$V$160,$AP243+1),""),"")</f>
        <v/>
      </c>
      <c r="AG243" t="str">
        <f>IFERROR(IF($AQ243&gt;2,INDEX(Festivals!$V$2:$V$160,$AP243+2),""),"")</f>
        <v/>
      </c>
      <c r="AH243" t="str">
        <f>IFERROR(IF($AQ243&gt;3,INDEX(Festivals!$V$2:$V$160,$AP243+3),""),"")</f>
        <v/>
      </c>
      <c r="AI243" t="str">
        <f>IFERROR(IF($AQ243&gt;4,INDEX(Festivals!$V$2:$V$160,$AP243+4),""),"")</f>
        <v/>
      </c>
      <c r="AJ243" t="str">
        <f>IFERROR(IF($AQ243&gt;5,INDEX(Festivals!$V$2:$V$160,$AP243+5),""),"")</f>
        <v/>
      </c>
      <c r="AK243" t="str">
        <f>IFERROR(IF($AQ243&gt;6,INDEX(Festivals!$V$2:$V$160,$AP243+6),""),"")</f>
        <v/>
      </c>
      <c r="AL243" t="str">
        <f ca="1">IFERROR(INDEX('Holidays Calc'!$J$2:$J$233,MATCH(A243,'Holidays Calc'!$I$2:$I$233,0)),"")</f>
        <v/>
      </c>
      <c r="AM243" t="str">
        <f ca="1">IF(AR243="","",IF(INDEX('Holidays Calc'!$I$2:$I$233,AR243+1)=A243,INDEX('Holidays Calc'!$J$2:$J$233,AR243+1),""))</f>
        <v/>
      </c>
      <c r="AN243" t="str">
        <f ca="1">IF(AR243="","",IF(INDEX('Holidays Calc'!$I$2:$I$233,AR243+2)=A243,INDEX('Holidays Calc'!$J$2:$J$233,AR243+2),""))</f>
        <v/>
      </c>
      <c r="AO243" t="str">
        <f ca="1">IF(AR243="","",IF(INDEX('Holidays Calc'!$I$2:$I$233,AR243+3)=A243,INDEX('Holidays Calc'!$J$2:$J$233,AR243+3),""))</f>
        <v/>
      </c>
      <c r="AP243" t="str">
        <f>IFERROR(IF($E243=E242,"",MATCH($E243,Festivals!$H$2:$H$160,0)),"")</f>
        <v/>
      </c>
      <c r="AQ243" t="str">
        <f>IF(AP243="","",COUNTIF(Festivals!$H$2:$H$160,$E243))</f>
        <v/>
      </c>
      <c r="AR243" t="str">
        <f ca="1">IFERROR(MATCH(A243,'Holidays Calc'!$I$2:$I$233,0),"")</f>
        <v/>
      </c>
      <c r="AS243" t="str">
        <f t="shared" si="25"/>
        <v/>
      </c>
      <c r="AT243" t="str">
        <f t="shared" si="24"/>
        <v/>
      </c>
      <c r="AU243" t="str">
        <f t="shared" ca="1" si="26"/>
        <v/>
      </c>
      <c r="AV243" t="str">
        <f t="shared" ca="1" si="27"/>
        <v/>
      </c>
    </row>
    <row r="244" spans="1:48" x14ac:dyDescent="0.25">
      <c r="A244" s="265">
        <f t="shared" si="23"/>
        <v>43670</v>
      </c>
      <c r="B244" s="265" t="str">
        <f t="shared" si="28"/>
        <v>24 Jul 2019</v>
      </c>
      <c r="C244" s="267">
        <f t="shared" si="29"/>
        <v>30</v>
      </c>
      <c r="D244">
        <f>MATCH(A244,GCalXMLT[daydate],0)</f>
        <v>243</v>
      </c>
      <c r="E244">
        <f>VALUE("1" &amp; Masacod(INDEX(GCalXMLT[gymasa],D244)) &amp; PaksaCod(INDEX(GCalXMLT[mpaksaid],D244)) &amp; TithiCod(INDEX(GCalXMLT[stithiname],D244)))</f>
        <v>105007</v>
      </c>
      <c r="F244" t="str">
        <f ca="1">INDEX(Parameters!$K$2:$K$16,MATCH(AV244,Parameters!$L$2:$L$16,0))</f>
        <v/>
      </c>
      <c r="G244">
        <f>INDEX(GCalXMLT[fastmark],$D244)</f>
        <v>0</v>
      </c>
      <c r="H244" t="str">
        <f ca="1">INDEX(Parameters!$J$2:$J$16,MATCH(AV244,Parameters!$L$2:$L$16,0))</f>
        <v/>
      </c>
      <c r="I244">
        <f>INDEX(GCalXMLT[dfestival1],$D244)</f>
        <v>0</v>
      </c>
      <c r="J244">
        <f>IF(INDEX(GCalXMLT[dfestival2],$D244)="(Fast today)",INDEX(Festivals!$R$2:$R$180,MATCH($I244,Festivals!$R$2:$R$180,0)+1),INDEX(GCalXMLT[dfestival2],$D244))</f>
        <v>0</v>
      </c>
      <c r="K244">
        <f>IF(I244="Nandotsava","(Fast till noon)",INDEX(GCalXMLT[dfestival3],$D244))</f>
        <v>0</v>
      </c>
      <c r="L244">
        <f>IF(I244="Nandotsava", INDEX(GCalXMLT[dfestival3],$D244),INDEX(GCalXMLT[dfestival4],$D244))</f>
        <v>0</v>
      </c>
      <c r="M244" t="str">
        <f>IFERROR(INDEX(Festivals!$S$2:$S$160,AP244),"")</f>
        <v/>
      </c>
      <c r="N244" t="str">
        <f>IFERROR(IF($AQ244&gt;1,INDEX(Festivals!$S$2:$S$160,$AP244+1),""),"")</f>
        <v/>
      </c>
      <c r="O244" t="str">
        <f>IFERROR(IF($AQ244&gt;2,INDEX(Festivals!$S$2:$S$160,$AP244+2),""),"")</f>
        <v/>
      </c>
      <c r="P244" t="str">
        <f>IFERROR(IF($AQ244&gt;3,INDEX(Festivals!$S$2:$S$160,$AP244+3),""),"")</f>
        <v/>
      </c>
      <c r="Q244" t="str">
        <f>IFERROR(IF($AQ244&gt;4,INDEX(Festivals!$S$2:$S$160,$AP244+4),""),"")</f>
        <v/>
      </c>
      <c r="R244" t="str">
        <f>IFERROR(IF($AQ244&gt;5,INDEX(Festivals!$S$2:$S$160,$AP244+5),""),"")</f>
        <v/>
      </c>
      <c r="S244" t="str">
        <f>IFERROR(IF($AQ244&gt;6,INDEX(Festivals!$S$2:$S$160,$AP244+6),""),"")</f>
        <v/>
      </c>
      <c r="T244">
        <f>INDEX(GCalXMLT[dcaturmasya1],$D244)</f>
        <v>0</v>
      </c>
      <c r="U244">
        <f>INDEX(GCalXMLT[dcaturmasya2],$D244)</f>
        <v>0</v>
      </c>
      <c r="V244" t="str">
        <f>INDEX(GCalXMLT[sankrantirasi],$D244) &amp; " " &amp; INDEX(GCalXMLT[sankrantitime],$D244)</f>
        <v xml:space="preserve"> </v>
      </c>
      <c r="W244" t="str">
        <f ca="1">IFERROR(INDEX('Holidays Calc'!$K$2:$K$233,AR244),"")</f>
        <v/>
      </c>
      <c r="X244" t="str">
        <f ca="1">IF(AR244="","",IF(INDEX('Holidays Calc'!$I$2:$I$233,AR244+1)=A244,INDEX('Holidays Calc'!$K$2:$K$233,AR244+1),""))</f>
        <v/>
      </c>
      <c r="Y244" t="str">
        <f ca="1">IF(AR244="","",IF(INDEX('Holidays Calc'!$I$2:$I$233,AR244+2)=A244,INDEX('Holidays Calc'!$K$2:$K$233,AR244+2),""))</f>
        <v/>
      </c>
      <c r="Z244" t="str">
        <f ca="1">IF(AR244="","",IF(INDEX('Holidays Calc'!$I$2:$I$233,AR244+3)=A244,INDEX('Holidays Calc'!$K$2:$K$2333,AR244+3),""))</f>
        <v/>
      </c>
      <c r="AA244" t="str">
        <f>IF(I244="Last day of Bhisma Pancaka","",IF(G244="*",-0.7,IF(ISBLANK(INDEX(GCalXMLT[dclass1],$D244)),"",INDEX(GCalXMLT[dclass1],$D244))))</f>
        <v/>
      </c>
      <c r="AB244" t="str">
        <f>IF(J244="First day of Bhisma Pancaka","",IF(AND(G244="*",NOT(ISERROR(SEARCH("ekadasi",J244)))),-0.7,IF(ISBLANK(INDEX(GCalXMLT[dclass2],$D244)),"",INDEX(GCalXMLT[dclass2],$D244))))</f>
        <v/>
      </c>
      <c r="AC244" t="str">
        <f>IF(I244="Nandotsava",-1,IF(ISBLANK(INDEX(GCalXMLT[dclass3],$D244)),"",INDEX(GCalXMLT[dclass3],$D244)))</f>
        <v/>
      </c>
      <c r="AD244" t="str">
        <f>IF(I244="Nandotsava",IF(ISBLANK(INDEX(GCalXMLT[dclass3],$D244)),"",INDEX(GCalXMLT[dclass3],$D244)),IF(ISBLANK(INDEX(GCalXMLT[dclass4],$D244)),"",INDEX(GCalXMLT[dclass4],$D244)))</f>
        <v/>
      </c>
      <c r="AE244" t="str">
        <f>IFERROR(INDEX(Festivals!$V$2:$V$160,AP244),"")</f>
        <v/>
      </c>
      <c r="AF244" t="str">
        <f>IFERROR(IF($AQ244&gt;1,INDEX(Festivals!$V$2:$V$160,$AP244+1),""),"")</f>
        <v/>
      </c>
      <c r="AG244" t="str">
        <f>IFERROR(IF($AQ244&gt;2,INDEX(Festivals!$V$2:$V$160,$AP244+2),""),"")</f>
        <v/>
      </c>
      <c r="AH244" t="str">
        <f>IFERROR(IF($AQ244&gt;3,INDEX(Festivals!$V$2:$V$160,$AP244+3),""),"")</f>
        <v/>
      </c>
      <c r="AI244" t="str">
        <f>IFERROR(IF($AQ244&gt;4,INDEX(Festivals!$V$2:$V$160,$AP244+4),""),"")</f>
        <v/>
      </c>
      <c r="AJ244" t="str">
        <f>IFERROR(IF($AQ244&gt;5,INDEX(Festivals!$V$2:$V$160,$AP244+5),""),"")</f>
        <v/>
      </c>
      <c r="AK244" t="str">
        <f>IFERROR(IF($AQ244&gt;6,INDEX(Festivals!$V$2:$V$160,$AP244+6),""),"")</f>
        <v/>
      </c>
      <c r="AL244" t="str">
        <f ca="1">IFERROR(INDEX('Holidays Calc'!$J$2:$J$233,MATCH(A244,'Holidays Calc'!$I$2:$I$233,0)),"")</f>
        <v/>
      </c>
      <c r="AM244" t="str">
        <f ca="1">IF(AR244="","",IF(INDEX('Holidays Calc'!$I$2:$I$233,AR244+1)=A244,INDEX('Holidays Calc'!$J$2:$J$233,AR244+1),""))</f>
        <v/>
      </c>
      <c r="AN244" t="str">
        <f ca="1">IF(AR244="","",IF(INDEX('Holidays Calc'!$I$2:$I$233,AR244+2)=A244,INDEX('Holidays Calc'!$J$2:$J$233,AR244+2),""))</f>
        <v/>
      </c>
      <c r="AO244" t="str">
        <f ca="1">IF(AR244="","",IF(INDEX('Holidays Calc'!$I$2:$I$233,AR244+3)=A244,INDEX('Holidays Calc'!$J$2:$J$233,AR244+3),""))</f>
        <v/>
      </c>
      <c r="AP244" t="str">
        <f>IFERROR(IF($E244=E243,"",MATCH($E244,Festivals!$H$2:$H$160,0)),"")</f>
        <v/>
      </c>
      <c r="AQ244" t="str">
        <f>IF(AP244="","",COUNTIF(Festivals!$H$2:$H$160,$E244))</f>
        <v/>
      </c>
      <c r="AR244" t="str">
        <f ca="1">IFERROR(MATCH(A244,'Holidays Calc'!$I$2:$I$233,0),"")</f>
        <v/>
      </c>
      <c r="AS244" t="str">
        <f t="shared" si="25"/>
        <v/>
      </c>
      <c r="AT244" t="str">
        <f t="shared" si="24"/>
        <v/>
      </c>
      <c r="AU244" t="str">
        <f t="shared" ca="1" si="26"/>
        <v/>
      </c>
      <c r="AV244" t="str">
        <f t="shared" ca="1" si="27"/>
        <v/>
      </c>
    </row>
    <row r="245" spans="1:48" x14ac:dyDescent="0.25">
      <c r="A245" s="265">
        <f t="shared" si="23"/>
        <v>43671</v>
      </c>
      <c r="B245" s="265" t="str">
        <f t="shared" si="28"/>
        <v>25 Jul 2019</v>
      </c>
      <c r="C245" s="267">
        <f t="shared" si="29"/>
        <v>30</v>
      </c>
      <c r="D245">
        <f>MATCH(A245,GCalXMLT[daydate],0)</f>
        <v>244</v>
      </c>
      <c r="E245">
        <f>VALUE("1" &amp; Masacod(INDEX(GCalXMLT[gymasa],D245)) &amp; PaksaCod(INDEX(GCalXMLT[mpaksaid],D245)) &amp; TithiCod(INDEX(GCalXMLT[stithiname],D245)))</f>
        <v>105008</v>
      </c>
      <c r="F245" t="str">
        <f ca="1">INDEX(Parameters!$K$2:$K$16,MATCH(AV245,Parameters!$L$2:$L$16,0))</f>
        <v>C</v>
      </c>
      <c r="G245">
        <f>INDEX(GCalXMLT[fastmark],$D245)</f>
        <v>0</v>
      </c>
      <c r="H245" t="str">
        <f ca="1">INDEX(Parameters!$J$2:$J$16,MATCH(AV245,Parameters!$L$2:$L$16,0))</f>
        <v/>
      </c>
      <c r="I245">
        <f>INDEX(GCalXMLT[dfestival1],$D245)</f>
        <v>0</v>
      </c>
      <c r="J245">
        <f>IF(INDEX(GCalXMLT[dfestival2],$D245)="(Fast today)",INDEX(Festivals!$R$2:$R$180,MATCH($I245,Festivals!$R$2:$R$180,0)+1),INDEX(GCalXMLT[dfestival2],$D245))</f>
        <v>0</v>
      </c>
      <c r="K245">
        <f>IF(I245="Nandotsava","(Fast till noon)",INDEX(GCalXMLT[dfestival3],$D245))</f>
        <v>0</v>
      </c>
      <c r="L245">
        <f>IF(I245="Nandotsava", INDEX(GCalXMLT[dfestival3],$D245),INDEX(GCalXMLT[dfestival4],$D245))</f>
        <v>0</v>
      </c>
      <c r="M245" t="str">
        <f>IFERROR(INDEX(Festivals!$S$2:$S$160,AP245),"")</f>
        <v>Srila Lokanatha Gosvami - Disappearance</v>
      </c>
      <c r="N245" t="str">
        <f>IFERROR(IF($AQ245&gt;1,INDEX(Festivals!$S$2:$S$160,$AP245+1),""),"")</f>
        <v/>
      </c>
      <c r="O245" t="str">
        <f>IFERROR(IF($AQ245&gt;2,INDEX(Festivals!$S$2:$S$160,$AP245+2),""),"")</f>
        <v/>
      </c>
      <c r="P245" t="str">
        <f>IFERROR(IF($AQ245&gt;3,INDEX(Festivals!$S$2:$S$160,$AP245+3),""),"")</f>
        <v/>
      </c>
      <c r="Q245" t="str">
        <f>IFERROR(IF($AQ245&gt;4,INDEX(Festivals!$S$2:$S$160,$AP245+4),""),"")</f>
        <v/>
      </c>
      <c r="R245" t="str">
        <f>IFERROR(IF($AQ245&gt;5,INDEX(Festivals!$S$2:$S$160,$AP245+5),""),"")</f>
        <v/>
      </c>
      <c r="S245" t="str">
        <f>IFERROR(IF($AQ245&gt;6,INDEX(Festivals!$S$2:$S$160,$AP245+6),""),"")</f>
        <v/>
      </c>
      <c r="T245">
        <f>INDEX(GCalXMLT[dcaturmasya1],$D245)</f>
        <v>0</v>
      </c>
      <c r="U245">
        <f>INDEX(GCalXMLT[dcaturmasya2],$D245)</f>
        <v>0</v>
      </c>
      <c r="V245" t="str">
        <f>INDEX(GCalXMLT[sankrantirasi],$D245) &amp; " " &amp; INDEX(GCalXMLT[sankrantitime],$D245)</f>
        <v xml:space="preserve"> </v>
      </c>
      <c r="W245" t="str">
        <f ca="1">IFERROR(INDEX('Holidays Calc'!$K$2:$K$233,AR245),"")</f>
        <v/>
      </c>
      <c r="X245" t="str">
        <f ca="1">IF(AR245="","",IF(INDEX('Holidays Calc'!$I$2:$I$233,AR245+1)=A245,INDEX('Holidays Calc'!$K$2:$K$233,AR245+1),""))</f>
        <v/>
      </c>
      <c r="Y245" t="str">
        <f ca="1">IF(AR245="","",IF(INDEX('Holidays Calc'!$I$2:$I$233,AR245+2)=A245,INDEX('Holidays Calc'!$K$2:$K$233,AR245+2),""))</f>
        <v/>
      </c>
      <c r="Z245" t="str">
        <f ca="1">IF(AR245="","",IF(INDEX('Holidays Calc'!$I$2:$I$233,AR245+3)=A245,INDEX('Holidays Calc'!$K$2:$K$2333,AR245+3),""))</f>
        <v/>
      </c>
      <c r="AA245" t="str">
        <f>IF(I245="Last day of Bhisma Pancaka","",IF(G245="*",-0.7,IF(ISBLANK(INDEX(GCalXMLT[dclass1],$D245)),"",INDEX(GCalXMLT[dclass1],$D245))))</f>
        <v/>
      </c>
      <c r="AB245" t="str">
        <f>IF(J245="First day of Bhisma Pancaka","",IF(AND(G245="*",NOT(ISERROR(SEARCH("ekadasi",J245)))),-0.7,IF(ISBLANK(INDEX(GCalXMLT[dclass2],$D245)),"",INDEX(GCalXMLT[dclass2],$D245))))</f>
        <v/>
      </c>
      <c r="AC245" t="str">
        <f>IF(I245="Nandotsava",-1,IF(ISBLANK(INDEX(GCalXMLT[dclass3],$D245)),"",INDEX(GCalXMLT[dclass3],$D245)))</f>
        <v/>
      </c>
      <c r="AD245" t="str">
        <f>IF(I245="Nandotsava",IF(ISBLANK(INDEX(GCalXMLT[dclass3],$D245)),"",INDEX(GCalXMLT[dclass3],$D245)),IF(ISBLANK(INDEX(GCalXMLT[dclass4],$D245)),"",INDEX(GCalXMLT[dclass4],$D245)))</f>
        <v/>
      </c>
      <c r="AE245">
        <f>IFERROR(INDEX(Festivals!$V$2:$V$160,AP245),"")</f>
        <v>3</v>
      </c>
      <c r="AF245" t="str">
        <f>IFERROR(IF($AQ245&gt;1,INDEX(Festivals!$V$2:$V$160,$AP245+1),""),"")</f>
        <v/>
      </c>
      <c r="AG245" t="str">
        <f>IFERROR(IF($AQ245&gt;2,INDEX(Festivals!$V$2:$V$160,$AP245+2),""),"")</f>
        <v/>
      </c>
      <c r="AH245" t="str">
        <f>IFERROR(IF($AQ245&gt;3,INDEX(Festivals!$V$2:$V$160,$AP245+3),""),"")</f>
        <v/>
      </c>
      <c r="AI245" t="str">
        <f>IFERROR(IF($AQ245&gt;4,INDEX(Festivals!$V$2:$V$160,$AP245+4),""),"")</f>
        <v/>
      </c>
      <c r="AJ245" t="str">
        <f>IFERROR(IF($AQ245&gt;5,INDEX(Festivals!$V$2:$V$160,$AP245+5),""),"")</f>
        <v/>
      </c>
      <c r="AK245" t="str">
        <f>IFERROR(IF($AQ245&gt;6,INDEX(Festivals!$V$2:$V$160,$AP245+6),""),"")</f>
        <v/>
      </c>
      <c r="AL245" t="str">
        <f ca="1">IFERROR(INDEX('Holidays Calc'!$J$2:$J$233,MATCH(A245,'Holidays Calc'!$I$2:$I$233,0)),"")</f>
        <v/>
      </c>
      <c r="AM245" t="str">
        <f ca="1">IF(AR245="","",IF(INDEX('Holidays Calc'!$I$2:$I$233,AR245+1)=A245,INDEX('Holidays Calc'!$J$2:$J$233,AR245+1),""))</f>
        <v/>
      </c>
      <c r="AN245" t="str">
        <f ca="1">IF(AR245="","",IF(INDEX('Holidays Calc'!$I$2:$I$233,AR245+2)=A245,INDEX('Holidays Calc'!$J$2:$J$233,AR245+2),""))</f>
        <v/>
      </c>
      <c r="AO245" t="str">
        <f ca="1">IF(AR245="","",IF(INDEX('Holidays Calc'!$I$2:$I$233,AR245+3)=A245,INDEX('Holidays Calc'!$J$2:$J$233,AR245+3),""))</f>
        <v/>
      </c>
      <c r="AP245">
        <f>IFERROR(IF($E245=E244,"",MATCH($E245,Festivals!$H$2:$H$160,0)),"")</f>
        <v>47</v>
      </c>
      <c r="AQ245">
        <f>IF(AP245="","",COUNTIF(Festivals!$H$2:$H$160,$E245))</f>
        <v>1</v>
      </c>
      <c r="AR245" t="str">
        <f ca="1">IFERROR(MATCH(A245,'Holidays Calc'!$I$2:$I$233,0),"")</f>
        <v/>
      </c>
      <c r="AS245">
        <f t="shared" si="25"/>
        <v>3</v>
      </c>
      <c r="AT245">
        <f t="shared" si="24"/>
        <v>3</v>
      </c>
      <c r="AU245" t="str">
        <f t="shared" ca="1" si="26"/>
        <v/>
      </c>
      <c r="AV245">
        <f t="shared" ca="1" si="27"/>
        <v>3</v>
      </c>
    </row>
    <row r="246" spans="1:48" x14ac:dyDescent="0.25">
      <c r="A246" s="265">
        <f t="shared" si="23"/>
        <v>43672</v>
      </c>
      <c r="B246" s="265" t="str">
        <f t="shared" si="28"/>
        <v>26 Jul 2019</v>
      </c>
      <c r="C246" s="267">
        <f t="shared" si="29"/>
        <v>30</v>
      </c>
      <c r="D246">
        <f>MATCH(A246,GCalXMLT[daydate],0)</f>
        <v>245</v>
      </c>
      <c r="E246">
        <f>VALUE("1" &amp; Masacod(INDEX(GCalXMLT[gymasa],D246)) &amp; PaksaCod(INDEX(GCalXMLT[mpaksaid],D246)) &amp; TithiCod(INDEX(GCalXMLT[stithiname],D246)))</f>
        <v>105009</v>
      </c>
      <c r="F246" t="str">
        <f ca="1">INDEX(Parameters!$K$2:$K$16,MATCH(AV246,Parameters!$L$2:$L$16,0))</f>
        <v>C</v>
      </c>
      <c r="G246">
        <f>INDEX(GCalXMLT[fastmark],$D246)</f>
        <v>0</v>
      </c>
      <c r="H246" t="str">
        <f ca="1">INDEX(Parameters!$J$2:$J$16,MATCH(AV246,Parameters!$L$2:$L$16,0))</f>
        <v/>
      </c>
      <c r="I246">
        <f>INDEX(GCalXMLT[dfestival1],$D246)</f>
        <v>0</v>
      </c>
      <c r="J246">
        <f>IF(INDEX(GCalXMLT[dfestival2],$D246)="(Fast today)",INDEX(Festivals!$R$2:$R$180,MATCH($I246,Festivals!$R$2:$R$180,0)+1),INDEX(GCalXMLT[dfestival2],$D246))</f>
        <v>0</v>
      </c>
      <c r="K246">
        <f>IF(I246="Nandotsava","(Fast till noon)",INDEX(GCalXMLT[dfestival3],$D246))</f>
        <v>0</v>
      </c>
      <c r="L246">
        <f>IF(I246="Nandotsava", INDEX(GCalXMLT[dfestival3],$D246),INDEX(GCalXMLT[dfestival4],$D246))</f>
        <v>0</v>
      </c>
      <c r="M246" t="str">
        <f>IFERROR(INDEX(Festivals!$S$2:$S$160,AP246),"")</f>
        <v>The incorporation of ISKCON in New York</v>
      </c>
      <c r="N246" t="str">
        <f>IFERROR(IF($AQ246&gt;1,INDEX(Festivals!$S$2:$S$160,$AP246+1),""),"")</f>
        <v/>
      </c>
      <c r="O246" t="str">
        <f>IFERROR(IF($AQ246&gt;2,INDEX(Festivals!$S$2:$S$160,$AP246+2),""),"")</f>
        <v/>
      </c>
      <c r="P246" t="str">
        <f>IFERROR(IF($AQ246&gt;3,INDEX(Festivals!$S$2:$S$160,$AP246+3),""),"")</f>
        <v/>
      </c>
      <c r="Q246" t="str">
        <f>IFERROR(IF($AQ246&gt;4,INDEX(Festivals!$S$2:$S$160,$AP246+4),""),"")</f>
        <v/>
      </c>
      <c r="R246" t="str">
        <f>IFERROR(IF($AQ246&gt;5,INDEX(Festivals!$S$2:$S$160,$AP246+5),""),"")</f>
        <v/>
      </c>
      <c r="S246" t="str">
        <f>IFERROR(IF($AQ246&gt;6,INDEX(Festivals!$S$2:$S$160,$AP246+6),""),"")</f>
        <v/>
      </c>
      <c r="T246">
        <f>INDEX(GCalXMLT[dcaturmasya1],$D246)</f>
        <v>0</v>
      </c>
      <c r="U246">
        <f>INDEX(GCalXMLT[dcaturmasya2],$D246)</f>
        <v>0</v>
      </c>
      <c r="V246" t="str">
        <f>INDEX(GCalXMLT[sankrantirasi],$D246) &amp; " " &amp; INDEX(GCalXMLT[sankrantitime],$D246)</f>
        <v xml:space="preserve"> </v>
      </c>
      <c r="W246" t="str">
        <f ca="1">IFERROR(INDEX('Holidays Calc'!$K$2:$K$233,AR246),"")</f>
        <v>Dia da Vovó</v>
      </c>
      <c r="X246" t="str">
        <f ca="1">IF(AR246="","",IF(INDEX('Holidays Calc'!$I$2:$I$233,AR246+1)=A246,INDEX('Holidays Calc'!$K$2:$K$233,AR246+1),""))</f>
        <v/>
      </c>
      <c r="Y246" t="str">
        <f ca="1">IF(AR246="","",IF(INDEX('Holidays Calc'!$I$2:$I$233,AR246+2)=A246,INDEX('Holidays Calc'!$K$2:$K$233,AR246+2),""))</f>
        <v/>
      </c>
      <c r="Z246" t="str">
        <f ca="1">IF(AR246="","",IF(INDEX('Holidays Calc'!$I$2:$I$233,AR246+3)=A246,INDEX('Holidays Calc'!$K$2:$K$2333,AR246+3),""))</f>
        <v/>
      </c>
      <c r="AA246" t="str">
        <f>IF(I246="Last day of Bhisma Pancaka","",IF(G246="*",-0.7,IF(ISBLANK(INDEX(GCalXMLT[dclass1],$D246)),"",INDEX(GCalXMLT[dclass1],$D246))))</f>
        <v/>
      </c>
      <c r="AB246" t="str">
        <f>IF(J246="First day of Bhisma Pancaka","",IF(AND(G246="*",NOT(ISERROR(SEARCH("ekadasi",J246)))),-0.7,IF(ISBLANK(INDEX(GCalXMLT[dclass2],$D246)),"",INDEX(GCalXMLT[dclass2],$D246))))</f>
        <v/>
      </c>
      <c r="AC246" t="str">
        <f>IF(I246="Nandotsava",-1,IF(ISBLANK(INDEX(GCalXMLT[dclass3],$D246)),"",INDEX(GCalXMLT[dclass3],$D246)))</f>
        <v/>
      </c>
      <c r="AD246" t="str">
        <f>IF(I246="Nandotsava",IF(ISBLANK(INDEX(GCalXMLT[dclass3],$D246)),"",INDEX(GCalXMLT[dclass3],$D246)),IF(ISBLANK(INDEX(GCalXMLT[dclass4],$D246)),"",INDEX(GCalXMLT[dclass4],$D246)))</f>
        <v/>
      </c>
      <c r="AE246">
        <f>IFERROR(INDEX(Festivals!$V$2:$V$160,AP246),"")</f>
        <v>4</v>
      </c>
      <c r="AF246" t="str">
        <f>IFERROR(IF($AQ246&gt;1,INDEX(Festivals!$V$2:$V$160,$AP246+1),""),"")</f>
        <v/>
      </c>
      <c r="AG246" t="str">
        <f>IFERROR(IF($AQ246&gt;2,INDEX(Festivals!$V$2:$V$160,$AP246+2),""),"")</f>
        <v/>
      </c>
      <c r="AH246" t="str">
        <f>IFERROR(IF($AQ246&gt;3,INDEX(Festivals!$V$2:$V$160,$AP246+3),""),"")</f>
        <v/>
      </c>
      <c r="AI246" t="str">
        <f>IFERROR(IF($AQ246&gt;4,INDEX(Festivals!$V$2:$V$160,$AP246+4),""),"")</f>
        <v/>
      </c>
      <c r="AJ246" t="str">
        <f>IFERROR(IF($AQ246&gt;5,INDEX(Festivals!$V$2:$V$160,$AP246+5),""),"")</f>
        <v/>
      </c>
      <c r="AK246" t="str">
        <f>IFERROR(IF($AQ246&gt;6,INDEX(Festivals!$V$2:$V$160,$AP246+6),""),"")</f>
        <v/>
      </c>
      <c r="AL246">
        <f ca="1">IFERROR(INDEX('Holidays Calc'!$J$2:$J$233,MATCH(A246,'Holidays Calc'!$I$2:$I$233,0)),"")</f>
        <v>0.5</v>
      </c>
      <c r="AM246" t="str">
        <f ca="1">IF(AR246="","",IF(INDEX('Holidays Calc'!$I$2:$I$233,AR246+1)=A246,INDEX('Holidays Calc'!$J$2:$J$233,AR246+1),""))</f>
        <v/>
      </c>
      <c r="AN246" t="str">
        <f ca="1">IF(AR246="","",IF(INDEX('Holidays Calc'!$I$2:$I$233,AR246+2)=A246,INDEX('Holidays Calc'!$J$2:$J$233,AR246+2),""))</f>
        <v/>
      </c>
      <c r="AO246" t="str">
        <f ca="1">IF(AR246="","",IF(INDEX('Holidays Calc'!$I$2:$I$233,AR246+3)=A246,INDEX('Holidays Calc'!$J$2:$J$233,AR246+3),""))</f>
        <v/>
      </c>
      <c r="AP246">
        <f>IFERROR(IF($E246=E245,"",MATCH($E246,Festivals!$H$2:$H$160,0)),"")</f>
        <v>48</v>
      </c>
      <c r="AQ246">
        <f>IF(AP246="","",COUNTIF(Festivals!$H$2:$H$160,$E246))</f>
        <v>1</v>
      </c>
      <c r="AR246">
        <f ca="1">IFERROR(MATCH(A246,'Holidays Calc'!$I$2:$I$233,0),"")</f>
        <v>56</v>
      </c>
      <c r="AS246">
        <f t="shared" si="25"/>
        <v>4</v>
      </c>
      <c r="AT246">
        <f t="shared" si="24"/>
        <v>4</v>
      </c>
      <c r="AU246">
        <f t="shared" ca="1" si="26"/>
        <v>0.5</v>
      </c>
      <c r="AV246">
        <f t="shared" ca="1" si="27"/>
        <v>0.5</v>
      </c>
    </row>
    <row r="247" spans="1:48" x14ac:dyDescent="0.25">
      <c r="A247" s="265">
        <f t="shared" si="23"/>
        <v>43673</v>
      </c>
      <c r="B247" s="265" t="str">
        <f t="shared" si="28"/>
        <v>27 Jul 2019</v>
      </c>
      <c r="C247" s="267">
        <f t="shared" si="29"/>
        <v>30</v>
      </c>
      <c r="D247">
        <f>MATCH(A247,GCalXMLT[daydate],0)</f>
        <v>246</v>
      </c>
      <c r="E247">
        <f>VALUE("1" &amp; Masacod(INDEX(GCalXMLT[gymasa],D247)) &amp; PaksaCod(INDEX(GCalXMLT[mpaksaid],D247)) &amp; TithiCod(INDEX(GCalXMLT[stithiname],D247)))</f>
        <v>105010</v>
      </c>
      <c r="F247" t="str">
        <f ca="1">INDEX(Parameters!$K$2:$K$16,MATCH(AV247,Parameters!$L$2:$L$16,0))</f>
        <v/>
      </c>
      <c r="G247">
        <f>INDEX(GCalXMLT[fastmark],$D247)</f>
        <v>0</v>
      </c>
      <c r="H247" t="str">
        <f ca="1">INDEX(Parameters!$J$2:$J$16,MATCH(AV247,Parameters!$L$2:$L$16,0))</f>
        <v/>
      </c>
      <c r="I247">
        <f>INDEX(GCalXMLT[dfestival1],$D247)</f>
        <v>0</v>
      </c>
      <c r="J247">
        <f>IF(INDEX(GCalXMLT[dfestival2],$D247)="(Fast today)",INDEX(Festivals!$R$2:$R$180,MATCH($I247,Festivals!$R$2:$R$180,0)+1),INDEX(GCalXMLT[dfestival2],$D247))</f>
        <v>0</v>
      </c>
      <c r="K247">
        <f>IF(I247="Nandotsava","(Fast till noon)",INDEX(GCalXMLT[dfestival3],$D247))</f>
        <v>0</v>
      </c>
      <c r="L247">
        <f>IF(I247="Nandotsava", INDEX(GCalXMLT[dfestival3],$D247),INDEX(GCalXMLT[dfestival4],$D247))</f>
        <v>0</v>
      </c>
      <c r="M247" t="str">
        <f>IFERROR(INDEX(Festivals!$S$2:$S$160,AP247),"")</f>
        <v/>
      </c>
      <c r="N247" t="str">
        <f>IFERROR(IF($AQ247&gt;1,INDEX(Festivals!$S$2:$S$160,$AP247+1),""),"")</f>
        <v/>
      </c>
      <c r="O247" t="str">
        <f>IFERROR(IF($AQ247&gt;2,INDEX(Festivals!$S$2:$S$160,$AP247+2),""),"")</f>
        <v/>
      </c>
      <c r="P247" t="str">
        <f>IFERROR(IF($AQ247&gt;3,INDEX(Festivals!$S$2:$S$160,$AP247+3),""),"")</f>
        <v/>
      </c>
      <c r="Q247" t="str">
        <f>IFERROR(IF($AQ247&gt;4,INDEX(Festivals!$S$2:$S$160,$AP247+4),""),"")</f>
        <v/>
      </c>
      <c r="R247" t="str">
        <f>IFERROR(IF($AQ247&gt;5,INDEX(Festivals!$S$2:$S$160,$AP247+5),""),"")</f>
        <v/>
      </c>
      <c r="S247" t="str">
        <f>IFERROR(IF($AQ247&gt;6,INDEX(Festivals!$S$2:$S$160,$AP247+6),""),"")</f>
        <v/>
      </c>
      <c r="T247">
        <f>INDEX(GCalXMLT[dcaturmasya1],$D247)</f>
        <v>0</v>
      </c>
      <c r="U247">
        <f>INDEX(GCalXMLT[dcaturmasya2],$D247)</f>
        <v>0</v>
      </c>
      <c r="V247" t="str">
        <f>INDEX(GCalXMLT[sankrantirasi],$D247) &amp; " " &amp; INDEX(GCalXMLT[sankrantitime],$D247)</f>
        <v xml:space="preserve"> </v>
      </c>
      <c r="W247" t="str">
        <f ca="1">IFERROR(INDEX('Holidays Calc'!$K$2:$K$233,AR247),"")</f>
        <v/>
      </c>
      <c r="X247" t="str">
        <f ca="1">IF(AR247="","",IF(INDEX('Holidays Calc'!$I$2:$I$233,AR247+1)=A247,INDEX('Holidays Calc'!$K$2:$K$233,AR247+1),""))</f>
        <v/>
      </c>
      <c r="Y247" t="str">
        <f ca="1">IF(AR247="","",IF(INDEX('Holidays Calc'!$I$2:$I$233,AR247+2)=A247,INDEX('Holidays Calc'!$K$2:$K$233,AR247+2),""))</f>
        <v/>
      </c>
      <c r="Z247" t="str">
        <f ca="1">IF(AR247="","",IF(INDEX('Holidays Calc'!$I$2:$I$233,AR247+3)=A247,INDEX('Holidays Calc'!$K$2:$K$2333,AR247+3),""))</f>
        <v/>
      </c>
      <c r="AA247" t="str">
        <f>IF(I247="Last day of Bhisma Pancaka","",IF(G247="*",-0.7,IF(ISBLANK(INDEX(GCalXMLT[dclass1],$D247)),"",INDEX(GCalXMLT[dclass1],$D247))))</f>
        <v/>
      </c>
      <c r="AB247" t="str">
        <f>IF(J247="First day of Bhisma Pancaka","",IF(AND(G247="*",NOT(ISERROR(SEARCH("ekadasi",J247)))),-0.7,IF(ISBLANK(INDEX(GCalXMLT[dclass2],$D247)),"",INDEX(GCalXMLT[dclass2],$D247))))</f>
        <v/>
      </c>
      <c r="AC247" t="str">
        <f>IF(I247="Nandotsava",-1,IF(ISBLANK(INDEX(GCalXMLT[dclass3],$D247)),"",INDEX(GCalXMLT[dclass3],$D247)))</f>
        <v/>
      </c>
      <c r="AD247" t="str">
        <f>IF(I247="Nandotsava",IF(ISBLANK(INDEX(GCalXMLT[dclass3],$D247)),"",INDEX(GCalXMLT[dclass3],$D247)),IF(ISBLANK(INDEX(GCalXMLT[dclass4],$D247)),"",INDEX(GCalXMLT[dclass4],$D247)))</f>
        <v/>
      </c>
      <c r="AE247" t="str">
        <f>IFERROR(INDEX(Festivals!$V$2:$V$160,AP247),"")</f>
        <v/>
      </c>
      <c r="AF247" t="str">
        <f>IFERROR(IF($AQ247&gt;1,INDEX(Festivals!$V$2:$V$160,$AP247+1),""),"")</f>
        <v/>
      </c>
      <c r="AG247" t="str">
        <f>IFERROR(IF($AQ247&gt;2,INDEX(Festivals!$V$2:$V$160,$AP247+2),""),"")</f>
        <v/>
      </c>
      <c r="AH247" t="str">
        <f>IFERROR(IF($AQ247&gt;3,INDEX(Festivals!$V$2:$V$160,$AP247+3),""),"")</f>
        <v/>
      </c>
      <c r="AI247" t="str">
        <f>IFERROR(IF($AQ247&gt;4,INDEX(Festivals!$V$2:$V$160,$AP247+4),""),"")</f>
        <v/>
      </c>
      <c r="AJ247" t="str">
        <f>IFERROR(IF($AQ247&gt;5,INDEX(Festivals!$V$2:$V$160,$AP247+5),""),"")</f>
        <v/>
      </c>
      <c r="AK247" t="str">
        <f>IFERROR(IF($AQ247&gt;6,INDEX(Festivals!$V$2:$V$160,$AP247+6),""),"")</f>
        <v/>
      </c>
      <c r="AL247" t="str">
        <f ca="1">IFERROR(INDEX('Holidays Calc'!$J$2:$J$233,MATCH(A247,'Holidays Calc'!$I$2:$I$233,0)),"")</f>
        <v/>
      </c>
      <c r="AM247" t="str">
        <f ca="1">IF(AR247="","",IF(INDEX('Holidays Calc'!$I$2:$I$233,AR247+1)=A247,INDEX('Holidays Calc'!$J$2:$J$233,AR247+1),""))</f>
        <v/>
      </c>
      <c r="AN247" t="str">
        <f ca="1">IF(AR247="","",IF(INDEX('Holidays Calc'!$I$2:$I$233,AR247+2)=A247,INDEX('Holidays Calc'!$J$2:$J$233,AR247+2),""))</f>
        <v/>
      </c>
      <c r="AO247" t="str">
        <f ca="1">IF(AR247="","",IF(INDEX('Holidays Calc'!$I$2:$I$233,AR247+3)=A247,INDEX('Holidays Calc'!$J$2:$J$233,AR247+3),""))</f>
        <v/>
      </c>
      <c r="AP247" t="str">
        <f>IFERROR(IF($E247=E246,"",MATCH($E247,Festivals!$H$2:$H$160,0)),"")</f>
        <v/>
      </c>
      <c r="AQ247" t="str">
        <f>IF(AP247="","",COUNTIF(Festivals!$H$2:$H$160,$E247))</f>
        <v/>
      </c>
      <c r="AR247" t="str">
        <f ca="1">IFERROR(MATCH(A247,'Holidays Calc'!$I$2:$I$233,0),"")</f>
        <v/>
      </c>
      <c r="AS247" t="str">
        <f t="shared" si="25"/>
        <v/>
      </c>
      <c r="AT247" t="str">
        <f t="shared" si="24"/>
        <v/>
      </c>
      <c r="AU247" t="str">
        <f t="shared" ca="1" si="26"/>
        <v/>
      </c>
      <c r="AV247" t="str">
        <f t="shared" ca="1" si="27"/>
        <v/>
      </c>
    </row>
    <row r="248" spans="1:48" x14ac:dyDescent="0.25">
      <c r="A248" s="265">
        <f t="shared" si="23"/>
        <v>43674</v>
      </c>
      <c r="B248" s="265" t="str">
        <f t="shared" si="28"/>
        <v>28 Jul 2019</v>
      </c>
      <c r="C248" s="267">
        <f t="shared" si="29"/>
        <v>30</v>
      </c>
      <c r="D248">
        <f>MATCH(A248,GCalXMLT[daydate],0)</f>
        <v>247</v>
      </c>
      <c r="E248">
        <f>VALUE("1" &amp; Masacod(INDEX(GCalXMLT[gymasa],D248)) &amp; PaksaCod(INDEX(GCalXMLT[mpaksaid],D248)) &amp; TithiCod(INDEX(GCalXMLT[stithiname],D248)))</f>
        <v>105011</v>
      </c>
      <c r="F248" t="str">
        <f ca="1">INDEX(Parameters!$K$2:$K$16,MATCH(AV248,Parameters!$L$2:$L$16,0))</f>
        <v>E</v>
      </c>
      <c r="G248" t="str">
        <f>INDEX(GCalXMLT[fastmark],$D248)</f>
        <v>*</v>
      </c>
      <c r="H248" t="str">
        <f ca="1">INDEX(Parameters!$J$2:$J$16,MATCH(AV248,Parameters!$L$2:$L$16,0))</f>
        <v>*</v>
      </c>
      <c r="I248" t="str">
        <f>INDEX(GCalXMLT[dfestival1],$D248)</f>
        <v>Fasting for Kamika Ekadasi</v>
      </c>
      <c r="J248">
        <f>IF(INDEX(GCalXMLT[dfestival2],$D248)="(Fast today)",INDEX(Festivals!$R$2:$R$180,MATCH($I248,Festivals!$R$2:$R$180,0)+1),INDEX(GCalXMLT[dfestival2],$D248))</f>
        <v>0</v>
      </c>
      <c r="K248">
        <f>IF(I248="Nandotsava","(Fast till noon)",INDEX(GCalXMLT[dfestival3],$D248))</f>
        <v>0</v>
      </c>
      <c r="L248">
        <f>IF(I248="Nandotsava", INDEX(GCalXMLT[dfestival3],$D248),INDEX(GCalXMLT[dfestival4],$D248))</f>
        <v>0</v>
      </c>
      <c r="M248" t="str">
        <f>IFERROR(INDEX(Festivals!$S$2:$S$160,AP248),"")</f>
        <v/>
      </c>
      <c r="N248" t="str">
        <f>IFERROR(IF($AQ248&gt;1,INDEX(Festivals!$S$2:$S$160,$AP248+1),""),"")</f>
        <v/>
      </c>
      <c r="O248" t="str">
        <f>IFERROR(IF($AQ248&gt;2,INDEX(Festivals!$S$2:$S$160,$AP248+2),""),"")</f>
        <v/>
      </c>
      <c r="P248" t="str">
        <f>IFERROR(IF($AQ248&gt;3,INDEX(Festivals!$S$2:$S$160,$AP248+3),""),"")</f>
        <v/>
      </c>
      <c r="Q248" t="str">
        <f>IFERROR(IF($AQ248&gt;4,INDEX(Festivals!$S$2:$S$160,$AP248+4),""),"")</f>
        <v/>
      </c>
      <c r="R248" t="str">
        <f>IFERROR(IF($AQ248&gt;5,INDEX(Festivals!$S$2:$S$160,$AP248+5),""),"")</f>
        <v/>
      </c>
      <c r="S248" t="str">
        <f>IFERROR(IF($AQ248&gt;6,INDEX(Festivals!$S$2:$S$160,$AP248+6),""),"")</f>
        <v/>
      </c>
      <c r="T248">
        <f>INDEX(GCalXMLT[dcaturmasya1],$D248)</f>
        <v>0</v>
      </c>
      <c r="U248">
        <f>INDEX(GCalXMLT[dcaturmasya2],$D248)</f>
        <v>0</v>
      </c>
      <c r="V248" t="str">
        <f>INDEX(GCalXMLT[sankrantirasi],$D248) &amp; " " &amp; INDEX(GCalXMLT[sankrantitime],$D248)</f>
        <v xml:space="preserve"> </v>
      </c>
      <c r="W248" t="str">
        <f ca="1">IFERROR(INDEX('Holidays Calc'!$K$2:$K$233,AR248),"")</f>
        <v/>
      </c>
      <c r="X248" t="str">
        <f ca="1">IF(AR248="","",IF(INDEX('Holidays Calc'!$I$2:$I$233,AR248+1)=A248,INDEX('Holidays Calc'!$K$2:$K$233,AR248+1),""))</f>
        <v/>
      </c>
      <c r="Y248" t="str">
        <f ca="1">IF(AR248="","",IF(INDEX('Holidays Calc'!$I$2:$I$233,AR248+2)=A248,INDEX('Holidays Calc'!$K$2:$K$233,AR248+2),""))</f>
        <v/>
      </c>
      <c r="Z248" t="str">
        <f ca="1">IF(AR248="","",IF(INDEX('Holidays Calc'!$I$2:$I$233,AR248+3)=A248,INDEX('Holidays Calc'!$K$2:$K$2333,AR248+3),""))</f>
        <v/>
      </c>
      <c r="AA248">
        <f>IF(I248="Last day of Bhisma Pancaka","",IF(G248="*",-0.7,IF(ISBLANK(INDEX(GCalXMLT[dclass1],$D248)),"",INDEX(GCalXMLT[dclass1],$D248))))</f>
        <v>-0.7</v>
      </c>
      <c r="AB248" t="str">
        <f>IF(J248="First day of Bhisma Pancaka","",IF(AND(G248="*",NOT(ISERROR(SEARCH("ekadasi",J248)))),-0.7,IF(ISBLANK(INDEX(GCalXMLT[dclass2],$D248)),"",INDEX(GCalXMLT[dclass2],$D248))))</f>
        <v/>
      </c>
      <c r="AC248" t="str">
        <f>IF(I248="Nandotsava",-1,IF(ISBLANK(INDEX(GCalXMLT[dclass3],$D248)),"",INDEX(GCalXMLT[dclass3],$D248)))</f>
        <v/>
      </c>
      <c r="AD248" t="str">
        <f>IF(I248="Nandotsava",IF(ISBLANK(INDEX(GCalXMLT[dclass3],$D248)),"",INDEX(GCalXMLT[dclass3],$D248)),IF(ISBLANK(INDEX(GCalXMLT[dclass4],$D248)),"",INDEX(GCalXMLT[dclass4],$D248)))</f>
        <v/>
      </c>
      <c r="AE248" t="str">
        <f>IFERROR(INDEX(Festivals!$V$2:$V$160,AP248),"")</f>
        <v/>
      </c>
      <c r="AF248" t="str">
        <f>IFERROR(IF($AQ248&gt;1,INDEX(Festivals!$V$2:$V$160,$AP248+1),""),"")</f>
        <v/>
      </c>
      <c r="AG248" t="str">
        <f>IFERROR(IF($AQ248&gt;2,INDEX(Festivals!$V$2:$V$160,$AP248+2),""),"")</f>
        <v/>
      </c>
      <c r="AH248" t="str">
        <f>IFERROR(IF($AQ248&gt;3,INDEX(Festivals!$V$2:$V$160,$AP248+3),""),"")</f>
        <v/>
      </c>
      <c r="AI248" t="str">
        <f>IFERROR(IF($AQ248&gt;4,INDEX(Festivals!$V$2:$V$160,$AP248+4),""),"")</f>
        <v/>
      </c>
      <c r="AJ248" t="str">
        <f>IFERROR(IF($AQ248&gt;5,INDEX(Festivals!$V$2:$V$160,$AP248+5),""),"")</f>
        <v/>
      </c>
      <c r="AK248" t="str">
        <f>IFERROR(IF($AQ248&gt;6,INDEX(Festivals!$V$2:$V$160,$AP248+6),""),"")</f>
        <v/>
      </c>
      <c r="AL248" t="str">
        <f ca="1">IFERROR(INDEX('Holidays Calc'!$J$2:$J$233,MATCH(A248,'Holidays Calc'!$I$2:$I$233,0)),"")</f>
        <v/>
      </c>
      <c r="AM248" t="str">
        <f ca="1">IF(AR248="","",IF(INDEX('Holidays Calc'!$I$2:$I$233,AR248+1)=A248,INDEX('Holidays Calc'!$J$2:$J$233,AR248+1),""))</f>
        <v/>
      </c>
      <c r="AN248" t="str">
        <f ca="1">IF(AR248="","",IF(INDEX('Holidays Calc'!$I$2:$I$233,AR248+2)=A248,INDEX('Holidays Calc'!$J$2:$J$233,AR248+2),""))</f>
        <v/>
      </c>
      <c r="AO248" t="str">
        <f ca="1">IF(AR248="","",IF(INDEX('Holidays Calc'!$I$2:$I$233,AR248+3)=A248,INDEX('Holidays Calc'!$J$2:$J$233,AR248+3),""))</f>
        <v/>
      </c>
      <c r="AP248" t="str">
        <f>IFERROR(IF($E248=E247,"",MATCH($E248,Festivals!$H$2:$H$160,0)),"")</f>
        <v/>
      </c>
      <c r="AQ248" t="str">
        <f>IF(AP248="","",COUNTIF(Festivals!$H$2:$H$160,$E248))</f>
        <v/>
      </c>
      <c r="AR248" t="str">
        <f ca="1">IFERROR(MATCH(A248,'Holidays Calc'!$I$2:$I$233,0),"")</f>
        <v/>
      </c>
      <c r="AS248">
        <f t="shared" si="25"/>
        <v>-0.7</v>
      </c>
      <c r="AT248">
        <f t="shared" si="24"/>
        <v>-0.7</v>
      </c>
      <c r="AU248" t="str">
        <f t="shared" ca="1" si="26"/>
        <v/>
      </c>
      <c r="AV248">
        <f t="shared" ca="1" si="27"/>
        <v>-0.7</v>
      </c>
    </row>
    <row r="249" spans="1:48" x14ac:dyDescent="0.25">
      <c r="A249" s="265">
        <f t="shared" si="23"/>
        <v>43675</v>
      </c>
      <c r="B249" s="265" t="str">
        <f t="shared" si="28"/>
        <v>29 Jul 2019</v>
      </c>
      <c r="C249" s="267">
        <f t="shared" si="29"/>
        <v>31</v>
      </c>
      <c r="D249">
        <f>MATCH(A249,GCalXMLT[daydate],0)</f>
        <v>248</v>
      </c>
      <c r="E249">
        <f>VALUE("1" &amp; Masacod(INDEX(GCalXMLT[gymasa],D249)) &amp; PaksaCod(INDEX(GCalXMLT[mpaksaid],D249)) &amp; TithiCod(INDEX(GCalXMLT[stithiname],D249)))</f>
        <v>105012</v>
      </c>
      <c r="F249" t="str">
        <f ca="1">INDEX(Parameters!$K$2:$K$16,MATCH(AV249,Parameters!$L$2:$L$16,0))</f>
        <v/>
      </c>
      <c r="G249">
        <f>INDEX(GCalXMLT[fastmark],$D249)</f>
        <v>0</v>
      </c>
      <c r="H249" t="str">
        <f ca="1">INDEX(Parameters!$J$2:$J$16,MATCH(AV249,Parameters!$L$2:$L$16,0))</f>
        <v/>
      </c>
      <c r="I249">
        <f>INDEX(GCalXMLT[dfestival1],$D249)</f>
        <v>0</v>
      </c>
      <c r="J249">
        <f>IF(INDEX(GCalXMLT[dfestival2],$D249)="(Fast today)",INDEX(Festivals!$R$2:$R$180,MATCH($I249,Festivals!$R$2:$R$180,0)+1),INDEX(GCalXMLT[dfestival2],$D249))</f>
        <v>0</v>
      </c>
      <c r="K249">
        <f>IF(I249="Nandotsava","(Fast till noon)",INDEX(GCalXMLT[dfestival3],$D249))</f>
        <v>0</v>
      </c>
      <c r="L249">
        <f>IF(I249="Nandotsava", INDEX(GCalXMLT[dfestival3],$D249),INDEX(GCalXMLT[dfestival4],$D249))</f>
        <v>0</v>
      </c>
      <c r="M249" t="str">
        <f>IFERROR(INDEX(Festivals!$S$2:$S$160,AP249),"")</f>
        <v/>
      </c>
      <c r="N249" t="str">
        <f>IFERROR(IF($AQ249&gt;1,INDEX(Festivals!$S$2:$S$160,$AP249+1),""),"")</f>
        <v/>
      </c>
      <c r="O249" t="str">
        <f>IFERROR(IF($AQ249&gt;2,INDEX(Festivals!$S$2:$S$160,$AP249+2),""),"")</f>
        <v/>
      </c>
      <c r="P249" t="str">
        <f>IFERROR(IF($AQ249&gt;3,INDEX(Festivals!$S$2:$S$160,$AP249+3),""),"")</f>
        <v/>
      </c>
      <c r="Q249" t="str">
        <f>IFERROR(IF($AQ249&gt;4,INDEX(Festivals!$S$2:$S$160,$AP249+4),""),"")</f>
        <v/>
      </c>
      <c r="R249" t="str">
        <f>IFERROR(IF($AQ249&gt;5,INDEX(Festivals!$S$2:$S$160,$AP249+5),""),"")</f>
        <v/>
      </c>
      <c r="S249" t="str">
        <f>IFERROR(IF($AQ249&gt;6,INDEX(Festivals!$S$2:$S$160,$AP249+6),""),"")</f>
        <v/>
      </c>
      <c r="T249">
        <f>INDEX(GCalXMLT[dcaturmasya1],$D249)</f>
        <v>0</v>
      </c>
      <c r="U249">
        <f>INDEX(GCalXMLT[dcaturmasya2],$D249)</f>
        <v>0</v>
      </c>
      <c r="V249" t="str">
        <f>INDEX(GCalXMLT[sankrantirasi],$D249) &amp; " " &amp; INDEX(GCalXMLT[sankrantitime],$D249)</f>
        <v xml:space="preserve"> </v>
      </c>
      <c r="W249" t="str">
        <f ca="1">IFERROR(INDEX('Holidays Calc'!$K$2:$K$233,AR249),"")</f>
        <v/>
      </c>
      <c r="X249" t="str">
        <f ca="1">IF(AR249="","",IF(INDEX('Holidays Calc'!$I$2:$I$233,AR249+1)=A249,INDEX('Holidays Calc'!$K$2:$K$233,AR249+1),""))</f>
        <v/>
      </c>
      <c r="Y249" t="str">
        <f ca="1">IF(AR249="","",IF(INDEX('Holidays Calc'!$I$2:$I$233,AR249+2)=A249,INDEX('Holidays Calc'!$K$2:$K$233,AR249+2),""))</f>
        <v/>
      </c>
      <c r="Z249" t="str">
        <f ca="1">IF(AR249="","",IF(INDEX('Holidays Calc'!$I$2:$I$233,AR249+3)=A249,INDEX('Holidays Calc'!$K$2:$K$2333,AR249+3),""))</f>
        <v/>
      </c>
      <c r="AA249" t="str">
        <f>IF(I249="Last day of Bhisma Pancaka","",IF(G249="*",-0.7,IF(ISBLANK(INDEX(GCalXMLT[dclass1],$D249)),"",INDEX(GCalXMLT[dclass1],$D249))))</f>
        <v/>
      </c>
      <c r="AB249" t="str">
        <f>IF(J249="First day of Bhisma Pancaka","",IF(AND(G249="*",NOT(ISERROR(SEARCH("ekadasi",J249)))),-0.7,IF(ISBLANK(INDEX(GCalXMLT[dclass2],$D249)),"",INDEX(GCalXMLT[dclass2],$D249))))</f>
        <v/>
      </c>
      <c r="AC249" t="str">
        <f>IF(I249="Nandotsava",-1,IF(ISBLANK(INDEX(GCalXMLT[dclass3],$D249)),"",INDEX(GCalXMLT[dclass3],$D249)))</f>
        <v/>
      </c>
      <c r="AD249" t="str">
        <f>IF(I249="Nandotsava",IF(ISBLANK(INDEX(GCalXMLT[dclass3],$D249)),"",INDEX(GCalXMLT[dclass3],$D249)),IF(ISBLANK(INDEX(GCalXMLT[dclass4],$D249)),"",INDEX(GCalXMLT[dclass4],$D249)))</f>
        <v/>
      </c>
      <c r="AE249" t="str">
        <f>IFERROR(INDEX(Festivals!$V$2:$V$160,AP249),"")</f>
        <v/>
      </c>
      <c r="AF249" t="str">
        <f>IFERROR(IF($AQ249&gt;1,INDEX(Festivals!$V$2:$V$160,$AP249+1),""),"")</f>
        <v/>
      </c>
      <c r="AG249" t="str">
        <f>IFERROR(IF($AQ249&gt;2,INDEX(Festivals!$V$2:$V$160,$AP249+2),""),"")</f>
        <v/>
      </c>
      <c r="AH249" t="str">
        <f>IFERROR(IF($AQ249&gt;3,INDEX(Festivals!$V$2:$V$160,$AP249+3),""),"")</f>
        <v/>
      </c>
      <c r="AI249" t="str">
        <f>IFERROR(IF($AQ249&gt;4,INDEX(Festivals!$V$2:$V$160,$AP249+4),""),"")</f>
        <v/>
      </c>
      <c r="AJ249" t="str">
        <f>IFERROR(IF($AQ249&gt;5,INDEX(Festivals!$V$2:$V$160,$AP249+5),""),"")</f>
        <v/>
      </c>
      <c r="AK249" t="str">
        <f>IFERROR(IF($AQ249&gt;6,INDEX(Festivals!$V$2:$V$160,$AP249+6),""),"")</f>
        <v/>
      </c>
      <c r="AL249" t="str">
        <f ca="1">IFERROR(INDEX('Holidays Calc'!$J$2:$J$233,MATCH(A249,'Holidays Calc'!$I$2:$I$233,0)),"")</f>
        <v/>
      </c>
      <c r="AM249" t="str">
        <f ca="1">IF(AR249="","",IF(INDEX('Holidays Calc'!$I$2:$I$233,AR249+1)=A249,INDEX('Holidays Calc'!$J$2:$J$233,AR249+1),""))</f>
        <v/>
      </c>
      <c r="AN249" t="str">
        <f ca="1">IF(AR249="","",IF(INDEX('Holidays Calc'!$I$2:$I$233,AR249+2)=A249,INDEX('Holidays Calc'!$J$2:$J$233,AR249+2),""))</f>
        <v/>
      </c>
      <c r="AO249" t="str">
        <f ca="1">IF(AR249="","",IF(INDEX('Holidays Calc'!$I$2:$I$233,AR249+3)=A249,INDEX('Holidays Calc'!$J$2:$J$233,AR249+3),""))</f>
        <v/>
      </c>
      <c r="AP249" t="str">
        <f>IFERROR(IF($E249=E248,"",MATCH($E249,Festivals!$H$2:$H$160,0)),"")</f>
        <v/>
      </c>
      <c r="AQ249" t="str">
        <f>IF(AP249="","",COUNTIF(Festivals!$H$2:$H$160,$E249))</f>
        <v/>
      </c>
      <c r="AR249" t="str">
        <f ca="1">IFERROR(MATCH(A249,'Holidays Calc'!$I$2:$I$233,0),"")</f>
        <v/>
      </c>
      <c r="AS249" t="str">
        <f t="shared" si="25"/>
        <v/>
      </c>
      <c r="AT249" t="str">
        <f t="shared" si="24"/>
        <v/>
      </c>
      <c r="AU249" t="str">
        <f t="shared" ca="1" si="26"/>
        <v/>
      </c>
      <c r="AV249" t="str">
        <f t="shared" ca="1" si="27"/>
        <v/>
      </c>
    </row>
    <row r="250" spans="1:48" x14ac:dyDescent="0.25">
      <c r="A250" s="265">
        <f t="shared" si="23"/>
        <v>43676</v>
      </c>
      <c r="B250" s="265" t="str">
        <f t="shared" si="28"/>
        <v>30 Jul 2019</v>
      </c>
      <c r="C250" s="267">
        <f t="shared" si="29"/>
        <v>31</v>
      </c>
      <c r="D250">
        <f>MATCH(A250,GCalXMLT[daydate],0)</f>
        <v>249</v>
      </c>
      <c r="E250">
        <f>VALUE("1" &amp; Masacod(INDEX(GCalXMLT[gymasa],D250)) &amp; PaksaCod(INDEX(GCalXMLT[mpaksaid],D250)) &amp; TithiCod(INDEX(GCalXMLT[stithiname],D250)))</f>
        <v>105013</v>
      </c>
      <c r="F250" t="str">
        <f ca="1">INDEX(Parameters!$K$2:$K$16,MATCH(AV250,Parameters!$L$2:$L$16,0))</f>
        <v/>
      </c>
      <c r="G250">
        <f>INDEX(GCalXMLT[fastmark],$D250)</f>
        <v>0</v>
      </c>
      <c r="H250" t="str">
        <f ca="1">INDEX(Parameters!$J$2:$J$16,MATCH(AV250,Parameters!$L$2:$L$16,0))</f>
        <v/>
      </c>
      <c r="I250">
        <f>INDEX(GCalXMLT[dfestival1],$D250)</f>
        <v>0</v>
      </c>
      <c r="J250">
        <f>IF(INDEX(GCalXMLT[dfestival2],$D250)="(Fast today)",INDEX(Festivals!$R$2:$R$180,MATCH($I250,Festivals!$R$2:$R$180,0)+1),INDEX(GCalXMLT[dfestival2],$D250))</f>
        <v>0</v>
      </c>
      <c r="K250">
        <f>IF(I250="Nandotsava","(Fast till noon)",INDEX(GCalXMLT[dfestival3],$D250))</f>
        <v>0</v>
      </c>
      <c r="L250">
        <f>IF(I250="Nandotsava", INDEX(GCalXMLT[dfestival3],$D250),INDEX(GCalXMLT[dfestival4],$D250))</f>
        <v>0</v>
      </c>
      <c r="M250" t="str">
        <f>IFERROR(INDEX(Festivals!$S$2:$S$160,AP250),"")</f>
        <v/>
      </c>
      <c r="N250" t="str">
        <f>IFERROR(IF($AQ250&gt;1,INDEX(Festivals!$S$2:$S$160,$AP250+1),""),"")</f>
        <v/>
      </c>
      <c r="O250" t="str">
        <f>IFERROR(IF($AQ250&gt;2,INDEX(Festivals!$S$2:$S$160,$AP250+2),""),"")</f>
        <v/>
      </c>
      <c r="P250" t="str">
        <f>IFERROR(IF($AQ250&gt;3,INDEX(Festivals!$S$2:$S$160,$AP250+3),""),"")</f>
        <v/>
      </c>
      <c r="Q250" t="str">
        <f>IFERROR(IF($AQ250&gt;4,INDEX(Festivals!$S$2:$S$160,$AP250+4),""),"")</f>
        <v/>
      </c>
      <c r="R250" t="str">
        <f>IFERROR(IF($AQ250&gt;5,INDEX(Festivals!$S$2:$S$160,$AP250+5),""),"")</f>
        <v/>
      </c>
      <c r="S250" t="str">
        <f>IFERROR(IF($AQ250&gt;6,INDEX(Festivals!$S$2:$S$160,$AP250+6),""),"")</f>
        <v/>
      </c>
      <c r="T250">
        <f>INDEX(GCalXMLT[dcaturmasya1],$D250)</f>
        <v>0</v>
      </c>
      <c r="U250">
        <f>INDEX(GCalXMLT[dcaturmasya2],$D250)</f>
        <v>0</v>
      </c>
      <c r="V250" t="str">
        <f>INDEX(GCalXMLT[sankrantirasi],$D250) &amp; " " &amp; INDEX(GCalXMLT[sankrantitime],$D250)</f>
        <v xml:space="preserve"> </v>
      </c>
      <c r="W250" t="str">
        <f ca="1">IFERROR(INDEX('Holidays Calc'!$K$2:$K$233,AR250),"")</f>
        <v/>
      </c>
      <c r="X250" t="str">
        <f ca="1">IF(AR250="","",IF(INDEX('Holidays Calc'!$I$2:$I$233,AR250+1)=A250,INDEX('Holidays Calc'!$K$2:$K$233,AR250+1),""))</f>
        <v/>
      </c>
      <c r="Y250" t="str">
        <f ca="1">IF(AR250="","",IF(INDEX('Holidays Calc'!$I$2:$I$233,AR250+2)=A250,INDEX('Holidays Calc'!$K$2:$K$233,AR250+2),""))</f>
        <v/>
      </c>
      <c r="Z250" t="str">
        <f ca="1">IF(AR250="","",IF(INDEX('Holidays Calc'!$I$2:$I$233,AR250+3)=A250,INDEX('Holidays Calc'!$K$2:$K$2333,AR250+3),""))</f>
        <v/>
      </c>
      <c r="AA250" t="str">
        <f>IF(I250="Last day of Bhisma Pancaka","",IF(G250="*",-0.7,IF(ISBLANK(INDEX(GCalXMLT[dclass1],$D250)),"",INDEX(GCalXMLT[dclass1],$D250))))</f>
        <v/>
      </c>
      <c r="AB250" t="str">
        <f>IF(J250="First day of Bhisma Pancaka","",IF(AND(G250="*",NOT(ISERROR(SEARCH("ekadasi",J250)))),-0.7,IF(ISBLANK(INDEX(GCalXMLT[dclass2],$D250)),"",INDEX(GCalXMLT[dclass2],$D250))))</f>
        <v/>
      </c>
      <c r="AC250" t="str">
        <f>IF(I250="Nandotsava",-1,IF(ISBLANK(INDEX(GCalXMLT[dclass3],$D250)),"",INDEX(GCalXMLT[dclass3],$D250)))</f>
        <v/>
      </c>
      <c r="AD250" t="str">
        <f>IF(I250="Nandotsava",IF(ISBLANK(INDEX(GCalXMLT[dclass3],$D250)),"",INDEX(GCalXMLT[dclass3],$D250)),IF(ISBLANK(INDEX(GCalXMLT[dclass4],$D250)),"",INDEX(GCalXMLT[dclass4],$D250)))</f>
        <v/>
      </c>
      <c r="AE250" t="str">
        <f>IFERROR(INDEX(Festivals!$V$2:$V$160,AP250),"")</f>
        <v/>
      </c>
      <c r="AF250" t="str">
        <f>IFERROR(IF($AQ250&gt;1,INDEX(Festivals!$V$2:$V$160,$AP250+1),""),"")</f>
        <v/>
      </c>
      <c r="AG250" t="str">
        <f>IFERROR(IF($AQ250&gt;2,INDEX(Festivals!$V$2:$V$160,$AP250+2),""),"")</f>
        <v/>
      </c>
      <c r="AH250" t="str">
        <f>IFERROR(IF($AQ250&gt;3,INDEX(Festivals!$V$2:$V$160,$AP250+3),""),"")</f>
        <v/>
      </c>
      <c r="AI250" t="str">
        <f>IFERROR(IF($AQ250&gt;4,INDEX(Festivals!$V$2:$V$160,$AP250+4),""),"")</f>
        <v/>
      </c>
      <c r="AJ250" t="str">
        <f>IFERROR(IF($AQ250&gt;5,INDEX(Festivals!$V$2:$V$160,$AP250+5),""),"")</f>
        <v/>
      </c>
      <c r="AK250" t="str">
        <f>IFERROR(IF($AQ250&gt;6,INDEX(Festivals!$V$2:$V$160,$AP250+6),""),"")</f>
        <v/>
      </c>
      <c r="AL250" t="str">
        <f ca="1">IFERROR(INDEX('Holidays Calc'!$J$2:$J$233,MATCH(A250,'Holidays Calc'!$I$2:$I$233,0)),"")</f>
        <v/>
      </c>
      <c r="AM250" t="str">
        <f ca="1">IF(AR250="","",IF(INDEX('Holidays Calc'!$I$2:$I$233,AR250+1)=A250,INDEX('Holidays Calc'!$J$2:$J$233,AR250+1),""))</f>
        <v/>
      </c>
      <c r="AN250" t="str">
        <f ca="1">IF(AR250="","",IF(INDEX('Holidays Calc'!$I$2:$I$233,AR250+2)=A250,INDEX('Holidays Calc'!$J$2:$J$233,AR250+2),""))</f>
        <v/>
      </c>
      <c r="AO250" t="str">
        <f ca="1">IF(AR250="","",IF(INDEX('Holidays Calc'!$I$2:$I$233,AR250+3)=A250,INDEX('Holidays Calc'!$J$2:$J$233,AR250+3),""))</f>
        <v/>
      </c>
      <c r="AP250" t="str">
        <f>IFERROR(IF($E250=E249,"",MATCH($E250,Festivals!$H$2:$H$160,0)),"")</f>
        <v/>
      </c>
      <c r="AQ250" t="str">
        <f>IF(AP250="","",COUNTIF(Festivals!$H$2:$H$160,$E250))</f>
        <v/>
      </c>
      <c r="AR250" t="str">
        <f ca="1">IFERROR(MATCH(A250,'Holidays Calc'!$I$2:$I$233,0),"")</f>
        <v/>
      </c>
      <c r="AS250" t="str">
        <f t="shared" si="25"/>
        <v/>
      </c>
      <c r="AT250" t="str">
        <f t="shared" si="24"/>
        <v/>
      </c>
      <c r="AU250" t="str">
        <f t="shared" ca="1" si="26"/>
        <v/>
      </c>
      <c r="AV250" t="str">
        <f t="shared" ca="1" si="27"/>
        <v/>
      </c>
    </row>
    <row r="251" spans="1:48" x14ac:dyDescent="0.25">
      <c r="A251" s="265">
        <f t="shared" si="23"/>
        <v>43677</v>
      </c>
      <c r="B251" s="265" t="str">
        <f t="shared" si="28"/>
        <v>31 Jul 2019</v>
      </c>
      <c r="C251" s="267">
        <f t="shared" si="29"/>
        <v>31</v>
      </c>
      <c r="D251">
        <f>MATCH(A251,GCalXMLT[daydate],0)</f>
        <v>250</v>
      </c>
      <c r="E251">
        <f>VALUE("1" &amp; Masacod(INDEX(GCalXMLT[gymasa],D251)) &amp; PaksaCod(INDEX(GCalXMLT[mpaksaid],D251)) &amp; TithiCod(INDEX(GCalXMLT[stithiname],D251)))</f>
        <v>105015</v>
      </c>
      <c r="F251" t="str">
        <f ca="1">INDEX(Parameters!$K$2:$K$16,MATCH(AV251,Parameters!$L$2:$L$16,0))</f>
        <v/>
      </c>
      <c r="G251">
        <f>INDEX(GCalXMLT[fastmark],$D251)</f>
        <v>0</v>
      </c>
      <c r="H251" t="str">
        <f ca="1">INDEX(Parameters!$J$2:$J$16,MATCH(AV251,Parameters!$L$2:$L$16,0))</f>
        <v/>
      </c>
      <c r="I251">
        <f>INDEX(GCalXMLT[dfestival1],$D251)</f>
        <v>0</v>
      </c>
      <c r="J251">
        <f>IF(INDEX(GCalXMLT[dfestival2],$D251)="(Fast today)",INDEX(Festivals!$R$2:$R$180,MATCH($I251,Festivals!$R$2:$R$180,0)+1),INDEX(GCalXMLT[dfestival2],$D251))</f>
        <v>0</v>
      </c>
      <c r="K251">
        <f>IF(I251="Nandotsava","(Fast till noon)",INDEX(GCalXMLT[dfestival3],$D251))</f>
        <v>0</v>
      </c>
      <c r="L251">
        <f>IF(I251="Nandotsava", INDEX(GCalXMLT[dfestival3],$D251),INDEX(GCalXMLT[dfestival4],$D251))</f>
        <v>0</v>
      </c>
      <c r="M251" t="str">
        <f>IFERROR(INDEX(Festivals!$S$2:$S$160,AP251),"")</f>
        <v/>
      </c>
      <c r="N251" t="str">
        <f>IFERROR(IF($AQ251&gt;1,INDEX(Festivals!$S$2:$S$160,$AP251+1),""),"")</f>
        <v/>
      </c>
      <c r="O251" t="str">
        <f>IFERROR(IF($AQ251&gt;2,INDEX(Festivals!$S$2:$S$160,$AP251+2),""),"")</f>
        <v/>
      </c>
      <c r="P251" t="str">
        <f>IFERROR(IF($AQ251&gt;3,INDEX(Festivals!$S$2:$S$160,$AP251+3),""),"")</f>
        <v/>
      </c>
      <c r="Q251" t="str">
        <f>IFERROR(IF($AQ251&gt;4,INDEX(Festivals!$S$2:$S$160,$AP251+4),""),"")</f>
        <v/>
      </c>
      <c r="R251" t="str">
        <f>IFERROR(IF($AQ251&gt;5,INDEX(Festivals!$S$2:$S$160,$AP251+5),""),"")</f>
        <v/>
      </c>
      <c r="S251" t="str">
        <f>IFERROR(IF($AQ251&gt;6,INDEX(Festivals!$S$2:$S$160,$AP251+6),""),"")</f>
        <v/>
      </c>
      <c r="T251">
        <f>INDEX(GCalXMLT[dcaturmasya1],$D251)</f>
        <v>0</v>
      </c>
      <c r="U251">
        <f>INDEX(GCalXMLT[dcaturmasya2],$D251)</f>
        <v>0</v>
      </c>
      <c r="V251" t="str">
        <f>INDEX(GCalXMLT[sankrantirasi],$D251) &amp; " " &amp; INDEX(GCalXMLT[sankrantitime],$D251)</f>
        <v xml:space="preserve"> </v>
      </c>
      <c r="W251" t="str">
        <f ca="1">IFERROR(INDEX('Holidays Calc'!$K$2:$K$233,AR251),"")</f>
        <v/>
      </c>
      <c r="X251" t="str">
        <f ca="1">IF(AR251="","",IF(INDEX('Holidays Calc'!$I$2:$I$233,AR251+1)=A251,INDEX('Holidays Calc'!$K$2:$K$233,AR251+1),""))</f>
        <v/>
      </c>
      <c r="Y251" t="str">
        <f ca="1">IF(AR251="","",IF(INDEX('Holidays Calc'!$I$2:$I$233,AR251+2)=A251,INDEX('Holidays Calc'!$K$2:$K$233,AR251+2),""))</f>
        <v/>
      </c>
      <c r="Z251" t="str">
        <f ca="1">IF(AR251="","",IF(INDEX('Holidays Calc'!$I$2:$I$233,AR251+3)=A251,INDEX('Holidays Calc'!$K$2:$K$2333,AR251+3),""))</f>
        <v/>
      </c>
      <c r="AA251" t="str">
        <f>IF(I251="Last day of Bhisma Pancaka","",IF(G251="*",-0.7,IF(ISBLANK(INDEX(GCalXMLT[dclass1],$D251)),"",INDEX(GCalXMLT[dclass1],$D251))))</f>
        <v/>
      </c>
      <c r="AB251" t="str">
        <f>IF(J251="First day of Bhisma Pancaka","",IF(AND(G251="*",NOT(ISERROR(SEARCH("ekadasi",J251)))),-0.7,IF(ISBLANK(INDEX(GCalXMLT[dclass2],$D251)),"",INDEX(GCalXMLT[dclass2],$D251))))</f>
        <v/>
      </c>
      <c r="AC251" t="str">
        <f>IF(I251="Nandotsava",-1,IF(ISBLANK(INDEX(GCalXMLT[dclass3],$D251)),"",INDEX(GCalXMLT[dclass3],$D251)))</f>
        <v/>
      </c>
      <c r="AD251" t="str">
        <f>IF(I251="Nandotsava",IF(ISBLANK(INDEX(GCalXMLT[dclass3],$D251)),"",INDEX(GCalXMLT[dclass3],$D251)),IF(ISBLANK(INDEX(GCalXMLT[dclass4],$D251)),"",INDEX(GCalXMLT[dclass4],$D251)))</f>
        <v/>
      </c>
      <c r="AE251" t="str">
        <f>IFERROR(INDEX(Festivals!$V$2:$V$160,AP251),"")</f>
        <v/>
      </c>
      <c r="AF251" t="str">
        <f>IFERROR(IF($AQ251&gt;1,INDEX(Festivals!$V$2:$V$160,$AP251+1),""),"")</f>
        <v/>
      </c>
      <c r="AG251" t="str">
        <f>IFERROR(IF($AQ251&gt;2,INDEX(Festivals!$V$2:$V$160,$AP251+2),""),"")</f>
        <v/>
      </c>
      <c r="AH251" t="str">
        <f>IFERROR(IF($AQ251&gt;3,INDEX(Festivals!$V$2:$V$160,$AP251+3),""),"")</f>
        <v/>
      </c>
      <c r="AI251" t="str">
        <f>IFERROR(IF($AQ251&gt;4,INDEX(Festivals!$V$2:$V$160,$AP251+4),""),"")</f>
        <v/>
      </c>
      <c r="AJ251" t="str">
        <f>IFERROR(IF($AQ251&gt;5,INDEX(Festivals!$V$2:$V$160,$AP251+5),""),"")</f>
        <v/>
      </c>
      <c r="AK251" t="str">
        <f>IFERROR(IF($AQ251&gt;6,INDEX(Festivals!$V$2:$V$160,$AP251+6),""),"")</f>
        <v/>
      </c>
      <c r="AL251" t="str">
        <f ca="1">IFERROR(INDEX('Holidays Calc'!$J$2:$J$233,MATCH(A251,'Holidays Calc'!$I$2:$I$233,0)),"")</f>
        <v/>
      </c>
      <c r="AM251" t="str">
        <f ca="1">IF(AR251="","",IF(INDEX('Holidays Calc'!$I$2:$I$233,AR251+1)=A251,INDEX('Holidays Calc'!$J$2:$J$233,AR251+1),""))</f>
        <v/>
      </c>
      <c r="AN251" t="str">
        <f ca="1">IF(AR251="","",IF(INDEX('Holidays Calc'!$I$2:$I$233,AR251+2)=A251,INDEX('Holidays Calc'!$J$2:$J$233,AR251+2),""))</f>
        <v/>
      </c>
      <c r="AO251" t="str">
        <f ca="1">IF(AR251="","",IF(INDEX('Holidays Calc'!$I$2:$I$233,AR251+3)=A251,INDEX('Holidays Calc'!$J$2:$J$233,AR251+3),""))</f>
        <v/>
      </c>
      <c r="AP251" t="str">
        <f>IFERROR(IF($E251=E250,"",MATCH($E251,Festivals!$H$2:$H$160,0)),"")</f>
        <v/>
      </c>
      <c r="AQ251" t="str">
        <f>IF(AP251="","",COUNTIF(Festivals!$H$2:$H$160,$E251))</f>
        <v/>
      </c>
      <c r="AR251" t="str">
        <f ca="1">IFERROR(MATCH(A251,'Holidays Calc'!$I$2:$I$233,0),"")</f>
        <v/>
      </c>
      <c r="AS251" t="str">
        <f t="shared" si="25"/>
        <v/>
      </c>
      <c r="AT251" t="str">
        <f t="shared" si="24"/>
        <v/>
      </c>
      <c r="AU251" t="str">
        <f t="shared" ca="1" si="26"/>
        <v/>
      </c>
      <c r="AV251" t="str">
        <f t="shared" ca="1" si="27"/>
        <v/>
      </c>
    </row>
    <row r="252" spans="1:48" x14ac:dyDescent="0.25">
      <c r="A252" s="265">
        <f t="shared" si="23"/>
        <v>43678</v>
      </c>
      <c r="B252" s="265" t="str">
        <f t="shared" si="28"/>
        <v>1 Aug 2019</v>
      </c>
      <c r="C252" s="267">
        <f t="shared" si="29"/>
        <v>31</v>
      </c>
      <c r="D252">
        <f>MATCH(A252,GCalXMLT[daydate],0)</f>
        <v>251</v>
      </c>
      <c r="E252">
        <f>VALUE("1" &amp; Masacod(INDEX(GCalXMLT[gymasa],D252)) &amp; PaksaCod(INDEX(GCalXMLT[mpaksaid],D252)) &amp; TithiCod(INDEX(GCalXMLT[stithiname],D252)))</f>
        <v>105101</v>
      </c>
      <c r="F252" t="str">
        <f ca="1">INDEX(Parameters!$K$2:$K$16,MATCH(AV252,Parameters!$L$2:$L$16,0))</f>
        <v/>
      </c>
      <c r="G252">
        <f>INDEX(GCalXMLT[fastmark],$D252)</f>
        <v>0</v>
      </c>
      <c r="H252" t="str">
        <f ca="1">INDEX(Parameters!$J$2:$J$16,MATCH(AV252,Parameters!$L$2:$L$16,0))</f>
        <v/>
      </c>
      <c r="I252">
        <f>INDEX(GCalXMLT[dfestival1],$D252)</f>
        <v>0</v>
      </c>
      <c r="J252">
        <f>IF(INDEX(GCalXMLT[dfestival2],$D252)="(Fast today)",INDEX(Festivals!$R$2:$R$180,MATCH($I252,Festivals!$R$2:$R$180,0)+1),INDEX(GCalXMLT[dfestival2],$D252))</f>
        <v>0</v>
      </c>
      <c r="K252">
        <f>IF(I252="Nandotsava","(Fast till noon)",INDEX(GCalXMLT[dfestival3],$D252))</f>
        <v>0</v>
      </c>
      <c r="L252">
        <f>IF(I252="Nandotsava", INDEX(GCalXMLT[dfestival3],$D252),INDEX(GCalXMLT[dfestival4],$D252))</f>
        <v>0</v>
      </c>
      <c r="M252" t="str">
        <f>IFERROR(INDEX(Festivals!$S$2:$S$160,AP252),"")</f>
        <v/>
      </c>
      <c r="N252" t="str">
        <f>IFERROR(IF($AQ252&gt;1,INDEX(Festivals!$S$2:$S$160,$AP252+1),""),"")</f>
        <v/>
      </c>
      <c r="O252" t="str">
        <f>IFERROR(IF($AQ252&gt;2,INDEX(Festivals!$S$2:$S$160,$AP252+2),""),"")</f>
        <v/>
      </c>
      <c r="P252" t="str">
        <f>IFERROR(IF($AQ252&gt;3,INDEX(Festivals!$S$2:$S$160,$AP252+3),""),"")</f>
        <v/>
      </c>
      <c r="Q252" t="str">
        <f>IFERROR(IF($AQ252&gt;4,INDEX(Festivals!$S$2:$S$160,$AP252+4),""),"")</f>
        <v/>
      </c>
      <c r="R252" t="str">
        <f>IFERROR(IF($AQ252&gt;5,INDEX(Festivals!$S$2:$S$160,$AP252+5),""),"")</f>
        <v/>
      </c>
      <c r="S252" t="str">
        <f>IFERROR(IF($AQ252&gt;6,INDEX(Festivals!$S$2:$S$160,$AP252+6),""),"")</f>
        <v/>
      </c>
      <c r="T252">
        <f>INDEX(GCalXMLT[dcaturmasya1],$D252)</f>
        <v>0</v>
      </c>
      <c r="U252">
        <f>INDEX(GCalXMLT[dcaturmasya2],$D252)</f>
        <v>0</v>
      </c>
      <c r="V252" t="str">
        <f>INDEX(GCalXMLT[sankrantirasi],$D252) &amp; " " &amp; INDEX(GCalXMLT[sankrantitime],$D252)</f>
        <v xml:space="preserve"> </v>
      </c>
      <c r="W252" t="str">
        <f ca="1">IFERROR(INDEX('Holidays Calc'!$K$2:$K$233,AR252),"")</f>
        <v/>
      </c>
      <c r="X252" t="str">
        <f ca="1">IF(AR252="","",IF(INDEX('Holidays Calc'!$I$2:$I$233,AR252+1)=A252,INDEX('Holidays Calc'!$K$2:$K$233,AR252+1),""))</f>
        <v/>
      </c>
      <c r="Y252" t="str">
        <f ca="1">IF(AR252="","",IF(INDEX('Holidays Calc'!$I$2:$I$233,AR252+2)=A252,INDEX('Holidays Calc'!$K$2:$K$233,AR252+2),""))</f>
        <v/>
      </c>
      <c r="Z252" t="str">
        <f ca="1">IF(AR252="","",IF(INDEX('Holidays Calc'!$I$2:$I$233,AR252+3)=A252,INDEX('Holidays Calc'!$K$2:$K$2333,AR252+3),""))</f>
        <v/>
      </c>
      <c r="AA252" t="str">
        <f>IF(I252="Last day of Bhisma Pancaka","",IF(G252="*",-0.7,IF(ISBLANK(INDEX(GCalXMLT[dclass1],$D252)),"",INDEX(GCalXMLT[dclass1],$D252))))</f>
        <v/>
      </c>
      <c r="AB252" t="str">
        <f>IF(J252="First day of Bhisma Pancaka","",IF(AND(G252="*",NOT(ISERROR(SEARCH("ekadasi",J252)))),-0.7,IF(ISBLANK(INDEX(GCalXMLT[dclass2],$D252)),"",INDEX(GCalXMLT[dclass2],$D252))))</f>
        <v/>
      </c>
      <c r="AC252" t="str">
        <f>IF(I252="Nandotsava",-1,IF(ISBLANK(INDEX(GCalXMLT[dclass3],$D252)),"",INDEX(GCalXMLT[dclass3],$D252)))</f>
        <v/>
      </c>
      <c r="AD252" t="str">
        <f>IF(I252="Nandotsava",IF(ISBLANK(INDEX(GCalXMLT[dclass3],$D252)),"",INDEX(GCalXMLT[dclass3],$D252)),IF(ISBLANK(INDEX(GCalXMLT[dclass4],$D252)),"",INDEX(GCalXMLT[dclass4],$D252)))</f>
        <v/>
      </c>
      <c r="AE252" t="str">
        <f>IFERROR(INDEX(Festivals!$V$2:$V$160,AP252),"")</f>
        <v/>
      </c>
      <c r="AF252" t="str">
        <f>IFERROR(IF($AQ252&gt;1,INDEX(Festivals!$V$2:$V$160,$AP252+1),""),"")</f>
        <v/>
      </c>
      <c r="AG252" t="str">
        <f>IFERROR(IF($AQ252&gt;2,INDEX(Festivals!$V$2:$V$160,$AP252+2),""),"")</f>
        <v/>
      </c>
      <c r="AH252" t="str">
        <f>IFERROR(IF($AQ252&gt;3,INDEX(Festivals!$V$2:$V$160,$AP252+3),""),"")</f>
        <v/>
      </c>
      <c r="AI252" t="str">
        <f>IFERROR(IF($AQ252&gt;4,INDEX(Festivals!$V$2:$V$160,$AP252+4),""),"")</f>
        <v/>
      </c>
      <c r="AJ252" t="str">
        <f>IFERROR(IF($AQ252&gt;5,INDEX(Festivals!$V$2:$V$160,$AP252+5),""),"")</f>
        <v/>
      </c>
      <c r="AK252" t="str">
        <f>IFERROR(IF($AQ252&gt;6,INDEX(Festivals!$V$2:$V$160,$AP252+6),""),"")</f>
        <v/>
      </c>
      <c r="AL252" t="str">
        <f ca="1">IFERROR(INDEX('Holidays Calc'!$J$2:$J$233,MATCH(A252,'Holidays Calc'!$I$2:$I$233,0)),"")</f>
        <v/>
      </c>
      <c r="AM252" t="str">
        <f ca="1">IF(AR252="","",IF(INDEX('Holidays Calc'!$I$2:$I$233,AR252+1)=A252,INDEX('Holidays Calc'!$J$2:$J$233,AR252+1),""))</f>
        <v/>
      </c>
      <c r="AN252" t="str">
        <f ca="1">IF(AR252="","",IF(INDEX('Holidays Calc'!$I$2:$I$233,AR252+2)=A252,INDEX('Holidays Calc'!$J$2:$J$233,AR252+2),""))</f>
        <v/>
      </c>
      <c r="AO252" t="str">
        <f ca="1">IF(AR252="","",IF(INDEX('Holidays Calc'!$I$2:$I$233,AR252+3)=A252,INDEX('Holidays Calc'!$J$2:$J$233,AR252+3),""))</f>
        <v/>
      </c>
      <c r="AP252" t="str">
        <f>IFERROR(IF($E252=E251,"",MATCH($E252,Festivals!$H$2:$H$160,0)),"")</f>
        <v/>
      </c>
      <c r="AQ252" t="str">
        <f>IF(AP252="","",COUNTIF(Festivals!$H$2:$H$160,$E252))</f>
        <v/>
      </c>
      <c r="AR252" t="str">
        <f ca="1">IFERROR(MATCH(A252,'Holidays Calc'!$I$2:$I$233,0),"")</f>
        <v/>
      </c>
      <c r="AS252" t="str">
        <f t="shared" si="25"/>
        <v/>
      </c>
      <c r="AT252" t="str">
        <f t="shared" si="24"/>
        <v/>
      </c>
      <c r="AU252" t="str">
        <f t="shared" ca="1" si="26"/>
        <v/>
      </c>
      <c r="AV252" t="str">
        <f t="shared" ca="1" si="27"/>
        <v/>
      </c>
    </row>
    <row r="253" spans="1:48" x14ac:dyDescent="0.25">
      <c r="A253" s="265">
        <f t="shared" si="23"/>
        <v>43679</v>
      </c>
      <c r="B253" s="265" t="str">
        <f t="shared" si="28"/>
        <v>2 Aug 2019</v>
      </c>
      <c r="C253" s="267">
        <f t="shared" si="29"/>
        <v>31</v>
      </c>
      <c r="D253">
        <f>MATCH(A253,GCalXMLT[daydate],0)</f>
        <v>252</v>
      </c>
      <c r="E253">
        <f>VALUE("1" &amp; Masacod(INDEX(GCalXMLT[gymasa],D253)) &amp; PaksaCod(INDEX(GCalXMLT[mpaksaid],D253)) &amp; TithiCod(INDEX(GCalXMLT[stithiname],D253)))</f>
        <v>105102</v>
      </c>
      <c r="F253" t="str">
        <f ca="1">INDEX(Parameters!$K$2:$K$16,MATCH(AV253,Parameters!$L$2:$L$16,0))</f>
        <v/>
      </c>
      <c r="G253">
        <f>INDEX(GCalXMLT[fastmark],$D253)</f>
        <v>0</v>
      </c>
      <c r="H253" t="str">
        <f ca="1">INDEX(Parameters!$J$2:$J$16,MATCH(AV253,Parameters!$L$2:$L$16,0))</f>
        <v/>
      </c>
      <c r="I253">
        <f>INDEX(GCalXMLT[dfestival1],$D253)</f>
        <v>0</v>
      </c>
      <c r="J253">
        <f>IF(INDEX(GCalXMLT[dfestival2],$D253)="(Fast today)",INDEX(Festivals!$R$2:$R$180,MATCH($I253,Festivals!$R$2:$R$180,0)+1),INDEX(GCalXMLT[dfestival2],$D253))</f>
        <v>0</v>
      </c>
      <c r="K253">
        <f>IF(I253="Nandotsava","(Fast till noon)",INDEX(GCalXMLT[dfestival3],$D253))</f>
        <v>0</v>
      </c>
      <c r="L253">
        <f>IF(I253="Nandotsava", INDEX(GCalXMLT[dfestival3],$D253),INDEX(GCalXMLT[dfestival4],$D253))</f>
        <v>0</v>
      </c>
      <c r="M253" t="str">
        <f>IFERROR(INDEX(Festivals!$S$2:$S$160,AP253),"")</f>
        <v/>
      </c>
      <c r="N253" t="str">
        <f>IFERROR(IF($AQ253&gt;1,INDEX(Festivals!$S$2:$S$160,$AP253+1),""),"")</f>
        <v/>
      </c>
      <c r="O253" t="str">
        <f>IFERROR(IF($AQ253&gt;2,INDEX(Festivals!$S$2:$S$160,$AP253+2),""),"")</f>
        <v/>
      </c>
      <c r="P253" t="str">
        <f>IFERROR(IF($AQ253&gt;3,INDEX(Festivals!$S$2:$S$160,$AP253+3),""),"")</f>
        <v/>
      </c>
      <c r="Q253" t="str">
        <f>IFERROR(IF($AQ253&gt;4,INDEX(Festivals!$S$2:$S$160,$AP253+4),""),"")</f>
        <v/>
      </c>
      <c r="R253" t="str">
        <f>IFERROR(IF($AQ253&gt;5,INDEX(Festivals!$S$2:$S$160,$AP253+5),""),"")</f>
        <v/>
      </c>
      <c r="S253" t="str">
        <f>IFERROR(IF($AQ253&gt;6,INDEX(Festivals!$S$2:$S$160,$AP253+6),""),"")</f>
        <v/>
      </c>
      <c r="T253">
        <f>INDEX(GCalXMLT[dcaturmasya1],$D253)</f>
        <v>0</v>
      </c>
      <c r="U253">
        <f>INDEX(GCalXMLT[dcaturmasya2],$D253)</f>
        <v>0</v>
      </c>
      <c r="V253" t="str">
        <f>INDEX(GCalXMLT[sankrantirasi],$D253) &amp; " " &amp; INDEX(GCalXMLT[sankrantitime],$D253)</f>
        <v xml:space="preserve"> </v>
      </c>
      <c r="W253" t="str">
        <f ca="1">IFERROR(INDEX('Holidays Calc'!$K$2:$K$233,AR253),"")</f>
        <v/>
      </c>
      <c r="X253" t="str">
        <f ca="1">IF(AR253="","",IF(INDEX('Holidays Calc'!$I$2:$I$233,AR253+1)=A253,INDEX('Holidays Calc'!$K$2:$K$233,AR253+1),""))</f>
        <v/>
      </c>
      <c r="Y253" t="str">
        <f ca="1">IF(AR253="","",IF(INDEX('Holidays Calc'!$I$2:$I$233,AR253+2)=A253,INDEX('Holidays Calc'!$K$2:$K$233,AR253+2),""))</f>
        <v/>
      </c>
      <c r="Z253" t="str">
        <f ca="1">IF(AR253="","",IF(INDEX('Holidays Calc'!$I$2:$I$233,AR253+3)=A253,INDEX('Holidays Calc'!$K$2:$K$2333,AR253+3),""))</f>
        <v/>
      </c>
      <c r="AA253" t="str">
        <f>IF(I253="Last day of Bhisma Pancaka","",IF(G253="*",-0.7,IF(ISBLANK(INDEX(GCalXMLT[dclass1],$D253)),"",INDEX(GCalXMLT[dclass1],$D253))))</f>
        <v/>
      </c>
      <c r="AB253" t="str">
        <f>IF(J253="First day of Bhisma Pancaka","",IF(AND(G253="*",NOT(ISERROR(SEARCH("ekadasi",J253)))),-0.7,IF(ISBLANK(INDEX(GCalXMLT[dclass2],$D253)),"",INDEX(GCalXMLT[dclass2],$D253))))</f>
        <v/>
      </c>
      <c r="AC253" t="str">
        <f>IF(I253="Nandotsava",-1,IF(ISBLANK(INDEX(GCalXMLT[dclass3],$D253)),"",INDEX(GCalXMLT[dclass3],$D253)))</f>
        <v/>
      </c>
      <c r="AD253" t="str">
        <f>IF(I253="Nandotsava",IF(ISBLANK(INDEX(GCalXMLT[dclass3],$D253)),"",INDEX(GCalXMLT[dclass3],$D253)),IF(ISBLANK(INDEX(GCalXMLT[dclass4],$D253)),"",INDEX(GCalXMLT[dclass4],$D253)))</f>
        <v/>
      </c>
      <c r="AE253" t="str">
        <f>IFERROR(INDEX(Festivals!$V$2:$V$160,AP253),"")</f>
        <v/>
      </c>
      <c r="AF253" t="str">
        <f>IFERROR(IF($AQ253&gt;1,INDEX(Festivals!$V$2:$V$160,$AP253+1),""),"")</f>
        <v/>
      </c>
      <c r="AG253" t="str">
        <f>IFERROR(IF($AQ253&gt;2,INDEX(Festivals!$V$2:$V$160,$AP253+2),""),"")</f>
        <v/>
      </c>
      <c r="AH253" t="str">
        <f>IFERROR(IF($AQ253&gt;3,INDEX(Festivals!$V$2:$V$160,$AP253+3),""),"")</f>
        <v/>
      </c>
      <c r="AI253" t="str">
        <f>IFERROR(IF($AQ253&gt;4,INDEX(Festivals!$V$2:$V$160,$AP253+4),""),"")</f>
        <v/>
      </c>
      <c r="AJ253" t="str">
        <f>IFERROR(IF($AQ253&gt;5,INDEX(Festivals!$V$2:$V$160,$AP253+5),""),"")</f>
        <v/>
      </c>
      <c r="AK253" t="str">
        <f>IFERROR(IF($AQ253&gt;6,INDEX(Festivals!$V$2:$V$160,$AP253+6),""),"")</f>
        <v/>
      </c>
      <c r="AL253" t="str">
        <f ca="1">IFERROR(INDEX('Holidays Calc'!$J$2:$J$233,MATCH(A253,'Holidays Calc'!$I$2:$I$233,0)),"")</f>
        <v/>
      </c>
      <c r="AM253" t="str">
        <f ca="1">IF(AR253="","",IF(INDEX('Holidays Calc'!$I$2:$I$233,AR253+1)=A253,INDEX('Holidays Calc'!$J$2:$J$233,AR253+1),""))</f>
        <v/>
      </c>
      <c r="AN253" t="str">
        <f ca="1">IF(AR253="","",IF(INDEX('Holidays Calc'!$I$2:$I$233,AR253+2)=A253,INDEX('Holidays Calc'!$J$2:$J$233,AR253+2),""))</f>
        <v/>
      </c>
      <c r="AO253" t="str">
        <f ca="1">IF(AR253="","",IF(INDEX('Holidays Calc'!$I$2:$I$233,AR253+3)=A253,INDEX('Holidays Calc'!$J$2:$J$233,AR253+3),""))</f>
        <v/>
      </c>
      <c r="AP253" t="str">
        <f>IFERROR(IF($E253=E252,"",MATCH($E253,Festivals!$H$2:$H$160,0)),"")</f>
        <v/>
      </c>
      <c r="AQ253" t="str">
        <f>IF(AP253="","",COUNTIF(Festivals!$H$2:$H$160,$E253))</f>
        <v/>
      </c>
      <c r="AR253" t="str">
        <f ca="1">IFERROR(MATCH(A253,'Holidays Calc'!$I$2:$I$233,0),"")</f>
        <v/>
      </c>
      <c r="AS253" t="str">
        <f t="shared" si="25"/>
        <v/>
      </c>
      <c r="AT253" t="str">
        <f t="shared" si="24"/>
        <v/>
      </c>
      <c r="AU253" t="str">
        <f t="shared" ca="1" si="26"/>
        <v/>
      </c>
      <c r="AV253" t="str">
        <f t="shared" ca="1" si="27"/>
        <v/>
      </c>
    </row>
    <row r="254" spans="1:48" x14ac:dyDescent="0.25">
      <c r="A254" s="265">
        <f t="shared" si="23"/>
        <v>43680</v>
      </c>
      <c r="B254" s="265" t="str">
        <f t="shared" si="28"/>
        <v>3 Aug 2019</v>
      </c>
      <c r="C254" s="267">
        <f t="shared" si="29"/>
        <v>31</v>
      </c>
      <c r="D254">
        <f>MATCH(A254,GCalXMLT[daydate],0)</f>
        <v>253</v>
      </c>
      <c r="E254">
        <f>VALUE("1" &amp; Masacod(INDEX(GCalXMLT[gymasa],D254)) &amp; PaksaCod(INDEX(GCalXMLT[mpaksaid],D254)) &amp; TithiCod(INDEX(GCalXMLT[stithiname],D254)))</f>
        <v>105103</v>
      </c>
      <c r="F254" t="str">
        <f ca="1">INDEX(Parameters!$K$2:$K$16,MATCH(AV254,Parameters!$L$2:$L$16,0))</f>
        <v/>
      </c>
      <c r="G254">
        <f>INDEX(GCalXMLT[fastmark],$D254)</f>
        <v>0</v>
      </c>
      <c r="H254" t="str">
        <f ca="1">INDEX(Parameters!$J$2:$J$16,MATCH(AV254,Parameters!$L$2:$L$16,0))</f>
        <v/>
      </c>
      <c r="I254">
        <f>INDEX(GCalXMLT[dfestival1],$D254)</f>
        <v>0</v>
      </c>
      <c r="J254">
        <f>IF(INDEX(GCalXMLT[dfestival2],$D254)="(Fast today)",INDEX(Festivals!$R$2:$R$180,MATCH($I254,Festivals!$R$2:$R$180,0)+1),INDEX(GCalXMLT[dfestival2],$D254))</f>
        <v>0</v>
      </c>
      <c r="K254">
        <f>IF(I254="Nandotsava","(Fast till noon)",INDEX(GCalXMLT[dfestival3],$D254))</f>
        <v>0</v>
      </c>
      <c r="L254">
        <f>IF(I254="Nandotsava", INDEX(GCalXMLT[dfestival3],$D254),INDEX(GCalXMLT[dfestival4],$D254))</f>
        <v>0</v>
      </c>
      <c r="M254" t="str">
        <f>IFERROR(INDEX(Festivals!$S$2:$S$160,AP254),"")</f>
        <v/>
      </c>
      <c r="N254" t="str">
        <f>IFERROR(IF($AQ254&gt;1,INDEX(Festivals!$S$2:$S$160,$AP254+1),""),"")</f>
        <v/>
      </c>
      <c r="O254" t="str">
        <f>IFERROR(IF($AQ254&gt;2,INDEX(Festivals!$S$2:$S$160,$AP254+2),""),"")</f>
        <v/>
      </c>
      <c r="P254" t="str">
        <f>IFERROR(IF($AQ254&gt;3,INDEX(Festivals!$S$2:$S$160,$AP254+3),""),"")</f>
        <v/>
      </c>
      <c r="Q254" t="str">
        <f>IFERROR(IF($AQ254&gt;4,INDEX(Festivals!$S$2:$S$160,$AP254+4),""),"")</f>
        <v/>
      </c>
      <c r="R254" t="str">
        <f>IFERROR(IF($AQ254&gt;5,INDEX(Festivals!$S$2:$S$160,$AP254+5),""),"")</f>
        <v/>
      </c>
      <c r="S254" t="str">
        <f>IFERROR(IF($AQ254&gt;6,INDEX(Festivals!$S$2:$S$160,$AP254+6),""),"")</f>
        <v/>
      </c>
      <c r="T254">
        <f>INDEX(GCalXMLT[dcaturmasya1],$D254)</f>
        <v>0</v>
      </c>
      <c r="U254">
        <f>INDEX(GCalXMLT[dcaturmasya2],$D254)</f>
        <v>0</v>
      </c>
      <c r="V254" t="str">
        <f>INDEX(GCalXMLT[sankrantirasi],$D254) &amp; " " &amp; INDEX(GCalXMLT[sankrantitime],$D254)</f>
        <v xml:space="preserve"> </v>
      </c>
      <c r="W254" t="str">
        <f ca="1">IFERROR(INDEX('Holidays Calc'!$K$2:$K$233,AR254),"")</f>
        <v/>
      </c>
      <c r="X254" t="str">
        <f ca="1">IF(AR254="","",IF(INDEX('Holidays Calc'!$I$2:$I$233,AR254+1)=A254,INDEX('Holidays Calc'!$K$2:$K$233,AR254+1),""))</f>
        <v/>
      </c>
      <c r="Y254" t="str">
        <f ca="1">IF(AR254="","",IF(INDEX('Holidays Calc'!$I$2:$I$233,AR254+2)=A254,INDEX('Holidays Calc'!$K$2:$K$233,AR254+2),""))</f>
        <v/>
      </c>
      <c r="Z254" t="str">
        <f ca="1">IF(AR254="","",IF(INDEX('Holidays Calc'!$I$2:$I$233,AR254+3)=A254,INDEX('Holidays Calc'!$K$2:$K$2333,AR254+3),""))</f>
        <v/>
      </c>
      <c r="AA254" t="str">
        <f>IF(I254="Last day of Bhisma Pancaka","",IF(G254="*",-0.7,IF(ISBLANK(INDEX(GCalXMLT[dclass1],$D254)),"",INDEX(GCalXMLT[dclass1],$D254))))</f>
        <v/>
      </c>
      <c r="AB254" t="str">
        <f>IF(J254="First day of Bhisma Pancaka","",IF(AND(G254="*",NOT(ISERROR(SEARCH("ekadasi",J254)))),-0.7,IF(ISBLANK(INDEX(GCalXMLT[dclass2],$D254)),"",INDEX(GCalXMLT[dclass2],$D254))))</f>
        <v/>
      </c>
      <c r="AC254" t="str">
        <f>IF(I254="Nandotsava",-1,IF(ISBLANK(INDEX(GCalXMLT[dclass3],$D254)),"",INDEX(GCalXMLT[dclass3],$D254)))</f>
        <v/>
      </c>
      <c r="AD254" t="str">
        <f>IF(I254="Nandotsava",IF(ISBLANK(INDEX(GCalXMLT[dclass3],$D254)),"",INDEX(GCalXMLT[dclass3],$D254)),IF(ISBLANK(INDEX(GCalXMLT[dclass4],$D254)),"",INDEX(GCalXMLT[dclass4],$D254)))</f>
        <v/>
      </c>
      <c r="AE254" t="str">
        <f>IFERROR(INDEX(Festivals!$V$2:$V$160,AP254),"")</f>
        <v/>
      </c>
      <c r="AF254" t="str">
        <f>IFERROR(IF($AQ254&gt;1,INDEX(Festivals!$V$2:$V$160,$AP254+1),""),"")</f>
        <v/>
      </c>
      <c r="AG254" t="str">
        <f>IFERROR(IF($AQ254&gt;2,INDEX(Festivals!$V$2:$V$160,$AP254+2),""),"")</f>
        <v/>
      </c>
      <c r="AH254" t="str">
        <f>IFERROR(IF($AQ254&gt;3,INDEX(Festivals!$V$2:$V$160,$AP254+3),""),"")</f>
        <v/>
      </c>
      <c r="AI254" t="str">
        <f>IFERROR(IF($AQ254&gt;4,INDEX(Festivals!$V$2:$V$160,$AP254+4),""),"")</f>
        <v/>
      </c>
      <c r="AJ254" t="str">
        <f>IFERROR(IF($AQ254&gt;5,INDEX(Festivals!$V$2:$V$160,$AP254+5),""),"")</f>
        <v/>
      </c>
      <c r="AK254" t="str">
        <f>IFERROR(IF($AQ254&gt;6,INDEX(Festivals!$V$2:$V$160,$AP254+6),""),"")</f>
        <v/>
      </c>
      <c r="AL254" t="str">
        <f ca="1">IFERROR(INDEX('Holidays Calc'!$J$2:$J$233,MATCH(A254,'Holidays Calc'!$I$2:$I$233,0)),"")</f>
        <v/>
      </c>
      <c r="AM254" t="str">
        <f ca="1">IF(AR254="","",IF(INDEX('Holidays Calc'!$I$2:$I$233,AR254+1)=A254,INDEX('Holidays Calc'!$J$2:$J$233,AR254+1),""))</f>
        <v/>
      </c>
      <c r="AN254" t="str">
        <f ca="1">IF(AR254="","",IF(INDEX('Holidays Calc'!$I$2:$I$233,AR254+2)=A254,INDEX('Holidays Calc'!$J$2:$J$233,AR254+2),""))</f>
        <v/>
      </c>
      <c r="AO254" t="str">
        <f ca="1">IF(AR254="","",IF(INDEX('Holidays Calc'!$I$2:$I$233,AR254+3)=A254,INDEX('Holidays Calc'!$J$2:$J$233,AR254+3),""))</f>
        <v/>
      </c>
      <c r="AP254" t="str">
        <f>IFERROR(IF($E254=E253,"",MATCH($E254,Festivals!$H$2:$H$160,0)),"")</f>
        <v/>
      </c>
      <c r="AQ254" t="str">
        <f>IF(AP254="","",COUNTIF(Festivals!$H$2:$H$160,$E254))</f>
        <v/>
      </c>
      <c r="AR254" t="str">
        <f ca="1">IFERROR(MATCH(A254,'Holidays Calc'!$I$2:$I$233,0),"")</f>
        <v/>
      </c>
      <c r="AS254" t="str">
        <f t="shared" si="25"/>
        <v/>
      </c>
      <c r="AT254" t="str">
        <f t="shared" si="24"/>
        <v/>
      </c>
      <c r="AU254" t="str">
        <f t="shared" ca="1" si="26"/>
        <v/>
      </c>
      <c r="AV254" t="str">
        <f t="shared" ca="1" si="27"/>
        <v/>
      </c>
    </row>
    <row r="255" spans="1:48" x14ac:dyDescent="0.25">
      <c r="A255" s="265">
        <f t="shared" si="23"/>
        <v>43681</v>
      </c>
      <c r="B255" s="265" t="str">
        <f t="shared" si="28"/>
        <v>4 Aug 2019</v>
      </c>
      <c r="C255" s="267">
        <f t="shared" si="29"/>
        <v>31</v>
      </c>
      <c r="D255">
        <f>MATCH(A255,GCalXMLT[daydate],0)</f>
        <v>254</v>
      </c>
      <c r="E255">
        <f>VALUE("1" &amp; Masacod(INDEX(GCalXMLT[gymasa],D255)) &amp; PaksaCod(INDEX(GCalXMLT[mpaksaid],D255)) &amp; TithiCod(INDEX(GCalXMLT[stithiname],D255)))</f>
        <v>105104</v>
      </c>
      <c r="F255" t="str">
        <f ca="1">INDEX(Parameters!$K$2:$K$16,MATCH(AV255,Parameters!$L$2:$L$16,0))</f>
        <v>C</v>
      </c>
      <c r="G255">
        <f>INDEX(GCalXMLT[fastmark],$D255)</f>
        <v>0</v>
      </c>
      <c r="H255" t="str">
        <f ca="1">INDEX(Parameters!$J$2:$J$16,MATCH(AV255,Parameters!$L$2:$L$16,0))</f>
        <v/>
      </c>
      <c r="I255">
        <f>INDEX(GCalXMLT[dfestival1],$D255)</f>
        <v>0</v>
      </c>
      <c r="J255">
        <f>IF(INDEX(GCalXMLT[dfestival2],$D255)="(Fast today)",INDEX(Festivals!$R$2:$R$180,MATCH($I255,Festivals!$R$2:$R$180,0)+1),INDEX(GCalXMLT[dfestival2],$D255))</f>
        <v>0</v>
      </c>
      <c r="K255">
        <f>IF(I255="Nandotsava","(Fast till noon)",INDEX(GCalXMLT[dfestival3],$D255))</f>
        <v>0</v>
      </c>
      <c r="L255">
        <f>IF(I255="Nandotsava", INDEX(GCalXMLT[dfestival3],$D255),INDEX(GCalXMLT[dfestival4],$D255))</f>
        <v>0</v>
      </c>
      <c r="M255" t="str">
        <f>IFERROR(INDEX(Festivals!$S$2:$S$160,AP255),"")</f>
        <v>Sri Raghunandana Thakura - Disappearance</v>
      </c>
      <c r="N255" t="str">
        <f>IFERROR(IF($AQ255&gt;1,INDEX(Festivals!$S$2:$S$160,$AP255+1),""),"")</f>
        <v>Sri Vamsidasa Babaji - Disappearance</v>
      </c>
      <c r="O255" t="str">
        <f>IFERROR(IF($AQ255&gt;2,INDEX(Festivals!$S$2:$S$160,$AP255+2),""),"")</f>
        <v/>
      </c>
      <c r="P255" t="str">
        <f>IFERROR(IF($AQ255&gt;3,INDEX(Festivals!$S$2:$S$160,$AP255+3),""),"")</f>
        <v/>
      </c>
      <c r="Q255" t="str">
        <f>IFERROR(IF($AQ255&gt;4,INDEX(Festivals!$S$2:$S$160,$AP255+4),""),"")</f>
        <v/>
      </c>
      <c r="R255" t="str">
        <f>IFERROR(IF($AQ255&gt;5,INDEX(Festivals!$S$2:$S$160,$AP255+5),""),"")</f>
        <v/>
      </c>
      <c r="S255" t="str">
        <f>IFERROR(IF($AQ255&gt;6,INDEX(Festivals!$S$2:$S$160,$AP255+6),""),"")</f>
        <v/>
      </c>
      <c r="T255">
        <f>INDEX(GCalXMLT[dcaturmasya1],$D255)</f>
        <v>0</v>
      </c>
      <c r="U255">
        <f>INDEX(GCalXMLT[dcaturmasya2],$D255)</f>
        <v>0</v>
      </c>
      <c r="V255" t="str">
        <f>INDEX(GCalXMLT[sankrantirasi],$D255) &amp; " " &amp; INDEX(GCalXMLT[sankrantitime],$D255)</f>
        <v xml:space="preserve"> </v>
      </c>
      <c r="W255" t="str">
        <f ca="1">IFERROR(INDEX('Holidays Calc'!$K$2:$K$233,AR255),"")</f>
        <v/>
      </c>
      <c r="X255" t="str">
        <f ca="1">IF(AR255="","",IF(INDEX('Holidays Calc'!$I$2:$I$233,AR255+1)=A255,INDEX('Holidays Calc'!$K$2:$K$233,AR255+1),""))</f>
        <v/>
      </c>
      <c r="Y255" t="str">
        <f ca="1">IF(AR255="","",IF(INDEX('Holidays Calc'!$I$2:$I$233,AR255+2)=A255,INDEX('Holidays Calc'!$K$2:$K$233,AR255+2),""))</f>
        <v/>
      </c>
      <c r="Z255" t="str">
        <f ca="1">IF(AR255="","",IF(INDEX('Holidays Calc'!$I$2:$I$233,AR255+3)=A255,INDEX('Holidays Calc'!$K$2:$K$2333,AR255+3),""))</f>
        <v/>
      </c>
      <c r="AA255" t="str">
        <f>IF(I255="Last day of Bhisma Pancaka","",IF(G255="*",-0.7,IF(ISBLANK(INDEX(GCalXMLT[dclass1],$D255)),"",INDEX(GCalXMLT[dclass1],$D255))))</f>
        <v/>
      </c>
      <c r="AB255" t="str">
        <f>IF(J255="First day of Bhisma Pancaka","",IF(AND(G255="*",NOT(ISERROR(SEARCH("ekadasi",J255)))),-0.7,IF(ISBLANK(INDEX(GCalXMLT[dclass2],$D255)),"",INDEX(GCalXMLT[dclass2],$D255))))</f>
        <v/>
      </c>
      <c r="AC255" t="str">
        <f>IF(I255="Nandotsava",-1,IF(ISBLANK(INDEX(GCalXMLT[dclass3],$D255)),"",INDEX(GCalXMLT[dclass3],$D255)))</f>
        <v/>
      </c>
      <c r="AD255" t="str">
        <f>IF(I255="Nandotsava",IF(ISBLANK(INDEX(GCalXMLT[dclass3],$D255)),"",INDEX(GCalXMLT[dclass3],$D255)),IF(ISBLANK(INDEX(GCalXMLT[dclass4],$D255)),"",INDEX(GCalXMLT[dclass4],$D255)))</f>
        <v/>
      </c>
      <c r="AE255">
        <f>IFERROR(INDEX(Festivals!$V$2:$V$160,AP255),"")</f>
        <v>3</v>
      </c>
      <c r="AF255">
        <f>IFERROR(IF($AQ255&gt;1,INDEX(Festivals!$V$2:$V$160,$AP255+1),""),"")</f>
        <v>2</v>
      </c>
      <c r="AG255" t="str">
        <f>IFERROR(IF($AQ255&gt;2,INDEX(Festivals!$V$2:$V$160,$AP255+2),""),"")</f>
        <v/>
      </c>
      <c r="AH255" t="str">
        <f>IFERROR(IF($AQ255&gt;3,INDEX(Festivals!$V$2:$V$160,$AP255+3),""),"")</f>
        <v/>
      </c>
      <c r="AI255" t="str">
        <f>IFERROR(IF($AQ255&gt;4,INDEX(Festivals!$V$2:$V$160,$AP255+4),""),"")</f>
        <v/>
      </c>
      <c r="AJ255" t="str">
        <f>IFERROR(IF($AQ255&gt;5,INDEX(Festivals!$V$2:$V$160,$AP255+5),""),"")</f>
        <v/>
      </c>
      <c r="AK255" t="str">
        <f>IFERROR(IF($AQ255&gt;6,INDEX(Festivals!$V$2:$V$160,$AP255+6),""),"")</f>
        <v/>
      </c>
      <c r="AL255" t="str">
        <f ca="1">IFERROR(INDEX('Holidays Calc'!$J$2:$J$233,MATCH(A255,'Holidays Calc'!$I$2:$I$233,0)),"")</f>
        <v/>
      </c>
      <c r="AM255" t="str">
        <f ca="1">IF(AR255="","",IF(INDEX('Holidays Calc'!$I$2:$I$233,AR255+1)=A255,INDEX('Holidays Calc'!$J$2:$J$233,AR255+1),""))</f>
        <v/>
      </c>
      <c r="AN255" t="str">
        <f ca="1">IF(AR255="","",IF(INDEX('Holidays Calc'!$I$2:$I$233,AR255+2)=A255,INDEX('Holidays Calc'!$J$2:$J$233,AR255+2),""))</f>
        <v/>
      </c>
      <c r="AO255" t="str">
        <f ca="1">IF(AR255="","",IF(INDEX('Holidays Calc'!$I$2:$I$233,AR255+3)=A255,INDEX('Holidays Calc'!$J$2:$J$233,AR255+3),""))</f>
        <v/>
      </c>
      <c r="AP255">
        <f>IFERROR(IF($E255=E254,"",MATCH($E255,Festivals!$H$2:$H$160,0)),"")</f>
        <v>49</v>
      </c>
      <c r="AQ255">
        <f>IF(AP255="","",COUNTIF(Festivals!$H$2:$H$160,$E255))</f>
        <v>2</v>
      </c>
      <c r="AR255" t="str">
        <f ca="1">IFERROR(MATCH(A255,'Holidays Calc'!$I$2:$I$233,0),"")</f>
        <v/>
      </c>
      <c r="AS255">
        <f t="shared" si="25"/>
        <v>2</v>
      </c>
      <c r="AT255">
        <f t="shared" si="24"/>
        <v>2</v>
      </c>
      <c r="AU255" t="str">
        <f t="shared" ca="1" si="26"/>
        <v/>
      </c>
      <c r="AV255">
        <f t="shared" ca="1" si="27"/>
        <v>2</v>
      </c>
    </row>
    <row r="256" spans="1:48" x14ac:dyDescent="0.25">
      <c r="A256" s="265">
        <f t="shared" si="23"/>
        <v>43682</v>
      </c>
      <c r="B256" s="265" t="str">
        <f t="shared" si="28"/>
        <v>5 Aug 2019</v>
      </c>
      <c r="C256" s="267">
        <f t="shared" si="29"/>
        <v>32</v>
      </c>
      <c r="D256">
        <f>MATCH(A256,GCalXMLT[daydate],0)</f>
        <v>255</v>
      </c>
      <c r="E256">
        <f>VALUE("1" &amp; Masacod(INDEX(GCalXMLT[gymasa],D256)) &amp; PaksaCod(INDEX(GCalXMLT[mpaksaid],D256)) &amp; TithiCod(INDEX(GCalXMLT[stithiname],D256)))</f>
        <v>105105</v>
      </c>
      <c r="F256" t="str">
        <f ca="1">INDEX(Parameters!$K$2:$K$16,MATCH(AV256,Parameters!$L$2:$L$16,0))</f>
        <v/>
      </c>
      <c r="G256">
        <f>INDEX(GCalXMLT[fastmark],$D256)</f>
        <v>0</v>
      </c>
      <c r="H256" t="str">
        <f ca="1">INDEX(Parameters!$J$2:$J$16,MATCH(AV256,Parameters!$L$2:$L$16,0))</f>
        <v/>
      </c>
      <c r="I256">
        <f>INDEX(GCalXMLT[dfestival1],$D256)</f>
        <v>0</v>
      </c>
      <c r="J256">
        <f>IF(INDEX(GCalXMLT[dfestival2],$D256)="(Fast today)",INDEX(Festivals!$R$2:$R$180,MATCH($I256,Festivals!$R$2:$R$180,0)+1),INDEX(GCalXMLT[dfestival2],$D256))</f>
        <v>0</v>
      </c>
      <c r="K256">
        <f>IF(I256="Nandotsava","(Fast till noon)",INDEX(GCalXMLT[dfestival3],$D256))</f>
        <v>0</v>
      </c>
      <c r="L256">
        <f>IF(I256="Nandotsava", INDEX(GCalXMLT[dfestival3],$D256),INDEX(GCalXMLT[dfestival4],$D256))</f>
        <v>0</v>
      </c>
      <c r="M256" t="str">
        <f>IFERROR(INDEX(Festivals!$S$2:$S$160,AP256),"")</f>
        <v/>
      </c>
      <c r="N256" t="str">
        <f>IFERROR(IF($AQ256&gt;1,INDEX(Festivals!$S$2:$S$160,$AP256+1),""),"")</f>
        <v/>
      </c>
      <c r="O256" t="str">
        <f>IFERROR(IF($AQ256&gt;2,INDEX(Festivals!$S$2:$S$160,$AP256+2),""),"")</f>
        <v/>
      </c>
      <c r="P256" t="str">
        <f>IFERROR(IF($AQ256&gt;3,INDEX(Festivals!$S$2:$S$160,$AP256+3),""),"")</f>
        <v/>
      </c>
      <c r="Q256" t="str">
        <f>IFERROR(IF($AQ256&gt;4,INDEX(Festivals!$S$2:$S$160,$AP256+4),""),"")</f>
        <v/>
      </c>
      <c r="R256" t="str">
        <f>IFERROR(IF($AQ256&gt;5,INDEX(Festivals!$S$2:$S$160,$AP256+5),""),"")</f>
        <v/>
      </c>
      <c r="S256" t="str">
        <f>IFERROR(IF($AQ256&gt;6,INDEX(Festivals!$S$2:$S$160,$AP256+6),""),"")</f>
        <v/>
      </c>
      <c r="T256">
        <f>INDEX(GCalXMLT[dcaturmasya1],$D256)</f>
        <v>0</v>
      </c>
      <c r="U256">
        <f>INDEX(GCalXMLT[dcaturmasya2],$D256)</f>
        <v>0</v>
      </c>
      <c r="V256" t="str">
        <f>INDEX(GCalXMLT[sankrantirasi],$D256) &amp; " " &amp; INDEX(GCalXMLT[sankrantitime],$D256)</f>
        <v xml:space="preserve"> </v>
      </c>
      <c r="W256" t="str">
        <f ca="1">IFERROR(INDEX('Holidays Calc'!$K$2:$K$233,AR256),"")</f>
        <v/>
      </c>
      <c r="X256" t="str">
        <f ca="1">IF(AR256="","",IF(INDEX('Holidays Calc'!$I$2:$I$233,AR256+1)=A256,INDEX('Holidays Calc'!$K$2:$K$233,AR256+1),""))</f>
        <v/>
      </c>
      <c r="Y256" t="str">
        <f ca="1">IF(AR256="","",IF(INDEX('Holidays Calc'!$I$2:$I$233,AR256+2)=A256,INDEX('Holidays Calc'!$K$2:$K$233,AR256+2),""))</f>
        <v/>
      </c>
      <c r="Z256" t="str">
        <f ca="1">IF(AR256="","",IF(INDEX('Holidays Calc'!$I$2:$I$233,AR256+3)=A256,INDEX('Holidays Calc'!$K$2:$K$2333,AR256+3),""))</f>
        <v/>
      </c>
      <c r="AA256" t="str">
        <f>IF(I256="Last day of Bhisma Pancaka","",IF(G256="*",-0.7,IF(ISBLANK(INDEX(GCalXMLT[dclass1],$D256)),"",INDEX(GCalXMLT[dclass1],$D256))))</f>
        <v/>
      </c>
      <c r="AB256" t="str">
        <f>IF(J256="First day of Bhisma Pancaka","",IF(AND(G256="*",NOT(ISERROR(SEARCH("ekadasi",J256)))),-0.7,IF(ISBLANK(INDEX(GCalXMLT[dclass2],$D256)),"",INDEX(GCalXMLT[dclass2],$D256))))</f>
        <v/>
      </c>
      <c r="AC256" t="str">
        <f>IF(I256="Nandotsava",-1,IF(ISBLANK(INDEX(GCalXMLT[dclass3],$D256)),"",INDEX(GCalXMLT[dclass3],$D256)))</f>
        <v/>
      </c>
      <c r="AD256" t="str">
        <f>IF(I256="Nandotsava",IF(ISBLANK(INDEX(GCalXMLT[dclass3],$D256)),"",INDEX(GCalXMLT[dclass3],$D256)),IF(ISBLANK(INDEX(GCalXMLT[dclass4],$D256)),"",INDEX(GCalXMLT[dclass4],$D256)))</f>
        <v/>
      </c>
      <c r="AE256" t="str">
        <f>IFERROR(INDEX(Festivals!$V$2:$V$160,AP256),"")</f>
        <v/>
      </c>
      <c r="AF256" t="str">
        <f>IFERROR(IF($AQ256&gt;1,INDEX(Festivals!$V$2:$V$160,$AP256+1),""),"")</f>
        <v/>
      </c>
      <c r="AG256" t="str">
        <f>IFERROR(IF($AQ256&gt;2,INDEX(Festivals!$V$2:$V$160,$AP256+2),""),"")</f>
        <v/>
      </c>
      <c r="AH256" t="str">
        <f>IFERROR(IF($AQ256&gt;3,INDEX(Festivals!$V$2:$V$160,$AP256+3),""),"")</f>
        <v/>
      </c>
      <c r="AI256" t="str">
        <f>IFERROR(IF($AQ256&gt;4,INDEX(Festivals!$V$2:$V$160,$AP256+4),""),"")</f>
        <v/>
      </c>
      <c r="AJ256" t="str">
        <f>IFERROR(IF($AQ256&gt;5,INDEX(Festivals!$V$2:$V$160,$AP256+5),""),"")</f>
        <v/>
      </c>
      <c r="AK256" t="str">
        <f>IFERROR(IF($AQ256&gt;6,INDEX(Festivals!$V$2:$V$160,$AP256+6),""),"")</f>
        <v/>
      </c>
      <c r="AL256" t="str">
        <f ca="1">IFERROR(INDEX('Holidays Calc'!$J$2:$J$233,MATCH(A256,'Holidays Calc'!$I$2:$I$233,0)),"")</f>
        <v/>
      </c>
      <c r="AM256" t="str">
        <f ca="1">IF(AR256="","",IF(INDEX('Holidays Calc'!$I$2:$I$233,AR256+1)=A256,INDEX('Holidays Calc'!$J$2:$J$233,AR256+1),""))</f>
        <v/>
      </c>
      <c r="AN256" t="str">
        <f ca="1">IF(AR256="","",IF(INDEX('Holidays Calc'!$I$2:$I$233,AR256+2)=A256,INDEX('Holidays Calc'!$J$2:$J$233,AR256+2),""))</f>
        <v/>
      </c>
      <c r="AO256" t="str">
        <f ca="1">IF(AR256="","",IF(INDEX('Holidays Calc'!$I$2:$I$233,AR256+3)=A256,INDEX('Holidays Calc'!$J$2:$J$233,AR256+3),""))</f>
        <v/>
      </c>
      <c r="AP256" t="str">
        <f>IFERROR(IF($E256=E255,"",MATCH($E256,Festivals!$H$2:$H$160,0)),"")</f>
        <v/>
      </c>
      <c r="AQ256" t="str">
        <f>IF(AP256="","",COUNTIF(Festivals!$H$2:$H$160,$E256))</f>
        <v/>
      </c>
      <c r="AR256" t="str">
        <f ca="1">IFERROR(MATCH(A256,'Holidays Calc'!$I$2:$I$233,0),"")</f>
        <v/>
      </c>
      <c r="AS256" t="str">
        <f t="shared" si="25"/>
        <v/>
      </c>
      <c r="AT256" t="str">
        <f t="shared" si="24"/>
        <v/>
      </c>
      <c r="AU256" t="str">
        <f t="shared" ca="1" si="26"/>
        <v/>
      </c>
      <c r="AV256" t="str">
        <f t="shared" ca="1" si="27"/>
        <v/>
      </c>
    </row>
    <row r="257" spans="1:48" x14ac:dyDescent="0.25">
      <c r="A257" s="265">
        <f t="shared" si="23"/>
        <v>43683</v>
      </c>
      <c r="B257" s="265" t="str">
        <f t="shared" si="28"/>
        <v>6 Aug 2019</v>
      </c>
      <c r="C257" s="267">
        <f t="shared" si="29"/>
        <v>32</v>
      </c>
      <c r="D257">
        <f>MATCH(A257,GCalXMLT[daydate],0)</f>
        <v>256</v>
      </c>
      <c r="E257">
        <f>VALUE("1" &amp; Masacod(INDEX(GCalXMLT[gymasa],D257)) &amp; PaksaCod(INDEX(GCalXMLT[mpaksaid],D257)) &amp; TithiCod(INDEX(GCalXMLT[stithiname],D257)))</f>
        <v>105107</v>
      </c>
      <c r="F257" t="str">
        <f ca="1">INDEX(Parameters!$K$2:$K$16,MATCH(AV257,Parameters!$L$2:$L$16,0))</f>
        <v/>
      </c>
      <c r="G257">
        <f>INDEX(GCalXMLT[fastmark],$D257)</f>
        <v>0</v>
      </c>
      <c r="H257" t="str">
        <f ca="1">INDEX(Parameters!$J$2:$J$16,MATCH(AV257,Parameters!$L$2:$L$16,0))</f>
        <v/>
      </c>
      <c r="I257">
        <f>INDEX(GCalXMLT[dfestival1],$D257)</f>
        <v>0</v>
      </c>
      <c r="J257">
        <f>IF(INDEX(GCalXMLT[dfestival2],$D257)="(Fast today)",INDEX(Festivals!$R$2:$R$180,MATCH($I257,Festivals!$R$2:$R$180,0)+1),INDEX(GCalXMLT[dfestival2],$D257))</f>
        <v>0</v>
      </c>
      <c r="K257">
        <f>IF(I257="Nandotsava","(Fast till noon)",INDEX(GCalXMLT[dfestival3],$D257))</f>
        <v>0</v>
      </c>
      <c r="L257">
        <f>IF(I257="Nandotsava", INDEX(GCalXMLT[dfestival3],$D257),INDEX(GCalXMLT[dfestival4],$D257))</f>
        <v>0</v>
      </c>
      <c r="M257" t="str">
        <f>IFERROR(INDEX(Festivals!$S$2:$S$160,AP257),"")</f>
        <v/>
      </c>
      <c r="N257" t="str">
        <f>IFERROR(IF($AQ257&gt;1,INDEX(Festivals!$S$2:$S$160,$AP257+1),""),"")</f>
        <v/>
      </c>
      <c r="O257" t="str">
        <f>IFERROR(IF($AQ257&gt;2,INDEX(Festivals!$S$2:$S$160,$AP257+2),""),"")</f>
        <v/>
      </c>
      <c r="P257" t="str">
        <f>IFERROR(IF($AQ257&gt;3,INDEX(Festivals!$S$2:$S$160,$AP257+3),""),"")</f>
        <v/>
      </c>
      <c r="Q257" t="str">
        <f>IFERROR(IF($AQ257&gt;4,INDEX(Festivals!$S$2:$S$160,$AP257+4),""),"")</f>
        <v/>
      </c>
      <c r="R257" t="str">
        <f>IFERROR(IF($AQ257&gt;5,INDEX(Festivals!$S$2:$S$160,$AP257+5),""),"")</f>
        <v/>
      </c>
      <c r="S257" t="str">
        <f>IFERROR(IF($AQ257&gt;6,INDEX(Festivals!$S$2:$S$160,$AP257+6),""),"")</f>
        <v/>
      </c>
      <c r="T257">
        <f>INDEX(GCalXMLT[dcaturmasya1],$D257)</f>
        <v>0</v>
      </c>
      <c r="U257">
        <f>INDEX(GCalXMLT[dcaturmasya2],$D257)</f>
        <v>0</v>
      </c>
      <c r="V257" t="str">
        <f>INDEX(GCalXMLT[sankrantirasi],$D257) &amp; " " &amp; INDEX(GCalXMLT[sankrantitime],$D257)</f>
        <v xml:space="preserve"> </v>
      </c>
      <c r="W257" t="str">
        <f ca="1">IFERROR(INDEX('Holidays Calc'!$K$2:$K$233,AR257),"")</f>
        <v/>
      </c>
      <c r="X257" t="str">
        <f ca="1">IF(AR257="","",IF(INDEX('Holidays Calc'!$I$2:$I$233,AR257+1)=A257,INDEX('Holidays Calc'!$K$2:$K$233,AR257+1),""))</f>
        <v/>
      </c>
      <c r="Y257" t="str">
        <f ca="1">IF(AR257="","",IF(INDEX('Holidays Calc'!$I$2:$I$233,AR257+2)=A257,INDEX('Holidays Calc'!$K$2:$K$233,AR257+2),""))</f>
        <v/>
      </c>
      <c r="Z257" t="str">
        <f ca="1">IF(AR257="","",IF(INDEX('Holidays Calc'!$I$2:$I$233,AR257+3)=A257,INDEX('Holidays Calc'!$K$2:$K$2333,AR257+3),""))</f>
        <v/>
      </c>
      <c r="AA257" t="str">
        <f>IF(I257="Last day of Bhisma Pancaka","",IF(G257="*",-0.7,IF(ISBLANK(INDEX(GCalXMLT[dclass1],$D257)),"",INDEX(GCalXMLT[dclass1],$D257))))</f>
        <v/>
      </c>
      <c r="AB257" t="str">
        <f>IF(J257="First day of Bhisma Pancaka","",IF(AND(G257="*",NOT(ISERROR(SEARCH("ekadasi",J257)))),-0.7,IF(ISBLANK(INDEX(GCalXMLT[dclass2],$D257)),"",INDEX(GCalXMLT[dclass2],$D257))))</f>
        <v/>
      </c>
      <c r="AC257" t="str">
        <f>IF(I257="Nandotsava",-1,IF(ISBLANK(INDEX(GCalXMLT[dclass3],$D257)),"",INDEX(GCalXMLT[dclass3],$D257)))</f>
        <v/>
      </c>
      <c r="AD257" t="str">
        <f>IF(I257="Nandotsava",IF(ISBLANK(INDEX(GCalXMLT[dclass3],$D257)),"",INDEX(GCalXMLT[dclass3],$D257)),IF(ISBLANK(INDEX(GCalXMLT[dclass4],$D257)),"",INDEX(GCalXMLT[dclass4],$D257)))</f>
        <v/>
      </c>
      <c r="AE257" t="str">
        <f>IFERROR(INDEX(Festivals!$V$2:$V$160,AP257),"")</f>
        <v/>
      </c>
      <c r="AF257" t="str">
        <f>IFERROR(IF($AQ257&gt;1,INDEX(Festivals!$V$2:$V$160,$AP257+1),""),"")</f>
        <v/>
      </c>
      <c r="AG257" t="str">
        <f>IFERROR(IF($AQ257&gt;2,INDEX(Festivals!$V$2:$V$160,$AP257+2),""),"")</f>
        <v/>
      </c>
      <c r="AH257" t="str">
        <f>IFERROR(IF($AQ257&gt;3,INDEX(Festivals!$V$2:$V$160,$AP257+3),""),"")</f>
        <v/>
      </c>
      <c r="AI257" t="str">
        <f>IFERROR(IF($AQ257&gt;4,INDEX(Festivals!$V$2:$V$160,$AP257+4),""),"")</f>
        <v/>
      </c>
      <c r="AJ257" t="str">
        <f>IFERROR(IF($AQ257&gt;5,INDEX(Festivals!$V$2:$V$160,$AP257+5),""),"")</f>
        <v/>
      </c>
      <c r="AK257" t="str">
        <f>IFERROR(IF($AQ257&gt;6,INDEX(Festivals!$V$2:$V$160,$AP257+6),""),"")</f>
        <v/>
      </c>
      <c r="AL257" t="str">
        <f ca="1">IFERROR(INDEX('Holidays Calc'!$J$2:$J$233,MATCH(A257,'Holidays Calc'!$I$2:$I$233,0)),"")</f>
        <v/>
      </c>
      <c r="AM257" t="str">
        <f ca="1">IF(AR257="","",IF(INDEX('Holidays Calc'!$I$2:$I$233,AR257+1)=A257,INDEX('Holidays Calc'!$J$2:$J$233,AR257+1),""))</f>
        <v/>
      </c>
      <c r="AN257" t="str">
        <f ca="1">IF(AR257="","",IF(INDEX('Holidays Calc'!$I$2:$I$233,AR257+2)=A257,INDEX('Holidays Calc'!$J$2:$J$233,AR257+2),""))</f>
        <v/>
      </c>
      <c r="AO257" t="str">
        <f ca="1">IF(AR257="","",IF(INDEX('Holidays Calc'!$I$2:$I$233,AR257+3)=A257,INDEX('Holidays Calc'!$J$2:$J$233,AR257+3),""))</f>
        <v/>
      </c>
      <c r="AP257" t="str">
        <f>IFERROR(IF($E257=E256,"",MATCH($E257,Festivals!$H$2:$H$160,0)),"")</f>
        <v/>
      </c>
      <c r="AQ257" t="str">
        <f>IF(AP257="","",COUNTIF(Festivals!$H$2:$H$160,$E257))</f>
        <v/>
      </c>
      <c r="AR257" t="str">
        <f ca="1">IFERROR(MATCH(A257,'Holidays Calc'!$I$2:$I$233,0),"")</f>
        <v/>
      </c>
      <c r="AS257" t="str">
        <f t="shared" si="25"/>
        <v/>
      </c>
      <c r="AT257" t="str">
        <f t="shared" si="24"/>
        <v/>
      </c>
      <c r="AU257" t="str">
        <f t="shared" ca="1" si="26"/>
        <v/>
      </c>
      <c r="AV257" t="str">
        <f t="shared" ca="1" si="27"/>
        <v/>
      </c>
    </row>
    <row r="258" spans="1:48" x14ac:dyDescent="0.25">
      <c r="A258" s="265">
        <f t="shared" ref="A258:A321" si="30">A257+1</f>
        <v>43684</v>
      </c>
      <c r="B258" s="265" t="str">
        <f t="shared" si="28"/>
        <v>7 Aug 2019</v>
      </c>
      <c r="C258" s="267">
        <f t="shared" si="29"/>
        <v>32</v>
      </c>
      <c r="D258">
        <f>MATCH(A258,GCalXMLT[daydate],0)</f>
        <v>257</v>
      </c>
      <c r="E258">
        <f>VALUE("1" &amp; Masacod(INDEX(GCalXMLT[gymasa],D258)) &amp; PaksaCod(INDEX(GCalXMLT[mpaksaid],D258)) &amp; TithiCod(INDEX(GCalXMLT[stithiname],D258)))</f>
        <v>105108</v>
      </c>
      <c r="F258" t="str">
        <f ca="1">INDEX(Parameters!$K$2:$K$16,MATCH(AV258,Parameters!$L$2:$L$16,0))</f>
        <v/>
      </c>
      <c r="G258">
        <f>INDEX(GCalXMLT[fastmark],$D258)</f>
        <v>0</v>
      </c>
      <c r="H258" t="str">
        <f ca="1">INDEX(Parameters!$J$2:$J$16,MATCH(AV258,Parameters!$L$2:$L$16,0))</f>
        <v/>
      </c>
      <c r="I258">
        <f>INDEX(GCalXMLT[dfestival1],$D258)</f>
        <v>0</v>
      </c>
      <c r="J258">
        <f>IF(INDEX(GCalXMLT[dfestival2],$D258)="(Fast today)",INDEX(Festivals!$R$2:$R$180,MATCH($I258,Festivals!$R$2:$R$180,0)+1),INDEX(GCalXMLT[dfestival2],$D258))</f>
        <v>0</v>
      </c>
      <c r="K258">
        <f>IF(I258="Nandotsava","(Fast till noon)",INDEX(GCalXMLT[dfestival3],$D258))</f>
        <v>0</v>
      </c>
      <c r="L258">
        <f>IF(I258="Nandotsava", INDEX(GCalXMLT[dfestival3],$D258),INDEX(GCalXMLT[dfestival4],$D258))</f>
        <v>0</v>
      </c>
      <c r="M258" t="str">
        <f>IFERROR(INDEX(Festivals!$S$2:$S$160,AP258),"")</f>
        <v/>
      </c>
      <c r="N258" t="str">
        <f>IFERROR(IF($AQ258&gt;1,INDEX(Festivals!$S$2:$S$160,$AP258+1),""),"")</f>
        <v/>
      </c>
      <c r="O258" t="str">
        <f>IFERROR(IF($AQ258&gt;2,INDEX(Festivals!$S$2:$S$160,$AP258+2),""),"")</f>
        <v/>
      </c>
      <c r="P258" t="str">
        <f>IFERROR(IF($AQ258&gt;3,INDEX(Festivals!$S$2:$S$160,$AP258+3),""),"")</f>
        <v/>
      </c>
      <c r="Q258" t="str">
        <f>IFERROR(IF($AQ258&gt;4,INDEX(Festivals!$S$2:$S$160,$AP258+4),""),"")</f>
        <v/>
      </c>
      <c r="R258" t="str">
        <f>IFERROR(IF($AQ258&gt;5,INDEX(Festivals!$S$2:$S$160,$AP258+5),""),"")</f>
        <v/>
      </c>
      <c r="S258" t="str">
        <f>IFERROR(IF($AQ258&gt;6,INDEX(Festivals!$S$2:$S$160,$AP258+6),""),"")</f>
        <v/>
      </c>
      <c r="T258">
        <f>INDEX(GCalXMLT[dcaturmasya1],$D258)</f>
        <v>0</v>
      </c>
      <c r="U258">
        <f>INDEX(GCalXMLT[dcaturmasya2],$D258)</f>
        <v>0</v>
      </c>
      <c r="V258" t="str">
        <f>INDEX(GCalXMLT[sankrantirasi],$D258) &amp; " " &amp; INDEX(GCalXMLT[sankrantitime],$D258)</f>
        <v xml:space="preserve"> </v>
      </c>
      <c r="W258" t="str">
        <f ca="1">IFERROR(INDEX('Holidays Calc'!$K$2:$K$233,AR258),"")</f>
        <v/>
      </c>
      <c r="X258" t="str">
        <f ca="1">IF(AR258="","",IF(INDEX('Holidays Calc'!$I$2:$I$233,AR258+1)=A258,INDEX('Holidays Calc'!$K$2:$K$233,AR258+1),""))</f>
        <v/>
      </c>
      <c r="Y258" t="str">
        <f ca="1">IF(AR258="","",IF(INDEX('Holidays Calc'!$I$2:$I$233,AR258+2)=A258,INDEX('Holidays Calc'!$K$2:$K$233,AR258+2),""))</f>
        <v/>
      </c>
      <c r="Z258" t="str">
        <f ca="1">IF(AR258="","",IF(INDEX('Holidays Calc'!$I$2:$I$233,AR258+3)=A258,INDEX('Holidays Calc'!$K$2:$K$2333,AR258+3),""))</f>
        <v/>
      </c>
      <c r="AA258" t="str">
        <f>IF(I258="Last day of Bhisma Pancaka","",IF(G258="*",-0.7,IF(ISBLANK(INDEX(GCalXMLT[dclass1],$D258)),"",INDEX(GCalXMLT[dclass1],$D258))))</f>
        <v/>
      </c>
      <c r="AB258" t="str">
        <f>IF(J258="First day of Bhisma Pancaka","",IF(AND(G258="*",NOT(ISERROR(SEARCH("ekadasi",J258)))),-0.7,IF(ISBLANK(INDEX(GCalXMLT[dclass2],$D258)),"",INDEX(GCalXMLT[dclass2],$D258))))</f>
        <v/>
      </c>
      <c r="AC258" t="str">
        <f>IF(I258="Nandotsava",-1,IF(ISBLANK(INDEX(GCalXMLT[dclass3],$D258)),"",INDEX(GCalXMLT[dclass3],$D258)))</f>
        <v/>
      </c>
      <c r="AD258" t="str">
        <f>IF(I258="Nandotsava",IF(ISBLANK(INDEX(GCalXMLT[dclass3],$D258)),"",INDEX(GCalXMLT[dclass3],$D258)),IF(ISBLANK(INDEX(GCalXMLT[dclass4],$D258)),"",INDEX(GCalXMLT[dclass4],$D258)))</f>
        <v/>
      </c>
      <c r="AE258" t="str">
        <f>IFERROR(INDEX(Festivals!$V$2:$V$160,AP258),"")</f>
        <v/>
      </c>
      <c r="AF258" t="str">
        <f>IFERROR(IF($AQ258&gt;1,INDEX(Festivals!$V$2:$V$160,$AP258+1),""),"")</f>
        <v/>
      </c>
      <c r="AG258" t="str">
        <f>IFERROR(IF($AQ258&gt;2,INDEX(Festivals!$V$2:$V$160,$AP258+2),""),"")</f>
        <v/>
      </c>
      <c r="AH258" t="str">
        <f>IFERROR(IF($AQ258&gt;3,INDEX(Festivals!$V$2:$V$160,$AP258+3),""),"")</f>
        <v/>
      </c>
      <c r="AI258" t="str">
        <f>IFERROR(IF($AQ258&gt;4,INDEX(Festivals!$V$2:$V$160,$AP258+4),""),"")</f>
        <v/>
      </c>
      <c r="AJ258" t="str">
        <f>IFERROR(IF($AQ258&gt;5,INDEX(Festivals!$V$2:$V$160,$AP258+5),""),"")</f>
        <v/>
      </c>
      <c r="AK258" t="str">
        <f>IFERROR(IF($AQ258&gt;6,INDEX(Festivals!$V$2:$V$160,$AP258+6),""),"")</f>
        <v/>
      </c>
      <c r="AL258" t="str">
        <f ca="1">IFERROR(INDEX('Holidays Calc'!$J$2:$J$233,MATCH(A258,'Holidays Calc'!$I$2:$I$233,0)),"")</f>
        <v/>
      </c>
      <c r="AM258" t="str">
        <f ca="1">IF(AR258="","",IF(INDEX('Holidays Calc'!$I$2:$I$233,AR258+1)=A258,INDEX('Holidays Calc'!$J$2:$J$233,AR258+1),""))</f>
        <v/>
      </c>
      <c r="AN258" t="str">
        <f ca="1">IF(AR258="","",IF(INDEX('Holidays Calc'!$I$2:$I$233,AR258+2)=A258,INDEX('Holidays Calc'!$J$2:$J$233,AR258+2),""))</f>
        <v/>
      </c>
      <c r="AO258" t="str">
        <f ca="1">IF(AR258="","",IF(INDEX('Holidays Calc'!$I$2:$I$233,AR258+3)=A258,INDEX('Holidays Calc'!$J$2:$J$233,AR258+3),""))</f>
        <v/>
      </c>
      <c r="AP258" t="str">
        <f>IFERROR(IF($E258=E257,"",MATCH($E258,Festivals!$H$2:$H$160,0)),"")</f>
        <v/>
      </c>
      <c r="AQ258" t="str">
        <f>IF(AP258="","",COUNTIF(Festivals!$H$2:$H$160,$E258))</f>
        <v/>
      </c>
      <c r="AR258" t="str">
        <f ca="1">IFERROR(MATCH(A258,'Holidays Calc'!$I$2:$I$233,0),"")</f>
        <v/>
      </c>
      <c r="AS258" t="str">
        <f t="shared" si="25"/>
        <v/>
      </c>
      <c r="AT258" t="str">
        <f t="shared" ref="AT258:AT321" si="31">IF(AND(G258 = "*", AS258 &lt;= -1 ), -2, IF(AND(G257 = "*", AS258 &lt;= -1), -0.3, AS258))</f>
        <v/>
      </c>
      <c r="AU258" t="str">
        <f t="shared" ca="1" si="26"/>
        <v/>
      </c>
      <c r="AV258" t="str">
        <f t="shared" ca="1" si="27"/>
        <v/>
      </c>
    </row>
    <row r="259" spans="1:48" x14ac:dyDescent="0.25">
      <c r="A259" s="265">
        <f t="shared" si="30"/>
        <v>43685</v>
      </c>
      <c r="B259" s="265" t="str">
        <f t="shared" si="28"/>
        <v>8 Aug 2019</v>
      </c>
      <c r="C259" s="267">
        <f t="shared" si="29"/>
        <v>32</v>
      </c>
      <c r="D259">
        <f>MATCH(A259,GCalXMLT[daydate],0)</f>
        <v>258</v>
      </c>
      <c r="E259">
        <f>VALUE("1" &amp; Masacod(INDEX(GCalXMLT[gymasa],D259)) &amp; PaksaCod(INDEX(GCalXMLT[mpaksaid],D259)) &amp; TithiCod(INDEX(GCalXMLT[stithiname],D259)))</f>
        <v>105109</v>
      </c>
      <c r="F259" t="str">
        <f ca="1">INDEX(Parameters!$K$2:$K$16,MATCH(AV259,Parameters!$L$2:$L$16,0))</f>
        <v/>
      </c>
      <c r="G259">
        <f>INDEX(GCalXMLT[fastmark],$D259)</f>
        <v>0</v>
      </c>
      <c r="H259" t="str">
        <f ca="1">INDEX(Parameters!$J$2:$J$16,MATCH(AV259,Parameters!$L$2:$L$16,0))</f>
        <v/>
      </c>
      <c r="I259">
        <f>INDEX(GCalXMLT[dfestival1],$D259)</f>
        <v>0</v>
      </c>
      <c r="J259">
        <f>IF(INDEX(GCalXMLT[dfestival2],$D259)="(Fast today)",INDEX(Festivals!$R$2:$R$180,MATCH($I259,Festivals!$R$2:$R$180,0)+1),INDEX(GCalXMLT[dfestival2],$D259))</f>
        <v>0</v>
      </c>
      <c r="K259">
        <f>IF(I259="Nandotsava","(Fast till noon)",INDEX(GCalXMLT[dfestival3],$D259))</f>
        <v>0</v>
      </c>
      <c r="L259">
        <f>IF(I259="Nandotsava", INDEX(GCalXMLT[dfestival3],$D259),INDEX(GCalXMLT[dfestival4],$D259))</f>
        <v>0</v>
      </c>
      <c r="M259" t="str">
        <f>IFERROR(INDEX(Festivals!$S$2:$S$160,AP259),"")</f>
        <v/>
      </c>
      <c r="N259" t="str">
        <f>IFERROR(IF($AQ259&gt;1,INDEX(Festivals!$S$2:$S$160,$AP259+1),""),"")</f>
        <v/>
      </c>
      <c r="O259" t="str">
        <f>IFERROR(IF($AQ259&gt;2,INDEX(Festivals!$S$2:$S$160,$AP259+2),""),"")</f>
        <v/>
      </c>
      <c r="P259" t="str">
        <f>IFERROR(IF($AQ259&gt;3,INDEX(Festivals!$S$2:$S$160,$AP259+3),""),"")</f>
        <v/>
      </c>
      <c r="Q259" t="str">
        <f>IFERROR(IF($AQ259&gt;4,INDEX(Festivals!$S$2:$S$160,$AP259+4),""),"")</f>
        <v/>
      </c>
      <c r="R259" t="str">
        <f>IFERROR(IF($AQ259&gt;5,INDEX(Festivals!$S$2:$S$160,$AP259+5),""),"")</f>
        <v/>
      </c>
      <c r="S259" t="str">
        <f>IFERROR(IF($AQ259&gt;6,INDEX(Festivals!$S$2:$S$160,$AP259+6),""),"")</f>
        <v/>
      </c>
      <c r="T259">
        <f>INDEX(GCalXMLT[dcaturmasya1],$D259)</f>
        <v>0</v>
      </c>
      <c r="U259">
        <f>INDEX(GCalXMLT[dcaturmasya2],$D259)</f>
        <v>0</v>
      </c>
      <c r="V259" t="str">
        <f>INDEX(GCalXMLT[sankrantirasi],$D259) &amp; " " &amp; INDEX(GCalXMLT[sankrantitime],$D259)</f>
        <v xml:space="preserve"> </v>
      </c>
      <c r="W259" t="str">
        <f ca="1">IFERROR(INDEX('Holidays Calc'!$K$2:$K$233,AR259),"")</f>
        <v/>
      </c>
      <c r="X259" t="str">
        <f ca="1">IF(AR259="","",IF(INDEX('Holidays Calc'!$I$2:$I$233,AR259+1)=A259,INDEX('Holidays Calc'!$K$2:$K$233,AR259+1),""))</f>
        <v/>
      </c>
      <c r="Y259" t="str">
        <f ca="1">IF(AR259="","",IF(INDEX('Holidays Calc'!$I$2:$I$233,AR259+2)=A259,INDEX('Holidays Calc'!$K$2:$K$233,AR259+2),""))</f>
        <v/>
      </c>
      <c r="Z259" t="str">
        <f ca="1">IF(AR259="","",IF(INDEX('Holidays Calc'!$I$2:$I$233,AR259+3)=A259,INDEX('Holidays Calc'!$K$2:$K$2333,AR259+3),""))</f>
        <v/>
      </c>
      <c r="AA259" t="str">
        <f>IF(I259="Last day of Bhisma Pancaka","",IF(G259="*",-0.7,IF(ISBLANK(INDEX(GCalXMLT[dclass1],$D259)),"",INDEX(GCalXMLT[dclass1],$D259))))</f>
        <v/>
      </c>
      <c r="AB259" t="str">
        <f>IF(J259="First day of Bhisma Pancaka","",IF(AND(G259="*",NOT(ISERROR(SEARCH("ekadasi",J259)))),-0.7,IF(ISBLANK(INDEX(GCalXMLT[dclass2],$D259)),"",INDEX(GCalXMLT[dclass2],$D259))))</f>
        <v/>
      </c>
      <c r="AC259" t="str">
        <f>IF(I259="Nandotsava",-1,IF(ISBLANK(INDEX(GCalXMLT[dclass3],$D259)),"",INDEX(GCalXMLT[dclass3],$D259)))</f>
        <v/>
      </c>
      <c r="AD259" t="str">
        <f>IF(I259="Nandotsava",IF(ISBLANK(INDEX(GCalXMLT[dclass3],$D259)),"",INDEX(GCalXMLT[dclass3],$D259)),IF(ISBLANK(INDEX(GCalXMLT[dclass4],$D259)),"",INDEX(GCalXMLT[dclass4],$D259)))</f>
        <v/>
      </c>
      <c r="AE259" t="str">
        <f>IFERROR(INDEX(Festivals!$V$2:$V$160,AP259),"")</f>
        <v/>
      </c>
      <c r="AF259" t="str">
        <f>IFERROR(IF($AQ259&gt;1,INDEX(Festivals!$V$2:$V$160,$AP259+1),""),"")</f>
        <v/>
      </c>
      <c r="AG259" t="str">
        <f>IFERROR(IF($AQ259&gt;2,INDEX(Festivals!$V$2:$V$160,$AP259+2),""),"")</f>
        <v/>
      </c>
      <c r="AH259" t="str">
        <f>IFERROR(IF($AQ259&gt;3,INDEX(Festivals!$V$2:$V$160,$AP259+3),""),"")</f>
        <v/>
      </c>
      <c r="AI259" t="str">
        <f>IFERROR(IF($AQ259&gt;4,INDEX(Festivals!$V$2:$V$160,$AP259+4),""),"")</f>
        <v/>
      </c>
      <c r="AJ259" t="str">
        <f>IFERROR(IF($AQ259&gt;5,INDEX(Festivals!$V$2:$V$160,$AP259+5),""),"")</f>
        <v/>
      </c>
      <c r="AK259" t="str">
        <f>IFERROR(IF($AQ259&gt;6,INDEX(Festivals!$V$2:$V$160,$AP259+6),""),"")</f>
        <v/>
      </c>
      <c r="AL259" t="str">
        <f ca="1">IFERROR(INDEX('Holidays Calc'!$J$2:$J$233,MATCH(A259,'Holidays Calc'!$I$2:$I$233,0)),"")</f>
        <v/>
      </c>
      <c r="AM259" t="str">
        <f ca="1">IF(AR259="","",IF(INDEX('Holidays Calc'!$I$2:$I$233,AR259+1)=A259,INDEX('Holidays Calc'!$J$2:$J$233,AR259+1),""))</f>
        <v/>
      </c>
      <c r="AN259" t="str">
        <f ca="1">IF(AR259="","",IF(INDEX('Holidays Calc'!$I$2:$I$233,AR259+2)=A259,INDEX('Holidays Calc'!$J$2:$J$233,AR259+2),""))</f>
        <v/>
      </c>
      <c r="AO259" t="str">
        <f ca="1">IF(AR259="","",IF(INDEX('Holidays Calc'!$I$2:$I$233,AR259+3)=A259,INDEX('Holidays Calc'!$J$2:$J$233,AR259+3),""))</f>
        <v/>
      </c>
      <c r="AP259" t="str">
        <f>IFERROR(IF($E259=E258,"",MATCH($E259,Festivals!$H$2:$H$160,0)),"")</f>
        <v/>
      </c>
      <c r="AQ259" t="str">
        <f>IF(AP259="","",COUNTIF(Festivals!$H$2:$H$160,$E259))</f>
        <v/>
      </c>
      <c r="AR259" t="str">
        <f ca="1">IFERROR(MATCH(A259,'Holidays Calc'!$I$2:$I$233,0),"")</f>
        <v/>
      </c>
      <c r="AS259" t="str">
        <f t="shared" ref="AS259:AS322" si="32">IF(COUNT(AA259:AK259)&lt;1,"",MIN(AA259:AK259))</f>
        <v/>
      </c>
      <c r="AT259" t="str">
        <f t="shared" si="31"/>
        <v/>
      </c>
      <c r="AU259" t="str">
        <f t="shared" ref="AU259:AU322" ca="1" si="33">IF(COUNT(AL259:AO259)&lt;1,"",MIN(AL259:AO259))</f>
        <v/>
      </c>
      <c r="AV259" t="str">
        <f t="shared" ref="AV259:AV322" ca="1" si="34">IF(AND(AU259 &lt; -10,AT259 &lt; -0.5),-21,IF(COUNT(AT259:AU259)&lt;1,"",MIN(AT259:AU259)))</f>
        <v/>
      </c>
    </row>
    <row r="260" spans="1:48" x14ac:dyDescent="0.25">
      <c r="A260" s="265">
        <f t="shared" si="30"/>
        <v>43686</v>
      </c>
      <c r="B260" s="265" t="str">
        <f t="shared" si="28"/>
        <v>9 Aug 2019</v>
      </c>
      <c r="C260" s="267">
        <f t="shared" si="29"/>
        <v>32</v>
      </c>
      <c r="D260">
        <f>MATCH(A260,GCalXMLT[daydate],0)</f>
        <v>259</v>
      </c>
      <c r="E260">
        <f>VALUE("1" &amp; Masacod(INDEX(GCalXMLT[gymasa],D260)) &amp; PaksaCod(INDEX(GCalXMLT[mpaksaid],D260)) &amp; TithiCod(INDEX(GCalXMLT[stithiname],D260)))</f>
        <v>105110</v>
      </c>
      <c r="F260" t="str">
        <f ca="1">INDEX(Parameters!$K$2:$K$16,MATCH(AV260,Parameters!$L$2:$L$16,0))</f>
        <v/>
      </c>
      <c r="G260">
        <f>INDEX(GCalXMLT[fastmark],$D260)</f>
        <v>0</v>
      </c>
      <c r="H260" t="str">
        <f ca="1">INDEX(Parameters!$J$2:$J$16,MATCH(AV260,Parameters!$L$2:$L$16,0))</f>
        <v/>
      </c>
      <c r="I260">
        <f>INDEX(GCalXMLT[dfestival1],$D260)</f>
        <v>0</v>
      </c>
      <c r="J260">
        <f>IF(INDEX(GCalXMLT[dfestival2],$D260)="(Fast today)",INDEX(Festivals!$R$2:$R$180,MATCH($I260,Festivals!$R$2:$R$180,0)+1),INDEX(GCalXMLT[dfestival2],$D260))</f>
        <v>0</v>
      </c>
      <c r="K260">
        <f>IF(I260="Nandotsava","(Fast till noon)",INDEX(GCalXMLT[dfestival3],$D260))</f>
        <v>0</v>
      </c>
      <c r="L260">
        <f>IF(I260="Nandotsava", INDEX(GCalXMLT[dfestival3],$D260),INDEX(GCalXMLT[dfestival4],$D260))</f>
        <v>0</v>
      </c>
      <c r="M260" t="str">
        <f>IFERROR(INDEX(Festivals!$S$2:$S$160,AP260),"")</f>
        <v/>
      </c>
      <c r="N260" t="str">
        <f>IFERROR(IF($AQ260&gt;1,INDEX(Festivals!$S$2:$S$160,$AP260+1),""),"")</f>
        <v/>
      </c>
      <c r="O260" t="str">
        <f>IFERROR(IF($AQ260&gt;2,INDEX(Festivals!$S$2:$S$160,$AP260+2),""),"")</f>
        <v/>
      </c>
      <c r="P260" t="str">
        <f>IFERROR(IF($AQ260&gt;3,INDEX(Festivals!$S$2:$S$160,$AP260+3),""),"")</f>
        <v/>
      </c>
      <c r="Q260" t="str">
        <f>IFERROR(IF($AQ260&gt;4,INDEX(Festivals!$S$2:$S$160,$AP260+4),""),"")</f>
        <v/>
      </c>
      <c r="R260" t="str">
        <f>IFERROR(IF($AQ260&gt;5,INDEX(Festivals!$S$2:$S$160,$AP260+5),""),"")</f>
        <v/>
      </c>
      <c r="S260" t="str">
        <f>IFERROR(IF($AQ260&gt;6,INDEX(Festivals!$S$2:$S$160,$AP260+6),""),"")</f>
        <v/>
      </c>
      <c r="T260" t="str">
        <f>INDEX(GCalXMLT[dcaturmasya1],$D260)</f>
        <v>1last_EKADASI_</v>
      </c>
      <c r="U260">
        <f>INDEX(GCalXMLT[dcaturmasya2],$D260)</f>
        <v>0</v>
      </c>
      <c r="V260" t="str">
        <f>INDEX(GCalXMLT[sankrantirasi],$D260) &amp; " " &amp; INDEX(GCalXMLT[sankrantitime],$D260)</f>
        <v xml:space="preserve"> </v>
      </c>
      <c r="W260" t="str">
        <f ca="1">IFERROR(INDEX('Holidays Calc'!$K$2:$K$233,AR260),"")</f>
        <v/>
      </c>
      <c r="X260" t="str">
        <f ca="1">IF(AR260="","",IF(INDEX('Holidays Calc'!$I$2:$I$233,AR260+1)=A260,INDEX('Holidays Calc'!$K$2:$K$233,AR260+1),""))</f>
        <v/>
      </c>
      <c r="Y260" t="str">
        <f ca="1">IF(AR260="","",IF(INDEX('Holidays Calc'!$I$2:$I$233,AR260+2)=A260,INDEX('Holidays Calc'!$K$2:$K$233,AR260+2),""))</f>
        <v/>
      </c>
      <c r="Z260" t="str">
        <f ca="1">IF(AR260="","",IF(INDEX('Holidays Calc'!$I$2:$I$233,AR260+3)=A260,INDEX('Holidays Calc'!$K$2:$K$2333,AR260+3),""))</f>
        <v/>
      </c>
      <c r="AA260" t="str">
        <f>IF(I260="Last day of Bhisma Pancaka","",IF(G260="*",-0.7,IF(ISBLANK(INDEX(GCalXMLT[dclass1],$D260)),"",INDEX(GCalXMLT[dclass1],$D260))))</f>
        <v/>
      </c>
      <c r="AB260" t="str">
        <f>IF(J260="First day of Bhisma Pancaka","",IF(AND(G260="*",NOT(ISERROR(SEARCH("ekadasi",J260)))),-0.7,IF(ISBLANK(INDEX(GCalXMLT[dclass2],$D260)),"",INDEX(GCalXMLT[dclass2],$D260))))</f>
        <v/>
      </c>
      <c r="AC260" t="str">
        <f>IF(I260="Nandotsava",-1,IF(ISBLANK(INDEX(GCalXMLT[dclass3],$D260)),"",INDEX(GCalXMLT[dclass3],$D260)))</f>
        <v/>
      </c>
      <c r="AD260" t="str">
        <f>IF(I260="Nandotsava",IF(ISBLANK(INDEX(GCalXMLT[dclass3],$D260)),"",INDEX(GCalXMLT[dclass3],$D260)),IF(ISBLANK(INDEX(GCalXMLT[dclass4],$D260)),"",INDEX(GCalXMLT[dclass4],$D260)))</f>
        <v/>
      </c>
      <c r="AE260" t="str">
        <f>IFERROR(INDEX(Festivals!$V$2:$V$160,AP260),"")</f>
        <v/>
      </c>
      <c r="AF260" t="str">
        <f>IFERROR(IF($AQ260&gt;1,INDEX(Festivals!$V$2:$V$160,$AP260+1),""),"")</f>
        <v/>
      </c>
      <c r="AG260" t="str">
        <f>IFERROR(IF($AQ260&gt;2,INDEX(Festivals!$V$2:$V$160,$AP260+2),""),"")</f>
        <v/>
      </c>
      <c r="AH260" t="str">
        <f>IFERROR(IF($AQ260&gt;3,INDEX(Festivals!$V$2:$V$160,$AP260+3),""),"")</f>
        <v/>
      </c>
      <c r="AI260" t="str">
        <f>IFERROR(IF($AQ260&gt;4,INDEX(Festivals!$V$2:$V$160,$AP260+4),""),"")</f>
        <v/>
      </c>
      <c r="AJ260" t="str">
        <f>IFERROR(IF($AQ260&gt;5,INDEX(Festivals!$V$2:$V$160,$AP260+5),""),"")</f>
        <v/>
      </c>
      <c r="AK260" t="str">
        <f>IFERROR(IF($AQ260&gt;6,INDEX(Festivals!$V$2:$V$160,$AP260+6),""),"")</f>
        <v/>
      </c>
      <c r="AL260" t="str">
        <f ca="1">IFERROR(INDEX('Holidays Calc'!$J$2:$J$233,MATCH(A260,'Holidays Calc'!$I$2:$I$233,0)),"")</f>
        <v/>
      </c>
      <c r="AM260" t="str">
        <f ca="1">IF(AR260="","",IF(INDEX('Holidays Calc'!$I$2:$I$233,AR260+1)=A260,INDEX('Holidays Calc'!$J$2:$J$233,AR260+1),""))</f>
        <v/>
      </c>
      <c r="AN260" t="str">
        <f ca="1">IF(AR260="","",IF(INDEX('Holidays Calc'!$I$2:$I$233,AR260+2)=A260,INDEX('Holidays Calc'!$J$2:$J$233,AR260+2),""))</f>
        <v/>
      </c>
      <c r="AO260" t="str">
        <f ca="1">IF(AR260="","",IF(INDEX('Holidays Calc'!$I$2:$I$233,AR260+3)=A260,INDEX('Holidays Calc'!$J$2:$J$233,AR260+3),""))</f>
        <v/>
      </c>
      <c r="AP260" t="str">
        <f>IFERROR(IF($E260=E259,"",MATCH($E260,Festivals!$H$2:$H$160,0)),"")</f>
        <v/>
      </c>
      <c r="AQ260" t="str">
        <f>IF(AP260="","",COUNTIF(Festivals!$H$2:$H$160,$E260))</f>
        <v/>
      </c>
      <c r="AR260" t="str">
        <f ca="1">IFERROR(MATCH(A260,'Holidays Calc'!$I$2:$I$233,0),"")</f>
        <v/>
      </c>
      <c r="AS260" t="str">
        <f t="shared" si="32"/>
        <v/>
      </c>
      <c r="AT260" t="str">
        <f t="shared" si="31"/>
        <v/>
      </c>
      <c r="AU260" t="str">
        <f t="shared" ca="1" si="33"/>
        <v/>
      </c>
      <c r="AV260" t="str">
        <f t="shared" ca="1" si="34"/>
        <v/>
      </c>
    </row>
    <row r="261" spans="1:48" x14ac:dyDescent="0.25">
      <c r="A261" s="265">
        <f t="shared" si="30"/>
        <v>43687</v>
      </c>
      <c r="B261" s="265" t="str">
        <f t="shared" si="28"/>
        <v>10 Aug 2019</v>
      </c>
      <c r="C261" s="267">
        <f t="shared" si="29"/>
        <v>32</v>
      </c>
      <c r="D261">
        <f>MATCH(A261,GCalXMLT[daydate],0)</f>
        <v>260</v>
      </c>
      <c r="E261">
        <f>VALUE("1" &amp; Masacod(INDEX(GCalXMLT[gymasa],D261)) &amp; PaksaCod(INDEX(GCalXMLT[mpaksaid],D261)) &amp; TithiCod(INDEX(GCalXMLT[stithiname],D261)))</f>
        <v>105111</v>
      </c>
      <c r="F261" t="str">
        <f ca="1">INDEX(Parameters!$K$2:$K$16,MATCH(AV261,Parameters!$L$2:$L$16,0))</f>
        <v>E</v>
      </c>
      <c r="G261" t="str">
        <f>INDEX(GCalXMLT[fastmark],$D261)</f>
        <v>*</v>
      </c>
      <c r="H261" t="str">
        <f ca="1">INDEX(Parameters!$J$2:$J$16,MATCH(AV261,Parameters!$L$2:$L$16,0))</f>
        <v>*</v>
      </c>
      <c r="I261" t="str">
        <f>INDEX(GCalXMLT[dfestival1],$D261)</f>
        <v>Fasting for Pavitraropana Ekadasi</v>
      </c>
      <c r="J261">
        <f>IF(INDEX(GCalXMLT[dfestival2],$D261)="(Fast today)",INDEX(Festivals!$R$2:$R$180,MATCH($I261,Festivals!$R$2:$R$180,0)+1),INDEX(GCalXMLT[dfestival2],$D261))</f>
        <v>0</v>
      </c>
      <c r="K261">
        <f>IF(I261="Nandotsava","(Fast till noon)",INDEX(GCalXMLT[dfestival3],$D261))</f>
        <v>0</v>
      </c>
      <c r="L261">
        <f>IF(I261="Nandotsava", INDEX(GCalXMLT[dfestival3],$D261),INDEX(GCalXMLT[dfestival4],$D261))</f>
        <v>0</v>
      </c>
      <c r="M261" t="str">
        <f>IFERROR(INDEX(Festivals!$S$2:$S$160,AP261),"")</f>
        <v>Radha Govinda Jhulana Yatra begins</v>
      </c>
      <c r="N261" t="str">
        <f>IFERROR(IF($AQ261&gt;1,INDEX(Festivals!$S$2:$S$160,$AP261+1),""),"")</f>
        <v/>
      </c>
      <c r="O261" t="str">
        <f>IFERROR(IF($AQ261&gt;2,INDEX(Festivals!$S$2:$S$160,$AP261+2),""),"")</f>
        <v/>
      </c>
      <c r="P261" t="str">
        <f>IFERROR(IF($AQ261&gt;3,INDEX(Festivals!$S$2:$S$160,$AP261+3),""),"")</f>
        <v/>
      </c>
      <c r="Q261" t="str">
        <f>IFERROR(IF($AQ261&gt;4,INDEX(Festivals!$S$2:$S$160,$AP261+4),""),"")</f>
        <v/>
      </c>
      <c r="R261" t="str">
        <f>IFERROR(IF($AQ261&gt;5,INDEX(Festivals!$S$2:$S$160,$AP261+5),""),"")</f>
        <v/>
      </c>
      <c r="S261" t="str">
        <f>IFERROR(IF($AQ261&gt;6,INDEX(Festivals!$S$2:$S$160,$AP261+6),""),"")</f>
        <v/>
      </c>
      <c r="T261" t="str">
        <f>INDEX(GCalXMLT[dcaturmasya1],$D261)</f>
        <v>2first_EKADASI_</v>
      </c>
      <c r="U261">
        <f>INDEX(GCalXMLT[dcaturmasya2],$D261)</f>
        <v>0</v>
      </c>
      <c r="V261" t="str">
        <f>INDEX(GCalXMLT[sankrantirasi],$D261) &amp; " " &amp; INDEX(GCalXMLT[sankrantitime],$D261)</f>
        <v xml:space="preserve"> </v>
      </c>
      <c r="W261" t="str">
        <f ca="1">IFERROR(INDEX('Holidays Calc'!$K$2:$K$233,AR261),"")</f>
        <v/>
      </c>
      <c r="X261" t="str">
        <f ca="1">IF(AR261="","",IF(INDEX('Holidays Calc'!$I$2:$I$233,AR261+1)=A261,INDEX('Holidays Calc'!$K$2:$K$233,AR261+1),""))</f>
        <v/>
      </c>
      <c r="Y261" t="str">
        <f ca="1">IF(AR261="","",IF(INDEX('Holidays Calc'!$I$2:$I$233,AR261+2)=A261,INDEX('Holidays Calc'!$K$2:$K$233,AR261+2),""))</f>
        <v/>
      </c>
      <c r="Z261" t="str">
        <f ca="1">IF(AR261="","",IF(INDEX('Holidays Calc'!$I$2:$I$233,AR261+3)=A261,INDEX('Holidays Calc'!$K$2:$K$2333,AR261+3),""))</f>
        <v/>
      </c>
      <c r="AA261">
        <f>IF(I261="Last day of Bhisma Pancaka","",IF(G261="*",-0.7,IF(ISBLANK(INDEX(GCalXMLT[dclass1],$D261)),"",INDEX(GCalXMLT[dclass1],$D261))))</f>
        <v>-0.7</v>
      </c>
      <c r="AB261" t="str">
        <f>IF(J261="First day of Bhisma Pancaka","",IF(AND(G261="*",NOT(ISERROR(SEARCH("ekadasi",J261)))),-0.7,IF(ISBLANK(INDEX(GCalXMLT[dclass2],$D261)),"",INDEX(GCalXMLT[dclass2],$D261))))</f>
        <v/>
      </c>
      <c r="AC261" t="str">
        <f>IF(I261="Nandotsava",-1,IF(ISBLANK(INDEX(GCalXMLT[dclass3],$D261)),"",INDEX(GCalXMLT[dclass3],$D261)))</f>
        <v/>
      </c>
      <c r="AD261" t="str">
        <f>IF(I261="Nandotsava",IF(ISBLANK(INDEX(GCalXMLT[dclass3],$D261)),"",INDEX(GCalXMLT[dclass3],$D261)),IF(ISBLANK(INDEX(GCalXMLT[dclass4],$D261)),"",INDEX(GCalXMLT[dclass4],$D261)))</f>
        <v/>
      </c>
      <c r="AE261">
        <f>IFERROR(INDEX(Festivals!$V$2:$V$160,AP261),"")</f>
        <v>1</v>
      </c>
      <c r="AF261" t="str">
        <f>IFERROR(IF($AQ261&gt;1,INDEX(Festivals!$V$2:$V$160,$AP261+1),""),"")</f>
        <v/>
      </c>
      <c r="AG261" t="str">
        <f>IFERROR(IF($AQ261&gt;2,INDEX(Festivals!$V$2:$V$160,$AP261+2),""),"")</f>
        <v/>
      </c>
      <c r="AH261" t="str">
        <f>IFERROR(IF($AQ261&gt;3,INDEX(Festivals!$V$2:$V$160,$AP261+3),""),"")</f>
        <v/>
      </c>
      <c r="AI261" t="str">
        <f>IFERROR(IF($AQ261&gt;4,INDEX(Festivals!$V$2:$V$160,$AP261+4),""),"")</f>
        <v/>
      </c>
      <c r="AJ261" t="str">
        <f>IFERROR(IF($AQ261&gt;5,INDEX(Festivals!$V$2:$V$160,$AP261+5),""),"")</f>
        <v/>
      </c>
      <c r="AK261" t="str">
        <f>IFERROR(IF($AQ261&gt;6,INDEX(Festivals!$V$2:$V$160,$AP261+6),""),"")</f>
        <v/>
      </c>
      <c r="AL261" t="str">
        <f ca="1">IFERROR(INDEX('Holidays Calc'!$J$2:$J$233,MATCH(A261,'Holidays Calc'!$I$2:$I$233,0)),"")</f>
        <v/>
      </c>
      <c r="AM261" t="str">
        <f ca="1">IF(AR261="","",IF(INDEX('Holidays Calc'!$I$2:$I$233,AR261+1)=A261,INDEX('Holidays Calc'!$J$2:$J$233,AR261+1),""))</f>
        <v/>
      </c>
      <c r="AN261" t="str">
        <f ca="1">IF(AR261="","",IF(INDEX('Holidays Calc'!$I$2:$I$233,AR261+2)=A261,INDEX('Holidays Calc'!$J$2:$J$233,AR261+2),""))</f>
        <v/>
      </c>
      <c r="AO261" t="str">
        <f ca="1">IF(AR261="","",IF(INDEX('Holidays Calc'!$I$2:$I$233,AR261+3)=A261,INDEX('Holidays Calc'!$J$2:$J$233,AR261+3),""))</f>
        <v/>
      </c>
      <c r="AP261">
        <f>IFERROR(IF($E261=E260,"",MATCH($E261,Festivals!$H$2:$H$160,0)),"")</f>
        <v>51</v>
      </c>
      <c r="AQ261">
        <f>IF(AP261="","",COUNTIF(Festivals!$H$2:$H$160,$E261))</f>
        <v>1</v>
      </c>
      <c r="AR261" t="str">
        <f ca="1">IFERROR(MATCH(A261,'Holidays Calc'!$I$2:$I$233,0),"")</f>
        <v/>
      </c>
      <c r="AS261">
        <f t="shared" si="32"/>
        <v>-0.7</v>
      </c>
      <c r="AT261">
        <f t="shared" si="31"/>
        <v>-0.7</v>
      </c>
      <c r="AU261" t="str">
        <f t="shared" ca="1" si="33"/>
        <v/>
      </c>
      <c r="AV261">
        <f t="shared" ca="1" si="34"/>
        <v>-0.7</v>
      </c>
    </row>
    <row r="262" spans="1:48" x14ac:dyDescent="0.25">
      <c r="A262" s="265">
        <f t="shared" si="30"/>
        <v>43688</v>
      </c>
      <c r="B262" s="265" t="str">
        <f t="shared" si="28"/>
        <v>11 Aug 2019</v>
      </c>
      <c r="C262" s="267">
        <f t="shared" si="29"/>
        <v>32</v>
      </c>
      <c r="D262">
        <f>MATCH(A262,GCalXMLT[daydate],0)</f>
        <v>261</v>
      </c>
      <c r="E262">
        <f>VALUE("1" &amp; Masacod(INDEX(GCalXMLT[gymasa],D262)) &amp; PaksaCod(INDEX(GCalXMLT[mpaksaid],D262)) &amp; TithiCod(INDEX(GCalXMLT[stithiname],D262)))</f>
        <v>105112</v>
      </c>
      <c r="F262" t="str">
        <f ca="1">INDEX(Parameters!$K$2:$K$16,MATCH(AV262,Parameters!$L$2:$L$16,0))</f>
        <v>C</v>
      </c>
      <c r="G262">
        <f>INDEX(GCalXMLT[fastmark],$D262)</f>
        <v>0</v>
      </c>
      <c r="H262" t="str">
        <f ca="1">INDEX(Parameters!$J$2:$J$16,MATCH(AV262,Parameters!$L$2:$L$16,0))</f>
        <v/>
      </c>
      <c r="I262">
        <f>INDEX(GCalXMLT[dfestival1],$D262)</f>
        <v>0</v>
      </c>
      <c r="J262">
        <f>IF(INDEX(GCalXMLT[dfestival2],$D262)="(Fast today)",INDEX(Festivals!$R$2:$R$180,MATCH($I262,Festivals!$R$2:$R$180,0)+1),INDEX(GCalXMLT[dfestival2],$D262))</f>
        <v>0</v>
      </c>
      <c r="K262">
        <f>IF(I262="Nandotsava","(Fast till noon)",INDEX(GCalXMLT[dfestival3],$D262))</f>
        <v>0</v>
      </c>
      <c r="L262">
        <f>IF(I262="Nandotsava", INDEX(GCalXMLT[dfestival3],$D262),INDEX(GCalXMLT[dfestival4],$D262))</f>
        <v>0</v>
      </c>
      <c r="M262" t="str">
        <f>IFERROR(INDEX(Festivals!$S$2:$S$160,AP262),"")</f>
        <v>Srila Rupa Gosvami - Disappearance</v>
      </c>
      <c r="N262" t="str">
        <f>IFERROR(IF($AQ262&gt;1,INDEX(Festivals!$S$2:$S$160,$AP262+1),""),"")</f>
        <v>Sri Gauridasa Pandita - Disappearance</v>
      </c>
      <c r="O262" t="str">
        <f>IFERROR(IF($AQ262&gt;2,INDEX(Festivals!$S$2:$S$160,$AP262+2),""),"")</f>
        <v/>
      </c>
      <c r="P262" t="str">
        <f>IFERROR(IF($AQ262&gt;3,INDEX(Festivals!$S$2:$S$160,$AP262+3),""),"")</f>
        <v/>
      </c>
      <c r="Q262" t="str">
        <f>IFERROR(IF($AQ262&gt;4,INDEX(Festivals!$S$2:$S$160,$AP262+4),""),"")</f>
        <v/>
      </c>
      <c r="R262" t="str">
        <f>IFERROR(IF($AQ262&gt;5,INDEX(Festivals!$S$2:$S$160,$AP262+5),""),"")</f>
        <v/>
      </c>
      <c r="S262" t="str">
        <f>IFERROR(IF($AQ262&gt;6,INDEX(Festivals!$S$2:$S$160,$AP262+6),""),"")</f>
        <v/>
      </c>
      <c r="T262">
        <f>INDEX(GCalXMLT[dcaturmasya1],$D262)</f>
        <v>0</v>
      </c>
      <c r="U262">
        <f>INDEX(GCalXMLT[dcaturmasya2],$D262)</f>
        <v>0</v>
      </c>
      <c r="V262" t="str">
        <f>INDEX(GCalXMLT[sankrantirasi],$D262) &amp; " " &amp; INDEX(GCalXMLT[sankrantitime],$D262)</f>
        <v xml:space="preserve"> </v>
      </c>
      <c r="W262" t="str">
        <f ca="1">IFERROR(INDEX('Holidays Calc'!$K$2:$K$233,AR262),"")</f>
        <v>Dia Nacional do Estudante</v>
      </c>
      <c r="X262" t="str">
        <f ca="1">IF(AR262="","",IF(INDEX('Holidays Calc'!$I$2:$I$233,AR262+1)=A262,INDEX('Holidays Calc'!$K$2:$K$233,AR262+1),""))</f>
        <v>Dia dos Pais (2º domingo de agosto)</v>
      </c>
      <c r="Y262" t="str">
        <f ca="1">IF(AR262="","",IF(INDEX('Holidays Calc'!$I$2:$I$233,AR262+2)=A262,INDEX('Holidays Calc'!$K$2:$K$233,AR262+2),""))</f>
        <v/>
      </c>
      <c r="Z262" t="str">
        <f ca="1">IF(AR262="","",IF(INDEX('Holidays Calc'!$I$2:$I$233,AR262+3)=A262,INDEX('Holidays Calc'!$K$2:$K$2333,AR262+3),""))</f>
        <v/>
      </c>
      <c r="AA262" t="str">
        <f>IF(I262="Last day of Bhisma Pancaka","",IF(G262="*",-0.7,IF(ISBLANK(INDEX(GCalXMLT[dclass1],$D262)),"",INDEX(GCalXMLT[dclass1],$D262))))</f>
        <v/>
      </c>
      <c r="AB262" t="str">
        <f>IF(J262="First day of Bhisma Pancaka","",IF(AND(G262="*",NOT(ISERROR(SEARCH("ekadasi",J262)))),-0.7,IF(ISBLANK(INDEX(GCalXMLT[dclass2],$D262)),"",INDEX(GCalXMLT[dclass2],$D262))))</f>
        <v/>
      </c>
      <c r="AC262" t="str">
        <f>IF(I262="Nandotsava",-1,IF(ISBLANK(INDEX(GCalXMLT[dclass3],$D262)),"",INDEX(GCalXMLT[dclass3],$D262)))</f>
        <v/>
      </c>
      <c r="AD262" t="str">
        <f>IF(I262="Nandotsava",IF(ISBLANK(INDEX(GCalXMLT[dclass3],$D262)),"",INDEX(GCalXMLT[dclass3],$D262)),IF(ISBLANK(INDEX(GCalXMLT[dclass4],$D262)),"",INDEX(GCalXMLT[dclass4],$D262)))</f>
        <v/>
      </c>
      <c r="AE262">
        <f>IFERROR(INDEX(Festivals!$V$2:$V$160,AP262),"")</f>
        <v>3</v>
      </c>
      <c r="AF262">
        <f>IFERROR(IF($AQ262&gt;1,INDEX(Festivals!$V$2:$V$160,$AP262+1),""),"")</f>
        <v>3</v>
      </c>
      <c r="AG262" t="str">
        <f>IFERROR(IF($AQ262&gt;2,INDEX(Festivals!$V$2:$V$160,$AP262+2),""),"")</f>
        <v/>
      </c>
      <c r="AH262" t="str">
        <f>IFERROR(IF($AQ262&gt;3,INDEX(Festivals!$V$2:$V$160,$AP262+3),""),"")</f>
        <v/>
      </c>
      <c r="AI262" t="str">
        <f>IFERROR(IF($AQ262&gt;4,INDEX(Festivals!$V$2:$V$160,$AP262+4),""),"")</f>
        <v/>
      </c>
      <c r="AJ262" t="str">
        <f>IFERROR(IF($AQ262&gt;5,INDEX(Festivals!$V$2:$V$160,$AP262+5),""),"")</f>
        <v/>
      </c>
      <c r="AK262" t="str">
        <f>IFERROR(IF($AQ262&gt;6,INDEX(Festivals!$V$2:$V$160,$AP262+6),""),"")</f>
        <v/>
      </c>
      <c r="AL262">
        <f ca="1">IFERROR(INDEX('Holidays Calc'!$J$2:$J$233,MATCH(A262,'Holidays Calc'!$I$2:$I$233,0)),"")</f>
        <v>0.5</v>
      </c>
      <c r="AM262">
        <f ca="1">IF(AR262="","",IF(INDEX('Holidays Calc'!$I$2:$I$233,AR262+1)=A262,INDEX('Holidays Calc'!$J$2:$J$233,AR262+1),""))</f>
        <v>0.5</v>
      </c>
      <c r="AN262" t="str">
        <f ca="1">IF(AR262="","",IF(INDEX('Holidays Calc'!$I$2:$I$233,AR262+2)=A262,INDEX('Holidays Calc'!$J$2:$J$233,AR262+2),""))</f>
        <v/>
      </c>
      <c r="AO262" t="str">
        <f ca="1">IF(AR262="","",IF(INDEX('Holidays Calc'!$I$2:$I$233,AR262+3)=A262,INDEX('Holidays Calc'!$J$2:$J$233,AR262+3),""))</f>
        <v/>
      </c>
      <c r="AP262">
        <f>IFERROR(IF($E262=E261,"",MATCH($E262,Festivals!$H$2:$H$160,0)),"")</f>
        <v>52</v>
      </c>
      <c r="AQ262">
        <f>IF(AP262="","",COUNTIF(Festivals!$H$2:$H$160,$E262))</f>
        <v>2</v>
      </c>
      <c r="AR262">
        <f ca="1">IFERROR(MATCH(A262,'Holidays Calc'!$I$2:$I$233,0),"")</f>
        <v>57</v>
      </c>
      <c r="AS262">
        <f t="shared" si="32"/>
        <v>3</v>
      </c>
      <c r="AT262">
        <f t="shared" si="31"/>
        <v>3</v>
      </c>
      <c r="AU262">
        <f t="shared" ca="1" si="33"/>
        <v>0.5</v>
      </c>
      <c r="AV262">
        <f t="shared" ca="1" si="34"/>
        <v>0.5</v>
      </c>
    </row>
    <row r="263" spans="1:48" x14ac:dyDescent="0.25">
      <c r="A263" s="265">
        <f t="shared" si="30"/>
        <v>43689</v>
      </c>
      <c r="B263" s="265" t="str">
        <f t="shared" si="28"/>
        <v>12 Aug 2019</v>
      </c>
      <c r="C263" s="267">
        <f t="shared" si="29"/>
        <v>33</v>
      </c>
      <c r="D263">
        <f>MATCH(A263,GCalXMLT[daydate],0)</f>
        <v>262</v>
      </c>
      <c r="E263">
        <f>VALUE("1" &amp; Masacod(INDEX(GCalXMLT[gymasa],D263)) &amp; PaksaCod(INDEX(GCalXMLT[mpaksaid],D263)) &amp; TithiCod(INDEX(GCalXMLT[stithiname],D263)))</f>
        <v>105113</v>
      </c>
      <c r="F263" t="str">
        <f ca="1">INDEX(Parameters!$K$2:$K$16,MATCH(AV263,Parameters!$L$2:$L$16,0))</f>
        <v/>
      </c>
      <c r="G263">
        <f>INDEX(GCalXMLT[fastmark],$D263)</f>
        <v>0</v>
      </c>
      <c r="H263" t="str">
        <f ca="1">INDEX(Parameters!$J$2:$J$16,MATCH(AV263,Parameters!$L$2:$L$16,0))</f>
        <v/>
      </c>
      <c r="I263">
        <f>INDEX(GCalXMLT[dfestival1],$D263)</f>
        <v>0</v>
      </c>
      <c r="J263">
        <f>IF(INDEX(GCalXMLT[dfestival2],$D263)="(Fast today)",INDEX(Festivals!$R$2:$R$180,MATCH($I263,Festivals!$R$2:$R$180,0)+1),INDEX(GCalXMLT[dfestival2],$D263))</f>
        <v>0</v>
      </c>
      <c r="K263">
        <f>IF(I263="Nandotsava","(Fast till noon)",INDEX(GCalXMLT[dfestival3],$D263))</f>
        <v>0</v>
      </c>
      <c r="L263">
        <f>IF(I263="Nandotsava", INDEX(GCalXMLT[dfestival3],$D263),INDEX(GCalXMLT[dfestival4],$D263))</f>
        <v>0</v>
      </c>
      <c r="M263" t="str">
        <f>IFERROR(INDEX(Festivals!$S$2:$S$160,AP263),"")</f>
        <v/>
      </c>
      <c r="N263" t="str">
        <f>IFERROR(IF($AQ263&gt;1,INDEX(Festivals!$S$2:$S$160,$AP263+1),""),"")</f>
        <v/>
      </c>
      <c r="O263" t="str">
        <f>IFERROR(IF($AQ263&gt;2,INDEX(Festivals!$S$2:$S$160,$AP263+2),""),"")</f>
        <v/>
      </c>
      <c r="P263" t="str">
        <f>IFERROR(IF($AQ263&gt;3,INDEX(Festivals!$S$2:$S$160,$AP263+3),""),"")</f>
        <v/>
      </c>
      <c r="Q263" t="str">
        <f>IFERROR(IF($AQ263&gt;4,INDEX(Festivals!$S$2:$S$160,$AP263+4),""),"")</f>
        <v/>
      </c>
      <c r="R263" t="str">
        <f>IFERROR(IF($AQ263&gt;5,INDEX(Festivals!$S$2:$S$160,$AP263+5),""),"")</f>
        <v/>
      </c>
      <c r="S263" t="str">
        <f>IFERROR(IF($AQ263&gt;6,INDEX(Festivals!$S$2:$S$160,$AP263+6),""),"")</f>
        <v/>
      </c>
      <c r="T263">
        <f>INDEX(GCalXMLT[dcaturmasya1],$D263)</f>
        <v>0</v>
      </c>
      <c r="U263">
        <f>INDEX(GCalXMLT[dcaturmasya2],$D263)</f>
        <v>0</v>
      </c>
      <c r="V263" t="str">
        <f>INDEX(GCalXMLT[sankrantirasi],$D263) &amp; " " &amp; INDEX(GCalXMLT[sankrantitime],$D263)</f>
        <v xml:space="preserve"> </v>
      </c>
      <c r="W263" t="str">
        <f ca="1">IFERROR(INDEX('Holidays Calc'!$K$2:$K$233,AR263),"")</f>
        <v/>
      </c>
      <c r="X263" t="str">
        <f ca="1">IF(AR263="","",IF(INDEX('Holidays Calc'!$I$2:$I$233,AR263+1)=A263,INDEX('Holidays Calc'!$K$2:$K$233,AR263+1),""))</f>
        <v/>
      </c>
      <c r="Y263" t="str">
        <f ca="1">IF(AR263="","",IF(INDEX('Holidays Calc'!$I$2:$I$233,AR263+2)=A263,INDEX('Holidays Calc'!$K$2:$K$233,AR263+2),""))</f>
        <v/>
      </c>
      <c r="Z263" t="str">
        <f ca="1">IF(AR263="","",IF(INDEX('Holidays Calc'!$I$2:$I$233,AR263+3)=A263,INDEX('Holidays Calc'!$K$2:$K$2333,AR263+3),""))</f>
        <v/>
      </c>
      <c r="AA263" t="str">
        <f>IF(I263="Last day of Bhisma Pancaka","",IF(G263="*",-0.7,IF(ISBLANK(INDEX(GCalXMLT[dclass1],$D263)),"",INDEX(GCalXMLT[dclass1],$D263))))</f>
        <v/>
      </c>
      <c r="AB263" t="str">
        <f>IF(J263="First day of Bhisma Pancaka","",IF(AND(G263="*",NOT(ISERROR(SEARCH("ekadasi",J263)))),-0.7,IF(ISBLANK(INDEX(GCalXMLT[dclass2],$D263)),"",INDEX(GCalXMLT[dclass2],$D263))))</f>
        <v/>
      </c>
      <c r="AC263" t="str">
        <f>IF(I263="Nandotsava",-1,IF(ISBLANK(INDEX(GCalXMLT[dclass3],$D263)),"",INDEX(GCalXMLT[dclass3],$D263)))</f>
        <v/>
      </c>
      <c r="AD263" t="str">
        <f>IF(I263="Nandotsava",IF(ISBLANK(INDEX(GCalXMLT[dclass3],$D263)),"",INDEX(GCalXMLT[dclass3],$D263)),IF(ISBLANK(INDEX(GCalXMLT[dclass4],$D263)),"",INDEX(GCalXMLT[dclass4],$D263)))</f>
        <v/>
      </c>
      <c r="AE263" t="str">
        <f>IFERROR(INDEX(Festivals!$V$2:$V$160,AP263),"")</f>
        <v/>
      </c>
      <c r="AF263" t="str">
        <f>IFERROR(IF($AQ263&gt;1,INDEX(Festivals!$V$2:$V$160,$AP263+1),""),"")</f>
        <v/>
      </c>
      <c r="AG263" t="str">
        <f>IFERROR(IF($AQ263&gt;2,INDEX(Festivals!$V$2:$V$160,$AP263+2),""),"")</f>
        <v/>
      </c>
      <c r="AH263" t="str">
        <f>IFERROR(IF($AQ263&gt;3,INDEX(Festivals!$V$2:$V$160,$AP263+3),""),"")</f>
        <v/>
      </c>
      <c r="AI263" t="str">
        <f>IFERROR(IF($AQ263&gt;4,INDEX(Festivals!$V$2:$V$160,$AP263+4),""),"")</f>
        <v/>
      </c>
      <c r="AJ263" t="str">
        <f>IFERROR(IF($AQ263&gt;5,INDEX(Festivals!$V$2:$V$160,$AP263+5),""),"")</f>
        <v/>
      </c>
      <c r="AK263" t="str">
        <f>IFERROR(IF($AQ263&gt;6,INDEX(Festivals!$V$2:$V$160,$AP263+6),""),"")</f>
        <v/>
      </c>
      <c r="AL263" t="str">
        <f ca="1">IFERROR(INDEX('Holidays Calc'!$J$2:$J$233,MATCH(A263,'Holidays Calc'!$I$2:$I$233,0)),"")</f>
        <v/>
      </c>
      <c r="AM263" t="str">
        <f ca="1">IF(AR263="","",IF(INDEX('Holidays Calc'!$I$2:$I$233,AR263+1)=A263,INDEX('Holidays Calc'!$J$2:$J$233,AR263+1),""))</f>
        <v/>
      </c>
      <c r="AN263" t="str">
        <f ca="1">IF(AR263="","",IF(INDEX('Holidays Calc'!$I$2:$I$233,AR263+2)=A263,INDEX('Holidays Calc'!$J$2:$J$233,AR263+2),""))</f>
        <v/>
      </c>
      <c r="AO263" t="str">
        <f ca="1">IF(AR263="","",IF(INDEX('Holidays Calc'!$I$2:$I$233,AR263+3)=A263,INDEX('Holidays Calc'!$J$2:$J$233,AR263+3),""))</f>
        <v/>
      </c>
      <c r="AP263" t="str">
        <f>IFERROR(IF($E263=E262,"",MATCH($E263,Festivals!$H$2:$H$160,0)),"")</f>
        <v/>
      </c>
      <c r="AQ263" t="str">
        <f>IF(AP263="","",COUNTIF(Festivals!$H$2:$H$160,$E263))</f>
        <v/>
      </c>
      <c r="AR263" t="str">
        <f ca="1">IFERROR(MATCH(A263,'Holidays Calc'!$I$2:$I$233,0),"")</f>
        <v/>
      </c>
      <c r="AS263" t="str">
        <f t="shared" si="32"/>
        <v/>
      </c>
      <c r="AT263" t="str">
        <f t="shared" si="31"/>
        <v/>
      </c>
      <c r="AU263" t="str">
        <f t="shared" ca="1" si="33"/>
        <v/>
      </c>
      <c r="AV263" t="str">
        <f t="shared" ca="1" si="34"/>
        <v/>
      </c>
    </row>
    <row r="264" spans="1:48" x14ac:dyDescent="0.25">
      <c r="A264" s="265">
        <f t="shared" si="30"/>
        <v>43690</v>
      </c>
      <c r="B264" s="265" t="str">
        <f t="shared" si="28"/>
        <v>13 Aug 2019</v>
      </c>
      <c r="C264" s="267">
        <f t="shared" si="29"/>
        <v>33</v>
      </c>
      <c r="D264">
        <f>MATCH(A264,GCalXMLT[daydate],0)</f>
        <v>263</v>
      </c>
      <c r="E264">
        <f>VALUE("1" &amp; Masacod(INDEX(GCalXMLT[gymasa],D264)) &amp; PaksaCod(INDEX(GCalXMLT[mpaksaid],D264)) &amp; TithiCod(INDEX(GCalXMLT[stithiname],D264)))</f>
        <v>105114</v>
      </c>
      <c r="F264" t="str">
        <f ca="1">INDEX(Parameters!$K$2:$K$16,MATCH(AV264,Parameters!$L$2:$L$16,0))</f>
        <v/>
      </c>
      <c r="G264">
        <f>INDEX(GCalXMLT[fastmark],$D264)</f>
        <v>0</v>
      </c>
      <c r="H264" t="str">
        <f ca="1">INDEX(Parameters!$J$2:$J$16,MATCH(AV264,Parameters!$L$2:$L$16,0))</f>
        <v/>
      </c>
      <c r="I264">
        <f>INDEX(GCalXMLT[dfestival1],$D264)</f>
        <v>0</v>
      </c>
      <c r="J264">
        <f>IF(INDEX(GCalXMLT[dfestival2],$D264)="(Fast today)",INDEX(Festivals!$R$2:$R$180,MATCH($I264,Festivals!$R$2:$R$180,0)+1),INDEX(GCalXMLT[dfestival2],$D264))</f>
        <v>0</v>
      </c>
      <c r="K264">
        <f>IF(I264="Nandotsava","(Fast till noon)",INDEX(GCalXMLT[dfestival3],$D264))</f>
        <v>0</v>
      </c>
      <c r="L264">
        <f>IF(I264="Nandotsava", INDEX(GCalXMLT[dfestival3],$D264),INDEX(GCalXMLT[dfestival4],$D264))</f>
        <v>0</v>
      </c>
      <c r="M264" t="str">
        <f>IFERROR(INDEX(Festivals!$S$2:$S$160,AP264),"")</f>
        <v/>
      </c>
      <c r="N264" t="str">
        <f>IFERROR(IF($AQ264&gt;1,INDEX(Festivals!$S$2:$S$160,$AP264+1),""),"")</f>
        <v/>
      </c>
      <c r="O264" t="str">
        <f>IFERROR(IF($AQ264&gt;2,INDEX(Festivals!$S$2:$S$160,$AP264+2),""),"")</f>
        <v/>
      </c>
      <c r="P264" t="str">
        <f>IFERROR(IF($AQ264&gt;3,INDEX(Festivals!$S$2:$S$160,$AP264+3),""),"")</f>
        <v/>
      </c>
      <c r="Q264" t="str">
        <f>IFERROR(IF($AQ264&gt;4,INDEX(Festivals!$S$2:$S$160,$AP264+4),""),"")</f>
        <v/>
      </c>
      <c r="R264" t="str">
        <f>IFERROR(IF($AQ264&gt;5,INDEX(Festivals!$S$2:$S$160,$AP264+5),""),"")</f>
        <v/>
      </c>
      <c r="S264" t="str">
        <f>IFERROR(IF($AQ264&gt;6,INDEX(Festivals!$S$2:$S$160,$AP264+6),""),"")</f>
        <v/>
      </c>
      <c r="T264">
        <f>INDEX(GCalXMLT[dcaturmasya1],$D264)</f>
        <v>0</v>
      </c>
      <c r="U264">
        <f>INDEX(GCalXMLT[dcaturmasya2],$D264)</f>
        <v>0</v>
      </c>
      <c r="V264" t="str">
        <f>INDEX(GCalXMLT[sankrantirasi],$D264) &amp; " " &amp; INDEX(GCalXMLT[sankrantitime],$D264)</f>
        <v xml:space="preserve"> </v>
      </c>
      <c r="W264" t="str">
        <f ca="1">IFERROR(INDEX('Holidays Calc'!$K$2:$K$233,AR264),"")</f>
        <v/>
      </c>
      <c r="X264" t="str">
        <f ca="1">IF(AR264="","",IF(INDEX('Holidays Calc'!$I$2:$I$233,AR264+1)=A264,INDEX('Holidays Calc'!$K$2:$K$233,AR264+1),""))</f>
        <v/>
      </c>
      <c r="Y264" t="str">
        <f ca="1">IF(AR264="","",IF(INDEX('Holidays Calc'!$I$2:$I$233,AR264+2)=A264,INDEX('Holidays Calc'!$K$2:$K$233,AR264+2),""))</f>
        <v/>
      </c>
      <c r="Z264" t="str">
        <f ca="1">IF(AR264="","",IF(INDEX('Holidays Calc'!$I$2:$I$233,AR264+3)=A264,INDEX('Holidays Calc'!$K$2:$K$2333,AR264+3),""))</f>
        <v/>
      </c>
      <c r="AA264" t="str">
        <f>IF(I264="Last day of Bhisma Pancaka","",IF(G264="*",-0.7,IF(ISBLANK(INDEX(GCalXMLT[dclass1],$D264)),"",INDEX(GCalXMLT[dclass1],$D264))))</f>
        <v/>
      </c>
      <c r="AB264" t="str">
        <f>IF(J264="First day of Bhisma Pancaka","",IF(AND(G264="*",NOT(ISERROR(SEARCH("ekadasi",J264)))),-0.7,IF(ISBLANK(INDEX(GCalXMLT[dclass2],$D264)),"",INDEX(GCalXMLT[dclass2],$D264))))</f>
        <v/>
      </c>
      <c r="AC264" t="str">
        <f>IF(I264="Nandotsava",-1,IF(ISBLANK(INDEX(GCalXMLT[dclass3],$D264)),"",INDEX(GCalXMLT[dclass3],$D264)))</f>
        <v/>
      </c>
      <c r="AD264" t="str">
        <f>IF(I264="Nandotsava",IF(ISBLANK(INDEX(GCalXMLT[dclass3],$D264)),"",INDEX(GCalXMLT[dclass3],$D264)),IF(ISBLANK(INDEX(GCalXMLT[dclass4],$D264)),"",INDEX(GCalXMLT[dclass4],$D264)))</f>
        <v/>
      </c>
      <c r="AE264" t="str">
        <f>IFERROR(INDEX(Festivals!$V$2:$V$160,AP264),"")</f>
        <v/>
      </c>
      <c r="AF264" t="str">
        <f>IFERROR(IF($AQ264&gt;1,INDEX(Festivals!$V$2:$V$160,$AP264+1),""),"")</f>
        <v/>
      </c>
      <c r="AG264" t="str">
        <f>IFERROR(IF($AQ264&gt;2,INDEX(Festivals!$V$2:$V$160,$AP264+2),""),"")</f>
        <v/>
      </c>
      <c r="AH264" t="str">
        <f>IFERROR(IF($AQ264&gt;3,INDEX(Festivals!$V$2:$V$160,$AP264+3),""),"")</f>
        <v/>
      </c>
      <c r="AI264" t="str">
        <f>IFERROR(IF($AQ264&gt;4,INDEX(Festivals!$V$2:$V$160,$AP264+4),""),"")</f>
        <v/>
      </c>
      <c r="AJ264" t="str">
        <f>IFERROR(IF($AQ264&gt;5,INDEX(Festivals!$V$2:$V$160,$AP264+5),""),"")</f>
        <v/>
      </c>
      <c r="AK264" t="str">
        <f>IFERROR(IF($AQ264&gt;6,INDEX(Festivals!$V$2:$V$160,$AP264+6),""),"")</f>
        <v/>
      </c>
      <c r="AL264" t="str">
        <f ca="1">IFERROR(INDEX('Holidays Calc'!$J$2:$J$233,MATCH(A264,'Holidays Calc'!$I$2:$I$233,0)),"")</f>
        <v/>
      </c>
      <c r="AM264" t="str">
        <f ca="1">IF(AR264="","",IF(INDEX('Holidays Calc'!$I$2:$I$233,AR264+1)=A264,INDEX('Holidays Calc'!$J$2:$J$233,AR264+1),""))</f>
        <v/>
      </c>
      <c r="AN264" t="str">
        <f ca="1">IF(AR264="","",IF(INDEX('Holidays Calc'!$I$2:$I$233,AR264+2)=A264,INDEX('Holidays Calc'!$J$2:$J$233,AR264+2),""))</f>
        <v/>
      </c>
      <c r="AO264" t="str">
        <f ca="1">IF(AR264="","",IF(INDEX('Holidays Calc'!$I$2:$I$233,AR264+3)=A264,INDEX('Holidays Calc'!$J$2:$J$233,AR264+3),""))</f>
        <v/>
      </c>
      <c r="AP264" t="str">
        <f>IFERROR(IF($E264=E263,"",MATCH($E264,Festivals!$H$2:$H$160,0)),"")</f>
        <v/>
      </c>
      <c r="AQ264" t="str">
        <f>IF(AP264="","",COUNTIF(Festivals!$H$2:$H$160,$E264))</f>
        <v/>
      </c>
      <c r="AR264" t="str">
        <f ca="1">IFERROR(MATCH(A264,'Holidays Calc'!$I$2:$I$233,0),"")</f>
        <v/>
      </c>
      <c r="AS264" t="str">
        <f t="shared" si="32"/>
        <v/>
      </c>
      <c r="AT264" t="str">
        <f t="shared" si="31"/>
        <v/>
      </c>
      <c r="AU264" t="str">
        <f t="shared" ca="1" si="33"/>
        <v/>
      </c>
      <c r="AV264" t="str">
        <f t="shared" ca="1" si="34"/>
        <v/>
      </c>
    </row>
    <row r="265" spans="1:48" x14ac:dyDescent="0.25">
      <c r="A265" s="265">
        <f t="shared" si="30"/>
        <v>43691</v>
      </c>
      <c r="B265" s="265" t="str">
        <f t="shared" si="28"/>
        <v>14 Aug 2019</v>
      </c>
      <c r="C265" s="267">
        <f t="shared" si="29"/>
        <v>33</v>
      </c>
      <c r="D265">
        <f>MATCH(A265,GCalXMLT[daydate],0)</f>
        <v>264</v>
      </c>
      <c r="E265">
        <f>VALUE("1" &amp; Masacod(INDEX(GCalXMLT[gymasa],D265)) &amp; PaksaCod(INDEX(GCalXMLT[mpaksaid],D265)) &amp; TithiCod(INDEX(GCalXMLT[stithiname],D265)))</f>
        <v>105114</v>
      </c>
      <c r="F265" t="str">
        <f ca="1">INDEX(Parameters!$K$2:$K$16,MATCH(AV265,Parameters!$L$2:$L$16,0))</f>
        <v/>
      </c>
      <c r="G265">
        <f>INDEX(GCalXMLT[fastmark],$D265)</f>
        <v>0</v>
      </c>
      <c r="H265" t="str">
        <f ca="1">INDEX(Parameters!$J$2:$J$16,MATCH(AV265,Parameters!$L$2:$L$16,0))</f>
        <v/>
      </c>
      <c r="I265">
        <f>INDEX(GCalXMLT[dfestival1],$D265)</f>
        <v>0</v>
      </c>
      <c r="J265">
        <f>IF(INDEX(GCalXMLT[dfestival2],$D265)="(Fast today)",INDEX(Festivals!$R$2:$R$180,MATCH($I265,Festivals!$R$2:$R$180,0)+1),INDEX(GCalXMLT[dfestival2],$D265))</f>
        <v>0</v>
      </c>
      <c r="K265">
        <f>IF(I265="Nandotsava","(Fast till noon)",INDEX(GCalXMLT[dfestival3],$D265))</f>
        <v>0</v>
      </c>
      <c r="L265">
        <f>IF(I265="Nandotsava", INDEX(GCalXMLT[dfestival3],$D265),INDEX(GCalXMLT[dfestival4],$D265))</f>
        <v>0</v>
      </c>
      <c r="M265" t="str">
        <f>IFERROR(INDEX(Festivals!$S$2:$S$160,AP265),"")</f>
        <v/>
      </c>
      <c r="N265" t="str">
        <f>IFERROR(IF($AQ265&gt;1,INDEX(Festivals!$S$2:$S$160,$AP265+1),""),"")</f>
        <v/>
      </c>
      <c r="O265" t="str">
        <f>IFERROR(IF($AQ265&gt;2,INDEX(Festivals!$S$2:$S$160,$AP265+2),""),"")</f>
        <v/>
      </c>
      <c r="P265" t="str">
        <f>IFERROR(IF($AQ265&gt;3,INDEX(Festivals!$S$2:$S$160,$AP265+3),""),"")</f>
        <v/>
      </c>
      <c r="Q265" t="str">
        <f>IFERROR(IF($AQ265&gt;4,INDEX(Festivals!$S$2:$S$160,$AP265+4),""),"")</f>
        <v/>
      </c>
      <c r="R265" t="str">
        <f>IFERROR(IF($AQ265&gt;5,INDEX(Festivals!$S$2:$S$160,$AP265+5),""),"")</f>
        <v/>
      </c>
      <c r="S265" t="str">
        <f>IFERROR(IF($AQ265&gt;6,INDEX(Festivals!$S$2:$S$160,$AP265+6),""),"")</f>
        <v/>
      </c>
      <c r="T265" t="str">
        <f>INDEX(GCalXMLT[dcaturmasya1],$D265)</f>
        <v>1last_PURNIMA_</v>
      </c>
      <c r="U265">
        <f>INDEX(GCalXMLT[dcaturmasya2],$D265)</f>
        <v>0</v>
      </c>
      <c r="V265" t="str">
        <f>INDEX(GCalXMLT[sankrantirasi],$D265) &amp; " " &amp; INDEX(GCalXMLT[sankrantitime],$D265)</f>
        <v xml:space="preserve"> </v>
      </c>
      <c r="W265" t="str">
        <f ca="1">IFERROR(INDEX('Holidays Calc'!$K$2:$K$233,AR265),"")</f>
        <v/>
      </c>
      <c r="X265" t="str">
        <f ca="1">IF(AR265="","",IF(INDEX('Holidays Calc'!$I$2:$I$233,AR265+1)=A265,INDEX('Holidays Calc'!$K$2:$K$233,AR265+1),""))</f>
        <v/>
      </c>
      <c r="Y265" t="str">
        <f ca="1">IF(AR265="","",IF(INDEX('Holidays Calc'!$I$2:$I$233,AR265+2)=A265,INDEX('Holidays Calc'!$K$2:$K$233,AR265+2),""))</f>
        <v/>
      </c>
      <c r="Z265" t="str">
        <f ca="1">IF(AR265="","",IF(INDEX('Holidays Calc'!$I$2:$I$233,AR265+3)=A265,INDEX('Holidays Calc'!$K$2:$K$2333,AR265+3),""))</f>
        <v/>
      </c>
      <c r="AA265" t="str">
        <f>IF(I265="Last day of Bhisma Pancaka","",IF(G265="*",-0.7,IF(ISBLANK(INDEX(GCalXMLT[dclass1],$D265)),"",INDEX(GCalXMLT[dclass1],$D265))))</f>
        <v/>
      </c>
      <c r="AB265" t="str">
        <f>IF(J265="First day of Bhisma Pancaka","",IF(AND(G265="*",NOT(ISERROR(SEARCH("ekadasi",J265)))),-0.7,IF(ISBLANK(INDEX(GCalXMLT[dclass2],$D265)),"",INDEX(GCalXMLT[dclass2],$D265))))</f>
        <v/>
      </c>
      <c r="AC265" t="str">
        <f>IF(I265="Nandotsava",-1,IF(ISBLANK(INDEX(GCalXMLT[dclass3],$D265)),"",INDEX(GCalXMLT[dclass3],$D265)))</f>
        <v/>
      </c>
      <c r="AD265" t="str">
        <f>IF(I265="Nandotsava",IF(ISBLANK(INDEX(GCalXMLT[dclass3],$D265)),"",INDEX(GCalXMLT[dclass3],$D265)),IF(ISBLANK(INDEX(GCalXMLT[dclass4],$D265)),"",INDEX(GCalXMLT[dclass4],$D265)))</f>
        <v/>
      </c>
      <c r="AE265" t="str">
        <f>IFERROR(INDEX(Festivals!$V$2:$V$160,AP265),"")</f>
        <v/>
      </c>
      <c r="AF265" t="str">
        <f>IFERROR(IF($AQ265&gt;1,INDEX(Festivals!$V$2:$V$160,$AP265+1),""),"")</f>
        <v/>
      </c>
      <c r="AG265" t="str">
        <f>IFERROR(IF($AQ265&gt;2,INDEX(Festivals!$V$2:$V$160,$AP265+2),""),"")</f>
        <v/>
      </c>
      <c r="AH265" t="str">
        <f>IFERROR(IF($AQ265&gt;3,INDEX(Festivals!$V$2:$V$160,$AP265+3),""),"")</f>
        <v/>
      </c>
      <c r="AI265" t="str">
        <f>IFERROR(IF($AQ265&gt;4,INDEX(Festivals!$V$2:$V$160,$AP265+4),""),"")</f>
        <v/>
      </c>
      <c r="AJ265" t="str">
        <f>IFERROR(IF($AQ265&gt;5,INDEX(Festivals!$V$2:$V$160,$AP265+5),""),"")</f>
        <v/>
      </c>
      <c r="AK265" t="str">
        <f>IFERROR(IF($AQ265&gt;6,INDEX(Festivals!$V$2:$V$160,$AP265+6),""),"")</f>
        <v/>
      </c>
      <c r="AL265" t="str">
        <f ca="1">IFERROR(INDEX('Holidays Calc'!$J$2:$J$233,MATCH(A265,'Holidays Calc'!$I$2:$I$233,0)),"")</f>
        <v/>
      </c>
      <c r="AM265" t="str">
        <f ca="1">IF(AR265="","",IF(INDEX('Holidays Calc'!$I$2:$I$233,AR265+1)=A265,INDEX('Holidays Calc'!$J$2:$J$233,AR265+1),""))</f>
        <v/>
      </c>
      <c r="AN265" t="str">
        <f ca="1">IF(AR265="","",IF(INDEX('Holidays Calc'!$I$2:$I$233,AR265+2)=A265,INDEX('Holidays Calc'!$J$2:$J$233,AR265+2),""))</f>
        <v/>
      </c>
      <c r="AO265" t="str">
        <f ca="1">IF(AR265="","",IF(INDEX('Holidays Calc'!$I$2:$I$233,AR265+3)=A265,INDEX('Holidays Calc'!$J$2:$J$233,AR265+3),""))</f>
        <v/>
      </c>
      <c r="AP265" t="str">
        <f>IFERROR(IF($E265=E264,"",MATCH($E265,Festivals!$H$2:$H$160,0)),"")</f>
        <v/>
      </c>
      <c r="AQ265" t="str">
        <f>IF(AP265="","",COUNTIF(Festivals!$H$2:$H$160,$E265))</f>
        <v/>
      </c>
      <c r="AR265" t="str">
        <f ca="1">IFERROR(MATCH(A265,'Holidays Calc'!$I$2:$I$233,0),"")</f>
        <v/>
      </c>
      <c r="AS265" t="str">
        <f t="shared" si="32"/>
        <v/>
      </c>
      <c r="AT265" t="str">
        <f t="shared" si="31"/>
        <v/>
      </c>
      <c r="AU265" t="str">
        <f t="shared" ca="1" si="33"/>
        <v/>
      </c>
      <c r="AV265" t="str">
        <f t="shared" ca="1" si="34"/>
        <v/>
      </c>
    </row>
    <row r="266" spans="1:48" x14ac:dyDescent="0.25">
      <c r="A266" s="265">
        <f t="shared" si="30"/>
        <v>43692</v>
      </c>
      <c r="B266" s="265" t="str">
        <f t="shared" si="28"/>
        <v>15 Aug 2019</v>
      </c>
      <c r="C266" s="267">
        <f t="shared" si="29"/>
        <v>33</v>
      </c>
      <c r="D266">
        <f>MATCH(A266,GCalXMLT[daydate],0)</f>
        <v>265</v>
      </c>
      <c r="E266">
        <f>VALUE("1" &amp; Masacod(INDEX(GCalXMLT[gymasa],D266)) &amp; PaksaCod(INDEX(GCalXMLT[mpaksaid],D266)) &amp; TithiCod(INDEX(GCalXMLT[stithiname],D266)))</f>
        <v>105115</v>
      </c>
      <c r="F266" t="str">
        <f ca="1">INDEX(Parameters!$K$2:$K$16,MATCH(AV266,Parameters!$L$2:$L$16,0))</f>
        <v>P</v>
      </c>
      <c r="G266">
        <f>INDEX(GCalXMLT[fastmark],$D266)</f>
        <v>0</v>
      </c>
      <c r="H266" t="str">
        <f ca="1">INDEX(Parameters!$J$2:$J$16,MATCH(AV266,Parameters!$L$2:$L$16,0))</f>
        <v>*</v>
      </c>
      <c r="I266">
        <f>INDEX(GCalXMLT[dfestival1],$D266)</f>
        <v>0</v>
      </c>
      <c r="J266">
        <f>IF(INDEX(GCalXMLT[dfestival2],$D266)="(Fast today)",INDEX(Festivals!$R$2:$R$180,MATCH($I266,Festivals!$R$2:$R$180,0)+1),INDEX(GCalXMLT[dfestival2],$D266))</f>
        <v>0</v>
      </c>
      <c r="K266">
        <f>IF(I266="Nandotsava","(Fast till noon)",INDEX(GCalXMLT[dfestival3],$D266))</f>
        <v>0</v>
      </c>
      <c r="L266">
        <f>IF(I266="Nandotsava", INDEX(GCalXMLT[dfestival3],$D266),INDEX(GCalXMLT[dfestival4],$D266))</f>
        <v>0</v>
      </c>
      <c r="M266" t="str">
        <f>IFERROR(INDEX(Festivals!$S$2:$S$160,AP266),"")</f>
        <v>Jhulana Yatra ends</v>
      </c>
      <c r="N266" t="str">
        <f>IFERROR(IF($AQ266&gt;1,INDEX(Festivals!$S$2:$S$160,$AP266+1),""),"")</f>
        <v>Lord Balarama - Appearance</v>
      </c>
      <c r="O266" t="str">
        <f>IFERROR(IF($AQ266&gt;2,INDEX(Festivals!$S$2:$S$160,$AP266+2),""),"")</f>
        <v>(Fast till noon)</v>
      </c>
      <c r="P266" t="str">
        <f>IFERROR(IF($AQ266&gt;3,INDEX(Festivals!$S$2:$S$160,$AP266+3),""),"")</f>
        <v/>
      </c>
      <c r="Q266" t="str">
        <f>IFERROR(IF($AQ266&gt;4,INDEX(Festivals!$S$2:$S$160,$AP266+4),""),"")</f>
        <v/>
      </c>
      <c r="R266" t="str">
        <f>IFERROR(IF($AQ266&gt;5,INDEX(Festivals!$S$2:$S$160,$AP266+5),""),"")</f>
        <v/>
      </c>
      <c r="S266" t="str">
        <f>IFERROR(IF($AQ266&gt;6,INDEX(Festivals!$S$2:$S$160,$AP266+6),""),"")</f>
        <v/>
      </c>
      <c r="T266" t="str">
        <f>INDEX(GCalXMLT[dcaturmasya1],$D266)</f>
        <v>2first_PURNIMA_</v>
      </c>
      <c r="U266" t="str">
        <f>INDEX(GCalXMLT[dcaturmasya2],$D266)</f>
        <v>1last_PRATIPAT</v>
      </c>
      <c r="V266" t="str">
        <f>INDEX(GCalXMLT[sankrantirasi],$D266) &amp; " " &amp; INDEX(GCalXMLT[sankrantitime],$D266)</f>
        <v xml:space="preserve"> </v>
      </c>
      <c r="W266" t="str">
        <f ca="1">IFERROR(INDEX('Holidays Calc'!$K$2:$K$233,AR266),"")</f>
        <v/>
      </c>
      <c r="X266" t="str">
        <f ca="1">IF(AR266="","",IF(INDEX('Holidays Calc'!$I$2:$I$233,AR266+1)=A266,INDEX('Holidays Calc'!$K$2:$K$233,AR266+1),""))</f>
        <v/>
      </c>
      <c r="Y266" t="str">
        <f ca="1">IF(AR266="","",IF(INDEX('Holidays Calc'!$I$2:$I$233,AR266+2)=A266,INDEX('Holidays Calc'!$K$2:$K$233,AR266+2),""))</f>
        <v/>
      </c>
      <c r="Z266" t="str">
        <f ca="1">IF(AR266="","",IF(INDEX('Holidays Calc'!$I$2:$I$233,AR266+3)=A266,INDEX('Holidays Calc'!$K$2:$K$2333,AR266+3),""))</f>
        <v/>
      </c>
      <c r="AA266" t="str">
        <f>IF(I266="Last day of Bhisma Pancaka","",IF(G266="*",-0.7,IF(ISBLANK(INDEX(GCalXMLT[dclass1],$D266)),"",INDEX(GCalXMLT[dclass1],$D266))))</f>
        <v/>
      </c>
      <c r="AB266" t="str">
        <f>IF(J266="First day of Bhisma Pancaka","",IF(AND(G266="*",NOT(ISERROR(SEARCH("ekadasi",J266)))),-0.7,IF(ISBLANK(INDEX(GCalXMLT[dclass2],$D266)),"",INDEX(GCalXMLT[dclass2],$D266))))</f>
        <v/>
      </c>
      <c r="AC266" t="str">
        <f>IF(I266="Nandotsava",-1,IF(ISBLANK(INDEX(GCalXMLT[dclass3],$D266)),"",INDEX(GCalXMLT[dclass3],$D266)))</f>
        <v/>
      </c>
      <c r="AD266" t="str">
        <f>IF(I266="Nandotsava",IF(ISBLANK(INDEX(GCalXMLT[dclass3],$D266)),"",INDEX(GCalXMLT[dclass3],$D266)),IF(ISBLANK(INDEX(GCalXMLT[dclass4],$D266)),"",INDEX(GCalXMLT[dclass4],$D266)))</f>
        <v/>
      </c>
      <c r="AE266">
        <f>IFERROR(INDEX(Festivals!$V$2:$V$160,AP266),"")</f>
        <v>1</v>
      </c>
      <c r="AF266">
        <f>IFERROR(IF($AQ266&gt;1,INDEX(Festivals!$V$2:$V$160,$AP266+1),""),"")</f>
        <v>0</v>
      </c>
      <c r="AG266">
        <f>IFERROR(IF($AQ266&gt;2,INDEX(Festivals!$V$2:$V$160,$AP266+2),""),"")</f>
        <v>-1</v>
      </c>
      <c r="AH266" t="str">
        <f>IFERROR(IF($AQ266&gt;3,INDEX(Festivals!$V$2:$V$160,$AP266+3),""),"")</f>
        <v/>
      </c>
      <c r="AI266" t="str">
        <f>IFERROR(IF($AQ266&gt;4,INDEX(Festivals!$V$2:$V$160,$AP266+4),""),"")</f>
        <v/>
      </c>
      <c r="AJ266" t="str">
        <f>IFERROR(IF($AQ266&gt;5,INDEX(Festivals!$V$2:$V$160,$AP266+5),""),"")</f>
        <v/>
      </c>
      <c r="AK266" t="str">
        <f>IFERROR(IF($AQ266&gt;6,INDEX(Festivals!$V$2:$V$160,$AP266+6),""),"")</f>
        <v/>
      </c>
      <c r="AL266" t="str">
        <f ca="1">IFERROR(INDEX('Holidays Calc'!$J$2:$J$233,MATCH(A266,'Holidays Calc'!$I$2:$I$233,0)),"")</f>
        <v/>
      </c>
      <c r="AM266" t="str">
        <f ca="1">IF(AR266="","",IF(INDEX('Holidays Calc'!$I$2:$I$233,AR266+1)=A266,INDEX('Holidays Calc'!$J$2:$J$233,AR266+1),""))</f>
        <v/>
      </c>
      <c r="AN266" t="str">
        <f ca="1">IF(AR266="","",IF(INDEX('Holidays Calc'!$I$2:$I$233,AR266+2)=A266,INDEX('Holidays Calc'!$J$2:$J$233,AR266+2),""))</f>
        <v/>
      </c>
      <c r="AO266" t="str">
        <f ca="1">IF(AR266="","",IF(INDEX('Holidays Calc'!$I$2:$I$233,AR266+3)=A266,INDEX('Holidays Calc'!$J$2:$J$233,AR266+3),""))</f>
        <v/>
      </c>
      <c r="AP266">
        <f>IFERROR(IF($E266=E265,"",MATCH($E266,Festivals!$H$2:$H$160,0)),"")</f>
        <v>54</v>
      </c>
      <c r="AQ266">
        <f>IF(AP266="","",COUNTIF(Festivals!$H$2:$H$160,$E266))</f>
        <v>3</v>
      </c>
      <c r="AR266" t="str">
        <f ca="1">IFERROR(MATCH(A266,'Holidays Calc'!$I$2:$I$233,0),"")</f>
        <v/>
      </c>
      <c r="AS266">
        <f t="shared" si="32"/>
        <v>-1</v>
      </c>
      <c r="AT266">
        <f t="shared" si="31"/>
        <v>-1</v>
      </c>
      <c r="AU266" t="str">
        <f t="shared" ca="1" si="33"/>
        <v/>
      </c>
      <c r="AV266">
        <f t="shared" ca="1" si="34"/>
        <v>-1</v>
      </c>
    </row>
    <row r="267" spans="1:48" x14ac:dyDescent="0.25">
      <c r="A267" s="265">
        <f t="shared" si="30"/>
        <v>43693</v>
      </c>
      <c r="B267" s="265" t="str">
        <f t="shared" si="28"/>
        <v>16 Aug 2019</v>
      </c>
      <c r="C267" s="267">
        <f t="shared" si="29"/>
        <v>33</v>
      </c>
      <c r="D267">
        <f>MATCH(A267,GCalXMLT[daydate],0)</f>
        <v>266</v>
      </c>
      <c r="E267">
        <f>VALUE("1" &amp; Masacod(INDEX(GCalXMLT[gymasa],D267)) &amp; PaksaCod(INDEX(GCalXMLT[mpaksaid],D267)) &amp; TithiCod(INDEX(GCalXMLT[stithiname],D267)))</f>
        <v>106001</v>
      </c>
      <c r="F267" t="str">
        <f ca="1">INDEX(Parameters!$K$2:$K$16,MATCH(AV267,Parameters!$L$2:$L$16,0))</f>
        <v>C</v>
      </c>
      <c r="G267">
        <f>INDEX(GCalXMLT[fastmark],$D267)</f>
        <v>0</v>
      </c>
      <c r="H267" t="str">
        <f ca="1">INDEX(Parameters!$J$2:$J$16,MATCH(AV267,Parameters!$L$2:$L$16,0))</f>
        <v/>
      </c>
      <c r="I267">
        <f>INDEX(GCalXMLT[dfestival1],$D267)</f>
        <v>0</v>
      </c>
      <c r="J267">
        <f>IF(INDEX(GCalXMLT[dfestival2],$D267)="(Fast today)",INDEX(Festivals!$R$2:$R$180,MATCH($I267,Festivals!$R$2:$R$180,0)+1),INDEX(GCalXMLT[dfestival2],$D267))</f>
        <v>0</v>
      </c>
      <c r="K267">
        <f>IF(I267="Nandotsava","(Fast till noon)",INDEX(GCalXMLT[dfestival3],$D267))</f>
        <v>0</v>
      </c>
      <c r="L267">
        <f>IF(I267="Nandotsava", INDEX(GCalXMLT[dfestival3],$D267),INDEX(GCalXMLT[dfestival4],$D267))</f>
        <v>0</v>
      </c>
      <c r="M267" t="str">
        <f>IFERROR(INDEX(Festivals!$S$2:$S$160,AP267),"")</f>
        <v>Srila Prabhupada's departure for the USA</v>
      </c>
      <c r="N267" t="str">
        <f>IFERROR(IF($AQ267&gt;1,INDEX(Festivals!$S$2:$S$160,$AP267+1),""),"")</f>
        <v/>
      </c>
      <c r="O267" t="str">
        <f>IFERROR(IF($AQ267&gt;2,INDEX(Festivals!$S$2:$S$160,$AP267+2),""),"")</f>
        <v/>
      </c>
      <c r="P267" t="str">
        <f>IFERROR(IF($AQ267&gt;3,INDEX(Festivals!$S$2:$S$160,$AP267+3),""),"")</f>
        <v/>
      </c>
      <c r="Q267" t="str">
        <f>IFERROR(IF($AQ267&gt;4,INDEX(Festivals!$S$2:$S$160,$AP267+4),""),"")</f>
        <v/>
      </c>
      <c r="R267" t="str">
        <f>IFERROR(IF($AQ267&gt;5,INDEX(Festivals!$S$2:$S$160,$AP267+5),""),"")</f>
        <v/>
      </c>
      <c r="S267" t="str">
        <f>IFERROR(IF($AQ267&gt;6,INDEX(Festivals!$S$2:$S$160,$AP267+6),""),"")</f>
        <v/>
      </c>
      <c r="T267" t="str">
        <f>INDEX(GCalXMLT[dcaturmasya1],$D267)</f>
        <v>2first_PRATIPAT</v>
      </c>
      <c r="U267">
        <f>INDEX(GCalXMLT[dcaturmasya2],$D267)</f>
        <v>0</v>
      </c>
      <c r="V267" t="str">
        <f>INDEX(GCalXMLT[sankrantirasi],$D267) &amp; " " &amp; INDEX(GCalXMLT[sankrantitime],$D267)</f>
        <v xml:space="preserve"> </v>
      </c>
      <c r="W267" t="str">
        <f ca="1">IFERROR(INDEX('Holidays Calc'!$K$2:$K$233,AR267),"")</f>
        <v/>
      </c>
      <c r="X267" t="str">
        <f ca="1">IF(AR267="","",IF(INDEX('Holidays Calc'!$I$2:$I$233,AR267+1)=A267,INDEX('Holidays Calc'!$K$2:$K$233,AR267+1),""))</f>
        <v/>
      </c>
      <c r="Y267" t="str">
        <f ca="1">IF(AR267="","",IF(INDEX('Holidays Calc'!$I$2:$I$233,AR267+2)=A267,INDEX('Holidays Calc'!$K$2:$K$233,AR267+2),""))</f>
        <v/>
      </c>
      <c r="Z267" t="str">
        <f ca="1">IF(AR267="","",IF(INDEX('Holidays Calc'!$I$2:$I$233,AR267+3)=A267,INDEX('Holidays Calc'!$K$2:$K$2333,AR267+3),""))</f>
        <v/>
      </c>
      <c r="AA267" t="str">
        <f>IF(I267="Last day of Bhisma Pancaka","",IF(G267="*",-0.7,IF(ISBLANK(INDEX(GCalXMLT[dclass1],$D267)),"",INDEX(GCalXMLT[dclass1],$D267))))</f>
        <v/>
      </c>
      <c r="AB267" t="str">
        <f>IF(J267="First day of Bhisma Pancaka","",IF(AND(G267="*",NOT(ISERROR(SEARCH("ekadasi",J267)))),-0.7,IF(ISBLANK(INDEX(GCalXMLT[dclass2],$D267)),"",INDEX(GCalXMLT[dclass2],$D267))))</f>
        <v/>
      </c>
      <c r="AC267" t="str">
        <f>IF(I267="Nandotsava",-1,IF(ISBLANK(INDEX(GCalXMLT[dclass3],$D267)),"",INDEX(GCalXMLT[dclass3],$D267)))</f>
        <v/>
      </c>
      <c r="AD267" t="str">
        <f>IF(I267="Nandotsava",IF(ISBLANK(INDEX(GCalXMLT[dclass3],$D267)),"",INDEX(GCalXMLT[dclass3],$D267)),IF(ISBLANK(INDEX(GCalXMLT[dclass4],$D267)),"",INDEX(GCalXMLT[dclass4],$D267)))</f>
        <v/>
      </c>
      <c r="AE267">
        <f>IFERROR(INDEX(Festivals!$V$2:$V$160,AP267),"")</f>
        <v>4</v>
      </c>
      <c r="AF267" t="str">
        <f>IFERROR(IF($AQ267&gt;1,INDEX(Festivals!$V$2:$V$160,$AP267+1),""),"")</f>
        <v/>
      </c>
      <c r="AG267" t="str">
        <f>IFERROR(IF($AQ267&gt;2,INDEX(Festivals!$V$2:$V$160,$AP267+2),""),"")</f>
        <v/>
      </c>
      <c r="AH267" t="str">
        <f>IFERROR(IF($AQ267&gt;3,INDEX(Festivals!$V$2:$V$160,$AP267+3),""),"")</f>
        <v/>
      </c>
      <c r="AI267" t="str">
        <f>IFERROR(IF($AQ267&gt;4,INDEX(Festivals!$V$2:$V$160,$AP267+4),""),"")</f>
        <v/>
      </c>
      <c r="AJ267" t="str">
        <f>IFERROR(IF($AQ267&gt;5,INDEX(Festivals!$V$2:$V$160,$AP267+5),""),"")</f>
        <v/>
      </c>
      <c r="AK267" t="str">
        <f>IFERROR(IF($AQ267&gt;6,INDEX(Festivals!$V$2:$V$160,$AP267+6),""),"")</f>
        <v/>
      </c>
      <c r="AL267" t="str">
        <f ca="1">IFERROR(INDEX('Holidays Calc'!$J$2:$J$233,MATCH(A267,'Holidays Calc'!$I$2:$I$233,0)),"")</f>
        <v/>
      </c>
      <c r="AM267" t="str">
        <f ca="1">IF(AR267="","",IF(INDEX('Holidays Calc'!$I$2:$I$233,AR267+1)=A267,INDEX('Holidays Calc'!$J$2:$J$233,AR267+1),""))</f>
        <v/>
      </c>
      <c r="AN267" t="str">
        <f ca="1">IF(AR267="","",IF(INDEX('Holidays Calc'!$I$2:$I$233,AR267+2)=A267,INDEX('Holidays Calc'!$J$2:$J$233,AR267+2),""))</f>
        <v/>
      </c>
      <c r="AO267" t="str">
        <f ca="1">IF(AR267="","",IF(INDEX('Holidays Calc'!$I$2:$I$233,AR267+3)=A267,INDEX('Holidays Calc'!$J$2:$J$233,AR267+3),""))</f>
        <v/>
      </c>
      <c r="AP267">
        <f>IFERROR(IF($E267=E266,"",MATCH($E267,Festivals!$H$2:$H$160,0)),"")</f>
        <v>57</v>
      </c>
      <c r="AQ267">
        <f>IF(AP267="","",COUNTIF(Festivals!$H$2:$H$160,$E267))</f>
        <v>1</v>
      </c>
      <c r="AR267" t="str">
        <f ca="1">IFERROR(MATCH(A267,'Holidays Calc'!$I$2:$I$233,0),"")</f>
        <v/>
      </c>
      <c r="AS267">
        <f t="shared" si="32"/>
        <v>4</v>
      </c>
      <c r="AT267">
        <f t="shared" si="31"/>
        <v>4</v>
      </c>
      <c r="AU267" t="str">
        <f t="shared" ca="1" si="33"/>
        <v/>
      </c>
      <c r="AV267">
        <f t="shared" ca="1" si="34"/>
        <v>4</v>
      </c>
    </row>
    <row r="268" spans="1:48" x14ac:dyDescent="0.25">
      <c r="A268" s="265">
        <f t="shared" si="30"/>
        <v>43694</v>
      </c>
      <c r="B268" s="265" t="str">
        <f t="shared" ref="B268:B331" si="35">DAY(A268) &amp; " " &amp; MonthStr(MONTH(A268)) &amp; " " &amp; YEAR(A268)</f>
        <v>17 Aug 2019</v>
      </c>
      <c r="C268" s="267">
        <f t="shared" ref="C268:C331" si="36">WEEKNUM(A268,2)</f>
        <v>33</v>
      </c>
      <c r="D268">
        <f>MATCH(A268,GCalXMLT[daydate],0)</f>
        <v>267</v>
      </c>
      <c r="E268">
        <f>VALUE("1" &amp; Masacod(INDEX(GCalXMLT[gymasa],D268)) &amp; PaksaCod(INDEX(GCalXMLT[mpaksaid],D268)) &amp; TithiCod(INDEX(GCalXMLT[stithiname],D268)))</f>
        <v>106002</v>
      </c>
      <c r="F268" t="str">
        <f ca="1">INDEX(Parameters!$K$2:$K$16,MATCH(AV268,Parameters!$L$2:$L$16,0))</f>
        <v/>
      </c>
      <c r="G268">
        <f>INDEX(GCalXMLT[fastmark],$D268)</f>
        <v>0</v>
      </c>
      <c r="H268" t="str">
        <f ca="1">INDEX(Parameters!$J$2:$J$16,MATCH(AV268,Parameters!$L$2:$L$16,0))</f>
        <v/>
      </c>
      <c r="I268">
        <f>INDEX(GCalXMLT[dfestival1],$D268)</f>
        <v>0</v>
      </c>
      <c r="J268">
        <f>IF(INDEX(GCalXMLT[dfestival2],$D268)="(Fast today)",INDEX(Festivals!$R$2:$R$180,MATCH($I268,Festivals!$R$2:$R$180,0)+1),INDEX(GCalXMLT[dfestival2],$D268))</f>
        <v>0</v>
      </c>
      <c r="K268">
        <f>IF(I268="Nandotsava","(Fast till noon)",INDEX(GCalXMLT[dfestival3],$D268))</f>
        <v>0</v>
      </c>
      <c r="L268">
        <f>IF(I268="Nandotsava", INDEX(GCalXMLT[dfestival3],$D268),INDEX(GCalXMLT[dfestival4],$D268))</f>
        <v>0</v>
      </c>
      <c r="M268" t="str">
        <f>IFERROR(INDEX(Festivals!$S$2:$S$160,AP268),"")</f>
        <v/>
      </c>
      <c r="N268" t="str">
        <f>IFERROR(IF($AQ268&gt;1,INDEX(Festivals!$S$2:$S$160,$AP268+1),""),"")</f>
        <v/>
      </c>
      <c r="O268" t="str">
        <f>IFERROR(IF($AQ268&gt;2,INDEX(Festivals!$S$2:$S$160,$AP268+2),""),"")</f>
        <v/>
      </c>
      <c r="P268" t="str">
        <f>IFERROR(IF($AQ268&gt;3,INDEX(Festivals!$S$2:$S$160,$AP268+3),""),"")</f>
        <v/>
      </c>
      <c r="Q268" t="str">
        <f>IFERROR(IF($AQ268&gt;4,INDEX(Festivals!$S$2:$S$160,$AP268+4),""),"")</f>
        <v/>
      </c>
      <c r="R268" t="str">
        <f>IFERROR(IF($AQ268&gt;5,INDEX(Festivals!$S$2:$S$160,$AP268+5),""),"")</f>
        <v/>
      </c>
      <c r="S268" t="str">
        <f>IFERROR(IF($AQ268&gt;6,INDEX(Festivals!$S$2:$S$160,$AP268+6),""),"")</f>
        <v/>
      </c>
      <c r="T268">
        <f>INDEX(GCalXMLT[dcaturmasya1],$D268)</f>
        <v>0</v>
      </c>
      <c r="U268">
        <f>INDEX(GCalXMLT[dcaturmasya2],$D268)</f>
        <v>0</v>
      </c>
      <c r="V268" t="str">
        <f>INDEX(GCalXMLT[sankrantirasi],$D268) &amp; " " &amp; INDEX(GCalXMLT[sankrantitime],$D268)</f>
        <v>Simha 0,181909722222222</v>
      </c>
      <c r="W268" t="str">
        <f ca="1">IFERROR(INDEX('Holidays Calc'!$K$2:$K$233,AR268),"")</f>
        <v/>
      </c>
      <c r="X268" t="str">
        <f ca="1">IF(AR268="","",IF(INDEX('Holidays Calc'!$I$2:$I$233,AR268+1)=A268,INDEX('Holidays Calc'!$K$2:$K$233,AR268+1),""))</f>
        <v/>
      </c>
      <c r="Y268" t="str">
        <f ca="1">IF(AR268="","",IF(INDEX('Holidays Calc'!$I$2:$I$233,AR268+2)=A268,INDEX('Holidays Calc'!$K$2:$K$233,AR268+2),""))</f>
        <v/>
      </c>
      <c r="Z268" t="str">
        <f ca="1">IF(AR268="","",IF(INDEX('Holidays Calc'!$I$2:$I$233,AR268+3)=A268,INDEX('Holidays Calc'!$K$2:$K$2333,AR268+3),""))</f>
        <v/>
      </c>
      <c r="AA268" t="str">
        <f>IF(I268="Last day of Bhisma Pancaka","",IF(G268="*",-0.7,IF(ISBLANK(INDEX(GCalXMLT[dclass1],$D268)),"",INDEX(GCalXMLT[dclass1],$D268))))</f>
        <v/>
      </c>
      <c r="AB268" t="str">
        <f>IF(J268="First day of Bhisma Pancaka","",IF(AND(G268="*",NOT(ISERROR(SEARCH("ekadasi",J268)))),-0.7,IF(ISBLANK(INDEX(GCalXMLT[dclass2],$D268)),"",INDEX(GCalXMLT[dclass2],$D268))))</f>
        <v/>
      </c>
      <c r="AC268" t="str">
        <f>IF(I268="Nandotsava",-1,IF(ISBLANK(INDEX(GCalXMLT[dclass3],$D268)),"",INDEX(GCalXMLT[dclass3],$D268)))</f>
        <v/>
      </c>
      <c r="AD268" t="str">
        <f>IF(I268="Nandotsava",IF(ISBLANK(INDEX(GCalXMLT[dclass3],$D268)),"",INDEX(GCalXMLT[dclass3],$D268)),IF(ISBLANK(INDEX(GCalXMLT[dclass4],$D268)),"",INDEX(GCalXMLT[dclass4],$D268)))</f>
        <v/>
      </c>
      <c r="AE268" t="str">
        <f>IFERROR(INDEX(Festivals!$V$2:$V$160,AP268),"")</f>
        <v/>
      </c>
      <c r="AF268" t="str">
        <f>IFERROR(IF($AQ268&gt;1,INDEX(Festivals!$V$2:$V$160,$AP268+1),""),"")</f>
        <v/>
      </c>
      <c r="AG268" t="str">
        <f>IFERROR(IF($AQ268&gt;2,INDEX(Festivals!$V$2:$V$160,$AP268+2),""),"")</f>
        <v/>
      </c>
      <c r="AH268" t="str">
        <f>IFERROR(IF($AQ268&gt;3,INDEX(Festivals!$V$2:$V$160,$AP268+3),""),"")</f>
        <v/>
      </c>
      <c r="AI268" t="str">
        <f>IFERROR(IF($AQ268&gt;4,INDEX(Festivals!$V$2:$V$160,$AP268+4),""),"")</f>
        <v/>
      </c>
      <c r="AJ268" t="str">
        <f>IFERROR(IF($AQ268&gt;5,INDEX(Festivals!$V$2:$V$160,$AP268+5),""),"")</f>
        <v/>
      </c>
      <c r="AK268" t="str">
        <f>IFERROR(IF($AQ268&gt;6,INDEX(Festivals!$V$2:$V$160,$AP268+6),""),"")</f>
        <v/>
      </c>
      <c r="AL268" t="str">
        <f ca="1">IFERROR(INDEX('Holidays Calc'!$J$2:$J$233,MATCH(A268,'Holidays Calc'!$I$2:$I$233,0)),"")</f>
        <v/>
      </c>
      <c r="AM268" t="str">
        <f ca="1">IF(AR268="","",IF(INDEX('Holidays Calc'!$I$2:$I$233,AR268+1)=A268,INDEX('Holidays Calc'!$J$2:$J$233,AR268+1),""))</f>
        <v/>
      </c>
      <c r="AN268" t="str">
        <f ca="1">IF(AR268="","",IF(INDEX('Holidays Calc'!$I$2:$I$233,AR268+2)=A268,INDEX('Holidays Calc'!$J$2:$J$233,AR268+2),""))</f>
        <v/>
      </c>
      <c r="AO268" t="str">
        <f ca="1">IF(AR268="","",IF(INDEX('Holidays Calc'!$I$2:$I$233,AR268+3)=A268,INDEX('Holidays Calc'!$J$2:$J$233,AR268+3),""))</f>
        <v/>
      </c>
      <c r="AP268" t="str">
        <f>IFERROR(IF($E268=E267,"",MATCH($E268,Festivals!$H$2:$H$160,0)),"")</f>
        <v/>
      </c>
      <c r="AQ268" t="str">
        <f>IF(AP268="","",COUNTIF(Festivals!$H$2:$H$160,$E268))</f>
        <v/>
      </c>
      <c r="AR268" t="str">
        <f ca="1">IFERROR(MATCH(A268,'Holidays Calc'!$I$2:$I$233,0),"")</f>
        <v/>
      </c>
      <c r="AS268" t="str">
        <f t="shared" si="32"/>
        <v/>
      </c>
      <c r="AT268" t="str">
        <f t="shared" si="31"/>
        <v/>
      </c>
      <c r="AU268" t="str">
        <f t="shared" ca="1" si="33"/>
        <v/>
      </c>
      <c r="AV268" t="str">
        <f t="shared" ca="1" si="34"/>
        <v/>
      </c>
    </row>
    <row r="269" spans="1:48" x14ac:dyDescent="0.25">
      <c r="A269" s="265">
        <f t="shared" si="30"/>
        <v>43695</v>
      </c>
      <c r="B269" s="265" t="str">
        <f t="shared" si="35"/>
        <v>18 Aug 2019</v>
      </c>
      <c r="C269" s="267">
        <f t="shared" si="36"/>
        <v>33</v>
      </c>
      <c r="D269">
        <f>MATCH(A269,GCalXMLT[daydate],0)</f>
        <v>268</v>
      </c>
      <c r="E269">
        <f>VALUE("1" &amp; Masacod(INDEX(GCalXMLT[gymasa],D269)) &amp; PaksaCod(INDEX(GCalXMLT[mpaksaid],D269)) &amp; TithiCod(INDEX(GCalXMLT[stithiname],D269)))</f>
        <v>106003</v>
      </c>
      <c r="F269" t="str">
        <f ca="1">INDEX(Parameters!$K$2:$K$16,MATCH(AV269,Parameters!$L$2:$L$16,0))</f>
        <v/>
      </c>
      <c r="G269">
        <f>INDEX(GCalXMLT[fastmark],$D269)</f>
        <v>0</v>
      </c>
      <c r="H269" t="str">
        <f ca="1">INDEX(Parameters!$J$2:$J$16,MATCH(AV269,Parameters!$L$2:$L$16,0))</f>
        <v/>
      </c>
      <c r="I269">
        <f>INDEX(GCalXMLT[dfestival1],$D269)</f>
        <v>0</v>
      </c>
      <c r="J269">
        <f>IF(INDEX(GCalXMLT[dfestival2],$D269)="(Fast today)",INDEX(Festivals!$R$2:$R$180,MATCH($I269,Festivals!$R$2:$R$180,0)+1),INDEX(GCalXMLT[dfestival2],$D269))</f>
        <v>0</v>
      </c>
      <c r="K269">
        <f>IF(I269="Nandotsava","(Fast till noon)",INDEX(GCalXMLT[dfestival3],$D269))</f>
        <v>0</v>
      </c>
      <c r="L269">
        <f>IF(I269="Nandotsava", INDEX(GCalXMLT[dfestival3],$D269),INDEX(GCalXMLT[dfestival4],$D269))</f>
        <v>0</v>
      </c>
      <c r="M269" t="str">
        <f>IFERROR(INDEX(Festivals!$S$2:$S$160,AP269),"")</f>
        <v/>
      </c>
      <c r="N269" t="str">
        <f>IFERROR(IF($AQ269&gt;1,INDEX(Festivals!$S$2:$S$160,$AP269+1),""),"")</f>
        <v/>
      </c>
      <c r="O269" t="str">
        <f>IFERROR(IF($AQ269&gt;2,INDEX(Festivals!$S$2:$S$160,$AP269+2),""),"")</f>
        <v/>
      </c>
      <c r="P269" t="str">
        <f>IFERROR(IF($AQ269&gt;3,INDEX(Festivals!$S$2:$S$160,$AP269+3),""),"")</f>
        <v/>
      </c>
      <c r="Q269" t="str">
        <f>IFERROR(IF($AQ269&gt;4,INDEX(Festivals!$S$2:$S$160,$AP269+4),""),"")</f>
        <v/>
      </c>
      <c r="R269" t="str">
        <f>IFERROR(IF($AQ269&gt;5,INDEX(Festivals!$S$2:$S$160,$AP269+5),""),"")</f>
        <v/>
      </c>
      <c r="S269" t="str">
        <f>IFERROR(IF($AQ269&gt;6,INDEX(Festivals!$S$2:$S$160,$AP269+6),""),"")</f>
        <v/>
      </c>
      <c r="T269">
        <f>INDEX(GCalXMLT[dcaturmasya1],$D269)</f>
        <v>0</v>
      </c>
      <c r="U269">
        <f>INDEX(GCalXMLT[dcaturmasya2],$D269)</f>
        <v>0</v>
      </c>
      <c r="V269" t="str">
        <f>INDEX(GCalXMLT[sankrantirasi],$D269) &amp; " " &amp; INDEX(GCalXMLT[sankrantitime],$D269)</f>
        <v xml:space="preserve"> </v>
      </c>
      <c r="W269" t="str">
        <f ca="1">IFERROR(INDEX('Holidays Calc'!$K$2:$K$233,AR269),"")</f>
        <v/>
      </c>
      <c r="X269" t="str">
        <f ca="1">IF(AR269="","",IF(INDEX('Holidays Calc'!$I$2:$I$233,AR269+1)=A269,INDEX('Holidays Calc'!$K$2:$K$233,AR269+1),""))</f>
        <v/>
      </c>
      <c r="Y269" t="str">
        <f ca="1">IF(AR269="","",IF(INDEX('Holidays Calc'!$I$2:$I$233,AR269+2)=A269,INDEX('Holidays Calc'!$K$2:$K$233,AR269+2),""))</f>
        <v/>
      </c>
      <c r="Z269" t="str">
        <f ca="1">IF(AR269="","",IF(INDEX('Holidays Calc'!$I$2:$I$233,AR269+3)=A269,INDEX('Holidays Calc'!$K$2:$K$2333,AR269+3),""))</f>
        <v/>
      </c>
      <c r="AA269" t="str">
        <f>IF(I269="Last day of Bhisma Pancaka","",IF(G269="*",-0.7,IF(ISBLANK(INDEX(GCalXMLT[dclass1],$D269)),"",INDEX(GCalXMLT[dclass1],$D269))))</f>
        <v/>
      </c>
      <c r="AB269" t="str">
        <f>IF(J269="First day of Bhisma Pancaka","",IF(AND(G269="*",NOT(ISERROR(SEARCH("ekadasi",J269)))),-0.7,IF(ISBLANK(INDEX(GCalXMLT[dclass2],$D269)),"",INDEX(GCalXMLT[dclass2],$D269))))</f>
        <v/>
      </c>
      <c r="AC269" t="str">
        <f>IF(I269="Nandotsava",-1,IF(ISBLANK(INDEX(GCalXMLT[dclass3],$D269)),"",INDEX(GCalXMLT[dclass3],$D269)))</f>
        <v/>
      </c>
      <c r="AD269" t="str">
        <f>IF(I269="Nandotsava",IF(ISBLANK(INDEX(GCalXMLT[dclass3],$D269)),"",INDEX(GCalXMLT[dclass3],$D269)),IF(ISBLANK(INDEX(GCalXMLT[dclass4],$D269)),"",INDEX(GCalXMLT[dclass4],$D269)))</f>
        <v/>
      </c>
      <c r="AE269" t="str">
        <f>IFERROR(INDEX(Festivals!$V$2:$V$160,AP269),"")</f>
        <v/>
      </c>
      <c r="AF269" t="str">
        <f>IFERROR(IF($AQ269&gt;1,INDEX(Festivals!$V$2:$V$160,$AP269+1),""),"")</f>
        <v/>
      </c>
      <c r="AG269" t="str">
        <f>IFERROR(IF($AQ269&gt;2,INDEX(Festivals!$V$2:$V$160,$AP269+2),""),"")</f>
        <v/>
      </c>
      <c r="AH269" t="str">
        <f>IFERROR(IF($AQ269&gt;3,INDEX(Festivals!$V$2:$V$160,$AP269+3),""),"")</f>
        <v/>
      </c>
      <c r="AI269" t="str">
        <f>IFERROR(IF($AQ269&gt;4,INDEX(Festivals!$V$2:$V$160,$AP269+4),""),"")</f>
        <v/>
      </c>
      <c r="AJ269" t="str">
        <f>IFERROR(IF($AQ269&gt;5,INDEX(Festivals!$V$2:$V$160,$AP269+5),""),"")</f>
        <v/>
      </c>
      <c r="AK269" t="str">
        <f>IFERROR(IF($AQ269&gt;6,INDEX(Festivals!$V$2:$V$160,$AP269+6),""),"")</f>
        <v/>
      </c>
      <c r="AL269" t="str">
        <f ca="1">IFERROR(INDEX('Holidays Calc'!$J$2:$J$233,MATCH(A269,'Holidays Calc'!$I$2:$I$233,0)),"")</f>
        <v/>
      </c>
      <c r="AM269" t="str">
        <f ca="1">IF(AR269="","",IF(INDEX('Holidays Calc'!$I$2:$I$233,AR269+1)=A269,INDEX('Holidays Calc'!$J$2:$J$233,AR269+1),""))</f>
        <v/>
      </c>
      <c r="AN269" t="str">
        <f ca="1">IF(AR269="","",IF(INDEX('Holidays Calc'!$I$2:$I$233,AR269+2)=A269,INDEX('Holidays Calc'!$J$2:$J$233,AR269+2),""))</f>
        <v/>
      </c>
      <c r="AO269" t="str">
        <f ca="1">IF(AR269="","",IF(INDEX('Holidays Calc'!$I$2:$I$233,AR269+3)=A269,INDEX('Holidays Calc'!$J$2:$J$233,AR269+3),""))</f>
        <v/>
      </c>
      <c r="AP269" t="str">
        <f>IFERROR(IF($E269=E268,"",MATCH($E269,Festivals!$H$2:$H$160,0)),"")</f>
        <v/>
      </c>
      <c r="AQ269" t="str">
        <f>IF(AP269="","",COUNTIF(Festivals!$H$2:$H$160,$E269))</f>
        <v/>
      </c>
      <c r="AR269" t="str">
        <f ca="1">IFERROR(MATCH(A269,'Holidays Calc'!$I$2:$I$233,0),"")</f>
        <v/>
      </c>
      <c r="AS269" t="str">
        <f t="shared" si="32"/>
        <v/>
      </c>
      <c r="AT269" t="str">
        <f t="shared" si="31"/>
        <v/>
      </c>
      <c r="AU269" t="str">
        <f t="shared" ca="1" si="33"/>
        <v/>
      </c>
      <c r="AV269" t="str">
        <f t="shared" ca="1" si="34"/>
        <v/>
      </c>
    </row>
    <row r="270" spans="1:48" x14ac:dyDescent="0.25">
      <c r="A270" s="265">
        <f t="shared" si="30"/>
        <v>43696</v>
      </c>
      <c r="B270" s="265" t="str">
        <f t="shared" si="35"/>
        <v>19 Aug 2019</v>
      </c>
      <c r="C270" s="267">
        <f t="shared" si="36"/>
        <v>34</v>
      </c>
      <c r="D270">
        <f>MATCH(A270,GCalXMLT[daydate],0)</f>
        <v>269</v>
      </c>
      <c r="E270">
        <f>VALUE("1" &amp; Masacod(INDEX(GCalXMLT[gymasa],D270)) &amp; PaksaCod(INDEX(GCalXMLT[mpaksaid],D270)) &amp; TithiCod(INDEX(GCalXMLT[stithiname],D270)))</f>
        <v>106004</v>
      </c>
      <c r="F270" t="str">
        <f ca="1">INDEX(Parameters!$K$2:$K$16,MATCH(AV270,Parameters!$L$2:$L$16,0))</f>
        <v/>
      </c>
      <c r="G270">
        <f>INDEX(GCalXMLT[fastmark],$D270)</f>
        <v>0</v>
      </c>
      <c r="H270" t="str">
        <f ca="1">INDEX(Parameters!$J$2:$J$16,MATCH(AV270,Parameters!$L$2:$L$16,0))</f>
        <v/>
      </c>
      <c r="I270">
        <f>INDEX(GCalXMLT[dfestival1],$D270)</f>
        <v>0</v>
      </c>
      <c r="J270">
        <f>IF(INDEX(GCalXMLT[dfestival2],$D270)="(Fast today)",INDEX(Festivals!$R$2:$R$180,MATCH($I270,Festivals!$R$2:$R$180,0)+1),INDEX(GCalXMLT[dfestival2],$D270))</f>
        <v>0</v>
      </c>
      <c r="K270">
        <f>IF(I270="Nandotsava","(Fast till noon)",INDEX(GCalXMLT[dfestival3],$D270))</f>
        <v>0</v>
      </c>
      <c r="L270">
        <f>IF(I270="Nandotsava", INDEX(GCalXMLT[dfestival3],$D270),INDEX(GCalXMLT[dfestival4],$D270))</f>
        <v>0</v>
      </c>
      <c r="M270" t="str">
        <f>IFERROR(INDEX(Festivals!$S$2:$S$160,AP270),"")</f>
        <v/>
      </c>
      <c r="N270" t="str">
        <f>IFERROR(IF($AQ270&gt;1,INDEX(Festivals!$S$2:$S$160,$AP270+1),""),"")</f>
        <v/>
      </c>
      <c r="O270" t="str">
        <f>IFERROR(IF($AQ270&gt;2,INDEX(Festivals!$S$2:$S$160,$AP270+2),""),"")</f>
        <v/>
      </c>
      <c r="P270" t="str">
        <f>IFERROR(IF($AQ270&gt;3,INDEX(Festivals!$S$2:$S$160,$AP270+3),""),"")</f>
        <v/>
      </c>
      <c r="Q270" t="str">
        <f>IFERROR(IF($AQ270&gt;4,INDEX(Festivals!$S$2:$S$160,$AP270+4),""),"")</f>
        <v/>
      </c>
      <c r="R270" t="str">
        <f>IFERROR(IF($AQ270&gt;5,INDEX(Festivals!$S$2:$S$160,$AP270+5),""),"")</f>
        <v/>
      </c>
      <c r="S270" t="str">
        <f>IFERROR(IF($AQ270&gt;6,INDEX(Festivals!$S$2:$S$160,$AP270+6),""),"")</f>
        <v/>
      </c>
      <c r="T270">
        <f>INDEX(GCalXMLT[dcaturmasya1],$D270)</f>
        <v>0</v>
      </c>
      <c r="U270">
        <f>INDEX(GCalXMLT[dcaturmasya2],$D270)</f>
        <v>0</v>
      </c>
      <c r="V270" t="str">
        <f>INDEX(GCalXMLT[sankrantirasi],$D270) &amp; " " &amp; INDEX(GCalXMLT[sankrantitime],$D270)</f>
        <v xml:space="preserve"> </v>
      </c>
      <c r="W270" t="str">
        <f ca="1">IFERROR(INDEX('Holidays Calc'!$K$2:$K$233,AR270),"")</f>
        <v/>
      </c>
      <c r="X270" t="str">
        <f ca="1">IF(AR270="","",IF(INDEX('Holidays Calc'!$I$2:$I$233,AR270+1)=A270,INDEX('Holidays Calc'!$K$2:$K$233,AR270+1),""))</f>
        <v/>
      </c>
      <c r="Y270" t="str">
        <f ca="1">IF(AR270="","",IF(INDEX('Holidays Calc'!$I$2:$I$233,AR270+2)=A270,INDEX('Holidays Calc'!$K$2:$K$233,AR270+2),""))</f>
        <v/>
      </c>
      <c r="Z270" t="str">
        <f ca="1">IF(AR270="","",IF(INDEX('Holidays Calc'!$I$2:$I$233,AR270+3)=A270,INDEX('Holidays Calc'!$K$2:$K$2333,AR270+3),""))</f>
        <v/>
      </c>
      <c r="AA270" t="str">
        <f>IF(I270="Last day of Bhisma Pancaka","",IF(G270="*",-0.7,IF(ISBLANK(INDEX(GCalXMLT[dclass1],$D270)),"",INDEX(GCalXMLT[dclass1],$D270))))</f>
        <v/>
      </c>
      <c r="AB270" t="str">
        <f>IF(J270="First day of Bhisma Pancaka","",IF(AND(G270="*",NOT(ISERROR(SEARCH("ekadasi",J270)))),-0.7,IF(ISBLANK(INDEX(GCalXMLT[dclass2],$D270)),"",INDEX(GCalXMLT[dclass2],$D270))))</f>
        <v/>
      </c>
      <c r="AC270" t="str">
        <f>IF(I270="Nandotsava",-1,IF(ISBLANK(INDEX(GCalXMLT[dclass3],$D270)),"",INDEX(GCalXMLT[dclass3],$D270)))</f>
        <v/>
      </c>
      <c r="AD270" t="str">
        <f>IF(I270="Nandotsava",IF(ISBLANK(INDEX(GCalXMLT[dclass3],$D270)),"",INDEX(GCalXMLT[dclass3],$D270)),IF(ISBLANK(INDEX(GCalXMLT[dclass4],$D270)),"",INDEX(GCalXMLT[dclass4],$D270)))</f>
        <v/>
      </c>
      <c r="AE270" t="str">
        <f>IFERROR(INDEX(Festivals!$V$2:$V$160,AP270),"")</f>
        <v/>
      </c>
      <c r="AF270" t="str">
        <f>IFERROR(IF($AQ270&gt;1,INDEX(Festivals!$V$2:$V$160,$AP270+1),""),"")</f>
        <v/>
      </c>
      <c r="AG270" t="str">
        <f>IFERROR(IF($AQ270&gt;2,INDEX(Festivals!$V$2:$V$160,$AP270+2),""),"")</f>
        <v/>
      </c>
      <c r="AH270" t="str">
        <f>IFERROR(IF($AQ270&gt;3,INDEX(Festivals!$V$2:$V$160,$AP270+3),""),"")</f>
        <v/>
      </c>
      <c r="AI270" t="str">
        <f>IFERROR(IF($AQ270&gt;4,INDEX(Festivals!$V$2:$V$160,$AP270+4),""),"")</f>
        <v/>
      </c>
      <c r="AJ270" t="str">
        <f>IFERROR(IF($AQ270&gt;5,INDEX(Festivals!$V$2:$V$160,$AP270+5),""),"")</f>
        <v/>
      </c>
      <c r="AK270" t="str">
        <f>IFERROR(IF($AQ270&gt;6,INDEX(Festivals!$V$2:$V$160,$AP270+6),""),"")</f>
        <v/>
      </c>
      <c r="AL270" t="str">
        <f ca="1">IFERROR(INDEX('Holidays Calc'!$J$2:$J$233,MATCH(A270,'Holidays Calc'!$I$2:$I$233,0)),"")</f>
        <v/>
      </c>
      <c r="AM270" t="str">
        <f ca="1">IF(AR270="","",IF(INDEX('Holidays Calc'!$I$2:$I$233,AR270+1)=A270,INDEX('Holidays Calc'!$J$2:$J$233,AR270+1),""))</f>
        <v/>
      </c>
      <c r="AN270" t="str">
        <f ca="1">IF(AR270="","",IF(INDEX('Holidays Calc'!$I$2:$I$233,AR270+2)=A270,INDEX('Holidays Calc'!$J$2:$J$233,AR270+2),""))</f>
        <v/>
      </c>
      <c r="AO270" t="str">
        <f ca="1">IF(AR270="","",IF(INDEX('Holidays Calc'!$I$2:$I$233,AR270+3)=A270,INDEX('Holidays Calc'!$J$2:$J$233,AR270+3),""))</f>
        <v/>
      </c>
      <c r="AP270" t="str">
        <f>IFERROR(IF($E270=E269,"",MATCH($E270,Festivals!$H$2:$H$160,0)),"")</f>
        <v/>
      </c>
      <c r="AQ270" t="str">
        <f>IF(AP270="","",COUNTIF(Festivals!$H$2:$H$160,$E270))</f>
        <v/>
      </c>
      <c r="AR270" t="str">
        <f ca="1">IFERROR(MATCH(A270,'Holidays Calc'!$I$2:$I$233,0),"")</f>
        <v/>
      </c>
      <c r="AS270" t="str">
        <f t="shared" si="32"/>
        <v/>
      </c>
      <c r="AT270" t="str">
        <f t="shared" si="31"/>
        <v/>
      </c>
      <c r="AU270" t="str">
        <f t="shared" ca="1" si="33"/>
        <v/>
      </c>
      <c r="AV270" t="str">
        <f t="shared" ca="1" si="34"/>
        <v/>
      </c>
    </row>
    <row r="271" spans="1:48" x14ac:dyDescent="0.25">
      <c r="A271" s="265">
        <f t="shared" si="30"/>
        <v>43697</v>
      </c>
      <c r="B271" s="265" t="str">
        <f t="shared" si="35"/>
        <v>20 Aug 2019</v>
      </c>
      <c r="C271" s="267">
        <f t="shared" si="36"/>
        <v>34</v>
      </c>
      <c r="D271">
        <f>MATCH(A271,GCalXMLT[daydate],0)</f>
        <v>270</v>
      </c>
      <c r="E271">
        <f>VALUE("1" &amp; Masacod(INDEX(GCalXMLT[gymasa],D271)) &amp; PaksaCod(INDEX(GCalXMLT[mpaksaid],D271)) &amp; TithiCod(INDEX(GCalXMLT[stithiname],D271)))</f>
        <v>106005</v>
      </c>
      <c r="F271" t="str">
        <f ca="1">INDEX(Parameters!$K$2:$K$16,MATCH(AV271,Parameters!$L$2:$L$16,0))</f>
        <v/>
      </c>
      <c r="G271">
        <f>INDEX(GCalXMLT[fastmark],$D271)</f>
        <v>0</v>
      </c>
      <c r="H271" t="str">
        <f ca="1">INDEX(Parameters!$J$2:$J$16,MATCH(AV271,Parameters!$L$2:$L$16,0))</f>
        <v/>
      </c>
      <c r="I271">
        <f>INDEX(GCalXMLT[dfestival1],$D271)</f>
        <v>0</v>
      </c>
      <c r="J271">
        <f>IF(INDEX(GCalXMLT[dfestival2],$D271)="(Fast today)",INDEX(Festivals!$R$2:$R$180,MATCH($I271,Festivals!$R$2:$R$180,0)+1),INDEX(GCalXMLT[dfestival2],$D271))</f>
        <v>0</v>
      </c>
      <c r="K271">
        <f>IF(I271="Nandotsava","(Fast till noon)",INDEX(GCalXMLT[dfestival3],$D271))</f>
        <v>0</v>
      </c>
      <c r="L271">
        <f>IF(I271="Nandotsava", INDEX(GCalXMLT[dfestival3],$D271),INDEX(GCalXMLT[dfestival4],$D271))</f>
        <v>0</v>
      </c>
      <c r="M271" t="str">
        <f>IFERROR(INDEX(Festivals!$S$2:$S$160,AP271),"")</f>
        <v/>
      </c>
      <c r="N271" t="str">
        <f>IFERROR(IF($AQ271&gt;1,INDEX(Festivals!$S$2:$S$160,$AP271+1),""),"")</f>
        <v/>
      </c>
      <c r="O271" t="str">
        <f>IFERROR(IF($AQ271&gt;2,INDEX(Festivals!$S$2:$S$160,$AP271+2),""),"")</f>
        <v/>
      </c>
      <c r="P271" t="str">
        <f>IFERROR(IF($AQ271&gt;3,INDEX(Festivals!$S$2:$S$160,$AP271+3),""),"")</f>
        <v/>
      </c>
      <c r="Q271" t="str">
        <f>IFERROR(IF($AQ271&gt;4,INDEX(Festivals!$S$2:$S$160,$AP271+4),""),"")</f>
        <v/>
      </c>
      <c r="R271" t="str">
        <f>IFERROR(IF($AQ271&gt;5,INDEX(Festivals!$S$2:$S$160,$AP271+5),""),"")</f>
        <v/>
      </c>
      <c r="S271" t="str">
        <f>IFERROR(IF($AQ271&gt;6,INDEX(Festivals!$S$2:$S$160,$AP271+6),""),"")</f>
        <v/>
      </c>
      <c r="T271">
        <f>INDEX(GCalXMLT[dcaturmasya1],$D271)</f>
        <v>0</v>
      </c>
      <c r="U271">
        <f>INDEX(GCalXMLT[dcaturmasya2],$D271)</f>
        <v>0</v>
      </c>
      <c r="V271" t="str">
        <f>INDEX(GCalXMLT[sankrantirasi],$D271) &amp; " " &amp; INDEX(GCalXMLT[sankrantitime],$D271)</f>
        <v xml:space="preserve"> </v>
      </c>
      <c r="W271" t="str">
        <f ca="1">IFERROR(INDEX('Holidays Calc'!$K$2:$K$233,AR271),"")</f>
        <v/>
      </c>
      <c r="X271" t="str">
        <f ca="1">IF(AR271="","",IF(INDEX('Holidays Calc'!$I$2:$I$233,AR271+1)=A271,INDEX('Holidays Calc'!$K$2:$K$233,AR271+1),""))</f>
        <v/>
      </c>
      <c r="Y271" t="str">
        <f ca="1">IF(AR271="","",IF(INDEX('Holidays Calc'!$I$2:$I$233,AR271+2)=A271,INDEX('Holidays Calc'!$K$2:$K$233,AR271+2),""))</f>
        <v/>
      </c>
      <c r="Z271" t="str">
        <f ca="1">IF(AR271="","",IF(INDEX('Holidays Calc'!$I$2:$I$233,AR271+3)=A271,INDEX('Holidays Calc'!$K$2:$K$2333,AR271+3),""))</f>
        <v/>
      </c>
      <c r="AA271" t="str">
        <f>IF(I271="Last day of Bhisma Pancaka","",IF(G271="*",-0.7,IF(ISBLANK(INDEX(GCalXMLT[dclass1],$D271)),"",INDEX(GCalXMLT[dclass1],$D271))))</f>
        <v/>
      </c>
      <c r="AB271" t="str">
        <f>IF(J271="First day of Bhisma Pancaka","",IF(AND(G271="*",NOT(ISERROR(SEARCH("ekadasi",J271)))),-0.7,IF(ISBLANK(INDEX(GCalXMLT[dclass2],$D271)),"",INDEX(GCalXMLT[dclass2],$D271))))</f>
        <v/>
      </c>
      <c r="AC271" t="str">
        <f>IF(I271="Nandotsava",-1,IF(ISBLANK(INDEX(GCalXMLT[dclass3],$D271)),"",INDEX(GCalXMLT[dclass3],$D271)))</f>
        <v/>
      </c>
      <c r="AD271" t="str">
        <f>IF(I271="Nandotsava",IF(ISBLANK(INDEX(GCalXMLT[dclass3],$D271)),"",INDEX(GCalXMLT[dclass3],$D271)),IF(ISBLANK(INDEX(GCalXMLT[dclass4],$D271)),"",INDEX(GCalXMLT[dclass4],$D271)))</f>
        <v/>
      </c>
      <c r="AE271" t="str">
        <f>IFERROR(INDEX(Festivals!$V$2:$V$160,AP271),"")</f>
        <v/>
      </c>
      <c r="AF271" t="str">
        <f>IFERROR(IF($AQ271&gt;1,INDEX(Festivals!$V$2:$V$160,$AP271+1),""),"")</f>
        <v/>
      </c>
      <c r="AG271" t="str">
        <f>IFERROR(IF($AQ271&gt;2,INDEX(Festivals!$V$2:$V$160,$AP271+2),""),"")</f>
        <v/>
      </c>
      <c r="AH271" t="str">
        <f>IFERROR(IF($AQ271&gt;3,INDEX(Festivals!$V$2:$V$160,$AP271+3),""),"")</f>
        <v/>
      </c>
      <c r="AI271" t="str">
        <f>IFERROR(IF($AQ271&gt;4,INDEX(Festivals!$V$2:$V$160,$AP271+4),""),"")</f>
        <v/>
      </c>
      <c r="AJ271" t="str">
        <f>IFERROR(IF($AQ271&gt;5,INDEX(Festivals!$V$2:$V$160,$AP271+5),""),"")</f>
        <v/>
      </c>
      <c r="AK271" t="str">
        <f>IFERROR(IF($AQ271&gt;6,INDEX(Festivals!$V$2:$V$160,$AP271+6),""),"")</f>
        <v/>
      </c>
      <c r="AL271" t="str">
        <f ca="1">IFERROR(INDEX('Holidays Calc'!$J$2:$J$233,MATCH(A271,'Holidays Calc'!$I$2:$I$233,0)),"")</f>
        <v/>
      </c>
      <c r="AM271" t="str">
        <f ca="1">IF(AR271="","",IF(INDEX('Holidays Calc'!$I$2:$I$233,AR271+1)=A271,INDEX('Holidays Calc'!$J$2:$J$233,AR271+1),""))</f>
        <v/>
      </c>
      <c r="AN271" t="str">
        <f ca="1">IF(AR271="","",IF(INDEX('Holidays Calc'!$I$2:$I$233,AR271+2)=A271,INDEX('Holidays Calc'!$J$2:$J$233,AR271+2),""))</f>
        <v/>
      </c>
      <c r="AO271" t="str">
        <f ca="1">IF(AR271="","",IF(INDEX('Holidays Calc'!$I$2:$I$233,AR271+3)=A271,INDEX('Holidays Calc'!$J$2:$J$233,AR271+3),""))</f>
        <v/>
      </c>
      <c r="AP271" t="str">
        <f>IFERROR(IF($E271=E270,"",MATCH($E271,Festivals!$H$2:$H$160,0)),"")</f>
        <v/>
      </c>
      <c r="AQ271" t="str">
        <f>IF(AP271="","",COUNTIF(Festivals!$H$2:$H$160,$E271))</f>
        <v/>
      </c>
      <c r="AR271" t="str">
        <f ca="1">IFERROR(MATCH(A271,'Holidays Calc'!$I$2:$I$233,0),"")</f>
        <v/>
      </c>
      <c r="AS271" t="str">
        <f t="shared" si="32"/>
        <v/>
      </c>
      <c r="AT271" t="str">
        <f t="shared" si="31"/>
        <v/>
      </c>
      <c r="AU271" t="str">
        <f t="shared" ca="1" si="33"/>
        <v/>
      </c>
      <c r="AV271" t="str">
        <f t="shared" ca="1" si="34"/>
        <v/>
      </c>
    </row>
    <row r="272" spans="1:48" x14ac:dyDescent="0.25">
      <c r="A272" s="265">
        <f t="shared" si="30"/>
        <v>43698</v>
      </c>
      <c r="B272" s="265" t="str">
        <f t="shared" si="35"/>
        <v>21 Aug 2019</v>
      </c>
      <c r="C272" s="267">
        <f t="shared" si="36"/>
        <v>34</v>
      </c>
      <c r="D272">
        <f>MATCH(A272,GCalXMLT[daydate],0)</f>
        <v>271</v>
      </c>
      <c r="E272">
        <f>VALUE("1" &amp; Masacod(INDEX(GCalXMLT[gymasa],D272)) &amp; PaksaCod(INDEX(GCalXMLT[mpaksaid],D272)) &amp; TithiCod(INDEX(GCalXMLT[stithiname],D272)))</f>
        <v>106006</v>
      </c>
      <c r="F272" t="str">
        <f ca="1">INDEX(Parameters!$K$2:$K$16,MATCH(AV272,Parameters!$L$2:$L$16,0))</f>
        <v/>
      </c>
      <c r="G272">
        <f>INDEX(GCalXMLT[fastmark],$D272)</f>
        <v>0</v>
      </c>
      <c r="H272" t="str">
        <f ca="1">INDEX(Parameters!$J$2:$J$16,MATCH(AV272,Parameters!$L$2:$L$16,0))</f>
        <v/>
      </c>
      <c r="I272">
        <f>INDEX(GCalXMLT[dfestival1],$D272)</f>
        <v>0</v>
      </c>
      <c r="J272">
        <f>IF(INDEX(GCalXMLT[dfestival2],$D272)="(Fast today)",INDEX(Festivals!$R$2:$R$180,MATCH($I272,Festivals!$R$2:$R$180,0)+1),INDEX(GCalXMLT[dfestival2],$D272))</f>
        <v>0</v>
      </c>
      <c r="K272">
        <f>IF(I272="Nandotsava","(Fast till noon)",INDEX(GCalXMLT[dfestival3],$D272))</f>
        <v>0</v>
      </c>
      <c r="L272">
        <f>IF(I272="Nandotsava", INDEX(GCalXMLT[dfestival3],$D272),INDEX(GCalXMLT[dfestival4],$D272))</f>
        <v>0</v>
      </c>
      <c r="M272" t="str">
        <f>IFERROR(INDEX(Festivals!$S$2:$S$160,AP272),"")</f>
        <v/>
      </c>
      <c r="N272" t="str">
        <f>IFERROR(IF($AQ272&gt;1,INDEX(Festivals!$S$2:$S$160,$AP272+1),""),"")</f>
        <v/>
      </c>
      <c r="O272" t="str">
        <f>IFERROR(IF($AQ272&gt;2,INDEX(Festivals!$S$2:$S$160,$AP272+2),""),"")</f>
        <v/>
      </c>
      <c r="P272" t="str">
        <f>IFERROR(IF($AQ272&gt;3,INDEX(Festivals!$S$2:$S$160,$AP272+3),""),"")</f>
        <v/>
      </c>
      <c r="Q272" t="str">
        <f>IFERROR(IF($AQ272&gt;4,INDEX(Festivals!$S$2:$S$160,$AP272+4),""),"")</f>
        <v/>
      </c>
      <c r="R272" t="str">
        <f>IFERROR(IF($AQ272&gt;5,INDEX(Festivals!$S$2:$S$160,$AP272+5),""),"")</f>
        <v/>
      </c>
      <c r="S272" t="str">
        <f>IFERROR(IF($AQ272&gt;6,INDEX(Festivals!$S$2:$S$160,$AP272+6),""),"")</f>
        <v/>
      </c>
      <c r="T272">
        <f>INDEX(GCalXMLT[dcaturmasya1],$D272)</f>
        <v>0</v>
      </c>
      <c r="U272">
        <f>INDEX(GCalXMLT[dcaturmasya2],$D272)</f>
        <v>0</v>
      </c>
      <c r="V272" t="str">
        <f>INDEX(GCalXMLT[sankrantirasi],$D272) &amp; " " &amp; INDEX(GCalXMLT[sankrantitime],$D272)</f>
        <v xml:space="preserve"> </v>
      </c>
      <c r="W272" t="str">
        <f ca="1">IFERROR(INDEX('Holidays Calc'!$K$2:$K$233,AR272),"")</f>
        <v/>
      </c>
      <c r="X272" t="str">
        <f ca="1">IF(AR272="","",IF(INDEX('Holidays Calc'!$I$2:$I$233,AR272+1)=A272,INDEX('Holidays Calc'!$K$2:$K$233,AR272+1),""))</f>
        <v/>
      </c>
      <c r="Y272" t="str">
        <f ca="1">IF(AR272="","",IF(INDEX('Holidays Calc'!$I$2:$I$233,AR272+2)=A272,INDEX('Holidays Calc'!$K$2:$K$233,AR272+2),""))</f>
        <v/>
      </c>
      <c r="Z272" t="str">
        <f ca="1">IF(AR272="","",IF(INDEX('Holidays Calc'!$I$2:$I$233,AR272+3)=A272,INDEX('Holidays Calc'!$K$2:$K$2333,AR272+3),""))</f>
        <v/>
      </c>
      <c r="AA272" t="str">
        <f>IF(I272="Last day of Bhisma Pancaka","",IF(G272="*",-0.7,IF(ISBLANK(INDEX(GCalXMLT[dclass1],$D272)),"",INDEX(GCalXMLT[dclass1],$D272))))</f>
        <v/>
      </c>
      <c r="AB272" t="str">
        <f>IF(J272="First day of Bhisma Pancaka","",IF(AND(G272="*",NOT(ISERROR(SEARCH("ekadasi",J272)))),-0.7,IF(ISBLANK(INDEX(GCalXMLT[dclass2],$D272)),"",INDEX(GCalXMLT[dclass2],$D272))))</f>
        <v/>
      </c>
      <c r="AC272" t="str">
        <f>IF(I272="Nandotsava",-1,IF(ISBLANK(INDEX(GCalXMLT[dclass3],$D272)),"",INDEX(GCalXMLT[dclass3],$D272)))</f>
        <v/>
      </c>
      <c r="AD272" t="str">
        <f>IF(I272="Nandotsava",IF(ISBLANK(INDEX(GCalXMLT[dclass3],$D272)),"",INDEX(GCalXMLT[dclass3],$D272)),IF(ISBLANK(INDEX(GCalXMLT[dclass4],$D272)),"",INDEX(GCalXMLT[dclass4],$D272)))</f>
        <v/>
      </c>
      <c r="AE272" t="str">
        <f>IFERROR(INDEX(Festivals!$V$2:$V$160,AP272),"")</f>
        <v/>
      </c>
      <c r="AF272" t="str">
        <f>IFERROR(IF($AQ272&gt;1,INDEX(Festivals!$V$2:$V$160,$AP272+1),""),"")</f>
        <v/>
      </c>
      <c r="AG272" t="str">
        <f>IFERROR(IF($AQ272&gt;2,INDEX(Festivals!$V$2:$V$160,$AP272+2),""),"")</f>
        <v/>
      </c>
      <c r="AH272" t="str">
        <f>IFERROR(IF($AQ272&gt;3,INDEX(Festivals!$V$2:$V$160,$AP272+3),""),"")</f>
        <v/>
      </c>
      <c r="AI272" t="str">
        <f>IFERROR(IF($AQ272&gt;4,INDEX(Festivals!$V$2:$V$160,$AP272+4),""),"")</f>
        <v/>
      </c>
      <c r="AJ272" t="str">
        <f>IFERROR(IF($AQ272&gt;5,INDEX(Festivals!$V$2:$V$160,$AP272+5),""),"")</f>
        <v/>
      </c>
      <c r="AK272" t="str">
        <f>IFERROR(IF($AQ272&gt;6,INDEX(Festivals!$V$2:$V$160,$AP272+6),""),"")</f>
        <v/>
      </c>
      <c r="AL272" t="str">
        <f ca="1">IFERROR(INDEX('Holidays Calc'!$J$2:$J$233,MATCH(A272,'Holidays Calc'!$I$2:$I$233,0)),"")</f>
        <v/>
      </c>
      <c r="AM272" t="str">
        <f ca="1">IF(AR272="","",IF(INDEX('Holidays Calc'!$I$2:$I$233,AR272+1)=A272,INDEX('Holidays Calc'!$J$2:$J$233,AR272+1),""))</f>
        <v/>
      </c>
      <c r="AN272" t="str">
        <f ca="1">IF(AR272="","",IF(INDEX('Holidays Calc'!$I$2:$I$233,AR272+2)=A272,INDEX('Holidays Calc'!$J$2:$J$233,AR272+2),""))</f>
        <v/>
      </c>
      <c r="AO272" t="str">
        <f ca="1">IF(AR272="","",IF(INDEX('Holidays Calc'!$I$2:$I$233,AR272+3)=A272,INDEX('Holidays Calc'!$J$2:$J$233,AR272+3),""))</f>
        <v/>
      </c>
      <c r="AP272" t="str">
        <f>IFERROR(IF($E272=E271,"",MATCH($E272,Festivals!$H$2:$H$160,0)),"")</f>
        <v/>
      </c>
      <c r="AQ272" t="str">
        <f>IF(AP272="","",COUNTIF(Festivals!$H$2:$H$160,$E272))</f>
        <v/>
      </c>
      <c r="AR272" t="str">
        <f ca="1">IFERROR(MATCH(A272,'Holidays Calc'!$I$2:$I$233,0),"")</f>
        <v/>
      </c>
      <c r="AS272" t="str">
        <f t="shared" si="32"/>
        <v/>
      </c>
      <c r="AT272" t="str">
        <f t="shared" si="31"/>
        <v/>
      </c>
      <c r="AU272" t="str">
        <f t="shared" ca="1" si="33"/>
        <v/>
      </c>
      <c r="AV272" t="str">
        <f t="shared" ca="1" si="34"/>
        <v/>
      </c>
    </row>
    <row r="273" spans="1:48" x14ac:dyDescent="0.25">
      <c r="A273" s="265">
        <f t="shared" si="30"/>
        <v>43699</v>
      </c>
      <c r="B273" s="265" t="str">
        <f t="shared" si="35"/>
        <v>22 Aug 2019</v>
      </c>
      <c r="C273" s="267">
        <f t="shared" si="36"/>
        <v>34</v>
      </c>
      <c r="D273">
        <f>MATCH(A273,GCalXMLT[daydate],0)</f>
        <v>272</v>
      </c>
      <c r="E273">
        <f>VALUE("1" &amp; Masacod(INDEX(GCalXMLT[gymasa],D273)) &amp; PaksaCod(INDEX(GCalXMLT[mpaksaid],D273)) &amp; TithiCod(INDEX(GCalXMLT[stithiname],D273)))</f>
        <v>106007</v>
      </c>
      <c r="F273" t="str">
        <f ca="1">INDEX(Parameters!$K$2:$K$16,MATCH(AV273,Parameters!$L$2:$L$16,0))</f>
        <v/>
      </c>
      <c r="G273">
        <f>INDEX(GCalXMLT[fastmark],$D273)</f>
        <v>0</v>
      </c>
      <c r="H273" t="str">
        <f ca="1">INDEX(Parameters!$J$2:$J$16,MATCH(AV273,Parameters!$L$2:$L$16,0))</f>
        <v/>
      </c>
      <c r="I273">
        <f>INDEX(GCalXMLT[dfestival1],$D273)</f>
        <v>0</v>
      </c>
      <c r="J273">
        <f>IF(INDEX(GCalXMLT[dfestival2],$D273)="(Fast today)",INDEX(Festivals!$R$2:$R$180,MATCH($I273,Festivals!$R$2:$R$180,0)+1),INDEX(GCalXMLT[dfestival2],$D273))</f>
        <v>0</v>
      </c>
      <c r="K273">
        <f>IF(I273="Nandotsava","(Fast till noon)",INDEX(GCalXMLT[dfestival3],$D273))</f>
        <v>0</v>
      </c>
      <c r="L273">
        <f>IF(I273="Nandotsava", INDEX(GCalXMLT[dfestival3],$D273),INDEX(GCalXMLT[dfestival4],$D273))</f>
        <v>0</v>
      </c>
      <c r="M273" t="str">
        <f>IFERROR(INDEX(Festivals!$S$2:$S$160,AP273),"")</f>
        <v/>
      </c>
      <c r="N273" t="str">
        <f>IFERROR(IF($AQ273&gt;1,INDEX(Festivals!$S$2:$S$160,$AP273+1),""),"")</f>
        <v/>
      </c>
      <c r="O273" t="str">
        <f>IFERROR(IF($AQ273&gt;2,INDEX(Festivals!$S$2:$S$160,$AP273+2),""),"")</f>
        <v/>
      </c>
      <c r="P273" t="str">
        <f>IFERROR(IF($AQ273&gt;3,INDEX(Festivals!$S$2:$S$160,$AP273+3),""),"")</f>
        <v/>
      </c>
      <c r="Q273" t="str">
        <f>IFERROR(IF($AQ273&gt;4,INDEX(Festivals!$S$2:$S$160,$AP273+4),""),"")</f>
        <v/>
      </c>
      <c r="R273" t="str">
        <f>IFERROR(IF($AQ273&gt;5,INDEX(Festivals!$S$2:$S$160,$AP273+5),""),"")</f>
        <v/>
      </c>
      <c r="S273" t="str">
        <f>IFERROR(IF($AQ273&gt;6,INDEX(Festivals!$S$2:$S$160,$AP273+6),""),"")</f>
        <v/>
      </c>
      <c r="T273">
        <f>INDEX(GCalXMLT[dcaturmasya1],$D273)</f>
        <v>0</v>
      </c>
      <c r="U273">
        <f>INDEX(GCalXMLT[dcaturmasya2],$D273)</f>
        <v>0</v>
      </c>
      <c r="V273" t="str">
        <f>INDEX(GCalXMLT[sankrantirasi],$D273) &amp; " " &amp; INDEX(GCalXMLT[sankrantitime],$D273)</f>
        <v xml:space="preserve"> </v>
      </c>
      <c r="W273" t="str">
        <f ca="1">IFERROR(INDEX('Holidays Calc'!$K$2:$K$233,AR273),"")</f>
        <v/>
      </c>
      <c r="X273" t="str">
        <f ca="1">IF(AR273="","",IF(INDEX('Holidays Calc'!$I$2:$I$233,AR273+1)=A273,INDEX('Holidays Calc'!$K$2:$K$233,AR273+1),""))</f>
        <v/>
      </c>
      <c r="Y273" t="str">
        <f ca="1">IF(AR273="","",IF(INDEX('Holidays Calc'!$I$2:$I$233,AR273+2)=A273,INDEX('Holidays Calc'!$K$2:$K$233,AR273+2),""))</f>
        <v/>
      </c>
      <c r="Z273" t="str">
        <f ca="1">IF(AR273="","",IF(INDEX('Holidays Calc'!$I$2:$I$233,AR273+3)=A273,INDEX('Holidays Calc'!$K$2:$K$2333,AR273+3),""))</f>
        <v/>
      </c>
      <c r="AA273" t="str">
        <f>IF(I273="Last day of Bhisma Pancaka","",IF(G273="*",-0.7,IF(ISBLANK(INDEX(GCalXMLT[dclass1],$D273)),"",INDEX(GCalXMLT[dclass1],$D273))))</f>
        <v/>
      </c>
      <c r="AB273" t="str">
        <f>IF(J273="First day of Bhisma Pancaka","",IF(AND(G273="*",NOT(ISERROR(SEARCH("ekadasi",J273)))),-0.7,IF(ISBLANK(INDEX(GCalXMLT[dclass2],$D273)),"",INDEX(GCalXMLT[dclass2],$D273))))</f>
        <v/>
      </c>
      <c r="AC273" t="str">
        <f>IF(I273="Nandotsava",-1,IF(ISBLANK(INDEX(GCalXMLT[dclass3],$D273)),"",INDEX(GCalXMLT[dclass3],$D273)))</f>
        <v/>
      </c>
      <c r="AD273" t="str">
        <f>IF(I273="Nandotsava",IF(ISBLANK(INDEX(GCalXMLT[dclass3],$D273)),"",INDEX(GCalXMLT[dclass3],$D273)),IF(ISBLANK(INDEX(GCalXMLT[dclass4],$D273)),"",INDEX(GCalXMLT[dclass4],$D273)))</f>
        <v/>
      </c>
      <c r="AE273" t="str">
        <f>IFERROR(INDEX(Festivals!$V$2:$V$160,AP273),"")</f>
        <v/>
      </c>
      <c r="AF273" t="str">
        <f>IFERROR(IF($AQ273&gt;1,INDEX(Festivals!$V$2:$V$160,$AP273+1),""),"")</f>
        <v/>
      </c>
      <c r="AG273" t="str">
        <f>IFERROR(IF($AQ273&gt;2,INDEX(Festivals!$V$2:$V$160,$AP273+2),""),"")</f>
        <v/>
      </c>
      <c r="AH273" t="str">
        <f>IFERROR(IF($AQ273&gt;3,INDEX(Festivals!$V$2:$V$160,$AP273+3),""),"")</f>
        <v/>
      </c>
      <c r="AI273" t="str">
        <f>IFERROR(IF($AQ273&gt;4,INDEX(Festivals!$V$2:$V$160,$AP273+4),""),"")</f>
        <v/>
      </c>
      <c r="AJ273" t="str">
        <f>IFERROR(IF($AQ273&gt;5,INDEX(Festivals!$V$2:$V$160,$AP273+5),""),"")</f>
        <v/>
      </c>
      <c r="AK273" t="str">
        <f>IFERROR(IF($AQ273&gt;6,INDEX(Festivals!$V$2:$V$160,$AP273+6),""),"")</f>
        <v/>
      </c>
      <c r="AL273" t="str">
        <f ca="1">IFERROR(INDEX('Holidays Calc'!$J$2:$J$233,MATCH(A273,'Holidays Calc'!$I$2:$I$233,0)),"")</f>
        <v/>
      </c>
      <c r="AM273" t="str">
        <f ca="1">IF(AR273="","",IF(INDEX('Holidays Calc'!$I$2:$I$233,AR273+1)=A273,INDEX('Holidays Calc'!$J$2:$J$233,AR273+1),""))</f>
        <v/>
      </c>
      <c r="AN273" t="str">
        <f ca="1">IF(AR273="","",IF(INDEX('Holidays Calc'!$I$2:$I$233,AR273+2)=A273,INDEX('Holidays Calc'!$J$2:$J$233,AR273+2),""))</f>
        <v/>
      </c>
      <c r="AO273" t="str">
        <f ca="1">IF(AR273="","",IF(INDEX('Holidays Calc'!$I$2:$I$233,AR273+3)=A273,INDEX('Holidays Calc'!$J$2:$J$233,AR273+3),""))</f>
        <v/>
      </c>
      <c r="AP273" t="str">
        <f>IFERROR(IF($E273=E272,"",MATCH($E273,Festivals!$H$2:$H$160,0)),"")</f>
        <v/>
      </c>
      <c r="AQ273" t="str">
        <f>IF(AP273="","",COUNTIF(Festivals!$H$2:$H$160,$E273))</f>
        <v/>
      </c>
      <c r="AR273" t="str">
        <f ca="1">IFERROR(MATCH(A273,'Holidays Calc'!$I$2:$I$233,0),"")</f>
        <v/>
      </c>
      <c r="AS273" t="str">
        <f t="shared" si="32"/>
        <v/>
      </c>
      <c r="AT273" t="str">
        <f t="shared" si="31"/>
        <v/>
      </c>
      <c r="AU273" t="str">
        <f t="shared" ca="1" si="33"/>
        <v/>
      </c>
      <c r="AV273" t="str">
        <f t="shared" ca="1" si="34"/>
        <v/>
      </c>
    </row>
    <row r="274" spans="1:48" x14ac:dyDescent="0.25">
      <c r="A274" s="265">
        <f t="shared" si="30"/>
        <v>43700</v>
      </c>
      <c r="B274" s="265" t="str">
        <f t="shared" si="35"/>
        <v>23 Aug 2019</v>
      </c>
      <c r="C274" s="267">
        <f t="shared" si="36"/>
        <v>34</v>
      </c>
      <c r="D274">
        <f>MATCH(A274,GCalXMLT[daydate],0)</f>
        <v>273</v>
      </c>
      <c r="E274">
        <f>VALUE("1" &amp; Masacod(INDEX(GCalXMLT[gymasa],D274)) &amp; PaksaCod(INDEX(GCalXMLT[mpaksaid],D274)) &amp; TithiCod(INDEX(GCalXMLT[stithiname],D274)))</f>
        <v>106008</v>
      </c>
      <c r="F274" t="str">
        <f ca="1">INDEX(Parameters!$K$2:$K$16,MATCH(AV274,Parameters!$L$2:$L$16,0))</f>
        <v>P</v>
      </c>
      <c r="G274">
        <f>INDEX(GCalXMLT[fastmark],$D274)</f>
        <v>0</v>
      </c>
      <c r="H274" t="str">
        <f ca="1">INDEX(Parameters!$J$2:$J$16,MATCH(AV274,Parameters!$L$2:$L$16,0))</f>
        <v>*</v>
      </c>
      <c r="I274" t="str">
        <f>INDEX(GCalXMLT[dfestival1],$D274)</f>
        <v>Sri Krsna Janmastami: Appearance of Lord Sri Krsna</v>
      </c>
      <c r="J274" t="str">
        <f>IF(INDEX(GCalXMLT[dfestival2],$D274)="(Fast today)",INDEX(Festivals!$R$2:$R$180,MATCH($I274,Festivals!$R$2:$R$180,0)+1),INDEX(GCalXMLT[dfestival2],$D274))</f>
        <v>(Fast till midnight)</v>
      </c>
      <c r="K274">
        <f>IF(I274="Nandotsava","(Fast till noon)",INDEX(GCalXMLT[dfestival3],$D274))</f>
        <v>0</v>
      </c>
      <c r="L274">
        <f>IF(I274="Nandotsava", INDEX(GCalXMLT[dfestival3],$D274),INDEX(GCalXMLT[dfestival4],$D274))</f>
        <v>0</v>
      </c>
      <c r="M274" t="str">
        <f>IFERROR(INDEX(Festivals!$S$2:$S$160,AP274),"")</f>
        <v/>
      </c>
      <c r="N274" t="str">
        <f>IFERROR(IF($AQ274&gt;1,INDEX(Festivals!$S$2:$S$160,$AP274+1),""),"")</f>
        <v/>
      </c>
      <c r="O274" t="str">
        <f>IFERROR(IF($AQ274&gt;2,INDEX(Festivals!$S$2:$S$160,$AP274+2),""),"")</f>
        <v/>
      </c>
      <c r="P274" t="str">
        <f>IFERROR(IF($AQ274&gt;3,INDEX(Festivals!$S$2:$S$160,$AP274+3),""),"")</f>
        <v/>
      </c>
      <c r="Q274" t="str">
        <f>IFERROR(IF($AQ274&gt;4,INDEX(Festivals!$S$2:$S$160,$AP274+4),""),"")</f>
        <v/>
      </c>
      <c r="R274" t="str">
        <f>IFERROR(IF($AQ274&gt;5,INDEX(Festivals!$S$2:$S$160,$AP274+5),""),"")</f>
        <v/>
      </c>
      <c r="S274" t="str">
        <f>IFERROR(IF($AQ274&gt;6,INDEX(Festivals!$S$2:$S$160,$AP274+6),""),"")</f>
        <v/>
      </c>
      <c r="T274">
        <f>INDEX(GCalXMLT[dcaturmasya1],$D274)</f>
        <v>0</v>
      </c>
      <c r="U274">
        <f>INDEX(GCalXMLT[dcaturmasya2],$D274)</f>
        <v>0</v>
      </c>
      <c r="V274" t="str">
        <f>INDEX(GCalXMLT[sankrantirasi],$D274) &amp; " " &amp; INDEX(GCalXMLT[sankrantitime],$D274)</f>
        <v xml:space="preserve"> </v>
      </c>
      <c r="W274" t="str">
        <f ca="1">IFERROR(INDEX('Holidays Calc'!$K$2:$K$233,AR274),"")</f>
        <v/>
      </c>
      <c r="X274" t="str">
        <f ca="1">IF(AR274="","",IF(INDEX('Holidays Calc'!$I$2:$I$233,AR274+1)=A274,INDEX('Holidays Calc'!$K$2:$K$233,AR274+1),""))</f>
        <v/>
      </c>
      <c r="Y274" t="str">
        <f ca="1">IF(AR274="","",IF(INDEX('Holidays Calc'!$I$2:$I$233,AR274+2)=A274,INDEX('Holidays Calc'!$K$2:$K$233,AR274+2),""))</f>
        <v/>
      </c>
      <c r="Z274" t="str">
        <f ca="1">IF(AR274="","",IF(INDEX('Holidays Calc'!$I$2:$I$233,AR274+3)=A274,INDEX('Holidays Calc'!$K$2:$K$2333,AR274+3),""))</f>
        <v/>
      </c>
      <c r="AA274">
        <f>IF(I274="Last day of Bhisma Pancaka","",IF(G274="*",-0.7,IF(ISBLANK(INDEX(GCalXMLT[dclass1],$D274)),"",INDEX(GCalXMLT[dclass1],$D274))))</f>
        <v>0</v>
      </c>
      <c r="AB274">
        <f>IF(J274="First day of Bhisma Pancaka","",IF(AND(G274="*",NOT(ISERROR(SEARCH("ekadasi",J274)))),-0.7,IF(ISBLANK(INDEX(GCalXMLT[dclass2],$D274)),"",INDEX(GCalXMLT[dclass2],$D274))))</f>
        <v>-1</v>
      </c>
      <c r="AC274" t="str">
        <f>IF(I274="Nandotsava",-1,IF(ISBLANK(INDEX(GCalXMLT[dclass3],$D274)),"",INDEX(GCalXMLT[dclass3],$D274)))</f>
        <v/>
      </c>
      <c r="AD274" t="str">
        <f>IF(I274="Nandotsava",IF(ISBLANK(INDEX(GCalXMLT[dclass3],$D274)),"",INDEX(GCalXMLT[dclass3],$D274)),IF(ISBLANK(INDEX(GCalXMLT[dclass4],$D274)),"",INDEX(GCalXMLT[dclass4],$D274)))</f>
        <v/>
      </c>
      <c r="AE274" t="str">
        <f>IFERROR(INDEX(Festivals!$V$2:$V$160,AP274),"")</f>
        <v/>
      </c>
      <c r="AF274" t="str">
        <f>IFERROR(IF($AQ274&gt;1,INDEX(Festivals!$V$2:$V$160,$AP274+1),""),"")</f>
        <v/>
      </c>
      <c r="AG274" t="str">
        <f>IFERROR(IF($AQ274&gt;2,INDEX(Festivals!$V$2:$V$160,$AP274+2),""),"")</f>
        <v/>
      </c>
      <c r="AH274" t="str">
        <f>IFERROR(IF($AQ274&gt;3,INDEX(Festivals!$V$2:$V$160,$AP274+3),""),"")</f>
        <v/>
      </c>
      <c r="AI274" t="str">
        <f>IFERROR(IF($AQ274&gt;4,INDEX(Festivals!$V$2:$V$160,$AP274+4),""),"")</f>
        <v/>
      </c>
      <c r="AJ274" t="str">
        <f>IFERROR(IF($AQ274&gt;5,INDEX(Festivals!$V$2:$V$160,$AP274+5),""),"")</f>
        <v/>
      </c>
      <c r="AK274" t="str">
        <f>IFERROR(IF($AQ274&gt;6,INDEX(Festivals!$V$2:$V$160,$AP274+6),""),"")</f>
        <v/>
      </c>
      <c r="AL274" t="str">
        <f ca="1">IFERROR(INDEX('Holidays Calc'!$J$2:$J$233,MATCH(A274,'Holidays Calc'!$I$2:$I$233,0)),"")</f>
        <v/>
      </c>
      <c r="AM274" t="str">
        <f ca="1">IF(AR274="","",IF(INDEX('Holidays Calc'!$I$2:$I$233,AR274+1)=A274,INDEX('Holidays Calc'!$J$2:$J$233,AR274+1),""))</f>
        <v/>
      </c>
      <c r="AN274" t="str">
        <f ca="1">IF(AR274="","",IF(INDEX('Holidays Calc'!$I$2:$I$233,AR274+2)=A274,INDEX('Holidays Calc'!$J$2:$J$233,AR274+2),""))</f>
        <v/>
      </c>
      <c r="AO274" t="str">
        <f ca="1">IF(AR274="","",IF(INDEX('Holidays Calc'!$I$2:$I$233,AR274+3)=A274,INDEX('Holidays Calc'!$J$2:$J$233,AR274+3),""))</f>
        <v/>
      </c>
      <c r="AP274" t="str">
        <f>IFERROR(IF($E274=E273,"",MATCH($E274,Festivals!$H$2:$H$160,0)),"")</f>
        <v/>
      </c>
      <c r="AQ274" t="str">
        <f>IF(AP274="","",COUNTIF(Festivals!$H$2:$H$160,$E274))</f>
        <v/>
      </c>
      <c r="AR274" t="str">
        <f ca="1">IFERROR(MATCH(A274,'Holidays Calc'!$I$2:$I$233,0),"")</f>
        <v/>
      </c>
      <c r="AS274">
        <f t="shared" si="32"/>
        <v>-1</v>
      </c>
      <c r="AT274">
        <f t="shared" si="31"/>
        <v>-1</v>
      </c>
      <c r="AU274" t="str">
        <f t="shared" ca="1" si="33"/>
        <v/>
      </c>
      <c r="AV274">
        <f t="shared" ca="1" si="34"/>
        <v>-1</v>
      </c>
    </row>
    <row r="275" spans="1:48" x14ac:dyDescent="0.25">
      <c r="A275" s="265">
        <f t="shared" si="30"/>
        <v>43701</v>
      </c>
      <c r="B275" s="265" t="str">
        <f t="shared" si="35"/>
        <v>24 Aug 2019</v>
      </c>
      <c r="C275" s="267">
        <f t="shared" si="36"/>
        <v>34</v>
      </c>
      <c r="D275">
        <f>MATCH(A275,GCalXMLT[daydate],0)</f>
        <v>274</v>
      </c>
      <c r="E275">
        <f>VALUE("1" &amp; Masacod(INDEX(GCalXMLT[gymasa],D275)) &amp; PaksaCod(INDEX(GCalXMLT[mpaksaid],D275)) &amp; TithiCod(INDEX(GCalXMLT[stithiname],D275)))</f>
        <v>106009</v>
      </c>
      <c r="F275" t="str">
        <f ca="1">INDEX(Parameters!$K$2:$K$16,MATCH(AV275,Parameters!$L$2:$L$16,0))</f>
        <v>P</v>
      </c>
      <c r="G275">
        <f>INDEX(GCalXMLT[fastmark],$D275)</f>
        <v>0</v>
      </c>
      <c r="H275" t="str">
        <f ca="1">INDEX(Parameters!$J$2:$J$16,MATCH(AV275,Parameters!$L$2:$L$16,0))</f>
        <v>*</v>
      </c>
      <c r="I275" t="str">
        <f>INDEX(GCalXMLT[dfestival1],$D275)</f>
        <v>Nandotsava</v>
      </c>
      <c r="J275" t="str">
        <f>IF(INDEX(GCalXMLT[dfestival2],$D275)="(Fast today)",INDEX(Festivals!$R$2:$R$180,MATCH($I275,Festivals!$R$2:$R$180,0)+1),INDEX(GCalXMLT[dfestival2],$D275))</f>
        <v>Srila Prabhupada -- Appearance</v>
      </c>
      <c r="K275" t="str">
        <f>IF(I275="Nandotsava","(Fast till noon)",INDEX(GCalXMLT[dfestival3],$D275))</f>
        <v>(Fast till noon)</v>
      </c>
      <c r="L275">
        <f>IF(I275="Nandotsava", INDEX(GCalXMLT[dfestival3],$D275),INDEX(GCalXMLT[dfestival4],$D275))</f>
        <v>0</v>
      </c>
      <c r="M275" t="str">
        <f>IFERROR(INDEX(Festivals!$S$2:$S$160,AP275),"")</f>
        <v/>
      </c>
      <c r="N275" t="str">
        <f>IFERROR(IF($AQ275&gt;1,INDEX(Festivals!$S$2:$S$160,$AP275+1),""),"")</f>
        <v/>
      </c>
      <c r="O275" t="str">
        <f>IFERROR(IF($AQ275&gt;2,INDEX(Festivals!$S$2:$S$160,$AP275+2),""),"")</f>
        <v/>
      </c>
      <c r="P275" t="str">
        <f>IFERROR(IF($AQ275&gt;3,INDEX(Festivals!$S$2:$S$160,$AP275+3),""),"")</f>
        <v/>
      </c>
      <c r="Q275" t="str">
        <f>IFERROR(IF($AQ275&gt;4,INDEX(Festivals!$S$2:$S$160,$AP275+4),""),"")</f>
        <v/>
      </c>
      <c r="R275" t="str">
        <f>IFERROR(IF($AQ275&gt;5,INDEX(Festivals!$S$2:$S$160,$AP275+5),""),"")</f>
        <v/>
      </c>
      <c r="S275" t="str">
        <f>IFERROR(IF($AQ275&gt;6,INDEX(Festivals!$S$2:$S$160,$AP275+6),""),"")</f>
        <v/>
      </c>
      <c r="T275">
        <f>INDEX(GCalXMLT[dcaturmasya1],$D275)</f>
        <v>0</v>
      </c>
      <c r="U275">
        <f>INDEX(GCalXMLT[dcaturmasya2],$D275)</f>
        <v>0</v>
      </c>
      <c r="V275" t="str">
        <f>INDEX(GCalXMLT[sankrantirasi],$D275) &amp; " " &amp; INDEX(GCalXMLT[sankrantitime],$D275)</f>
        <v xml:space="preserve"> </v>
      </c>
      <c r="W275" t="str">
        <f ca="1">IFERROR(INDEX('Holidays Calc'!$K$2:$K$233,AR275),"")</f>
        <v/>
      </c>
      <c r="X275" t="str">
        <f ca="1">IF(AR275="","",IF(INDEX('Holidays Calc'!$I$2:$I$233,AR275+1)=A275,INDEX('Holidays Calc'!$K$2:$K$233,AR275+1),""))</f>
        <v/>
      </c>
      <c r="Y275" t="str">
        <f ca="1">IF(AR275="","",IF(INDEX('Holidays Calc'!$I$2:$I$233,AR275+2)=A275,INDEX('Holidays Calc'!$K$2:$K$233,AR275+2),""))</f>
        <v/>
      </c>
      <c r="Z275" t="str">
        <f ca="1">IF(AR275="","",IF(INDEX('Holidays Calc'!$I$2:$I$233,AR275+3)=A275,INDEX('Holidays Calc'!$K$2:$K$2333,AR275+3),""))</f>
        <v/>
      </c>
      <c r="AA275">
        <f>IF(I275="Last day of Bhisma Pancaka","",IF(G275="*",-0.7,IF(ISBLANK(INDEX(GCalXMLT[dclass1],$D275)),"",INDEX(GCalXMLT[dclass1],$D275))))</f>
        <v>1</v>
      </c>
      <c r="AB275">
        <f>IF(J275="First day of Bhisma Pancaka","",IF(AND(G275="*",NOT(ISERROR(SEARCH("ekadasi",J275)))),-0.7,IF(ISBLANK(INDEX(GCalXMLT[dclass2],$D275)),"",INDEX(GCalXMLT[dclass2],$D275))))</f>
        <v>2</v>
      </c>
      <c r="AC275">
        <f>IF(I275="Nandotsava",-1,IF(ISBLANK(INDEX(GCalXMLT[dclass3],$D275)),"",INDEX(GCalXMLT[dclass3],$D275)))</f>
        <v>-1</v>
      </c>
      <c r="AD275" t="str">
        <f>IF(I275="Nandotsava",IF(ISBLANK(INDEX(GCalXMLT[dclass3],$D275)),"",INDEX(GCalXMLT[dclass3],$D275)),IF(ISBLANK(INDEX(GCalXMLT[dclass4],$D275)),"",INDEX(GCalXMLT[dclass4],$D275)))</f>
        <v/>
      </c>
      <c r="AE275" t="str">
        <f>IFERROR(INDEX(Festivals!$V$2:$V$160,AP275),"")</f>
        <v/>
      </c>
      <c r="AF275" t="str">
        <f>IFERROR(IF($AQ275&gt;1,INDEX(Festivals!$V$2:$V$160,$AP275+1),""),"")</f>
        <v/>
      </c>
      <c r="AG275" t="str">
        <f>IFERROR(IF($AQ275&gt;2,INDEX(Festivals!$V$2:$V$160,$AP275+2),""),"")</f>
        <v/>
      </c>
      <c r="AH275" t="str">
        <f>IFERROR(IF($AQ275&gt;3,INDEX(Festivals!$V$2:$V$160,$AP275+3),""),"")</f>
        <v/>
      </c>
      <c r="AI275" t="str">
        <f>IFERROR(IF($AQ275&gt;4,INDEX(Festivals!$V$2:$V$160,$AP275+4),""),"")</f>
        <v/>
      </c>
      <c r="AJ275" t="str">
        <f>IFERROR(IF($AQ275&gt;5,INDEX(Festivals!$V$2:$V$160,$AP275+5),""),"")</f>
        <v/>
      </c>
      <c r="AK275" t="str">
        <f>IFERROR(IF($AQ275&gt;6,INDEX(Festivals!$V$2:$V$160,$AP275+6),""),"")</f>
        <v/>
      </c>
      <c r="AL275" t="str">
        <f ca="1">IFERROR(INDEX('Holidays Calc'!$J$2:$J$233,MATCH(A275,'Holidays Calc'!$I$2:$I$233,0)),"")</f>
        <v/>
      </c>
      <c r="AM275" t="str">
        <f ca="1">IF(AR275="","",IF(INDEX('Holidays Calc'!$I$2:$I$233,AR275+1)=A275,INDEX('Holidays Calc'!$J$2:$J$233,AR275+1),""))</f>
        <v/>
      </c>
      <c r="AN275" t="str">
        <f ca="1">IF(AR275="","",IF(INDEX('Holidays Calc'!$I$2:$I$233,AR275+2)=A275,INDEX('Holidays Calc'!$J$2:$J$233,AR275+2),""))</f>
        <v/>
      </c>
      <c r="AO275" t="str">
        <f ca="1">IF(AR275="","",IF(INDEX('Holidays Calc'!$I$2:$I$233,AR275+3)=A275,INDEX('Holidays Calc'!$J$2:$J$233,AR275+3),""))</f>
        <v/>
      </c>
      <c r="AP275" t="str">
        <f>IFERROR(IF($E275=E274,"",MATCH($E275,Festivals!$H$2:$H$160,0)),"")</f>
        <v/>
      </c>
      <c r="AQ275" t="str">
        <f>IF(AP275="","",COUNTIF(Festivals!$H$2:$H$160,$E275))</f>
        <v/>
      </c>
      <c r="AR275" t="str">
        <f ca="1">IFERROR(MATCH(A275,'Holidays Calc'!$I$2:$I$233,0),"")</f>
        <v/>
      </c>
      <c r="AS275">
        <f t="shared" si="32"/>
        <v>-1</v>
      </c>
      <c r="AT275">
        <f t="shared" si="31"/>
        <v>-1</v>
      </c>
      <c r="AU275" t="str">
        <f t="shared" ca="1" si="33"/>
        <v/>
      </c>
      <c r="AV275">
        <f t="shared" ca="1" si="34"/>
        <v>-1</v>
      </c>
    </row>
    <row r="276" spans="1:48" x14ac:dyDescent="0.25">
      <c r="A276" s="265">
        <f t="shared" si="30"/>
        <v>43702</v>
      </c>
      <c r="B276" s="265" t="str">
        <f t="shared" si="35"/>
        <v>25 Aug 2019</v>
      </c>
      <c r="C276" s="267">
        <f t="shared" si="36"/>
        <v>34</v>
      </c>
      <c r="D276">
        <f>MATCH(A276,GCalXMLT[daydate],0)</f>
        <v>275</v>
      </c>
      <c r="E276">
        <f>VALUE("1" &amp; Masacod(INDEX(GCalXMLT[gymasa],D276)) &amp; PaksaCod(INDEX(GCalXMLT[mpaksaid],D276)) &amp; TithiCod(INDEX(GCalXMLT[stithiname],D276)))</f>
        <v>106010</v>
      </c>
      <c r="F276" t="str">
        <f ca="1">INDEX(Parameters!$K$2:$K$16,MATCH(AV276,Parameters!$L$2:$L$16,0))</f>
        <v/>
      </c>
      <c r="G276">
        <f>INDEX(GCalXMLT[fastmark],$D276)</f>
        <v>0</v>
      </c>
      <c r="H276" t="str">
        <f ca="1">INDEX(Parameters!$J$2:$J$16,MATCH(AV276,Parameters!$L$2:$L$16,0))</f>
        <v/>
      </c>
      <c r="I276">
        <f>INDEX(GCalXMLT[dfestival1],$D276)</f>
        <v>0</v>
      </c>
      <c r="J276">
        <f>IF(INDEX(GCalXMLT[dfestival2],$D276)="(Fast today)",INDEX(Festivals!$R$2:$R$180,MATCH($I276,Festivals!$R$2:$R$180,0)+1),INDEX(GCalXMLT[dfestival2],$D276))</f>
        <v>0</v>
      </c>
      <c r="K276">
        <f>IF(I276="Nandotsava","(Fast till noon)",INDEX(GCalXMLT[dfestival3],$D276))</f>
        <v>0</v>
      </c>
      <c r="L276">
        <f>IF(I276="Nandotsava", INDEX(GCalXMLT[dfestival3],$D276),INDEX(GCalXMLT[dfestival4],$D276))</f>
        <v>0</v>
      </c>
      <c r="M276" t="str">
        <f>IFERROR(INDEX(Festivals!$S$2:$S$160,AP276),"")</f>
        <v/>
      </c>
      <c r="N276" t="str">
        <f>IFERROR(IF($AQ276&gt;1,INDEX(Festivals!$S$2:$S$160,$AP276+1),""),"")</f>
        <v/>
      </c>
      <c r="O276" t="str">
        <f>IFERROR(IF($AQ276&gt;2,INDEX(Festivals!$S$2:$S$160,$AP276+2),""),"")</f>
        <v/>
      </c>
      <c r="P276" t="str">
        <f>IFERROR(IF($AQ276&gt;3,INDEX(Festivals!$S$2:$S$160,$AP276+3),""),"")</f>
        <v/>
      </c>
      <c r="Q276" t="str">
        <f>IFERROR(IF($AQ276&gt;4,INDEX(Festivals!$S$2:$S$160,$AP276+4),""),"")</f>
        <v/>
      </c>
      <c r="R276" t="str">
        <f>IFERROR(IF($AQ276&gt;5,INDEX(Festivals!$S$2:$S$160,$AP276+5),""),"")</f>
        <v/>
      </c>
      <c r="S276" t="str">
        <f>IFERROR(IF($AQ276&gt;6,INDEX(Festivals!$S$2:$S$160,$AP276+6),""),"")</f>
        <v/>
      </c>
      <c r="T276">
        <f>INDEX(GCalXMLT[dcaturmasya1],$D276)</f>
        <v>0</v>
      </c>
      <c r="U276">
        <f>INDEX(GCalXMLT[dcaturmasya2],$D276)</f>
        <v>0</v>
      </c>
      <c r="V276" t="str">
        <f>INDEX(GCalXMLT[sankrantirasi],$D276) &amp; " " &amp; INDEX(GCalXMLT[sankrantitime],$D276)</f>
        <v xml:space="preserve"> </v>
      </c>
      <c r="W276" t="str">
        <f ca="1">IFERROR(INDEX('Holidays Calc'!$K$2:$K$233,AR276),"")</f>
        <v/>
      </c>
      <c r="X276" t="str">
        <f ca="1">IF(AR276="","",IF(INDEX('Holidays Calc'!$I$2:$I$233,AR276+1)=A276,INDEX('Holidays Calc'!$K$2:$K$233,AR276+1),""))</f>
        <v/>
      </c>
      <c r="Y276" t="str">
        <f ca="1">IF(AR276="","",IF(INDEX('Holidays Calc'!$I$2:$I$233,AR276+2)=A276,INDEX('Holidays Calc'!$K$2:$K$233,AR276+2),""))</f>
        <v/>
      </c>
      <c r="Z276" t="str">
        <f ca="1">IF(AR276="","",IF(INDEX('Holidays Calc'!$I$2:$I$233,AR276+3)=A276,INDEX('Holidays Calc'!$K$2:$K$2333,AR276+3),""))</f>
        <v/>
      </c>
      <c r="AA276" t="str">
        <f>IF(I276="Last day of Bhisma Pancaka","",IF(G276="*",-0.7,IF(ISBLANK(INDEX(GCalXMLT[dclass1],$D276)),"",INDEX(GCalXMLT[dclass1],$D276))))</f>
        <v/>
      </c>
      <c r="AB276" t="str">
        <f>IF(J276="First day of Bhisma Pancaka","",IF(AND(G276="*",NOT(ISERROR(SEARCH("ekadasi",J276)))),-0.7,IF(ISBLANK(INDEX(GCalXMLT[dclass2],$D276)),"",INDEX(GCalXMLT[dclass2],$D276))))</f>
        <v/>
      </c>
      <c r="AC276" t="str">
        <f>IF(I276="Nandotsava",-1,IF(ISBLANK(INDEX(GCalXMLT[dclass3],$D276)),"",INDEX(GCalXMLT[dclass3],$D276)))</f>
        <v/>
      </c>
      <c r="AD276" t="str">
        <f>IF(I276="Nandotsava",IF(ISBLANK(INDEX(GCalXMLT[dclass3],$D276)),"",INDEX(GCalXMLT[dclass3],$D276)),IF(ISBLANK(INDEX(GCalXMLT[dclass4],$D276)),"",INDEX(GCalXMLT[dclass4],$D276)))</f>
        <v/>
      </c>
      <c r="AE276" t="str">
        <f>IFERROR(INDEX(Festivals!$V$2:$V$160,AP276),"")</f>
        <v/>
      </c>
      <c r="AF276" t="str">
        <f>IFERROR(IF($AQ276&gt;1,INDEX(Festivals!$V$2:$V$160,$AP276+1),""),"")</f>
        <v/>
      </c>
      <c r="AG276" t="str">
        <f>IFERROR(IF($AQ276&gt;2,INDEX(Festivals!$V$2:$V$160,$AP276+2),""),"")</f>
        <v/>
      </c>
      <c r="AH276" t="str">
        <f>IFERROR(IF($AQ276&gt;3,INDEX(Festivals!$V$2:$V$160,$AP276+3),""),"")</f>
        <v/>
      </c>
      <c r="AI276" t="str">
        <f>IFERROR(IF($AQ276&gt;4,INDEX(Festivals!$V$2:$V$160,$AP276+4),""),"")</f>
        <v/>
      </c>
      <c r="AJ276" t="str">
        <f>IFERROR(IF($AQ276&gt;5,INDEX(Festivals!$V$2:$V$160,$AP276+5),""),"")</f>
        <v/>
      </c>
      <c r="AK276" t="str">
        <f>IFERROR(IF($AQ276&gt;6,INDEX(Festivals!$V$2:$V$160,$AP276+6),""),"")</f>
        <v/>
      </c>
      <c r="AL276" t="str">
        <f ca="1">IFERROR(INDEX('Holidays Calc'!$J$2:$J$233,MATCH(A276,'Holidays Calc'!$I$2:$I$233,0)),"")</f>
        <v/>
      </c>
      <c r="AM276" t="str">
        <f ca="1">IF(AR276="","",IF(INDEX('Holidays Calc'!$I$2:$I$233,AR276+1)=A276,INDEX('Holidays Calc'!$J$2:$J$233,AR276+1),""))</f>
        <v/>
      </c>
      <c r="AN276" t="str">
        <f ca="1">IF(AR276="","",IF(INDEX('Holidays Calc'!$I$2:$I$233,AR276+2)=A276,INDEX('Holidays Calc'!$J$2:$J$233,AR276+2),""))</f>
        <v/>
      </c>
      <c r="AO276" t="str">
        <f ca="1">IF(AR276="","",IF(INDEX('Holidays Calc'!$I$2:$I$233,AR276+3)=A276,INDEX('Holidays Calc'!$J$2:$J$233,AR276+3),""))</f>
        <v/>
      </c>
      <c r="AP276" t="str">
        <f>IFERROR(IF($E276=E275,"",MATCH($E276,Festivals!$H$2:$H$160,0)),"")</f>
        <v/>
      </c>
      <c r="AQ276" t="str">
        <f>IF(AP276="","",COUNTIF(Festivals!$H$2:$H$160,$E276))</f>
        <v/>
      </c>
      <c r="AR276" t="str">
        <f ca="1">IFERROR(MATCH(A276,'Holidays Calc'!$I$2:$I$233,0),"")</f>
        <v/>
      </c>
      <c r="AS276" t="str">
        <f t="shared" si="32"/>
        <v/>
      </c>
      <c r="AT276" t="str">
        <f t="shared" si="31"/>
        <v/>
      </c>
      <c r="AU276" t="str">
        <f t="shared" ca="1" si="33"/>
        <v/>
      </c>
      <c r="AV276" t="str">
        <f t="shared" ca="1" si="34"/>
        <v/>
      </c>
    </row>
    <row r="277" spans="1:48" x14ac:dyDescent="0.25">
      <c r="A277" s="265">
        <f t="shared" si="30"/>
        <v>43703</v>
      </c>
      <c r="B277" s="265" t="str">
        <f t="shared" si="35"/>
        <v>26 Aug 2019</v>
      </c>
      <c r="C277" s="267">
        <f t="shared" si="36"/>
        <v>35</v>
      </c>
      <c r="D277">
        <f>MATCH(A277,GCalXMLT[daydate],0)</f>
        <v>276</v>
      </c>
      <c r="E277">
        <f>VALUE("1" &amp; Masacod(INDEX(GCalXMLT[gymasa],D277)) &amp; PaksaCod(INDEX(GCalXMLT[mpaksaid],D277)) &amp; TithiCod(INDEX(GCalXMLT[stithiname],D277)))</f>
        <v>106011</v>
      </c>
      <c r="F277" t="str">
        <f ca="1">INDEX(Parameters!$K$2:$K$16,MATCH(AV277,Parameters!$L$2:$L$16,0))</f>
        <v>E</v>
      </c>
      <c r="G277" t="str">
        <f>INDEX(GCalXMLT[fastmark],$D277)</f>
        <v>*</v>
      </c>
      <c r="H277" t="str">
        <f ca="1">INDEX(Parameters!$J$2:$J$16,MATCH(AV277,Parameters!$L$2:$L$16,0))</f>
        <v>*</v>
      </c>
      <c r="I277" t="str">
        <f>INDEX(GCalXMLT[dfestival1],$D277)</f>
        <v>Fasting for Annada Ekadasi</v>
      </c>
      <c r="J277">
        <f>IF(INDEX(GCalXMLT[dfestival2],$D277)="(Fast today)",INDEX(Festivals!$R$2:$R$180,MATCH($I277,Festivals!$R$2:$R$180,0)+1),INDEX(GCalXMLT[dfestival2],$D277))</f>
        <v>0</v>
      </c>
      <c r="K277">
        <f>IF(I277="Nandotsava","(Fast till noon)",INDEX(GCalXMLT[dfestival3],$D277))</f>
        <v>0</v>
      </c>
      <c r="L277">
        <f>IF(I277="Nandotsava", INDEX(GCalXMLT[dfestival3],$D277),INDEX(GCalXMLT[dfestival4],$D277))</f>
        <v>0</v>
      </c>
      <c r="M277" t="str">
        <f>IFERROR(INDEX(Festivals!$S$2:$S$160,AP277),"")</f>
        <v/>
      </c>
      <c r="N277" t="str">
        <f>IFERROR(IF($AQ277&gt;1,INDEX(Festivals!$S$2:$S$160,$AP277+1),""),"")</f>
        <v/>
      </c>
      <c r="O277" t="str">
        <f>IFERROR(IF($AQ277&gt;2,INDEX(Festivals!$S$2:$S$160,$AP277+2),""),"")</f>
        <v/>
      </c>
      <c r="P277" t="str">
        <f>IFERROR(IF($AQ277&gt;3,INDEX(Festivals!$S$2:$S$160,$AP277+3),""),"")</f>
        <v/>
      </c>
      <c r="Q277" t="str">
        <f>IFERROR(IF($AQ277&gt;4,INDEX(Festivals!$S$2:$S$160,$AP277+4),""),"")</f>
        <v/>
      </c>
      <c r="R277" t="str">
        <f>IFERROR(IF($AQ277&gt;5,INDEX(Festivals!$S$2:$S$160,$AP277+5),""),"")</f>
        <v/>
      </c>
      <c r="S277" t="str">
        <f>IFERROR(IF($AQ277&gt;6,INDEX(Festivals!$S$2:$S$160,$AP277+6),""),"")</f>
        <v/>
      </c>
      <c r="T277">
        <f>INDEX(GCalXMLT[dcaturmasya1],$D277)</f>
        <v>0</v>
      </c>
      <c r="U277">
        <f>INDEX(GCalXMLT[dcaturmasya2],$D277)</f>
        <v>0</v>
      </c>
      <c r="V277" t="str">
        <f>INDEX(GCalXMLT[sankrantirasi],$D277) &amp; " " &amp; INDEX(GCalXMLT[sankrantitime],$D277)</f>
        <v xml:space="preserve"> </v>
      </c>
      <c r="W277" t="str">
        <f ca="1">IFERROR(INDEX('Holidays Calc'!$K$2:$K$233,AR277),"")</f>
        <v/>
      </c>
      <c r="X277" t="str">
        <f ca="1">IF(AR277="","",IF(INDEX('Holidays Calc'!$I$2:$I$233,AR277+1)=A277,INDEX('Holidays Calc'!$K$2:$K$233,AR277+1),""))</f>
        <v/>
      </c>
      <c r="Y277" t="str">
        <f ca="1">IF(AR277="","",IF(INDEX('Holidays Calc'!$I$2:$I$233,AR277+2)=A277,INDEX('Holidays Calc'!$K$2:$K$233,AR277+2),""))</f>
        <v/>
      </c>
      <c r="Z277" t="str">
        <f ca="1">IF(AR277="","",IF(INDEX('Holidays Calc'!$I$2:$I$233,AR277+3)=A277,INDEX('Holidays Calc'!$K$2:$K$2333,AR277+3),""))</f>
        <v/>
      </c>
      <c r="AA277">
        <f>IF(I277="Last day of Bhisma Pancaka","",IF(G277="*",-0.7,IF(ISBLANK(INDEX(GCalXMLT[dclass1],$D277)),"",INDEX(GCalXMLT[dclass1],$D277))))</f>
        <v>-0.7</v>
      </c>
      <c r="AB277" t="str">
        <f>IF(J277="First day of Bhisma Pancaka","",IF(AND(G277="*",NOT(ISERROR(SEARCH("ekadasi",J277)))),-0.7,IF(ISBLANK(INDEX(GCalXMLT[dclass2],$D277)),"",INDEX(GCalXMLT[dclass2],$D277))))</f>
        <v/>
      </c>
      <c r="AC277" t="str">
        <f>IF(I277="Nandotsava",-1,IF(ISBLANK(INDEX(GCalXMLT[dclass3],$D277)),"",INDEX(GCalXMLT[dclass3],$D277)))</f>
        <v/>
      </c>
      <c r="AD277" t="str">
        <f>IF(I277="Nandotsava",IF(ISBLANK(INDEX(GCalXMLT[dclass3],$D277)),"",INDEX(GCalXMLT[dclass3],$D277)),IF(ISBLANK(INDEX(GCalXMLT[dclass4],$D277)),"",INDEX(GCalXMLT[dclass4],$D277)))</f>
        <v/>
      </c>
      <c r="AE277" t="str">
        <f>IFERROR(INDEX(Festivals!$V$2:$V$160,AP277),"")</f>
        <v/>
      </c>
      <c r="AF277" t="str">
        <f>IFERROR(IF($AQ277&gt;1,INDEX(Festivals!$V$2:$V$160,$AP277+1),""),"")</f>
        <v/>
      </c>
      <c r="AG277" t="str">
        <f>IFERROR(IF($AQ277&gt;2,INDEX(Festivals!$V$2:$V$160,$AP277+2),""),"")</f>
        <v/>
      </c>
      <c r="AH277" t="str">
        <f>IFERROR(IF($AQ277&gt;3,INDEX(Festivals!$V$2:$V$160,$AP277+3),""),"")</f>
        <v/>
      </c>
      <c r="AI277" t="str">
        <f>IFERROR(IF($AQ277&gt;4,INDEX(Festivals!$V$2:$V$160,$AP277+4),""),"")</f>
        <v/>
      </c>
      <c r="AJ277" t="str">
        <f>IFERROR(IF($AQ277&gt;5,INDEX(Festivals!$V$2:$V$160,$AP277+5),""),"")</f>
        <v/>
      </c>
      <c r="AK277" t="str">
        <f>IFERROR(IF($AQ277&gt;6,INDEX(Festivals!$V$2:$V$160,$AP277+6),""),"")</f>
        <v/>
      </c>
      <c r="AL277" t="str">
        <f ca="1">IFERROR(INDEX('Holidays Calc'!$J$2:$J$233,MATCH(A277,'Holidays Calc'!$I$2:$I$233,0)),"")</f>
        <v/>
      </c>
      <c r="AM277" t="str">
        <f ca="1">IF(AR277="","",IF(INDEX('Holidays Calc'!$I$2:$I$233,AR277+1)=A277,INDEX('Holidays Calc'!$J$2:$J$233,AR277+1),""))</f>
        <v/>
      </c>
      <c r="AN277" t="str">
        <f ca="1">IF(AR277="","",IF(INDEX('Holidays Calc'!$I$2:$I$233,AR277+2)=A277,INDEX('Holidays Calc'!$J$2:$J$233,AR277+2),""))</f>
        <v/>
      </c>
      <c r="AO277" t="str">
        <f ca="1">IF(AR277="","",IF(INDEX('Holidays Calc'!$I$2:$I$233,AR277+3)=A277,INDEX('Holidays Calc'!$J$2:$J$233,AR277+3),""))</f>
        <v/>
      </c>
      <c r="AP277" t="str">
        <f>IFERROR(IF($E277=E276,"",MATCH($E277,Festivals!$H$2:$H$160,0)),"")</f>
        <v/>
      </c>
      <c r="AQ277" t="str">
        <f>IF(AP277="","",COUNTIF(Festivals!$H$2:$H$160,$E277))</f>
        <v/>
      </c>
      <c r="AR277" t="str">
        <f ca="1">IFERROR(MATCH(A277,'Holidays Calc'!$I$2:$I$233,0),"")</f>
        <v/>
      </c>
      <c r="AS277">
        <f t="shared" si="32"/>
        <v>-0.7</v>
      </c>
      <c r="AT277">
        <f t="shared" si="31"/>
        <v>-0.7</v>
      </c>
      <c r="AU277" t="str">
        <f t="shared" ca="1" si="33"/>
        <v/>
      </c>
      <c r="AV277">
        <f t="shared" ca="1" si="34"/>
        <v>-0.7</v>
      </c>
    </row>
    <row r="278" spans="1:48" x14ac:dyDescent="0.25">
      <c r="A278" s="265">
        <f t="shared" si="30"/>
        <v>43704</v>
      </c>
      <c r="B278" s="265" t="str">
        <f t="shared" si="35"/>
        <v>27 Aug 2019</v>
      </c>
      <c r="C278" s="267">
        <f t="shared" si="36"/>
        <v>35</v>
      </c>
      <c r="D278">
        <f>MATCH(A278,GCalXMLT[daydate],0)</f>
        <v>277</v>
      </c>
      <c r="E278">
        <f>VALUE("1" &amp; Masacod(INDEX(GCalXMLT[gymasa],D278)) &amp; PaksaCod(INDEX(GCalXMLT[mpaksaid],D278)) &amp; TithiCod(INDEX(GCalXMLT[stithiname],D278)))</f>
        <v>106012</v>
      </c>
      <c r="F278" t="str">
        <f ca="1">INDEX(Parameters!$K$2:$K$16,MATCH(AV278,Parameters!$L$2:$L$16,0))</f>
        <v/>
      </c>
      <c r="G278">
        <f>INDEX(GCalXMLT[fastmark],$D278)</f>
        <v>0</v>
      </c>
      <c r="H278" t="str">
        <f ca="1">INDEX(Parameters!$J$2:$J$16,MATCH(AV278,Parameters!$L$2:$L$16,0))</f>
        <v/>
      </c>
      <c r="I278">
        <f>INDEX(GCalXMLT[dfestival1],$D278)</f>
        <v>0</v>
      </c>
      <c r="J278">
        <f>IF(INDEX(GCalXMLT[dfestival2],$D278)="(Fast today)",INDEX(Festivals!$R$2:$R$180,MATCH($I278,Festivals!$R$2:$R$180,0)+1),INDEX(GCalXMLT[dfestival2],$D278))</f>
        <v>0</v>
      </c>
      <c r="K278">
        <f>IF(I278="Nandotsava","(Fast till noon)",INDEX(GCalXMLT[dfestival3],$D278))</f>
        <v>0</v>
      </c>
      <c r="L278">
        <f>IF(I278="Nandotsava", INDEX(GCalXMLT[dfestival3],$D278),INDEX(GCalXMLT[dfestival4],$D278))</f>
        <v>0</v>
      </c>
      <c r="M278" t="str">
        <f>IFERROR(INDEX(Festivals!$S$2:$S$160,AP278),"")</f>
        <v/>
      </c>
      <c r="N278" t="str">
        <f>IFERROR(IF($AQ278&gt;1,INDEX(Festivals!$S$2:$S$160,$AP278+1),""),"")</f>
        <v/>
      </c>
      <c r="O278" t="str">
        <f>IFERROR(IF($AQ278&gt;2,INDEX(Festivals!$S$2:$S$160,$AP278+2),""),"")</f>
        <v/>
      </c>
      <c r="P278" t="str">
        <f>IFERROR(IF($AQ278&gt;3,INDEX(Festivals!$S$2:$S$160,$AP278+3),""),"")</f>
        <v/>
      </c>
      <c r="Q278" t="str">
        <f>IFERROR(IF($AQ278&gt;4,INDEX(Festivals!$S$2:$S$160,$AP278+4),""),"")</f>
        <v/>
      </c>
      <c r="R278" t="str">
        <f>IFERROR(IF($AQ278&gt;5,INDEX(Festivals!$S$2:$S$160,$AP278+5),""),"")</f>
        <v/>
      </c>
      <c r="S278" t="str">
        <f>IFERROR(IF($AQ278&gt;6,INDEX(Festivals!$S$2:$S$160,$AP278+6),""),"")</f>
        <v/>
      </c>
      <c r="T278">
        <f>INDEX(GCalXMLT[dcaturmasya1],$D278)</f>
        <v>0</v>
      </c>
      <c r="U278">
        <f>INDEX(GCalXMLT[dcaturmasya2],$D278)</f>
        <v>0</v>
      </c>
      <c r="V278" t="str">
        <f>INDEX(GCalXMLT[sankrantirasi],$D278) &amp; " " &amp; INDEX(GCalXMLT[sankrantitime],$D278)</f>
        <v xml:space="preserve"> </v>
      </c>
      <c r="W278" t="str">
        <f ca="1">IFERROR(INDEX('Holidays Calc'!$K$2:$K$233,AR278),"")</f>
        <v/>
      </c>
      <c r="X278" t="str">
        <f ca="1">IF(AR278="","",IF(INDEX('Holidays Calc'!$I$2:$I$233,AR278+1)=A278,INDEX('Holidays Calc'!$K$2:$K$233,AR278+1),""))</f>
        <v/>
      </c>
      <c r="Y278" t="str">
        <f ca="1">IF(AR278="","",IF(INDEX('Holidays Calc'!$I$2:$I$233,AR278+2)=A278,INDEX('Holidays Calc'!$K$2:$K$233,AR278+2),""))</f>
        <v/>
      </c>
      <c r="Z278" t="str">
        <f ca="1">IF(AR278="","",IF(INDEX('Holidays Calc'!$I$2:$I$233,AR278+3)=A278,INDEX('Holidays Calc'!$K$2:$K$2333,AR278+3),""))</f>
        <v/>
      </c>
      <c r="AA278" t="str">
        <f>IF(I278="Last day of Bhisma Pancaka","",IF(G278="*",-0.7,IF(ISBLANK(INDEX(GCalXMLT[dclass1],$D278)),"",INDEX(GCalXMLT[dclass1],$D278))))</f>
        <v/>
      </c>
      <c r="AB278" t="str">
        <f>IF(J278="First day of Bhisma Pancaka","",IF(AND(G278="*",NOT(ISERROR(SEARCH("ekadasi",J278)))),-0.7,IF(ISBLANK(INDEX(GCalXMLT[dclass2],$D278)),"",INDEX(GCalXMLT[dclass2],$D278))))</f>
        <v/>
      </c>
      <c r="AC278" t="str">
        <f>IF(I278="Nandotsava",-1,IF(ISBLANK(INDEX(GCalXMLT[dclass3],$D278)),"",INDEX(GCalXMLT[dclass3],$D278)))</f>
        <v/>
      </c>
      <c r="AD278" t="str">
        <f>IF(I278="Nandotsava",IF(ISBLANK(INDEX(GCalXMLT[dclass3],$D278)),"",INDEX(GCalXMLT[dclass3],$D278)),IF(ISBLANK(INDEX(GCalXMLT[dclass4],$D278)),"",INDEX(GCalXMLT[dclass4],$D278)))</f>
        <v/>
      </c>
      <c r="AE278" t="str">
        <f>IFERROR(INDEX(Festivals!$V$2:$V$160,AP278),"")</f>
        <v/>
      </c>
      <c r="AF278" t="str">
        <f>IFERROR(IF($AQ278&gt;1,INDEX(Festivals!$V$2:$V$160,$AP278+1),""),"")</f>
        <v/>
      </c>
      <c r="AG278" t="str">
        <f>IFERROR(IF($AQ278&gt;2,INDEX(Festivals!$V$2:$V$160,$AP278+2),""),"")</f>
        <v/>
      </c>
      <c r="AH278" t="str">
        <f>IFERROR(IF($AQ278&gt;3,INDEX(Festivals!$V$2:$V$160,$AP278+3),""),"")</f>
        <v/>
      </c>
      <c r="AI278" t="str">
        <f>IFERROR(IF($AQ278&gt;4,INDEX(Festivals!$V$2:$V$160,$AP278+4),""),"")</f>
        <v/>
      </c>
      <c r="AJ278" t="str">
        <f>IFERROR(IF($AQ278&gt;5,INDEX(Festivals!$V$2:$V$160,$AP278+5),""),"")</f>
        <v/>
      </c>
      <c r="AK278" t="str">
        <f>IFERROR(IF($AQ278&gt;6,INDEX(Festivals!$V$2:$V$160,$AP278+6),""),"")</f>
        <v/>
      </c>
      <c r="AL278" t="str">
        <f ca="1">IFERROR(INDEX('Holidays Calc'!$J$2:$J$233,MATCH(A278,'Holidays Calc'!$I$2:$I$233,0)),"")</f>
        <v/>
      </c>
      <c r="AM278" t="str">
        <f ca="1">IF(AR278="","",IF(INDEX('Holidays Calc'!$I$2:$I$233,AR278+1)=A278,INDEX('Holidays Calc'!$J$2:$J$233,AR278+1),""))</f>
        <v/>
      </c>
      <c r="AN278" t="str">
        <f ca="1">IF(AR278="","",IF(INDEX('Holidays Calc'!$I$2:$I$233,AR278+2)=A278,INDEX('Holidays Calc'!$J$2:$J$233,AR278+2),""))</f>
        <v/>
      </c>
      <c r="AO278" t="str">
        <f ca="1">IF(AR278="","",IF(INDEX('Holidays Calc'!$I$2:$I$233,AR278+3)=A278,INDEX('Holidays Calc'!$J$2:$J$233,AR278+3),""))</f>
        <v/>
      </c>
      <c r="AP278" t="str">
        <f>IFERROR(IF($E278=E277,"",MATCH($E278,Festivals!$H$2:$H$160,0)),"")</f>
        <v/>
      </c>
      <c r="AQ278" t="str">
        <f>IF(AP278="","",COUNTIF(Festivals!$H$2:$H$160,$E278))</f>
        <v/>
      </c>
      <c r="AR278" t="str">
        <f ca="1">IFERROR(MATCH(A278,'Holidays Calc'!$I$2:$I$233,0),"")</f>
        <v/>
      </c>
      <c r="AS278" t="str">
        <f t="shared" si="32"/>
        <v/>
      </c>
      <c r="AT278" t="str">
        <f t="shared" si="31"/>
        <v/>
      </c>
      <c r="AU278" t="str">
        <f t="shared" ca="1" si="33"/>
        <v/>
      </c>
      <c r="AV278" t="str">
        <f t="shared" ca="1" si="34"/>
        <v/>
      </c>
    </row>
    <row r="279" spans="1:48" x14ac:dyDescent="0.25">
      <c r="A279" s="265">
        <f t="shared" si="30"/>
        <v>43705</v>
      </c>
      <c r="B279" s="265" t="str">
        <f t="shared" si="35"/>
        <v>28 Aug 2019</v>
      </c>
      <c r="C279" s="267">
        <f t="shared" si="36"/>
        <v>35</v>
      </c>
      <c r="D279">
        <f>MATCH(A279,GCalXMLT[daydate],0)</f>
        <v>278</v>
      </c>
      <c r="E279">
        <f>VALUE("1" &amp; Masacod(INDEX(GCalXMLT[gymasa],D279)) &amp; PaksaCod(INDEX(GCalXMLT[mpaksaid],D279)) &amp; TithiCod(INDEX(GCalXMLT[stithiname],D279)))</f>
        <v>106013</v>
      </c>
      <c r="F279" t="str">
        <f ca="1">INDEX(Parameters!$K$2:$K$16,MATCH(AV279,Parameters!$L$2:$L$16,0))</f>
        <v/>
      </c>
      <c r="G279">
        <f>INDEX(GCalXMLT[fastmark],$D279)</f>
        <v>0</v>
      </c>
      <c r="H279" t="str">
        <f ca="1">INDEX(Parameters!$J$2:$J$16,MATCH(AV279,Parameters!$L$2:$L$16,0))</f>
        <v/>
      </c>
      <c r="I279">
        <f>INDEX(GCalXMLT[dfestival1],$D279)</f>
        <v>0</v>
      </c>
      <c r="J279">
        <f>IF(INDEX(GCalXMLT[dfestival2],$D279)="(Fast today)",INDEX(Festivals!$R$2:$R$180,MATCH($I279,Festivals!$R$2:$R$180,0)+1),INDEX(GCalXMLT[dfestival2],$D279))</f>
        <v>0</v>
      </c>
      <c r="K279">
        <f>IF(I279="Nandotsava","(Fast till noon)",INDEX(GCalXMLT[dfestival3],$D279))</f>
        <v>0</v>
      </c>
      <c r="L279">
        <f>IF(I279="Nandotsava", INDEX(GCalXMLT[dfestival3],$D279),INDEX(GCalXMLT[dfestival4],$D279))</f>
        <v>0</v>
      </c>
      <c r="M279" t="str">
        <f>IFERROR(INDEX(Festivals!$S$2:$S$160,AP279),"")</f>
        <v/>
      </c>
      <c r="N279" t="str">
        <f>IFERROR(IF($AQ279&gt;1,INDEX(Festivals!$S$2:$S$160,$AP279+1),""),"")</f>
        <v/>
      </c>
      <c r="O279" t="str">
        <f>IFERROR(IF($AQ279&gt;2,INDEX(Festivals!$S$2:$S$160,$AP279+2),""),"")</f>
        <v/>
      </c>
      <c r="P279" t="str">
        <f>IFERROR(IF($AQ279&gt;3,INDEX(Festivals!$S$2:$S$160,$AP279+3),""),"")</f>
        <v/>
      </c>
      <c r="Q279" t="str">
        <f>IFERROR(IF($AQ279&gt;4,INDEX(Festivals!$S$2:$S$160,$AP279+4),""),"")</f>
        <v/>
      </c>
      <c r="R279" t="str">
        <f>IFERROR(IF($AQ279&gt;5,INDEX(Festivals!$S$2:$S$160,$AP279+5),""),"")</f>
        <v/>
      </c>
      <c r="S279" t="str">
        <f>IFERROR(IF($AQ279&gt;6,INDEX(Festivals!$S$2:$S$160,$AP279+6),""),"")</f>
        <v/>
      </c>
      <c r="T279">
        <f>INDEX(GCalXMLT[dcaturmasya1],$D279)</f>
        <v>0</v>
      </c>
      <c r="U279">
        <f>INDEX(GCalXMLT[dcaturmasya2],$D279)</f>
        <v>0</v>
      </c>
      <c r="V279" t="str">
        <f>INDEX(GCalXMLT[sankrantirasi],$D279) &amp; " " &amp; INDEX(GCalXMLT[sankrantitime],$D279)</f>
        <v xml:space="preserve"> </v>
      </c>
      <c r="W279" t="str">
        <f ca="1">IFERROR(INDEX('Holidays Calc'!$K$2:$K$233,AR279),"")</f>
        <v/>
      </c>
      <c r="X279" t="str">
        <f ca="1">IF(AR279="","",IF(INDEX('Holidays Calc'!$I$2:$I$233,AR279+1)=A279,INDEX('Holidays Calc'!$K$2:$K$233,AR279+1),""))</f>
        <v/>
      </c>
      <c r="Y279" t="str">
        <f ca="1">IF(AR279="","",IF(INDEX('Holidays Calc'!$I$2:$I$233,AR279+2)=A279,INDEX('Holidays Calc'!$K$2:$K$233,AR279+2),""))</f>
        <v/>
      </c>
      <c r="Z279" t="str">
        <f ca="1">IF(AR279="","",IF(INDEX('Holidays Calc'!$I$2:$I$233,AR279+3)=A279,INDEX('Holidays Calc'!$K$2:$K$2333,AR279+3),""))</f>
        <v/>
      </c>
      <c r="AA279" t="str">
        <f>IF(I279="Last day of Bhisma Pancaka","",IF(G279="*",-0.7,IF(ISBLANK(INDEX(GCalXMLT[dclass1],$D279)),"",INDEX(GCalXMLT[dclass1],$D279))))</f>
        <v/>
      </c>
      <c r="AB279" t="str">
        <f>IF(J279="First day of Bhisma Pancaka","",IF(AND(G279="*",NOT(ISERROR(SEARCH("ekadasi",J279)))),-0.7,IF(ISBLANK(INDEX(GCalXMLT[dclass2],$D279)),"",INDEX(GCalXMLT[dclass2],$D279))))</f>
        <v/>
      </c>
      <c r="AC279" t="str">
        <f>IF(I279="Nandotsava",-1,IF(ISBLANK(INDEX(GCalXMLT[dclass3],$D279)),"",INDEX(GCalXMLT[dclass3],$D279)))</f>
        <v/>
      </c>
      <c r="AD279" t="str">
        <f>IF(I279="Nandotsava",IF(ISBLANK(INDEX(GCalXMLT[dclass3],$D279)),"",INDEX(GCalXMLT[dclass3],$D279)),IF(ISBLANK(INDEX(GCalXMLT[dclass4],$D279)),"",INDEX(GCalXMLT[dclass4],$D279)))</f>
        <v/>
      </c>
      <c r="AE279" t="str">
        <f>IFERROR(INDEX(Festivals!$V$2:$V$160,AP279),"")</f>
        <v/>
      </c>
      <c r="AF279" t="str">
        <f>IFERROR(IF($AQ279&gt;1,INDEX(Festivals!$V$2:$V$160,$AP279+1),""),"")</f>
        <v/>
      </c>
      <c r="AG279" t="str">
        <f>IFERROR(IF($AQ279&gt;2,INDEX(Festivals!$V$2:$V$160,$AP279+2),""),"")</f>
        <v/>
      </c>
      <c r="AH279" t="str">
        <f>IFERROR(IF($AQ279&gt;3,INDEX(Festivals!$V$2:$V$160,$AP279+3),""),"")</f>
        <v/>
      </c>
      <c r="AI279" t="str">
        <f>IFERROR(IF($AQ279&gt;4,INDEX(Festivals!$V$2:$V$160,$AP279+4),""),"")</f>
        <v/>
      </c>
      <c r="AJ279" t="str">
        <f>IFERROR(IF($AQ279&gt;5,INDEX(Festivals!$V$2:$V$160,$AP279+5),""),"")</f>
        <v/>
      </c>
      <c r="AK279" t="str">
        <f>IFERROR(IF($AQ279&gt;6,INDEX(Festivals!$V$2:$V$160,$AP279+6),""),"")</f>
        <v/>
      </c>
      <c r="AL279" t="str">
        <f ca="1">IFERROR(INDEX('Holidays Calc'!$J$2:$J$233,MATCH(A279,'Holidays Calc'!$I$2:$I$233,0)),"")</f>
        <v/>
      </c>
      <c r="AM279" t="str">
        <f ca="1">IF(AR279="","",IF(INDEX('Holidays Calc'!$I$2:$I$233,AR279+1)=A279,INDEX('Holidays Calc'!$J$2:$J$233,AR279+1),""))</f>
        <v/>
      </c>
      <c r="AN279" t="str">
        <f ca="1">IF(AR279="","",IF(INDEX('Holidays Calc'!$I$2:$I$233,AR279+2)=A279,INDEX('Holidays Calc'!$J$2:$J$233,AR279+2),""))</f>
        <v/>
      </c>
      <c r="AO279" t="str">
        <f ca="1">IF(AR279="","",IF(INDEX('Holidays Calc'!$I$2:$I$233,AR279+3)=A279,INDEX('Holidays Calc'!$J$2:$J$233,AR279+3),""))</f>
        <v/>
      </c>
      <c r="AP279" t="str">
        <f>IFERROR(IF($E279=E278,"",MATCH($E279,Festivals!$H$2:$H$160,0)),"")</f>
        <v/>
      </c>
      <c r="AQ279" t="str">
        <f>IF(AP279="","",COUNTIF(Festivals!$H$2:$H$160,$E279))</f>
        <v/>
      </c>
      <c r="AR279" t="str">
        <f ca="1">IFERROR(MATCH(A279,'Holidays Calc'!$I$2:$I$233,0),"")</f>
        <v/>
      </c>
      <c r="AS279" t="str">
        <f t="shared" si="32"/>
        <v/>
      </c>
      <c r="AT279" t="str">
        <f t="shared" si="31"/>
        <v/>
      </c>
      <c r="AU279" t="str">
        <f t="shared" ca="1" si="33"/>
        <v/>
      </c>
      <c r="AV279" t="str">
        <f t="shared" ca="1" si="34"/>
        <v/>
      </c>
    </row>
    <row r="280" spans="1:48" x14ac:dyDescent="0.25">
      <c r="A280" s="265">
        <f t="shared" si="30"/>
        <v>43706</v>
      </c>
      <c r="B280" s="265" t="str">
        <f t="shared" si="35"/>
        <v>29 Aug 2019</v>
      </c>
      <c r="C280" s="267">
        <f t="shared" si="36"/>
        <v>35</v>
      </c>
      <c r="D280">
        <f>MATCH(A280,GCalXMLT[daydate],0)</f>
        <v>279</v>
      </c>
      <c r="E280">
        <f>VALUE("1" &amp; Masacod(INDEX(GCalXMLT[gymasa],D280)) &amp; PaksaCod(INDEX(GCalXMLT[mpaksaid],D280)) &amp; TithiCod(INDEX(GCalXMLT[stithiname],D280)))</f>
        <v>106014</v>
      </c>
      <c r="F280" t="str">
        <f ca="1">INDEX(Parameters!$K$2:$K$16,MATCH(AV280,Parameters!$L$2:$L$16,0))</f>
        <v/>
      </c>
      <c r="G280">
        <f>INDEX(GCalXMLT[fastmark],$D280)</f>
        <v>0</v>
      </c>
      <c r="H280" t="str">
        <f ca="1">INDEX(Parameters!$J$2:$J$16,MATCH(AV280,Parameters!$L$2:$L$16,0))</f>
        <v/>
      </c>
      <c r="I280">
        <f>INDEX(GCalXMLT[dfestival1],$D280)</f>
        <v>0</v>
      </c>
      <c r="J280">
        <f>IF(INDEX(GCalXMLT[dfestival2],$D280)="(Fast today)",INDEX(Festivals!$R$2:$R$180,MATCH($I280,Festivals!$R$2:$R$180,0)+1),INDEX(GCalXMLT[dfestival2],$D280))</f>
        <v>0</v>
      </c>
      <c r="K280">
        <f>IF(I280="Nandotsava","(Fast till noon)",INDEX(GCalXMLT[dfestival3],$D280))</f>
        <v>0</v>
      </c>
      <c r="L280">
        <f>IF(I280="Nandotsava", INDEX(GCalXMLT[dfestival3],$D280),INDEX(GCalXMLT[dfestival4],$D280))</f>
        <v>0</v>
      </c>
      <c r="M280" t="str">
        <f>IFERROR(INDEX(Festivals!$S$2:$S$160,AP280),"")</f>
        <v/>
      </c>
      <c r="N280" t="str">
        <f>IFERROR(IF($AQ280&gt;1,INDEX(Festivals!$S$2:$S$160,$AP280+1),""),"")</f>
        <v/>
      </c>
      <c r="O280" t="str">
        <f>IFERROR(IF($AQ280&gt;2,INDEX(Festivals!$S$2:$S$160,$AP280+2),""),"")</f>
        <v/>
      </c>
      <c r="P280" t="str">
        <f>IFERROR(IF($AQ280&gt;3,INDEX(Festivals!$S$2:$S$160,$AP280+3),""),"")</f>
        <v/>
      </c>
      <c r="Q280" t="str">
        <f>IFERROR(IF($AQ280&gt;4,INDEX(Festivals!$S$2:$S$160,$AP280+4),""),"")</f>
        <v/>
      </c>
      <c r="R280" t="str">
        <f>IFERROR(IF($AQ280&gt;5,INDEX(Festivals!$S$2:$S$160,$AP280+5),""),"")</f>
        <v/>
      </c>
      <c r="S280" t="str">
        <f>IFERROR(IF($AQ280&gt;6,INDEX(Festivals!$S$2:$S$160,$AP280+6),""),"")</f>
        <v/>
      </c>
      <c r="T280">
        <f>INDEX(GCalXMLT[dcaturmasya1],$D280)</f>
        <v>0</v>
      </c>
      <c r="U280">
        <f>INDEX(GCalXMLT[dcaturmasya2],$D280)</f>
        <v>0</v>
      </c>
      <c r="V280" t="str">
        <f>INDEX(GCalXMLT[sankrantirasi],$D280) &amp; " " &amp; INDEX(GCalXMLT[sankrantitime],$D280)</f>
        <v xml:space="preserve"> </v>
      </c>
      <c r="W280" t="str">
        <f ca="1">IFERROR(INDEX('Holidays Calc'!$K$2:$K$233,AR280),"")</f>
        <v/>
      </c>
      <c r="X280" t="str">
        <f ca="1">IF(AR280="","",IF(INDEX('Holidays Calc'!$I$2:$I$233,AR280+1)=A280,INDEX('Holidays Calc'!$K$2:$K$233,AR280+1),""))</f>
        <v/>
      </c>
      <c r="Y280" t="str">
        <f ca="1">IF(AR280="","",IF(INDEX('Holidays Calc'!$I$2:$I$233,AR280+2)=A280,INDEX('Holidays Calc'!$K$2:$K$233,AR280+2),""))</f>
        <v/>
      </c>
      <c r="Z280" t="str">
        <f ca="1">IF(AR280="","",IF(INDEX('Holidays Calc'!$I$2:$I$233,AR280+3)=A280,INDEX('Holidays Calc'!$K$2:$K$2333,AR280+3),""))</f>
        <v/>
      </c>
      <c r="AA280" t="str">
        <f>IF(I280="Last day of Bhisma Pancaka","",IF(G280="*",-0.7,IF(ISBLANK(INDEX(GCalXMLT[dclass1],$D280)),"",INDEX(GCalXMLT[dclass1],$D280))))</f>
        <v/>
      </c>
      <c r="AB280" t="str">
        <f>IF(J280="First day of Bhisma Pancaka","",IF(AND(G280="*",NOT(ISERROR(SEARCH("ekadasi",J280)))),-0.7,IF(ISBLANK(INDEX(GCalXMLT[dclass2],$D280)),"",INDEX(GCalXMLT[dclass2],$D280))))</f>
        <v/>
      </c>
      <c r="AC280" t="str">
        <f>IF(I280="Nandotsava",-1,IF(ISBLANK(INDEX(GCalXMLT[dclass3],$D280)),"",INDEX(GCalXMLT[dclass3],$D280)))</f>
        <v/>
      </c>
      <c r="AD280" t="str">
        <f>IF(I280="Nandotsava",IF(ISBLANK(INDEX(GCalXMLT[dclass3],$D280)),"",INDEX(GCalXMLT[dclass3],$D280)),IF(ISBLANK(INDEX(GCalXMLT[dclass4],$D280)),"",INDEX(GCalXMLT[dclass4],$D280)))</f>
        <v/>
      </c>
      <c r="AE280" t="str">
        <f>IFERROR(INDEX(Festivals!$V$2:$V$160,AP280),"")</f>
        <v/>
      </c>
      <c r="AF280" t="str">
        <f>IFERROR(IF($AQ280&gt;1,INDEX(Festivals!$V$2:$V$160,$AP280+1),""),"")</f>
        <v/>
      </c>
      <c r="AG280" t="str">
        <f>IFERROR(IF($AQ280&gt;2,INDEX(Festivals!$V$2:$V$160,$AP280+2),""),"")</f>
        <v/>
      </c>
      <c r="AH280" t="str">
        <f>IFERROR(IF($AQ280&gt;3,INDEX(Festivals!$V$2:$V$160,$AP280+3),""),"")</f>
        <v/>
      </c>
      <c r="AI280" t="str">
        <f>IFERROR(IF($AQ280&gt;4,INDEX(Festivals!$V$2:$V$160,$AP280+4),""),"")</f>
        <v/>
      </c>
      <c r="AJ280" t="str">
        <f>IFERROR(IF($AQ280&gt;5,INDEX(Festivals!$V$2:$V$160,$AP280+5),""),"")</f>
        <v/>
      </c>
      <c r="AK280" t="str">
        <f>IFERROR(IF($AQ280&gt;6,INDEX(Festivals!$V$2:$V$160,$AP280+6),""),"")</f>
        <v/>
      </c>
      <c r="AL280" t="str">
        <f ca="1">IFERROR(INDEX('Holidays Calc'!$J$2:$J$233,MATCH(A280,'Holidays Calc'!$I$2:$I$233,0)),"")</f>
        <v/>
      </c>
      <c r="AM280" t="str">
        <f ca="1">IF(AR280="","",IF(INDEX('Holidays Calc'!$I$2:$I$233,AR280+1)=A280,INDEX('Holidays Calc'!$J$2:$J$233,AR280+1),""))</f>
        <v/>
      </c>
      <c r="AN280" t="str">
        <f ca="1">IF(AR280="","",IF(INDEX('Holidays Calc'!$I$2:$I$233,AR280+2)=A280,INDEX('Holidays Calc'!$J$2:$J$233,AR280+2),""))</f>
        <v/>
      </c>
      <c r="AO280" t="str">
        <f ca="1">IF(AR280="","",IF(INDEX('Holidays Calc'!$I$2:$I$233,AR280+3)=A280,INDEX('Holidays Calc'!$J$2:$J$233,AR280+3),""))</f>
        <v/>
      </c>
      <c r="AP280" t="str">
        <f>IFERROR(IF($E280=E279,"",MATCH($E280,Festivals!$H$2:$H$160,0)),"")</f>
        <v/>
      </c>
      <c r="AQ280" t="str">
        <f>IF(AP280="","",COUNTIF(Festivals!$H$2:$H$160,$E280))</f>
        <v/>
      </c>
      <c r="AR280" t="str">
        <f ca="1">IFERROR(MATCH(A280,'Holidays Calc'!$I$2:$I$233,0),"")</f>
        <v/>
      </c>
      <c r="AS280" t="str">
        <f t="shared" si="32"/>
        <v/>
      </c>
      <c r="AT280" t="str">
        <f t="shared" si="31"/>
        <v/>
      </c>
      <c r="AU280" t="str">
        <f t="shared" ca="1" si="33"/>
        <v/>
      </c>
      <c r="AV280" t="str">
        <f t="shared" ca="1" si="34"/>
        <v/>
      </c>
    </row>
    <row r="281" spans="1:48" x14ac:dyDescent="0.25">
      <c r="A281" s="265">
        <f t="shared" si="30"/>
        <v>43707</v>
      </c>
      <c r="B281" s="265" t="str">
        <f t="shared" si="35"/>
        <v>30 Aug 2019</v>
      </c>
      <c r="C281" s="267">
        <f t="shared" si="36"/>
        <v>35</v>
      </c>
      <c r="D281">
        <f>MATCH(A281,GCalXMLT[daydate],0)</f>
        <v>280</v>
      </c>
      <c r="E281">
        <f>VALUE("1" &amp; Masacod(INDEX(GCalXMLT[gymasa],D281)) &amp; PaksaCod(INDEX(GCalXMLT[mpaksaid],D281)) &amp; TithiCod(INDEX(GCalXMLT[stithiname],D281)))</f>
        <v>106015</v>
      </c>
      <c r="F281" t="str">
        <f ca="1">INDEX(Parameters!$K$2:$K$16,MATCH(AV281,Parameters!$L$2:$L$16,0))</f>
        <v/>
      </c>
      <c r="G281">
        <f>INDEX(GCalXMLT[fastmark],$D281)</f>
        <v>0</v>
      </c>
      <c r="H281" t="str">
        <f ca="1">INDEX(Parameters!$J$2:$J$16,MATCH(AV281,Parameters!$L$2:$L$16,0))</f>
        <v/>
      </c>
      <c r="I281">
        <f>INDEX(GCalXMLT[dfestival1],$D281)</f>
        <v>0</v>
      </c>
      <c r="J281">
        <f>IF(INDEX(GCalXMLT[dfestival2],$D281)="(Fast today)",INDEX(Festivals!$R$2:$R$180,MATCH($I281,Festivals!$R$2:$R$180,0)+1),INDEX(GCalXMLT[dfestival2],$D281))</f>
        <v>0</v>
      </c>
      <c r="K281">
        <f>IF(I281="Nandotsava","(Fast till noon)",INDEX(GCalXMLT[dfestival3],$D281))</f>
        <v>0</v>
      </c>
      <c r="L281">
        <f>IF(I281="Nandotsava", INDEX(GCalXMLT[dfestival3],$D281),INDEX(GCalXMLT[dfestival4],$D281))</f>
        <v>0</v>
      </c>
      <c r="M281" t="str">
        <f>IFERROR(INDEX(Festivals!$S$2:$S$160,AP281),"")</f>
        <v/>
      </c>
      <c r="N281" t="str">
        <f>IFERROR(IF($AQ281&gt;1,INDEX(Festivals!$S$2:$S$160,$AP281+1),""),"")</f>
        <v/>
      </c>
      <c r="O281" t="str">
        <f>IFERROR(IF($AQ281&gt;2,INDEX(Festivals!$S$2:$S$160,$AP281+2),""),"")</f>
        <v/>
      </c>
      <c r="P281" t="str">
        <f>IFERROR(IF($AQ281&gt;3,INDEX(Festivals!$S$2:$S$160,$AP281+3),""),"")</f>
        <v/>
      </c>
      <c r="Q281" t="str">
        <f>IFERROR(IF($AQ281&gt;4,INDEX(Festivals!$S$2:$S$160,$AP281+4),""),"")</f>
        <v/>
      </c>
      <c r="R281" t="str">
        <f>IFERROR(IF($AQ281&gt;5,INDEX(Festivals!$S$2:$S$160,$AP281+5),""),"")</f>
        <v/>
      </c>
      <c r="S281" t="str">
        <f>IFERROR(IF($AQ281&gt;6,INDEX(Festivals!$S$2:$S$160,$AP281+6),""),"")</f>
        <v/>
      </c>
      <c r="T281">
        <f>INDEX(GCalXMLT[dcaturmasya1],$D281)</f>
        <v>0</v>
      </c>
      <c r="U281">
        <f>INDEX(GCalXMLT[dcaturmasya2],$D281)</f>
        <v>0</v>
      </c>
      <c r="V281" t="str">
        <f>INDEX(GCalXMLT[sankrantirasi],$D281) &amp; " " &amp; INDEX(GCalXMLT[sankrantitime],$D281)</f>
        <v xml:space="preserve"> </v>
      </c>
      <c r="W281" t="str">
        <f ca="1">IFERROR(INDEX('Holidays Calc'!$K$2:$K$233,AR281),"")</f>
        <v/>
      </c>
      <c r="X281" t="str">
        <f ca="1">IF(AR281="","",IF(INDEX('Holidays Calc'!$I$2:$I$233,AR281+1)=A281,INDEX('Holidays Calc'!$K$2:$K$233,AR281+1),""))</f>
        <v/>
      </c>
      <c r="Y281" t="str">
        <f ca="1">IF(AR281="","",IF(INDEX('Holidays Calc'!$I$2:$I$233,AR281+2)=A281,INDEX('Holidays Calc'!$K$2:$K$233,AR281+2),""))</f>
        <v/>
      </c>
      <c r="Z281" t="str">
        <f ca="1">IF(AR281="","",IF(INDEX('Holidays Calc'!$I$2:$I$233,AR281+3)=A281,INDEX('Holidays Calc'!$K$2:$K$2333,AR281+3),""))</f>
        <v/>
      </c>
      <c r="AA281" t="str">
        <f>IF(I281="Last day of Bhisma Pancaka","",IF(G281="*",-0.7,IF(ISBLANK(INDEX(GCalXMLT[dclass1],$D281)),"",INDEX(GCalXMLT[dclass1],$D281))))</f>
        <v/>
      </c>
      <c r="AB281" t="str">
        <f>IF(J281="First day of Bhisma Pancaka","",IF(AND(G281="*",NOT(ISERROR(SEARCH("ekadasi",J281)))),-0.7,IF(ISBLANK(INDEX(GCalXMLT[dclass2],$D281)),"",INDEX(GCalXMLT[dclass2],$D281))))</f>
        <v/>
      </c>
      <c r="AC281" t="str">
        <f>IF(I281="Nandotsava",-1,IF(ISBLANK(INDEX(GCalXMLT[dclass3],$D281)),"",INDEX(GCalXMLT[dclass3],$D281)))</f>
        <v/>
      </c>
      <c r="AD281" t="str">
        <f>IF(I281="Nandotsava",IF(ISBLANK(INDEX(GCalXMLT[dclass3],$D281)),"",INDEX(GCalXMLT[dclass3],$D281)),IF(ISBLANK(INDEX(GCalXMLT[dclass4],$D281)),"",INDEX(GCalXMLT[dclass4],$D281)))</f>
        <v/>
      </c>
      <c r="AE281" t="str">
        <f>IFERROR(INDEX(Festivals!$V$2:$V$160,AP281),"")</f>
        <v/>
      </c>
      <c r="AF281" t="str">
        <f>IFERROR(IF($AQ281&gt;1,INDEX(Festivals!$V$2:$V$160,$AP281+1),""),"")</f>
        <v/>
      </c>
      <c r="AG281" t="str">
        <f>IFERROR(IF($AQ281&gt;2,INDEX(Festivals!$V$2:$V$160,$AP281+2),""),"")</f>
        <v/>
      </c>
      <c r="AH281" t="str">
        <f>IFERROR(IF($AQ281&gt;3,INDEX(Festivals!$V$2:$V$160,$AP281+3),""),"")</f>
        <v/>
      </c>
      <c r="AI281" t="str">
        <f>IFERROR(IF($AQ281&gt;4,INDEX(Festivals!$V$2:$V$160,$AP281+4),""),"")</f>
        <v/>
      </c>
      <c r="AJ281" t="str">
        <f>IFERROR(IF($AQ281&gt;5,INDEX(Festivals!$V$2:$V$160,$AP281+5),""),"")</f>
        <v/>
      </c>
      <c r="AK281" t="str">
        <f>IFERROR(IF($AQ281&gt;6,INDEX(Festivals!$V$2:$V$160,$AP281+6),""),"")</f>
        <v/>
      </c>
      <c r="AL281" t="str">
        <f ca="1">IFERROR(INDEX('Holidays Calc'!$J$2:$J$233,MATCH(A281,'Holidays Calc'!$I$2:$I$233,0)),"")</f>
        <v/>
      </c>
      <c r="AM281" t="str">
        <f ca="1">IF(AR281="","",IF(INDEX('Holidays Calc'!$I$2:$I$233,AR281+1)=A281,INDEX('Holidays Calc'!$J$2:$J$233,AR281+1),""))</f>
        <v/>
      </c>
      <c r="AN281" t="str">
        <f ca="1">IF(AR281="","",IF(INDEX('Holidays Calc'!$I$2:$I$233,AR281+2)=A281,INDEX('Holidays Calc'!$J$2:$J$233,AR281+2),""))</f>
        <v/>
      </c>
      <c r="AO281" t="str">
        <f ca="1">IF(AR281="","",IF(INDEX('Holidays Calc'!$I$2:$I$233,AR281+3)=A281,INDEX('Holidays Calc'!$J$2:$J$233,AR281+3),""))</f>
        <v/>
      </c>
      <c r="AP281" t="str">
        <f>IFERROR(IF($E281=E280,"",MATCH($E281,Festivals!$H$2:$H$160,0)),"")</f>
        <v/>
      </c>
      <c r="AQ281" t="str">
        <f>IF(AP281="","",COUNTIF(Festivals!$H$2:$H$160,$E281))</f>
        <v/>
      </c>
      <c r="AR281" t="str">
        <f ca="1">IFERROR(MATCH(A281,'Holidays Calc'!$I$2:$I$233,0),"")</f>
        <v/>
      </c>
      <c r="AS281" t="str">
        <f t="shared" si="32"/>
        <v/>
      </c>
      <c r="AT281" t="str">
        <f t="shared" si="31"/>
        <v/>
      </c>
      <c r="AU281" t="str">
        <f t="shared" ca="1" si="33"/>
        <v/>
      </c>
      <c r="AV281" t="str">
        <f t="shared" ca="1" si="34"/>
        <v/>
      </c>
    </row>
    <row r="282" spans="1:48" x14ac:dyDescent="0.25">
      <c r="A282" s="265">
        <f t="shared" si="30"/>
        <v>43708</v>
      </c>
      <c r="B282" s="265" t="str">
        <f t="shared" si="35"/>
        <v>31 Aug 2019</v>
      </c>
      <c r="C282" s="267">
        <f t="shared" si="36"/>
        <v>35</v>
      </c>
      <c r="D282">
        <f>MATCH(A282,GCalXMLT[daydate],0)</f>
        <v>281</v>
      </c>
      <c r="E282">
        <f>VALUE("1" &amp; Masacod(INDEX(GCalXMLT[gymasa],D282)) &amp; PaksaCod(INDEX(GCalXMLT[mpaksaid],D282)) &amp; TithiCod(INDEX(GCalXMLT[stithiname],D282)))</f>
        <v>106102</v>
      </c>
      <c r="F282" t="str">
        <f ca="1">INDEX(Parameters!$K$2:$K$16,MATCH(AV282,Parameters!$L$2:$L$16,0))</f>
        <v/>
      </c>
      <c r="G282">
        <f>INDEX(GCalXMLT[fastmark],$D282)</f>
        <v>0</v>
      </c>
      <c r="H282" t="str">
        <f ca="1">INDEX(Parameters!$J$2:$J$16,MATCH(AV282,Parameters!$L$2:$L$16,0))</f>
        <v/>
      </c>
      <c r="I282">
        <f>INDEX(GCalXMLT[dfestival1],$D282)</f>
        <v>0</v>
      </c>
      <c r="J282">
        <f>IF(INDEX(GCalXMLT[dfestival2],$D282)="(Fast today)",INDEX(Festivals!$R$2:$R$180,MATCH($I282,Festivals!$R$2:$R$180,0)+1),INDEX(GCalXMLT[dfestival2],$D282))</f>
        <v>0</v>
      </c>
      <c r="K282">
        <f>IF(I282="Nandotsava","(Fast till noon)",INDEX(GCalXMLT[dfestival3],$D282))</f>
        <v>0</v>
      </c>
      <c r="L282">
        <f>IF(I282="Nandotsava", INDEX(GCalXMLT[dfestival3],$D282),INDEX(GCalXMLT[dfestival4],$D282))</f>
        <v>0</v>
      </c>
      <c r="M282" t="str">
        <f>IFERROR(INDEX(Festivals!$S$2:$S$160,AP282),"")</f>
        <v/>
      </c>
      <c r="N282" t="str">
        <f>IFERROR(IF($AQ282&gt;1,INDEX(Festivals!$S$2:$S$160,$AP282+1),""),"")</f>
        <v/>
      </c>
      <c r="O282" t="str">
        <f>IFERROR(IF($AQ282&gt;2,INDEX(Festivals!$S$2:$S$160,$AP282+2),""),"")</f>
        <v/>
      </c>
      <c r="P282" t="str">
        <f>IFERROR(IF($AQ282&gt;3,INDEX(Festivals!$S$2:$S$160,$AP282+3),""),"")</f>
        <v/>
      </c>
      <c r="Q282" t="str">
        <f>IFERROR(IF($AQ282&gt;4,INDEX(Festivals!$S$2:$S$160,$AP282+4),""),"")</f>
        <v/>
      </c>
      <c r="R282" t="str">
        <f>IFERROR(IF($AQ282&gt;5,INDEX(Festivals!$S$2:$S$160,$AP282+5),""),"")</f>
        <v/>
      </c>
      <c r="S282" t="str">
        <f>IFERROR(IF($AQ282&gt;6,INDEX(Festivals!$S$2:$S$160,$AP282+6),""),"")</f>
        <v/>
      </c>
      <c r="T282">
        <f>INDEX(GCalXMLT[dcaturmasya1],$D282)</f>
        <v>0</v>
      </c>
      <c r="U282">
        <f>INDEX(GCalXMLT[dcaturmasya2],$D282)</f>
        <v>0</v>
      </c>
      <c r="V282" t="str">
        <f>INDEX(GCalXMLT[sankrantirasi],$D282) &amp; " " &amp; INDEX(GCalXMLT[sankrantitime],$D282)</f>
        <v xml:space="preserve"> </v>
      </c>
      <c r="W282" t="str">
        <f ca="1">IFERROR(INDEX('Holidays Calc'!$K$2:$K$233,AR282),"")</f>
        <v/>
      </c>
      <c r="X282" t="str">
        <f ca="1">IF(AR282="","",IF(INDEX('Holidays Calc'!$I$2:$I$233,AR282+1)=A282,INDEX('Holidays Calc'!$K$2:$K$233,AR282+1),""))</f>
        <v/>
      </c>
      <c r="Y282" t="str">
        <f ca="1">IF(AR282="","",IF(INDEX('Holidays Calc'!$I$2:$I$233,AR282+2)=A282,INDEX('Holidays Calc'!$K$2:$K$233,AR282+2),""))</f>
        <v/>
      </c>
      <c r="Z282" t="str">
        <f ca="1">IF(AR282="","",IF(INDEX('Holidays Calc'!$I$2:$I$233,AR282+3)=A282,INDEX('Holidays Calc'!$K$2:$K$2333,AR282+3),""))</f>
        <v/>
      </c>
      <c r="AA282" t="str">
        <f>IF(I282="Last day of Bhisma Pancaka","",IF(G282="*",-0.7,IF(ISBLANK(INDEX(GCalXMLT[dclass1],$D282)),"",INDEX(GCalXMLT[dclass1],$D282))))</f>
        <v/>
      </c>
      <c r="AB282" t="str">
        <f>IF(J282="First day of Bhisma Pancaka","",IF(AND(G282="*",NOT(ISERROR(SEARCH("ekadasi",J282)))),-0.7,IF(ISBLANK(INDEX(GCalXMLT[dclass2],$D282)),"",INDEX(GCalXMLT[dclass2],$D282))))</f>
        <v/>
      </c>
      <c r="AC282" t="str">
        <f>IF(I282="Nandotsava",-1,IF(ISBLANK(INDEX(GCalXMLT[dclass3],$D282)),"",INDEX(GCalXMLT[dclass3],$D282)))</f>
        <v/>
      </c>
      <c r="AD282" t="str">
        <f>IF(I282="Nandotsava",IF(ISBLANK(INDEX(GCalXMLT[dclass3],$D282)),"",INDEX(GCalXMLT[dclass3],$D282)),IF(ISBLANK(INDEX(GCalXMLT[dclass4],$D282)),"",INDEX(GCalXMLT[dclass4],$D282)))</f>
        <v/>
      </c>
      <c r="AE282" t="str">
        <f>IFERROR(INDEX(Festivals!$V$2:$V$160,AP282),"")</f>
        <v/>
      </c>
      <c r="AF282" t="str">
        <f>IFERROR(IF($AQ282&gt;1,INDEX(Festivals!$V$2:$V$160,$AP282+1),""),"")</f>
        <v/>
      </c>
      <c r="AG282" t="str">
        <f>IFERROR(IF($AQ282&gt;2,INDEX(Festivals!$V$2:$V$160,$AP282+2),""),"")</f>
        <v/>
      </c>
      <c r="AH282" t="str">
        <f>IFERROR(IF($AQ282&gt;3,INDEX(Festivals!$V$2:$V$160,$AP282+3),""),"")</f>
        <v/>
      </c>
      <c r="AI282" t="str">
        <f>IFERROR(IF($AQ282&gt;4,INDEX(Festivals!$V$2:$V$160,$AP282+4),""),"")</f>
        <v/>
      </c>
      <c r="AJ282" t="str">
        <f>IFERROR(IF($AQ282&gt;5,INDEX(Festivals!$V$2:$V$160,$AP282+5),""),"")</f>
        <v/>
      </c>
      <c r="AK282" t="str">
        <f>IFERROR(IF($AQ282&gt;6,INDEX(Festivals!$V$2:$V$160,$AP282+6),""),"")</f>
        <v/>
      </c>
      <c r="AL282" t="str">
        <f ca="1">IFERROR(INDEX('Holidays Calc'!$J$2:$J$233,MATCH(A282,'Holidays Calc'!$I$2:$I$233,0)),"")</f>
        <v/>
      </c>
      <c r="AM282" t="str">
        <f ca="1">IF(AR282="","",IF(INDEX('Holidays Calc'!$I$2:$I$233,AR282+1)=A282,INDEX('Holidays Calc'!$J$2:$J$233,AR282+1),""))</f>
        <v/>
      </c>
      <c r="AN282" t="str">
        <f ca="1">IF(AR282="","",IF(INDEX('Holidays Calc'!$I$2:$I$233,AR282+2)=A282,INDEX('Holidays Calc'!$J$2:$J$233,AR282+2),""))</f>
        <v/>
      </c>
      <c r="AO282" t="str">
        <f ca="1">IF(AR282="","",IF(INDEX('Holidays Calc'!$I$2:$I$233,AR282+3)=A282,INDEX('Holidays Calc'!$J$2:$J$233,AR282+3),""))</f>
        <v/>
      </c>
      <c r="AP282" t="str">
        <f>IFERROR(IF($E282=E281,"",MATCH($E282,Festivals!$H$2:$H$160,0)),"")</f>
        <v/>
      </c>
      <c r="AQ282" t="str">
        <f>IF(AP282="","",COUNTIF(Festivals!$H$2:$H$160,$E282))</f>
        <v/>
      </c>
      <c r="AR282" t="str">
        <f ca="1">IFERROR(MATCH(A282,'Holidays Calc'!$I$2:$I$233,0),"")</f>
        <v/>
      </c>
      <c r="AS282" t="str">
        <f t="shared" si="32"/>
        <v/>
      </c>
      <c r="AT282" t="str">
        <f t="shared" si="31"/>
        <v/>
      </c>
      <c r="AU282" t="str">
        <f t="shared" ca="1" si="33"/>
        <v/>
      </c>
      <c r="AV282" t="str">
        <f t="shared" ca="1" si="34"/>
        <v/>
      </c>
    </row>
    <row r="283" spans="1:48" x14ac:dyDescent="0.25">
      <c r="A283" s="265">
        <f t="shared" si="30"/>
        <v>43709</v>
      </c>
      <c r="B283" s="265" t="str">
        <f t="shared" si="35"/>
        <v>1 Sep 2019</v>
      </c>
      <c r="C283" s="267">
        <f t="shared" si="36"/>
        <v>35</v>
      </c>
      <c r="D283">
        <f>MATCH(A283,GCalXMLT[daydate],0)</f>
        <v>282</v>
      </c>
      <c r="E283">
        <f>VALUE("1" &amp; Masacod(INDEX(GCalXMLT[gymasa],D283)) &amp; PaksaCod(INDEX(GCalXMLT[mpaksaid],D283)) &amp; TithiCod(INDEX(GCalXMLT[stithiname],D283)))</f>
        <v>106103</v>
      </c>
      <c r="F283" t="str">
        <f ca="1">INDEX(Parameters!$K$2:$K$16,MATCH(AV283,Parameters!$L$2:$L$16,0))</f>
        <v/>
      </c>
      <c r="G283">
        <f>INDEX(GCalXMLT[fastmark],$D283)</f>
        <v>0</v>
      </c>
      <c r="H283" t="str">
        <f ca="1">INDEX(Parameters!$J$2:$J$16,MATCH(AV283,Parameters!$L$2:$L$16,0))</f>
        <v/>
      </c>
      <c r="I283">
        <f>INDEX(GCalXMLT[dfestival1],$D283)</f>
        <v>0</v>
      </c>
      <c r="J283">
        <f>IF(INDEX(GCalXMLT[dfestival2],$D283)="(Fast today)",INDEX(Festivals!$R$2:$R$180,MATCH($I283,Festivals!$R$2:$R$180,0)+1),INDEX(GCalXMLT[dfestival2],$D283))</f>
        <v>0</v>
      </c>
      <c r="K283">
        <f>IF(I283="Nandotsava","(Fast till noon)",INDEX(GCalXMLT[dfestival3],$D283))</f>
        <v>0</v>
      </c>
      <c r="L283">
        <f>IF(I283="Nandotsava", INDEX(GCalXMLT[dfestival3],$D283),INDEX(GCalXMLT[dfestival4],$D283))</f>
        <v>0</v>
      </c>
      <c r="M283" t="str">
        <f>IFERROR(INDEX(Festivals!$S$2:$S$160,AP283),"")</f>
        <v/>
      </c>
      <c r="N283" t="str">
        <f>IFERROR(IF($AQ283&gt;1,INDEX(Festivals!$S$2:$S$160,$AP283+1),""),"")</f>
        <v/>
      </c>
      <c r="O283" t="str">
        <f>IFERROR(IF($AQ283&gt;2,INDEX(Festivals!$S$2:$S$160,$AP283+2),""),"")</f>
        <v/>
      </c>
      <c r="P283" t="str">
        <f>IFERROR(IF($AQ283&gt;3,INDEX(Festivals!$S$2:$S$160,$AP283+3),""),"")</f>
        <v/>
      </c>
      <c r="Q283" t="str">
        <f>IFERROR(IF($AQ283&gt;4,INDEX(Festivals!$S$2:$S$160,$AP283+4),""),"")</f>
        <v/>
      </c>
      <c r="R283" t="str">
        <f>IFERROR(IF($AQ283&gt;5,INDEX(Festivals!$S$2:$S$160,$AP283+5),""),"")</f>
        <v/>
      </c>
      <c r="S283" t="str">
        <f>IFERROR(IF($AQ283&gt;6,INDEX(Festivals!$S$2:$S$160,$AP283+6),""),"")</f>
        <v/>
      </c>
      <c r="T283">
        <f>INDEX(GCalXMLT[dcaturmasya1],$D283)</f>
        <v>0</v>
      </c>
      <c r="U283">
        <f>INDEX(GCalXMLT[dcaturmasya2],$D283)</f>
        <v>0</v>
      </c>
      <c r="V283" t="str">
        <f>INDEX(GCalXMLT[sankrantirasi],$D283) &amp; " " &amp; INDEX(GCalXMLT[sankrantitime],$D283)</f>
        <v xml:space="preserve"> </v>
      </c>
      <c r="W283" t="str">
        <f ca="1">IFERROR(INDEX('Holidays Calc'!$K$2:$K$233,AR283),"")</f>
        <v/>
      </c>
      <c r="X283" t="str">
        <f ca="1">IF(AR283="","",IF(INDEX('Holidays Calc'!$I$2:$I$233,AR283+1)=A283,INDEX('Holidays Calc'!$K$2:$K$233,AR283+1),""))</f>
        <v/>
      </c>
      <c r="Y283" t="str">
        <f ca="1">IF(AR283="","",IF(INDEX('Holidays Calc'!$I$2:$I$233,AR283+2)=A283,INDEX('Holidays Calc'!$K$2:$K$233,AR283+2),""))</f>
        <v/>
      </c>
      <c r="Z283" t="str">
        <f ca="1">IF(AR283="","",IF(INDEX('Holidays Calc'!$I$2:$I$233,AR283+3)=A283,INDEX('Holidays Calc'!$K$2:$K$2333,AR283+3),""))</f>
        <v/>
      </c>
      <c r="AA283" t="str">
        <f>IF(I283="Last day of Bhisma Pancaka","",IF(G283="*",-0.7,IF(ISBLANK(INDEX(GCalXMLT[dclass1],$D283)),"",INDEX(GCalXMLT[dclass1],$D283))))</f>
        <v/>
      </c>
      <c r="AB283" t="str">
        <f>IF(J283="First day of Bhisma Pancaka","",IF(AND(G283="*",NOT(ISERROR(SEARCH("ekadasi",J283)))),-0.7,IF(ISBLANK(INDEX(GCalXMLT[dclass2],$D283)),"",INDEX(GCalXMLT[dclass2],$D283))))</f>
        <v/>
      </c>
      <c r="AC283" t="str">
        <f>IF(I283="Nandotsava",-1,IF(ISBLANK(INDEX(GCalXMLT[dclass3],$D283)),"",INDEX(GCalXMLT[dclass3],$D283)))</f>
        <v/>
      </c>
      <c r="AD283" t="str">
        <f>IF(I283="Nandotsava",IF(ISBLANK(INDEX(GCalXMLT[dclass3],$D283)),"",INDEX(GCalXMLT[dclass3],$D283)),IF(ISBLANK(INDEX(GCalXMLT[dclass4],$D283)),"",INDEX(GCalXMLT[dclass4],$D283)))</f>
        <v/>
      </c>
      <c r="AE283" t="str">
        <f>IFERROR(INDEX(Festivals!$V$2:$V$160,AP283),"")</f>
        <v/>
      </c>
      <c r="AF283" t="str">
        <f>IFERROR(IF($AQ283&gt;1,INDEX(Festivals!$V$2:$V$160,$AP283+1),""),"")</f>
        <v/>
      </c>
      <c r="AG283" t="str">
        <f>IFERROR(IF($AQ283&gt;2,INDEX(Festivals!$V$2:$V$160,$AP283+2),""),"")</f>
        <v/>
      </c>
      <c r="AH283" t="str">
        <f>IFERROR(IF($AQ283&gt;3,INDEX(Festivals!$V$2:$V$160,$AP283+3),""),"")</f>
        <v/>
      </c>
      <c r="AI283" t="str">
        <f>IFERROR(IF($AQ283&gt;4,INDEX(Festivals!$V$2:$V$160,$AP283+4),""),"")</f>
        <v/>
      </c>
      <c r="AJ283" t="str">
        <f>IFERROR(IF($AQ283&gt;5,INDEX(Festivals!$V$2:$V$160,$AP283+5),""),"")</f>
        <v/>
      </c>
      <c r="AK283" t="str">
        <f>IFERROR(IF($AQ283&gt;6,INDEX(Festivals!$V$2:$V$160,$AP283+6),""),"")</f>
        <v/>
      </c>
      <c r="AL283" t="str">
        <f ca="1">IFERROR(INDEX('Holidays Calc'!$J$2:$J$233,MATCH(A283,'Holidays Calc'!$I$2:$I$233,0)),"")</f>
        <v/>
      </c>
      <c r="AM283" t="str">
        <f ca="1">IF(AR283="","",IF(INDEX('Holidays Calc'!$I$2:$I$233,AR283+1)=A283,INDEX('Holidays Calc'!$J$2:$J$233,AR283+1),""))</f>
        <v/>
      </c>
      <c r="AN283" t="str">
        <f ca="1">IF(AR283="","",IF(INDEX('Holidays Calc'!$I$2:$I$233,AR283+2)=A283,INDEX('Holidays Calc'!$J$2:$J$233,AR283+2),""))</f>
        <v/>
      </c>
      <c r="AO283" t="str">
        <f ca="1">IF(AR283="","",IF(INDEX('Holidays Calc'!$I$2:$I$233,AR283+3)=A283,INDEX('Holidays Calc'!$J$2:$J$233,AR283+3),""))</f>
        <v/>
      </c>
      <c r="AP283" t="str">
        <f>IFERROR(IF($E283=E282,"",MATCH($E283,Festivals!$H$2:$H$160,0)),"")</f>
        <v/>
      </c>
      <c r="AQ283" t="str">
        <f>IF(AP283="","",COUNTIF(Festivals!$H$2:$H$160,$E283))</f>
        <v/>
      </c>
      <c r="AR283" t="str">
        <f ca="1">IFERROR(MATCH(A283,'Holidays Calc'!$I$2:$I$233,0),"")</f>
        <v/>
      </c>
      <c r="AS283" t="str">
        <f t="shared" si="32"/>
        <v/>
      </c>
      <c r="AT283" t="str">
        <f t="shared" si="31"/>
        <v/>
      </c>
      <c r="AU283" t="str">
        <f t="shared" ca="1" si="33"/>
        <v/>
      </c>
      <c r="AV283" t="str">
        <f t="shared" ca="1" si="34"/>
        <v/>
      </c>
    </row>
    <row r="284" spans="1:48" x14ac:dyDescent="0.25">
      <c r="A284" s="265">
        <f t="shared" si="30"/>
        <v>43710</v>
      </c>
      <c r="B284" s="265" t="str">
        <f t="shared" si="35"/>
        <v>2 Sep 2019</v>
      </c>
      <c r="C284" s="267">
        <f t="shared" si="36"/>
        <v>36</v>
      </c>
      <c r="D284">
        <f>MATCH(A284,GCalXMLT[daydate],0)</f>
        <v>283</v>
      </c>
      <c r="E284">
        <f>VALUE("1" &amp; Masacod(INDEX(GCalXMLT[gymasa],D284)) &amp; PaksaCod(INDEX(GCalXMLT[mpaksaid],D284)) &amp; TithiCod(INDEX(GCalXMLT[stithiname],D284)))</f>
        <v>106104</v>
      </c>
      <c r="F284" t="str">
        <f ca="1">INDEX(Parameters!$K$2:$K$16,MATCH(AV284,Parameters!$L$2:$L$16,0))</f>
        <v/>
      </c>
      <c r="G284">
        <f>INDEX(GCalXMLT[fastmark],$D284)</f>
        <v>0</v>
      </c>
      <c r="H284" t="str">
        <f ca="1">INDEX(Parameters!$J$2:$J$16,MATCH(AV284,Parameters!$L$2:$L$16,0))</f>
        <v/>
      </c>
      <c r="I284">
        <f>INDEX(GCalXMLT[dfestival1],$D284)</f>
        <v>0</v>
      </c>
      <c r="J284">
        <f>IF(INDEX(GCalXMLT[dfestival2],$D284)="(Fast today)",INDEX(Festivals!$R$2:$R$180,MATCH($I284,Festivals!$R$2:$R$180,0)+1),INDEX(GCalXMLT[dfestival2],$D284))</f>
        <v>0</v>
      </c>
      <c r="K284">
        <f>IF(I284="Nandotsava","(Fast till noon)",INDEX(GCalXMLT[dfestival3],$D284))</f>
        <v>0</v>
      </c>
      <c r="L284">
        <f>IF(I284="Nandotsava", INDEX(GCalXMLT[dfestival3],$D284),INDEX(GCalXMLT[dfestival4],$D284))</f>
        <v>0</v>
      </c>
      <c r="M284" t="str">
        <f>IFERROR(INDEX(Festivals!$S$2:$S$160,AP284),"")</f>
        <v/>
      </c>
      <c r="N284" t="str">
        <f>IFERROR(IF($AQ284&gt;1,INDEX(Festivals!$S$2:$S$160,$AP284+1),""),"")</f>
        <v/>
      </c>
      <c r="O284" t="str">
        <f>IFERROR(IF($AQ284&gt;2,INDEX(Festivals!$S$2:$S$160,$AP284+2),""),"")</f>
        <v/>
      </c>
      <c r="P284" t="str">
        <f>IFERROR(IF($AQ284&gt;3,INDEX(Festivals!$S$2:$S$160,$AP284+3),""),"")</f>
        <v/>
      </c>
      <c r="Q284" t="str">
        <f>IFERROR(IF($AQ284&gt;4,INDEX(Festivals!$S$2:$S$160,$AP284+4),""),"")</f>
        <v/>
      </c>
      <c r="R284" t="str">
        <f>IFERROR(IF($AQ284&gt;5,INDEX(Festivals!$S$2:$S$160,$AP284+5),""),"")</f>
        <v/>
      </c>
      <c r="S284" t="str">
        <f>IFERROR(IF($AQ284&gt;6,INDEX(Festivals!$S$2:$S$160,$AP284+6),""),"")</f>
        <v/>
      </c>
      <c r="T284">
        <f>INDEX(GCalXMLT[dcaturmasya1],$D284)</f>
        <v>0</v>
      </c>
      <c r="U284">
        <f>INDEX(GCalXMLT[dcaturmasya2],$D284)</f>
        <v>0</v>
      </c>
      <c r="V284" t="str">
        <f>INDEX(GCalXMLT[sankrantirasi],$D284) &amp; " " &amp; INDEX(GCalXMLT[sankrantitime],$D284)</f>
        <v xml:space="preserve"> </v>
      </c>
      <c r="W284" t="str">
        <f ca="1">IFERROR(INDEX('Holidays Calc'!$K$2:$K$233,AR284),"")</f>
        <v/>
      </c>
      <c r="X284" t="str">
        <f ca="1">IF(AR284="","",IF(INDEX('Holidays Calc'!$I$2:$I$233,AR284+1)=A284,INDEX('Holidays Calc'!$K$2:$K$233,AR284+1),""))</f>
        <v/>
      </c>
      <c r="Y284" t="str">
        <f ca="1">IF(AR284="","",IF(INDEX('Holidays Calc'!$I$2:$I$233,AR284+2)=A284,INDEX('Holidays Calc'!$K$2:$K$233,AR284+2),""))</f>
        <v/>
      </c>
      <c r="Z284" t="str">
        <f ca="1">IF(AR284="","",IF(INDEX('Holidays Calc'!$I$2:$I$233,AR284+3)=A284,INDEX('Holidays Calc'!$K$2:$K$2333,AR284+3),""))</f>
        <v/>
      </c>
      <c r="AA284" t="str">
        <f>IF(I284="Last day of Bhisma Pancaka","",IF(G284="*",-0.7,IF(ISBLANK(INDEX(GCalXMLT[dclass1],$D284)),"",INDEX(GCalXMLT[dclass1],$D284))))</f>
        <v/>
      </c>
      <c r="AB284" t="str">
        <f>IF(J284="First day of Bhisma Pancaka","",IF(AND(G284="*",NOT(ISERROR(SEARCH("ekadasi",J284)))),-0.7,IF(ISBLANK(INDEX(GCalXMLT[dclass2],$D284)),"",INDEX(GCalXMLT[dclass2],$D284))))</f>
        <v/>
      </c>
      <c r="AC284" t="str">
        <f>IF(I284="Nandotsava",-1,IF(ISBLANK(INDEX(GCalXMLT[dclass3],$D284)),"",INDEX(GCalXMLT[dclass3],$D284)))</f>
        <v/>
      </c>
      <c r="AD284" t="str">
        <f>IF(I284="Nandotsava",IF(ISBLANK(INDEX(GCalXMLT[dclass3],$D284)),"",INDEX(GCalXMLT[dclass3],$D284)),IF(ISBLANK(INDEX(GCalXMLT[dclass4],$D284)),"",INDEX(GCalXMLT[dclass4],$D284)))</f>
        <v/>
      </c>
      <c r="AE284" t="str">
        <f>IFERROR(INDEX(Festivals!$V$2:$V$160,AP284),"")</f>
        <v/>
      </c>
      <c r="AF284" t="str">
        <f>IFERROR(IF($AQ284&gt;1,INDEX(Festivals!$V$2:$V$160,$AP284+1),""),"")</f>
        <v/>
      </c>
      <c r="AG284" t="str">
        <f>IFERROR(IF($AQ284&gt;2,INDEX(Festivals!$V$2:$V$160,$AP284+2),""),"")</f>
        <v/>
      </c>
      <c r="AH284" t="str">
        <f>IFERROR(IF($AQ284&gt;3,INDEX(Festivals!$V$2:$V$160,$AP284+3),""),"")</f>
        <v/>
      </c>
      <c r="AI284" t="str">
        <f>IFERROR(IF($AQ284&gt;4,INDEX(Festivals!$V$2:$V$160,$AP284+4),""),"")</f>
        <v/>
      </c>
      <c r="AJ284" t="str">
        <f>IFERROR(IF($AQ284&gt;5,INDEX(Festivals!$V$2:$V$160,$AP284+5),""),"")</f>
        <v/>
      </c>
      <c r="AK284" t="str">
        <f>IFERROR(IF($AQ284&gt;6,INDEX(Festivals!$V$2:$V$160,$AP284+6),""),"")</f>
        <v/>
      </c>
      <c r="AL284" t="str">
        <f ca="1">IFERROR(INDEX('Holidays Calc'!$J$2:$J$233,MATCH(A284,'Holidays Calc'!$I$2:$I$233,0)),"")</f>
        <v/>
      </c>
      <c r="AM284" t="str">
        <f ca="1">IF(AR284="","",IF(INDEX('Holidays Calc'!$I$2:$I$233,AR284+1)=A284,INDEX('Holidays Calc'!$J$2:$J$233,AR284+1),""))</f>
        <v/>
      </c>
      <c r="AN284" t="str">
        <f ca="1">IF(AR284="","",IF(INDEX('Holidays Calc'!$I$2:$I$233,AR284+2)=A284,INDEX('Holidays Calc'!$J$2:$J$233,AR284+2),""))</f>
        <v/>
      </c>
      <c r="AO284" t="str">
        <f ca="1">IF(AR284="","",IF(INDEX('Holidays Calc'!$I$2:$I$233,AR284+3)=A284,INDEX('Holidays Calc'!$J$2:$J$233,AR284+3),""))</f>
        <v/>
      </c>
      <c r="AP284" t="str">
        <f>IFERROR(IF($E284=E283,"",MATCH($E284,Festivals!$H$2:$H$160,0)),"")</f>
        <v/>
      </c>
      <c r="AQ284" t="str">
        <f>IF(AP284="","",COUNTIF(Festivals!$H$2:$H$160,$E284))</f>
        <v/>
      </c>
      <c r="AR284" t="str">
        <f ca="1">IFERROR(MATCH(A284,'Holidays Calc'!$I$2:$I$233,0),"")</f>
        <v/>
      </c>
      <c r="AS284" t="str">
        <f t="shared" si="32"/>
        <v/>
      </c>
      <c r="AT284" t="str">
        <f t="shared" si="31"/>
        <v/>
      </c>
      <c r="AU284" t="str">
        <f t="shared" ca="1" si="33"/>
        <v/>
      </c>
      <c r="AV284" t="str">
        <f t="shared" ca="1" si="34"/>
        <v/>
      </c>
    </row>
    <row r="285" spans="1:48" x14ac:dyDescent="0.25">
      <c r="A285" s="265">
        <f t="shared" si="30"/>
        <v>43711</v>
      </c>
      <c r="B285" s="265" t="str">
        <f t="shared" si="35"/>
        <v>3 Sep 2019</v>
      </c>
      <c r="C285" s="267">
        <f t="shared" si="36"/>
        <v>36</v>
      </c>
      <c r="D285">
        <f>MATCH(A285,GCalXMLT[daydate],0)</f>
        <v>284</v>
      </c>
      <c r="E285">
        <f>VALUE("1" &amp; Masacod(INDEX(GCalXMLT[gymasa],D285)) &amp; PaksaCod(INDEX(GCalXMLT[mpaksaid],D285)) &amp; TithiCod(INDEX(GCalXMLT[stithiname],D285)))</f>
        <v>106105</v>
      </c>
      <c r="F285" t="str">
        <f ca="1">INDEX(Parameters!$K$2:$K$16,MATCH(AV285,Parameters!$L$2:$L$16,0))</f>
        <v>C</v>
      </c>
      <c r="G285">
        <f>INDEX(GCalXMLT[fastmark],$D285)</f>
        <v>0</v>
      </c>
      <c r="H285" t="str">
        <f ca="1">INDEX(Parameters!$J$2:$J$16,MATCH(AV285,Parameters!$L$2:$L$16,0))</f>
        <v/>
      </c>
      <c r="I285">
        <f>INDEX(GCalXMLT[dfestival1],$D285)</f>
        <v>0</v>
      </c>
      <c r="J285">
        <f>IF(INDEX(GCalXMLT[dfestival2],$D285)="(Fast today)",INDEX(Festivals!$R$2:$R$180,MATCH($I285,Festivals!$R$2:$R$180,0)+1),INDEX(GCalXMLT[dfestival2],$D285))</f>
        <v>0</v>
      </c>
      <c r="K285">
        <f>IF(I285="Nandotsava","(Fast till noon)",INDEX(GCalXMLT[dfestival3],$D285))</f>
        <v>0</v>
      </c>
      <c r="L285">
        <f>IF(I285="Nandotsava", INDEX(GCalXMLT[dfestival3],$D285),INDEX(GCalXMLT[dfestival4],$D285))</f>
        <v>0</v>
      </c>
      <c r="M285" t="str">
        <f>IFERROR(INDEX(Festivals!$S$2:$S$160,AP285),"")</f>
        <v>Srimati Sita Thakurani (Sri Advaita's consort) - Appearance</v>
      </c>
      <c r="N285" t="str">
        <f>IFERROR(IF($AQ285&gt;1,INDEX(Festivals!$S$2:$S$160,$AP285+1),""),"")</f>
        <v/>
      </c>
      <c r="O285" t="str">
        <f>IFERROR(IF($AQ285&gt;2,INDEX(Festivals!$S$2:$S$160,$AP285+2),""),"")</f>
        <v/>
      </c>
      <c r="P285" t="str">
        <f>IFERROR(IF($AQ285&gt;3,INDEX(Festivals!$S$2:$S$160,$AP285+3),""),"")</f>
        <v/>
      </c>
      <c r="Q285" t="str">
        <f>IFERROR(IF($AQ285&gt;4,INDEX(Festivals!$S$2:$S$160,$AP285+4),""),"")</f>
        <v/>
      </c>
      <c r="R285" t="str">
        <f>IFERROR(IF($AQ285&gt;5,INDEX(Festivals!$S$2:$S$160,$AP285+5),""),"")</f>
        <v/>
      </c>
      <c r="S285" t="str">
        <f>IFERROR(IF($AQ285&gt;6,INDEX(Festivals!$S$2:$S$160,$AP285+6),""),"")</f>
        <v/>
      </c>
      <c r="T285">
        <f>INDEX(GCalXMLT[dcaturmasya1],$D285)</f>
        <v>0</v>
      </c>
      <c r="U285">
        <f>INDEX(GCalXMLT[dcaturmasya2],$D285)</f>
        <v>0</v>
      </c>
      <c r="V285" t="str">
        <f>INDEX(GCalXMLT[sankrantirasi],$D285) &amp; " " &amp; INDEX(GCalXMLT[sankrantitime],$D285)</f>
        <v xml:space="preserve"> </v>
      </c>
      <c r="W285" t="str">
        <f ca="1">IFERROR(INDEX('Holidays Calc'!$K$2:$K$233,AR285),"")</f>
        <v/>
      </c>
      <c r="X285" t="str">
        <f ca="1">IF(AR285="","",IF(INDEX('Holidays Calc'!$I$2:$I$233,AR285+1)=A285,INDEX('Holidays Calc'!$K$2:$K$233,AR285+1),""))</f>
        <v/>
      </c>
      <c r="Y285" t="str">
        <f ca="1">IF(AR285="","",IF(INDEX('Holidays Calc'!$I$2:$I$233,AR285+2)=A285,INDEX('Holidays Calc'!$K$2:$K$233,AR285+2),""))</f>
        <v/>
      </c>
      <c r="Z285" t="str">
        <f ca="1">IF(AR285="","",IF(INDEX('Holidays Calc'!$I$2:$I$233,AR285+3)=A285,INDEX('Holidays Calc'!$K$2:$K$2333,AR285+3),""))</f>
        <v/>
      </c>
      <c r="AA285" t="str">
        <f>IF(I285="Last day of Bhisma Pancaka","",IF(G285="*",-0.7,IF(ISBLANK(INDEX(GCalXMLT[dclass1],$D285)),"",INDEX(GCalXMLT[dclass1],$D285))))</f>
        <v/>
      </c>
      <c r="AB285" t="str">
        <f>IF(J285="First day of Bhisma Pancaka","",IF(AND(G285="*",NOT(ISERROR(SEARCH("ekadasi",J285)))),-0.7,IF(ISBLANK(INDEX(GCalXMLT[dclass2],$D285)),"",INDEX(GCalXMLT[dclass2],$D285))))</f>
        <v/>
      </c>
      <c r="AC285" t="str">
        <f>IF(I285="Nandotsava",-1,IF(ISBLANK(INDEX(GCalXMLT[dclass3],$D285)),"",INDEX(GCalXMLT[dclass3],$D285)))</f>
        <v/>
      </c>
      <c r="AD285" t="str">
        <f>IF(I285="Nandotsava",IF(ISBLANK(INDEX(GCalXMLT[dclass3],$D285)),"",INDEX(GCalXMLT[dclass3],$D285)),IF(ISBLANK(INDEX(GCalXMLT[dclass4],$D285)),"",INDEX(GCalXMLT[dclass4],$D285)))</f>
        <v/>
      </c>
      <c r="AE285">
        <f>IFERROR(INDEX(Festivals!$V$2:$V$160,AP285),"")</f>
        <v>3</v>
      </c>
      <c r="AF285" t="str">
        <f>IFERROR(IF($AQ285&gt;1,INDEX(Festivals!$V$2:$V$160,$AP285+1),""),"")</f>
        <v/>
      </c>
      <c r="AG285" t="str">
        <f>IFERROR(IF($AQ285&gt;2,INDEX(Festivals!$V$2:$V$160,$AP285+2),""),"")</f>
        <v/>
      </c>
      <c r="AH285" t="str">
        <f>IFERROR(IF($AQ285&gt;3,INDEX(Festivals!$V$2:$V$160,$AP285+3),""),"")</f>
        <v/>
      </c>
      <c r="AI285" t="str">
        <f>IFERROR(IF($AQ285&gt;4,INDEX(Festivals!$V$2:$V$160,$AP285+4),""),"")</f>
        <v/>
      </c>
      <c r="AJ285" t="str">
        <f>IFERROR(IF($AQ285&gt;5,INDEX(Festivals!$V$2:$V$160,$AP285+5),""),"")</f>
        <v/>
      </c>
      <c r="AK285" t="str">
        <f>IFERROR(IF($AQ285&gt;6,INDEX(Festivals!$V$2:$V$160,$AP285+6),""),"")</f>
        <v/>
      </c>
      <c r="AL285" t="str">
        <f ca="1">IFERROR(INDEX('Holidays Calc'!$J$2:$J$233,MATCH(A285,'Holidays Calc'!$I$2:$I$233,0)),"")</f>
        <v/>
      </c>
      <c r="AM285" t="str">
        <f ca="1">IF(AR285="","",IF(INDEX('Holidays Calc'!$I$2:$I$233,AR285+1)=A285,INDEX('Holidays Calc'!$J$2:$J$233,AR285+1),""))</f>
        <v/>
      </c>
      <c r="AN285" t="str">
        <f ca="1">IF(AR285="","",IF(INDEX('Holidays Calc'!$I$2:$I$233,AR285+2)=A285,INDEX('Holidays Calc'!$J$2:$J$233,AR285+2),""))</f>
        <v/>
      </c>
      <c r="AO285" t="str">
        <f ca="1">IF(AR285="","",IF(INDEX('Holidays Calc'!$I$2:$I$233,AR285+3)=A285,INDEX('Holidays Calc'!$J$2:$J$233,AR285+3),""))</f>
        <v/>
      </c>
      <c r="AP285">
        <f>IFERROR(IF($E285=E284,"",MATCH($E285,Festivals!$H$2:$H$160,0)),"")</f>
        <v>58</v>
      </c>
      <c r="AQ285">
        <f>IF(AP285="","",COUNTIF(Festivals!$H$2:$H$160,$E285))</f>
        <v>1</v>
      </c>
      <c r="AR285" t="str">
        <f ca="1">IFERROR(MATCH(A285,'Holidays Calc'!$I$2:$I$233,0),"")</f>
        <v/>
      </c>
      <c r="AS285">
        <f t="shared" si="32"/>
        <v>3</v>
      </c>
      <c r="AT285">
        <f t="shared" si="31"/>
        <v>3</v>
      </c>
      <c r="AU285" t="str">
        <f t="shared" ca="1" si="33"/>
        <v/>
      </c>
      <c r="AV285">
        <f t="shared" ca="1" si="34"/>
        <v>3</v>
      </c>
    </row>
    <row r="286" spans="1:48" x14ac:dyDescent="0.25">
      <c r="A286" s="265">
        <f t="shared" si="30"/>
        <v>43712</v>
      </c>
      <c r="B286" s="265" t="str">
        <f t="shared" si="35"/>
        <v>4 Sep 2019</v>
      </c>
      <c r="C286" s="267">
        <f t="shared" si="36"/>
        <v>36</v>
      </c>
      <c r="D286">
        <f>MATCH(A286,GCalXMLT[daydate],0)</f>
        <v>285</v>
      </c>
      <c r="E286">
        <f>VALUE("1" &amp; Masacod(INDEX(GCalXMLT[gymasa],D286)) &amp; PaksaCod(INDEX(GCalXMLT[mpaksaid],D286)) &amp; TithiCod(INDEX(GCalXMLT[stithiname],D286)))</f>
        <v>106106</v>
      </c>
      <c r="F286" t="str">
        <f ca="1">INDEX(Parameters!$K$2:$K$16,MATCH(AV286,Parameters!$L$2:$L$16,0))</f>
        <v>C</v>
      </c>
      <c r="G286">
        <f>INDEX(GCalXMLT[fastmark],$D286)</f>
        <v>0</v>
      </c>
      <c r="H286" t="str">
        <f ca="1">INDEX(Parameters!$J$2:$J$16,MATCH(AV286,Parameters!$L$2:$L$16,0))</f>
        <v/>
      </c>
      <c r="I286">
        <f>INDEX(GCalXMLT[dfestival1],$D286)</f>
        <v>0</v>
      </c>
      <c r="J286">
        <f>IF(INDEX(GCalXMLT[dfestival2],$D286)="(Fast today)",INDEX(Festivals!$R$2:$R$180,MATCH($I286,Festivals!$R$2:$R$180,0)+1),INDEX(GCalXMLT[dfestival2],$D286))</f>
        <v>0</v>
      </c>
      <c r="K286">
        <f>IF(I286="Nandotsava","(Fast till noon)",INDEX(GCalXMLT[dfestival3],$D286))</f>
        <v>0</v>
      </c>
      <c r="L286">
        <f>IF(I286="Nandotsava", INDEX(GCalXMLT[dfestival3],$D286),INDEX(GCalXMLT[dfestival4],$D286))</f>
        <v>0</v>
      </c>
      <c r="M286" t="str">
        <f>IFERROR(INDEX(Festivals!$S$2:$S$160,AP286),"")</f>
        <v>Lalita sasti</v>
      </c>
      <c r="N286" t="str">
        <f>IFERROR(IF($AQ286&gt;1,INDEX(Festivals!$S$2:$S$160,$AP286+1),""),"")</f>
        <v/>
      </c>
      <c r="O286" t="str">
        <f>IFERROR(IF($AQ286&gt;2,INDEX(Festivals!$S$2:$S$160,$AP286+2),""),"")</f>
        <v/>
      </c>
      <c r="P286" t="str">
        <f>IFERROR(IF($AQ286&gt;3,INDEX(Festivals!$S$2:$S$160,$AP286+3),""),"")</f>
        <v/>
      </c>
      <c r="Q286" t="str">
        <f>IFERROR(IF($AQ286&gt;4,INDEX(Festivals!$S$2:$S$160,$AP286+4),""),"")</f>
        <v/>
      </c>
      <c r="R286" t="str">
        <f>IFERROR(IF($AQ286&gt;5,INDEX(Festivals!$S$2:$S$160,$AP286+5),""),"")</f>
        <v/>
      </c>
      <c r="S286" t="str">
        <f>IFERROR(IF($AQ286&gt;6,INDEX(Festivals!$S$2:$S$160,$AP286+6),""),"")</f>
        <v/>
      </c>
      <c r="T286">
        <f>INDEX(GCalXMLT[dcaturmasya1],$D286)</f>
        <v>0</v>
      </c>
      <c r="U286">
        <f>INDEX(GCalXMLT[dcaturmasya2],$D286)</f>
        <v>0</v>
      </c>
      <c r="V286" t="str">
        <f>INDEX(GCalXMLT[sankrantirasi],$D286) &amp; " " &amp; INDEX(GCalXMLT[sankrantitime],$D286)</f>
        <v xml:space="preserve"> </v>
      </c>
      <c r="W286" t="str">
        <f ca="1">IFERROR(INDEX('Holidays Calc'!$K$2:$K$233,AR286),"")</f>
        <v/>
      </c>
      <c r="X286" t="str">
        <f ca="1">IF(AR286="","",IF(INDEX('Holidays Calc'!$I$2:$I$233,AR286+1)=A286,INDEX('Holidays Calc'!$K$2:$K$233,AR286+1),""))</f>
        <v/>
      </c>
      <c r="Y286" t="str">
        <f ca="1">IF(AR286="","",IF(INDEX('Holidays Calc'!$I$2:$I$233,AR286+2)=A286,INDEX('Holidays Calc'!$K$2:$K$233,AR286+2),""))</f>
        <v/>
      </c>
      <c r="Z286" t="str">
        <f ca="1">IF(AR286="","",IF(INDEX('Holidays Calc'!$I$2:$I$233,AR286+3)=A286,INDEX('Holidays Calc'!$K$2:$K$2333,AR286+3),""))</f>
        <v/>
      </c>
      <c r="AA286" t="str">
        <f>IF(I286="Last day of Bhisma Pancaka","",IF(G286="*",-0.7,IF(ISBLANK(INDEX(GCalXMLT[dclass1],$D286)),"",INDEX(GCalXMLT[dclass1],$D286))))</f>
        <v/>
      </c>
      <c r="AB286" t="str">
        <f>IF(J286="First day of Bhisma Pancaka","",IF(AND(G286="*",NOT(ISERROR(SEARCH("ekadasi",J286)))),-0.7,IF(ISBLANK(INDEX(GCalXMLT[dclass2],$D286)),"",INDEX(GCalXMLT[dclass2],$D286))))</f>
        <v/>
      </c>
      <c r="AC286" t="str">
        <f>IF(I286="Nandotsava",-1,IF(ISBLANK(INDEX(GCalXMLT[dclass3],$D286)),"",INDEX(GCalXMLT[dclass3],$D286)))</f>
        <v/>
      </c>
      <c r="AD286" t="str">
        <f>IF(I286="Nandotsava",IF(ISBLANK(INDEX(GCalXMLT[dclass3],$D286)),"",INDEX(GCalXMLT[dclass3],$D286)),IF(ISBLANK(INDEX(GCalXMLT[dclass4],$D286)),"",INDEX(GCalXMLT[dclass4],$D286)))</f>
        <v/>
      </c>
      <c r="AE286">
        <f>IFERROR(INDEX(Festivals!$V$2:$V$160,AP286),"")</f>
        <v>1</v>
      </c>
      <c r="AF286" t="str">
        <f>IFERROR(IF($AQ286&gt;1,INDEX(Festivals!$V$2:$V$160,$AP286+1),""),"")</f>
        <v/>
      </c>
      <c r="AG286" t="str">
        <f>IFERROR(IF($AQ286&gt;2,INDEX(Festivals!$V$2:$V$160,$AP286+2),""),"")</f>
        <v/>
      </c>
      <c r="AH286" t="str">
        <f>IFERROR(IF($AQ286&gt;3,INDEX(Festivals!$V$2:$V$160,$AP286+3),""),"")</f>
        <v/>
      </c>
      <c r="AI286" t="str">
        <f>IFERROR(IF($AQ286&gt;4,INDEX(Festivals!$V$2:$V$160,$AP286+4),""),"")</f>
        <v/>
      </c>
      <c r="AJ286" t="str">
        <f>IFERROR(IF($AQ286&gt;5,INDEX(Festivals!$V$2:$V$160,$AP286+5),""),"")</f>
        <v/>
      </c>
      <c r="AK286" t="str">
        <f>IFERROR(IF($AQ286&gt;6,INDEX(Festivals!$V$2:$V$160,$AP286+6),""),"")</f>
        <v/>
      </c>
      <c r="AL286" t="str">
        <f ca="1">IFERROR(INDEX('Holidays Calc'!$J$2:$J$233,MATCH(A286,'Holidays Calc'!$I$2:$I$233,0)),"")</f>
        <v/>
      </c>
      <c r="AM286" t="str">
        <f ca="1">IF(AR286="","",IF(INDEX('Holidays Calc'!$I$2:$I$233,AR286+1)=A286,INDEX('Holidays Calc'!$J$2:$J$233,AR286+1),""))</f>
        <v/>
      </c>
      <c r="AN286" t="str">
        <f ca="1">IF(AR286="","",IF(INDEX('Holidays Calc'!$I$2:$I$233,AR286+2)=A286,INDEX('Holidays Calc'!$J$2:$J$233,AR286+2),""))</f>
        <v/>
      </c>
      <c r="AO286" t="str">
        <f ca="1">IF(AR286="","",IF(INDEX('Holidays Calc'!$I$2:$I$233,AR286+3)=A286,INDEX('Holidays Calc'!$J$2:$J$233,AR286+3),""))</f>
        <v/>
      </c>
      <c r="AP286">
        <f>IFERROR(IF($E286=E285,"",MATCH($E286,Festivals!$H$2:$H$160,0)),"")</f>
        <v>59</v>
      </c>
      <c r="AQ286">
        <f>IF(AP286="","",COUNTIF(Festivals!$H$2:$H$160,$E286))</f>
        <v>1</v>
      </c>
      <c r="AR286" t="str">
        <f ca="1">IFERROR(MATCH(A286,'Holidays Calc'!$I$2:$I$233,0),"")</f>
        <v/>
      </c>
      <c r="AS286">
        <f t="shared" si="32"/>
        <v>1</v>
      </c>
      <c r="AT286">
        <f t="shared" si="31"/>
        <v>1</v>
      </c>
      <c r="AU286" t="str">
        <f t="shared" ca="1" si="33"/>
        <v/>
      </c>
      <c r="AV286">
        <f t="shared" ca="1" si="34"/>
        <v>1</v>
      </c>
    </row>
    <row r="287" spans="1:48" x14ac:dyDescent="0.25">
      <c r="A287" s="265">
        <f t="shared" si="30"/>
        <v>43713</v>
      </c>
      <c r="B287" s="265" t="str">
        <f t="shared" si="35"/>
        <v>5 Sep 2019</v>
      </c>
      <c r="C287" s="267">
        <f t="shared" si="36"/>
        <v>36</v>
      </c>
      <c r="D287">
        <f>MATCH(A287,GCalXMLT[daydate],0)</f>
        <v>286</v>
      </c>
      <c r="E287">
        <f>VALUE("1" &amp; Masacod(INDEX(GCalXMLT[gymasa],D287)) &amp; PaksaCod(INDEX(GCalXMLT[mpaksaid],D287)) &amp; TithiCod(INDEX(GCalXMLT[stithiname],D287)))</f>
        <v>106107</v>
      </c>
      <c r="F287" t="str">
        <f ca="1">INDEX(Parameters!$K$2:$K$16,MATCH(AV287,Parameters!$L$2:$L$16,0))</f>
        <v/>
      </c>
      <c r="G287">
        <f>INDEX(GCalXMLT[fastmark],$D287)</f>
        <v>0</v>
      </c>
      <c r="H287" t="str">
        <f ca="1">INDEX(Parameters!$J$2:$J$16,MATCH(AV287,Parameters!$L$2:$L$16,0))</f>
        <v/>
      </c>
      <c r="I287">
        <f>INDEX(GCalXMLT[dfestival1],$D287)</f>
        <v>0</v>
      </c>
      <c r="J287">
        <f>IF(INDEX(GCalXMLT[dfestival2],$D287)="(Fast today)",INDEX(Festivals!$R$2:$R$180,MATCH($I287,Festivals!$R$2:$R$180,0)+1),INDEX(GCalXMLT[dfestival2],$D287))</f>
        <v>0</v>
      </c>
      <c r="K287">
        <f>IF(I287="Nandotsava","(Fast till noon)",INDEX(GCalXMLT[dfestival3],$D287))</f>
        <v>0</v>
      </c>
      <c r="L287">
        <f>IF(I287="Nandotsava", INDEX(GCalXMLT[dfestival3],$D287),INDEX(GCalXMLT[dfestival4],$D287))</f>
        <v>0</v>
      </c>
      <c r="M287" t="str">
        <f>IFERROR(INDEX(Festivals!$S$2:$S$160,AP287),"")</f>
        <v/>
      </c>
      <c r="N287" t="str">
        <f>IFERROR(IF($AQ287&gt;1,INDEX(Festivals!$S$2:$S$160,$AP287+1),""),"")</f>
        <v/>
      </c>
      <c r="O287" t="str">
        <f>IFERROR(IF($AQ287&gt;2,INDEX(Festivals!$S$2:$S$160,$AP287+2),""),"")</f>
        <v/>
      </c>
      <c r="P287" t="str">
        <f>IFERROR(IF($AQ287&gt;3,INDEX(Festivals!$S$2:$S$160,$AP287+3),""),"")</f>
        <v/>
      </c>
      <c r="Q287" t="str">
        <f>IFERROR(IF($AQ287&gt;4,INDEX(Festivals!$S$2:$S$160,$AP287+4),""),"")</f>
        <v/>
      </c>
      <c r="R287" t="str">
        <f>IFERROR(IF($AQ287&gt;5,INDEX(Festivals!$S$2:$S$160,$AP287+5),""),"")</f>
        <v/>
      </c>
      <c r="S287" t="str">
        <f>IFERROR(IF($AQ287&gt;6,INDEX(Festivals!$S$2:$S$160,$AP287+6),""),"")</f>
        <v/>
      </c>
      <c r="T287">
        <f>INDEX(GCalXMLT[dcaturmasya1],$D287)</f>
        <v>0</v>
      </c>
      <c r="U287">
        <f>INDEX(GCalXMLT[dcaturmasya2],$D287)</f>
        <v>0</v>
      </c>
      <c r="V287" t="str">
        <f>INDEX(GCalXMLT[sankrantirasi],$D287) &amp; " " &amp; INDEX(GCalXMLT[sankrantitime],$D287)</f>
        <v xml:space="preserve"> </v>
      </c>
      <c r="W287" t="str">
        <f ca="1">IFERROR(INDEX('Holidays Calc'!$K$2:$K$233,AR287),"")</f>
        <v/>
      </c>
      <c r="X287" t="str">
        <f ca="1">IF(AR287="","",IF(INDEX('Holidays Calc'!$I$2:$I$233,AR287+1)=A287,INDEX('Holidays Calc'!$K$2:$K$233,AR287+1),""))</f>
        <v/>
      </c>
      <c r="Y287" t="str">
        <f ca="1">IF(AR287="","",IF(INDEX('Holidays Calc'!$I$2:$I$233,AR287+2)=A287,INDEX('Holidays Calc'!$K$2:$K$233,AR287+2),""))</f>
        <v/>
      </c>
      <c r="Z287" t="str">
        <f ca="1">IF(AR287="","",IF(INDEX('Holidays Calc'!$I$2:$I$233,AR287+3)=A287,INDEX('Holidays Calc'!$K$2:$K$2333,AR287+3),""))</f>
        <v/>
      </c>
      <c r="AA287" t="str">
        <f>IF(I287="Last day of Bhisma Pancaka","",IF(G287="*",-0.7,IF(ISBLANK(INDEX(GCalXMLT[dclass1],$D287)),"",INDEX(GCalXMLT[dclass1],$D287))))</f>
        <v/>
      </c>
      <c r="AB287" t="str">
        <f>IF(J287="First day of Bhisma Pancaka","",IF(AND(G287="*",NOT(ISERROR(SEARCH("ekadasi",J287)))),-0.7,IF(ISBLANK(INDEX(GCalXMLT[dclass2],$D287)),"",INDEX(GCalXMLT[dclass2],$D287))))</f>
        <v/>
      </c>
      <c r="AC287" t="str">
        <f>IF(I287="Nandotsava",-1,IF(ISBLANK(INDEX(GCalXMLT[dclass3],$D287)),"",INDEX(GCalXMLT[dclass3],$D287)))</f>
        <v/>
      </c>
      <c r="AD287" t="str">
        <f>IF(I287="Nandotsava",IF(ISBLANK(INDEX(GCalXMLT[dclass3],$D287)),"",INDEX(GCalXMLT[dclass3],$D287)),IF(ISBLANK(INDEX(GCalXMLT[dclass4],$D287)),"",INDEX(GCalXMLT[dclass4],$D287)))</f>
        <v/>
      </c>
      <c r="AE287" t="str">
        <f>IFERROR(INDEX(Festivals!$V$2:$V$160,AP287),"")</f>
        <v/>
      </c>
      <c r="AF287" t="str">
        <f>IFERROR(IF($AQ287&gt;1,INDEX(Festivals!$V$2:$V$160,$AP287+1),""),"")</f>
        <v/>
      </c>
      <c r="AG287" t="str">
        <f>IFERROR(IF($AQ287&gt;2,INDEX(Festivals!$V$2:$V$160,$AP287+2),""),"")</f>
        <v/>
      </c>
      <c r="AH287" t="str">
        <f>IFERROR(IF($AQ287&gt;3,INDEX(Festivals!$V$2:$V$160,$AP287+3),""),"")</f>
        <v/>
      </c>
      <c r="AI287" t="str">
        <f>IFERROR(IF($AQ287&gt;4,INDEX(Festivals!$V$2:$V$160,$AP287+4),""),"")</f>
        <v/>
      </c>
      <c r="AJ287" t="str">
        <f>IFERROR(IF($AQ287&gt;5,INDEX(Festivals!$V$2:$V$160,$AP287+5),""),"")</f>
        <v/>
      </c>
      <c r="AK287" t="str">
        <f>IFERROR(IF($AQ287&gt;6,INDEX(Festivals!$V$2:$V$160,$AP287+6),""),"")</f>
        <v/>
      </c>
      <c r="AL287" t="str">
        <f ca="1">IFERROR(INDEX('Holidays Calc'!$J$2:$J$233,MATCH(A287,'Holidays Calc'!$I$2:$I$233,0)),"")</f>
        <v/>
      </c>
      <c r="AM287" t="str">
        <f ca="1">IF(AR287="","",IF(INDEX('Holidays Calc'!$I$2:$I$233,AR287+1)=A287,INDEX('Holidays Calc'!$J$2:$J$233,AR287+1),""))</f>
        <v/>
      </c>
      <c r="AN287" t="str">
        <f ca="1">IF(AR287="","",IF(INDEX('Holidays Calc'!$I$2:$I$233,AR287+2)=A287,INDEX('Holidays Calc'!$J$2:$J$233,AR287+2),""))</f>
        <v/>
      </c>
      <c r="AO287" t="str">
        <f ca="1">IF(AR287="","",IF(INDEX('Holidays Calc'!$I$2:$I$233,AR287+3)=A287,INDEX('Holidays Calc'!$J$2:$J$233,AR287+3),""))</f>
        <v/>
      </c>
      <c r="AP287" t="str">
        <f>IFERROR(IF($E287=E286,"",MATCH($E287,Festivals!$H$2:$H$160,0)),"")</f>
        <v/>
      </c>
      <c r="AQ287" t="str">
        <f>IF(AP287="","",COUNTIF(Festivals!$H$2:$H$160,$E287))</f>
        <v/>
      </c>
      <c r="AR287" t="str">
        <f ca="1">IFERROR(MATCH(A287,'Holidays Calc'!$I$2:$I$233,0),"")</f>
        <v/>
      </c>
      <c r="AS287" t="str">
        <f t="shared" si="32"/>
        <v/>
      </c>
      <c r="AT287" t="str">
        <f t="shared" si="31"/>
        <v/>
      </c>
      <c r="AU287" t="str">
        <f t="shared" ca="1" si="33"/>
        <v/>
      </c>
      <c r="AV287" t="str">
        <f t="shared" ca="1" si="34"/>
        <v/>
      </c>
    </row>
    <row r="288" spans="1:48" x14ac:dyDescent="0.25">
      <c r="A288" s="265">
        <f t="shared" si="30"/>
        <v>43714</v>
      </c>
      <c r="B288" s="265" t="str">
        <f t="shared" si="35"/>
        <v>6 Sep 2019</v>
      </c>
      <c r="C288" s="267">
        <f t="shared" si="36"/>
        <v>36</v>
      </c>
      <c r="D288">
        <f>MATCH(A288,GCalXMLT[daydate],0)</f>
        <v>287</v>
      </c>
      <c r="E288">
        <f>VALUE("1" &amp; Masacod(INDEX(GCalXMLT[gymasa],D288)) &amp; PaksaCod(INDEX(GCalXMLT[mpaksaid],D288)) &amp; TithiCod(INDEX(GCalXMLT[stithiname],D288)))</f>
        <v>106108</v>
      </c>
      <c r="F288" t="str">
        <f ca="1">INDEX(Parameters!$K$2:$K$16,MATCH(AV288,Parameters!$L$2:$L$16,0))</f>
        <v>P</v>
      </c>
      <c r="G288">
        <f>INDEX(GCalXMLT[fastmark],$D288)</f>
        <v>0</v>
      </c>
      <c r="H288" t="str">
        <f ca="1">INDEX(Parameters!$J$2:$J$16,MATCH(AV288,Parameters!$L$2:$L$16,0))</f>
        <v>*</v>
      </c>
      <c r="I288">
        <f>INDEX(GCalXMLT[dfestival1],$D288)</f>
        <v>0</v>
      </c>
      <c r="J288">
        <f>IF(INDEX(GCalXMLT[dfestival2],$D288)="(Fast today)",INDEX(Festivals!$R$2:$R$180,MATCH($I288,Festivals!$R$2:$R$180,0)+1),INDEX(GCalXMLT[dfestival2],$D288))</f>
        <v>0</v>
      </c>
      <c r="K288">
        <f>IF(I288="Nandotsava","(Fast till noon)",INDEX(GCalXMLT[dfestival3],$D288))</f>
        <v>0</v>
      </c>
      <c r="L288">
        <f>IF(I288="Nandotsava", INDEX(GCalXMLT[dfestival3],$D288),INDEX(GCalXMLT[dfestival4],$D288))</f>
        <v>0</v>
      </c>
      <c r="M288" t="str">
        <f>IFERROR(INDEX(Festivals!$S$2:$S$160,AP288),"")</f>
        <v>Radhastami: Appearance of Srimati Radharani</v>
      </c>
      <c r="N288" t="str">
        <f>IFERROR(IF($AQ288&gt;1,INDEX(Festivals!$S$2:$S$160,$AP288+1),""),"")</f>
        <v>(Fast till noon)</v>
      </c>
      <c r="O288" t="str">
        <f>IFERROR(IF($AQ288&gt;2,INDEX(Festivals!$S$2:$S$160,$AP288+2),""),"")</f>
        <v/>
      </c>
      <c r="P288" t="str">
        <f>IFERROR(IF($AQ288&gt;3,INDEX(Festivals!$S$2:$S$160,$AP288+3),""),"")</f>
        <v/>
      </c>
      <c r="Q288" t="str">
        <f>IFERROR(IF($AQ288&gt;4,INDEX(Festivals!$S$2:$S$160,$AP288+4),""),"")</f>
        <v/>
      </c>
      <c r="R288" t="str">
        <f>IFERROR(IF($AQ288&gt;5,INDEX(Festivals!$S$2:$S$160,$AP288+5),""),"")</f>
        <v/>
      </c>
      <c r="S288" t="str">
        <f>IFERROR(IF($AQ288&gt;6,INDEX(Festivals!$S$2:$S$160,$AP288+6),""),"")</f>
        <v/>
      </c>
      <c r="T288">
        <f>INDEX(GCalXMLT[dcaturmasya1],$D288)</f>
        <v>0</v>
      </c>
      <c r="U288">
        <f>INDEX(GCalXMLT[dcaturmasya2],$D288)</f>
        <v>0</v>
      </c>
      <c r="V288" t="str">
        <f>INDEX(GCalXMLT[sankrantirasi],$D288) &amp; " " &amp; INDEX(GCalXMLT[sankrantitime],$D288)</f>
        <v xml:space="preserve"> </v>
      </c>
      <c r="W288" t="str">
        <f ca="1">IFERROR(INDEX('Holidays Calc'!$K$2:$K$233,AR288),"")</f>
        <v/>
      </c>
      <c r="X288" t="str">
        <f ca="1">IF(AR288="","",IF(INDEX('Holidays Calc'!$I$2:$I$233,AR288+1)=A288,INDEX('Holidays Calc'!$K$2:$K$233,AR288+1),""))</f>
        <v/>
      </c>
      <c r="Y288" t="str">
        <f ca="1">IF(AR288="","",IF(INDEX('Holidays Calc'!$I$2:$I$233,AR288+2)=A288,INDEX('Holidays Calc'!$K$2:$K$233,AR288+2),""))</f>
        <v/>
      </c>
      <c r="Z288" t="str">
        <f ca="1">IF(AR288="","",IF(INDEX('Holidays Calc'!$I$2:$I$233,AR288+3)=A288,INDEX('Holidays Calc'!$K$2:$K$2333,AR288+3),""))</f>
        <v/>
      </c>
      <c r="AA288" t="str">
        <f>IF(I288="Last day of Bhisma Pancaka","",IF(G288="*",-0.7,IF(ISBLANK(INDEX(GCalXMLT[dclass1],$D288)),"",INDEX(GCalXMLT[dclass1],$D288))))</f>
        <v/>
      </c>
      <c r="AB288" t="str">
        <f>IF(J288="First day of Bhisma Pancaka","",IF(AND(G288="*",NOT(ISERROR(SEARCH("ekadasi",J288)))),-0.7,IF(ISBLANK(INDEX(GCalXMLT[dclass2],$D288)),"",INDEX(GCalXMLT[dclass2],$D288))))</f>
        <v/>
      </c>
      <c r="AC288" t="str">
        <f>IF(I288="Nandotsava",-1,IF(ISBLANK(INDEX(GCalXMLT[dclass3],$D288)),"",INDEX(GCalXMLT[dclass3],$D288)))</f>
        <v/>
      </c>
      <c r="AD288" t="str">
        <f>IF(I288="Nandotsava",IF(ISBLANK(INDEX(GCalXMLT[dclass3],$D288)),"",INDEX(GCalXMLT[dclass3],$D288)),IF(ISBLANK(INDEX(GCalXMLT[dclass4],$D288)),"",INDEX(GCalXMLT[dclass4],$D288)))</f>
        <v/>
      </c>
      <c r="AE288">
        <f>IFERROR(INDEX(Festivals!$V$2:$V$160,AP288),"")</f>
        <v>0</v>
      </c>
      <c r="AF288">
        <f>IFERROR(IF($AQ288&gt;1,INDEX(Festivals!$V$2:$V$160,$AP288+1),""),"")</f>
        <v>-1</v>
      </c>
      <c r="AG288" t="str">
        <f>IFERROR(IF($AQ288&gt;2,INDEX(Festivals!$V$2:$V$160,$AP288+2),""),"")</f>
        <v/>
      </c>
      <c r="AH288" t="str">
        <f>IFERROR(IF($AQ288&gt;3,INDEX(Festivals!$V$2:$V$160,$AP288+3),""),"")</f>
        <v/>
      </c>
      <c r="AI288" t="str">
        <f>IFERROR(IF($AQ288&gt;4,INDEX(Festivals!$V$2:$V$160,$AP288+4),""),"")</f>
        <v/>
      </c>
      <c r="AJ288" t="str">
        <f>IFERROR(IF($AQ288&gt;5,INDEX(Festivals!$V$2:$V$160,$AP288+5),""),"")</f>
        <v/>
      </c>
      <c r="AK288" t="str">
        <f>IFERROR(IF($AQ288&gt;6,INDEX(Festivals!$V$2:$V$160,$AP288+6),""),"")</f>
        <v/>
      </c>
      <c r="AL288" t="str">
        <f ca="1">IFERROR(INDEX('Holidays Calc'!$J$2:$J$233,MATCH(A288,'Holidays Calc'!$I$2:$I$233,0)),"")</f>
        <v/>
      </c>
      <c r="AM288" t="str">
        <f ca="1">IF(AR288="","",IF(INDEX('Holidays Calc'!$I$2:$I$233,AR288+1)=A288,INDEX('Holidays Calc'!$J$2:$J$233,AR288+1),""))</f>
        <v/>
      </c>
      <c r="AN288" t="str">
        <f ca="1">IF(AR288="","",IF(INDEX('Holidays Calc'!$I$2:$I$233,AR288+2)=A288,INDEX('Holidays Calc'!$J$2:$J$233,AR288+2),""))</f>
        <v/>
      </c>
      <c r="AO288" t="str">
        <f ca="1">IF(AR288="","",IF(INDEX('Holidays Calc'!$I$2:$I$233,AR288+3)=A288,INDEX('Holidays Calc'!$J$2:$J$233,AR288+3),""))</f>
        <v/>
      </c>
      <c r="AP288">
        <f>IFERROR(IF($E288=E287,"",MATCH($E288,Festivals!$H$2:$H$160,0)),"")</f>
        <v>60</v>
      </c>
      <c r="AQ288">
        <f>IF(AP288="","",COUNTIF(Festivals!$H$2:$H$160,$E288))</f>
        <v>2</v>
      </c>
      <c r="AR288" t="str">
        <f ca="1">IFERROR(MATCH(A288,'Holidays Calc'!$I$2:$I$233,0),"")</f>
        <v/>
      </c>
      <c r="AS288">
        <f t="shared" si="32"/>
        <v>-1</v>
      </c>
      <c r="AT288">
        <f t="shared" si="31"/>
        <v>-1</v>
      </c>
      <c r="AU288" t="str">
        <f t="shared" ca="1" si="33"/>
        <v/>
      </c>
      <c r="AV288">
        <f t="shared" ca="1" si="34"/>
        <v>-1</v>
      </c>
    </row>
    <row r="289" spans="1:48" x14ac:dyDescent="0.25">
      <c r="A289" s="265">
        <f t="shared" si="30"/>
        <v>43715</v>
      </c>
      <c r="B289" s="265" t="str">
        <f t="shared" si="35"/>
        <v>7 Sep 2019</v>
      </c>
      <c r="C289" s="267">
        <f t="shared" si="36"/>
        <v>36</v>
      </c>
      <c r="D289">
        <f>MATCH(A289,GCalXMLT[daydate],0)</f>
        <v>288</v>
      </c>
      <c r="E289">
        <f>VALUE("1" &amp; Masacod(INDEX(GCalXMLT[gymasa],D289)) &amp; PaksaCod(INDEX(GCalXMLT[mpaksaid],D289)) &amp; TithiCod(INDEX(GCalXMLT[stithiname],D289)))</f>
        <v>106109</v>
      </c>
      <c r="F289" t="str">
        <f ca="1">INDEX(Parameters!$K$2:$K$16,MATCH(AV289,Parameters!$L$2:$L$16,0))</f>
        <v>H</v>
      </c>
      <c r="G289">
        <f>INDEX(GCalXMLT[fastmark],$D289)</f>
        <v>0</v>
      </c>
      <c r="H289" t="str">
        <f ca="1">INDEX(Parameters!$J$2:$J$16,MATCH(AV289,Parameters!$L$2:$L$16,0))</f>
        <v/>
      </c>
      <c r="I289">
        <f>INDEX(GCalXMLT[dfestival1],$D289)</f>
        <v>0</v>
      </c>
      <c r="J289">
        <f>IF(INDEX(GCalXMLT[dfestival2],$D289)="(Fast today)",INDEX(Festivals!$R$2:$R$180,MATCH($I289,Festivals!$R$2:$R$180,0)+1),INDEX(GCalXMLT[dfestival2],$D289))</f>
        <v>0</v>
      </c>
      <c r="K289">
        <f>IF(I289="Nandotsava","(Fast till noon)",INDEX(GCalXMLT[dfestival3],$D289))</f>
        <v>0</v>
      </c>
      <c r="L289">
        <f>IF(I289="Nandotsava", INDEX(GCalXMLT[dfestival3],$D289),INDEX(GCalXMLT[dfestival4],$D289))</f>
        <v>0</v>
      </c>
      <c r="M289" t="str">
        <f>IFERROR(INDEX(Festivals!$S$2:$S$160,AP289),"")</f>
        <v/>
      </c>
      <c r="N289" t="str">
        <f>IFERROR(IF($AQ289&gt;1,INDEX(Festivals!$S$2:$S$160,$AP289+1),""),"")</f>
        <v/>
      </c>
      <c r="O289" t="str">
        <f>IFERROR(IF($AQ289&gt;2,INDEX(Festivals!$S$2:$S$160,$AP289+2),""),"")</f>
        <v/>
      </c>
      <c r="P289" t="str">
        <f>IFERROR(IF($AQ289&gt;3,INDEX(Festivals!$S$2:$S$160,$AP289+3),""),"")</f>
        <v/>
      </c>
      <c r="Q289" t="str">
        <f>IFERROR(IF($AQ289&gt;4,INDEX(Festivals!$S$2:$S$160,$AP289+4),""),"")</f>
        <v/>
      </c>
      <c r="R289" t="str">
        <f>IFERROR(IF($AQ289&gt;5,INDEX(Festivals!$S$2:$S$160,$AP289+5),""),"")</f>
        <v/>
      </c>
      <c r="S289" t="str">
        <f>IFERROR(IF($AQ289&gt;6,INDEX(Festivals!$S$2:$S$160,$AP289+6),""),"")</f>
        <v/>
      </c>
      <c r="T289">
        <f>INDEX(GCalXMLT[dcaturmasya1],$D289)</f>
        <v>0</v>
      </c>
      <c r="U289">
        <f>INDEX(GCalXMLT[dcaturmasya2],$D289)</f>
        <v>0</v>
      </c>
      <c r="V289" t="str">
        <f>INDEX(GCalXMLT[sankrantirasi],$D289) &amp; " " &amp; INDEX(GCalXMLT[sankrantitime],$D289)</f>
        <v xml:space="preserve"> </v>
      </c>
      <c r="W289" t="str">
        <f ca="1">IFERROR(INDEX('Holidays Calc'!$K$2:$K$233,AR289),"")</f>
        <v>Independência</v>
      </c>
      <c r="X289" t="str">
        <f ca="1">IF(AR289="","",IF(INDEX('Holidays Calc'!$I$2:$I$233,AR289+1)=A289,INDEX('Holidays Calc'!$K$2:$K$233,AR289+1),""))</f>
        <v/>
      </c>
      <c r="Y289" t="str">
        <f ca="1">IF(AR289="","",IF(INDEX('Holidays Calc'!$I$2:$I$233,AR289+2)=A289,INDEX('Holidays Calc'!$K$2:$K$233,AR289+2),""))</f>
        <v/>
      </c>
      <c r="Z289" t="str">
        <f ca="1">IF(AR289="","",IF(INDEX('Holidays Calc'!$I$2:$I$233,AR289+3)=A289,INDEX('Holidays Calc'!$K$2:$K$2333,AR289+3),""))</f>
        <v/>
      </c>
      <c r="AA289" t="str">
        <f>IF(I289="Last day of Bhisma Pancaka","",IF(G289="*",-0.7,IF(ISBLANK(INDEX(GCalXMLT[dclass1],$D289)),"",INDEX(GCalXMLT[dclass1],$D289))))</f>
        <v/>
      </c>
      <c r="AB289" t="str">
        <f>IF(J289="First day of Bhisma Pancaka","",IF(AND(G289="*",NOT(ISERROR(SEARCH("ekadasi",J289)))),-0.7,IF(ISBLANK(INDEX(GCalXMLT[dclass2],$D289)),"",INDEX(GCalXMLT[dclass2],$D289))))</f>
        <v/>
      </c>
      <c r="AC289" t="str">
        <f>IF(I289="Nandotsava",-1,IF(ISBLANK(INDEX(GCalXMLT[dclass3],$D289)),"",INDEX(GCalXMLT[dclass3],$D289)))</f>
        <v/>
      </c>
      <c r="AD289" t="str">
        <f>IF(I289="Nandotsava",IF(ISBLANK(INDEX(GCalXMLT[dclass3],$D289)),"",INDEX(GCalXMLT[dclass3],$D289)),IF(ISBLANK(INDEX(GCalXMLT[dclass4],$D289)),"",INDEX(GCalXMLT[dclass4],$D289)))</f>
        <v/>
      </c>
      <c r="AE289" t="str">
        <f>IFERROR(INDEX(Festivals!$V$2:$V$160,AP289),"")</f>
        <v/>
      </c>
      <c r="AF289" t="str">
        <f>IFERROR(IF($AQ289&gt;1,INDEX(Festivals!$V$2:$V$160,$AP289+1),""),"")</f>
        <v/>
      </c>
      <c r="AG289" t="str">
        <f>IFERROR(IF($AQ289&gt;2,INDEX(Festivals!$V$2:$V$160,$AP289+2),""),"")</f>
        <v/>
      </c>
      <c r="AH289" t="str">
        <f>IFERROR(IF($AQ289&gt;3,INDEX(Festivals!$V$2:$V$160,$AP289+3),""),"")</f>
        <v/>
      </c>
      <c r="AI289" t="str">
        <f>IFERROR(IF($AQ289&gt;4,INDEX(Festivals!$V$2:$V$160,$AP289+4),""),"")</f>
        <v/>
      </c>
      <c r="AJ289" t="str">
        <f>IFERROR(IF($AQ289&gt;5,INDEX(Festivals!$V$2:$V$160,$AP289+5),""),"")</f>
        <v/>
      </c>
      <c r="AK289" t="str">
        <f>IFERROR(IF($AQ289&gt;6,INDEX(Festivals!$V$2:$V$160,$AP289+6),""),"")</f>
        <v/>
      </c>
      <c r="AL289">
        <f ca="1">IFERROR(INDEX('Holidays Calc'!$J$2:$J$233,MATCH(A289,'Holidays Calc'!$I$2:$I$233,0)),"")</f>
        <v>-11</v>
      </c>
      <c r="AM289" t="str">
        <f ca="1">IF(AR289="","",IF(INDEX('Holidays Calc'!$I$2:$I$233,AR289+1)=A289,INDEX('Holidays Calc'!$J$2:$J$233,AR289+1),""))</f>
        <v/>
      </c>
      <c r="AN289" t="str">
        <f ca="1">IF(AR289="","",IF(INDEX('Holidays Calc'!$I$2:$I$233,AR289+2)=A289,INDEX('Holidays Calc'!$J$2:$J$233,AR289+2),""))</f>
        <v/>
      </c>
      <c r="AO289" t="str">
        <f ca="1">IF(AR289="","",IF(INDEX('Holidays Calc'!$I$2:$I$233,AR289+3)=A289,INDEX('Holidays Calc'!$J$2:$J$233,AR289+3),""))</f>
        <v/>
      </c>
      <c r="AP289" t="str">
        <f>IFERROR(IF($E289=E288,"",MATCH($E289,Festivals!$H$2:$H$160,0)),"")</f>
        <v/>
      </c>
      <c r="AQ289" t="str">
        <f>IF(AP289="","",COUNTIF(Festivals!$H$2:$H$160,$E289))</f>
        <v/>
      </c>
      <c r="AR289">
        <f ca="1">IFERROR(MATCH(A289,'Holidays Calc'!$I$2:$I$233,0),"")</f>
        <v>59</v>
      </c>
      <c r="AS289" t="str">
        <f t="shared" si="32"/>
        <v/>
      </c>
      <c r="AT289" t="str">
        <f t="shared" si="31"/>
        <v/>
      </c>
      <c r="AU289">
        <f t="shared" ca="1" si="33"/>
        <v>-11</v>
      </c>
      <c r="AV289">
        <f t="shared" ca="1" si="34"/>
        <v>-11</v>
      </c>
    </row>
    <row r="290" spans="1:48" x14ac:dyDescent="0.25">
      <c r="A290" s="265">
        <f t="shared" si="30"/>
        <v>43716</v>
      </c>
      <c r="B290" s="265" t="str">
        <f t="shared" si="35"/>
        <v>8 Sep 2019</v>
      </c>
      <c r="C290" s="267">
        <f t="shared" si="36"/>
        <v>36</v>
      </c>
      <c r="D290">
        <f>MATCH(A290,GCalXMLT[daydate],0)</f>
        <v>289</v>
      </c>
      <c r="E290">
        <f>VALUE("1" &amp; Masacod(INDEX(GCalXMLT[gymasa],D290)) &amp; PaksaCod(INDEX(GCalXMLT[mpaksaid],D290)) &amp; TithiCod(INDEX(GCalXMLT[stithiname],D290)))</f>
        <v>106110</v>
      </c>
      <c r="F290" t="str">
        <f ca="1">INDEX(Parameters!$K$2:$K$16,MATCH(AV290,Parameters!$L$2:$L$16,0))</f>
        <v/>
      </c>
      <c r="G290">
        <f>INDEX(GCalXMLT[fastmark],$D290)</f>
        <v>0</v>
      </c>
      <c r="H290" t="str">
        <f ca="1">INDEX(Parameters!$J$2:$J$16,MATCH(AV290,Parameters!$L$2:$L$16,0))</f>
        <v/>
      </c>
      <c r="I290">
        <f>INDEX(GCalXMLT[dfestival1],$D290)</f>
        <v>0</v>
      </c>
      <c r="J290">
        <f>IF(INDEX(GCalXMLT[dfestival2],$D290)="(Fast today)",INDEX(Festivals!$R$2:$R$180,MATCH($I290,Festivals!$R$2:$R$180,0)+1),INDEX(GCalXMLT[dfestival2],$D290))</f>
        <v>0</v>
      </c>
      <c r="K290">
        <f>IF(I290="Nandotsava","(Fast till noon)",INDEX(GCalXMLT[dfestival3],$D290))</f>
        <v>0</v>
      </c>
      <c r="L290">
        <f>IF(I290="Nandotsava", INDEX(GCalXMLT[dfestival3],$D290),INDEX(GCalXMLT[dfestival4],$D290))</f>
        <v>0</v>
      </c>
      <c r="M290" t="str">
        <f>IFERROR(INDEX(Festivals!$S$2:$S$160,AP290),"")</f>
        <v/>
      </c>
      <c r="N290" t="str">
        <f>IFERROR(IF($AQ290&gt;1,INDEX(Festivals!$S$2:$S$160,$AP290+1),""),"")</f>
        <v/>
      </c>
      <c r="O290" t="str">
        <f>IFERROR(IF($AQ290&gt;2,INDEX(Festivals!$S$2:$S$160,$AP290+2),""),"")</f>
        <v/>
      </c>
      <c r="P290" t="str">
        <f>IFERROR(IF($AQ290&gt;3,INDEX(Festivals!$S$2:$S$160,$AP290+3),""),"")</f>
        <v/>
      </c>
      <c r="Q290" t="str">
        <f>IFERROR(IF($AQ290&gt;4,INDEX(Festivals!$S$2:$S$160,$AP290+4),""),"")</f>
        <v/>
      </c>
      <c r="R290" t="str">
        <f>IFERROR(IF($AQ290&gt;5,INDEX(Festivals!$S$2:$S$160,$AP290+5),""),"")</f>
        <v/>
      </c>
      <c r="S290" t="str">
        <f>IFERROR(IF($AQ290&gt;6,INDEX(Festivals!$S$2:$S$160,$AP290+6),""),"")</f>
        <v/>
      </c>
      <c r="T290">
        <f>INDEX(GCalXMLT[dcaturmasya1],$D290)</f>
        <v>0</v>
      </c>
      <c r="U290">
        <f>INDEX(GCalXMLT[dcaturmasya2],$D290)</f>
        <v>0</v>
      </c>
      <c r="V290" t="str">
        <f>INDEX(GCalXMLT[sankrantirasi],$D290) &amp; " " &amp; INDEX(GCalXMLT[sankrantitime],$D290)</f>
        <v xml:space="preserve"> </v>
      </c>
      <c r="W290" t="str">
        <f ca="1">IFERROR(INDEX('Holidays Calc'!$K$2:$K$233,AR290),"")</f>
        <v/>
      </c>
      <c r="X290" t="str">
        <f ca="1">IF(AR290="","",IF(INDEX('Holidays Calc'!$I$2:$I$233,AR290+1)=A290,INDEX('Holidays Calc'!$K$2:$K$233,AR290+1),""))</f>
        <v/>
      </c>
      <c r="Y290" t="str">
        <f ca="1">IF(AR290="","",IF(INDEX('Holidays Calc'!$I$2:$I$233,AR290+2)=A290,INDEX('Holidays Calc'!$K$2:$K$233,AR290+2),""))</f>
        <v/>
      </c>
      <c r="Z290" t="str">
        <f ca="1">IF(AR290="","",IF(INDEX('Holidays Calc'!$I$2:$I$233,AR290+3)=A290,INDEX('Holidays Calc'!$K$2:$K$2333,AR290+3),""))</f>
        <v/>
      </c>
      <c r="AA290" t="str">
        <f>IF(I290="Last day of Bhisma Pancaka","",IF(G290="*",-0.7,IF(ISBLANK(INDEX(GCalXMLT[dclass1],$D290)),"",INDEX(GCalXMLT[dclass1],$D290))))</f>
        <v/>
      </c>
      <c r="AB290" t="str">
        <f>IF(J290="First day of Bhisma Pancaka","",IF(AND(G290="*",NOT(ISERROR(SEARCH("ekadasi",J290)))),-0.7,IF(ISBLANK(INDEX(GCalXMLT[dclass2],$D290)),"",INDEX(GCalXMLT[dclass2],$D290))))</f>
        <v/>
      </c>
      <c r="AC290" t="str">
        <f>IF(I290="Nandotsava",-1,IF(ISBLANK(INDEX(GCalXMLT[dclass3],$D290)),"",INDEX(GCalXMLT[dclass3],$D290)))</f>
        <v/>
      </c>
      <c r="AD290" t="str">
        <f>IF(I290="Nandotsava",IF(ISBLANK(INDEX(GCalXMLT[dclass3],$D290)),"",INDEX(GCalXMLT[dclass3],$D290)),IF(ISBLANK(INDEX(GCalXMLT[dclass4],$D290)),"",INDEX(GCalXMLT[dclass4],$D290)))</f>
        <v/>
      </c>
      <c r="AE290" t="str">
        <f>IFERROR(INDEX(Festivals!$V$2:$V$160,AP290),"")</f>
        <v/>
      </c>
      <c r="AF290" t="str">
        <f>IFERROR(IF($AQ290&gt;1,INDEX(Festivals!$V$2:$V$160,$AP290+1),""),"")</f>
        <v/>
      </c>
      <c r="AG290" t="str">
        <f>IFERROR(IF($AQ290&gt;2,INDEX(Festivals!$V$2:$V$160,$AP290+2),""),"")</f>
        <v/>
      </c>
      <c r="AH290" t="str">
        <f>IFERROR(IF($AQ290&gt;3,INDEX(Festivals!$V$2:$V$160,$AP290+3),""),"")</f>
        <v/>
      </c>
      <c r="AI290" t="str">
        <f>IFERROR(IF($AQ290&gt;4,INDEX(Festivals!$V$2:$V$160,$AP290+4),""),"")</f>
        <v/>
      </c>
      <c r="AJ290" t="str">
        <f>IFERROR(IF($AQ290&gt;5,INDEX(Festivals!$V$2:$V$160,$AP290+5),""),"")</f>
        <v/>
      </c>
      <c r="AK290" t="str">
        <f>IFERROR(IF($AQ290&gt;6,INDEX(Festivals!$V$2:$V$160,$AP290+6),""),"")</f>
        <v/>
      </c>
      <c r="AL290" t="str">
        <f ca="1">IFERROR(INDEX('Holidays Calc'!$J$2:$J$233,MATCH(A290,'Holidays Calc'!$I$2:$I$233,0)),"")</f>
        <v/>
      </c>
      <c r="AM290" t="str">
        <f ca="1">IF(AR290="","",IF(INDEX('Holidays Calc'!$I$2:$I$233,AR290+1)=A290,INDEX('Holidays Calc'!$J$2:$J$233,AR290+1),""))</f>
        <v/>
      </c>
      <c r="AN290" t="str">
        <f ca="1">IF(AR290="","",IF(INDEX('Holidays Calc'!$I$2:$I$233,AR290+2)=A290,INDEX('Holidays Calc'!$J$2:$J$233,AR290+2),""))</f>
        <v/>
      </c>
      <c r="AO290" t="str">
        <f ca="1">IF(AR290="","",IF(INDEX('Holidays Calc'!$I$2:$I$233,AR290+3)=A290,INDEX('Holidays Calc'!$J$2:$J$233,AR290+3),""))</f>
        <v/>
      </c>
      <c r="AP290" t="str">
        <f>IFERROR(IF($E290=E289,"",MATCH($E290,Festivals!$H$2:$H$160,0)),"")</f>
        <v/>
      </c>
      <c r="AQ290" t="str">
        <f>IF(AP290="","",COUNTIF(Festivals!$H$2:$H$160,$E290))</f>
        <v/>
      </c>
      <c r="AR290" t="str">
        <f ca="1">IFERROR(MATCH(A290,'Holidays Calc'!$I$2:$I$233,0),"")</f>
        <v/>
      </c>
      <c r="AS290" t="str">
        <f t="shared" si="32"/>
        <v/>
      </c>
      <c r="AT290" t="str">
        <f t="shared" si="31"/>
        <v/>
      </c>
      <c r="AU290" t="str">
        <f t="shared" ca="1" si="33"/>
        <v/>
      </c>
      <c r="AV290" t="str">
        <f t="shared" ca="1" si="34"/>
        <v/>
      </c>
    </row>
    <row r="291" spans="1:48" x14ac:dyDescent="0.25">
      <c r="A291" s="265">
        <f t="shared" si="30"/>
        <v>43717</v>
      </c>
      <c r="B291" s="265" t="str">
        <f t="shared" si="35"/>
        <v>9 Sep 2019</v>
      </c>
      <c r="C291" s="267">
        <f t="shared" si="36"/>
        <v>37</v>
      </c>
      <c r="D291">
        <f>MATCH(A291,GCalXMLT[daydate],0)</f>
        <v>290</v>
      </c>
      <c r="E291">
        <f>VALUE("1" &amp; Masacod(INDEX(GCalXMLT[gymasa],D291)) &amp; PaksaCod(INDEX(GCalXMLT[mpaksaid],D291)) &amp; TithiCod(INDEX(GCalXMLT[stithiname],D291)))</f>
        <v>106111</v>
      </c>
      <c r="F291" t="str">
        <f ca="1">INDEX(Parameters!$K$2:$K$16,MATCH(AV291,Parameters!$L$2:$L$16,0))</f>
        <v/>
      </c>
      <c r="G291">
        <f>INDEX(GCalXMLT[fastmark],$D291)</f>
        <v>0</v>
      </c>
      <c r="H291" t="str">
        <f ca="1">INDEX(Parameters!$J$2:$J$16,MATCH(AV291,Parameters!$L$2:$L$16,0))</f>
        <v/>
      </c>
      <c r="I291">
        <f>INDEX(GCalXMLT[dfestival1],$D291)</f>
        <v>0</v>
      </c>
      <c r="J291">
        <f>IF(INDEX(GCalXMLT[dfestival2],$D291)="(Fast today)",INDEX(Festivals!$R$2:$R$180,MATCH($I291,Festivals!$R$2:$R$180,0)+1),INDEX(GCalXMLT[dfestival2],$D291))</f>
        <v>0</v>
      </c>
      <c r="K291">
        <f>IF(I291="Nandotsava","(Fast till noon)",INDEX(GCalXMLT[dfestival3],$D291))</f>
        <v>0</v>
      </c>
      <c r="L291">
        <f>IF(I291="Nandotsava", INDEX(GCalXMLT[dfestival3],$D291),INDEX(GCalXMLT[dfestival4],$D291))</f>
        <v>0</v>
      </c>
      <c r="M291" t="str">
        <f>IFERROR(INDEX(Festivals!$S$2:$S$160,AP291),"")</f>
        <v/>
      </c>
      <c r="N291" t="str">
        <f>IFERROR(IF($AQ291&gt;1,INDEX(Festivals!$S$2:$S$160,$AP291+1),""),"")</f>
        <v/>
      </c>
      <c r="O291" t="str">
        <f>IFERROR(IF($AQ291&gt;2,INDEX(Festivals!$S$2:$S$160,$AP291+2),""),"")</f>
        <v/>
      </c>
      <c r="P291" t="str">
        <f>IFERROR(IF($AQ291&gt;3,INDEX(Festivals!$S$2:$S$160,$AP291+3),""),"")</f>
        <v/>
      </c>
      <c r="Q291" t="str">
        <f>IFERROR(IF($AQ291&gt;4,INDEX(Festivals!$S$2:$S$160,$AP291+4),""),"")</f>
        <v/>
      </c>
      <c r="R291" t="str">
        <f>IFERROR(IF($AQ291&gt;5,INDEX(Festivals!$S$2:$S$160,$AP291+5),""),"")</f>
        <v/>
      </c>
      <c r="S291" t="str">
        <f>IFERROR(IF($AQ291&gt;6,INDEX(Festivals!$S$2:$S$160,$AP291+6),""),"")</f>
        <v/>
      </c>
      <c r="T291" t="str">
        <f>INDEX(GCalXMLT[dcaturmasya1],$D291)</f>
        <v>2last_EKADASI_</v>
      </c>
      <c r="U291">
        <f>INDEX(GCalXMLT[dcaturmasya2],$D291)</f>
        <v>0</v>
      </c>
      <c r="V291" t="str">
        <f>INDEX(GCalXMLT[sankrantirasi],$D291) &amp; " " &amp; INDEX(GCalXMLT[sankrantitime],$D291)</f>
        <v xml:space="preserve"> </v>
      </c>
      <c r="W291" t="str">
        <f ca="1">IFERROR(INDEX('Holidays Calc'!$K$2:$K$233,AR291),"")</f>
        <v/>
      </c>
      <c r="X291" t="str">
        <f ca="1">IF(AR291="","",IF(INDEX('Holidays Calc'!$I$2:$I$233,AR291+1)=A291,INDEX('Holidays Calc'!$K$2:$K$233,AR291+1),""))</f>
        <v/>
      </c>
      <c r="Y291" t="str">
        <f ca="1">IF(AR291="","",IF(INDEX('Holidays Calc'!$I$2:$I$233,AR291+2)=A291,INDEX('Holidays Calc'!$K$2:$K$233,AR291+2),""))</f>
        <v/>
      </c>
      <c r="Z291" t="str">
        <f ca="1">IF(AR291="","",IF(INDEX('Holidays Calc'!$I$2:$I$233,AR291+3)=A291,INDEX('Holidays Calc'!$K$2:$K$2333,AR291+3),""))</f>
        <v/>
      </c>
      <c r="AA291" t="str">
        <f>IF(I291="Last day of Bhisma Pancaka","",IF(G291="*",-0.7,IF(ISBLANK(INDEX(GCalXMLT[dclass1],$D291)),"",INDEX(GCalXMLT[dclass1],$D291))))</f>
        <v/>
      </c>
      <c r="AB291" t="str">
        <f>IF(J291="First day of Bhisma Pancaka","",IF(AND(G291="*",NOT(ISERROR(SEARCH("ekadasi",J291)))),-0.7,IF(ISBLANK(INDEX(GCalXMLT[dclass2],$D291)),"",INDEX(GCalXMLT[dclass2],$D291))))</f>
        <v/>
      </c>
      <c r="AC291" t="str">
        <f>IF(I291="Nandotsava",-1,IF(ISBLANK(INDEX(GCalXMLT[dclass3],$D291)),"",INDEX(GCalXMLT[dclass3],$D291)))</f>
        <v/>
      </c>
      <c r="AD291" t="str">
        <f>IF(I291="Nandotsava",IF(ISBLANK(INDEX(GCalXMLT[dclass3],$D291)),"",INDEX(GCalXMLT[dclass3],$D291)),IF(ISBLANK(INDEX(GCalXMLT[dclass4],$D291)),"",INDEX(GCalXMLT[dclass4],$D291)))</f>
        <v/>
      </c>
      <c r="AE291" t="str">
        <f>IFERROR(INDEX(Festivals!$V$2:$V$160,AP291),"")</f>
        <v>---</v>
      </c>
      <c r="AF291" t="str">
        <f>IFERROR(IF($AQ291&gt;1,INDEX(Festivals!$V$2:$V$160,$AP291+1),""),"")</f>
        <v/>
      </c>
      <c r="AG291" t="str">
        <f>IFERROR(IF($AQ291&gt;2,INDEX(Festivals!$V$2:$V$160,$AP291+2),""),"")</f>
        <v/>
      </c>
      <c r="AH291" t="str">
        <f>IFERROR(IF($AQ291&gt;3,INDEX(Festivals!$V$2:$V$160,$AP291+3),""),"")</f>
        <v/>
      </c>
      <c r="AI291" t="str">
        <f>IFERROR(IF($AQ291&gt;4,INDEX(Festivals!$V$2:$V$160,$AP291+4),""),"")</f>
        <v/>
      </c>
      <c r="AJ291" t="str">
        <f>IFERROR(IF($AQ291&gt;5,INDEX(Festivals!$V$2:$V$160,$AP291+5),""),"")</f>
        <v/>
      </c>
      <c r="AK291" t="str">
        <f>IFERROR(IF($AQ291&gt;6,INDEX(Festivals!$V$2:$V$160,$AP291+6),""),"")</f>
        <v/>
      </c>
      <c r="AL291" t="str">
        <f ca="1">IFERROR(INDEX('Holidays Calc'!$J$2:$J$233,MATCH(A291,'Holidays Calc'!$I$2:$I$233,0)),"")</f>
        <v/>
      </c>
      <c r="AM291" t="str">
        <f ca="1">IF(AR291="","",IF(INDEX('Holidays Calc'!$I$2:$I$233,AR291+1)=A291,INDEX('Holidays Calc'!$J$2:$J$233,AR291+1),""))</f>
        <v/>
      </c>
      <c r="AN291" t="str">
        <f ca="1">IF(AR291="","",IF(INDEX('Holidays Calc'!$I$2:$I$233,AR291+2)=A291,INDEX('Holidays Calc'!$J$2:$J$233,AR291+2),""))</f>
        <v/>
      </c>
      <c r="AO291" t="str">
        <f ca="1">IF(AR291="","",IF(INDEX('Holidays Calc'!$I$2:$I$233,AR291+3)=A291,INDEX('Holidays Calc'!$J$2:$J$233,AR291+3),""))</f>
        <v/>
      </c>
      <c r="AP291">
        <f>IFERROR(IF($E291=E290,"",MATCH($E291,Festivals!$H$2:$H$160,0)),"")</f>
        <v>63</v>
      </c>
      <c r="AQ291">
        <f>IF(AP291="","",COUNTIF(Festivals!$H$2:$H$160,$E291))</f>
        <v>1</v>
      </c>
      <c r="AR291" t="str">
        <f ca="1">IFERROR(MATCH(A291,'Holidays Calc'!$I$2:$I$233,0),"")</f>
        <v/>
      </c>
      <c r="AS291" t="str">
        <f t="shared" si="32"/>
        <v/>
      </c>
      <c r="AT291" t="str">
        <f t="shared" si="31"/>
        <v/>
      </c>
      <c r="AU291" t="str">
        <f t="shared" ca="1" si="33"/>
        <v/>
      </c>
      <c r="AV291" t="str">
        <f t="shared" ca="1" si="34"/>
        <v/>
      </c>
    </row>
    <row r="292" spans="1:48" x14ac:dyDescent="0.25">
      <c r="A292" s="265">
        <f t="shared" si="30"/>
        <v>43718</v>
      </c>
      <c r="B292" s="265" t="str">
        <f t="shared" si="35"/>
        <v>10 Sep 2019</v>
      </c>
      <c r="C292" s="267">
        <f t="shared" si="36"/>
        <v>37</v>
      </c>
      <c r="D292">
        <f>MATCH(A292,GCalXMLT[daydate],0)</f>
        <v>291</v>
      </c>
      <c r="E292">
        <f>VALUE("1" &amp; Masacod(INDEX(GCalXMLT[gymasa],D292)) &amp; PaksaCod(INDEX(GCalXMLT[mpaksaid],D292)) &amp; TithiCod(INDEX(GCalXMLT[stithiname],D292)))</f>
        <v>106112</v>
      </c>
      <c r="F292" t="str">
        <f ca="1">INDEX(Parameters!$K$2:$K$16,MATCH(AV292,Parameters!$L$2:$L$16,0))</f>
        <v>K</v>
      </c>
      <c r="G292" t="str">
        <f>INDEX(GCalXMLT[fastmark],$D292)</f>
        <v>*</v>
      </c>
      <c r="H292" t="str">
        <f ca="1">INDEX(Parameters!$J$2:$J$16,MATCH(AV292,Parameters!$L$2:$L$16,0))</f>
        <v>*</v>
      </c>
      <c r="I292" t="str">
        <f>INDEX(GCalXMLT[dfestival1],$D292)</f>
        <v>Vijaya Mahadvadasi</v>
      </c>
      <c r="J292" t="str">
        <f>IF(INDEX(GCalXMLT[dfestival2],$D292)="(Fast today)",INDEX(Festivals!$R$2:$R$180,MATCH($I292,Festivals!$R$2:$R$180,0)+1),INDEX(GCalXMLT[dfestival2],$D292))</f>
        <v>Fasting for Parsva Ekadasi</v>
      </c>
      <c r="K292">
        <f>IF(I292="Nandotsava","(Fast till noon)",INDEX(GCalXMLT[dfestival3],$D292))</f>
        <v>0</v>
      </c>
      <c r="L292">
        <f>IF(I292="Nandotsava", INDEX(GCalXMLT[dfestival3],$D292),INDEX(GCalXMLT[dfestival4],$D292))</f>
        <v>0</v>
      </c>
      <c r="M292" t="str">
        <f>IFERROR(INDEX(Festivals!$S$2:$S$160,AP292),"")</f>
        <v>Sri Vamana Dvadasi: Appearance of Lord Vamanadeva</v>
      </c>
      <c r="N292" t="str">
        <f>IFERROR(IF($AQ292&gt;1,INDEX(Festivals!$S$2:$S$160,$AP292+1),""),"")</f>
        <v>(Fast till noon for Vamanadeva, with feast tomorrow)</v>
      </c>
      <c r="O292" t="str">
        <f>IFERROR(IF($AQ292&gt;2,INDEX(Festivals!$S$2:$S$160,$AP292+2),""),"")</f>
        <v>Srila Jiva Gosvami - Appearance</v>
      </c>
      <c r="P292" t="str">
        <f>IFERROR(IF($AQ292&gt;3,INDEX(Festivals!$S$2:$S$160,$AP292+3),""),"")</f>
        <v>(Fast till noon for Bhaktivinoda Thakura, with feast tomorrow)</v>
      </c>
      <c r="Q292" t="str">
        <f>IFERROR(IF($AQ292&gt;4,INDEX(Festivals!$S$2:$S$160,$AP292+4),""),"")</f>
        <v/>
      </c>
      <c r="R292" t="str">
        <f>IFERROR(IF($AQ292&gt;5,INDEX(Festivals!$S$2:$S$160,$AP292+5),""),"")</f>
        <v/>
      </c>
      <c r="S292" t="str">
        <f>IFERROR(IF($AQ292&gt;6,INDEX(Festivals!$S$2:$S$160,$AP292+6),""),"")</f>
        <v/>
      </c>
      <c r="T292" t="str">
        <f>INDEX(GCalXMLT[dcaturmasya1],$D292)</f>
        <v>3first_EKADASI_</v>
      </c>
      <c r="U292">
        <f>INDEX(GCalXMLT[dcaturmasya2],$D292)</f>
        <v>0</v>
      </c>
      <c r="V292" t="str">
        <f>INDEX(GCalXMLT[sankrantirasi],$D292) &amp; " " &amp; INDEX(GCalXMLT[sankrantitime],$D292)</f>
        <v xml:space="preserve"> </v>
      </c>
      <c r="W292" t="str">
        <f ca="1">IFERROR(INDEX('Holidays Calc'!$K$2:$K$233,AR292),"")</f>
        <v/>
      </c>
      <c r="X292" t="str">
        <f ca="1">IF(AR292="","",IF(INDEX('Holidays Calc'!$I$2:$I$233,AR292+1)=A292,INDEX('Holidays Calc'!$K$2:$K$233,AR292+1),""))</f>
        <v/>
      </c>
      <c r="Y292" t="str">
        <f ca="1">IF(AR292="","",IF(INDEX('Holidays Calc'!$I$2:$I$233,AR292+2)=A292,INDEX('Holidays Calc'!$K$2:$K$233,AR292+2),""))</f>
        <v/>
      </c>
      <c r="Z292" t="str">
        <f ca="1">IF(AR292="","",IF(INDEX('Holidays Calc'!$I$2:$I$233,AR292+3)=A292,INDEX('Holidays Calc'!$K$2:$K$2333,AR292+3),""))</f>
        <v/>
      </c>
      <c r="AA292">
        <f>IF(I292="Last day of Bhisma Pancaka","",IF(G292="*",-0.7,IF(ISBLANK(INDEX(GCalXMLT[dclass1],$D292)),"",INDEX(GCalXMLT[dclass1],$D292))))</f>
        <v>-0.7</v>
      </c>
      <c r="AB292">
        <f>IF(J292="First day of Bhisma Pancaka","",IF(AND(G292="*",NOT(ISERROR(SEARCH("ekadasi",J292)))),-0.7,IF(ISBLANK(INDEX(GCalXMLT[dclass2],$D292)),"",INDEX(GCalXMLT[dclass2],$D292))))</f>
        <v>-0.7</v>
      </c>
      <c r="AC292" t="str">
        <f>IF(I292="Nandotsava",-1,IF(ISBLANK(INDEX(GCalXMLT[dclass3],$D292)),"",INDEX(GCalXMLT[dclass3],$D292)))</f>
        <v/>
      </c>
      <c r="AD292" t="str">
        <f>IF(I292="Nandotsava",IF(ISBLANK(INDEX(GCalXMLT[dclass3],$D292)),"",INDEX(GCalXMLT[dclass3],$D292)),IF(ISBLANK(INDEX(GCalXMLT[dclass4],$D292)),"",INDEX(GCalXMLT[dclass4],$D292)))</f>
        <v/>
      </c>
      <c r="AE292">
        <f>IFERROR(INDEX(Festivals!$V$2:$V$160,AP292),"")</f>
        <v>0</v>
      </c>
      <c r="AF292">
        <f>IFERROR(IF($AQ292&gt;1,INDEX(Festivals!$V$2:$V$160,$AP292+1),""),"")</f>
        <v>-1</v>
      </c>
      <c r="AG292">
        <f>IFERROR(IF($AQ292&gt;2,INDEX(Festivals!$V$2:$V$160,$AP292+2),""),"")</f>
        <v>3</v>
      </c>
      <c r="AH292" t="str">
        <f>IFERROR(IF($AQ292&gt;3,INDEX(Festivals!$V$2:$V$160,$AP292+3),""),"")</f>
        <v>---</v>
      </c>
      <c r="AI292" t="str">
        <f>IFERROR(IF($AQ292&gt;4,INDEX(Festivals!$V$2:$V$160,$AP292+4),""),"")</f>
        <v/>
      </c>
      <c r="AJ292" t="str">
        <f>IFERROR(IF($AQ292&gt;5,INDEX(Festivals!$V$2:$V$160,$AP292+5),""),"")</f>
        <v/>
      </c>
      <c r="AK292" t="str">
        <f>IFERROR(IF($AQ292&gt;6,INDEX(Festivals!$V$2:$V$160,$AP292+6),""),"")</f>
        <v/>
      </c>
      <c r="AL292" t="str">
        <f ca="1">IFERROR(INDEX('Holidays Calc'!$J$2:$J$233,MATCH(A292,'Holidays Calc'!$I$2:$I$233,0)),"")</f>
        <v/>
      </c>
      <c r="AM292" t="str">
        <f ca="1">IF(AR292="","",IF(INDEX('Holidays Calc'!$I$2:$I$233,AR292+1)=A292,INDEX('Holidays Calc'!$J$2:$J$233,AR292+1),""))</f>
        <v/>
      </c>
      <c r="AN292" t="str">
        <f ca="1">IF(AR292="","",IF(INDEX('Holidays Calc'!$I$2:$I$233,AR292+2)=A292,INDEX('Holidays Calc'!$J$2:$J$233,AR292+2),""))</f>
        <v/>
      </c>
      <c r="AO292" t="str">
        <f ca="1">IF(AR292="","",IF(INDEX('Holidays Calc'!$I$2:$I$233,AR292+3)=A292,INDEX('Holidays Calc'!$J$2:$J$233,AR292+3),""))</f>
        <v/>
      </c>
      <c r="AP292">
        <f>IFERROR(IF($E292=E291,"",MATCH($E292,Festivals!$H$2:$H$160,0)),"")</f>
        <v>64</v>
      </c>
      <c r="AQ292">
        <f>IF(AP292="","",COUNTIF(Festivals!$H$2:$H$160,$E292))</f>
        <v>4</v>
      </c>
      <c r="AR292" t="str">
        <f ca="1">IFERROR(MATCH(A292,'Holidays Calc'!$I$2:$I$233,0),"")</f>
        <v/>
      </c>
      <c r="AS292">
        <f t="shared" si="32"/>
        <v>-1</v>
      </c>
      <c r="AT292">
        <f t="shared" si="31"/>
        <v>-2</v>
      </c>
      <c r="AU292" t="str">
        <f t="shared" ca="1" si="33"/>
        <v/>
      </c>
      <c r="AV292">
        <f t="shared" ca="1" si="34"/>
        <v>-2</v>
      </c>
    </row>
    <row r="293" spans="1:48" x14ac:dyDescent="0.25">
      <c r="A293" s="265">
        <f t="shared" si="30"/>
        <v>43719</v>
      </c>
      <c r="B293" s="265" t="str">
        <f t="shared" si="35"/>
        <v>11 Sep 2019</v>
      </c>
      <c r="C293" s="267">
        <f t="shared" si="36"/>
        <v>37</v>
      </c>
      <c r="D293">
        <f>MATCH(A293,GCalXMLT[daydate],0)</f>
        <v>292</v>
      </c>
      <c r="E293">
        <f>VALUE("1" &amp; Masacod(INDEX(GCalXMLT[gymasa],D293)) &amp; PaksaCod(INDEX(GCalXMLT[mpaksaid],D293)) &amp; TithiCod(INDEX(GCalXMLT[stithiname],D293)))</f>
        <v>106113</v>
      </c>
      <c r="F293" t="str">
        <f ca="1">INDEX(Parameters!$K$2:$K$16,MATCH(AV293,Parameters!$L$2:$L$16,0))</f>
        <v>F</v>
      </c>
      <c r="G293">
        <f>INDEX(GCalXMLT[fastmark],$D293)</f>
        <v>0</v>
      </c>
      <c r="H293" t="str">
        <f ca="1">INDEX(Parameters!$J$2:$J$16,MATCH(AV293,Parameters!$L$2:$L$16,0))</f>
        <v/>
      </c>
      <c r="I293">
        <f>INDEX(GCalXMLT[dfestival1],$D293)</f>
        <v>0</v>
      </c>
      <c r="J293">
        <f>IF(INDEX(GCalXMLT[dfestival2],$D293)="(Fast today)",INDEX(Festivals!$R$2:$R$180,MATCH($I293,Festivals!$R$2:$R$180,0)+1),INDEX(GCalXMLT[dfestival2],$D293))</f>
        <v>0</v>
      </c>
      <c r="K293">
        <f>IF(I293="Nandotsava","(Fast till noon)",INDEX(GCalXMLT[dfestival3],$D293))</f>
        <v>0</v>
      </c>
      <c r="L293">
        <f>IF(I293="Nandotsava", INDEX(GCalXMLT[dfestival3],$D293),INDEX(GCalXMLT[dfestival4],$D293))</f>
        <v>0</v>
      </c>
      <c r="M293" t="str">
        <f>IFERROR(INDEX(Festivals!$S$2:$S$160,AP293),"")</f>
        <v>Srila Bhaktivinoda Thakura - Appearance</v>
      </c>
      <c r="N293" t="str">
        <f>IFERROR(IF($AQ293&gt;1,INDEX(Festivals!$S$2:$S$160,$AP293+1),""),"")</f>
        <v>(Fasting is done yesterday, today is feast)</v>
      </c>
      <c r="O293" t="str">
        <f>IFERROR(IF($AQ293&gt;2,INDEX(Festivals!$S$2:$S$160,$AP293+2),""),"")</f>
        <v/>
      </c>
      <c r="P293" t="str">
        <f>IFERROR(IF($AQ293&gt;3,INDEX(Festivals!$S$2:$S$160,$AP293+3),""),"")</f>
        <v/>
      </c>
      <c r="Q293" t="str">
        <f>IFERROR(IF($AQ293&gt;4,INDEX(Festivals!$S$2:$S$160,$AP293+4),""),"")</f>
        <v/>
      </c>
      <c r="R293" t="str">
        <f>IFERROR(IF($AQ293&gt;5,INDEX(Festivals!$S$2:$S$160,$AP293+5),""),"")</f>
        <v/>
      </c>
      <c r="S293" t="str">
        <f>IFERROR(IF($AQ293&gt;6,INDEX(Festivals!$S$2:$S$160,$AP293+6),""),"")</f>
        <v/>
      </c>
      <c r="T293">
        <f>INDEX(GCalXMLT[dcaturmasya1],$D293)</f>
        <v>0</v>
      </c>
      <c r="U293">
        <f>INDEX(GCalXMLT[dcaturmasya2],$D293)</f>
        <v>0</v>
      </c>
      <c r="V293" t="str">
        <f>INDEX(GCalXMLT[sankrantirasi],$D293) &amp; " " &amp; INDEX(GCalXMLT[sankrantitime],$D293)</f>
        <v xml:space="preserve"> </v>
      </c>
      <c r="W293" t="str">
        <f ca="1">IFERROR(INDEX('Holidays Calc'!$K$2:$K$233,AR293),"")</f>
        <v/>
      </c>
      <c r="X293" t="str">
        <f ca="1">IF(AR293="","",IF(INDEX('Holidays Calc'!$I$2:$I$233,AR293+1)=A293,INDEX('Holidays Calc'!$K$2:$K$233,AR293+1),""))</f>
        <v/>
      </c>
      <c r="Y293" t="str">
        <f ca="1">IF(AR293="","",IF(INDEX('Holidays Calc'!$I$2:$I$233,AR293+2)=A293,INDEX('Holidays Calc'!$K$2:$K$233,AR293+2),""))</f>
        <v/>
      </c>
      <c r="Z293" t="str">
        <f ca="1">IF(AR293="","",IF(INDEX('Holidays Calc'!$I$2:$I$233,AR293+3)=A293,INDEX('Holidays Calc'!$K$2:$K$2333,AR293+3),""))</f>
        <v/>
      </c>
      <c r="AA293" t="str">
        <f>IF(I293="Last day of Bhisma Pancaka","",IF(G293="*",-0.7,IF(ISBLANK(INDEX(GCalXMLT[dclass1],$D293)),"",INDEX(GCalXMLT[dclass1],$D293))))</f>
        <v/>
      </c>
      <c r="AB293" t="str">
        <f>IF(J293="First day of Bhisma Pancaka","",IF(AND(G293="*",NOT(ISERROR(SEARCH("ekadasi",J293)))),-0.7,IF(ISBLANK(INDEX(GCalXMLT[dclass2],$D293)),"",INDEX(GCalXMLT[dclass2],$D293))))</f>
        <v/>
      </c>
      <c r="AC293" t="str">
        <f>IF(I293="Nandotsava",-1,IF(ISBLANK(INDEX(GCalXMLT[dclass3],$D293)),"",INDEX(GCalXMLT[dclass3],$D293)))</f>
        <v/>
      </c>
      <c r="AD293" t="str">
        <f>IF(I293="Nandotsava",IF(ISBLANK(INDEX(GCalXMLT[dclass3],$D293)),"",INDEX(GCalXMLT[dclass3],$D293)),IF(ISBLANK(INDEX(GCalXMLT[dclass4],$D293)),"",INDEX(GCalXMLT[dclass4],$D293)))</f>
        <v/>
      </c>
      <c r="AE293">
        <f>IFERROR(INDEX(Festivals!$V$2:$V$160,AP293),"")</f>
        <v>2</v>
      </c>
      <c r="AF293">
        <f>IFERROR(IF($AQ293&gt;1,INDEX(Festivals!$V$2:$V$160,$AP293+1),""),"")</f>
        <v>-1</v>
      </c>
      <c r="AG293" t="str">
        <f>IFERROR(IF($AQ293&gt;2,INDEX(Festivals!$V$2:$V$160,$AP293+2),""),"")</f>
        <v/>
      </c>
      <c r="AH293" t="str">
        <f>IFERROR(IF($AQ293&gt;3,INDEX(Festivals!$V$2:$V$160,$AP293+3),""),"")</f>
        <v/>
      </c>
      <c r="AI293" t="str">
        <f>IFERROR(IF($AQ293&gt;4,INDEX(Festivals!$V$2:$V$160,$AP293+4),""),"")</f>
        <v/>
      </c>
      <c r="AJ293" t="str">
        <f>IFERROR(IF($AQ293&gt;5,INDEX(Festivals!$V$2:$V$160,$AP293+5),""),"")</f>
        <v/>
      </c>
      <c r="AK293" t="str">
        <f>IFERROR(IF($AQ293&gt;6,INDEX(Festivals!$V$2:$V$160,$AP293+6),""),"")</f>
        <v/>
      </c>
      <c r="AL293" t="str">
        <f ca="1">IFERROR(INDEX('Holidays Calc'!$J$2:$J$233,MATCH(A293,'Holidays Calc'!$I$2:$I$233,0)),"")</f>
        <v/>
      </c>
      <c r="AM293" t="str">
        <f ca="1">IF(AR293="","",IF(INDEX('Holidays Calc'!$I$2:$I$233,AR293+1)=A293,INDEX('Holidays Calc'!$J$2:$J$233,AR293+1),""))</f>
        <v/>
      </c>
      <c r="AN293" t="str">
        <f ca="1">IF(AR293="","",IF(INDEX('Holidays Calc'!$I$2:$I$233,AR293+2)=A293,INDEX('Holidays Calc'!$J$2:$J$233,AR293+2),""))</f>
        <v/>
      </c>
      <c r="AO293" t="str">
        <f ca="1">IF(AR293="","",IF(INDEX('Holidays Calc'!$I$2:$I$233,AR293+3)=A293,INDEX('Holidays Calc'!$J$2:$J$233,AR293+3),""))</f>
        <v/>
      </c>
      <c r="AP293">
        <f>IFERROR(IF($E293=E292,"",MATCH($E293,Festivals!$H$2:$H$160,0)),"")</f>
        <v>68</v>
      </c>
      <c r="AQ293">
        <f>IF(AP293="","",COUNTIF(Festivals!$H$2:$H$160,$E293))</f>
        <v>2</v>
      </c>
      <c r="AR293" t="str">
        <f ca="1">IFERROR(MATCH(A293,'Holidays Calc'!$I$2:$I$233,0),"")</f>
        <v/>
      </c>
      <c r="AS293">
        <f t="shared" si="32"/>
        <v>-1</v>
      </c>
      <c r="AT293">
        <f t="shared" si="31"/>
        <v>-0.3</v>
      </c>
      <c r="AU293" t="str">
        <f t="shared" ca="1" si="33"/>
        <v/>
      </c>
      <c r="AV293">
        <f t="shared" ca="1" si="34"/>
        <v>-0.3</v>
      </c>
    </row>
    <row r="294" spans="1:48" x14ac:dyDescent="0.25">
      <c r="A294" s="265">
        <f t="shared" si="30"/>
        <v>43720</v>
      </c>
      <c r="B294" s="265" t="str">
        <f t="shared" si="35"/>
        <v>12 Sep 2019</v>
      </c>
      <c r="C294" s="267">
        <f t="shared" si="36"/>
        <v>37</v>
      </c>
      <c r="D294">
        <f>MATCH(A294,GCalXMLT[daydate],0)</f>
        <v>293</v>
      </c>
      <c r="E294">
        <f>VALUE("1" &amp; Masacod(INDEX(GCalXMLT[gymasa],D294)) &amp; PaksaCod(INDEX(GCalXMLT[mpaksaid],D294)) &amp; TithiCod(INDEX(GCalXMLT[stithiname],D294)))</f>
        <v>106114</v>
      </c>
      <c r="F294" t="str">
        <f ca="1">INDEX(Parameters!$K$2:$K$16,MATCH(AV294,Parameters!$L$2:$L$16,0))</f>
        <v>C</v>
      </c>
      <c r="G294">
        <f>INDEX(GCalXMLT[fastmark],$D294)</f>
        <v>0</v>
      </c>
      <c r="H294" t="str">
        <f ca="1">INDEX(Parameters!$J$2:$J$16,MATCH(AV294,Parameters!$L$2:$L$16,0))</f>
        <v/>
      </c>
      <c r="I294">
        <f>INDEX(GCalXMLT[dfestival1],$D294)</f>
        <v>0</v>
      </c>
      <c r="J294">
        <f>IF(INDEX(GCalXMLT[dfestival2],$D294)="(Fast today)",INDEX(Festivals!$R$2:$R$180,MATCH($I294,Festivals!$R$2:$R$180,0)+1),INDEX(GCalXMLT[dfestival2],$D294))</f>
        <v>0</v>
      </c>
      <c r="K294">
        <f>IF(I294="Nandotsava","(Fast till noon)",INDEX(GCalXMLT[dfestival3],$D294))</f>
        <v>0</v>
      </c>
      <c r="L294">
        <f>IF(I294="Nandotsava", INDEX(GCalXMLT[dfestival3],$D294),INDEX(GCalXMLT[dfestival4],$D294))</f>
        <v>0</v>
      </c>
      <c r="M294" t="str">
        <f>IFERROR(INDEX(Festivals!$S$2:$S$160,AP294),"")</f>
        <v>Ananta Caturdasi Vrata</v>
      </c>
      <c r="N294" t="str">
        <f>IFERROR(IF($AQ294&gt;1,INDEX(Festivals!$S$2:$S$160,$AP294+1),""),"")</f>
        <v>Srila Haridasa Thakura - Disappearance</v>
      </c>
      <c r="O294" t="str">
        <f>IFERROR(IF($AQ294&gt;2,INDEX(Festivals!$S$2:$S$160,$AP294+2),""),"")</f>
        <v/>
      </c>
      <c r="P294" t="str">
        <f>IFERROR(IF($AQ294&gt;3,INDEX(Festivals!$S$2:$S$160,$AP294+3),""),"")</f>
        <v/>
      </c>
      <c r="Q294" t="str">
        <f>IFERROR(IF($AQ294&gt;4,INDEX(Festivals!$S$2:$S$160,$AP294+4),""),"")</f>
        <v/>
      </c>
      <c r="R294" t="str">
        <f>IFERROR(IF($AQ294&gt;5,INDEX(Festivals!$S$2:$S$160,$AP294+5),""),"")</f>
        <v/>
      </c>
      <c r="S294" t="str">
        <f>IFERROR(IF($AQ294&gt;6,INDEX(Festivals!$S$2:$S$160,$AP294+6),""),"")</f>
        <v/>
      </c>
      <c r="T294" t="str">
        <f>INDEX(GCalXMLT[dcaturmasya1],$D294)</f>
        <v>2last_PURNIMA_</v>
      </c>
      <c r="U294">
        <f>INDEX(GCalXMLT[dcaturmasya2],$D294)</f>
        <v>0</v>
      </c>
      <c r="V294" t="str">
        <f>INDEX(GCalXMLT[sankrantirasi],$D294) &amp; " " &amp; INDEX(GCalXMLT[sankrantitime],$D294)</f>
        <v xml:space="preserve"> </v>
      </c>
      <c r="W294" t="str">
        <f ca="1">IFERROR(INDEX('Holidays Calc'!$K$2:$K$233,AR294),"")</f>
        <v/>
      </c>
      <c r="X294" t="str">
        <f ca="1">IF(AR294="","",IF(INDEX('Holidays Calc'!$I$2:$I$233,AR294+1)=A294,INDEX('Holidays Calc'!$K$2:$K$233,AR294+1),""))</f>
        <v/>
      </c>
      <c r="Y294" t="str">
        <f ca="1">IF(AR294="","",IF(INDEX('Holidays Calc'!$I$2:$I$233,AR294+2)=A294,INDEX('Holidays Calc'!$K$2:$K$233,AR294+2),""))</f>
        <v/>
      </c>
      <c r="Z294" t="str">
        <f ca="1">IF(AR294="","",IF(INDEX('Holidays Calc'!$I$2:$I$233,AR294+3)=A294,INDEX('Holidays Calc'!$K$2:$K$2333,AR294+3),""))</f>
        <v/>
      </c>
      <c r="AA294" t="str">
        <f>IF(I294="Last day of Bhisma Pancaka","",IF(G294="*",-0.7,IF(ISBLANK(INDEX(GCalXMLT[dclass1],$D294)),"",INDEX(GCalXMLT[dclass1],$D294))))</f>
        <v/>
      </c>
      <c r="AB294" t="str">
        <f>IF(J294="First day of Bhisma Pancaka","",IF(AND(G294="*",NOT(ISERROR(SEARCH("ekadasi",J294)))),-0.7,IF(ISBLANK(INDEX(GCalXMLT[dclass2],$D294)),"",INDEX(GCalXMLT[dclass2],$D294))))</f>
        <v/>
      </c>
      <c r="AC294" t="str">
        <f>IF(I294="Nandotsava",-1,IF(ISBLANK(INDEX(GCalXMLT[dclass3],$D294)),"",INDEX(GCalXMLT[dclass3],$D294)))</f>
        <v/>
      </c>
      <c r="AD294" t="str">
        <f>IF(I294="Nandotsava",IF(ISBLANK(INDEX(GCalXMLT[dclass3],$D294)),"",INDEX(GCalXMLT[dclass3],$D294)),IF(ISBLANK(INDEX(GCalXMLT[dclass4],$D294)),"",INDEX(GCalXMLT[dclass4],$D294)))</f>
        <v/>
      </c>
      <c r="AE294">
        <f>IFERROR(INDEX(Festivals!$V$2:$V$160,AP294),"")</f>
        <v>1</v>
      </c>
      <c r="AF294">
        <f>IFERROR(IF($AQ294&gt;1,INDEX(Festivals!$V$2:$V$160,$AP294+1),""),"")</f>
        <v>3</v>
      </c>
      <c r="AG294" t="str">
        <f>IFERROR(IF($AQ294&gt;2,INDEX(Festivals!$V$2:$V$160,$AP294+2),""),"")</f>
        <v/>
      </c>
      <c r="AH294" t="str">
        <f>IFERROR(IF($AQ294&gt;3,INDEX(Festivals!$V$2:$V$160,$AP294+3),""),"")</f>
        <v/>
      </c>
      <c r="AI294" t="str">
        <f>IFERROR(IF($AQ294&gt;4,INDEX(Festivals!$V$2:$V$160,$AP294+4),""),"")</f>
        <v/>
      </c>
      <c r="AJ294" t="str">
        <f>IFERROR(IF($AQ294&gt;5,INDEX(Festivals!$V$2:$V$160,$AP294+5),""),"")</f>
        <v/>
      </c>
      <c r="AK294" t="str">
        <f>IFERROR(IF($AQ294&gt;6,INDEX(Festivals!$V$2:$V$160,$AP294+6),""),"")</f>
        <v/>
      </c>
      <c r="AL294" t="str">
        <f ca="1">IFERROR(INDEX('Holidays Calc'!$J$2:$J$233,MATCH(A294,'Holidays Calc'!$I$2:$I$233,0)),"")</f>
        <v/>
      </c>
      <c r="AM294" t="str">
        <f ca="1">IF(AR294="","",IF(INDEX('Holidays Calc'!$I$2:$I$233,AR294+1)=A294,INDEX('Holidays Calc'!$J$2:$J$233,AR294+1),""))</f>
        <v/>
      </c>
      <c r="AN294" t="str">
        <f ca="1">IF(AR294="","",IF(INDEX('Holidays Calc'!$I$2:$I$233,AR294+2)=A294,INDEX('Holidays Calc'!$J$2:$J$233,AR294+2),""))</f>
        <v/>
      </c>
      <c r="AO294" t="str">
        <f ca="1">IF(AR294="","",IF(INDEX('Holidays Calc'!$I$2:$I$233,AR294+3)=A294,INDEX('Holidays Calc'!$J$2:$J$233,AR294+3),""))</f>
        <v/>
      </c>
      <c r="AP294">
        <f>IFERROR(IF($E294=E293,"",MATCH($E294,Festivals!$H$2:$H$160,0)),"")</f>
        <v>71</v>
      </c>
      <c r="AQ294">
        <f>IF(AP294="","",COUNTIF(Festivals!$H$2:$H$160,$E294))</f>
        <v>2</v>
      </c>
      <c r="AR294" t="str">
        <f ca="1">IFERROR(MATCH(A294,'Holidays Calc'!$I$2:$I$233,0),"")</f>
        <v/>
      </c>
      <c r="AS294">
        <f t="shared" si="32"/>
        <v>1</v>
      </c>
      <c r="AT294">
        <f t="shared" si="31"/>
        <v>1</v>
      </c>
      <c r="AU294" t="str">
        <f t="shared" ca="1" si="33"/>
        <v/>
      </c>
      <c r="AV294">
        <f t="shared" ca="1" si="34"/>
        <v>1</v>
      </c>
    </row>
    <row r="295" spans="1:48" x14ac:dyDescent="0.25">
      <c r="A295" s="265">
        <f t="shared" si="30"/>
        <v>43721</v>
      </c>
      <c r="B295" s="265" t="str">
        <f t="shared" si="35"/>
        <v>13 Sep 2019</v>
      </c>
      <c r="C295" s="267">
        <f t="shared" si="36"/>
        <v>37</v>
      </c>
      <c r="D295">
        <f>MATCH(A295,GCalXMLT[daydate],0)</f>
        <v>294</v>
      </c>
      <c r="E295">
        <f>VALUE("1" &amp; Masacod(INDEX(GCalXMLT[gymasa],D295)) &amp; PaksaCod(INDEX(GCalXMLT[mpaksaid],D295)) &amp; TithiCod(INDEX(GCalXMLT[stithiname],D295)))</f>
        <v>106115</v>
      </c>
      <c r="F295" t="str">
        <f ca="1">INDEX(Parameters!$K$2:$K$16,MATCH(AV295,Parameters!$L$2:$L$16,0))</f>
        <v>C</v>
      </c>
      <c r="G295">
        <f>INDEX(GCalXMLT[fastmark],$D295)</f>
        <v>0</v>
      </c>
      <c r="H295" t="str">
        <f ca="1">INDEX(Parameters!$J$2:$J$16,MATCH(AV295,Parameters!$L$2:$L$16,0))</f>
        <v/>
      </c>
      <c r="I295">
        <f>INDEX(GCalXMLT[dfestival1],$D295)</f>
        <v>0</v>
      </c>
      <c r="J295">
        <f>IF(INDEX(GCalXMLT[dfestival2],$D295)="(Fast today)",INDEX(Festivals!$R$2:$R$180,MATCH($I295,Festivals!$R$2:$R$180,0)+1),INDEX(GCalXMLT[dfestival2],$D295))</f>
        <v>0</v>
      </c>
      <c r="K295">
        <f>IF(I295="Nandotsava","(Fast till noon)",INDEX(GCalXMLT[dfestival3],$D295))</f>
        <v>0</v>
      </c>
      <c r="L295">
        <f>IF(I295="Nandotsava", INDEX(GCalXMLT[dfestival3],$D295),INDEX(GCalXMLT[dfestival4],$D295))</f>
        <v>0</v>
      </c>
      <c r="M295" t="str">
        <f>IFERROR(INDEX(Festivals!$S$2:$S$160,AP295),"")</f>
        <v>Sri Visvarupa Mahotsava</v>
      </c>
      <c r="N295" t="str">
        <f>IFERROR(IF($AQ295&gt;1,INDEX(Festivals!$S$2:$S$160,$AP295+1),""),"")</f>
        <v>Acceptance of sannyasa by Srila Prabhupada</v>
      </c>
      <c r="O295" t="str">
        <f>IFERROR(IF($AQ295&gt;2,INDEX(Festivals!$S$2:$S$160,$AP295+2),""),"")</f>
        <v/>
      </c>
      <c r="P295" t="str">
        <f>IFERROR(IF($AQ295&gt;3,INDEX(Festivals!$S$2:$S$160,$AP295+3),""),"")</f>
        <v/>
      </c>
      <c r="Q295" t="str">
        <f>IFERROR(IF($AQ295&gt;4,INDEX(Festivals!$S$2:$S$160,$AP295+4),""),"")</f>
        <v/>
      </c>
      <c r="R295" t="str">
        <f>IFERROR(IF($AQ295&gt;5,INDEX(Festivals!$S$2:$S$160,$AP295+5),""),"")</f>
        <v/>
      </c>
      <c r="S295" t="str">
        <f>IFERROR(IF($AQ295&gt;6,INDEX(Festivals!$S$2:$S$160,$AP295+6),""),"")</f>
        <v/>
      </c>
      <c r="T295" t="str">
        <f>INDEX(GCalXMLT[dcaturmasya1],$D295)</f>
        <v>3first_PURNIMA_</v>
      </c>
      <c r="U295" t="str">
        <f>INDEX(GCalXMLT[dcaturmasya2],$D295)</f>
        <v>2last_PRATIPAT</v>
      </c>
      <c r="V295" t="str">
        <f>INDEX(GCalXMLT[sankrantirasi],$D295) &amp; " " &amp; INDEX(GCalXMLT[sankrantitime],$D295)</f>
        <v xml:space="preserve"> </v>
      </c>
      <c r="W295" t="str">
        <f ca="1">IFERROR(INDEX('Holidays Calc'!$K$2:$K$233,AR295),"")</f>
        <v/>
      </c>
      <c r="X295" t="str">
        <f ca="1">IF(AR295="","",IF(INDEX('Holidays Calc'!$I$2:$I$233,AR295+1)=A295,INDEX('Holidays Calc'!$K$2:$K$233,AR295+1),""))</f>
        <v/>
      </c>
      <c r="Y295" t="str">
        <f ca="1">IF(AR295="","",IF(INDEX('Holidays Calc'!$I$2:$I$233,AR295+2)=A295,INDEX('Holidays Calc'!$K$2:$K$233,AR295+2),""))</f>
        <v/>
      </c>
      <c r="Z295" t="str">
        <f ca="1">IF(AR295="","",IF(INDEX('Holidays Calc'!$I$2:$I$233,AR295+3)=A295,INDEX('Holidays Calc'!$K$2:$K$2333,AR295+3),""))</f>
        <v/>
      </c>
      <c r="AA295" t="str">
        <f>IF(I295="Last day of Bhisma Pancaka","",IF(G295="*",-0.7,IF(ISBLANK(INDEX(GCalXMLT[dclass1],$D295)),"",INDEX(GCalXMLT[dclass1],$D295))))</f>
        <v/>
      </c>
      <c r="AB295" t="str">
        <f>IF(J295="First day of Bhisma Pancaka","",IF(AND(G295="*",NOT(ISERROR(SEARCH("ekadasi",J295)))),-0.7,IF(ISBLANK(INDEX(GCalXMLT[dclass2],$D295)),"",INDEX(GCalXMLT[dclass2],$D295))))</f>
        <v/>
      </c>
      <c r="AC295" t="str">
        <f>IF(I295="Nandotsava",-1,IF(ISBLANK(INDEX(GCalXMLT[dclass3],$D295)),"",INDEX(GCalXMLT[dclass3],$D295)))</f>
        <v/>
      </c>
      <c r="AD295" t="str">
        <f>IF(I295="Nandotsava",IF(ISBLANK(INDEX(GCalXMLT[dclass3],$D295)),"",INDEX(GCalXMLT[dclass3],$D295)),IF(ISBLANK(INDEX(GCalXMLT[dclass4],$D295)),"",INDEX(GCalXMLT[dclass4],$D295)))</f>
        <v/>
      </c>
      <c r="AE295">
        <f>IFERROR(INDEX(Festivals!$V$2:$V$160,AP295),"")</f>
        <v>1</v>
      </c>
      <c r="AF295">
        <f>IFERROR(IF($AQ295&gt;1,INDEX(Festivals!$V$2:$V$160,$AP295+1),""),"")</f>
        <v>4</v>
      </c>
      <c r="AG295" t="str">
        <f>IFERROR(IF($AQ295&gt;2,INDEX(Festivals!$V$2:$V$160,$AP295+2),""),"")</f>
        <v/>
      </c>
      <c r="AH295" t="str">
        <f>IFERROR(IF($AQ295&gt;3,INDEX(Festivals!$V$2:$V$160,$AP295+3),""),"")</f>
        <v/>
      </c>
      <c r="AI295" t="str">
        <f>IFERROR(IF($AQ295&gt;4,INDEX(Festivals!$V$2:$V$160,$AP295+4),""),"")</f>
        <v/>
      </c>
      <c r="AJ295" t="str">
        <f>IFERROR(IF($AQ295&gt;5,INDEX(Festivals!$V$2:$V$160,$AP295+5),""),"")</f>
        <v/>
      </c>
      <c r="AK295" t="str">
        <f>IFERROR(IF($AQ295&gt;6,INDEX(Festivals!$V$2:$V$160,$AP295+6),""),"")</f>
        <v/>
      </c>
      <c r="AL295" t="str">
        <f ca="1">IFERROR(INDEX('Holidays Calc'!$J$2:$J$233,MATCH(A295,'Holidays Calc'!$I$2:$I$233,0)),"")</f>
        <v/>
      </c>
      <c r="AM295" t="str">
        <f ca="1">IF(AR295="","",IF(INDEX('Holidays Calc'!$I$2:$I$233,AR295+1)=A295,INDEX('Holidays Calc'!$J$2:$J$233,AR295+1),""))</f>
        <v/>
      </c>
      <c r="AN295" t="str">
        <f ca="1">IF(AR295="","",IF(INDEX('Holidays Calc'!$I$2:$I$233,AR295+2)=A295,INDEX('Holidays Calc'!$J$2:$J$233,AR295+2),""))</f>
        <v/>
      </c>
      <c r="AO295" t="str">
        <f ca="1">IF(AR295="","",IF(INDEX('Holidays Calc'!$I$2:$I$233,AR295+3)=A295,INDEX('Holidays Calc'!$J$2:$J$233,AR295+3),""))</f>
        <v/>
      </c>
      <c r="AP295">
        <f>IFERROR(IF($E295=E294,"",MATCH($E295,Festivals!$H$2:$H$160,0)),"")</f>
        <v>73</v>
      </c>
      <c r="AQ295">
        <f>IF(AP295="","",COUNTIF(Festivals!$H$2:$H$160,$E295))</f>
        <v>2</v>
      </c>
      <c r="AR295" t="str">
        <f ca="1">IFERROR(MATCH(A295,'Holidays Calc'!$I$2:$I$233,0),"")</f>
        <v/>
      </c>
      <c r="AS295">
        <f t="shared" si="32"/>
        <v>1</v>
      </c>
      <c r="AT295">
        <f t="shared" si="31"/>
        <v>1</v>
      </c>
      <c r="AU295" t="str">
        <f t="shared" ca="1" si="33"/>
        <v/>
      </c>
      <c r="AV295">
        <f t="shared" ca="1" si="34"/>
        <v>1</v>
      </c>
    </row>
    <row r="296" spans="1:48" x14ac:dyDescent="0.25">
      <c r="A296" s="265">
        <f t="shared" si="30"/>
        <v>43722</v>
      </c>
      <c r="B296" s="265" t="str">
        <f t="shared" si="35"/>
        <v>14 Sep 2019</v>
      </c>
      <c r="C296" s="267">
        <f t="shared" si="36"/>
        <v>37</v>
      </c>
      <c r="D296">
        <f>MATCH(A296,GCalXMLT[daydate],0)</f>
        <v>295</v>
      </c>
      <c r="E296">
        <f>VALUE("1" &amp; Masacod(INDEX(GCalXMLT[gymasa],D296)) &amp; PaksaCod(INDEX(GCalXMLT[mpaksaid],D296)) &amp; TithiCod(INDEX(GCalXMLT[stithiname],D296)))</f>
        <v>107001</v>
      </c>
      <c r="F296" t="str">
        <f ca="1">INDEX(Parameters!$K$2:$K$16,MATCH(AV296,Parameters!$L$2:$L$16,0))</f>
        <v/>
      </c>
      <c r="G296">
        <f>INDEX(GCalXMLT[fastmark],$D296)</f>
        <v>0</v>
      </c>
      <c r="H296" t="str">
        <f ca="1">INDEX(Parameters!$J$2:$J$16,MATCH(AV296,Parameters!$L$2:$L$16,0))</f>
        <v/>
      </c>
      <c r="I296">
        <f>INDEX(GCalXMLT[dfestival1],$D296)</f>
        <v>0</v>
      </c>
      <c r="J296">
        <f>IF(INDEX(GCalXMLT[dfestival2],$D296)="(Fast today)",INDEX(Festivals!$R$2:$R$180,MATCH($I296,Festivals!$R$2:$R$180,0)+1),INDEX(GCalXMLT[dfestival2],$D296))</f>
        <v>0</v>
      </c>
      <c r="K296">
        <f>IF(I296="Nandotsava","(Fast till noon)",INDEX(GCalXMLT[dfestival3],$D296))</f>
        <v>0</v>
      </c>
      <c r="L296">
        <f>IF(I296="Nandotsava", INDEX(GCalXMLT[dfestival3],$D296),INDEX(GCalXMLT[dfestival4],$D296))</f>
        <v>0</v>
      </c>
      <c r="M296" t="str">
        <f>IFERROR(INDEX(Festivals!$S$2:$S$160,AP296),"")</f>
        <v/>
      </c>
      <c r="N296" t="str">
        <f>IFERROR(IF($AQ296&gt;1,INDEX(Festivals!$S$2:$S$160,$AP296+1),""),"")</f>
        <v/>
      </c>
      <c r="O296" t="str">
        <f>IFERROR(IF($AQ296&gt;2,INDEX(Festivals!$S$2:$S$160,$AP296+2),""),"")</f>
        <v/>
      </c>
      <c r="P296" t="str">
        <f>IFERROR(IF($AQ296&gt;3,INDEX(Festivals!$S$2:$S$160,$AP296+3),""),"")</f>
        <v/>
      </c>
      <c r="Q296" t="str">
        <f>IFERROR(IF($AQ296&gt;4,INDEX(Festivals!$S$2:$S$160,$AP296+4),""),"")</f>
        <v/>
      </c>
      <c r="R296" t="str">
        <f>IFERROR(IF($AQ296&gt;5,INDEX(Festivals!$S$2:$S$160,$AP296+5),""),"")</f>
        <v/>
      </c>
      <c r="S296" t="str">
        <f>IFERROR(IF($AQ296&gt;6,INDEX(Festivals!$S$2:$S$160,$AP296+6),""),"")</f>
        <v/>
      </c>
      <c r="T296" t="str">
        <f>INDEX(GCalXMLT[dcaturmasya1],$D296)</f>
        <v>3first_PRATIPAT</v>
      </c>
      <c r="U296">
        <f>INDEX(GCalXMLT[dcaturmasya2],$D296)</f>
        <v>0</v>
      </c>
      <c r="V296" t="str">
        <f>INDEX(GCalXMLT[sankrantirasi],$D296) &amp; " " &amp; INDEX(GCalXMLT[sankrantitime],$D296)</f>
        <v xml:space="preserve"> </v>
      </c>
      <c r="W296" t="str">
        <f ca="1">IFERROR(INDEX('Holidays Calc'!$K$2:$K$233,AR296),"")</f>
        <v/>
      </c>
      <c r="X296" t="str">
        <f ca="1">IF(AR296="","",IF(INDEX('Holidays Calc'!$I$2:$I$233,AR296+1)=A296,INDEX('Holidays Calc'!$K$2:$K$233,AR296+1),""))</f>
        <v/>
      </c>
      <c r="Y296" t="str">
        <f ca="1">IF(AR296="","",IF(INDEX('Holidays Calc'!$I$2:$I$233,AR296+2)=A296,INDEX('Holidays Calc'!$K$2:$K$233,AR296+2),""))</f>
        <v/>
      </c>
      <c r="Z296" t="str">
        <f ca="1">IF(AR296="","",IF(INDEX('Holidays Calc'!$I$2:$I$233,AR296+3)=A296,INDEX('Holidays Calc'!$K$2:$K$2333,AR296+3),""))</f>
        <v/>
      </c>
      <c r="AA296" t="str">
        <f>IF(I296="Last day of Bhisma Pancaka","",IF(G296="*",-0.7,IF(ISBLANK(INDEX(GCalXMLT[dclass1],$D296)),"",INDEX(GCalXMLT[dclass1],$D296))))</f>
        <v/>
      </c>
      <c r="AB296" t="str">
        <f>IF(J296="First day of Bhisma Pancaka","",IF(AND(G296="*",NOT(ISERROR(SEARCH("ekadasi",J296)))),-0.7,IF(ISBLANK(INDEX(GCalXMLT[dclass2],$D296)),"",INDEX(GCalXMLT[dclass2],$D296))))</f>
        <v/>
      </c>
      <c r="AC296" t="str">
        <f>IF(I296="Nandotsava",-1,IF(ISBLANK(INDEX(GCalXMLT[dclass3],$D296)),"",INDEX(GCalXMLT[dclass3],$D296)))</f>
        <v/>
      </c>
      <c r="AD296" t="str">
        <f>IF(I296="Nandotsava",IF(ISBLANK(INDEX(GCalXMLT[dclass3],$D296)),"",INDEX(GCalXMLT[dclass3],$D296)),IF(ISBLANK(INDEX(GCalXMLT[dclass4],$D296)),"",INDEX(GCalXMLT[dclass4],$D296)))</f>
        <v/>
      </c>
      <c r="AE296" t="str">
        <f>IFERROR(INDEX(Festivals!$V$2:$V$160,AP296),"")</f>
        <v/>
      </c>
      <c r="AF296" t="str">
        <f>IFERROR(IF($AQ296&gt;1,INDEX(Festivals!$V$2:$V$160,$AP296+1),""),"")</f>
        <v/>
      </c>
      <c r="AG296" t="str">
        <f>IFERROR(IF($AQ296&gt;2,INDEX(Festivals!$V$2:$V$160,$AP296+2),""),"")</f>
        <v/>
      </c>
      <c r="AH296" t="str">
        <f>IFERROR(IF($AQ296&gt;3,INDEX(Festivals!$V$2:$V$160,$AP296+3),""),"")</f>
        <v/>
      </c>
      <c r="AI296" t="str">
        <f>IFERROR(IF($AQ296&gt;4,INDEX(Festivals!$V$2:$V$160,$AP296+4),""),"")</f>
        <v/>
      </c>
      <c r="AJ296" t="str">
        <f>IFERROR(IF($AQ296&gt;5,INDEX(Festivals!$V$2:$V$160,$AP296+5),""),"")</f>
        <v/>
      </c>
      <c r="AK296" t="str">
        <f>IFERROR(IF($AQ296&gt;6,INDEX(Festivals!$V$2:$V$160,$AP296+6),""),"")</f>
        <v/>
      </c>
      <c r="AL296" t="str">
        <f ca="1">IFERROR(INDEX('Holidays Calc'!$J$2:$J$233,MATCH(A296,'Holidays Calc'!$I$2:$I$233,0)),"")</f>
        <v/>
      </c>
      <c r="AM296" t="str">
        <f ca="1">IF(AR296="","",IF(INDEX('Holidays Calc'!$I$2:$I$233,AR296+1)=A296,INDEX('Holidays Calc'!$J$2:$J$233,AR296+1),""))</f>
        <v/>
      </c>
      <c r="AN296" t="str">
        <f ca="1">IF(AR296="","",IF(INDEX('Holidays Calc'!$I$2:$I$233,AR296+2)=A296,INDEX('Holidays Calc'!$J$2:$J$233,AR296+2),""))</f>
        <v/>
      </c>
      <c r="AO296" t="str">
        <f ca="1">IF(AR296="","",IF(INDEX('Holidays Calc'!$I$2:$I$233,AR296+3)=A296,INDEX('Holidays Calc'!$J$2:$J$233,AR296+3),""))</f>
        <v/>
      </c>
      <c r="AP296" t="str">
        <f>IFERROR(IF($E296=E295,"",MATCH($E296,Festivals!$H$2:$H$160,0)),"")</f>
        <v/>
      </c>
      <c r="AQ296" t="str">
        <f>IF(AP296="","",COUNTIF(Festivals!$H$2:$H$160,$E296))</f>
        <v/>
      </c>
      <c r="AR296" t="str">
        <f ca="1">IFERROR(MATCH(A296,'Holidays Calc'!$I$2:$I$233,0),"")</f>
        <v/>
      </c>
      <c r="AS296" t="str">
        <f t="shared" si="32"/>
        <v/>
      </c>
      <c r="AT296" t="str">
        <f t="shared" si="31"/>
        <v/>
      </c>
      <c r="AU296" t="str">
        <f t="shared" ca="1" si="33"/>
        <v/>
      </c>
      <c r="AV296" t="str">
        <f t="shared" ca="1" si="34"/>
        <v/>
      </c>
    </row>
    <row r="297" spans="1:48" x14ac:dyDescent="0.25">
      <c r="A297" s="265">
        <f t="shared" si="30"/>
        <v>43723</v>
      </c>
      <c r="B297" s="265" t="str">
        <f t="shared" si="35"/>
        <v>15 Sep 2019</v>
      </c>
      <c r="C297" s="267">
        <f t="shared" si="36"/>
        <v>37</v>
      </c>
      <c r="D297">
        <f>MATCH(A297,GCalXMLT[daydate],0)</f>
        <v>296</v>
      </c>
      <c r="E297">
        <f>VALUE("1" &amp; Masacod(INDEX(GCalXMLT[gymasa],D297)) &amp; PaksaCod(INDEX(GCalXMLT[mpaksaid],D297)) &amp; TithiCod(INDEX(GCalXMLT[stithiname],D297)))</f>
        <v>107002</v>
      </c>
      <c r="F297" t="str">
        <f ca="1">INDEX(Parameters!$K$2:$K$16,MATCH(AV297,Parameters!$L$2:$L$16,0))</f>
        <v/>
      </c>
      <c r="G297">
        <f>INDEX(GCalXMLT[fastmark],$D297)</f>
        <v>0</v>
      </c>
      <c r="H297" t="str">
        <f ca="1">INDEX(Parameters!$J$2:$J$16,MATCH(AV297,Parameters!$L$2:$L$16,0))</f>
        <v/>
      </c>
      <c r="I297">
        <f>INDEX(GCalXMLT[dfestival1],$D297)</f>
        <v>0</v>
      </c>
      <c r="J297">
        <f>IF(INDEX(GCalXMLT[dfestival2],$D297)="(Fast today)",INDEX(Festivals!$R$2:$R$180,MATCH($I297,Festivals!$R$2:$R$180,0)+1),INDEX(GCalXMLT[dfestival2],$D297))</f>
        <v>0</v>
      </c>
      <c r="K297">
        <f>IF(I297="Nandotsava","(Fast till noon)",INDEX(GCalXMLT[dfestival3],$D297))</f>
        <v>0</v>
      </c>
      <c r="L297">
        <f>IF(I297="Nandotsava", INDEX(GCalXMLT[dfestival3],$D297),INDEX(GCalXMLT[dfestival4],$D297))</f>
        <v>0</v>
      </c>
      <c r="M297" t="str">
        <f>IFERROR(INDEX(Festivals!$S$2:$S$160,AP297),"")</f>
        <v/>
      </c>
      <c r="N297" t="str">
        <f>IFERROR(IF($AQ297&gt;1,INDEX(Festivals!$S$2:$S$160,$AP297+1),""),"")</f>
        <v/>
      </c>
      <c r="O297" t="str">
        <f>IFERROR(IF($AQ297&gt;2,INDEX(Festivals!$S$2:$S$160,$AP297+2),""),"")</f>
        <v/>
      </c>
      <c r="P297" t="str">
        <f>IFERROR(IF($AQ297&gt;3,INDEX(Festivals!$S$2:$S$160,$AP297+3),""),"")</f>
        <v/>
      </c>
      <c r="Q297" t="str">
        <f>IFERROR(IF($AQ297&gt;4,INDEX(Festivals!$S$2:$S$160,$AP297+4),""),"")</f>
        <v/>
      </c>
      <c r="R297" t="str">
        <f>IFERROR(IF($AQ297&gt;5,INDEX(Festivals!$S$2:$S$160,$AP297+5),""),"")</f>
        <v/>
      </c>
      <c r="S297" t="str">
        <f>IFERROR(IF($AQ297&gt;6,INDEX(Festivals!$S$2:$S$160,$AP297+6),""),"")</f>
        <v/>
      </c>
      <c r="T297">
        <f>INDEX(GCalXMLT[dcaturmasya1],$D297)</f>
        <v>0</v>
      </c>
      <c r="U297">
        <f>INDEX(GCalXMLT[dcaturmasya2],$D297)</f>
        <v>0</v>
      </c>
      <c r="V297" t="str">
        <f>INDEX(GCalXMLT[sankrantirasi],$D297) &amp; " " &amp; INDEX(GCalXMLT[sankrantitime],$D297)</f>
        <v xml:space="preserve"> </v>
      </c>
      <c r="W297" t="str">
        <f ca="1">IFERROR(INDEX('Holidays Calc'!$K$2:$K$233,AR297),"")</f>
        <v/>
      </c>
      <c r="X297" t="str">
        <f ca="1">IF(AR297="","",IF(INDEX('Holidays Calc'!$I$2:$I$233,AR297+1)=A297,INDEX('Holidays Calc'!$K$2:$K$233,AR297+1),""))</f>
        <v/>
      </c>
      <c r="Y297" t="str">
        <f ca="1">IF(AR297="","",IF(INDEX('Holidays Calc'!$I$2:$I$233,AR297+2)=A297,INDEX('Holidays Calc'!$K$2:$K$233,AR297+2),""))</f>
        <v/>
      </c>
      <c r="Z297" t="str">
        <f ca="1">IF(AR297="","",IF(INDEX('Holidays Calc'!$I$2:$I$233,AR297+3)=A297,INDEX('Holidays Calc'!$K$2:$K$2333,AR297+3),""))</f>
        <v/>
      </c>
      <c r="AA297" t="str">
        <f>IF(I297="Last day of Bhisma Pancaka","",IF(G297="*",-0.7,IF(ISBLANK(INDEX(GCalXMLT[dclass1],$D297)),"",INDEX(GCalXMLT[dclass1],$D297))))</f>
        <v/>
      </c>
      <c r="AB297" t="str">
        <f>IF(J297="First day of Bhisma Pancaka","",IF(AND(G297="*",NOT(ISERROR(SEARCH("ekadasi",J297)))),-0.7,IF(ISBLANK(INDEX(GCalXMLT[dclass2],$D297)),"",INDEX(GCalXMLT[dclass2],$D297))))</f>
        <v/>
      </c>
      <c r="AC297" t="str">
        <f>IF(I297="Nandotsava",-1,IF(ISBLANK(INDEX(GCalXMLT[dclass3],$D297)),"",INDEX(GCalXMLT[dclass3],$D297)))</f>
        <v/>
      </c>
      <c r="AD297" t="str">
        <f>IF(I297="Nandotsava",IF(ISBLANK(INDEX(GCalXMLT[dclass3],$D297)),"",INDEX(GCalXMLT[dclass3],$D297)),IF(ISBLANK(INDEX(GCalXMLT[dclass4],$D297)),"",INDEX(GCalXMLT[dclass4],$D297)))</f>
        <v/>
      </c>
      <c r="AE297" t="str">
        <f>IFERROR(INDEX(Festivals!$V$2:$V$160,AP297),"")</f>
        <v/>
      </c>
      <c r="AF297" t="str">
        <f>IFERROR(IF($AQ297&gt;1,INDEX(Festivals!$V$2:$V$160,$AP297+1),""),"")</f>
        <v/>
      </c>
      <c r="AG297" t="str">
        <f>IFERROR(IF($AQ297&gt;2,INDEX(Festivals!$V$2:$V$160,$AP297+2),""),"")</f>
        <v/>
      </c>
      <c r="AH297" t="str">
        <f>IFERROR(IF($AQ297&gt;3,INDEX(Festivals!$V$2:$V$160,$AP297+3),""),"")</f>
        <v/>
      </c>
      <c r="AI297" t="str">
        <f>IFERROR(IF($AQ297&gt;4,INDEX(Festivals!$V$2:$V$160,$AP297+4),""),"")</f>
        <v/>
      </c>
      <c r="AJ297" t="str">
        <f>IFERROR(IF($AQ297&gt;5,INDEX(Festivals!$V$2:$V$160,$AP297+5),""),"")</f>
        <v/>
      </c>
      <c r="AK297" t="str">
        <f>IFERROR(IF($AQ297&gt;6,INDEX(Festivals!$V$2:$V$160,$AP297+6),""),"")</f>
        <v/>
      </c>
      <c r="AL297" t="str">
        <f ca="1">IFERROR(INDEX('Holidays Calc'!$J$2:$J$233,MATCH(A297,'Holidays Calc'!$I$2:$I$233,0)),"")</f>
        <v/>
      </c>
      <c r="AM297" t="str">
        <f ca="1">IF(AR297="","",IF(INDEX('Holidays Calc'!$I$2:$I$233,AR297+1)=A297,INDEX('Holidays Calc'!$J$2:$J$233,AR297+1),""))</f>
        <v/>
      </c>
      <c r="AN297" t="str">
        <f ca="1">IF(AR297="","",IF(INDEX('Holidays Calc'!$I$2:$I$233,AR297+2)=A297,INDEX('Holidays Calc'!$J$2:$J$233,AR297+2),""))</f>
        <v/>
      </c>
      <c r="AO297" t="str">
        <f ca="1">IF(AR297="","",IF(INDEX('Holidays Calc'!$I$2:$I$233,AR297+3)=A297,INDEX('Holidays Calc'!$J$2:$J$233,AR297+3),""))</f>
        <v/>
      </c>
      <c r="AP297" t="str">
        <f>IFERROR(IF($E297=E296,"",MATCH($E297,Festivals!$H$2:$H$160,0)),"")</f>
        <v/>
      </c>
      <c r="AQ297" t="str">
        <f>IF(AP297="","",COUNTIF(Festivals!$H$2:$H$160,$E297))</f>
        <v/>
      </c>
      <c r="AR297" t="str">
        <f ca="1">IFERROR(MATCH(A297,'Holidays Calc'!$I$2:$I$233,0),"")</f>
        <v/>
      </c>
      <c r="AS297" t="str">
        <f t="shared" si="32"/>
        <v/>
      </c>
      <c r="AT297" t="str">
        <f t="shared" si="31"/>
        <v/>
      </c>
      <c r="AU297" t="str">
        <f t="shared" ca="1" si="33"/>
        <v/>
      </c>
      <c r="AV297" t="str">
        <f t="shared" ca="1" si="34"/>
        <v/>
      </c>
    </row>
    <row r="298" spans="1:48" x14ac:dyDescent="0.25">
      <c r="A298" s="265">
        <f t="shared" si="30"/>
        <v>43724</v>
      </c>
      <c r="B298" s="265" t="str">
        <f t="shared" si="35"/>
        <v>16 Sep 2019</v>
      </c>
      <c r="C298" s="267">
        <f t="shared" si="36"/>
        <v>38</v>
      </c>
      <c r="D298">
        <f>MATCH(A298,GCalXMLT[daydate],0)</f>
        <v>297</v>
      </c>
      <c r="E298">
        <f>VALUE("1" &amp; Masacod(INDEX(GCalXMLT[gymasa],D298)) &amp; PaksaCod(INDEX(GCalXMLT[mpaksaid],D298)) &amp; TithiCod(INDEX(GCalXMLT[stithiname],D298)))</f>
        <v>107002</v>
      </c>
      <c r="F298" t="str">
        <f ca="1">INDEX(Parameters!$K$2:$K$16,MATCH(AV298,Parameters!$L$2:$L$16,0))</f>
        <v/>
      </c>
      <c r="G298">
        <f>INDEX(GCalXMLT[fastmark],$D298)</f>
        <v>0</v>
      </c>
      <c r="H298" t="str">
        <f ca="1">INDEX(Parameters!$J$2:$J$16,MATCH(AV298,Parameters!$L$2:$L$16,0))</f>
        <v/>
      </c>
      <c r="I298">
        <f>INDEX(GCalXMLT[dfestival1],$D298)</f>
        <v>0</v>
      </c>
      <c r="J298">
        <f>IF(INDEX(GCalXMLT[dfestival2],$D298)="(Fast today)",INDEX(Festivals!$R$2:$R$180,MATCH($I298,Festivals!$R$2:$R$180,0)+1),INDEX(GCalXMLT[dfestival2],$D298))</f>
        <v>0</v>
      </c>
      <c r="K298">
        <f>IF(I298="Nandotsava","(Fast till noon)",INDEX(GCalXMLT[dfestival3],$D298))</f>
        <v>0</v>
      </c>
      <c r="L298">
        <f>IF(I298="Nandotsava", INDEX(GCalXMLT[dfestival3],$D298),INDEX(GCalXMLT[dfestival4],$D298))</f>
        <v>0</v>
      </c>
      <c r="M298" t="str">
        <f>IFERROR(INDEX(Festivals!$S$2:$S$160,AP298),"")</f>
        <v/>
      </c>
      <c r="N298" t="str">
        <f>IFERROR(IF($AQ298&gt;1,INDEX(Festivals!$S$2:$S$160,$AP298+1),""),"")</f>
        <v/>
      </c>
      <c r="O298" t="str">
        <f>IFERROR(IF($AQ298&gt;2,INDEX(Festivals!$S$2:$S$160,$AP298+2),""),"")</f>
        <v/>
      </c>
      <c r="P298" t="str">
        <f>IFERROR(IF($AQ298&gt;3,INDEX(Festivals!$S$2:$S$160,$AP298+3),""),"")</f>
        <v/>
      </c>
      <c r="Q298" t="str">
        <f>IFERROR(IF($AQ298&gt;4,INDEX(Festivals!$S$2:$S$160,$AP298+4),""),"")</f>
        <v/>
      </c>
      <c r="R298" t="str">
        <f>IFERROR(IF($AQ298&gt;5,INDEX(Festivals!$S$2:$S$160,$AP298+5),""),"")</f>
        <v/>
      </c>
      <c r="S298" t="str">
        <f>IFERROR(IF($AQ298&gt;6,INDEX(Festivals!$S$2:$S$160,$AP298+6),""),"")</f>
        <v/>
      </c>
      <c r="T298">
        <f>INDEX(GCalXMLT[dcaturmasya1],$D298)</f>
        <v>0</v>
      </c>
      <c r="U298">
        <f>INDEX(GCalXMLT[dcaturmasya2],$D298)</f>
        <v>0</v>
      </c>
      <c r="V298" t="str">
        <f>INDEX(GCalXMLT[sankrantirasi],$D298) &amp; " " &amp; INDEX(GCalXMLT[sankrantitime],$D298)</f>
        <v xml:space="preserve"> </v>
      </c>
      <c r="W298" t="str">
        <f ca="1">IFERROR(INDEX('Holidays Calc'!$K$2:$K$233,AR298),"")</f>
        <v/>
      </c>
      <c r="X298" t="str">
        <f ca="1">IF(AR298="","",IF(INDEX('Holidays Calc'!$I$2:$I$233,AR298+1)=A298,INDEX('Holidays Calc'!$K$2:$K$233,AR298+1),""))</f>
        <v/>
      </c>
      <c r="Y298" t="str">
        <f ca="1">IF(AR298="","",IF(INDEX('Holidays Calc'!$I$2:$I$233,AR298+2)=A298,INDEX('Holidays Calc'!$K$2:$K$233,AR298+2),""))</f>
        <v/>
      </c>
      <c r="Z298" t="str">
        <f ca="1">IF(AR298="","",IF(INDEX('Holidays Calc'!$I$2:$I$233,AR298+3)=A298,INDEX('Holidays Calc'!$K$2:$K$2333,AR298+3),""))</f>
        <v/>
      </c>
      <c r="AA298" t="str">
        <f>IF(I298="Last day of Bhisma Pancaka","",IF(G298="*",-0.7,IF(ISBLANK(INDEX(GCalXMLT[dclass1],$D298)),"",INDEX(GCalXMLT[dclass1],$D298))))</f>
        <v/>
      </c>
      <c r="AB298" t="str">
        <f>IF(J298="First day of Bhisma Pancaka","",IF(AND(G298="*",NOT(ISERROR(SEARCH("ekadasi",J298)))),-0.7,IF(ISBLANK(INDEX(GCalXMLT[dclass2],$D298)),"",INDEX(GCalXMLT[dclass2],$D298))))</f>
        <v/>
      </c>
      <c r="AC298" t="str">
        <f>IF(I298="Nandotsava",-1,IF(ISBLANK(INDEX(GCalXMLT[dclass3],$D298)),"",INDEX(GCalXMLT[dclass3],$D298)))</f>
        <v/>
      </c>
      <c r="AD298" t="str">
        <f>IF(I298="Nandotsava",IF(ISBLANK(INDEX(GCalXMLT[dclass3],$D298)),"",INDEX(GCalXMLT[dclass3],$D298)),IF(ISBLANK(INDEX(GCalXMLT[dclass4],$D298)),"",INDEX(GCalXMLT[dclass4],$D298)))</f>
        <v/>
      </c>
      <c r="AE298" t="str">
        <f>IFERROR(INDEX(Festivals!$V$2:$V$160,AP298),"")</f>
        <v/>
      </c>
      <c r="AF298" t="str">
        <f>IFERROR(IF($AQ298&gt;1,INDEX(Festivals!$V$2:$V$160,$AP298+1),""),"")</f>
        <v/>
      </c>
      <c r="AG298" t="str">
        <f>IFERROR(IF($AQ298&gt;2,INDEX(Festivals!$V$2:$V$160,$AP298+2),""),"")</f>
        <v/>
      </c>
      <c r="AH298" t="str">
        <f>IFERROR(IF($AQ298&gt;3,INDEX(Festivals!$V$2:$V$160,$AP298+3),""),"")</f>
        <v/>
      </c>
      <c r="AI298" t="str">
        <f>IFERROR(IF($AQ298&gt;4,INDEX(Festivals!$V$2:$V$160,$AP298+4),""),"")</f>
        <v/>
      </c>
      <c r="AJ298" t="str">
        <f>IFERROR(IF($AQ298&gt;5,INDEX(Festivals!$V$2:$V$160,$AP298+5),""),"")</f>
        <v/>
      </c>
      <c r="AK298" t="str">
        <f>IFERROR(IF($AQ298&gt;6,INDEX(Festivals!$V$2:$V$160,$AP298+6),""),"")</f>
        <v/>
      </c>
      <c r="AL298" t="str">
        <f ca="1">IFERROR(INDEX('Holidays Calc'!$J$2:$J$233,MATCH(A298,'Holidays Calc'!$I$2:$I$233,0)),"")</f>
        <v/>
      </c>
      <c r="AM298" t="str">
        <f ca="1">IF(AR298="","",IF(INDEX('Holidays Calc'!$I$2:$I$233,AR298+1)=A298,INDEX('Holidays Calc'!$J$2:$J$233,AR298+1),""))</f>
        <v/>
      </c>
      <c r="AN298" t="str">
        <f ca="1">IF(AR298="","",IF(INDEX('Holidays Calc'!$I$2:$I$233,AR298+2)=A298,INDEX('Holidays Calc'!$J$2:$J$233,AR298+2),""))</f>
        <v/>
      </c>
      <c r="AO298" t="str">
        <f ca="1">IF(AR298="","",IF(INDEX('Holidays Calc'!$I$2:$I$233,AR298+3)=A298,INDEX('Holidays Calc'!$J$2:$J$233,AR298+3),""))</f>
        <v/>
      </c>
      <c r="AP298" t="str">
        <f>IFERROR(IF($E298=E297,"",MATCH($E298,Festivals!$H$2:$H$160,0)),"")</f>
        <v/>
      </c>
      <c r="AQ298" t="str">
        <f>IF(AP298="","",COUNTIF(Festivals!$H$2:$H$160,$E298))</f>
        <v/>
      </c>
      <c r="AR298" t="str">
        <f ca="1">IFERROR(MATCH(A298,'Holidays Calc'!$I$2:$I$233,0),"")</f>
        <v/>
      </c>
      <c r="AS298" t="str">
        <f t="shared" si="32"/>
        <v/>
      </c>
      <c r="AT298" t="str">
        <f t="shared" si="31"/>
        <v/>
      </c>
      <c r="AU298" t="str">
        <f t="shared" ca="1" si="33"/>
        <v/>
      </c>
      <c r="AV298" t="str">
        <f t="shared" ca="1" si="34"/>
        <v/>
      </c>
    </row>
    <row r="299" spans="1:48" x14ac:dyDescent="0.25">
      <c r="A299" s="265">
        <f t="shared" si="30"/>
        <v>43725</v>
      </c>
      <c r="B299" s="265" t="str">
        <f t="shared" si="35"/>
        <v>17 Sep 2019</v>
      </c>
      <c r="C299" s="267">
        <f t="shared" si="36"/>
        <v>38</v>
      </c>
      <c r="D299">
        <f>MATCH(A299,GCalXMLT[daydate],0)</f>
        <v>298</v>
      </c>
      <c r="E299">
        <f>VALUE("1" &amp; Masacod(INDEX(GCalXMLT[gymasa],D299)) &amp; PaksaCod(INDEX(GCalXMLT[mpaksaid],D299)) &amp; TithiCod(INDEX(GCalXMLT[stithiname],D299)))</f>
        <v>107003</v>
      </c>
      <c r="F299" t="str">
        <f ca="1">INDEX(Parameters!$K$2:$K$16,MATCH(AV299,Parameters!$L$2:$L$16,0))</f>
        <v/>
      </c>
      <c r="G299">
        <f>INDEX(GCalXMLT[fastmark],$D299)</f>
        <v>0</v>
      </c>
      <c r="H299" t="str">
        <f ca="1">INDEX(Parameters!$J$2:$J$16,MATCH(AV299,Parameters!$L$2:$L$16,0))</f>
        <v/>
      </c>
      <c r="I299">
        <f>INDEX(GCalXMLT[dfestival1],$D299)</f>
        <v>0</v>
      </c>
      <c r="J299">
        <f>IF(INDEX(GCalXMLT[dfestival2],$D299)="(Fast today)",INDEX(Festivals!$R$2:$R$180,MATCH($I299,Festivals!$R$2:$R$180,0)+1),INDEX(GCalXMLT[dfestival2],$D299))</f>
        <v>0</v>
      </c>
      <c r="K299">
        <f>IF(I299="Nandotsava","(Fast till noon)",INDEX(GCalXMLT[dfestival3],$D299))</f>
        <v>0</v>
      </c>
      <c r="L299">
        <f>IF(I299="Nandotsava", INDEX(GCalXMLT[dfestival3],$D299),INDEX(GCalXMLT[dfestival4],$D299))</f>
        <v>0</v>
      </c>
      <c r="M299" t="str">
        <f>IFERROR(INDEX(Festivals!$S$2:$S$160,AP299),"")</f>
        <v/>
      </c>
      <c r="N299" t="str">
        <f>IFERROR(IF($AQ299&gt;1,INDEX(Festivals!$S$2:$S$160,$AP299+1),""),"")</f>
        <v/>
      </c>
      <c r="O299" t="str">
        <f>IFERROR(IF($AQ299&gt;2,INDEX(Festivals!$S$2:$S$160,$AP299+2),""),"")</f>
        <v/>
      </c>
      <c r="P299" t="str">
        <f>IFERROR(IF($AQ299&gt;3,INDEX(Festivals!$S$2:$S$160,$AP299+3),""),"")</f>
        <v/>
      </c>
      <c r="Q299" t="str">
        <f>IFERROR(IF($AQ299&gt;4,INDEX(Festivals!$S$2:$S$160,$AP299+4),""),"")</f>
        <v/>
      </c>
      <c r="R299" t="str">
        <f>IFERROR(IF($AQ299&gt;5,INDEX(Festivals!$S$2:$S$160,$AP299+5),""),"")</f>
        <v/>
      </c>
      <c r="S299" t="str">
        <f>IFERROR(IF($AQ299&gt;6,INDEX(Festivals!$S$2:$S$160,$AP299+6),""),"")</f>
        <v/>
      </c>
      <c r="T299">
        <f>INDEX(GCalXMLT[dcaturmasya1],$D299)</f>
        <v>0</v>
      </c>
      <c r="U299">
        <f>INDEX(GCalXMLT[dcaturmasya2],$D299)</f>
        <v>0</v>
      </c>
      <c r="V299" t="str">
        <f>INDEX(GCalXMLT[sankrantirasi],$D299) &amp; " " &amp; INDEX(GCalXMLT[sankrantitime],$D299)</f>
        <v>Kanya 0,1803125</v>
      </c>
      <c r="W299" t="str">
        <f ca="1">IFERROR(INDEX('Holidays Calc'!$K$2:$K$233,AR299),"")</f>
        <v/>
      </c>
      <c r="X299" t="str">
        <f ca="1">IF(AR299="","",IF(INDEX('Holidays Calc'!$I$2:$I$233,AR299+1)=A299,INDEX('Holidays Calc'!$K$2:$K$233,AR299+1),""))</f>
        <v/>
      </c>
      <c r="Y299" t="str">
        <f ca="1">IF(AR299="","",IF(INDEX('Holidays Calc'!$I$2:$I$233,AR299+2)=A299,INDEX('Holidays Calc'!$K$2:$K$233,AR299+2),""))</f>
        <v/>
      </c>
      <c r="Z299" t="str">
        <f ca="1">IF(AR299="","",IF(INDEX('Holidays Calc'!$I$2:$I$233,AR299+3)=A299,INDEX('Holidays Calc'!$K$2:$K$2333,AR299+3),""))</f>
        <v/>
      </c>
      <c r="AA299" t="str">
        <f>IF(I299="Last day of Bhisma Pancaka","",IF(G299="*",-0.7,IF(ISBLANK(INDEX(GCalXMLT[dclass1],$D299)),"",INDEX(GCalXMLT[dclass1],$D299))))</f>
        <v/>
      </c>
      <c r="AB299" t="str">
        <f>IF(J299="First day of Bhisma Pancaka","",IF(AND(G299="*",NOT(ISERROR(SEARCH("ekadasi",J299)))),-0.7,IF(ISBLANK(INDEX(GCalXMLT[dclass2],$D299)),"",INDEX(GCalXMLT[dclass2],$D299))))</f>
        <v/>
      </c>
      <c r="AC299" t="str">
        <f>IF(I299="Nandotsava",-1,IF(ISBLANK(INDEX(GCalXMLT[dclass3],$D299)),"",INDEX(GCalXMLT[dclass3],$D299)))</f>
        <v/>
      </c>
      <c r="AD299" t="str">
        <f>IF(I299="Nandotsava",IF(ISBLANK(INDEX(GCalXMLT[dclass3],$D299)),"",INDEX(GCalXMLT[dclass3],$D299)),IF(ISBLANK(INDEX(GCalXMLT[dclass4],$D299)),"",INDEX(GCalXMLT[dclass4],$D299)))</f>
        <v/>
      </c>
      <c r="AE299" t="str">
        <f>IFERROR(INDEX(Festivals!$V$2:$V$160,AP299),"")</f>
        <v/>
      </c>
      <c r="AF299" t="str">
        <f>IFERROR(IF($AQ299&gt;1,INDEX(Festivals!$V$2:$V$160,$AP299+1),""),"")</f>
        <v/>
      </c>
      <c r="AG299" t="str">
        <f>IFERROR(IF($AQ299&gt;2,INDEX(Festivals!$V$2:$V$160,$AP299+2),""),"")</f>
        <v/>
      </c>
      <c r="AH299" t="str">
        <f>IFERROR(IF($AQ299&gt;3,INDEX(Festivals!$V$2:$V$160,$AP299+3),""),"")</f>
        <v/>
      </c>
      <c r="AI299" t="str">
        <f>IFERROR(IF($AQ299&gt;4,INDEX(Festivals!$V$2:$V$160,$AP299+4),""),"")</f>
        <v/>
      </c>
      <c r="AJ299" t="str">
        <f>IFERROR(IF($AQ299&gt;5,INDEX(Festivals!$V$2:$V$160,$AP299+5),""),"")</f>
        <v/>
      </c>
      <c r="AK299" t="str">
        <f>IFERROR(IF($AQ299&gt;6,INDEX(Festivals!$V$2:$V$160,$AP299+6),""),"")</f>
        <v/>
      </c>
      <c r="AL299" t="str">
        <f ca="1">IFERROR(INDEX('Holidays Calc'!$J$2:$J$233,MATCH(A299,'Holidays Calc'!$I$2:$I$233,0)),"")</f>
        <v/>
      </c>
      <c r="AM299" t="str">
        <f ca="1">IF(AR299="","",IF(INDEX('Holidays Calc'!$I$2:$I$233,AR299+1)=A299,INDEX('Holidays Calc'!$J$2:$J$233,AR299+1),""))</f>
        <v/>
      </c>
      <c r="AN299" t="str">
        <f ca="1">IF(AR299="","",IF(INDEX('Holidays Calc'!$I$2:$I$233,AR299+2)=A299,INDEX('Holidays Calc'!$J$2:$J$233,AR299+2),""))</f>
        <v/>
      </c>
      <c r="AO299" t="str">
        <f ca="1">IF(AR299="","",IF(INDEX('Holidays Calc'!$I$2:$I$233,AR299+3)=A299,INDEX('Holidays Calc'!$J$2:$J$233,AR299+3),""))</f>
        <v/>
      </c>
      <c r="AP299" t="str">
        <f>IFERROR(IF($E299=E298,"",MATCH($E299,Festivals!$H$2:$H$160,0)),"")</f>
        <v/>
      </c>
      <c r="AQ299" t="str">
        <f>IF(AP299="","",COUNTIF(Festivals!$H$2:$H$160,$E299))</f>
        <v/>
      </c>
      <c r="AR299" t="str">
        <f ca="1">IFERROR(MATCH(A299,'Holidays Calc'!$I$2:$I$233,0),"")</f>
        <v/>
      </c>
      <c r="AS299" t="str">
        <f t="shared" si="32"/>
        <v/>
      </c>
      <c r="AT299" t="str">
        <f t="shared" si="31"/>
        <v/>
      </c>
      <c r="AU299" t="str">
        <f t="shared" ca="1" si="33"/>
        <v/>
      </c>
      <c r="AV299" t="str">
        <f t="shared" ca="1" si="34"/>
        <v/>
      </c>
    </row>
    <row r="300" spans="1:48" x14ac:dyDescent="0.25">
      <c r="A300" s="265">
        <f t="shared" si="30"/>
        <v>43726</v>
      </c>
      <c r="B300" s="265" t="str">
        <f t="shared" si="35"/>
        <v>18 Sep 2019</v>
      </c>
      <c r="C300" s="267">
        <f t="shared" si="36"/>
        <v>38</v>
      </c>
      <c r="D300">
        <f>MATCH(A300,GCalXMLT[daydate],0)</f>
        <v>299</v>
      </c>
      <c r="E300">
        <f>VALUE("1" &amp; Masacod(INDEX(GCalXMLT[gymasa],D300)) &amp; PaksaCod(INDEX(GCalXMLT[mpaksaid],D300)) &amp; TithiCod(INDEX(GCalXMLT[stithiname],D300)))</f>
        <v>107004</v>
      </c>
      <c r="F300" t="str">
        <f ca="1">INDEX(Parameters!$K$2:$K$16,MATCH(AV300,Parameters!$L$2:$L$16,0))</f>
        <v/>
      </c>
      <c r="G300">
        <f>INDEX(GCalXMLT[fastmark],$D300)</f>
        <v>0</v>
      </c>
      <c r="H300" t="str">
        <f ca="1">INDEX(Parameters!$J$2:$J$16,MATCH(AV300,Parameters!$L$2:$L$16,0))</f>
        <v/>
      </c>
      <c r="I300">
        <f>INDEX(GCalXMLT[dfestival1],$D300)</f>
        <v>0</v>
      </c>
      <c r="J300">
        <f>IF(INDEX(GCalXMLT[dfestival2],$D300)="(Fast today)",INDEX(Festivals!$R$2:$R$180,MATCH($I300,Festivals!$R$2:$R$180,0)+1),INDEX(GCalXMLT[dfestival2],$D300))</f>
        <v>0</v>
      </c>
      <c r="K300">
        <f>IF(I300="Nandotsava","(Fast till noon)",INDEX(GCalXMLT[dfestival3],$D300))</f>
        <v>0</v>
      </c>
      <c r="L300">
        <f>IF(I300="Nandotsava", INDEX(GCalXMLT[dfestival3],$D300),INDEX(GCalXMLT[dfestival4],$D300))</f>
        <v>0</v>
      </c>
      <c r="M300" t="str">
        <f>IFERROR(INDEX(Festivals!$S$2:$S$160,AP300),"")</f>
        <v/>
      </c>
      <c r="N300" t="str">
        <f>IFERROR(IF($AQ300&gt;1,INDEX(Festivals!$S$2:$S$160,$AP300+1),""),"")</f>
        <v/>
      </c>
      <c r="O300" t="str">
        <f>IFERROR(IF($AQ300&gt;2,INDEX(Festivals!$S$2:$S$160,$AP300+2),""),"")</f>
        <v/>
      </c>
      <c r="P300" t="str">
        <f>IFERROR(IF($AQ300&gt;3,INDEX(Festivals!$S$2:$S$160,$AP300+3),""),"")</f>
        <v/>
      </c>
      <c r="Q300" t="str">
        <f>IFERROR(IF($AQ300&gt;4,INDEX(Festivals!$S$2:$S$160,$AP300+4),""),"")</f>
        <v/>
      </c>
      <c r="R300" t="str">
        <f>IFERROR(IF($AQ300&gt;5,INDEX(Festivals!$S$2:$S$160,$AP300+5),""),"")</f>
        <v/>
      </c>
      <c r="S300" t="str">
        <f>IFERROR(IF($AQ300&gt;6,INDEX(Festivals!$S$2:$S$160,$AP300+6),""),"")</f>
        <v/>
      </c>
      <c r="T300">
        <f>INDEX(GCalXMLT[dcaturmasya1],$D300)</f>
        <v>0</v>
      </c>
      <c r="U300">
        <f>INDEX(GCalXMLT[dcaturmasya2],$D300)</f>
        <v>0</v>
      </c>
      <c r="V300" t="str">
        <f>INDEX(GCalXMLT[sankrantirasi],$D300) &amp; " " &amp; INDEX(GCalXMLT[sankrantitime],$D300)</f>
        <v xml:space="preserve"> </v>
      </c>
      <c r="W300" t="str">
        <f ca="1">IFERROR(INDEX('Holidays Calc'!$K$2:$K$233,AR300),"")</f>
        <v/>
      </c>
      <c r="X300" t="str">
        <f ca="1">IF(AR300="","",IF(INDEX('Holidays Calc'!$I$2:$I$233,AR300+1)=A300,INDEX('Holidays Calc'!$K$2:$K$233,AR300+1),""))</f>
        <v/>
      </c>
      <c r="Y300" t="str">
        <f ca="1">IF(AR300="","",IF(INDEX('Holidays Calc'!$I$2:$I$233,AR300+2)=A300,INDEX('Holidays Calc'!$K$2:$K$233,AR300+2),""))</f>
        <v/>
      </c>
      <c r="Z300" t="str">
        <f ca="1">IF(AR300="","",IF(INDEX('Holidays Calc'!$I$2:$I$233,AR300+3)=A300,INDEX('Holidays Calc'!$K$2:$K$2333,AR300+3),""))</f>
        <v/>
      </c>
      <c r="AA300" t="str">
        <f>IF(I300="Last day of Bhisma Pancaka","",IF(G300="*",-0.7,IF(ISBLANK(INDEX(GCalXMLT[dclass1],$D300)),"",INDEX(GCalXMLT[dclass1],$D300))))</f>
        <v/>
      </c>
      <c r="AB300" t="str">
        <f>IF(J300="First day of Bhisma Pancaka","",IF(AND(G300="*",NOT(ISERROR(SEARCH("ekadasi",J300)))),-0.7,IF(ISBLANK(INDEX(GCalXMLT[dclass2],$D300)),"",INDEX(GCalXMLT[dclass2],$D300))))</f>
        <v/>
      </c>
      <c r="AC300" t="str">
        <f>IF(I300="Nandotsava",-1,IF(ISBLANK(INDEX(GCalXMLT[dclass3],$D300)),"",INDEX(GCalXMLT[dclass3],$D300)))</f>
        <v/>
      </c>
      <c r="AD300" t="str">
        <f>IF(I300="Nandotsava",IF(ISBLANK(INDEX(GCalXMLT[dclass3],$D300)),"",INDEX(GCalXMLT[dclass3],$D300)),IF(ISBLANK(INDEX(GCalXMLT[dclass4],$D300)),"",INDEX(GCalXMLT[dclass4],$D300)))</f>
        <v/>
      </c>
      <c r="AE300" t="str">
        <f>IFERROR(INDEX(Festivals!$V$2:$V$160,AP300),"")</f>
        <v/>
      </c>
      <c r="AF300" t="str">
        <f>IFERROR(IF($AQ300&gt;1,INDEX(Festivals!$V$2:$V$160,$AP300+1),""),"")</f>
        <v/>
      </c>
      <c r="AG300" t="str">
        <f>IFERROR(IF($AQ300&gt;2,INDEX(Festivals!$V$2:$V$160,$AP300+2),""),"")</f>
        <v/>
      </c>
      <c r="AH300" t="str">
        <f>IFERROR(IF($AQ300&gt;3,INDEX(Festivals!$V$2:$V$160,$AP300+3),""),"")</f>
        <v/>
      </c>
      <c r="AI300" t="str">
        <f>IFERROR(IF($AQ300&gt;4,INDEX(Festivals!$V$2:$V$160,$AP300+4),""),"")</f>
        <v/>
      </c>
      <c r="AJ300" t="str">
        <f>IFERROR(IF($AQ300&gt;5,INDEX(Festivals!$V$2:$V$160,$AP300+5),""),"")</f>
        <v/>
      </c>
      <c r="AK300" t="str">
        <f>IFERROR(IF($AQ300&gt;6,INDEX(Festivals!$V$2:$V$160,$AP300+6),""),"")</f>
        <v/>
      </c>
      <c r="AL300" t="str">
        <f ca="1">IFERROR(INDEX('Holidays Calc'!$J$2:$J$233,MATCH(A300,'Holidays Calc'!$I$2:$I$233,0)),"")</f>
        <v/>
      </c>
      <c r="AM300" t="str">
        <f ca="1">IF(AR300="","",IF(INDEX('Holidays Calc'!$I$2:$I$233,AR300+1)=A300,INDEX('Holidays Calc'!$J$2:$J$233,AR300+1),""))</f>
        <v/>
      </c>
      <c r="AN300" t="str">
        <f ca="1">IF(AR300="","",IF(INDEX('Holidays Calc'!$I$2:$I$233,AR300+2)=A300,INDEX('Holidays Calc'!$J$2:$J$233,AR300+2),""))</f>
        <v/>
      </c>
      <c r="AO300" t="str">
        <f ca="1">IF(AR300="","",IF(INDEX('Holidays Calc'!$I$2:$I$233,AR300+3)=A300,INDEX('Holidays Calc'!$J$2:$J$233,AR300+3),""))</f>
        <v/>
      </c>
      <c r="AP300" t="str">
        <f>IFERROR(IF($E300=E299,"",MATCH($E300,Festivals!$H$2:$H$160,0)),"")</f>
        <v/>
      </c>
      <c r="AQ300" t="str">
        <f>IF(AP300="","",COUNTIF(Festivals!$H$2:$H$160,$E300))</f>
        <v/>
      </c>
      <c r="AR300" t="str">
        <f ca="1">IFERROR(MATCH(A300,'Holidays Calc'!$I$2:$I$233,0),"")</f>
        <v/>
      </c>
      <c r="AS300" t="str">
        <f t="shared" si="32"/>
        <v/>
      </c>
      <c r="AT300" t="str">
        <f t="shared" si="31"/>
        <v/>
      </c>
      <c r="AU300" t="str">
        <f t="shared" ca="1" si="33"/>
        <v/>
      </c>
      <c r="AV300" t="str">
        <f t="shared" ca="1" si="34"/>
        <v/>
      </c>
    </row>
    <row r="301" spans="1:48" x14ac:dyDescent="0.25">
      <c r="A301" s="265">
        <f t="shared" si="30"/>
        <v>43727</v>
      </c>
      <c r="B301" s="265" t="str">
        <f t="shared" si="35"/>
        <v>19 Sep 2019</v>
      </c>
      <c r="C301" s="267">
        <f t="shared" si="36"/>
        <v>38</v>
      </c>
      <c r="D301">
        <f>MATCH(A301,GCalXMLT[daydate],0)</f>
        <v>300</v>
      </c>
      <c r="E301">
        <f>VALUE("1" &amp; Masacod(INDEX(GCalXMLT[gymasa],D301)) &amp; PaksaCod(INDEX(GCalXMLT[mpaksaid],D301)) &amp; TithiCod(INDEX(GCalXMLT[stithiname],D301)))</f>
        <v>107005</v>
      </c>
      <c r="F301" t="str">
        <f ca="1">INDEX(Parameters!$K$2:$K$16,MATCH(AV301,Parameters!$L$2:$L$16,0))</f>
        <v/>
      </c>
      <c r="G301">
        <f>INDEX(GCalXMLT[fastmark],$D301)</f>
        <v>0</v>
      </c>
      <c r="H301" t="str">
        <f ca="1">INDEX(Parameters!$J$2:$J$16,MATCH(AV301,Parameters!$L$2:$L$16,0))</f>
        <v/>
      </c>
      <c r="I301">
        <f>INDEX(GCalXMLT[dfestival1],$D301)</f>
        <v>0</v>
      </c>
      <c r="J301">
        <f>IF(INDEX(GCalXMLT[dfestival2],$D301)="(Fast today)",INDEX(Festivals!$R$2:$R$180,MATCH($I301,Festivals!$R$2:$R$180,0)+1),INDEX(GCalXMLT[dfestival2],$D301))</f>
        <v>0</v>
      </c>
      <c r="K301">
        <f>IF(I301="Nandotsava","(Fast till noon)",INDEX(GCalXMLT[dfestival3],$D301))</f>
        <v>0</v>
      </c>
      <c r="L301">
        <f>IF(I301="Nandotsava", INDEX(GCalXMLT[dfestival3],$D301),INDEX(GCalXMLT[dfestival4],$D301))</f>
        <v>0</v>
      </c>
      <c r="M301" t="str">
        <f>IFERROR(INDEX(Festivals!$S$2:$S$160,AP301),"")</f>
        <v/>
      </c>
      <c r="N301" t="str">
        <f>IFERROR(IF($AQ301&gt;1,INDEX(Festivals!$S$2:$S$160,$AP301+1),""),"")</f>
        <v/>
      </c>
      <c r="O301" t="str">
        <f>IFERROR(IF($AQ301&gt;2,INDEX(Festivals!$S$2:$S$160,$AP301+2),""),"")</f>
        <v/>
      </c>
      <c r="P301" t="str">
        <f>IFERROR(IF($AQ301&gt;3,INDEX(Festivals!$S$2:$S$160,$AP301+3),""),"")</f>
        <v/>
      </c>
      <c r="Q301" t="str">
        <f>IFERROR(IF($AQ301&gt;4,INDEX(Festivals!$S$2:$S$160,$AP301+4),""),"")</f>
        <v/>
      </c>
      <c r="R301" t="str">
        <f>IFERROR(IF($AQ301&gt;5,INDEX(Festivals!$S$2:$S$160,$AP301+5),""),"")</f>
        <v/>
      </c>
      <c r="S301" t="str">
        <f>IFERROR(IF($AQ301&gt;6,INDEX(Festivals!$S$2:$S$160,$AP301+6),""),"")</f>
        <v/>
      </c>
      <c r="T301">
        <f>INDEX(GCalXMLT[dcaturmasya1],$D301)</f>
        <v>0</v>
      </c>
      <c r="U301">
        <f>INDEX(GCalXMLT[dcaturmasya2],$D301)</f>
        <v>0</v>
      </c>
      <c r="V301" t="str">
        <f>INDEX(GCalXMLT[sankrantirasi],$D301) &amp; " " &amp; INDEX(GCalXMLT[sankrantitime],$D301)</f>
        <v xml:space="preserve"> </v>
      </c>
      <c r="W301" t="str">
        <f ca="1">IFERROR(INDEX('Holidays Calc'!$K$2:$K$233,AR301),"")</f>
        <v/>
      </c>
      <c r="X301" t="str">
        <f ca="1">IF(AR301="","",IF(INDEX('Holidays Calc'!$I$2:$I$233,AR301+1)=A301,INDEX('Holidays Calc'!$K$2:$K$233,AR301+1),""))</f>
        <v/>
      </c>
      <c r="Y301" t="str">
        <f ca="1">IF(AR301="","",IF(INDEX('Holidays Calc'!$I$2:$I$233,AR301+2)=A301,INDEX('Holidays Calc'!$K$2:$K$233,AR301+2),""))</f>
        <v/>
      </c>
      <c r="Z301" t="str">
        <f ca="1">IF(AR301="","",IF(INDEX('Holidays Calc'!$I$2:$I$233,AR301+3)=A301,INDEX('Holidays Calc'!$K$2:$K$2333,AR301+3),""))</f>
        <v/>
      </c>
      <c r="AA301" t="str">
        <f>IF(I301="Last day of Bhisma Pancaka","",IF(G301="*",-0.7,IF(ISBLANK(INDEX(GCalXMLT[dclass1],$D301)),"",INDEX(GCalXMLT[dclass1],$D301))))</f>
        <v/>
      </c>
      <c r="AB301" t="str">
        <f>IF(J301="First day of Bhisma Pancaka","",IF(AND(G301="*",NOT(ISERROR(SEARCH("ekadasi",J301)))),-0.7,IF(ISBLANK(INDEX(GCalXMLT[dclass2],$D301)),"",INDEX(GCalXMLT[dclass2],$D301))))</f>
        <v/>
      </c>
      <c r="AC301" t="str">
        <f>IF(I301="Nandotsava",-1,IF(ISBLANK(INDEX(GCalXMLT[dclass3],$D301)),"",INDEX(GCalXMLT[dclass3],$D301)))</f>
        <v/>
      </c>
      <c r="AD301" t="str">
        <f>IF(I301="Nandotsava",IF(ISBLANK(INDEX(GCalXMLT[dclass3],$D301)),"",INDEX(GCalXMLT[dclass3],$D301)),IF(ISBLANK(INDEX(GCalXMLT[dclass4],$D301)),"",INDEX(GCalXMLT[dclass4],$D301)))</f>
        <v/>
      </c>
      <c r="AE301" t="str">
        <f>IFERROR(INDEX(Festivals!$V$2:$V$160,AP301),"")</f>
        <v/>
      </c>
      <c r="AF301" t="str">
        <f>IFERROR(IF($AQ301&gt;1,INDEX(Festivals!$V$2:$V$160,$AP301+1),""),"")</f>
        <v/>
      </c>
      <c r="AG301" t="str">
        <f>IFERROR(IF($AQ301&gt;2,INDEX(Festivals!$V$2:$V$160,$AP301+2),""),"")</f>
        <v/>
      </c>
      <c r="AH301" t="str">
        <f>IFERROR(IF($AQ301&gt;3,INDEX(Festivals!$V$2:$V$160,$AP301+3),""),"")</f>
        <v/>
      </c>
      <c r="AI301" t="str">
        <f>IFERROR(IF($AQ301&gt;4,INDEX(Festivals!$V$2:$V$160,$AP301+4),""),"")</f>
        <v/>
      </c>
      <c r="AJ301" t="str">
        <f>IFERROR(IF($AQ301&gt;5,INDEX(Festivals!$V$2:$V$160,$AP301+5),""),"")</f>
        <v/>
      </c>
      <c r="AK301" t="str">
        <f>IFERROR(IF($AQ301&gt;6,INDEX(Festivals!$V$2:$V$160,$AP301+6),""),"")</f>
        <v/>
      </c>
      <c r="AL301" t="str">
        <f ca="1">IFERROR(INDEX('Holidays Calc'!$J$2:$J$233,MATCH(A301,'Holidays Calc'!$I$2:$I$233,0)),"")</f>
        <v/>
      </c>
      <c r="AM301" t="str">
        <f ca="1">IF(AR301="","",IF(INDEX('Holidays Calc'!$I$2:$I$233,AR301+1)=A301,INDEX('Holidays Calc'!$J$2:$J$233,AR301+1),""))</f>
        <v/>
      </c>
      <c r="AN301" t="str">
        <f ca="1">IF(AR301="","",IF(INDEX('Holidays Calc'!$I$2:$I$233,AR301+2)=A301,INDEX('Holidays Calc'!$J$2:$J$233,AR301+2),""))</f>
        <v/>
      </c>
      <c r="AO301" t="str">
        <f ca="1">IF(AR301="","",IF(INDEX('Holidays Calc'!$I$2:$I$233,AR301+3)=A301,INDEX('Holidays Calc'!$J$2:$J$233,AR301+3),""))</f>
        <v/>
      </c>
      <c r="AP301" t="str">
        <f>IFERROR(IF($E301=E300,"",MATCH($E301,Festivals!$H$2:$H$160,0)),"")</f>
        <v/>
      </c>
      <c r="AQ301" t="str">
        <f>IF(AP301="","",COUNTIF(Festivals!$H$2:$H$160,$E301))</f>
        <v/>
      </c>
      <c r="AR301" t="str">
        <f ca="1">IFERROR(MATCH(A301,'Holidays Calc'!$I$2:$I$233,0),"")</f>
        <v/>
      </c>
      <c r="AS301" t="str">
        <f t="shared" si="32"/>
        <v/>
      </c>
      <c r="AT301" t="str">
        <f t="shared" si="31"/>
        <v/>
      </c>
      <c r="AU301" t="str">
        <f t="shared" ca="1" si="33"/>
        <v/>
      </c>
      <c r="AV301" t="str">
        <f t="shared" ca="1" si="34"/>
        <v/>
      </c>
    </row>
    <row r="302" spans="1:48" x14ac:dyDescent="0.25">
      <c r="A302" s="265">
        <f t="shared" si="30"/>
        <v>43728</v>
      </c>
      <c r="B302" s="265" t="str">
        <f t="shared" si="35"/>
        <v>20 Sep 2019</v>
      </c>
      <c r="C302" s="267">
        <f t="shared" si="36"/>
        <v>38</v>
      </c>
      <c r="D302">
        <f>MATCH(A302,GCalXMLT[daydate],0)</f>
        <v>301</v>
      </c>
      <c r="E302">
        <f>VALUE("1" &amp; Masacod(INDEX(GCalXMLT[gymasa],D302)) &amp; PaksaCod(INDEX(GCalXMLT[mpaksaid],D302)) &amp; TithiCod(INDEX(GCalXMLT[stithiname],D302)))</f>
        <v>107006</v>
      </c>
      <c r="F302" t="str">
        <f ca="1">INDEX(Parameters!$K$2:$K$16,MATCH(AV302,Parameters!$L$2:$L$16,0))</f>
        <v/>
      </c>
      <c r="G302">
        <f>INDEX(GCalXMLT[fastmark],$D302)</f>
        <v>0</v>
      </c>
      <c r="H302" t="str">
        <f ca="1">INDEX(Parameters!$J$2:$J$16,MATCH(AV302,Parameters!$L$2:$L$16,0))</f>
        <v/>
      </c>
      <c r="I302">
        <f>INDEX(GCalXMLT[dfestival1],$D302)</f>
        <v>0</v>
      </c>
      <c r="J302">
        <f>IF(INDEX(GCalXMLT[dfestival2],$D302)="(Fast today)",INDEX(Festivals!$R$2:$R$180,MATCH($I302,Festivals!$R$2:$R$180,0)+1),INDEX(GCalXMLT[dfestival2],$D302))</f>
        <v>0</v>
      </c>
      <c r="K302">
        <f>IF(I302="Nandotsava","(Fast till noon)",INDEX(GCalXMLT[dfestival3],$D302))</f>
        <v>0</v>
      </c>
      <c r="L302">
        <f>IF(I302="Nandotsava", INDEX(GCalXMLT[dfestival3],$D302),INDEX(GCalXMLT[dfestival4],$D302))</f>
        <v>0</v>
      </c>
      <c r="M302" t="str">
        <f>IFERROR(INDEX(Festivals!$S$2:$S$160,AP302),"")</f>
        <v/>
      </c>
      <c r="N302" t="str">
        <f>IFERROR(IF($AQ302&gt;1,INDEX(Festivals!$S$2:$S$160,$AP302+1),""),"")</f>
        <v/>
      </c>
      <c r="O302" t="str">
        <f>IFERROR(IF($AQ302&gt;2,INDEX(Festivals!$S$2:$S$160,$AP302+2),""),"")</f>
        <v/>
      </c>
      <c r="P302" t="str">
        <f>IFERROR(IF($AQ302&gt;3,INDEX(Festivals!$S$2:$S$160,$AP302+3),""),"")</f>
        <v/>
      </c>
      <c r="Q302" t="str">
        <f>IFERROR(IF($AQ302&gt;4,INDEX(Festivals!$S$2:$S$160,$AP302+4),""),"")</f>
        <v/>
      </c>
      <c r="R302" t="str">
        <f>IFERROR(IF($AQ302&gt;5,INDEX(Festivals!$S$2:$S$160,$AP302+5),""),"")</f>
        <v/>
      </c>
      <c r="S302" t="str">
        <f>IFERROR(IF($AQ302&gt;6,INDEX(Festivals!$S$2:$S$160,$AP302+6),""),"")</f>
        <v/>
      </c>
      <c r="T302">
        <f>INDEX(GCalXMLT[dcaturmasya1],$D302)</f>
        <v>0</v>
      </c>
      <c r="U302">
        <f>INDEX(GCalXMLT[dcaturmasya2],$D302)</f>
        <v>0</v>
      </c>
      <c r="V302" t="str">
        <f>INDEX(GCalXMLT[sankrantirasi],$D302) &amp; " " &amp; INDEX(GCalXMLT[sankrantitime],$D302)</f>
        <v xml:space="preserve"> </v>
      </c>
      <c r="W302" t="str">
        <f ca="1">IFERROR(INDEX('Holidays Calc'!$K$2:$K$233,AR302),"")</f>
        <v/>
      </c>
      <c r="X302" t="str">
        <f ca="1">IF(AR302="","",IF(INDEX('Holidays Calc'!$I$2:$I$233,AR302+1)=A302,INDEX('Holidays Calc'!$K$2:$K$233,AR302+1),""))</f>
        <v/>
      </c>
      <c r="Y302" t="str">
        <f ca="1">IF(AR302="","",IF(INDEX('Holidays Calc'!$I$2:$I$233,AR302+2)=A302,INDEX('Holidays Calc'!$K$2:$K$233,AR302+2),""))</f>
        <v/>
      </c>
      <c r="Z302" t="str">
        <f ca="1">IF(AR302="","",IF(INDEX('Holidays Calc'!$I$2:$I$233,AR302+3)=A302,INDEX('Holidays Calc'!$K$2:$K$2333,AR302+3),""))</f>
        <v/>
      </c>
      <c r="AA302" t="str">
        <f>IF(I302="Last day of Bhisma Pancaka","",IF(G302="*",-0.7,IF(ISBLANK(INDEX(GCalXMLT[dclass1],$D302)),"",INDEX(GCalXMLT[dclass1],$D302))))</f>
        <v/>
      </c>
      <c r="AB302" t="str">
        <f>IF(J302="First day of Bhisma Pancaka","",IF(AND(G302="*",NOT(ISERROR(SEARCH("ekadasi",J302)))),-0.7,IF(ISBLANK(INDEX(GCalXMLT[dclass2],$D302)),"",INDEX(GCalXMLT[dclass2],$D302))))</f>
        <v/>
      </c>
      <c r="AC302" t="str">
        <f>IF(I302="Nandotsava",-1,IF(ISBLANK(INDEX(GCalXMLT[dclass3],$D302)),"",INDEX(GCalXMLT[dclass3],$D302)))</f>
        <v/>
      </c>
      <c r="AD302" t="str">
        <f>IF(I302="Nandotsava",IF(ISBLANK(INDEX(GCalXMLT[dclass3],$D302)),"",INDEX(GCalXMLT[dclass3],$D302)),IF(ISBLANK(INDEX(GCalXMLT[dclass4],$D302)),"",INDEX(GCalXMLT[dclass4],$D302)))</f>
        <v/>
      </c>
      <c r="AE302" t="str">
        <f>IFERROR(INDEX(Festivals!$V$2:$V$160,AP302),"")</f>
        <v/>
      </c>
      <c r="AF302" t="str">
        <f>IFERROR(IF($AQ302&gt;1,INDEX(Festivals!$V$2:$V$160,$AP302+1),""),"")</f>
        <v/>
      </c>
      <c r="AG302" t="str">
        <f>IFERROR(IF($AQ302&gt;2,INDEX(Festivals!$V$2:$V$160,$AP302+2),""),"")</f>
        <v/>
      </c>
      <c r="AH302" t="str">
        <f>IFERROR(IF($AQ302&gt;3,INDEX(Festivals!$V$2:$V$160,$AP302+3),""),"")</f>
        <v/>
      </c>
      <c r="AI302" t="str">
        <f>IFERROR(IF($AQ302&gt;4,INDEX(Festivals!$V$2:$V$160,$AP302+4),""),"")</f>
        <v/>
      </c>
      <c r="AJ302" t="str">
        <f>IFERROR(IF($AQ302&gt;5,INDEX(Festivals!$V$2:$V$160,$AP302+5),""),"")</f>
        <v/>
      </c>
      <c r="AK302" t="str">
        <f>IFERROR(IF($AQ302&gt;6,INDEX(Festivals!$V$2:$V$160,$AP302+6),""),"")</f>
        <v/>
      </c>
      <c r="AL302" t="str">
        <f ca="1">IFERROR(INDEX('Holidays Calc'!$J$2:$J$233,MATCH(A302,'Holidays Calc'!$I$2:$I$233,0)),"")</f>
        <v/>
      </c>
      <c r="AM302" t="str">
        <f ca="1">IF(AR302="","",IF(INDEX('Holidays Calc'!$I$2:$I$233,AR302+1)=A302,INDEX('Holidays Calc'!$J$2:$J$233,AR302+1),""))</f>
        <v/>
      </c>
      <c r="AN302" t="str">
        <f ca="1">IF(AR302="","",IF(INDEX('Holidays Calc'!$I$2:$I$233,AR302+2)=A302,INDEX('Holidays Calc'!$J$2:$J$233,AR302+2),""))</f>
        <v/>
      </c>
      <c r="AO302" t="str">
        <f ca="1">IF(AR302="","",IF(INDEX('Holidays Calc'!$I$2:$I$233,AR302+3)=A302,INDEX('Holidays Calc'!$J$2:$J$233,AR302+3),""))</f>
        <v/>
      </c>
      <c r="AP302" t="str">
        <f>IFERROR(IF($E302=E301,"",MATCH($E302,Festivals!$H$2:$H$160,0)),"")</f>
        <v/>
      </c>
      <c r="AQ302" t="str">
        <f>IF(AP302="","",COUNTIF(Festivals!$H$2:$H$160,$E302))</f>
        <v/>
      </c>
      <c r="AR302" t="str">
        <f ca="1">IFERROR(MATCH(A302,'Holidays Calc'!$I$2:$I$233,0),"")</f>
        <v/>
      </c>
      <c r="AS302" t="str">
        <f t="shared" si="32"/>
        <v/>
      </c>
      <c r="AT302" t="str">
        <f t="shared" si="31"/>
        <v/>
      </c>
      <c r="AU302" t="str">
        <f t="shared" ca="1" si="33"/>
        <v/>
      </c>
      <c r="AV302" t="str">
        <f t="shared" ca="1" si="34"/>
        <v/>
      </c>
    </row>
    <row r="303" spans="1:48" x14ac:dyDescent="0.25">
      <c r="A303" s="265">
        <f t="shared" si="30"/>
        <v>43729</v>
      </c>
      <c r="B303" s="265" t="str">
        <f t="shared" si="35"/>
        <v>21 Sep 2019</v>
      </c>
      <c r="C303" s="267">
        <f t="shared" si="36"/>
        <v>38</v>
      </c>
      <c r="D303">
        <f>MATCH(A303,GCalXMLT[daydate],0)</f>
        <v>302</v>
      </c>
      <c r="E303">
        <f>VALUE("1" &amp; Masacod(INDEX(GCalXMLT[gymasa],D303)) &amp; PaksaCod(INDEX(GCalXMLT[mpaksaid],D303)) &amp; TithiCod(INDEX(GCalXMLT[stithiname],D303)))</f>
        <v>107007</v>
      </c>
      <c r="F303" t="str">
        <f ca="1">INDEX(Parameters!$K$2:$K$16,MATCH(AV303,Parameters!$L$2:$L$16,0))</f>
        <v>C</v>
      </c>
      <c r="G303">
        <f>INDEX(GCalXMLT[fastmark],$D303)</f>
        <v>0</v>
      </c>
      <c r="H303" t="str">
        <f ca="1">INDEX(Parameters!$J$2:$J$16,MATCH(AV303,Parameters!$L$2:$L$16,0))</f>
        <v/>
      </c>
      <c r="I303">
        <f>INDEX(GCalXMLT[dfestival1],$D303)</f>
        <v>0</v>
      </c>
      <c r="J303">
        <f>IF(INDEX(GCalXMLT[dfestival2],$D303)="(Fast today)",INDEX(Festivals!$R$2:$R$180,MATCH($I303,Festivals!$R$2:$R$180,0)+1),INDEX(GCalXMLT[dfestival2],$D303))</f>
        <v>0</v>
      </c>
      <c r="K303">
        <f>IF(I303="Nandotsava","(Fast till noon)",INDEX(GCalXMLT[dfestival3],$D303))</f>
        <v>0</v>
      </c>
      <c r="L303">
        <f>IF(I303="Nandotsava", INDEX(GCalXMLT[dfestival3],$D303),INDEX(GCalXMLT[dfestival4],$D303))</f>
        <v>0</v>
      </c>
      <c r="M303" t="str">
        <f>IFERROR(INDEX(Festivals!$S$2:$S$160,AP303),"")</f>
        <v>Srila Prabhupada's arrival in the USA</v>
      </c>
      <c r="N303" t="str">
        <f>IFERROR(IF($AQ303&gt;1,INDEX(Festivals!$S$2:$S$160,$AP303+1),""),"")</f>
        <v/>
      </c>
      <c r="O303" t="str">
        <f>IFERROR(IF($AQ303&gt;2,INDEX(Festivals!$S$2:$S$160,$AP303+2),""),"")</f>
        <v/>
      </c>
      <c r="P303" t="str">
        <f>IFERROR(IF($AQ303&gt;3,INDEX(Festivals!$S$2:$S$160,$AP303+3),""),"")</f>
        <v/>
      </c>
      <c r="Q303" t="str">
        <f>IFERROR(IF($AQ303&gt;4,INDEX(Festivals!$S$2:$S$160,$AP303+4),""),"")</f>
        <v/>
      </c>
      <c r="R303" t="str">
        <f>IFERROR(IF($AQ303&gt;5,INDEX(Festivals!$S$2:$S$160,$AP303+5),""),"")</f>
        <v/>
      </c>
      <c r="S303" t="str">
        <f>IFERROR(IF($AQ303&gt;6,INDEX(Festivals!$S$2:$S$160,$AP303+6),""),"")</f>
        <v/>
      </c>
      <c r="T303">
        <f>INDEX(GCalXMLT[dcaturmasya1],$D303)</f>
        <v>0</v>
      </c>
      <c r="U303">
        <f>INDEX(GCalXMLT[dcaturmasya2],$D303)</f>
        <v>0</v>
      </c>
      <c r="V303" t="str">
        <f>INDEX(GCalXMLT[sankrantirasi],$D303) &amp; " " &amp; INDEX(GCalXMLT[sankrantitime],$D303)</f>
        <v xml:space="preserve"> </v>
      </c>
      <c r="W303" t="str">
        <f ca="1">IFERROR(INDEX('Holidays Calc'!$K$2:$K$233,AR303),"")</f>
        <v/>
      </c>
      <c r="X303" t="str">
        <f ca="1">IF(AR303="","",IF(INDEX('Holidays Calc'!$I$2:$I$233,AR303+1)=A303,INDEX('Holidays Calc'!$K$2:$K$233,AR303+1),""))</f>
        <v/>
      </c>
      <c r="Y303" t="str">
        <f ca="1">IF(AR303="","",IF(INDEX('Holidays Calc'!$I$2:$I$233,AR303+2)=A303,INDEX('Holidays Calc'!$K$2:$K$233,AR303+2),""))</f>
        <v/>
      </c>
      <c r="Z303" t="str">
        <f ca="1">IF(AR303="","",IF(INDEX('Holidays Calc'!$I$2:$I$233,AR303+3)=A303,INDEX('Holidays Calc'!$K$2:$K$2333,AR303+3),""))</f>
        <v/>
      </c>
      <c r="AA303" t="str">
        <f>IF(I303="Last day of Bhisma Pancaka","",IF(G303="*",-0.7,IF(ISBLANK(INDEX(GCalXMLT[dclass1],$D303)),"",INDEX(GCalXMLT[dclass1],$D303))))</f>
        <v/>
      </c>
      <c r="AB303" t="str">
        <f>IF(J303="First day of Bhisma Pancaka","",IF(AND(G303="*",NOT(ISERROR(SEARCH("ekadasi",J303)))),-0.7,IF(ISBLANK(INDEX(GCalXMLT[dclass2],$D303)),"",INDEX(GCalXMLT[dclass2],$D303))))</f>
        <v/>
      </c>
      <c r="AC303" t="str">
        <f>IF(I303="Nandotsava",-1,IF(ISBLANK(INDEX(GCalXMLT[dclass3],$D303)),"",INDEX(GCalXMLT[dclass3],$D303)))</f>
        <v/>
      </c>
      <c r="AD303" t="str">
        <f>IF(I303="Nandotsava",IF(ISBLANK(INDEX(GCalXMLT[dclass3],$D303)),"",INDEX(GCalXMLT[dclass3],$D303)),IF(ISBLANK(INDEX(GCalXMLT[dclass4],$D303)),"",INDEX(GCalXMLT[dclass4],$D303)))</f>
        <v/>
      </c>
      <c r="AE303">
        <f>IFERROR(INDEX(Festivals!$V$2:$V$160,AP303),"")</f>
        <v>4</v>
      </c>
      <c r="AF303" t="str">
        <f>IFERROR(IF($AQ303&gt;1,INDEX(Festivals!$V$2:$V$160,$AP303+1),""),"")</f>
        <v/>
      </c>
      <c r="AG303" t="str">
        <f>IFERROR(IF($AQ303&gt;2,INDEX(Festivals!$V$2:$V$160,$AP303+2),""),"")</f>
        <v/>
      </c>
      <c r="AH303" t="str">
        <f>IFERROR(IF($AQ303&gt;3,INDEX(Festivals!$V$2:$V$160,$AP303+3),""),"")</f>
        <v/>
      </c>
      <c r="AI303" t="str">
        <f>IFERROR(IF($AQ303&gt;4,INDEX(Festivals!$V$2:$V$160,$AP303+4),""),"")</f>
        <v/>
      </c>
      <c r="AJ303" t="str">
        <f>IFERROR(IF($AQ303&gt;5,INDEX(Festivals!$V$2:$V$160,$AP303+5),""),"")</f>
        <v/>
      </c>
      <c r="AK303" t="str">
        <f>IFERROR(IF($AQ303&gt;6,INDEX(Festivals!$V$2:$V$160,$AP303+6),""),"")</f>
        <v/>
      </c>
      <c r="AL303" t="str">
        <f ca="1">IFERROR(INDEX('Holidays Calc'!$J$2:$J$233,MATCH(A303,'Holidays Calc'!$I$2:$I$233,0)),"")</f>
        <v/>
      </c>
      <c r="AM303" t="str">
        <f ca="1">IF(AR303="","",IF(INDEX('Holidays Calc'!$I$2:$I$233,AR303+1)=A303,INDEX('Holidays Calc'!$J$2:$J$233,AR303+1),""))</f>
        <v/>
      </c>
      <c r="AN303" t="str">
        <f ca="1">IF(AR303="","",IF(INDEX('Holidays Calc'!$I$2:$I$233,AR303+2)=A303,INDEX('Holidays Calc'!$J$2:$J$233,AR303+2),""))</f>
        <v/>
      </c>
      <c r="AO303" t="str">
        <f ca="1">IF(AR303="","",IF(INDEX('Holidays Calc'!$I$2:$I$233,AR303+3)=A303,INDEX('Holidays Calc'!$J$2:$J$233,AR303+3),""))</f>
        <v/>
      </c>
      <c r="AP303">
        <f>IFERROR(IF($E303=E302,"",MATCH($E303,Festivals!$H$2:$H$160,0)),"")</f>
        <v>75</v>
      </c>
      <c r="AQ303">
        <f>IF(AP303="","",COUNTIF(Festivals!$H$2:$H$160,$E303))</f>
        <v>1</v>
      </c>
      <c r="AR303" t="str">
        <f ca="1">IFERROR(MATCH(A303,'Holidays Calc'!$I$2:$I$233,0),"")</f>
        <v/>
      </c>
      <c r="AS303">
        <f t="shared" si="32"/>
        <v>4</v>
      </c>
      <c r="AT303">
        <f t="shared" si="31"/>
        <v>4</v>
      </c>
      <c r="AU303" t="str">
        <f t="shared" ca="1" si="33"/>
        <v/>
      </c>
      <c r="AV303">
        <f t="shared" ca="1" si="34"/>
        <v>4</v>
      </c>
    </row>
    <row r="304" spans="1:48" x14ac:dyDescent="0.25">
      <c r="A304" s="265">
        <f t="shared" si="30"/>
        <v>43730</v>
      </c>
      <c r="B304" s="265" t="str">
        <f t="shared" si="35"/>
        <v>22 Sep 2019</v>
      </c>
      <c r="C304" s="267">
        <f t="shared" si="36"/>
        <v>38</v>
      </c>
      <c r="D304">
        <f>MATCH(A304,GCalXMLT[daydate],0)</f>
        <v>303</v>
      </c>
      <c r="E304">
        <f>VALUE("1" &amp; Masacod(INDEX(GCalXMLT[gymasa],D304)) &amp; PaksaCod(INDEX(GCalXMLT[mpaksaid],D304)) &amp; TithiCod(INDEX(GCalXMLT[stithiname],D304)))</f>
        <v>107008</v>
      </c>
      <c r="F304" t="str">
        <f ca="1">INDEX(Parameters!$K$2:$K$16,MATCH(AV304,Parameters!$L$2:$L$16,0))</f>
        <v>C</v>
      </c>
      <c r="G304">
        <f>INDEX(GCalXMLT[fastmark],$D304)</f>
        <v>0</v>
      </c>
      <c r="H304" t="str">
        <f ca="1">INDEX(Parameters!$J$2:$J$16,MATCH(AV304,Parameters!$L$2:$L$16,0))</f>
        <v/>
      </c>
      <c r="I304">
        <f>INDEX(GCalXMLT[dfestival1],$D304)</f>
        <v>0</v>
      </c>
      <c r="J304">
        <f>IF(INDEX(GCalXMLT[dfestival2],$D304)="(Fast today)",INDEX(Festivals!$R$2:$R$180,MATCH($I304,Festivals!$R$2:$R$180,0)+1),INDEX(GCalXMLT[dfestival2],$D304))</f>
        <v>0</v>
      </c>
      <c r="K304">
        <f>IF(I304="Nandotsava","(Fast till noon)",INDEX(GCalXMLT[dfestival3],$D304))</f>
        <v>0</v>
      </c>
      <c r="L304">
        <f>IF(I304="Nandotsava", INDEX(GCalXMLT[dfestival3],$D304),INDEX(GCalXMLT[dfestival4],$D304))</f>
        <v>0</v>
      </c>
      <c r="M304" t="str">
        <f>IFERROR(INDEX(Festivals!$S$2:$S$160,AP304),"")</f>
        <v/>
      </c>
      <c r="N304" t="str">
        <f>IFERROR(IF($AQ304&gt;1,INDEX(Festivals!$S$2:$S$160,$AP304+1),""),"")</f>
        <v/>
      </c>
      <c r="O304" t="str">
        <f>IFERROR(IF($AQ304&gt;2,INDEX(Festivals!$S$2:$S$160,$AP304+2),""),"")</f>
        <v/>
      </c>
      <c r="P304" t="str">
        <f>IFERROR(IF($AQ304&gt;3,INDEX(Festivals!$S$2:$S$160,$AP304+3),""),"")</f>
        <v/>
      </c>
      <c r="Q304" t="str">
        <f>IFERROR(IF($AQ304&gt;4,INDEX(Festivals!$S$2:$S$160,$AP304+4),""),"")</f>
        <v/>
      </c>
      <c r="R304" t="str">
        <f>IFERROR(IF($AQ304&gt;5,INDEX(Festivals!$S$2:$S$160,$AP304+5),""),"")</f>
        <v/>
      </c>
      <c r="S304" t="str">
        <f>IFERROR(IF($AQ304&gt;6,INDEX(Festivals!$S$2:$S$160,$AP304+6),""),"")</f>
        <v/>
      </c>
      <c r="T304">
        <f>INDEX(GCalXMLT[dcaturmasya1],$D304)</f>
        <v>0</v>
      </c>
      <c r="U304">
        <f>INDEX(GCalXMLT[dcaturmasya2],$D304)</f>
        <v>0</v>
      </c>
      <c r="V304" t="str">
        <f>INDEX(GCalXMLT[sankrantirasi],$D304) &amp; " " &amp; INDEX(GCalXMLT[sankrantitime],$D304)</f>
        <v xml:space="preserve"> </v>
      </c>
      <c r="W304" t="str">
        <f ca="1">IFERROR(INDEX('Holidays Calc'!$K$2:$K$233,AR304),"")</f>
        <v>Primavera</v>
      </c>
      <c r="X304" t="str">
        <f ca="1">IF(AR304="","",IF(INDEX('Holidays Calc'!$I$2:$I$233,AR304+1)=A304,INDEX('Holidays Calc'!$K$2:$K$233,AR304+1),""))</f>
        <v/>
      </c>
      <c r="Y304" t="str">
        <f ca="1">IF(AR304="","",IF(INDEX('Holidays Calc'!$I$2:$I$233,AR304+2)=A304,INDEX('Holidays Calc'!$K$2:$K$233,AR304+2),""))</f>
        <v/>
      </c>
      <c r="Z304" t="str">
        <f ca="1">IF(AR304="","",IF(INDEX('Holidays Calc'!$I$2:$I$233,AR304+3)=A304,INDEX('Holidays Calc'!$K$2:$K$2333,AR304+3),""))</f>
        <v/>
      </c>
      <c r="AA304" t="str">
        <f>IF(I304="Last day of Bhisma Pancaka","",IF(G304="*",-0.7,IF(ISBLANK(INDEX(GCalXMLT[dclass1],$D304)),"",INDEX(GCalXMLT[dclass1],$D304))))</f>
        <v/>
      </c>
      <c r="AB304" t="str">
        <f>IF(J304="First day of Bhisma Pancaka","",IF(AND(G304="*",NOT(ISERROR(SEARCH("ekadasi",J304)))),-0.7,IF(ISBLANK(INDEX(GCalXMLT[dclass2],$D304)),"",INDEX(GCalXMLT[dclass2],$D304))))</f>
        <v/>
      </c>
      <c r="AC304" t="str">
        <f>IF(I304="Nandotsava",-1,IF(ISBLANK(INDEX(GCalXMLT[dclass3],$D304)),"",INDEX(GCalXMLT[dclass3],$D304)))</f>
        <v/>
      </c>
      <c r="AD304" t="str">
        <f>IF(I304="Nandotsava",IF(ISBLANK(INDEX(GCalXMLT[dclass3],$D304)),"",INDEX(GCalXMLT[dclass3],$D304)),IF(ISBLANK(INDEX(GCalXMLT[dclass4],$D304)),"",INDEX(GCalXMLT[dclass4],$D304)))</f>
        <v/>
      </c>
      <c r="AE304" t="str">
        <f>IFERROR(INDEX(Festivals!$V$2:$V$160,AP304),"")</f>
        <v/>
      </c>
      <c r="AF304" t="str">
        <f>IFERROR(IF($AQ304&gt;1,INDEX(Festivals!$V$2:$V$160,$AP304+1),""),"")</f>
        <v/>
      </c>
      <c r="AG304" t="str">
        <f>IFERROR(IF($AQ304&gt;2,INDEX(Festivals!$V$2:$V$160,$AP304+2),""),"")</f>
        <v/>
      </c>
      <c r="AH304" t="str">
        <f>IFERROR(IF($AQ304&gt;3,INDEX(Festivals!$V$2:$V$160,$AP304+3),""),"")</f>
        <v/>
      </c>
      <c r="AI304" t="str">
        <f>IFERROR(IF($AQ304&gt;4,INDEX(Festivals!$V$2:$V$160,$AP304+4),""),"")</f>
        <v/>
      </c>
      <c r="AJ304" t="str">
        <f>IFERROR(IF($AQ304&gt;5,INDEX(Festivals!$V$2:$V$160,$AP304+5),""),"")</f>
        <v/>
      </c>
      <c r="AK304" t="str">
        <f>IFERROR(IF($AQ304&gt;6,INDEX(Festivals!$V$2:$V$160,$AP304+6),""),"")</f>
        <v/>
      </c>
      <c r="AL304">
        <f ca="1">IFERROR(INDEX('Holidays Calc'!$J$2:$J$233,MATCH(A304,'Holidays Calc'!$I$2:$I$233,0)),"")</f>
        <v>0.5</v>
      </c>
      <c r="AM304" t="str">
        <f ca="1">IF(AR304="","",IF(INDEX('Holidays Calc'!$I$2:$I$233,AR304+1)=A304,INDEX('Holidays Calc'!$J$2:$J$233,AR304+1),""))</f>
        <v/>
      </c>
      <c r="AN304" t="str">
        <f ca="1">IF(AR304="","",IF(INDEX('Holidays Calc'!$I$2:$I$233,AR304+2)=A304,INDEX('Holidays Calc'!$J$2:$J$233,AR304+2),""))</f>
        <v/>
      </c>
      <c r="AO304" t="str">
        <f ca="1">IF(AR304="","",IF(INDEX('Holidays Calc'!$I$2:$I$233,AR304+3)=A304,INDEX('Holidays Calc'!$J$2:$J$233,AR304+3),""))</f>
        <v/>
      </c>
      <c r="AP304" t="str">
        <f>IFERROR(IF($E304=E303,"",MATCH($E304,Festivals!$H$2:$H$160,0)),"")</f>
        <v/>
      </c>
      <c r="AQ304" t="str">
        <f>IF(AP304="","",COUNTIF(Festivals!$H$2:$H$160,$E304))</f>
        <v/>
      </c>
      <c r="AR304">
        <f ca="1">IFERROR(MATCH(A304,'Holidays Calc'!$I$2:$I$233,0),"")</f>
        <v>60</v>
      </c>
      <c r="AS304" t="str">
        <f t="shared" si="32"/>
        <v/>
      </c>
      <c r="AT304" t="str">
        <f t="shared" si="31"/>
        <v/>
      </c>
      <c r="AU304">
        <f t="shared" ca="1" si="33"/>
        <v>0.5</v>
      </c>
      <c r="AV304">
        <f t="shared" ca="1" si="34"/>
        <v>0.5</v>
      </c>
    </row>
    <row r="305" spans="1:48" x14ac:dyDescent="0.25">
      <c r="A305" s="265">
        <f t="shared" si="30"/>
        <v>43731</v>
      </c>
      <c r="B305" s="265" t="str">
        <f t="shared" si="35"/>
        <v>23 Sep 2019</v>
      </c>
      <c r="C305" s="267">
        <f t="shared" si="36"/>
        <v>39</v>
      </c>
      <c r="D305">
        <f>MATCH(A305,GCalXMLT[daydate],0)</f>
        <v>304</v>
      </c>
      <c r="E305">
        <f>VALUE("1" &amp; Masacod(INDEX(GCalXMLT[gymasa],D305)) &amp; PaksaCod(INDEX(GCalXMLT[mpaksaid],D305)) &amp; TithiCod(INDEX(GCalXMLT[stithiname],D305)))</f>
        <v>107009</v>
      </c>
      <c r="F305" t="str">
        <f ca="1">INDEX(Parameters!$K$2:$K$16,MATCH(AV305,Parameters!$L$2:$L$16,0))</f>
        <v/>
      </c>
      <c r="G305">
        <f>INDEX(GCalXMLT[fastmark],$D305)</f>
        <v>0</v>
      </c>
      <c r="H305" t="str">
        <f ca="1">INDEX(Parameters!$J$2:$J$16,MATCH(AV305,Parameters!$L$2:$L$16,0))</f>
        <v/>
      </c>
      <c r="I305">
        <f>INDEX(GCalXMLT[dfestival1],$D305)</f>
        <v>0</v>
      </c>
      <c r="J305">
        <f>IF(INDEX(GCalXMLT[dfestival2],$D305)="(Fast today)",INDEX(Festivals!$R$2:$R$180,MATCH($I305,Festivals!$R$2:$R$180,0)+1),INDEX(GCalXMLT[dfestival2],$D305))</f>
        <v>0</v>
      </c>
      <c r="K305">
        <f>IF(I305="Nandotsava","(Fast till noon)",INDEX(GCalXMLT[dfestival3],$D305))</f>
        <v>0</v>
      </c>
      <c r="L305">
        <f>IF(I305="Nandotsava", INDEX(GCalXMLT[dfestival3],$D305),INDEX(GCalXMLT[dfestival4],$D305))</f>
        <v>0</v>
      </c>
      <c r="M305" t="str">
        <f>IFERROR(INDEX(Festivals!$S$2:$S$160,AP305),"")</f>
        <v/>
      </c>
      <c r="N305" t="str">
        <f>IFERROR(IF($AQ305&gt;1,INDEX(Festivals!$S$2:$S$160,$AP305+1),""),"")</f>
        <v/>
      </c>
      <c r="O305" t="str">
        <f>IFERROR(IF($AQ305&gt;2,INDEX(Festivals!$S$2:$S$160,$AP305+2),""),"")</f>
        <v/>
      </c>
      <c r="P305" t="str">
        <f>IFERROR(IF($AQ305&gt;3,INDEX(Festivals!$S$2:$S$160,$AP305+3),""),"")</f>
        <v/>
      </c>
      <c r="Q305" t="str">
        <f>IFERROR(IF($AQ305&gt;4,INDEX(Festivals!$S$2:$S$160,$AP305+4),""),"")</f>
        <v/>
      </c>
      <c r="R305" t="str">
        <f>IFERROR(IF($AQ305&gt;5,INDEX(Festivals!$S$2:$S$160,$AP305+5),""),"")</f>
        <v/>
      </c>
      <c r="S305" t="str">
        <f>IFERROR(IF($AQ305&gt;6,INDEX(Festivals!$S$2:$S$160,$AP305+6),""),"")</f>
        <v/>
      </c>
      <c r="T305">
        <f>INDEX(GCalXMLT[dcaturmasya1],$D305)</f>
        <v>0</v>
      </c>
      <c r="U305">
        <f>INDEX(GCalXMLT[dcaturmasya2],$D305)</f>
        <v>0</v>
      </c>
      <c r="V305" t="str">
        <f>INDEX(GCalXMLT[sankrantirasi],$D305) &amp; " " &amp; INDEX(GCalXMLT[sankrantitime],$D305)</f>
        <v xml:space="preserve"> </v>
      </c>
      <c r="W305" t="str">
        <f ca="1">IFERROR(INDEX('Holidays Calc'!$K$2:$K$233,AR305),"")</f>
        <v/>
      </c>
      <c r="X305" t="str">
        <f ca="1">IF(AR305="","",IF(INDEX('Holidays Calc'!$I$2:$I$233,AR305+1)=A305,INDEX('Holidays Calc'!$K$2:$K$233,AR305+1),""))</f>
        <v/>
      </c>
      <c r="Y305" t="str">
        <f ca="1">IF(AR305="","",IF(INDEX('Holidays Calc'!$I$2:$I$233,AR305+2)=A305,INDEX('Holidays Calc'!$K$2:$K$233,AR305+2),""))</f>
        <v/>
      </c>
      <c r="Z305" t="str">
        <f ca="1">IF(AR305="","",IF(INDEX('Holidays Calc'!$I$2:$I$233,AR305+3)=A305,INDEX('Holidays Calc'!$K$2:$K$2333,AR305+3),""))</f>
        <v/>
      </c>
      <c r="AA305" t="str">
        <f>IF(I305="Last day of Bhisma Pancaka","",IF(G305="*",-0.7,IF(ISBLANK(INDEX(GCalXMLT[dclass1],$D305)),"",INDEX(GCalXMLT[dclass1],$D305))))</f>
        <v/>
      </c>
      <c r="AB305" t="str">
        <f>IF(J305="First day of Bhisma Pancaka","",IF(AND(G305="*",NOT(ISERROR(SEARCH("ekadasi",J305)))),-0.7,IF(ISBLANK(INDEX(GCalXMLT[dclass2],$D305)),"",INDEX(GCalXMLT[dclass2],$D305))))</f>
        <v/>
      </c>
      <c r="AC305" t="str">
        <f>IF(I305="Nandotsava",-1,IF(ISBLANK(INDEX(GCalXMLT[dclass3],$D305)),"",INDEX(GCalXMLT[dclass3],$D305)))</f>
        <v/>
      </c>
      <c r="AD305" t="str">
        <f>IF(I305="Nandotsava",IF(ISBLANK(INDEX(GCalXMLT[dclass3],$D305)),"",INDEX(GCalXMLT[dclass3],$D305)),IF(ISBLANK(INDEX(GCalXMLT[dclass4],$D305)),"",INDEX(GCalXMLT[dclass4],$D305)))</f>
        <v/>
      </c>
      <c r="AE305" t="str">
        <f>IFERROR(INDEX(Festivals!$V$2:$V$160,AP305),"")</f>
        <v/>
      </c>
      <c r="AF305" t="str">
        <f>IFERROR(IF($AQ305&gt;1,INDEX(Festivals!$V$2:$V$160,$AP305+1),""),"")</f>
        <v/>
      </c>
      <c r="AG305" t="str">
        <f>IFERROR(IF($AQ305&gt;2,INDEX(Festivals!$V$2:$V$160,$AP305+2),""),"")</f>
        <v/>
      </c>
      <c r="AH305" t="str">
        <f>IFERROR(IF($AQ305&gt;3,INDEX(Festivals!$V$2:$V$160,$AP305+3),""),"")</f>
        <v/>
      </c>
      <c r="AI305" t="str">
        <f>IFERROR(IF($AQ305&gt;4,INDEX(Festivals!$V$2:$V$160,$AP305+4),""),"")</f>
        <v/>
      </c>
      <c r="AJ305" t="str">
        <f>IFERROR(IF($AQ305&gt;5,INDEX(Festivals!$V$2:$V$160,$AP305+5),""),"")</f>
        <v/>
      </c>
      <c r="AK305" t="str">
        <f>IFERROR(IF($AQ305&gt;6,INDEX(Festivals!$V$2:$V$160,$AP305+6),""),"")</f>
        <v/>
      </c>
      <c r="AL305" t="str">
        <f ca="1">IFERROR(INDEX('Holidays Calc'!$J$2:$J$233,MATCH(A305,'Holidays Calc'!$I$2:$I$233,0)),"")</f>
        <v/>
      </c>
      <c r="AM305" t="str">
        <f ca="1">IF(AR305="","",IF(INDEX('Holidays Calc'!$I$2:$I$233,AR305+1)=A305,INDEX('Holidays Calc'!$J$2:$J$233,AR305+1),""))</f>
        <v/>
      </c>
      <c r="AN305" t="str">
        <f ca="1">IF(AR305="","",IF(INDEX('Holidays Calc'!$I$2:$I$233,AR305+2)=A305,INDEX('Holidays Calc'!$J$2:$J$233,AR305+2),""))</f>
        <v/>
      </c>
      <c r="AO305" t="str">
        <f ca="1">IF(AR305="","",IF(INDEX('Holidays Calc'!$I$2:$I$233,AR305+3)=A305,INDEX('Holidays Calc'!$J$2:$J$233,AR305+3),""))</f>
        <v/>
      </c>
      <c r="AP305" t="str">
        <f>IFERROR(IF($E305=E304,"",MATCH($E305,Festivals!$H$2:$H$160,0)),"")</f>
        <v/>
      </c>
      <c r="AQ305" t="str">
        <f>IF(AP305="","",COUNTIF(Festivals!$H$2:$H$160,$E305))</f>
        <v/>
      </c>
      <c r="AR305" t="str">
        <f ca="1">IFERROR(MATCH(A305,'Holidays Calc'!$I$2:$I$233,0),"")</f>
        <v/>
      </c>
      <c r="AS305" t="str">
        <f t="shared" si="32"/>
        <v/>
      </c>
      <c r="AT305" t="str">
        <f t="shared" si="31"/>
        <v/>
      </c>
      <c r="AU305" t="str">
        <f t="shared" ca="1" si="33"/>
        <v/>
      </c>
      <c r="AV305" t="str">
        <f t="shared" ca="1" si="34"/>
        <v/>
      </c>
    </row>
    <row r="306" spans="1:48" x14ac:dyDescent="0.25">
      <c r="A306" s="265">
        <f t="shared" si="30"/>
        <v>43732</v>
      </c>
      <c r="B306" s="265" t="str">
        <f t="shared" si="35"/>
        <v>24 Sep 2019</v>
      </c>
      <c r="C306" s="267">
        <f t="shared" si="36"/>
        <v>39</v>
      </c>
      <c r="D306">
        <f>MATCH(A306,GCalXMLT[daydate],0)</f>
        <v>305</v>
      </c>
      <c r="E306">
        <f>VALUE("1" &amp; Masacod(INDEX(GCalXMLT[gymasa],D306)) &amp; PaksaCod(INDEX(GCalXMLT[mpaksaid],D306)) &amp; TithiCod(INDEX(GCalXMLT[stithiname],D306)))</f>
        <v>107010</v>
      </c>
      <c r="F306" t="str">
        <f ca="1">INDEX(Parameters!$K$2:$K$16,MATCH(AV306,Parameters!$L$2:$L$16,0))</f>
        <v/>
      </c>
      <c r="G306">
        <f>INDEX(GCalXMLT[fastmark],$D306)</f>
        <v>0</v>
      </c>
      <c r="H306" t="str">
        <f ca="1">INDEX(Parameters!$J$2:$J$16,MATCH(AV306,Parameters!$L$2:$L$16,0))</f>
        <v/>
      </c>
      <c r="I306">
        <f>INDEX(GCalXMLT[dfestival1],$D306)</f>
        <v>0</v>
      </c>
      <c r="J306">
        <f>IF(INDEX(GCalXMLT[dfestival2],$D306)="(Fast today)",INDEX(Festivals!$R$2:$R$180,MATCH($I306,Festivals!$R$2:$R$180,0)+1),INDEX(GCalXMLT[dfestival2],$D306))</f>
        <v>0</v>
      </c>
      <c r="K306">
        <f>IF(I306="Nandotsava","(Fast till noon)",INDEX(GCalXMLT[dfestival3],$D306))</f>
        <v>0</v>
      </c>
      <c r="L306">
        <f>IF(I306="Nandotsava", INDEX(GCalXMLT[dfestival3],$D306),INDEX(GCalXMLT[dfestival4],$D306))</f>
        <v>0</v>
      </c>
      <c r="M306" t="str">
        <f>IFERROR(INDEX(Festivals!$S$2:$S$160,AP306),"")</f>
        <v/>
      </c>
      <c r="N306" t="str">
        <f>IFERROR(IF($AQ306&gt;1,INDEX(Festivals!$S$2:$S$160,$AP306+1),""),"")</f>
        <v/>
      </c>
      <c r="O306" t="str">
        <f>IFERROR(IF($AQ306&gt;2,INDEX(Festivals!$S$2:$S$160,$AP306+2),""),"")</f>
        <v/>
      </c>
      <c r="P306" t="str">
        <f>IFERROR(IF($AQ306&gt;3,INDEX(Festivals!$S$2:$S$160,$AP306+3),""),"")</f>
        <v/>
      </c>
      <c r="Q306" t="str">
        <f>IFERROR(IF($AQ306&gt;4,INDEX(Festivals!$S$2:$S$160,$AP306+4),""),"")</f>
        <v/>
      </c>
      <c r="R306" t="str">
        <f>IFERROR(IF($AQ306&gt;5,INDEX(Festivals!$S$2:$S$160,$AP306+5),""),"")</f>
        <v/>
      </c>
      <c r="S306" t="str">
        <f>IFERROR(IF($AQ306&gt;6,INDEX(Festivals!$S$2:$S$160,$AP306+6),""),"")</f>
        <v/>
      </c>
      <c r="T306">
        <f>INDEX(GCalXMLT[dcaturmasya1],$D306)</f>
        <v>0</v>
      </c>
      <c r="U306">
        <f>INDEX(GCalXMLT[dcaturmasya2],$D306)</f>
        <v>0</v>
      </c>
      <c r="V306" t="str">
        <f>INDEX(GCalXMLT[sankrantirasi],$D306) &amp; " " &amp; INDEX(GCalXMLT[sankrantitime],$D306)</f>
        <v xml:space="preserve"> </v>
      </c>
      <c r="W306" t="str">
        <f ca="1">IFERROR(INDEX('Holidays Calc'!$K$2:$K$233,AR306),"")</f>
        <v/>
      </c>
      <c r="X306" t="str">
        <f ca="1">IF(AR306="","",IF(INDEX('Holidays Calc'!$I$2:$I$233,AR306+1)=A306,INDEX('Holidays Calc'!$K$2:$K$233,AR306+1),""))</f>
        <v/>
      </c>
      <c r="Y306" t="str">
        <f ca="1">IF(AR306="","",IF(INDEX('Holidays Calc'!$I$2:$I$233,AR306+2)=A306,INDEX('Holidays Calc'!$K$2:$K$233,AR306+2),""))</f>
        <v/>
      </c>
      <c r="Z306" t="str">
        <f ca="1">IF(AR306="","",IF(INDEX('Holidays Calc'!$I$2:$I$233,AR306+3)=A306,INDEX('Holidays Calc'!$K$2:$K$2333,AR306+3),""))</f>
        <v/>
      </c>
      <c r="AA306" t="str">
        <f>IF(I306="Last day of Bhisma Pancaka","",IF(G306="*",-0.7,IF(ISBLANK(INDEX(GCalXMLT[dclass1],$D306)),"",INDEX(GCalXMLT[dclass1],$D306))))</f>
        <v/>
      </c>
      <c r="AB306" t="str">
        <f>IF(J306="First day of Bhisma Pancaka","",IF(AND(G306="*",NOT(ISERROR(SEARCH("ekadasi",J306)))),-0.7,IF(ISBLANK(INDEX(GCalXMLT[dclass2],$D306)),"",INDEX(GCalXMLT[dclass2],$D306))))</f>
        <v/>
      </c>
      <c r="AC306" t="str">
        <f>IF(I306="Nandotsava",-1,IF(ISBLANK(INDEX(GCalXMLT[dclass3],$D306)),"",INDEX(GCalXMLT[dclass3],$D306)))</f>
        <v/>
      </c>
      <c r="AD306" t="str">
        <f>IF(I306="Nandotsava",IF(ISBLANK(INDEX(GCalXMLT[dclass3],$D306)),"",INDEX(GCalXMLT[dclass3],$D306)),IF(ISBLANK(INDEX(GCalXMLT[dclass4],$D306)),"",INDEX(GCalXMLT[dclass4],$D306)))</f>
        <v/>
      </c>
      <c r="AE306" t="str">
        <f>IFERROR(INDEX(Festivals!$V$2:$V$160,AP306),"")</f>
        <v/>
      </c>
      <c r="AF306" t="str">
        <f>IFERROR(IF($AQ306&gt;1,INDEX(Festivals!$V$2:$V$160,$AP306+1),""),"")</f>
        <v/>
      </c>
      <c r="AG306" t="str">
        <f>IFERROR(IF($AQ306&gt;2,INDEX(Festivals!$V$2:$V$160,$AP306+2),""),"")</f>
        <v/>
      </c>
      <c r="AH306" t="str">
        <f>IFERROR(IF($AQ306&gt;3,INDEX(Festivals!$V$2:$V$160,$AP306+3),""),"")</f>
        <v/>
      </c>
      <c r="AI306" t="str">
        <f>IFERROR(IF($AQ306&gt;4,INDEX(Festivals!$V$2:$V$160,$AP306+4),""),"")</f>
        <v/>
      </c>
      <c r="AJ306" t="str">
        <f>IFERROR(IF($AQ306&gt;5,INDEX(Festivals!$V$2:$V$160,$AP306+5),""),"")</f>
        <v/>
      </c>
      <c r="AK306" t="str">
        <f>IFERROR(IF($AQ306&gt;6,INDEX(Festivals!$V$2:$V$160,$AP306+6),""),"")</f>
        <v/>
      </c>
      <c r="AL306" t="str">
        <f ca="1">IFERROR(INDEX('Holidays Calc'!$J$2:$J$233,MATCH(A306,'Holidays Calc'!$I$2:$I$233,0)),"")</f>
        <v/>
      </c>
      <c r="AM306" t="str">
        <f ca="1">IF(AR306="","",IF(INDEX('Holidays Calc'!$I$2:$I$233,AR306+1)=A306,INDEX('Holidays Calc'!$J$2:$J$233,AR306+1),""))</f>
        <v/>
      </c>
      <c r="AN306" t="str">
        <f ca="1">IF(AR306="","",IF(INDEX('Holidays Calc'!$I$2:$I$233,AR306+2)=A306,INDEX('Holidays Calc'!$J$2:$J$233,AR306+2),""))</f>
        <v/>
      </c>
      <c r="AO306" t="str">
        <f ca="1">IF(AR306="","",IF(INDEX('Holidays Calc'!$I$2:$I$233,AR306+3)=A306,INDEX('Holidays Calc'!$J$2:$J$233,AR306+3),""))</f>
        <v/>
      </c>
      <c r="AP306" t="str">
        <f>IFERROR(IF($E306=E305,"",MATCH($E306,Festivals!$H$2:$H$160,0)),"")</f>
        <v/>
      </c>
      <c r="AQ306" t="str">
        <f>IF(AP306="","",COUNTIF(Festivals!$H$2:$H$160,$E306))</f>
        <v/>
      </c>
      <c r="AR306" t="str">
        <f ca="1">IFERROR(MATCH(A306,'Holidays Calc'!$I$2:$I$233,0),"")</f>
        <v/>
      </c>
      <c r="AS306" t="str">
        <f t="shared" si="32"/>
        <v/>
      </c>
      <c r="AT306" t="str">
        <f t="shared" si="31"/>
        <v/>
      </c>
      <c r="AU306" t="str">
        <f t="shared" ca="1" si="33"/>
        <v/>
      </c>
      <c r="AV306" t="str">
        <f t="shared" ca="1" si="34"/>
        <v/>
      </c>
    </row>
    <row r="307" spans="1:48" x14ac:dyDescent="0.25">
      <c r="A307" s="265">
        <f t="shared" si="30"/>
        <v>43733</v>
      </c>
      <c r="B307" s="265" t="str">
        <f t="shared" si="35"/>
        <v>25 Sep 2019</v>
      </c>
      <c r="C307" s="267">
        <f t="shared" si="36"/>
        <v>39</v>
      </c>
      <c r="D307">
        <f>MATCH(A307,GCalXMLT[daydate],0)</f>
        <v>306</v>
      </c>
      <c r="E307">
        <f>VALUE("1" &amp; Masacod(INDEX(GCalXMLT[gymasa],D307)) &amp; PaksaCod(INDEX(GCalXMLT[mpaksaid],D307)) &amp; TithiCod(INDEX(GCalXMLT[stithiname],D307)))</f>
        <v>107011</v>
      </c>
      <c r="F307" t="str">
        <f ca="1">INDEX(Parameters!$K$2:$K$16,MATCH(AV307,Parameters!$L$2:$L$16,0))</f>
        <v>E</v>
      </c>
      <c r="G307" t="str">
        <f>INDEX(GCalXMLT[fastmark],$D307)</f>
        <v>*</v>
      </c>
      <c r="H307" t="str">
        <f ca="1">INDEX(Parameters!$J$2:$J$16,MATCH(AV307,Parameters!$L$2:$L$16,0))</f>
        <v>*</v>
      </c>
      <c r="I307" t="str">
        <f>INDEX(GCalXMLT[dfestival1],$D307)</f>
        <v>Trisprsa Mahadvadasi</v>
      </c>
      <c r="J307" t="str">
        <f>IF(INDEX(GCalXMLT[dfestival2],$D307)="(Fast today)",INDEX(Festivals!$R$2:$R$180,MATCH($I307,Festivals!$R$2:$R$180,0)+1),INDEX(GCalXMLT[dfestival2],$D307))</f>
        <v>Fasting for Indira Ekadasi</v>
      </c>
      <c r="K307">
        <f>IF(I307="Nandotsava","(Fast till noon)",INDEX(GCalXMLT[dfestival3],$D307))</f>
        <v>0</v>
      </c>
      <c r="L307">
        <f>IF(I307="Nandotsava", INDEX(GCalXMLT[dfestival3],$D307),INDEX(GCalXMLT[dfestival4],$D307))</f>
        <v>0</v>
      </c>
      <c r="M307" t="str">
        <f>IFERROR(INDEX(Festivals!$S$2:$S$160,AP307),"")</f>
        <v/>
      </c>
      <c r="N307" t="str">
        <f>IFERROR(IF($AQ307&gt;1,INDEX(Festivals!$S$2:$S$160,$AP307+1),""),"")</f>
        <v/>
      </c>
      <c r="O307" t="str">
        <f>IFERROR(IF($AQ307&gt;2,INDEX(Festivals!$S$2:$S$160,$AP307+2),""),"")</f>
        <v/>
      </c>
      <c r="P307" t="str">
        <f>IFERROR(IF($AQ307&gt;3,INDEX(Festivals!$S$2:$S$160,$AP307+3),""),"")</f>
        <v/>
      </c>
      <c r="Q307" t="str">
        <f>IFERROR(IF($AQ307&gt;4,INDEX(Festivals!$S$2:$S$160,$AP307+4),""),"")</f>
        <v/>
      </c>
      <c r="R307" t="str">
        <f>IFERROR(IF($AQ307&gt;5,INDEX(Festivals!$S$2:$S$160,$AP307+5),""),"")</f>
        <v/>
      </c>
      <c r="S307" t="str">
        <f>IFERROR(IF($AQ307&gt;6,INDEX(Festivals!$S$2:$S$160,$AP307+6),""),"")</f>
        <v/>
      </c>
      <c r="T307">
        <f>INDEX(GCalXMLT[dcaturmasya1],$D307)</f>
        <v>0</v>
      </c>
      <c r="U307">
        <f>INDEX(GCalXMLT[dcaturmasya2],$D307)</f>
        <v>0</v>
      </c>
      <c r="V307" t="str">
        <f>INDEX(GCalXMLT[sankrantirasi],$D307) &amp; " " &amp; INDEX(GCalXMLT[sankrantitime],$D307)</f>
        <v xml:space="preserve"> </v>
      </c>
      <c r="W307" t="str">
        <f ca="1">IFERROR(INDEX('Holidays Calc'!$K$2:$K$233,AR307),"")</f>
        <v/>
      </c>
      <c r="X307" t="str">
        <f ca="1">IF(AR307="","",IF(INDEX('Holidays Calc'!$I$2:$I$233,AR307+1)=A307,INDEX('Holidays Calc'!$K$2:$K$233,AR307+1),""))</f>
        <v/>
      </c>
      <c r="Y307" t="str">
        <f ca="1">IF(AR307="","",IF(INDEX('Holidays Calc'!$I$2:$I$233,AR307+2)=A307,INDEX('Holidays Calc'!$K$2:$K$233,AR307+2),""))</f>
        <v/>
      </c>
      <c r="Z307" t="str">
        <f ca="1">IF(AR307="","",IF(INDEX('Holidays Calc'!$I$2:$I$233,AR307+3)=A307,INDEX('Holidays Calc'!$K$2:$K$2333,AR307+3),""))</f>
        <v/>
      </c>
      <c r="AA307">
        <f>IF(I307="Last day of Bhisma Pancaka","",IF(G307="*",-0.7,IF(ISBLANK(INDEX(GCalXMLT[dclass1],$D307)),"",INDEX(GCalXMLT[dclass1],$D307))))</f>
        <v>-0.7</v>
      </c>
      <c r="AB307">
        <f>IF(J307="First day of Bhisma Pancaka","",IF(AND(G307="*",NOT(ISERROR(SEARCH("ekadasi",J307)))),-0.7,IF(ISBLANK(INDEX(GCalXMLT[dclass2],$D307)),"",INDEX(GCalXMLT[dclass2],$D307))))</f>
        <v>-0.7</v>
      </c>
      <c r="AC307" t="str">
        <f>IF(I307="Nandotsava",-1,IF(ISBLANK(INDEX(GCalXMLT[dclass3],$D307)),"",INDEX(GCalXMLT[dclass3],$D307)))</f>
        <v/>
      </c>
      <c r="AD307" t="str">
        <f>IF(I307="Nandotsava",IF(ISBLANK(INDEX(GCalXMLT[dclass3],$D307)),"",INDEX(GCalXMLT[dclass3],$D307)),IF(ISBLANK(INDEX(GCalXMLT[dclass4],$D307)),"",INDEX(GCalXMLT[dclass4],$D307)))</f>
        <v/>
      </c>
      <c r="AE307" t="str">
        <f>IFERROR(INDEX(Festivals!$V$2:$V$160,AP307),"")</f>
        <v/>
      </c>
      <c r="AF307" t="str">
        <f>IFERROR(IF($AQ307&gt;1,INDEX(Festivals!$V$2:$V$160,$AP307+1),""),"")</f>
        <v/>
      </c>
      <c r="AG307" t="str">
        <f>IFERROR(IF($AQ307&gt;2,INDEX(Festivals!$V$2:$V$160,$AP307+2),""),"")</f>
        <v/>
      </c>
      <c r="AH307" t="str">
        <f>IFERROR(IF($AQ307&gt;3,INDEX(Festivals!$V$2:$V$160,$AP307+3),""),"")</f>
        <v/>
      </c>
      <c r="AI307" t="str">
        <f>IFERROR(IF($AQ307&gt;4,INDEX(Festivals!$V$2:$V$160,$AP307+4),""),"")</f>
        <v/>
      </c>
      <c r="AJ307" t="str">
        <f>IFERROR(IF($AQ307&gt;5,INDEX(Festivals!$V$2:$V$160,$AP307+5),""),"")</f>
        <v/>
      </c>
      <c r="AK307" t="str">
        <f>IFERROR(IF($AQ307&gt;6,INDEX(Festivals!$V$2:$V$160,$AP307+6),""),"")</f>
        <v/>
      </c>
      <c r="AL307" t="str">
        <f ca="1">IFERROR(INDEX('Holidays Calc'!$J$2:$J$233,MATCH(A307,'Holidays Calc'!$I$2:$I$233,0)),"")</f>
        <v/>
      </c>
      <c r="AM307" t="str">
        <f ca="1">IF(AR307="","",IF(INDEX('Holidays Calc'!$I$2:$I$233,AR307+1)=A307,INDEX('Holidays Calc'!$J$2:$J$233,AR307+1),""))</f>
        <v/>
      </c>
      <c r="AN307" t="str">
        <f ca="1">IF(AR307="","",IF(INDEX('Holidays Calc'!$I$2:$I$233,AR307+2)=A307,INDEX('Holidays Calc'!$J$2:$J$233,AR307+2),""))</f>
        <v/>
      </c>
      <c r="AO307" t="str">
        <f ca="1">IF(AR307="","",IF(INDEX('Holidays Calc'!$I$2:$I$233,AR307+3)=A307,INDEX('Holidays Calc'!$J$2:$J$233,AR307+3),""))</f>
        <v/>
      </c>
      <c r="AP307" t="str">
        <f>IFERROR(IF($E307=E306,"",MATCH($E307,Festivals!$H$2:$H$160,0)),"")</f>
        <v/>
      </c>
      <c r="AQ307" t="str">
        <f>IF(AP307="","",COUNTIF(Festivals!$H$2:$H$160,$E307))</f>
        <v/>
      </c>
      <c r="AR307" t="str">
        <f ca="1">IFERROR(MATCH(A307,'Holidays Calc'!$I$2:$I$233,0),"")</f>
        <v/>
      </c>
      <c r="AS307">
        <f t="shared" si="32"/>
        <v>-0.7</v>
      </c>
      <c r="AT307">
        <f t="shared" si="31"/>
        <v>-0.7</v>
      </c>
      <c r="AU307" t="str">
        <f t="shared" ca="1" si="33"/>
        <v/>
      </c>
      <c r="AV307">
        <f t="shared" ca="1" si="34"/>
        <v>-0.7</v>
      </c>
    </row>
    <row r="308" spans="1:48" x14ac:dyDescent="0.25">
      <c r="A308" s="265">
        <f t="shared" si="30"/>
        <v>43734</v>
      </c>
      <c r="B308" s="265" t="str">
        <f t="shared" si="35"/>
        <v>26 Sep 2019</v>
      </c>
      <c r="C308" s="267">
        <f t="shared" si="36"/>
        <v>39</v>
      </c>
      <c r="D308">
        <f>MATCH(A308,GCalXMLT[daydate],0)</f>
        <v>307</v>
      </c>
      <c r="E308">
        <f>VALUE("1" &amp; Masacod(INDEX(GCalXMLT[gymasa],D308)) &amp; PaksaCod(INDEX(GCalXMLT[mpaksaid],D308)) &amp; TithiCod(INDEX(GCalXMLT[stithiname],D308)))</f>
        <v>107013</v>
      </c>
      <c r="F308" t="str">
        <f ca="1">INDEX(Parameters!$K$2:$K$16,MATCH(AV308,Parameters!$L$2:$L$16,0))</f>
        <v/>
      </c>
      <c r="G308">
        <f>INDEX(GCalXMLT[fastmark],$D308)</f>
        <v>0</v>
      </c>
      <c r="H308" t="str">
        <f ca="1">INDEX(Parameters!$J$2:$J$16,MATCH(AV308,Parameters!$L$2:$L$16,0))</f>
        <v/>
      </c>
      <c r="I308">
        <f>INDEX(GCalXMLT[dfestival1],$D308)</f>
        <v>0</v>
      </c>
      <c r="J308">
        <f>IF(INDEX(GCalXMLT[dfestival2],$D308)="(Fast today)",INDEX(Festivals!$R$2:$R$180,MATCH($I308,Festivals!$R$2:$R$180,0)+1),INDEX(GCalXMLT[dfestival2],$D308))</f>
        <v>0</v>
      </c>
      <c r="K308">
        <f>IF(I308="Nandotsava","(Fast till noon)",INDEX(GCalXMLT[dfestival3],$D308))</f>
        <v>0</v>
      </c>
      <c r="L308">
        <f>IF(I308="Nandotsava", INDEX(GCalXMLT[dfestival3],$D308),INDEX(GCalXMLT[dfestival4],$D308))</f>
        <v>0</v>
      </c>
      <c r="M308" t="str">
        <f>IFERROR(INDEX(Festivals!$S$2:$S$160,AP308),"")</f>
        <v/>
      </c>
      <c r="N308" t="str">
        <f>IFERROR(IF($AQ308&gt;1,INDEX(Festivals!$S$2:$S$160,$AP308+1),""),"")</f>
        <v/>
      </c>
      <c r="O308" t="str">
        <f>IFERROR(IF($AQ308&gt;2,INDEX(Festivals!$S$2:$S$160,$AP308+2),""),"")</f>
        <v/>
      </c>
      <c r="P308" t="str">
        <f>IFERROR(IF($AQ308&gt;3,INDEX(Festivals!$S$2:$S$160,$AP308+3),""),"")</f>
        <v/>
      </c>
      <c r="Q308" t="str">
        <f>IFERROR(IF($AQ308&gt;4,INDEX(Festivals!$S$2:$S$160,$AP308+4),""),"")</f>
        <v/>
      </c>
      <c r="R308" t="str">
        <f>IFERROR(IF($AQ308&gt;5,INDEX(Festivals!$S$2:$S$160,$AP308+5),""),"")</f>
        <v/>
      </c>
      <c r="S308" t="str">
        <f>IFERROR(IF($AQ308&gt;6,INDEX(Festivals!$S$2:$S$160,$AP308+6),""),"")</f>
        <v/>
      </c>
      <c r="T308">
        <f>INDEX(GCalXMLT[dcaturmasya1],$D308)</f>
        <v>0</v>
      </c>
      <c r="U308">
        <f>INDEX(GCalXMLT[dcaturmasya2],$D308)</f>
        <v>0</v>
      </c>
      <c r="V308" t="str">
        <f>INDEX(GCalXMLT[sankrantirasi],$D308) &amp; " " &amp; INDEX(GCalXMLT[sankrantitime],$D308)</f>
        <v xml:space="preserve"> </v>
      </c>
      <c r="W308" t="str">
        <f ca="1">IFERROR(INDEX('Holidays Calc'!$K$2:$K$233,AR308),"")</f>
        <v/>
      </c>
      <c r="X308" t="str">
        <f ca="1">IF(AR308="","",IF(INDEX('Holidays Calc'!$I$2:$I$233,AR308+1)=A308,INDEX('Holidays Calc'!$K$2:$K$233,AR308+1),""))</f>
        <v/>
      </c>
      <c r="Y308" t="str">
        <f ca="1">IF(AR308="","",IF(INDEX('Holidays Calc'!$I$2:$I$233,AR308+2)=A308,INDEX('Holidays Calc'!$K$2:$K$233,AR308+2),""))</f>
        <v/>
      </c>
      <c r="Z308" t="str">
        <f ca="1">IF(AR308="","",IF(INDEX('Holidays Calc'!$I$2:$I$233,AR308+3)=A308,INDEX('Holidays Calc'!$K$2:$K$2333,AR308+3),""))</f>
        <v/>
      </c>
      <c r="AA308" t="str">
        <f>IF(I308="Last day of Bhisma Pancaka","",IF(G308="*",-0.7,IF(ISBLANK(INDEX(GCalXMLT[dclass1],$D308)),"",INDEX(GCalXMLT[dclass1],$D308))))</f>
        <v/>
      </c>
      <c r="AB308" t="str">
        <f>IF(J308="First day of Bhisma Pancaka","",IF(AND(G308="*",NOT(ISERROR(SEARCH("ekadasi",J308)))),-0.7,IF(ISBLANK(INDEX(GCalXMLT[dclass2],$D308)),"",INDEX(GCalXMLT[dclass2],$D308))))</f>
        <v/>
      </c>
      <c r="AC308" t="str">
        <f>IF(I308="Nandotsava",-1,IF(ISBLANK(INDEX(GCalXMLT[dclass3],$D308)),"",INDEX(GCalXMLT[dclass3],$D308)))</f>
        <v/>
      </c>
      <c r="AD308" t="str">
        <f>IF(I308="Nandotsava",IF(ISBLANK(INDEX(GCalXMLT[dclass3],$D308)),"",INDEX(GCalXMLT[dclass3],$D308)),IF(ISBLANK(INDEX(GCalXMLT[dclass4],$D308)),"",INDEX(GCalXMLT[dclass4],$D308)))</f>
        <v/>
      </c>
      <c r="AE308" t="str">
        <f>IFERROR(INDEX(Festivals!$V$2:$V$160,AP308),"")</f>
        <v/>
      </c>
      <c r="AF308" t="str">
        <f>IFERROR(IF($AQ308&gt;1,INDEX(Festivals!$V$2:$V$160,$AP308+1),""),"")</f>
        <v/>
      </c>
      <c r="AG308" t="str">
        <f>IFERROR(IF($AQ308&gt;2,INDEX(Festivals!$V$2:$V$160,$AP308+2),""),"")</f>
        <v/>
      </c>
      <c r="AH308" t="str">
        <f>IFERROR(IF($AQ308&gt;3,INDEX(Festivals!$V$2:$V$160,$AP308+3),""),"")</f>
        <v/>
      </c>
      <c r="AI308" t="str">
        <f>IFERROR(IF($AQ308&gt;4,INDEX(Festivals!$V$2:$V$160,$AP308+4),""),"")</f>
        <v/>
      </c>
      <c r="AJ308" t="str">
        <f>IFERROR(IF($AQ308&gt;5,INDEX(Festivals!$V$2:$V$160,$AP308+5),""),"")</f>
        <v/>
      </c>
      <c r="AK308" t="str">
        <f>IFERROR(IF($AQ308&gt;6,INDEX(Festivals!$V$2:$V$160,$AP308+6),""),"")</f>
        <v/>
      </c>
      <c r="AL308" t="str">
        <f ca="1">IFERROR(INDEX('Holidays Calc'!$J$2:$J$233,MATCH(A308,'Holidays Calc'!$I$2:$I$233,0)),"")</f>
        <v/>
      </c>
      <c r="AM308" t="str">
        <f ca="1">IF(AR308="","",IF(INDEX('Holidays Calc'!$I$2:$I$233,AR308+1)=A308,INDEX('Holidays Calc'!$J$2:$J$233,AR308+1),""))</f>
        <v/>
      </c>
      <c r="AN308" t="str">
        <f ca="1">IF(AR308="","",IF(INDEX('Holidays Calc'!$I$2:$I$233,AR308+2)=A308,INDEX('Holidays Calc'!$J$2:$J$233,AR308+2),""))</f>
        <v/>
      </c>
      <c r="AO308" t="str">
        <f ca="1">IF(AR308="","",IF(INDEX('Holidays Calc'!$I$2:$I$233,AR308+3)=A308,INDEX('Holidays Calc'!$J$2:$J$233,AR308+3),""))</f>
        <v/>
      </c>
      <c r="AP308" t="str">
        <f>IFERROR(IF($E308=E307,"",MATCH($E308,Festivals!$H$2:$H$160,0)),"")</f>
        <v/>
      </c>
      <c r="AQ308" t="str">
        <f>IF(AP308="","",COUNTIF(Festivals!$H$2:$H$160,$E308))</f>
        <v/>
      </c>
      <c r="AR308" t="str">
        <f ca="1">IFERROR(MATCH(A308,'Holidays Calc'!$I$2:$I$233,0),"")</f>
        <v/>
      </c>
      <c r="AS308" t="str">
        <f t="shared" si="32"/>
        <v/>
      </c>
      <c r="AT308" t="str">
        <f t="shared" si="31"/>
        <v/>
      </c>
      <c r="AU308" t="str">
        <f t="shared" ca="1" si="33"/>
        <v/>
      </c>
      <c r="AV308" t="str">
        <f t="shared" ca="1" si="34"/>
        <v/>
      </c>
    </row>
    <row r="309" spans="1:48" x14ac:dyDescent="0.25">
      <c r="A309" s="265">
        <f t="shared" si="30"/>
        <v>43735</v>
      </c>
      <c r="B309" s="265" t="str">
        <f t="shared" si="35"/>
        <v>27 Sep 2019</v>
      </c>
      <c r="C309" s="267">
        <f t="shared" si="36"/>
        <v>39</v>
      </c>
      <c r="D309">
        <f>MATCH(A309,GCalXMLT[daydate],0)</f>
        <v>308</v>
      </c>
      <c r="E309">
        <f>VALUE("1" &amp; Masacod(INDEX(GCalXMLT[gymasa],D309)) &amp; PaksaCod(INDEX(GCalXMLT[mpaksaid],D309)) &amp; TithiCod(INDEX(GCalXMLT[stithiname],D309)))</f>
        <v>107014</v>
      </c>
      <c r="F309" t="str">
        <f ca="1">INDEX(Parameters!$K$2:$K$16,MATCH(AV309,Parameters!$L$2:$L$16,0))</f>
        <v/>
      </c>
      <c r="G309">
        <f>INDEX(GCalXMLT[fastmark],$D309)</f>
        <v>0</v>
      </c>
      <c r="H309" t="str">
        <f ca="1">INDEX(Parameters!$J$2:$J$16,MATCH(AV309,Parameters!$L$2:$L$16,0))</f>
        <v/>
      </c>
      <c r="I309">
        <f>INDEX(GCalXMLT[dfestival1],$D309)</f>
        <v>0</v>
      </c>
      <c r="J309">
        <f>IF(INDEX(GCalXMLT[dfestival2],$D309)="(Fast today)",INDEX(Festivals!$R$2:$R$180,MATCH($I309,Festivals!$R$2:$R$180,0)+1),INDEX(GCalXMLT[dfestival2],$D309))</f>
        <v>0</v>
      </c>
      <c r="K309">
        <f>IF(I309="Nandotsava","(Fast till noon)",INDEX(GCalXMLT[dfestival3],$D309))</f>
        <v>0</v>
      </c>
      <c r="L309">
        <f>IF(I309="Nandotsava", INDEX(GCalXMLT[dfestival3],$D309),INDEX(GCalXMLT[dfestival4],$D309))</f>
        <v>0</v>
      </c>
      <c r="M309" t="str">
        <f>IFERROR(INDEX(Festivals!$S$2:$S$160,AP309),"")</f>
        <v/>
      </c>
      <c r="N309" t="str">
        <f>IFERROR(IF($AQ309&gt;1,INDEX(Festivals!$S$2:$S$160,$AP309+1),""),"")</f>
        <v/>
      </c>
      <c r="O309" t="str">
        <f>IFERROR(IF($AQ309&gt;2,INDEX(Festivals!$S$2:$S$160,$AP309+2),""),"")</f>
        <v/>
      </c>
      <c r="P309" t="str">
        <f>IFERROR(IF($AQ309&gt;3,INDEX(Festivals!$S$2:$S$160,$AP309+3),""),"")</f>
        <v/>
      </c>
      <c r="Q309" t="str">
        <f>IFERROR(IF($AQ309&gt;4,INDEX(Festivals!$S$2:$S$160,$AP309+4),""),"")</f>
        <v/>
      </c>
      <c r="R309" t="str">
        <f>IFERROR(IF($AQ309&gt;5,INDEX(Festivals!$S$2:$S$160,$AP309+5),""),"")</f>
        <v/>
      </c>
      <c r="S309" t="str">
        <f>IFERROR(IF($AQ309&gt;6,INDEX(Festivals!$S$2:$S$160,$AP309+6),""),"")</f>
        <v/>
      </c>
      <c r="T309">
        <f>INDEX(GCalXMLT[dcaturmasya1],$D309)</f>
        <v>0</v>
      </c>
      <c r="U309">
        <f>INDEX(GCalXMLT[dcaturmasya2],$D309)</f>
        <v>0</v>
      </c>
      <c r="V309" t="str">
        <f>INDEX(GCalXMLT[sankrantirasi],$D309) &amp; " " &amp; INDEX(GCalXMLT[sankrantitime],$D309)</f>
        <v xml:space="preserve"> </v>
      </c>
      <c r="W309" t="str">
        <f ca="1">IFERROR(INDEX('Holidays Calc'!$K$2:$K$233,AR309),"")</f>
        <v/>
      </c>
      <c r="X309" t="str">
        <f ca="1">IF(AR309="","",IF(INDEX('Holidays Calc'!$I$2:$I$233,AR309+1)=A309,INDEX('Holidays Calc'!$K$2:$K$233,AR309+1),""))</f>
        <v/>
      </c>
      <c r="Y309" t="str">
        <f ca="1">IF(AR309="","",IF(INDEX('Holidays Calc'!$I$2:$I$233,AR309+2)=A309,INDEX('Holidays Calc'!$K$2:$K$233,AR309+2),""))</f>
        <v/>
      </c>
      <c r="Z309" t="str">
        <f ca="1">IF(AR309="","",IF(INDEX('Holidays Calc'!$I$2:$I$233,AR309+3)=A309,INDEX('Holidays Calc'!$K$2:$K$2333,AR309+3),""))</f>
        <v/>
      </c>
      <c r="AA309" t="str">
        <f>IF(I309="Last day of Bhisma Pancaka","",IF(G309="*",-0.7,IF(ISBLANK(INDEX(GCalXMLT[dclass1],$D309)),"",INDEX(GCalXMLT[dclass1],$D309))))</f>
        <v/>
      </c>
      <c r="AB309" t="str">
        <f>IF(J309="First day of Bhisma Pancaka","",IF(AND(G309="*",NOT(ISERROR(SEARCH("ekadasi",J309)))),-0.7,IF(ISBLANK(INDEX(GCalXMLT[dclass2],$D309)),"",INDEX(GCalXMLT[dclass2],$D309))))</f>
        <v/>
      </c>
      <c r="AC309" t="str">
        <f>IF(I309="Nandotsava",-1,IF(ISBLANK(INDEX(GCalXMLT[dclass3],$D309)),"",INDEX(GCalXMLT[dclass3],$D309)))</f>
        <v/>
      </c>
      <c r="AD309" t="str">
        <f>IF(I309="Nandotsava",IF(ISBLANK(INDEX(GCalXMLT[dclass3],$D309)),"",INDEX(GCalXMLT[dclass3],$D309)),IF(ISBLANK(INDEX(GCalXMLT[dclass4],$D309)),"",INDEX(GCalXMLT[dclass4],$D309)))</f>
        <v/>
      </c>
      <c r="AE309" t="str">
        <f>IFERROR(INDEX(Festivals!$V$2:$V$160,AP309),"")</f>
        <v/>
      </c>
      <c r="AF309" t="str">
        <f>IFERROR(IF($AQ309&gt;1,INDEX(Festivals!$V$2:$V$160,$AP309+1),""),"")</f>
        <v/>
      </c>
      <c r="AG309" t="str">
        <f>IFERROR(IF($AQ309&gt;2,INDEX(Festivals!$V$2:$V$160,$AP309+2),""),"")</f>
        <v/>
      </c>
      <c r="AH309" t="str">
        <f>IFERROR(IF($AQ309&gt;3,INDEX(Festivals!$V$2:$V$160,$AP309+3),""),"")</f>
        <v/>
      </c>
      <c r="AI309" t="str">
        <f>IFERROR(IF($AQ309&gt;4,INDEX(Festivals!$V$2:$V$160,$AP309+4),""),"")</f>
        <v/>
      </c>
      <c r="AJ309" t="str">
        <f>IFERROR(IF($AQ309&gt;5,INDEX(Festivals!$V$2:$V$160,$AP309+5),""),"")</f>
        <v/>
      </c>
      <c r="AK309" t="str">
        <f>IFERROR(IF($AQ309&gt;6,INDEX(Festivals!$V$2:$V$160,$AP309+6),""),"")</f>
        <v/>
      </c>
      <c r="AL309" t="str">
        <f ca="1">IFERROR(INDEX('Holidays Calc'!$J$2:$J$233,MATCH(A309,'Holidays Calc'!$I$2:$I$233,0)),"")</f>
        <v/>
      </c>
      <c r="AM309" t="str">
        <f ca="1">IF(AR309="","",IF(INDEX('Holidays Calc'!$I$2:$I$233,AR309+1)=A309,INDEX('Holidays Calc'!$J$2:$J$233,AR309+1),""))</f>
        <v/>
      </c>
      <c r="AN309" t="str">
        <f ca="1">IF(AR309="","",IF(INDEX('Holidays Calc'!$I$2:$I$233,AR309+2)=A309,INDEX('Holidays Calc'!$J$2:$J$233,AR309+2),""))</f>
        <v/>
      </c>
      <c r="AO309" t="str">
        <f ca="1">IF(AR309="","",IF(INDEX('Holidays Calc'!$I$2:$I$233,AR309+3)=A309,INDEX('Holidays Calc'!$J$2:$J$233,AR309+3),""))</f>
        <v/>
      </c>
      <c r="AP309" t="str">
        <f>IFERROR(IF($E309=E308,"",MATCH($E309,Festivals!$H$2:$H$160,0)),"")</f>
        <v/>
      </c>
      <c r="AQ309" t="str">
        <f>IF(AP309="","",COUNTIF(Festivals!$H$2:$H$160,$E309))</f>
        <v/>
      </c>
      <c r="AR309" t="str">
        <f ca="1">IFERROR(MATCH(A309,'Holidays Calc'!$I$2:$I$233,0),"")</f>
        <v/>
      </c>
      <c r="AS309" t="str">
        <f t="shared" si="32"/>
        <v/>
      </c>
      <c r="AT309" t="str">
        <f t="shared" si="31"/>
        <v/>
      </c>
      <c r="AU309" t="str">
        <f t="shared" ca="1" si="33"/>
        <v/>
      </c>
      <c r="AV309" t="str">
        <f t="shared" ca="1" si="34"/>
        <v/>
      </c>
    </row>
    <row r="310" spans="1:48" x14ac:dyDescent="0.25">
      <c r="A310" s="265">
        <f t="shared" si="30"/>
        <v>43736</v>
      </c>
      <c r="B310" s="265" t="str">
        <f t="shared" si="35"/>
        <v>28 Sep 2019</v>
      </c>
      <c r="C310" s="267">
        <f t="shared" si="36"/>
        <v>39</v>
      </c>
      <c r="D310">
        <f>MATCH(A310,GCalXMLT[daydate],0)</f>
        <v>309</v>
      </c>
      <c r="E310">
        <f>VALUE("1" &amp; Masacod(INDEX(GCalXMLT[gymasa],D310)) &amp; PaksaCod(INDEX(GCalXMLT[mpaksaid],D310)) &amp; TithiCod(INDEX(GCalXMLT[stithiname],D310)))</f>
        <v>107015</v>
      </c>
      <c r="F310" t="str">
        <f ca="1">INDEX(Parameters!$K$2:$K$16,MATCH(AV310,Parameters!$L$2:$L$16,0))</f>
        <v/>
      </c>
      <c r="G310">
        <f>INDEX(GCalXMLT[fastmark],$D310)</f>
        <v>0</v>
      </c>
      <c r="H310" t="str">
        <f ca="1">INDEX(Parameters!$J$2:$J$16,MATCH(AV310,Parameters!$L$2:$L$16,0))</f>
        <v/>
      </c>
      <c r="I310">
        <f>INDEX(GCalXMLT[dfestival1],$D310)</f>
        <v>0</v>
      </c>
      <c r="J310">
        <f>IF(INDEX(GCalXMLT[dfestival2],$D310)="(Fast today)",INDEX(Festivals!$R$2:$R$180,MATCH($I310,Festivals!$R$2:$R$180,0)+1),INDEX(GCalXMLT[dfestival2],$D310))</f>
        <v>0</v>
      </c>
      <c r="K310">
        <f>IF(I310="Nandotsava","(Fast till noon)",INDEX(GCalXMLT[dfestival3],$D310))</f>
        <v>0</v>
      </c>
      <c r="L310">
        <f>IF(I310="Nandotsava", INDEX(GCalXMLT[dfestival3],$D310),INDEX(GCalXMLT[dfestival4],$D310))</f>
        <v>0</v>
      </c>
      <c r="M310" t="str">
        <f>IFERROR(INDEX(Festivals!$S$2:$S$160,AP310),"")</f>
        <v/>
      </c>
      <c r="N310" t="str">
        <f>IFERROR(IF($AQ310&gt;1,INDEX(Festivals!$S$2:$S$160,$AP310+1),""),"")</f>
        <v/>
      </c>
      <c r="O310" t="str">
        <f>IFERROR(IF($AQ310&gt;2,INDEX(Festivals!$S$2:$S$160,$AP310+2),""),"")</f>
        <v/>
      </c>
      <c r="P310" t="str">
        <f>IFERROR(IF($AQ310&gt;3,INDEX(Festivals!$S$2:$S$160,$AP310+3),""),"")</f>
        <v/>
      </c>
      <c r="Q310" t="str">
        <f>IFERROR(IF($AQ310&gt;4,INDEX(Festivals!$S$2:$S$160,$AP310+4),""),"")</f>
        <v/>
      </c>
      <c r="R310" t="str">
        <f>IFERROR(IF($AQ310&gt;5,INDEX(Festivals!$S$2:$S$160,$AP310+5),""),"")</f>
        <v/>
      </c>
      <c r="S310" t="str">
        <f>IFERROR(IF($AQ310&gt;6,INDEX(Festivals!$S$2:$S$160,$AP310+6),""),"")</f>
        <v/>
      </c>
      <c r="T310">
        <f>INDEX(GCalXMLT[dcaturmasya1],$D310)</f>
        <v>0</v>
      </c>
      <c r="U310">
        <f>INDEX(GCalXMLT[dcaturmasya2],$D310)</f>
        <v>0</v>
      </c>
      <c r="V310" t="str">
        <f>INDEX(GCalXMLT[sankrantirasi],$D310) &amp; " " &amp; INDEX(GCalXMLT[sankrantitime],$D310)</f>
        <v xml:space="preserve"> </v>
      </c>
      <c r="W310" t="str">
        <f ca="1">IFERROR(INDEX('Holidays Calc'!$K$2:$K$233,AR310),"")</f>
        <v/>
      </c>
      <c r="X310" t="str">
        <f ca="1">IF(AR310="","",IF(INDEX('Holidays Calc'!$I$2:$I$233,AR310+1)=A310,INDEX('Holidays Calc'!$K$2:$K$233,AR310+1),""))</f>
        <v/>
      </c>
      <c r="Y310" t="str">
        <f ca="1">IF(AR310="","",IF(INDEX('Holidays Calc'!$I$2:$I$233,AR310+2)=A310,INDEX('Holidays Calc'!$K$2:$K$233,AR310+2),""))</f>
        <v/>
      </c>
      <c r="Z310" t="str">
        <f ca="1">IF(AR310="","",IF(INDEX('Holidays Calc'!$I$2:$I$233,AR310+3)=A310,INDEX('Holidays Calc'!$K$2:$K$2333,AR310+3),""))</f>
        <v/>
      </c>
      <c r="AA310" t="str">
        <f>IF(I310="Last day of Bhisma Pancaka","",IF(G310="*",-0.7,IF(ISBLANK(INDEX(GCalXMLT[dclass1],$D310)),"",INDEX(GCalXMLT[dclass1],$D310))))</f>
        <v/>
      </c>
      <c r="AB310" t="str">
        <f>IF(J310="First day of Bhisma Pancaka","",IF(AND(G310="*",NOT(ISERROR(SEARCH("ekadasi",J310)))),-0.7,IF(ISBLANK(INDEX(GCalXMLT[dclass2],$D310)),"",INDEX(GCalXMLT[dclass2],$D310))))</f>
        <v/>
      </c>
      <c r="AC310" t="str">
        <f>IF(I310="Nandotsava",-1,IF(ISBLANK(INDEX(GCalXMLT[dclass3],$D310)),"",INDEX(GCalXMLT[dclass3],$D310)))</f>
        <v/>
      </c>
      <c r="AD310" t="str">
        <f>IF(I310="Nandotsava",IF(ISBLANK(INDEX(GCalXMLT[dclass3],$D310)),"",INDEX(GCalXMLT[dclass3],$D310)),IF(ISBLANK(INDEX(GCalXMLT[dclass4],$D310)),"",INDEX(GCalXMLT[dclass4],$D310)))</f>
        <v/>
      </c>
      <c r="AE310" t="str">
        <f>IFERROR(INDEX(Festivals!$V$2:$V$160,AP310),"")</f>
        <v/>
      </c>
      <c r="AF310" t="str">
        <f>IFERROR(IF($AQ310&gt;1,INDEX(Festivals!$V$2:$V$160,$AP310+1),""),"")</f>
        <v/>
      </c>
      <c r="AG310" t="str">
        <f>IFERROR(IF($AQ310&gt;2,INDEX(Festivals!$V$2:$V$160,$AP310+2),""),"")</f>
        <v/>
      </c>
      <c r="AH310" t="str">
        <f>IFERROR(IF($AQ310&gt;3,INDEX(Festivals!$V$2:$V$160,$AP310+3),""),"")</f>
        <v/>
      </c>
      <c r="AI310" t="str">
        <f>IFERROR(IF($AQ310&gt;4,INDEX(Festivals!$V$2:$V$160,$AP310+4),""),"")</f>
        <v/>
      </c>
      <c r="AJ310" t="str">
        <f>IFERROR(IF($AQ310&gt;5,INDEX(Festivals!$V$2:$V$160,$AP310+5),""),"")</f>
        <v/>
      </c>
      <c r="AK310" t="str">
        <f>IFERROR(IF($AQ310&gt;6,INDEX(Festivals!$V$2:$V$160,$AP310+6),""),"")</f>
        <v/>
      </c>
      <c r="AL310" t="str">
        <f ca="1">IFERROR(INDEX('Holidays Calc'!$J$2:$J$233,MATCH(A310,'Holidays Calc'!$I$2:$I$233,0)),"")</f>
        <v/>
      </c>
      <c r="AM310" t="str">
        <f ca="1">IF(AR310="","",IF(INDEX('Holidays Calc'!$I$2:$I$233,AR310+1)=A310,INDEX('Holidays Calc'!$J$2:$J$233,AR310+1),""))</f>
        <v/>
      </c>
      <c r="AN310" t="str">
        <f ca="1">IF(AR310="","",IF(INDEX('Holidays Calc'!$I$2:$I$233,AR310+2)=A310,INDEX('Holidays Calc'!$J$2:$J$233,AR310+2),""))</f>
        <v/>
      </c>
      <c r="AO310" t="str">
        <f ca="1">IF(AR310="","",IF(INDEX('Holidays Calc'!$I$2:$I$233,AR310+3)=A310,INDEX('Holidays Calc'!$J$2:$J$233,AR310+3),""))</f>
        <v/>
      </c>
      <c r="AP310" t="str">
        <f>IFERROR(IF($E310=E309,"",MATCH($E310,Festivals!$H$2:$H$160,0)),"")</f>
        <v/>
      </c>
      <c r="AQ310" t="str">
        <f>IF(AP310="","",COUNTIF(Festivals!$H$2:$H$160,$E310))</f>
        <v/>
      </c>
      <c r="AR310" t="str">
        <f ca="1">IFERROR(MATCH(A310,'Holidays Calc'!$I$2:$I$233,0),"")</f>
        <v/>
      </c>
      <c r="AS310" t="str">
        <f t="shared" si="32"/>
        <v/>
      </c>
      <c r="AT310" t="str">
        <f t="shared" si="31"/>
        <v/>
      </c>
      <c r="AU310" t="str">
        <f t="shared" ca="1" si="33"/>
        <v/>
      </c>
      <c r="AV310" t="str">
        <f t="shared" ca="1" si="34"/>
        <v/>
      </c>
    </row>
    <row r="311" spans="1:48" x14ac:dyDescent="0.25">
      <c r="A311" s="265">
        <f t="shared" si="30"/>
        <v>43737</v>
      </c>
      <c r="B311" s="265" t="str">
        <f t="shared" si="35"/>
        <v>29 Sep 2019</v>
      </c>
      <c r="C311" s="267">
        <f t="shared" si="36"/>
        <v>39</v>
      </c>
      <c r="D311">
        <f>MATCH(A311,GCalXMLT[daydate],0)</f>
        <v>310</v>
      </c>
      <c r="E311">
        <f>VALUE("1" &amp; Masacod(INDEX(GCalXMLT[gymasa],D311)) &amp; PaksaCod(INDEX(GCalXMLT[mpaksaid],D311)) &amp; TithiCod(INDEX(GCalXMLT[stithiname],D311)))</f>
        <v>107101</v>
      </c>
      <c r="F311" t="str">
        <f ca="1">INDEX(Parameters!$K$2:$K$16,MATCH(AV311,Parameters!$L$2:$L$16,0))</f>
        <v/>
      </c>
      <c r="G311">
        <f>INDEX(GCalXMLT[fastmark],$D311)</f>
        <v>0</v>
      </c>
      <c r="H311" t="str">
        <f ca="1">INDEX(Parameters!$J$2:$J$16,MATCH(AV311,Parameters!$L$2:$L$16,0))</f>
        <v/>
      </c>
      <c r="I311">
        <f>INDEX(GCalXMLT[dfestival1],$D311)</f>
        <v>0</v>
      </c>
      <c r="J311">
        <f>IF(INDEX(GCalXMLT[dfestival2],$D311)="(Fast today)",INDEX(Festivals!$R$2:$R$180,MATCH($I311,Festivals!$R$2:$R$180,0)+1),INDEX(GCalXMLT[dfestival2],$D311))</f>
        <v>0</v>
      </c>
      <c r="K311">
        <f>IF(I311="Nandotsava","(Fast till noon)",INDEX(GCalXMLT[dfestival3],$D311))</f>
        <v>0</v>
      </c>
      <c r="L311">
        <f>IF(I311="Nandotsava", INDEX(GCalXMLT[dfestival3],$D311),INDEX(GCalXMLT[dfestival4],$D311))</f>
        <v>0</v>
      </c>
      <c r="M311" t="str">
        <f>IFERROR(INDEX(Festivals!$S$2:$S$160,AP311),"")</f>
        <v/>
      </c>
      <c r="N311" t="str">
        <f>IFERROR(IF($AQ311&gt;1,INDEX(Festivals!$S$2:$S$160,$AP311+1),""),"")</f>
        <v/>
      </c>
      <c r="O311" t="str">
        <f>IFERROR(IF($AQ311&gt;2,INDEX(Festivals!$S$2:$S$160,$AP311+2),""),"")</f>
        <v/>
      </c>
      <c r="P311" t="str">
        <f>IFERROR(IF($AQ311&gt;3,INDEX(Festivals!$S$2:$S$160,$AP311+3),""),"")</f>
        <v/>
      </c>
      <c r="Q311" t="str">
        <f>IFERROR(IF($AQ311&gt;4,INDEX(Festivals!$S$2:$S$160,$AP311+4),""),"")</f>
        <v/>
      </c>
      <c r="R311" t="str">
        <f>IFERROR(IF($AQ311&gt;5,INDEX(Festivals!$S$2:$S$160,$AP311+5),""),"")</f>
        <v/>
      </c>
      <c r="S311" t="str">
        <f>IFERROR(IF($AQ311&gt;6,INDEX(Festivals!$S$2:$S$160,$AP311+6),""),"")</f>
        <v/>
      </c>
      <c r="T311">
        <f>INDEX(GCalXMLT[dcaturmasya1],$D311)</f>
        <v>0</v>
      </c>
      <c r="U311">
        <f>INDEX(GCalXMLT[dcaturmasya2],$D311)</f>
        <v>0</v>
      </c>
      <c r="V311" t="str">
        <f>INDEX(GCalXMLT[sankrantirasi],$D311) &amp; " " &amp; INDEX(GCalXMLT[sankrantitime],$D311)</f>
        <v xml:space="preserve"> </v>
      </c>
      <c r="W311" t="str">
        <f ca="1">IFERROR(INDEX('Holidays Calc'!$K$2:$K$233,AR311),"")</f>
        <v/>
      </c>
      <c r="X311" t="str">
        <f ca="1">IF(AR311="","",IF(INDEX('Holidays Calc'!$I$2:$I$233,AR311+1)=A311,INDEX('Holidays Calc'!$K$2:$K$233,AR311+1),""))</f>
        <v/>
      </c>
      <c r="Y311" t="str">
        <f ca="1">IF(AR311="","",IF(INDEX('Holidays Calc'!$I$2:$I$233,AR311+2)=A311,INDEX('Holidays Calc'!$K$2:$K$233,AR311+2),""))</f>
        <v/>
      </c>
      <c r="Z311" t="str">
        <f ca="1">IF(AR311="","",IF(INDEX('Holidays Calc'!$I$2:$I$233,AR311+3)=A311,INDEX('Holidays Calc'!$K$2:$K$2333,AR311+3),""))</f>
        <v/>
      </c>
      <c r="AA311" t="str">
        <f>IF(I311="Last day of Bhisma Pancaka","",IF(G311="*",-0.7,IF(ISBLANK(INDEX(GCalXMLT[dclass1],$D311)),"",INDEX(GCalXMLT[dclass1],$D311))))</f>
        <v/>
      </c>
      <c r="AB311" t="str">
        <f>IF(J311="First day of Bhisma Pancaka","",IF(AND(G311="*",NOT(ISERROR(SEARCH("ekadasi",J311)))),-0.7,IF(ISBLANK(INDEX(GCalXMLT[dclass2],$D311)),"",INDEX(GCalXMLT[dclass2],$D311))))</f>
        <v/>
      </c>
      <c r="AC311" t="str">
        <f>IF(I311="Nandotsava",-1,IF(ISBLANK(INDEX(GCalXMLT[dclass3],$D311)),"",INDEX(GCalXMLT[dclass3],$D311)))</f>
        <v/>
      </c>
      <c r="AD311" t="str">
        <f>IF(I311="Nandotsava",IF(ISBLANK(INDEX(GCalXMLT[dclass3],$D311)),"",INDEX(GCalXMLT[dclass3],$D311)),IF(ISBLANK(INDEX(GCalXMLT[dclass4],$D311)),"",INDEX(GCalXMLT[dclass4],$D311)))</f>
        <v/>
      </c>
      <c r="AE311" t="str">
        <f>IFERROR(INDEX(Festivals!$V$2:$V$160,AP311),"")</f>
        <v/>
      </c>
      <c r="AF311" t="str">
        <f>IFERROR(IF($AQ311&gt;1,INDEX(Festivals!$V$2:$V$160,$AP311+1),""),"")</f>
        <v/>
      </c>
      <c r="AG311" t="str">
        <f>IFERROR(IF($AQ311&gt;2,INDEX(Festivals!$V$2:$V$160,$AP311+2),""),"")</f>
        <v/>
      </c>
      <c r="AH311" t="str">
        <f>IFERROR(IF($AQ311&gt;3,INDEX(Festivals!$V$2:$V$160,$AP311+3),""),"")</f>
        <v/>
      </c>
      <c r="AI311" t="str">
        <f>IFERROR(IF($AQ311&gt;4,INDEX(Festivals!$V$2:$V$160,$AP311+4),""),"")</f>
        <v/>
      </c>
      <c r="AJ311" t="str">
        <f>IFERROR(IF($AQ311&gt;5,INDEX(Festivals!$V$2:$V$160,$AP311+5),""),"")</f>
        <v/>
      </c>
      <c r="AK311" t="str">
        <f>IFERROR(IF($AQ311&gt;6,INDEX(Festivals!$V$2:$V$160,$AP311+6),""),"")</f>
        <v/>
      </c>
      <c r="AL311" t="str">
        <f ca="1">IFERROR(INDEX('Holidays Calc'!$J$2:$J$233,MATCH(A311,'Holidays Calc'!$I$2:$I$233,0)),"")</f>
        <v/>
      </c>
      <c r="AM311" t="str">
        <f ca="1">IF(AR311="","",IF(INDEX('Holidays Calc'!$I$2:$I$233,AR311+1)=A311,INDEX('Holidays Calc'!$J$2:$J$233,AR311+1),""))</f>
        <v/>
      </c>
      <c r="AN311" t="str">
        <f ca="1">IF(AR311="","",IF(INDEX('Holidays Calc'!$I$2:$I$233,AR311+2)=A311,INDEX('Holidays Calc'!$J$2:$J$233,AR311+2),""))</f>
        <v/>
      </c>
      <c r="AO311" t="str">
        <f ca="1">IF(AR311="","",IF(INDEX('Holidays Calc'!$I$2:$I$233,AR311+3)=A311,INDEX('Holidays Calc'!$J$2:$J$233,AR311+3),""))</f>
        <v/>
      </c>
      <c r="AP311" t="str">
        <f>IFERROR(IF($E311=E310,"",MATCH($E311,Festivals!$H$2:$H$160,0)),"")</f>
        <v/>
      </c>
      <c r="AQ311" t="str">
        <f>IF(AP311="","",COUNTIF(Festivals!$H$2:$H$160,$E311))</f>
        <v/>
      </c>
      <c r="AR311" t="str">
        <f ca="1">IFERROR(MATCH(A311,'Holidays Calc'!$I$2:$I$233,0),"")</f>
        <v/>
      </c>
      <c r="AS311" t="str">
        <f t="shared" si="32"/>
        <v/>
      </c>
      <c r="AT311" t="str">
        <f t="shared" si="31"/>
        <v/>
      </c>
      <c r="AU311" t="str">
        <f t="shared" ca="1" si="33"/>
        <v/>
      </c>
      <c r="AV311" t="str">
        <f t="shared" ca="1" si="34"/>
        <v/>
      </c>
    </row>
    <row r="312" spans="1:48" x14ac:dyDescent="0.25">
      <c r="A312" s="265">
        <f t="shared" si="30"/>
        <v>43738</v>
      </c>
      <c r="B312" s="265" t="str">
        <f t="shared" si="35"/>
        <v>30 Sep 2019</v>
      </c>
      <c r="C312" s="267">
        <f t="shared" si="36"/>
        <v>40</v>
      </c>
      <c r="D312">
        <f>MATCH(A312,GCalXMLT[daydate],0)</f>
        <v>311</v>
      </c>
      <c r="E312">
        <f>VALUE("1" &amp; Masacod(INDEX(GCalXMLT[gymasa],D312)) &amp; PaksaCod(INDEX(GCalXMLT[mpaksaid],D312)) &amp; TithiCod(INDEX(GCalXMLT[stithiname],D312)))</f>
        <v>107102</v>
      </c>
      <c r="F312" t="str">
        <f ca="1">INDEX(Parameters!$K$2:$K$16,MATCH(AV312,Parameters!$L$2:$L$16,0))</f>
        <v/>
      </c>
      <c r="G312">
        <f>INDEX(GCalXMLT[fastmark],$D312)</f>
        <v>0</v>
      </c>
      <c r="H312" t="str">
        <f ca="1">INDEX(Parameters!$J$2:$J$16,MATCH(AV312,Parameters!$L$2:$L$16,0))</f>
        <v/>
      </c>
      <c r="I312">
        <f>INDEX(GCalXMLT[dfestival1],$D312)</f>
        <v>0</v>
      </c>
      <c r="J312">
        <f>IF(INDEX(GCalXMLT[dfestival2],$D312)="(Fast today)",INDEX(Festivals!$R$2:$R$180,MATCH($I312,Festivals!$R$2:$R$180,0)+1),INDEX(GCalXMLT[dfestival2],$D312))</f>
        <v>0</v>
      </c>
      <c r="K312">
        <f>IF(I312="Nandotsava","(Fast till noon)",INDEX(GCalXMLT[dfestival3],$D312))</f>
        <v>0</v>
      </c>
      <c r="L312">
        <f>IF(I312="Nandotsava", INDEX(GCalXMLT[dfestival3],$D312),INDEX(GCalXMLT[dfestival4],$D312))</f>
        <v>0</v>
      </c>
      <c r="M312" t="str">
        <f>IFERROR(INDEX(Festivals!$S$2:$S$160,AP312),"")</f>
        <v/>
      </c>
      <c r="N312" t="str">
        <f>IFERROR(IF($AQ312&gt;1,INDEX(Festivals!$S$2:$S$160,$AP312+1),""),"")</f>
        <v/>
      </c>
      <c r="O312" t="str">
        <f>IFERROR(IF($AQ312&gt;2,INDEX(Festivals!$S$2:$S$160,$AP312+2),""),"")</f>
        <v/>
      </c>
      <c r="P312" t="str">
        <f>IFERROR(IF($AQ312&gt;3,INDEX(Festivals!$S$2:$S$160,$AP312+3),""),"")</f>
        <v/>
      </c>
      <c r="Q312" t="str">
        <f>IFERROR(IF($AQ312&gt;4,INDEX(Festivals!$S$2:$S$160,$AP312+4),""),"")</f>
        <v/>
      </c>
      <c r="R312" t="str">
        <f>IFERROR(IF($AQ312&gt;5,INDEX(Festivals!$S$2:$S$160,$AP312+5),""),"")</f>
        <v/>
      </c>
      <c r="S312" t="str">
        <f>IFERROR(IF($AQ312&gt;6,INDEX(Festivals!$S$2:$S$160,$AP312+6),""),"")</f>
        <v/>
      </c>
      <c r="T312">
        <f>INDEX(GCalXMLT[dcaturmasya1],$D312)</f>
        <v>0</v>
      </c>
      <c r="U312">
        <f>INDEX(GCalXMLT[dcaturmasya2],$D312)</f>
        <v>0</v>
      </c>
      <c r="V312" t="str">
        <f>INDEX(GCalXMLT[sankrantirasi],$D312) &amp; " " &amp; INDEX(GCalXMLT[sankrantitime],$D312)</f>
        <v xml:space="preserve"> </v>
      </c>
      <c r="W312" t="str">
        <f ca="1">IFERROR(INDEX('Holidays Calc'!$K$2:$K$233,AR312),"")</f>
        <v/>
      </c>
      <c r="X312" t="str">
        <f ca="1">IF(AR312="","",IF(INDEX('Holidays Calc'!$I$2:$I$233,AR312+1)=A312,INDEX('Holidays Calc'!$K$2:$K$233,AR312+1),""))</f>
        <v/>
      </c>
      <c r="Y312" t="str">
        <f ca="1">IF(AR312="","",IF(INDEX('Holidays Calc'!$I$2:$I$233,AR312+2)=A312,INDEX('Holidays Calc'!$K$2:$K$233,AR312+2),""))</f>
        <v/>
      </c>
      <c r="Z312" t="str">
        <f ca="1">IF(AR312="","",IF(INDEX('Holidays Calc'!$I$2:$I$233,AR312+3)=A312,INDEX('Holidays Calc'!$K$2:$K$2333,AR312+3),""))</f>
        <v/>
      </c>
      <c r="AA312" t="str">
        <f>IF(I312="Last day of Bhisma Pancaka","",IF(G312="*",-0.7,IF(ISBLANK(INDEX(GCalXMLT[dclass1],$D312)),"",INDEX(GCalXMLT[dclass1],$D312))))</f>
        <v/>
      </c>
      <c r="AB312" t="str">
        <f>IF(J312="First day of Bhisma Pancaka","",IF(AND(G312="*",NOT(ISERROR(SEARCH("ekadasi",J312)))),-0.7,IF(ISBLANK(INDEX(GCalXMLT[dclass2],$D312)),"",INDEX(GCalXMLT[dclass2],$D312))))</f>
        <v/>
      </c>
      <c r="AC312" t="str">
        <f>IF(I312="Nandotsava",-1,IF(ISBLANK(INDEX(GCalXMLT[dclass3],$D312)),"",INDEX(GCalXMLT[dclass3],$D312)))</f>
        <v/>
      </c>
      <c r="AD312" t="str">
        <f>IF(I312="Nandotsava",IF(ISBLANK(INDEX(GCalXMLT[dclass3],$D312)),"",INDEX(GCalXMLT[dclass3],$D312)),IF(ISBLANK(INDEX(GCalXMLT[dclass4],$D312)),"",INDEX(GCalXMLT[dclass4],$D312)))</f>
        <v/>
      </c>
      <c r="AE312" t="str">
        <f>IFERROR(INDEX(Festivals!$V$2:$V$160,AP312),"")</f>
        <v/>
      </c>
      <c r="AF312" t="str">
        <f>IFERROR(IF($AQ312&gt;1,INDEX(Festivals!$V$2:$V$160,$AP312+1),""),"")</f>
        <v/>
      </c>
      <c r="AG312" t="str">
        <f>IFERROR(IF($AQ312&gt;2,INDEX(Festivals!$V$2:$V$160,$AP312+2),""),"")</f>
        <v/>
      </c>
      <c r="AH312" t="str">
        <f>IFERROR(IF($AQ312&gt;3,INDEX(Festivals!$V$2:$V$160,$AP312+3),""),"")</f>
        <v/>
      </c>
      <c r="AI312" t="str">
        <f>IFERROR(IF($AQ312&gt;4,INDEX(Festivals!$V$2:$V$160,$AP312+4),""),"")</f>
        <v/>
      </c>
      <c r="AJ312" t="str">
        <f>IFERROR(IF($AQ312&gt;5,INDEX(Festivals!$V$2:$V$160,$AP312+5),""),"")</f>
        <v/>
      </c>
      <c r="AK312" t="str">
        <f>IFERROR(IF($AQ312&gt;6,INDEX(Festivals!$V$2:$V$160,$AP312+6),""),"")</f>
        <v/>
      </c>
      <c r="AL312" t="str">
        <f ca="1">IFERROR(INDEX('Holidays Calc'!$J$2:$J$233,MATCH(A312,'Holidays Calc'!$I$2:$I$233,0)),"")</f>
        <v/>
      </c>
      <c r="AM312" t="str">
        <f ca="1">IF(AR312="","",IF(INDEX('Holidays Calc'!$I$2:$I$233,AR312+1)=A312,INDEX('Holidays Calc'!$J$2:$J$233,AR312+1),""))</f>
        <v/>
      </c>
      <c r="AN312" t="str">
        <f ca="1">IF(AR312="","",IF(INDEX('Holidays Calc'!$I$2:$I$233,AR312+2)=A312,INDEX('Holidays Calc'!$J$2:$J$233,AR312+2),""))</f>
        <v/>
      </c>
      <c r="AO312" t="str">
        <f ca="1">IF(AR312="","",IF(INDEX('Holidays Calc'!$I$2:$I$233,AR312+3)=A312,INDEX('Holidays Calc'!$J$2:$J$233,AR312+3),""))</f>
        <v/>
      </c>
      <c r="AP312" t="str">
        <f>IFERROR(IF($E312=E311,"",MATCH($E312,Festivals!$H$2:$H$160,0)),"")</f>
        <v/>
      </c>
      <c r="AQ312" t="str">
        <f>IF(AP312="","",COUNTIF(Festivals!$H$2:$H$160,$E312))</f>
        <v/>
      </c>
      <c r="AR312" t="str">
        <f ca="1">IFERROR(MATCH(A312,'Holidays Calc'!$I$2:$I$233,0),"")</f>
        <v/>
      </c>
      <c r="AS312" t="str">
        <f t="shared" si="32"/>
        <v/>
      </c>
      <c r="AT312" t="str">
        <f t="shared" si="31"/>
        <v/>
      </c>
      <c r="AU312" t="str">
        <f t="shared" ca="1" si="33"/>
        <v/>
      </c>
      <c r="AV312" t="str">
        <f t="shared" ca="1" si="34"/>
        <v/>
      </c>
    </row>
    <row r="313" spans="1:48" x14ac:dyDescent="0.25">
      <c r="A313" s="265">
        <f t="shared" si="30"/>
        <v>43739</v>
      </c>
      <c r="B313" s="265" t="str">
        <f t="shared" si="35"/>
        <v>1 Oct 2019</v>
      </c>
      <c r="C313" s="267">
        <f t="shared" si="36"/>
        <v>40</v>
      </c>
      <c r="D313">
        <f>MATCH(A313,GCalXMLT[daydate],0)</f>
        <v>312</v>
      </c>
      <c r="E313">
        <f>VALUE("1" &amp; Masacod(INDEX(GCalXMLT[gymasa],D313)) &amp; PaksaCod(INDEX(GCalXMLT[mpaksaid],D313)) &amp; TithiCod(INDEX(GCalXMLT[stithiname],D313)))</f>
        <v>107103</v>
      </c>
      <c r="F313" t="str">
        <f ca="1">INDEX(Parameters!$K$2:$K$16,MATCH(AV313,Parameters!$L$2:$L$16,0))</f>
        <v>C</v>
      </c>
      <c r="G313">
        <f>INDEX(GCalXMLT[fastmark],$D313)</f>
        <v>0</v>
      </c>
      <c r="H313" t="str">
        <f ca="1">INDEX(Parameters!$J$2:$J$16,MATCH(AV313,Parameters!$L$2:$L$16,0))</f>
        <v/>
      </c>
      <c r="I313">
        <f>INDEX(GCalXMLT[dfestival1],$D313)</f>
        <v>0</v>
      </c>
      <c r="J313">
        <f>IF(INDEX(GCalXMLT[dfestival2],$D313)="(Fast today)",INDEX(Festivals!$R$2:$R$180,MATCH($I313,Festivals!$R$2:$R$180,0)+1),INDEX(GCalXMLT[dfestival2],$D313))</f>
        <v>0</v>
      </c>
      <c r="K313">
        <f>IF(I313="Nandotsava","(Fast till noon)",INDEX(GCalXMLT[dfestival3],$D313))</f>
        <v>0</v>
      </c>
      <c r="L313">
        <f>IF(I313="Nandotsava", INDEX(GCalXMLT[dfestival3],$D313),INDEX(GCalXMLT[dfestival4],$D313))</f>
        <v>0</v>
      </c>
      <c r="M313" t="str">
        <f>IFERROR(INDEX(Festivals!$S$2:$S$160,AP313),"")</f>
        <v/>
      </c>
      <c r="N313" t="str">
        <f>IFERROR(IF($AQ313&gt;1,INDEX(Festivals!$S$2:$S$160,$AP313+1),""),"")</f>
        <v/>
      </c>
      <c r="O313" t="str">
        <f>IFERROR(IF($AQ313&gt;2,INDEX(Festivals!$S$2:$S$160,$AP313+2),""),"")</f>
        <v/>
      </c>
      <c r="P313" t="str">
        <f>IFERROR(IF($AQ313&gt;3,INDEX(Festivals!$S$2:$S$160,$AP313+3),""),"")</f>
        <v/>
      </c>
      <c r="Q313" t="str">
        <f>IFERROR(IF($AQ313&gt;4,INDEX(Festivals!$S$2:$S$160,$AP313+4),""),"")</f>
        <v/>
      </c>
      <c r="R313" t="str">
        <f>IFERROR(IF($AQ313&gt;5,INDEX(Festivals!$S$2:$S$160,$AP313+5),""),"")</f>
        <v/>
      </c>
      <c r="S313" t="str">
        <f>IFERROR(IF($AQ313&gt;6,INDEX(Festivals!$S$2:$S$160,$AP313+6),""),"")</f>
        <v/>
      </c>
      <c r="T313">
        <f>INDEX(GCalXMLT[dcaturmasya1],$D313)</f>
        <v>0</v>
      </c>
      <c r="U313">
        <f>INDEX(GCalXMLT[dcaturmasya2],$D313)</f>
        <v>0</v>
      </c>
      <c r="V313" t="str">
        <f>INDEX(GCalXMLT[sankrantirasi],$D313) &amp; " " &amp; INDEX(GCalXMLT[sankrantitime],$D313)</f>
        <v xml:space="preserve"> </v>
      </c>
      <c r="W313" t="str">
        <f ca="1">IFERROR(INDEX('Holidays Calc'!$K$2:$K$233,AR313),"")</f>
        <v>Dia Internacional do Idoso</v>
      </c>
      <c r="X313" t="str">
        <f ca="1">IF(AR313="","",IF(INDEX('Holidays Calc'!$I$2:$I$233,AR313+1)=A313,INDEX('Holidays Calc'!$K$2:$K$233,AR313+1),""))</f>
        <v/>
      </c>
      <c r="Y313" t="str">
        <f ca="1">IF(AR313="","",IF(INDEX('Holidays Calc'!$I$2:$I$233,AR313+2)=A313,INDEX('Holidays Calc'!$K$2:$K$233,AR313+2),""))</f>
        <v/>
      </c>
      <c r="Z313" t="str">
        <f ca="1">IF(AR313="","",IF(INDEX('Holidays Calc'!$I$2:$I$233,AR313+3)=A313,INDEX('Holidays Calc'!$K$2:$K$2333,AR313+3),""))</f>
        <v/>
      </c>
      <c r="AA313" t="str">
        <f>IF(I313="Last day of Bhisma Pancaka","",IF(G313="*",-0.7,IF(ISBLANK(INDEX(GCalXMLT[dclass1],$D313)),"",INDEX(GCalXMLT[dclass1],$D313))))</f>
        <v/>
      </c>
      <c r="AB313" t="str">
        <f>IF(J313="First day of Bhisma Pancaka","",IF(AND(G313="*",NOT(ISERROR(SEARCH("ekadasi",J313)))),-0.7,IF(ISBLANK(INDEX(GCalXMLT[dclass2],$D313)),"",INDEX(GCalXMLT[dclass2],$D313))))</f>
        <v/>
      </c>
      <c r="AC313" t="str">
        <f>IF(I313="Nandotsava",-1,IF(ISBLANK(INDEX(GCalXMLT[dclass3],$D313)),"",INDEX(GCalXMLT[dclass3],$D313)))</f>
        <v/>
      </c>
      <c r="AD313" t="str">
        <f>IF(I313="Nandotsava",IF(ISBLANK(INDEX(GCalXMLT[dclass3],$D313)),"",INDEX(GCalXMLT[dclass3],$D313)),IF(ISBLANK(INDEX(GCalXMLT[dclass4],$D313)),"",INDEX(GCalXMLT[dclass4],$D313)))</f>
        <v/>
      </c>
      <c r="AE313" t="str">
        <f>IFERROR(INDEX(Festivals!$V$2:$V$160,AP313),"")</f>
        <v/>
      </c>
      <c r="AF313" t="str">
        <f>IFERROR(IF($AQ313&gt;1,INDEX(Festivals!$V$2:$V$160,$AP313+1),""),"")</f>
        <v/>
      </c>
      <c r="AG313" t="str">
        <f>IFERROR(IF($AQ313&gt;2,INDEX(Festivals!$V$2:$V$160,$AP313+2),""),"")</f>
        <v/>
      </c>
      <c r="AH313" t="str">
        <f>IFERROR(IF($AQ313&gt;3,INDEX(Festivals!$V$2:$V$160,$AP313+3),""),"")</f>
        <v/>
      </c>
      <c r="AI313" t="str">
        <f>IFERROR(IF($AQ313&gt;4,INDEX(Festivals!$V$2:$V$160,$AP313+4),""),"")</f>
        <v/>
      </c>
      <c r="AJ313" t="str">
        <f>IFERROR(IF($AQ313&gt;5,INDEX(Festivals!$V$2:$V$160,$AP313+5),""),"")</f>
        <v/>
      </c>
      <c r="AK313" t="str">
        <f>IFERROR(IF($AQ313&gt;6,INDEX(Festivals!$V$2:$V$160,$AP313+6),""),"")</f>
        <v/>
      </c>
      <c r="AL313">
        <f ca="1">IFERROR(INDEX('Holidays Calc'!$J$2:$J$233,MATCH(A313,'Holidays Calc'!$I$2:$I$233,0)),"")</f>
        <v>0.5</v>
      </c>
      <c r="AM313" t="str">
        <f ca="1">IF(AR313="","",IF(INDEX('Holidays Calc'!$I$2:$I$233,AR313+1)=A313,INDEX('Holidays Calc'!$J$2:$J$233,AR313+1),""))</f>
        <v/>
      </c>
      <c r="AN313" t="str">
        <f ca="1">IF(AR313="","",IF(INDEX('Holidays Calc'!$I$2:$I$233,AR313+2)=A313,INDEX('Holidays Calc'!$J$2:$J$233,AR313+2),""))</f>
        <v/>
      </c>
      <c r="AO313" t="str">
        <f ca="1">IF(AR313="","",IF(INDEX('Holidays Calc'!$I$2:$I$233,AR313+3)=A313,INDEX('Holidays Calc'!$J$2:$J$233,AR313+3),""))</f>
        <v/>
      </c>
      <c r="AP313" t="str">
        <f>IFERROR(IF($E313=E312,"",MATCH($E313,Festivals!$H$2:$H$160,0)),"")</f>
        <v/>
      </c>
      <c r="AQ313" t="str">
        <f>IF(AP313="","",COUNTIF(Festivals!$H$2:$H$160,$E313))</f>
        <v/>
      </c>
      <c r="AR313">
        <f ca="1">IFERROR(MATCH(A313,'Holidays Calc'!$I$2:$I$233,0),"")</f>
        <v>61</v>
      </c>
      <c r="AS313" t="str">
        <f t="shared" si="32"/>
        <v/>
      </c>
      <c r="AT313" t="str">
        <f t="shared" si="31"/>
        <v/>
      </c>
      <c r="AU313">
        <f t="shared" ca="1" si="33"/>
        <v>0.5</v>
      </c>
      <c r="AV313">
        <f t="shared" ca="1" si="34"/>
        <v>0.5</v>
      </c>
    </row>
    <row r="314" spans="1:48" x14ac:dyDescent="0.25">
      <c r="A314" s="265">
        <f t="shared" si="30"/>
        <v>43740</v>
      </c>
      <c r="B314" s="265" t="str">
        <f t="shared" si="35"/>
        <v>2 Oct 2019</v>
      </c>
      <c r="C314" s="267">
        <f t="shared" si="36"/>
        <v>40</v>
      </c>
      <c r="D314">
        <f>MATCH(A314,GCalXMLT[daydate],0)</f>
        <v>313</v>
      </c>
      <c r="E314">
        <f>VALUE("1" &amp; Masacod(INDEX(GCalXMLT[gymasa],D314)) &amp; PaksaCod(INDEX(GCalXMLT[mpaksaid],D314)) &amp; TithiCod(INDEX(GCalXMLT[stithiname],D314)))</f>
        <v>107105</v>
      </c>
      <c r="F314" t="str">
        <f ca="1">INDEX(Parameters!$K$2:$K$16,MATCH(AV314,Parameters!$L$2:$L$16,0))</f>
        <v/>
      </c>
      <c r="G314">
        <f>INDEX(GCalXMLT[fastmark],$D314)</f>
        <v>0</v>
      </c>
      <c r="H314" t="str">
        <f ca="1">INDEX(Parameters!$J$2:$J$16,MATCH(AV314,Parameters!$L$2:$L$16,0))</f>
        <v/>
      </c>
      <c r="I314">
        <f>INDEX(GCalXMLT[dfestival1],$D314)</f>
        <v>0</v>
      </c>
      <c r="J314">
        <f>IF(INDEX(GCalXMLT[dfestival2],$D314)="(Fast today)",INDEX(Festivals!$R$2:$R$180,MATCH($I314,Festivals!$R$2:$R$180,0)+1),INDEX(GCalXMLT[dfestival2],$D314))</f>
        <v>0</v>
      </c>
      <c r="K314">
        <f>IF(I314="Nandotsava","(Fast till noon)",INDEX(GCalXMLT[dfestival3],$D314))</f>
        <v>0</v>
      </c>
      <c r="L314">
        <f>IF(I314="Nandotsava", INDEX(GCalXMLT[dfestival3],$D314),INDEX(GCalXMLT[dfestival4],$D314))</f>
        <v>0</v>
      </c>
      <c r="M314" t="str">
        <f>IFERROR(INDEX(Festivals!$S$2:$S$160,AP314),"")</f>
        <v/>
      </c>
      <c r="N314" t="str">
        <f>IFERROR(IF($AQ314&gt;1,INDEX(Festivals!$S$2:$S$160,$AP314+1),""),"")</f>
        <v/>
      </c>
      <c r="O314" t="str">
        <f>IFERROR(IF($AQ314&gt;2,INDEX(Festivals!$S$2:$S$160,$AP314+2),""),"")</f>
        <v/>
      </c>
      <c r="P314" t="str">
        <f>IFERROR(IF($AQ314&gt;3,INDEX(Festivals!$S$2:$S$160,$AP314+3),""),"")</f>
        <v/>
      </c>
      <c r="Q314" t="str">
        <f>IFERROR(IF($AQ314&gt;4,INDEX(Festivals!$S$2:$S$160,$AP314+4),""),"")</f>
        <v/>
      </c>
      <c r="R314" t="str">
        <f>IFERROR(IF($AQ314&gt;5,INDEX(Festivals!$S$2:$S$160,$AP314+5),""),"")</f>
        <v/>
      </c>
      <c r="S314" t="str">
        <f>IFERROR(IF($AQ314&gt;6,INDEX(Festivals!$S$2:$S$160,$AP314+6),""),"")</f>
        <v/>
      </c>
      <c r="T314">
        <f>INDEX(GCalXMLT[dcaturmasya1],$D314)</f>
        <v>0</v>
      </c>
      <c r="U314">
        <f>INDEX(GCalXMLT[dcaturmasya2],$D314)</f>
        <v>0</v>
      </c>
      <c r="V314" t="str">
        <f>INDEX(GCalXMLT[sankrantirasi],$D314) &amp; " " &amp; INDEX(GCalXMLT[sankrantitime],$D314)</f>
        <v xml:space="preserve"> </v>
      </c>
      <c r="W314" t="str">
        <f ca="1">IFERROR(INDEX('Holidays Calc'!$K$2:$K$233,AR314),"")</f>
        <v/>
      </c>
      <c r="X314" t="str">
        <f ca="1">IF(AR314="","",IF(INDEX('Holidays Calc'!$I$2:$I$233,AR314+1)=A314,INDEX('Holidays Calc'!$K$2:$K$233,AR314+1),""))</f>
        <v/>
      </c>
      <c r="Y314" t="str">
        <f ca="1">IF(AR314="","",IF(INDEX('Holidays Calc'!$I$2:$I$233,AR314+2)=A314,INDEX('Holidays Calc'!$K$2:$K$233,AR314+2),""))</f>
        <v/>
      </c>
      <c r="Z314" t="str">
        <f ca="1">IF(AR314="","",IF(INDEX('Holidays Calc'!$I$2:$I$233,AR314+3)=A314,INDEX('Holidays Calc'!$K$2:$K$2333,AR314+3),""))</f>
        <v/>
      </c>
      <c r="AA314" t="str">
        <f>IF(I314="Last day of Bhisma Pancaka","",IF(G314="*",-0.7,IF(ISBLANK(INDEX(GCalXMLT[dclass1],$D314)),"",INDEX(GCalXMLT[dclass1],$D314))))</f>
        <v/>
      </c>
      <c r="AB314" t="str">
        <f>IF(J314="First day of Bhisma Pancaka","",IF(AND(G314="*",NOT(ISERROR(SEARCH("ekadasi",J314)))),-0.7,IF(ISBLANK(INDEX(GCalXMLT[dclass2],$D314)),"",INDEX(GCalXMLT[dclass2],$D314))))</f>
        <v/>
      </c>
      <c r="AC314" t="str">
        <f>IF(I314="Nandotsava",-1,IF(ISBLANK(INDEX(GCalXMLT[dclass3],$D314)),"",INDEX(GCalXMLT[dclass3],$D314)))</f>
        <v/>
      </c>
      <c r="AD314" t="str">
        <f>IF(I314="Nandotsava",IF(ISBLANK(INDEX(GCalXMLT[dclass3],$D314)),"",INDEX(GCalXMLT[dclass3],$D314)),IF(ISBLANK(INDEX(GCalXMLT[dclass4],$D314)),"",INDEX(GCalXMLT[dclass4],$D314)))</f>
        <v/>
      </c>
      <c r="AE314" t="str">
        <f>IFERROR(INDEX(Festivals!$V$2:$V$160,AP314),"")</f>
        <v/>
      </c>
      <c r="AF314" t="str">
        <f>IFERROR(IF($AQ314&gt;1,INDEX(Festivals!$V$2:$V$160,$AP314+1),""),"")</f>
        <v/>
      </c>
      <c r="AG314" t="str">
        <f>IFERROR(IF($AQ314&gt;2,INDEX(Festivals!$V$2:$V$160,$AP314+2),""),"")</f>
        <v/>
      </c>
      <c r="AH314" t="str">
        <f>IFERROR(IF($AQ314&gt;3,INDEX(Festivals!$V$2:$V$160,$AP314+3),""),"")</f>
        <v/>
      </c>
      <c r="AI314" t="str">
        <f>IFERROR(IF($AQ314&gt;4,INDEX(Festivals!$V$2:$V$160,$AP314+4),""),"")</f>
        <v/>
      </c>
      <c r="AJ314" t="str">
        <f>IFERROR(IF($AQ314&gt;5,INDEX(Festivals!$V$2:$V$160,$AP314+5),""),"")</f>
        <v/>
      </c>
      <c r="AK314" t="str">
        <f>IFERROR(IF($AQ314&gt;6,INDEX(Festivals!$V$2:$V$160,$AP314+6),""),"")</f>
        <v/>
      </c>
      <c r="AL314" t="str">
        <f ca="1">IFERROR(INDEX('Holidays Calc'!$J$2:$J$233,MATCH(A314,'Holidays Calc'!$I$2:$I$233,0)),"")</f>
        <v/>
      </c>
      <c r="AM314" t="str">
        <f ca="1">IF(AR314="","",IF(INDEX('Holidays Calc'!$I$2:$I$233,AR314+1)=A314,INDEX('Holidays Calc'!$J$2:$J$233,AR314+1),""))</f>
        <v/>
      </c>
      <c r="AN314" t="str">
        <f ca="1">IF(AR314="","",IF(INDEX('Holidays Calc'!$I$2:$I$233,AR314+2)=A314,INDEX('Holidays Calc'!$J$2:$J$233,AR314+2),""))</f>
        <v/>
      </c>
      <c r="AO314" t="str">
        <f ca="1">IF(AR314="","",IF(INDEX('Holidays Calc'!$I$2:$I$233,AR314+3)=A314,INDEX('Holidays Calc'!$J$2:$J$233,AR314+3),""))</f>
        <v/>
      </c>
      <c r="AP314" t="str">
        <f>IFERROR(IF($E314=E313,"",MATCH($E314,Festivals!$H$2:$H$160,0)),"")</f>
        <v/>
      </c>
      <c r="AQ314" t="str">
        <f>IF(AP314="","",COUNTIF(Festivals!$H$2:$H$160,$E314))</f>
        <v/>
      </c>
      <c r="AR314" t="str">
        <f ca="1">IFERROR(MATCH(A314,'Holidays Calc'!$I$2:$I$233,0),"")</f>
        <v/>
      </c>
      <c r="AS314" t="str">
        <f t="shared" si="32"/>
        <v/>
      </c>
      <c r="AT314" t="str">
        <f t="shared" si="31"/>
        <v/>
      </c>
      <c r="AU314" t="str">
        <f t="shared" ca="1" si="33"/>
        <v/>
      </c>
      <c r="AV314" t="str">
        <f t="shared" ca="1" si="34"/>
        <v/>
      </c>
    </row>
    <row r="315" spans="1:48" x14ac:dyDescent="0.25">
      <c r="A315" s="265">
        <f t="shared" si="30"/>
        <v>43741</v>
      </c>
      <c r="B315" s="265" t="str">
        <f t="shared" si="35"/>
        <v>3 Oct 2019</v>
      </c>
      <c r="C315" s="267">
        <f t="shared" si="36"/>
        <v>40</v>
      </c>
      <c r="D315">
        <f>MATCH(A315,GCalXMLT[daydate],0)</f>
        <v>314</v>
      </c>
      <c r="E315">
        <f>VALUE("1" &amp; Masacod(INDEX(GCalXMLT[gymasa],D315)) &amp; PaksaCod(INDEX(GCalXMLT[mpaksaid],D315)) &amp; TithiCod(INDEX(GCalXMLT[stithiname],D315)))</f>
        <v>107106</v>
      </c>
      <c r="F315" t="str">
        <f ca="1">INDEX(Parameters!$K$2:$K$16,MATCH(AV315,Parameters!$L$2:$L$16,0))</f>
        <v/>
      </c>
      <c r="G315">
        <f>INDEX(GCalXMLT[fastmark],$D315)</f>
        <v>0</v>
      </c>
      <c r="H315" t="str">
        <f ca="1">INDEX(Parameters!$J$2:$J$16,MATCH(AV315,Parameters!$L$2:$L$16,0))</f>
        <v/>
      </c>
      <c r="I315">
        <f>INDEX(GCalXMLT[dfestival1],$D315)</f>
        <v>0</v>
      </c>
      <c r="J315">
        <f>IF(INDEX(GCalXMLT[dfestival2],$D315)="(Fast today)",INDEX(Festivals!$R$2:$R$180,MATCH($I315,Festivals!$R$2:$R$180,0)+1),INDEX(GCalXMLT[dfestival2],$D315))</f>
        <v>0</v>
      </c>
      <c r="K315">
        <f>IF(I315="Nandotsava","(Fast till noon)",INDEX(GCalXMLT[dfestival3],$D315))</f>
        <v>0</v>
      </c>
      <c r="L315">
        <f>IF(I315="Nandotsava", INDEX(GCalXMLT[dfestival3],$D315),INDEX(GCalXMLT[dfestival4],$D315))</f>
        <v>0</v>
      </c>
      <c r="M315" t="str">
        <f>IFERROR(INDEX(Festivals!$S$2:$S$160,AP315),"")</f>
        <v/>
      </c>
      <c r="N315" t="str">
        <f>IFERROR(IF($AQ315&gt;1,INDEX(Festivals!$S$2:$S$160,$AP315+1),""),"")</f>
        <v/>
      </c>
      <c r="O315" t="str">
        <f>IFERROR(IF($AQ315&gt;2,INDEX(Festivals!$S$2:$S$160,$AP315+2),""),"")</f>
        <v/>
      </c>
      <c r="P315" t="str">
        <f>IFERROR(IF($AQ315&gt;3,INDEX(Festivals!$S$2:$S$160,$AP315+3),""),"")</f>
        <v/>
      </c>
      <c r="Q315" t="str">
        <f>IFERROR(IF($AQ315&gt;4,INDEX(Festivals!$S$2:$S$160,$AP315+4),""),"")</f>
        <v/>
      </c>
      <c r="R315" t="str">
        <f>IFERROR(IF($AQ315&gt;5,INDEX(Festivals!$S$2:$S$160,$AP315+5),""),"")</f>
        <v/>
      </c>
      <c r="S315" t="str">
        <f>IFERROR(IF($AQ315&gt;6,INDEX(Festivals!$S$2:$S$160,$AP315+6),""),"")</f>
        <v/>
      </c>
      <c r="T315">
        <f>INDEX(GCalXMLT[dcaturmasya1],$D315)</f>
        <v>0</v>
      </c>
      <c r="U315">
        <f>INDEX(GCalXMLT[dcaturmasya2],$D315)</f>
        <v>0</v>
      </c>
      <c r="V315" t="str">
        <f>INDEX(GCalXMLT[sankrantirasi],$D315) &amp; " " &amp; INDEX(GCalXMLT[sankrantitime],$D315)</f>
        <v xml:space="preserve"> </v>
      </c>
      <c r="W315" t="str">
        <f ca="1">IFERROR(INDEX('Holidays Calc'!$K$2:$K$233,AR315),"")</f>
        <v/>
      </c>
      <c r="X315" t="str">
        <f ca="1">IF(AR315="","",IF(INDEX('Holidays Calc'!$I$2:$I$233,AR315+1)=A315,INDEX('Holidays Calc'!$K$2:$K$233,AR315+1),""))</f>
        <v/>
      </c>
      <c r="Y315" t="str">
        <f ca="1">IF(AR315="","",IF(INDEX('Holidays Calc'!$I$2:$I$233,AR315+2)=A315,INDEX('Holidays Calc'!$K$2:$K$233,AR315+2),""))</f>
        <v/>
      </c>
      <c r="Z315" t="str">
        <f ca="1">IF(AR315="","",IF(INDEX('Holidays Calc'!$I$2:$I$233,AR315+3)=A315,INDEX('Holidays Calc'!$K$2:$K$2333,AR315+3),""))</f>
        <v/>
      </c>
      <c r="AA315" t="str">
        <f>IF(I315="Last day of Bhisma Pancaka","",IF(G315="*",-0.7,IF(ISBLANK(INDEX(GCalXMLT[dclass1],$D315)),"",INDEX(GCalXMLT[dclass1],$D315))))</f>
        <v/>
      </c>
      <c r="AB315" t="str">
        <f>IF(J315="First day of Bhisma Pancaka","",IF(AND(G315="*",NOT(ISERROR(SEARCH("ekadasi",J315)))),-0.7,IF(ISBLANK(INDEX(GCalXMLT[dclass2],$D315)),"",INDEX(GCalXMLT[dclass2],$D315))))</f>
        <v/>
      </c>
      <c r="AC315" t="str">
        <f>IF(I315="Nandotsava",-1,IF(ISBLANK(INDEX(GCalXMLT[dclass3],$D315)),"",INDEX(GCalXMLT[dclass3],$D315)))</f>
        <v/>
      </c>
      <c r="AD315" t="str">
        <f>IF(I315="Nandotsava",IF(ISBLANK(INDEX(GCalXMLT[dclass3],$D315)),"",INDEX(GCalXMLT[dclass3],$D315)),IF(ISBLANK(INDEX(GCalXMLT[dclass4],$D315)),"",INDEX(GCalXMLT[dclass4],$D315)))</f>
        <v/>
      </c>
      <c r="AE315" t="str">
        <f>IFERROR(INDEX(Festivals!$V$2:$V$160,AP315),"")</f>
        <v/>
      </c>
      <c r="AF315" t="str">
        <f>IFERROR(IF($AQ315&gt;1,INDEX(Festivals!$V$2:$V$160,$AP315+1),""),"")</f>
        <v/>
      </c>
      <c r="AG315" t="str">
        <f>IFERROR(IF($AQ315&gt;2,INDEX(Festivals!$V$2:$V$160,$AP315+2),""),"")</f>
        <v/>
      </c>
      <c r="AH315" t="str">
        <f>IFERROR(IF($AQ315&gt;3,INDEX(Festivals!$V$2:$V$160,$AP315+3),""),"")</f>
        <v/>
      </c>
      <c r="AI315" t="str">
        <f>IFERROR(IF($AQ315&gt;4,INDEX(Festivals!$V$2:$V$160,$AP315+4),""),"")</f>
        <v/>
      </c>
      <c r="AJ315" t="str">
        <f>IFERROR(IF($AQ315&gt;5,INDEX(Festivals!$V$2:$V$160,$AP315+5),""),"")</f>
        <v/>
      </c>
      <c r="AK315" t="str">
        <f>IFERROR(IF($AQ315&gt;6,INDEX(Festivals!$V$2:$V$160,$AP315+6),""),"")</f>
        <v/>
      </c>
      <c r="AL315" t="str">
        <f ca="1">IFERROR(INDEX('Holidays Calc'!$J$2:$J$233,MATCH(A315,'Holidays Calc'!$I$2:$I$233,0)),"")</f>
        <v/>
      </c>
      <c r="AM315" t="str">
        <f ca="1">IF(AR315="","",IF(INDEX('Holidays Calc'!$I$2:$I$233,AR315+1)=A315,INDEX('Holidays Calc'!$J$2:$J$233,AR315+1),""))</f>
        <v/>
      </c>
      <c r="AN315" t="str">
        <f ca="1">IF(AR315="","",IF(INDEX('Holidays Calc'!$I$2:$I$233,AR315+2)=A315,INDEX('Holidays Calc'!$J$2:$J$233,AR315+2),""))</f>
        <v/>
      </c>
      <c r="AO315" t="str">
        <f ca="1">IF(AR315="","",IF(INDEX('Holidays Calc'!$I$2:$I$233,AR315+3)=A315,INDEX('Holidays Calc'!$J$2:$J$233,AR315+3),""))</f>
        <v/>
      </c>
      <c r="AP315" t="str">
        <f>IFERROR(IF($E315=E314,"",MATCH($E315,Festivals!$H$2:$H$160,0)),"")</f>
        <v/>
      </c>
      <c r="AQ315" t="str">
        <f>IF(AP315="","",COUNTIF(Festivals!$H$2:$H$160,$E315))</f>
        <v/>
      </c>
      <c r="AR315" t="str">
        <f ca="1">IFERROR(MATCH(A315,'Holidays Calc'!$I$2:$I$233,0),"")</f>
        <v/>
      </c>
      <c r="AS315" t="str">
        <f t="shared" si="32"/>
        <v/>
      </c>
      <c r="AT315" t="str">
        <f t="shared" si="31"/>
        <v/>
      </c>
      <c r="AU315" t="str">
        <f t="shared" ca="1" si="33"/>
        <v/>
      </c>
      <c r="AV315" t="str">
        <f t="shared" ca="1" si="34"/>
        <v/>
      </c>
    </row>
    <row r="316" spans="1:48" x14ac:dyDescent="0.25">
      <c r="A316" s="265">
        <f t="shared" si="30"/>
        <v>43742</v>
      </c>
      <c r="B316" s="265" t="str">
        <f t="shared" si="35"/>
        <v>4 Oct 2019</v>
      </c>
      <c r="C316" s="267">
        <f t="shared" si="36"/>
        <v>40</v>
      </c>
      <c r="D316">
        <f>MATCH(A316,GCalXMLT[daydate],0)</f>
        <v>315</v>
      </c>
      <c r="E316">
        <f>VALUE("1" &amp; Masacod(INDEX(GCalXMLT[gymasa],D316)) &amp; PaksaCod(INDEX(GCalXMLT[mpaksaid],D316)) &amp; TithiCod(INDEX(GCalXMLT[stithiname],D316)))</f>
        <v>107107</v>
      </c>
      <c r="F316" t="str">
        <f ca="1">INDEX(Parameters!$K$2:$K$16,MATCH(AV316,Parameters!$L$2:$L$16,0))</f>
        <v>C</v>
      </c>
      <c r="G316">
        <f>INDEX(GCalXMLT[fastmark],$D316)</f>
        <v>0</v>
      </c>
      <c r="H316" t="str">
        <f ca="1">INDEX(Parameters!$J$2:$J$16,MATCH(AV316,Parameters!$L$2:$L$16,0))</f>
        <v/>
      </c>
      <c r="I316">
        <f>INDEX(GCalXMLT[dfestival1],$D316)</f>
        <v>0</v>
      </c>
      <c r="J316">
        <f>IF(INDEX(GCalXMLT[dfestival2],$D316)="(Fast today)",INDEX(Festivals!$R$2:$R$180,MATCH($I316,Festivals!$R$2:$R$180,0)+1),INDEX(GCalXMLT[dfestival2],$D316))</f>
        <v>0</v>
      </c>
      <c r="K316">
        <f>IF(I316="Nandotsava","(Fast till noon)",INDEX(GCalXMLT[dfestival3],$D316))</f>
        <v>0</v>
      </c>
      <c r="L316">
        <f>IF(I316="Nandotsava", INDEX(GCalXMLT[dfestival3],$D316),INDEX(GCalXMLT[dfestival4],$D316))</f>
        <v>0</v>
      </c>
      <c r="M316" t="str">
        <f>IFERROR(INDEX(Festivals!$S$2:$S$160,AP316),"")</f>
        <v>Durga Puja</v>
      </c>
      <c r="N316" t="str">
        <f>IFERROR(IF($AQ316&gt;1,INDEX(Festivals!$S$2:$S$160,$AP316+1),""),"")</f>
        <v/>
      </c>
      <c r="O316" t="str">
        <f>IFERROR(IF($AQ316&gt;2,INDEX(Festivals!$S$2:$S$160,$AP316+2),""),"")</f>
        <v/>
      </c>
      <c r="P316" t="str">
        <f>IFERROR(IF($AQ316&gt;3,INDEX(Festivals!$S$2:$S$160,$AP316+3),""),"")</f>
        <v/>
      </c>
      <c r="Q316" t="str">
        <f>IFERROR(IF($AQ316&gt;4,INDEX(Festivals!$S$2:$S$160,$AP316+4),""),"")</f>
        <v/>
      </c>
      <c r="R316" t="str">
        <f>IFERROR(IF($AQ316&gt;5,INDEX(Festivals!$S$2:$S$160,$AP316+5),""),"")</f>
        <v/>
      </c>
      <c r="S316" t="str">
        <f>IFERROR(IF($AQ316&gt;6,INDEX(Festivals!$S$2:$S$160,$AP316+6),""),"")</f>
        <v/>
      </c>
      <c r="T316">
        <f>INDEX(GCalXMLT[dcaturmasya1],$D316)</f>
        <v>0</v>
      </c>
      <c r="U316">
        <f>INDEX(GCalXMLT[dcaturmasya2],$D316)</f>
        <v>0</v>
      </c>
      <c r="V316" t="str">
        <f>INDEX(GCalXMLT[sankrantirasi],$D316) &amp; " " &amp; INDEX(GCalXMLT[sankrantitime],$D316)</f>
        <v xml:space="preserve"> </v>
      </c>
      <c r="W316" t="str">
        <f ca="1">IFERROR(INDEX('Holidays Calc'!$K$2:$K$233,AR316),"")</f>
        <v/>
      </c>
      <c r="X316" t="str">
        <f ca="1">IF(AR316="","",IF(INDEX('Holidays Calc'!$I$2:$I$233,AR316+1)=A316,INDEX('Holidays Calc'!$K$2:$K$233,AR316+1),""))</f>
        <v/>
      </c>
      <c r="Y316" t="str">
        <f ca="1">IF(AR316="","",IF(INDEX('Holidays Calc'!$I$2:$I$233,AR316+2)=A316,INDEX('Holidays Calc'!$K$2:$K$233,AR316+2),""))</f>
        <v/>
      </c>
      <c r="Z316" t="str">
        <f ca="1">IF(AR316="","",IF(INDEX('Holidays Calc'!$I$2:$I$233,AR316+3)=A316,INDEX('Holidays Calc'!$K$2:$K$2333,AR316+3),""))</f>
        <v/>
      </c>
      <c r="AA316" t="str">
        <f>IF(I316="Last day of Bhisma Pancaka","",IF(G316="*",-0.7,IF(ISBLANK(INDEX(GCalXMLT[dclass1],$D316)),"",INDEX(GCalXMLT[dclass1],$D316))))</f>
        <v/>
      </c>
      <c r="AB316" t="str">
        <f>IF(J316="First day of Bhisma Pancaka","",IF(AND(G316="*",NOT(ISERROR(SEARCH("ekadasi",J316)))),-0.7,IF(ISBLANK(INDEX(GCalXMLT[dclass2],$D316)),"",INDEX(GCalXMLT[dclass2],$D316))))</f>
        <v/>
      </c>
      <c r="AC316" t="str">
        <f>IF(I316="Nandotsava",-1,IF(ISBLANK(INDEX(GCalXMLT[dclass3],$D316)),"",INDEX(GCalXMLT[dclass3],$D316)))</f>
        <v/>
      </c>
      <c r="AD316" t="str">
        <f>IF(I316="Nandotsava",IF(ISBLANK(INDEX(GCalXMLT[dclass3],$D316)),"",INDEX(GCalXMLT[dclass3],$D316)),IF(ISBLANK(INDEX(GCalXMLT[dclass4],$D316)),"",INDEX(GCalXMLT[dclass4],$D316)))</f>
        <v/>
      </c>
      <c r="AE316">
        <f>IFERROR(INDEX(Festivals!$V$2:$V$160,AP316),"")</f>
        <v>5</v>
      </c>
      <c r="AF316" t="str">
        <f>IFERROR(IF($AQ316&gt;1,INDEX(Festivals!$V$2:$V$160,$AP316+1),""),"")</f>
        <v/>
      </c>
      <c r="AG316" t="str">
        <f>IFERROR(IF($AQ316&gt;2,INDEX(Festivals!$V$2:$V$160,$AP316+2),""),"")</f>
        <v/>
      </c>
      <c r="AH316" t="str">
        <f>IFERROR(IF($AQ316&gt;3,INDEX(Festivals!$V$2:$V$160,$AP316+3),""),"")</f>
        <v/>
      </c>
      <c r="AI316" t="str">
        <f>IFERROR(IF($AQ316&gt;4,INDEX(Festivals!$V$2:$V$160,$AP316+4),""),"")</f>
        <v/>
      </c>
      <c r="AJ316" t="str">
        <f>IFERROR(IF($AQ316&gt;5,INDEX(Festivals!$V$2:$V$160,$AP316+5),""),"")</f>
        <v/>
      </c>
      <c r="AK316" t="str">
        <f>IFERROR(IF($AQ316&gt;6,INDEX(Festivals!$V$2:$V$160,$AP316+6),""),"")</f>
        <v/>
      </c>
      <c r="AL316" t="str">
        <f ca="1">IFERROR(INDEX('Holidays Calc'!$J$2:$J$233,MATCH(A316,'Holidays Calc'!$I$2:$I$233,0)),"")</f>
        <v/>
      </c>
      <c r="AM316" t="str">
        <f ca="1">IF(AR316="","",IF(INDEX('Holidays Calc'!$I$2:$I$233,AR316+1)=A316,INDEX('Holidays Calc'!$J$2:$J$233,AR316+1),""))</f>
        <v/>
      </c>
      <c r="AN316" t="str">
        <f ca="1">IF(AR316="","",IF(INDEX('Holidays Calc'!$I$2:$I$233,AR316+2)=A316,INDEX('Holidays Calc'!$J$2:$J$233,AR316+2),""))</f>
        <v/>
      </c>
      <c r="AO316" t="str">
        <f ca="1">IF(AR316="","",IF(INDEX('Holidays Calc'!$I$2:$I$233,AR316+3)=A316,INDEX('Holidays Calc'!$J$2:$J$233,AR316+3),""))</f>
        <v/>
      </c>
      <c r="AP316">
        <f>IFERROR(IF($E316=E315,"",MATCH($E316,Festivals!$H$2:$H$160,0)),"")</f>
        <v>76</v>
      </c>
      <c r="AQ316">
        <f>IF(AP316="","",COUNTIF(Festivals!$H$2:$H$160,$E316))</f>
        <v>1</v>
      </c>
      <c r="AR316" t="str">
        <f ca="1">IFERROR(MATCH(A316,'Holidays Calc'!$I$2:$I$233,0),"")</f>
        <v/>
      </c>
      <c r="AS316">
        <f t="shared" si="32"/>
        <v>5</v>
      </c>
      <c r="AT316">
        <f t="shared" si="31"/>
        <v>5</v>
      </c>
      <c r="AU316" t="str">
        <f t="shared" ca="1" si="33"/>
        <v/>
      </c>
      <c r="AV316">
        <f t="shared" ca="1" si="34"/>
        <v>5</v>
      </c>
    </row>
    <row r="317" spans="1:48" x14ac:dyDescent="0.25">
      <c r="A317" s="265">
        <f t="shared" si="30"/>
        <v>43743</v>
      </c>
      <c r="B317" s="265" t="str">
        <f t="shared" si="35"/>
        <v>5 Oct 2019</v>
      </c>
      <c r="C317" s="267">
        <f t="shared" si="36"/>
        <v>40</v>
      </c>
      <c r="D317">
        <f>MATCH(A317,GCalXMLT[daydate],0)</f>
        <v>316</v>
      </c>
      <c r="E317">
        <f>VALUE("1" &amp; Masacod(INDEX(GCalXMLT[gymasa],D317)) &amp; PaksaCod(INDEX(GCalXMLT[mpaksaid],D317)) &amp; TithiCod(INDEX(GCalXMLT[stithiname],D317)))</f>
        <v>107108</v>
      </c>
      <c r="F317" t="str">
        <f ca="1">INDEX(Parameters!$K$2:$K$16,MATCH(AV317,Parameters!$L$2:$L$16,0))</f>
        <v/>
      </c>
      <c r="G317">
        <f>INDEX(GCalXMLT[fastmark],$D317)</f>
        <v>0</v>
      </c>
      <c r="H317" t="str">
        <f ca="1">INDEX(Parameters!$J$2:$J$16,MATCH(AV317,Parameters!$L$2:$L$16,0))</f>
        <v/>
      </c>
      <c r="I317">
        <f>INDEX(GCalXMLT[dfestival1],$D317)</f>
        <v>0</v>
      </c>
      <c r="J317">
        <f>IF(INDEX(GCalXMLT[dfestival2],$D317)="(Fast today)",INDEX(Festivals!$R$2:$R$180,MATCH($I317,Festivals!$R$2:$R$180,0)+1),INDEX(GCalXMLT[dfestival2],$D317))</f>
        <v>0</v>
      </c>
      <c r="K317">
        <f>IF(I317="Nandotsava","(Fast till noon)",INDEX(GCalXMLT[dfestival3],$D317))</f>
        <v>0</v>
      </c>
      <c r="L317">
        <f>IF(I317="Nandotsava", INDEX(GCalXMLT[dfestival3],$D317),INDEX(GCalXMLT[dfestival4],$D317))</f>
        <v>0</v>
      </c>
      <c r="M317" t="str">
        <f>IFERROR(INDEX(Festivals!$S$2:$S$160,AP317),"")</f>
        <v/>
      </c>
      <c r="N317" t="str">
        <f>IFERROR(IF($AQ317&gt;1,INDEX(Festivals!$S$2:$S$160,$AP317+1),""),"")</f>
        <v/>
      </c>
      <c r="O317" t="str">
        <f>IFERROR(IF($AQ317&gt;2,INDEX(Festivals!$S$2:$S$160,$AP317+2),""),"")</f>
        <v/>
      </c>
      <c r="P317" t="str">
        <f>IFERROR(IF($AQ317&gt;3,INDEX(Festivals!$S$2:$S$160,$AP317+3),""),"")</f>
        <v/>
      </c>
      <c r="Q317" t="str">
        <f>IFERROR(IF($AQ317&gt;4,INDEX(Festivals!$S$2:$S$160,$AP317+4),""),"")</f>
        <v/>
      </c>
      <c r="R317" t="str">
        <f>IFERROR(IF($AQ317&gt;5,INDEX(Festivals!$S$2:$S$160,$AP317+5),""),"")</f>
        <v/>
      </c>
      <c r="S317" t="str">
        <f>IFERROR(IF($AQ317&gt;6,INDEX(Festivals!$S$2:$S$160,$AP317+6),""),"")</f>
        <v/>
      </c>
      <c r="T317">
        <f>INDEX(GCalXMLT[dcaturmasya1],$D317)</f>
        <v>0</v>
      </c>
      <c r="U317">
        <f>INDEX(GCalXMLT[dcaturmasya2],$D317)</f>
        <v>0</v>
      </c>
      <c r="V317" t="str">
        <f>INDEX(GCalXMLT[sankrantirasi],$D317) &amp; " " &amp; INDEX(GCalXMLT[sankrantitime],$D317)</f>
        <v xml:space="preserve"> </v>
      </c>
      <c r="W317" t="str">
        <f ca="1">IFERROR(INDEX('Holidays Calc'!$K$2:$K$233,AR317),"")</f>
        <v/>
      </c>
      <c r="X317" t="str">
        <f ca="1">IF(AR317="","",IF(INDEX('Holidays Calc'!$I$2:$I$233,AR317+1)=A317,INDEX('Holidays Calc'!$K$2:$K$233,AR317+1),""))</f>
        <v/>
      </c>
      <c r="Y317" t="str">
        <f ca="1">IF(AR317="","",IF(INDEX('Holidays Calc'!$I$2:$I$233,AR317+2)=A317,INDEX('Holidays Calc'!$K$2:$K$233,AR317+2),""))</f>
        <v/>
      </c>
      <c r="Z317" t="str">
        <f ca="1">IF(AR317="","",IF(INDEX('Holidays Calc'!$I$2:$I$233,AR317+3)=A317,INDEX('Holidays Calc'!$K$2:$K$2333,AR317+3),""))</f>
        <v/>
      </c>
      <c r="AA317" t="str">
        <f>IF(I317="Last day of Bhisma Pancaka","",IF(G317="*",-0.7,IF(ISBLANK(INDEX(GCalXMLT[dclass1],$D317)),"",INDEX(GCalXMLT[dclass1],$D317))))</f>
        <v/>
      </c>
      <c r="AB317" t="str">
        <f>IF(J317="First day of Bhisma Pancaka","",IF(AND(G317="*",NOT(ISERROR(SEARCH("ekadasi",J317)))),-0.7,IF(ISBLANK(INDEX(GCalXMLT[dclass2],$D317)),"",INDEX(GCalXMLT[dclass2],$D317))))</f>
        <v/>
      </c>
      <c r="AC317" t="str">
        <f>IF(I317="Nandotsava",-1,IF(ISBLANK(INDEX(GCalXMLT[dclass3],$D317)),"",INDEX(GCalXMLT[dclass3],$D317)))</f>
        <v/>
      </c>
      <c r="AD317" t="str">
        <f>IF(I317="Nandotsava",IF(ISBLANK(INDEX(GCalXMLT[dclass3],$D317)),"",INDEX(GCalXMLT[dclass3],$D317)),IF(ISBLANK(INDEX(GCalXMLT[dclass4],$D317)),"",INDEX(GCalXMLT[dclass4],$D317)))</f>
        <v/>
      </c>
      <c r="AE317" t="str">
        <f>IFERROR(INDEX(Festivals!$V$2:$V$160,AP317),"")</f>
        <v/>
      </c>
      <c r="AF317" t="str">
        <f>IFERROR(IF($AQ317&gt;1,INDEX(Festivals!$V$2:$V$160,$AP317+1),""),"")</f>
        <v/>
      </c>
      <c r="AG317" t="str">
        <f>IFERROR(IF($AQ317&gt;2,INDEX(Festivals!$V$2:$V$160,$AP317+2),""),"")</f>
        <v/>
      </c>
      <c r="AH317" t="str">
        <f>IFERROR(IF($AQ317&gt;3,INDEX(Festivals!$V$2:$V$160,$AP317+3),""),"")</f>
        <v/>
      </c>
      <c r="AI317" t="str">
        <f>IFERROR(IF($AQ317&gt;4,INDEX(Festivals!$V$2:$V$160,$AP317+4),""),"")</f>
        <v/>
      </c>
      <c r="AJ317" t="str">
        <f>IFERROR(IF($AQ317&gt;5,INDEX(Festivals!$V$2:$V$160,$AP317+5),""),"")</f>
        <v/>
      </c>
      <c r="AK317" t="str">
        <f>IFERROR(IF($AQ317&gt;6,INDEX(Festivals!$V$2:$V$160,$AP317+6),""),"")</f>
        <v/>
      </c>
      <c r="AL317" t="str">
        <f ca="1">IFERROR(INDEX('Holidays Calc'!$J$2:$J$233,MATCH(A317,'Holidays Calc'!$I$2:$I$233,0)),"")</f>
        <v/>
      </c>
      <c r="AM317" t="str">
        <f ca="1">IF(AR317="","",IF(INDEX('Holidays Calc'!$I$2:$I$233,AR317+1)=A317,INDEX('Holidays Calc'!$J$2:$J$233,AR317+1),""))</f>
        <v/>
      </c>
      <c r="AN317" t="str">
        <f ca="1">IF(AR317="","",IF(INDEX('Holidays Calc'!$I$2:$I$233,AR317+2)=A317,INDEX('Holidays Calc'!$J$2:$J$233,AR317+2),""))</f>
        <v/>
      </c>
      <c r="AO317" t="str">
        <f ca="1">IF(AR317="","",IF(INDEX('Holidays Calc'!$I$2:$I$233,AR317+3)=A317,INDEX('Holidays Calc'!$J$2:$J$233,AR317+3),""))</f>
        <v/>
      </c>
      <c r="AP317" t="str">
        <f>IFERROR(IF($E317=E316,"",MATCH($E317,Festivals!$H$2:$H$160,0)),"")</f>
        <v/>
      </c>
      <c r="AQ317" t="str">
        <f>IF(AP317="","",COUNTIF(Festivals!$H$2:$H$160,$E317))</f>
        <v/>
      </c>
      <c r="AR317" t="str">
        <f ca="1">IFERROR(MATCH(A317,'Holidays Calc'!$I$2:$I$233,0),"")</f>
        <v/>
      </c>
      <c r="AS317" t="str">
        <f t="shared" si="32"/>
        <v/>
      </c>
      <c r="AT317" t="str">
        <f t="shared" si="31"/>
        <v/>
      </c>
      <c r="AU317" t="str">
        <f t="shared" ca="1" si="33"/>
        <v/>
      </c>
      <c r="AV317" t="str">
        <f t="shared" ca="1" si="34"/>
        <v/>
      </c>
    </row>
    <row r="318" spans="1:48" x14ac:dyDescent="0.25">
      <c r="A318" s="265">
        <f t="shared" si="30"/>
        <v>43744</v>
      </c>
      <c r="B318" s="265" t="str">
        <f t="shared" si="35"/>
        <v>6 Oct 2019</v>
      </c>
      <c r="C318" s="267">
        <f t="shared" si="36"/>
        <v>40</v>
      </c>
      <c r="D318">
        <f>MATCH(A318,GCalXMLT[daydate],0)</f>
        <v>317</v>
      </c>
      <c r="E318">
        <f>VALUE("1" &amp; Masacod(INDEX(GCalXMLT[gymasa],D318)) &amp; PaksaCod(INDEX(GCalXMLT[mpaksaid],D318)) &amp; TithiCod(INDEX(GCalXMLT[stithiname],D318)))</f>
        <v>107109</v>
      </c>
      <c r="F318" t="str">
        <f ca="1">INDEX(Parameters!$K$2:$K$16,MATCH(AV318,Parameters!$L$2:$L$16,0))</f>
        <v/>
      </c>
      <c r="G318">
        <f>INDEX(GCalXMLT[fastmark],$D318)</f>
        <v>0</v>
      </c>
      <c r="H318" t="str">
        <f ca="1">INDEX(Parameters!$J$2:$J$16,MATCH(AV318,Parameters!$L$2:$L$16,0))</f>
        <v/>
      </c>
      <c r="I318">
        <f>INDEX(GCalXMLT[dfestival1],$D318)</f>
        <v>0</v>
      </c>
      <c r="J318">
        <f>IF(INDEX(GCalXMLT[dfestival2],$D318)="(Fast today)",INDEX(Festivals!$R$2:$R$180,MATCH($I318,Festivals!$R$2:$R$180,0)+1),INDEX(GCalXMLT[dfestival2],$D318))</f>
        <v>0</v>
      </c>
      <c r="K318">
        <f>IF(I318="Nandotsava","(Fast till noon)",INDEX(GCalXMLT[dfestival3],$D318))</f>
        <v>0</v>
      </c>
      <c r="L318">
        <f>IF(I318="Nandotsava", INDEX(GCalXMLT[dfestival3],$D318),INDEX(GCalXMLT[dfestival4],$D318))</f>
        <v>0</v>
      </c>
      <c r="M318" t="str">
        <f>IFERROR(INDEX(Festivals!$S$2:$S$160,AP318),"")</f>
        <v/>
      </c>
      <c r="N318" t="str">
        <f>IFERROR(IF($AQ318&gt;1,INDEX(Festivals!$S$2:$S$160,$AP318+1),""),"")</f>
        <v/>
      </c>
      <c r="O318" t="str">
        <f>IFERROR(IF($AQ318&gt;2,INDEX(Festivals!$S$2:$S$160,$AP318+2),""),"")</f>
        <v/>
      </c>
      <c r="P318" t="str">
        <f>IFERROR(IF($AQ318&gt;3,INDEX(Festivals!$S$2:$S$160,$AP318+3),""),"")</f>
        <v/>
      </c>
      <c r="Q318" t="str">
        <f>IFERROR(IF($AQ318&gt;4,INDEX(Festivals!$S$2:$S$160,$AP318+4),""),"")</f>
        <v/>
      </c>
      <c r="R318" t="str">
        <f>IFERROR(IF($AQ318&gt;5,INDEX(Festivals!$S$2:$S$160,$AP318+5),""),"")</f>
        <v/>
      </c>
      <c r="S318" t="str">
        <f>IFERROR(IF($AQ318&gt;6,INDEX(Festivals!$S$2:$S$160,$AP318+6),""),"")</f>
        <v/>
      </c>
      <c r="T318">
        <f>INDEX(GCalXMLT[dcaturmasya1],$D318)</f>
        <v>0</v>
      </c>
      <c r="U318">
        <f>INDEX(GCalXMLT[dcaturmasya2],$D318)</f>
        <v>0</v>
      </c>
      <c r="V318" t="str">
        <f>INDEX(GCalXMLT[sankrantirasi],$D318) &amp; " " &amp; INDEX(GCalXMLT[sankrantitime],$D318)</f>
        <v xml:space="preserve"> </v>
      </c>
      <c r="W318" t="str">
        <f ca="1">IFERROR(INDEX('Holidays Calc'!$K$2:$K$233,AR318),"")</f>
        <v/>
      </c>
      <c r="X318" t="str">
        <f ca="1">IF(AR318="","",IF(INDEX('Holidays Calc'!$I$2:$I$233,AR318+1)=A318,INDEX('Holidays Calc'!$K$2:$K$233,AR318+1),""))</f>
        <v/>
      </c>
      <c r="Y318" t="str">
        <f ca="1">IF(AR318="","",IF(INDEX('Holidays Calc'!$I$2:$I$233,AR318+2)=A318,INDEX('Holidays Calc'!$K$2:$K$233,AR318+2),""))</f>
        <v/>
      </c>
      <c r="Z318" t="str">
        <f ca="1">IF(AR318="","",IF(INDEX('Holidays Calc'!$I$2:$I$233,AR318+3)=A318,INDEX('Holidays Calc'!$K$2:$K$2333,AR318+3),""))</f>
        <v/>
      </c>
      <c r="AA318" t="str">
        <f>IF(I318="Last day of Bhisma Pancaka","",IF(G318="*",-0.7,IF(ISBLANK(INDEX(GCalXMLT[dclass1],$D318)),"",INDEX(GCalXMLT[dclass1],$D318))))</f>
        <v/>
      </c>
      <c r="AB318" t="str">
        <f>IF(J318="First day of Bhisma Pancaka","",IF(AND(G318="*",NOT(ISERROR(SEARCH("ekadasi",J318)))),-0.7,IF(ISBLANK(INDEX(GCalXMLT[dclass2],$D318)),"",INDEX(GCalXMLT[dclass2],$D318))))</f>
        <v/>
      </c>
      <c r="AC318" t="str">
        <f>IF(I318="Nandotsava",-1,IF(ISBLANK(INDEX(GCalXMLT[dclass3],$D318)),"",INDEX(GCalXMLT[dclass3],$D318)))</f>
        <v/>
      </c>
      <c r="AD318" t="str">
        <f>IF(I318="Nandotsava",IF(ISBLANK(INDEX(GCalXMLT[dclass3],$D318)),"",INDEX(GCalXMLT[dclass3],$D318)),IF(ISBLANK(INDEX(GCalXMLT[dclass4],$D318)),"",INDEX(GCalXMLT[dclass4],$D318)))</f>
        <v/>
      </c>
      <c r="AE318" t="str">
        <f>IFERROR(INDEX(Festivals!$V$2:$V$160,AP318),"")</f>
        <v/>
      </c>
      <c r="AF318" t="str">
        <f>IFERROR(IF($AQ318&gt;1,INDEX(Festivals!$V$2:$V$160,$AP318+1),""),"")</f>
        <v/>
      </c>
      <c r="AG318" t="str">
        <f>IFERROR(IF($AQ318&gt;2,INDEX(Festivals!$V$2:$V$160,$AP318+2),""),"")</f>
        <v/>
      </c>
      <c r="AH318" t="str">
        <f>IFERROR(IF($AQ318&gt;3,INDEX(Festivals!$V$2:$V$160,$AP318+3),""),"")</f>
        <v/>
      </c>
      <c r="AI318" t="str">
        <f>IFERROR(IF($AQ318&gt;4,INDEX(Festivals!$V$2:$V$160,$AP318+4),""),"")</f>
        <v/>
      </c>
      <c r="AJ318" t="str">
        <f>IFERROR(IF($AQ318&gt;5,INDEX(Festivals!$V$2:$V$160,$AP318+5),""),"")</f>
        <v/>
      </c>
      <c r="AK318" t="str">
        <f>IFERROR(IF($AQ318&gt;6,INDEX(Festivals!$V$2:$V$160,$AP318+6),""),"")</f>
        <v/>
      </c>
      <c r="AL318" t="str">
        <f ca="1">IFERROR(INDEX('Holidays Calc'!$J$2:$J$233,MATCH(A318,'Holidays Calc'!$I$2:$I$233,0)),"")</f>
        <v/>
      </c>
      <c r="AM318" t="str">
        <f ca="1">IF(AR318="","",IF(INDEX('Holidays Calc'!$I$2:$I$233,AR318+1)=A318,INDEX('Holidays Calc'!$J$2:$J$233,AR318+1),""))</f>
        <v/>
      </c>
      <c r="AN318" t="str">
        <f ca="1">IF(AR318="","",IF(INDEX('Holidays Calc'!$I$2:$I$233,AR318+2)=A318,INDEX('Holidays Calc'!$J$2:$J$233,AR318+2),""))</f>
        <v/>
      </c>
      <c r="AO318" t="str">
        <f ca="1">IF(AR318="","",IF(INDEX('Holidays Calc'!$I$2:$I$233,AR318+3)=A318,INDEX('Holidays Calc'!$J$2:$J$233,AR318+3),""))</f>
        <v/>
      </c>
      <c r="AP318" t="str">
        <f>IFERROR(IF($E318=E317,"",MATCH($E318,Festivals!$H$2:$H$160,0)),"")</f>
        <v/>
      </c>
      <c r="AQ318" t="str">
        <f>IF(AP318="","",COUNTIF(Festivals!$H$2:$H$160,$E318))</f>
        <v/>
      </c>
      <c r="AR318" t="str">
        <f ca="1">IFERROR(MATCH(A318,'Holidays Calc'!$I$2:$I$233,0),"")</f>
        <v/>
      </c>
      <c r="AS318" t="str">
        <f t="shared" si="32"/>
        <v/>
      </c>
      <c r="AT318" t="str">
        <f t="shared" si="31"/>
        <v/>
      </c>
      <c r="AU318" t="str">
        <f t="shared" ca="1" si="33"/>
        <v/>
      </c>
      <c r="AV318" t="str">
        <f t="shared" ca="1" si="34"/>
        <v/>
      </c>
    </row>
    <row r="319" spans="1:48" x14ac:dyDescent="0.25">
      <c r="A319" s="265">
        <f t="shared" si="30"/>
        <v>43745</v>
      </c>
      <c r="B319" s="265" t="str">
        <f t="shared" si="35"/>
        <v>7 Oct 2019</v>
      </c>
      <c r="C319" s="267">
        <f t="shared" si="36"/>
        <v>41</v>
      </c>
      <c r="D319">
        <f>MATCH(A319,GCalXMLT[daydate],0)</f>
        <v>318</v>
      </c>
      <c r="E319">
        <f>VALUE("1" &amp; Masacod(INDEX(GCalXMLT[gymasa],D319)) &amp; PaksaCod(INDEX(GCalXMLT[mpaksaid],D319)) &amp; TithiCod(INDEX(GCalXMLT[stithiname],D319)))</f>
        <v>107110</v>
      </c>
      <c r="F319" t="str">
        <f ca="1">INDEX(Parameters!$K$2:$K$16,MATCH(AV319,Parameters!$L$2:$L$16,0))</f>
        <v>C</v>
      </c>
      <c r="G319">
        <f>INDEX(GCalXMLT[fastmark],$D319)</f>
        <v>0</v>
      </c>
      <c r="H319" t="str">
        <f ca="1">INDEX(Parameters!$J$2:$J$16,MATCH(AV319,Parameters!$L$2:$L$16,0))</f>
        <v/>
      </c>
      <c r="I319">
        <f>INDEX(GCalXMLT[dfestival1],$D319)</f>
        <v>0</v>
      </c>
      <c r="J319">
        <f>IF(INDEX(GCalXMLT[dfestival2],$D319)="(Fast today)",INDEX(Festivals!$R$2:$R$180,MATCH($I319,Festivals!$R$2:$R$180,0)+1),INDEX(GCalXMLT[dfestival2],$D319))</f>
        <v>0</v>
      </c>
      <c r="K319">
        <f>IF(I319="Nandotsava","(Fast till noon)",INDEX(GCalXMLT[dfestival3],$D319))</f>
        <v>0</v>
      </c>
      <c r="L319">
        <f>IF(I319="Nandotsava", INDEX(GCalXMLT[dfestival3],$D319),INDEX(GCalXMLT[dfestival4],$D319))</f>
        <v>0</v>
      </c>
      <c r="M319" t="str">
        <f>IFERROR(INDEX(Festivals!$S$2:$S$160,AP319),"")</f>
        <v>Ramacandra Vijayotsava</v>
      </c>
      <c r="N319" t="str">
        <f>IFERROR(IF($AQ319&gt;1,INDEX(Festivals!$S$2:$S$160,$AP319+1),""),"")</f>
        <v>Sri Madhvacarya - Appearance</v>
      </c>
      <c r="O319" t="str">
        <f>IFERROR(IF($AQ319&gt;2,INDEX(Festivals!$S$2:$S$160,$AP319+2),""),"")</f>
        <v/>
      </c>
      <c r="P319" t="str">
        <f>IFERROR(IF($AQ319&gt;3,INDEX(Festivals!$S$2:$S$160,$AP319+3),""),"")</f>
        <v/>
      </c>
      <c r="Q319" t="str">
        <f>IFERROR(IF($AQ319&gt;4,INDEX(Festivals!$S$2:$S$160,$AP319+4),""),"")</f>
        <v/>
      </c>
      <c r="R319" t="str">
        <f>IFERROR(IF($AQ319&gt;5,INDEX(Festivals!$S$2:$S$160,$AP319+5),""),"")</f>
        <v/>
      </c>
      <c r="S319" t="str">
        <f>IFERROR(IF($AQ319&gt;6,INDEX(Festivals!$S$2:$S$160,$AP319+6),""),"")</f>
        <v/>
      </c>
      <c r="T319">
        <f>INDEX(GCalXMLT[dcaturmasya1],$D319)</f>
        <v>0</v>
      </c>
      <c r="U319">
        <f>INDEX(GCalXMLT[dcaturmasya2],$D319)</f>
        <v>0</v>
      </c>
      <c r="V319" t="str">
        <f>INDEX(GCalXMLT[sankrantirasi],$D319) &amp; " " &amp; INDEX(GCalXMLT[sankrantitime],$D319)</f>
        <v xml:space="preserve"> </v>
      </c>
      <c r="W319" t="str">
        <f ca="1">IFERROR(INDEX('Holidays Calc'!$K$2:$K$233,AR319),"")</f>
        <v/>
      </c>
      <c r="X319" t="str">
        <f ca="1">IF(AR319="","",IF(INDEX('Holidays Calc'!$I$2:$I$233,AR319+1)=A319,INDEX('Holidays Calc'!$K$2:$K$233,AR319+1),""))</f>
        <v/>
      </c>
      <c r="Y319" t="str">
        <f ca="1">IF(AR319="","",IF(INDEX('Holidays Calc'!$I$2:$I$233,AR319+2)=A319,INDEX('Holidays Calc'!$K$2:$K$233,AR319+2),""))</f>
        <v/>
      </c>
      <c r="Z319" t="str">
        <f ca="1">IF(AR319="","",IF(INDEX('Holidays Calc'!$I$2:$I$233,AR319+3)=A319,INDEX('Holidays Calc'!$K$2:$K$2333,AR319+3),""))</f>
        <v/>
      </c>
      <c r="AA319" t="str">
        <f>IF(I319="Last day of Bhisma Pancaka","",IF(G319="*",-0.7,IF(ISBLANK(INDEX(GCalXMLT[dclass1],$D319)),"",INDEX(GCalXMLT[dclass1],$D319))))</f>
        <v/>
      </c>
      <c r="AB319" t="str">
        <f>IF(J319="First day of Bhisma Pancaka","",IF(AND(G319="*",NOT(ISERROR(SEARCH("ekadasi",J319)))),-0.7,IF(ISBLANK(INDEX(GCalXMLT[dclass2],$D319)),"",INDEX(GCalXMLT[dclass2],$D319))))</f>
        <v/>
      </c>
      <c r="AC319" t="str">
        <f>IF(I319="Nandotsava",-1,IF(ISBLANK(INDEX(GCalXMLT[dclass3],$D319)),"",INDEX(GCalXMLT[dclass3],$D319)))</f>
        <v/>
      </c>
      <c r="AD319" t="str">
        <f>IF(I319="Nandotsava",IF(ISBLANK(INDEX(GCalXMLT[dclass3],$D319)),"",INDEX(GCalXMLT[dclass3],$D319)),IF(ISBLANK(INDEX(GCalXMLT[dclass4],$D319)),"",INDEX(GCalXMLT[dclass4],$D319)))</f>
        <v/>
      </c>
      <c r="AE319">
        <f>IFERROR(INDEX(Festivals!$V$2:$V$160,AP319),"")</f>
        <v>1</v>
      </c>
      <c r="AF319">
        <f>IFERROR(IF($AQ319&gt;1,INDEX(Festivals!$V$2:$V$160,$AP319+1),""),"")</f>
        <v>2</v>
      </c>
      <c r="AG319" t="str">
        <f>IFERROR(IF($AQ319&gt;2,INDEX(Festivals!$V$2:$V$160,$AP319+2),""),"")</f>
        <v/>
      </c>
      <c r="AH319" t="str">
        <f>IFERROR(IF($AQ319&gt;3,INDEX(Festivals!$V$2:$V$160,$AP319+3),""),"")</f>
        <v/>
      </c>
      <c r="AI319" t="str">
        <f>IFERROR(IF($AQ319&gt;4,INDEX(Festivals!$V$2:$V$160,$AP319+4),""),"")</f>
        <v/>
      </c>
      <c r="AJ319" t="str">
        <f>IFERROR(IF($AQ319&gt;5,INDEX(Festivals!$V$2:$V$160,$AP319+5),""),"")</f>
        <v/>
      </c>
      <c r="AK319" t="str">
        <f>IFERROR(IF($AQ319&gt;6,INDEX(Festivals!$V$2:$V$160,$AP319+6),""),"")</f>
        <v/>
      </c>
      <c r="AL319" t="str">
        <f ca="1">IFERROR(INDEX('Holidays Calc'!$J$2:$J$233,MATCH(A319,'Holidays Calc'!$I$2:$I$233,0)),"")</f>
        <v/>
      </c>
      <c r="AM319" t="str">
        <f ca="1">IF(AR319="","",IF(INDEX('Holidays Calc'!$I$2:$I$233,AR319+1)=A319,INDEX('Holidays Calc'!$J$2:$J$233,AR319+1),""))</f>
        <v/>
      </c>
      <c r="AN319" t="str">
        <f ca="1">IF(AR319="","",IF(INDEX('Holidays Calc'!$I$2:$I$233,AR319+2)=A319,INDEX('Holidays Calc'!$J$2:$J$233,AR319+2),""))</f>
        <v/>
      </c>
      <c r="AO319" t="str">
        <f ca="1">IF(AR319="","",IF(INDEX('Holidays Calc'!$I$2:$I$233,AR319+3)=A319,INDEX('Holidays Calc'!$J$2:$J$233,AR319+3),""))</f>
        <v/>
      </c>
      <c r="AP319">
        <f>IFERROR(IF($E319=E318,"",MATCH($E319,Festivals!$H$2:$H$160,0)),"")</f>
        <v>77</v>
      </c>
      <c r="AQ319">
        <f>IF(AP319="","",COUNTIF(Festivals!$H$2:$H$160,$E319))</f>
        <v>2</v>
      </c>
      <c r="AR319" t="str">
        <f ca="1">IFERROR(MATCH(A319,'Holidays Calc'!$I$2:$I$233,0),"")</f>
        <v/>
      </c>
      <c r="AS319">
        <f t="shared" si="32"/>
        <v>1</v>
      </c>
      <c r="AT319">
        <f t="shared" si="31"/>
        <v>1</v>
      </c>
      <c r="AU319" t="str">
        <f t="shared" ca="1" si="33"/>
        <v/>
      </c>
      <c r="AV319">
        <f t="shared" ca="1" si="34"/>
        <v>1</v>
      </c>
    </row>
    <row r="320" spans="1:48" x14ac:dyDescent="0.25">
      <c r="A320" s="265">
        <f t="shared" si="30"/>
        <v>43746</v>
      </c>
      <c r="B320" s="265" t="str">
        <f t="shared" si="35"/>
        <v>8 Oct 2019</v>
      </c>
      <c r="C320" s="267">
        <f t="shared" si="36"/>
        <v>41</v>
      </c>
      <c r="D320">
        <f>MATCH(A320,GCalXMLT[daydate],0)</f>
        <v>319</v>
      </c>
      <c r="E320">
        <f>VALUE("1" &amp; Masacod(INDEX(GCalXMLT[gymasa],D320)) &amp; PaksaCod(INDEX(GCalXMLT[mpaksaid],D320)) &amp; TithiCod(INDEX(GCalXMLT[stithiname],D320)))</f>
        <v>107110</v>
      </c>
      <c r="F320" t="str">
        <f ca="1">INDEX(Parameters!$K$2:$K$16,MATCH(AV320,Parameters!$L$2:$L$16,0))</f>
        <v/>
      </c>
      <c r="G320">
        <f>INDEX(GCalXMLT[fastmark],$D320)</f>
        <v>0</v>
      </c>
      <c r="H320" t="str">
        <f ca="1">INDEX(Parameters!$J$2:$J$16,MATCH(AV320,Parameters!$L$2:$L$16,0))</f>
        <v/>
      </c>
      <c r="I320">
        <f>INDEX(GCalXMLT[dfestival1],$D320)</f>
        <v>0</v>
      </c>
      <c r="J320">
        <f>IF(INDEX(GCalXMLT[dfestival2],$D320)="(Fast today)",INDEX(Festivals!$R$2:$R$180,MATCH($I320,Festivals!$R$2:$R$180,0)+1),INDEX(GCalXMLT[dfestival2],$D320))</f>
        <v>0</v>
      </c>
      <c r="K320">
        <f>IF(I320="Nandotsava","(Fast till noon)",INDEX(GCalXMLT[dfestival3],$D320))</f>
        <v>0</v>
      </c>
      <c r="L320">
        <f>IF(I320="Nandotsava", INDEX(GCalXMLT[dfestival3],$D320),INDEX(GCalXMLT[dfestival4],$D320))</f>
        <v>0</v>
      </c>
      <c r="M320" t="str">
        <f>IFERROR(INDEX(Festivals!$S$2:$S$160,AP320),"")</f>
        <v/>
      </c>
      <c r="N320" t="str">
        <f>IFERROR(IF($AQ320&gt;1,INDEX(Festivals!$S$2:$S$160,$AP320+1),""),"")</f>
        <v/>
      </c>
      <c r="O320" t="str">
        <f>IFERROR(IF($AQ320&gt;2,INDEX(Festivals!$S$2:$S$160,$AP320+2),""),"")</f>
        <v/>
      </c>
      <c r="P320" t="str">
        <f>IFERROR(IF($AQ320&gt;3,INDEX(Festivals!$S$2:$S$160,$AP320+3),""),"")</f>
        <v/>
      </c>
      <c r="Q320" t="str">
        <f>IFERROR(IF($AQ320&gt;4,INDEX(Festivals!$S$2:$S$160,$AP320+4),""),"")</f>
        <v/>
      </c>
      <c r="R320" t="str">
        <f>IFERROR(IF($AQ320&gt;5,INDEX(Festivals!$S$2:$S$160,$AP320+5),""),"")</f>
        <v/>
      </c>
      <c r="S320" t="str">
        <f>IFERROR(IF($AQ320&gt;6,INDEX(Festivals!$S$2:$S$160,$AP320+6),""),"")</f>
        <v/>
      </c>
      <c r="T320" t="str">
        <f>INDEX(GCalXMLT[dcaturmasya1],$D320)</f>
        <v>3last_EKADASI_</v>
      </c>
      <c r="U320">
        <f>INDEX(GCalXMLT[dcaturmasya2],$D320)</f>
        <v>0</v>
      </c>
      <c r="V320" t="str">
        <f>INDEX(GCalXMLT[sankrantirasi],$D320) &amp; " " &amp; INDEX(GCalXMLT[sankrantitime],$D320)</f>
        <v xml:space="preserve"> </v>
      </c>
      <c r="W320" t="str">
        <f ca="1">IFERROR(INDEX('Holidays Calc'!$K$2:$K$233,AR320),"")</f>
        <v/>
      </c>
      <c r="X320" t="str">
        <f ca="1">IF(AR320="","",IF(INDEX('Holidays Calc'!$I$2:$I$233,AR320+1)=A320,INDEX('Holidays Calc'!$K$2:$K$233,AR320+1),""))</f>
        <v/>
      </c>
      <c r="Y320" t="str">
        <f ca="1">IF(AR320="","",IF(INDEX('Holidays Calc'!$I$2:$I$233,AR320+2)=A320,INDEX('Holidays Calc'!$K$2:$K$233,AR320+2),""))</f>
        <v/>
      </c>
      <c r="Z320" t="str">
        <f ca="1">IF(AR320="","",IF(INDEX('Holidays Calc'!$I$2:$I$233,AR320+3)=A320,INDEX('Holidays Calc'!$K$2:$K$2333,AR320+3),""))</f>
        <v/>
      </c>
      <c r="AA320" t="str">
        <f>IF(I320="Last day of Bhisma Pancaka","",IF(G320="*",-0.7,IF(ISBLANK(INDEX(GCalXMLT[dclass1],$D320)),"",INDEX(GCalXMLT[dclass1],$D320))))</f>
        <v/>
      </c>
      <c r="AB320" t="str">
        <f>IF(J320="First day of Bhisma Pancaka","",IF(AND(G320="*",NOT(ISERROR(SEARCH("ekadasi",J320)))),-0.7,IF(ISBLANK(INDEX(GCalXMLT[dclass2],$D320)),"",INDEX(GCalXMLT[dclass2],$D320))))</f>
        <v/>
      </c>
      <c r="AC320" t="str">
        <f>IF(I320="Nandotsava",-1,IF(ISBLANK(INDEX(GCalXMLT[dclass3],$D320)),"",INDEX(GCalXMLT[dclass3],$D320)))</f>
        <v/>
      </c>
      <c r="AD320" t="str">
        <f>IF(I320="Nandotsava",IF(ISBLANK(INDEX(GCalXMLT[dclass3],$D320)),"",INDEX(GCalXMLT[dclass3],$D320)),IF(ISBLANK(INDEX(GCalXMLT[dclass4],$D320)),"",INDEX(GCalXMLT[dclass4],$D320)))</f>
        <v/>
      </c>
      <c r="AE320" t="str">
        <f>IFERROR(INDEX(Festivals!$V$2:$V$160,AP320),"")</f>
        <v/>
      </c>
      <c r="AF320" t="str">
        <f>IFERROR(IF($AQ320&gt;1,INDEX(Festivals!$V$2:$V$160,$AP320+1),""),"")</f>
        <v/>
      </c>
      <c r="AG320" t="str">
        <f>IFERROR(IF($AQ320&gt;2,INDEX(Festivals!$V$2:$V$160,$AP320+2),""),"")</f>
        <v/>
      </c>
      <c r="AH320" t="str">
        <f>IFERROR(IF($AQ320&gt;3,INDEX(Festivals!$V$2:$V$160,$AP320+3),""),"")</f>
        <v/>
      </c>
      <c r="AI320" t="str">
        <f>IFERROR(IF($AQ320&gt;4,INDEX(Festivals!$V$2:$V$160,$AP320+4),""),"")</f>
        <v/>
      </c>
      <c r="AJ320" t="str">
        <f>IFERROR(IF($AQ320&gt;5,INDEX(Festivals!$V$2:$V$160,$AP320+5),""),"")</f>
        <v/>
      </c>
      <c r="AK320" t="str">
        <f>IFERROR(IF($AQ320&gt;6,INDEX(Festivals!$V$2:$V$160,$AP320+6),""),"")</f>
        <v/>
      </c>
      <c r="AL320" t="str">
        <f ca="1">IFERROR(INDEX('Holidays Calc'!$J$2:$J$233,MATCH(A320,'Holidays Calc'!$I$2:$I$233,0)),"")</f>
        <v/>
      </c>
      <c r="AM320" t="str">
        <f ca="1">IF(AR320="","",IF(INDEX('Holidays Calc'!$I$2:$I$233,AR320+1)=A320,INDEX('Holidays Calc'!$J$2:$J$233,AR320+1),""))</f>
        <v/>
      </c>
      <c r="AN320" t="str">
        <f ca="1">IF(AR320="","",IF(INDEX('Holidays Calc'!$I$2:$I$233,AR320+2)=A320,INDEX('Holidays Calc'!$J$2:$J$233,AR320+2),""))</f>
        <v/>
      </c>
      <c r="AO320" t="str">
        <f ca="1">IF(AR320="","",IF(INDEX('Holidays Calc'!$I$2:$I$233,AR320+3)=A320,INDEX('Holidays Calc'!$J$2:$J$233,AR320+3),""))</f>
        <v/>
      </c>
      <c r="AP320" t="str">
        <f>IFERROR(IF($E320=E319,"",MATCH($E320,Festivals!$H$2:$H$160,0)),"")</f>
        <v/>
      </c>
      <c r="AQ320" t="str">
        <f>IF(AP320="","",COUNTIF(Festivals!$H$2:$H$160,$E320))</f>
        <v/>
      </c>
      <c r="AR320" t="str">
        <f ca="1">IFERROR(MATCH(A320,'Holidays Calc'!$I$2:$I$233,0),"")</f>
        <v/>
      </c>
      <c r="AS320" t="str">
        <f t="shared" si="32"/>
        <v/>
      </c>
      <c r="AT320" t="str">
        <f t="shared" si="31"/>
        <v/>
      </c>
      <c r="AU320" t="str">
        <f t="shared" ca="1" si="33"/>
        <v/>
      </c>
      <c r="AV320" t="str">
        <f t="shared" ca="1" si="34"/>
        <v/>
      </c>
    </row>
    <row r="321" spans="1:48" x14ac:dyDescent="0.25">
      <c r="A321" s="265">
        <f t="shared" si="30"/>
        <v>43747</v>
      </c>
      <c r="B321" s="265" t="str">
        <f t="shared" si="35"/>
        <v>9 Oct 2019</v>
      </c>
      <c r="C321" s="267">
        <f t="shared" si="36"/>
        <v>41</v>
      </c>
      <c r="D321">
        <f>MATCH(A321,GCalXMLT[daydate],0)</f>
        <v>320</v>
      </c>
      <c r="E321">
        <f>VALUE("1" &amp; Masacod(INDEX(GCalXMLT[gymasa],D321)) &amp; PaksaCod(INDEX(GCalXMLT[mpaksaid],D321)) &amp; TithiCod(INDEX(GCalXMLT[stithiname],D321)))</f>
        <v>107111</v>
      </c>
      <c r="F321" t="str">
        <f ca="1">INDEX(Parameters!$K$2:$K$16,MATCH(AV321,Parameters!$L$2:$L$16,0))</f>
        <v>E</v>
      </c>
      <c r="G321" t="str">
        <f>INDEX(GCalXMLT[fastmark],$D321)</f>
        <v>*</v>
      </c>
      <c r="H321" t="str">
        <f ca="1">INDEX(Parameters!$J$2:$J$16,MATCH(AV321,Parameters!$L$2:$L$16,0))</f>
        <v>*</v>
      </c>
      <c r="I321" t="str">
        <f>INDEX(GCalXMLT[dfestival1],$D321)</f>
        <v>Fasting for Pasankusa Ekadasi</v>
      </c>
      <c r="J321">
        <f>IF(INDEX(GCalXMLT[dfestival2],$D321)="(Fast today)",INDEX(Festivals!$R$2:$R$180,MATCH($I321,Festivals!$R$2:$R$180,0)+1),INDEX(GCalXMLT[dfestival2],$D321))</f>
        <v>0</v>
      </c>
      <c r="K321">
        <f>IF(I321="Nandotsava","(Fast till noon)",INDEX(GCalXMLT[dfestival3],$D321))</f>
        <v>0</v>
      </c>
      <c r="L321">
        <f>IF(I321="Nandotsava", INDEX(GCalXMLT[dfestival3],$D321),INDEX(GCalXMLT[dfestival4],$D321))</f>
        <v>0</v>
      </c>
      <c r="M321" t="str">
        <f>IFERROR(INDEX(Festivals!$S$2:$S$160,AP321),"")</f>
        <v/>
      </c>
      <c r="N321" t="str">
        <f>IFERROR(IF($AQ321&gt;1,INDEX(Festivals!$S$2:$S$160,$AP321+1),""),"")</f>
        <v/>
      </c>
      <c r="O321" t="str">
        <f>IFERROR(IF($AQ321&gt;2,INDEX(Festivals!$S$2:$S$160,$AP321+2),""),"")</f>
        <v/>
      </c>
      <c r="P321" t="str">
        <f>IFERROR(IF($AQ321&gt;3,INDEX(Festivals!$S$2:$S$160,$AP321+3),""),"")</f>
        <v/>
      </c>
      <c r="Q321" t="str">
        <f>IFERROR(IF($AQ321&gt;4,INDEX(Festivals!$S$2:$S$160,$AP321+4),""),"")</f>
        <v/>
      </c>
      <c r="R321" t="str">
        <f>IFERROR(IF($AQ321&gt;5,INDEX(Festivals!$S$2:$S$160,$AP321+5),""),"")</f>
        <v/>
      </c>
      <c r="S321" t="str">
        <f>IFERROR(IF($AQ321&gt;6,INDEX(Festivals!$S$2:$S$160,$AP321+6),""),"")</f>
        <v/>
      </c>
      <c r="T321" t="str">
        <f>INDEX(GCalXMLT[dcaturmasya1],$D321)</f>
        <v>4first_EKADASI_</v>
      </c>
      <c r="U321">
        <f>INDEX(GCalXMLT[dcaturmasya2],$D321)</f>
        <v>0</v>
      </c>
      <c r="V321" t="str">
        <f>INDEX(GCalXMLT[sankrantirasi],$D321) &amp; " " &amp; INDEX(GCalXMLT[sankrantitime],$D321)</f>
        <v xml:space="preserve"> </v>
      </c>
      <c r="W321" t="str">
        <f ca="1">IFERROR(INDEX('Holidays Calc'!$K$2:$K$233,AR321),"")</f>
        <v/>
      </c>
      <c r="X321" t="str">
        <f ca="1">IF(AR321="","",IF(INDEX('Holidays Calc'!$I$2:$I$233,AR321+1)=A321,INDEX('Holidays Calc'!$K$2:$K$233,AR321+1),""))</f>
        <v/>
      </c>
      <c r="Y321" t="str">
        <f ca="1">IF(AR321="","",IF(INDEX('Holidays Calc'!$I$2:$I$233,AR321+2)=A321,INDEX('Holidays Calc'!$K$2:$K$233,AR321+2),""))</f>
        <v/>
      </c>
      <c r="Z321" t="str">
        <f ca="1">IF(AR321="","",IF(INDEX('Holidays Calc'!$I$2:$I$233,AR321+3)=A321,INDEX('Holidays Calc'!$K$2:$K$2333,AR321+3),""))</f>
        <v/>
      </c>
      <c r="AA321">
        <f>IF(I321="Last day of Bhisma Pancaka","",IF(G321="*",-0.7,IF(ISBLANK(INDEX(GCalXMLT[dclass1],$D321)),"",INDEX(GCalXMLT[dclass1],$D321))))</f>
        <v>-0.7</v>
      </c>
      <c r="AB321" t="str">
        <f>IF(J321="First day of Bhisma Pancaka","",IF(AND(G321="*",NOT(ISERROR(SEARCH("ekadasi",J321)))),-0.7,IF(ISBLANK(INDEX(GCalXMLT[dclass2],$D321)),"",INDEX(GCalXMLT[dclass2],$D321))))</f>
        <v/>
      </c>
      <c r="AC321" t="str">
        <f>IF(I321="Nandotsava",-1,IF(ISBLANK(INDEX(GCalXMLT[dclass3],$D321)),"",INDEX(GCalXMLT[dclass3],$D321)))</f>
        <v/>
      </c>
      <c r="AD321" t="str">
        <f>IF(I321="Nandotsava",IF(ISBLANK(INDEX(GCalXMLT[dclass3],$D321)),"",INDEX(GCalXMLT[dclass3],$D321)),IF(ISBLANK(INDEX(GCalXMLT[dclass4],$D321)),"",INDEX(GCalXMLT[dclass4],$D321)))</f>
        <v/>
      </c>
      <c r="AE321" t="str">
        <f>IFERROR(INDEX(Festivals!$V$2:$V$160,AP321),"")</f>
        <v/>
      </c>
      <c r="AF321" t="str">
        <f>IFERROR(IF($AQ321&gt;1,INDEX(Festivals!$V$2:$V$160,$AP321+1),""),"")</f>
        <v/>
      </c>
      <c r="AG321" t="str">
        <f>IFERROR(IF($AQ321&gt;2,INDEX(Festivals!$V$2:$V$160,$AP321+2),""),"")</f>
        <v/>
      </c>
      <c r="AH321" t="str">
        <f>IFERROR(IF($AQ321&gt;3,INDEX(Festivals!$V$2:$V$160,$AP321+3),""),"")</f>
        <v/>
      </c>
      <c r="AI321" t="str">
        <f>IFERROR(IF($AQ321&gt;4,INDEX(Festivals!$V$2:$V$160,$AP321+4),""),"")</f>
        <v/>
      </c>
      <c r="AJ321" t="str">
        <f>IFERROR(IF($AQ321&gt;5,INDEX(Festivals!$V$2:$V$160,$AP321+5),""),"")</f>
        <v/>
      </c>
      <c r="AK321" t="str">
        <f>IFERROR(IF($AQ321&gt;6,INDEX(Festivals!$V$2:$V$160,$AP321+6),""),"")</f>
        <v/>
      </c>
      <c r="AL321" t="str">
        <f ca="1">IFERROR(INDEX('Holidays Calc'!$J$2:$J$233,MATCH(A321,'Holidays Calc'!$I$2:$I$233,0)),"")</f>
        <v/>
      </c>
      <c r="AM321" t="str">
        <f ca="1">IF(AR321="","",IF(INDEX('Holidays Calc'!$I$2:$I$233,AR321+1)=A321,INDEX('Holidays Calc'!$J$2:$J$233,AR321+1),""))</f>
        <v/>
      </c>
      <c r="AN321" t="str">
        <f ca="1">IF(AR321="","",IF(INDEX('Holidays Calc'!$I$2:$I$233,AR321+2)=A321,INDEX('Holidays Calc'!$J$2:$J$233,AR321+2),""))</f>
        <v/>
      </c>
      <c r="AO321" t="str">
        <f ca="1">IF(AR321="","",IF(INDEX('Holidays Calc'!$I$2:$I$233,AR321+3)=A321,INDEX('Holidays Calc'!$J$2:$J$233,AR321+3),""))</f>
        <v/>
      </c>
      <c r="AP321" t="str">
        <f>IFERROR(IF($E321=E320,"",MATCH($E321,Festivals!$H$2:$H$160,0)),"")</f>
        <v/>
      </c>
      <c r="AQ321" t="str">
        <f>IF(AP321="","",COUNTIF(Festivals!$H$2:$H$160,$E321))</f>
        <v/>
      </c>
      <c r="AR321" t="str">
        <f ca="1">IFERROR(MATCH(A321,'Holidays Calc'!$I$2:$I$233,0),"")</f>
        <v/>
      </c>
      <c r="AS321">
        <f t="shared" si="32"/>
        <v>-0.7</v>
      </c>
      <c r="AT321">
        <f t="shared" si="31"/>
        <v>-0.7</v>
      </c>
      <c r="AU321" t="str">
        <f t="shared" ca="1" si="33"/>
        <v/>
      </c>
      <c r="AV321">
        <f t="shared" ca="1" si="34"/>
        <v>-0.7</v>
      </c>
    </row>
    <row r="322" spans="1:48" x14ac:dyDescent="0.25">
      <c r="A322" s="265">
        <f t="shared" ref="A322:A385" si="37">A321+1</f>
        <v>43748</v>
      </c>
      <c r="B322" s="265" t="str">
        <f t="shared" si="35"/>
        <v>10 Oct 2019</v>
      </c>
      <c r="C322" s="267">
        <f t="shared" si="36"/>
        <v>41</v>
      </c>
      <c r="D322">
        <f>MATCH(A322,GCalXMLT[daydate],0)</f>
        <v>321</v>
      </c>
      <c r="E322">
        <f>VALUE("1" &amp; Masacod(INDEX(GCalXMLT[gymasa],D322)) &amp; PaksaCod(INDEX(GCalXMLT[mpaksaid],D322)) &amp; TithiCod(INDEX(GCalXMLT[stithiname],D322)))</f>
        <v>107112</v>
      </c>
      <c r="F322" t="str">
        <f ca="1">INDEX(Parameters!$K$2:$K$16,MATCH(AV322,Parameters!$L$2:$L$16,0))</f>
        <v>C</v>
      </c>
      <c r="G322">
        <f>INDEX(GCalXMLT[fastmark],$D322)</f>
        <v>0</v>
      </c>
      <c r="H322" t="str">
        <f ca="1">INDEX(Parameters!$J$2:$J$16,MATCH(AV322,Parameters!$L$2:$L$16,0))</f>
        <v/>
      </c>
      <c r="I322">
        <f>INDEX(GCalXMLT[dfestival1],$D322)</f>
        <v>0</v>
      </c>
      <c r="J322">
        <f>IF(INDEX(GCalXMLT[dfestival2],$D322)="(Fast today)",INDEX(Festivals!$R$2:$R$180,MATCH($I322,Festivals!$R$2:$R$180,0)+1),INDEX(GCalXMLT[dfestival2],$D322))</f>
        <v>0</v>
      </c>
      <c r="K322">
        <f>IF(I322="Nandotsava","(Fast till noon)",INDEX(GCalXMLT[dfestival3],$D322))</f>
        <v>0</v>
      </c>
      <c r="L322">
        <f>IF(I322="Nandotsava", INDEX(GCalXMLT[dfestival3],$D322),INDEX(GCalXMLT[dfestival4],$D322))</f>
        <v>0</v>
      </c>
      <c r="M322" t="str">
        <f>IFERROR(INDEX(Festivals!$S$2:$S$160,AP322),"")</f>
        <v>Srila Raghunatha Dasa Gosvami - Disappearance</v>
      </c>
      <c r="N322" t="str">
        <f>IFERROR(IF($AQ322&gt;1,INDEX(Festivals!$S$2:$S$160,$AP322+1),""),"")</f>
        <v>Srila Raghunatha Bhatta Gosvami - Disappearance</v>
      </c>
      <c r="O322" t="str">
        <f>IFERROR(IF($AQ322&gt;2,INDEX(Festivals!$S$2:$S$160,$AP322+2),""),"")</f>
        <v>Srila Krsnadasa Kaviraja Gosvami - Disappearance</v>
      </c>
      <c r="P322" t="str">
        <f>IFERROR(IF($AQ322&gt;3,INDEX(Festivals!$S$2:$S$160,$AP322+3),""),"")</f>
        <v/>
      </c>
      <c r="Q322" t="str">
        <f>IFERROR(IF($AQ322&gt;4,INDEX(Festivals!$S$2:$S$160,$AP322+4),""),"")</f>
        <v/>
      </c>
      <c r="R322" t="str">
        <f>IFERROR(IF($AQ322&gt;5,INDEX(Festivals!$S$2:$S$160,$AP322+5),""),"")</f>
        <v/>
      </c>
      <c r="S322" t="str">
        <f>IFERROR(IF($AQ322&gt;6,INDEX(Festivals!$S$2:$S$160,$AP322+6),""),"")</f>
        <v/>
      </c>
      <c r="T322">
        <f>INDEX(GCalXMLT[dcaturmasya1],$D322)</f>
        <v>0</v>
      </c>
      <c r="U322">
        <f>INDEX(GCalXMLT[dcaturmasya2],$D322)</f>
        <v>0</v>
      </c>
      <c r="V322" t="str">
        <f>INDEX(GCalXMLT[sankrantirasi],$D322) &amp; " " &amp; INDEX(GCalXMLT[sankrantitime],$D322)</f>
        <v xml:space="preserve"> </v>
      </c>
      <c r="W322" t="str">
        <f ca="1">IFERROR(INDEX('Holidays Calc'!$K$2:$K$233,AR322),"")</f>
        <v/>
      </c>
      <c r="X322" t="str">
        <f ca="1">IF(AR322="","",IF(INDEX('Holidays Calc'!$I$2:$I$233,AR322+1)=A322,INDEX('Holidays Calc'!$K$2:$K$233,AR322+1),""))</f>
        <v/>
      </c>
      <c r="Y322" t="str">
        <f ca="1">IF(AR322="","",IF(INDEX('Holidays Calc'!$I$2:$I$233,AR322+2)=A322,INDEX('Holidays Calc'!$K$2:$K$233,AR322+2),""))</f>
        <v/>
      </c>
      <c r="Z322" t="str">
        <f ca="1">IF(AR322="","",IF(INDEX('Holidays Calc'!$I$2:$I$233,AR322+3)=A322,INDEX('Holidays Calc'!$K$2:$K$2333,AR322+3),""))</f>
        <v/>
      </c>
      <c r="AA322" t="str">
        <f>IF(I322="Last day of Bhisma Pancaka","",IF(G322="*",-0.7,IF(ISBLANK(INDEX(GCalXMLT[dclass1],$D322)),"",INDEX(GCalXMLT[dclass1],$D322))))</f>
        <v/>
      </c>
      <c r="AB322" t="str">
        <f>IF(J322="First day of Bhisma Pancaka","",IF(AND(G322="*",NOT(ISERROR(SEARCH("ekadasi",J322)))),-0.7,IF(ISBLANK(INDEX(GCalXMLT[dclass2],$D322)),"",INDEX(GCalXMLT[dclass2],$D322))))</f>
        <v/>
      </c>
      <c r="AC322" t="str">
        <f>IF(I322="Nandotsava",-1,IF(ISBLANK(INDEX(GCalXMLT[dclass3],$D322)),"",INDEX(GCalXMLT[dclass3],$D322)))</f>
        <v/>
      </c>
      <c r="AD322" t="str">
        <f>IF(I322="Nandotsava",IF(ISBLANK(INDEX(GCalXMLT[dclass3],$D322)),"",INDEX(GCalXMLT[dclass3],$D322)),IF(ISBLANK(INDEX(GCalXMLT[dclass4],$D322)),"",INDEX(GCalXMLT[dclass4],$D322)))</f>
        <v/>
      </c>
      <c r="AE322">
        <f>IFERROR(INDEX(Festivals!$V$2:$V$160,AP322),"")</f>
        <v>3</v>
      </c>
      <c r="AF322">
        <f>IFERROR(IF($AQ322&gt;1,INDEX(Festivals!$V$2:$V$160,$AP322+1),""),"")</f>
        <v>3</v>
      </c>
      <c r="AG322">
        <f>IFERROR(IF($AQ322&gt;2,INDEX(Festivals!$V$2:$V$160,$AP322+2),""),"")</f>
        <v>3</v>
      </c>
      <c r="AH322" t="str">
        <f>IFERROR(IF($AQ322&gt;3,INDEX(Festivals!$V$2:$V$160,$AP322+3),""),"")</f>
        <v/>
      </c>
      <c r="AI322" t="str">
        <f>IFERROR(IF($AQ322&gt;4,INDEX(Festivals!$V$2:$V$160,$AP322+4),""),"")</f>
        <v/>
      </c>
      <c r="AJ322" t="str">
        <f>IFERROR(IF($AQ322&gt;5,INDEX(Festivals!$V$2:$V$160,$AP322+5),""),"")</f>
        <v/>
      </c>
      <c r="AK322" t="str">
        <f>IFERROR(IF($AQ322&gt;6,INDEX(Festivals!$V$2:$V$160,$AP322+6),""),"")</f>
        <v/>
      </c>
      <c r="AL322" t="str">
        <f ca="1">IFERROR(INDEX('Holidays Calc'!$J$2:$J$233,MATCH(A322,'Holidays Calc'!$I$2:$I$233,0)),"")</f>
        <v/>
      </c>
      <c r="AM322" t="str">
        <f ca="1">IF(AR322="","",IF(INDEX('Holidays Calc'!$I$2:$I$233,AR322+1)=A322,INDEX('Holidays Calc'!$J$2:$J$233,AR322+1),""))</f>
        <v/>
      </c>
      <c r="AN322" t="str">
        <f ca="1">IF(AR322="","",IF(INDEX('Holidays Calc'!$I$2:$I$233,AR322+2)=A322,INDEX('Holidays Calc'!$J$2:$J$233,AR322+2),""))</f>
        <v/>
      </c>
      <c r="AO322" t="str">
        <f ca="1">IF(AR322="","",IF(INDEX('Holidays Calc'!$I$2:$I$233,AR322+3)=A322,INDEX('Holidays Calc'!$J$2:$J$233,AR322+3),""))</f>
        <v/>
      </c>
      <c r="AP322">
        <f>IFERROR(IF($E322=E321,"",MATCH($E322,Festivals!$H$2:$H$160,0)),"")</f>
        <v>79</v>
      </c>
      <c r="AQ322">
        <f>IF(AP322="","",COUNTIF(Festivals!$H$2:$H$160,$E322))</f>
        <v>3</v>
      </c>
      <c r="AR322" t="str">
        <f ca="1">IFERROR(MATCH(A322,'Holidays Calc'!$I$2:$I$233,0),"")</f>
        <v/>
      </c>
      <c r="AS322">
        <f t="shared" si="32"/>
        <v>3</v>
      </c>
      <c r="AT322">
        <f t="shared" ref="AT322:AT385" si="38">IF(AND(G322 = "*", AS322 &lt;= -1 ), -2, IF(AND(G321 = "*", AS322 &lt;= -1), -0.3, AS322))</f>
        <v>3</v>
      </c>
      <c r="AU322" t="str">
        <f t="shared" ca="1" si="33"/>
        <v/>
      </c>
      <c r="AV322">
        <f t="shared" ca="1" si="34"/>
        <v>3</v>
      </c>
    </row>
    <row r="323" spans="1:48" x14ac:dyDescent="0.25">
      <c r="A323" s="265">
        <f t="shared" si="37"/>
        <v>43749</v>
      </c>
      <c r="B323" s="265" t="str">
        <f t="shared" si="35"/>
        <v>11 Oct 2019</v>
      </c>
      <c r="C323" s="267">
        <f t="shared" si="36"/>
        <v>41</v>
      </c>
      <c r="D323">
        <f>MATCH(A323,GCalXMLT[daydate],0)</f>
        <v>322</v>
      </c>
      <c r="E323">
        <f>VALUE("1" &amp; Masacod(INDEX(GCalXMLT[gymasa],D323)) &amp; PaksaCod(INDEX(GCalXMLT[mpaksaid],D323)) &amp; TithiCod(INDEX(GCalXMLT[stithiname],D323)))</f>
        <v>107113</v>
      </c>
      <c r="F323" t="str">
        <f ca="1">INDEX(Parameters!$K$2:$K$16,MATCH(AV323,Parameters!$L$2:$L$16,0))</f>
        <v/>
      </c>
      <c r="G323">
        <f>INDEX(GCalXMLT[fastmark],$D323)</f>
        <v>0</v>
      </c>
      <c r="H323" t="str">
        <f ca="1">INDEX(Parameters!$J$2:$J$16,MATCH(AV323,Parameters!$L$2:$L$16,0))</f>
        <v/>
      </c>
      <c r="I323">
        <f>INDEX(GCalXMLT[dfestival1],$D323)</f>
        <v>0</v>
      </c>
      <c r="J323">
        <f>IF(INDEX(GCalXMLT[dfestival2],$D323)="(Fast today)",INDEX(Festivals!$R$2:$R$180,MATCH($I323,Festivals!$R$2:$R$180,0)+1),INDEX(GCalXMLT[dfestival2],$D323))</f>
        <v>0</v>
      </c>
      <c r="K323">
        <f>IF(I323="Nandotsava","(Fast till noon)",INDEX(GCalXMLT[dfestival3],$D323))</f>
        <v>0</v>
      </c>
      <c r="L323">
        <f>IF(I323="Nandotsava", INDEX(GCalXMLT[dfestival3],$D323),INDEX(GCalXMLT[dfestival4],$D323))</f>
        <v>0</v>
      </c>
      <c r="M323" t="str">
        <f>IFERROR(INDEX(Festivals!$S$2:$S$160,AP323),"")</f>
        <v/>
      </c>
      <c r="N323" t="str">
        <f>IFERROR(IF($AQ323&gt;1,INDEX(Festivals!$S$2:$S$160,$AP323+1),""),"")</f>
        <v/>
      </c>
      <c r="O323" t="str">
        <f>IFERROR(IF($AQ323&gt;2,INDEX(Festivals!$S$2:$S$160,$AP323+2),""),"")</f>
        <v/>
      </c>
      <c r="P323" t="str">
        <f>IFERROR(IF($AQ323&gt;3,INDEX(Festivals!$S$2:$S$160,$AP323+3),""),"")</f>
        <v/>
      </c>
      <c r="Q323" t="str">
        <f>IFERROR(IF($AQ323&gt;4,INDEX(Festivals!$S$2:$S$160,$AP323+4),""),"")</f>
        <v/>
      </c>
      <c r="R323" t="str">
        <f>IFERROR(IF($AQ323&gt;5,INDEX(Festivals!$S$2:$S$160,$AP323+5),""),"")</f>
        <v/>
      </c>
      <c r="S323" t="str">
        <f>IFERROR(IF($AQ323&gt;6,INDEX(Festivals!$S$2:$S$160,$AP323+6),""),"")</f>
        <v/>
      </c>
      <c r="T323">
        <f>INDEX(GCalXMLT[dcaturmasya1],$D323)</f>
        <v>0</v>
      </c>
      <c r="U323">
        <f>INDEX(GCalXMLT[dcaturmasya2],$D323)</f>
        <v>0</v>
      </c>
      <c r="V323" t="str">
        <f>INDEX(GCalXMLT[sankrantirasi],$D323) &amp; " " &amp; INDEX(GCalXMLT[sankrantitime],$D323)</f>
        <v xml:space="preserve"> </v>
      </c>
      <c r="W323" t="str">
        <f ca="1">IFERROR(INDEX('Holidays Calc'!$K$2:$K$233,AR323),"")</f>
        <v/>
      </c>
      <c r="X323" t="str">
        <f ca="1">IF(AR323="","",IF(INDEX('Holidays Calc'!$I$2:$I$233,AR323+1)=A323,INDEX('Holidays Calc'!$K$2:$K$233,AR323+1),""))</f>
        <v/>
      </c>
      <c r="Y323" t="str">
        <f ca="1">IF(AR323="","",IF(INDEX('Holidays Calc'!$I$2:$I$233,AR323+2)=A323,INDEX('Holidays Calc'!$K$2:$K$233,AR323+2),""))</f>
        <v/>
      </c>
      <c r="Z323" t="str">
        <f ca="1">IF(AR323="","",IF(INDEX('Holidays Calc'!$I$2:$I$233,AR323+3)=A323,INDEX('Holidays Calc'!$K$2:$K$2333,AR323+3),""))</f>
        <v/>
      </c>
      <c r="AA323" t="str">
        <f>IF(I323="Last day of Bhisma Pancaka","",IF(G323="*",-0.7,IF(ISBLANK(INDEX(GCalXMLT[dclass1],$D323)),"",INDEX(GCalXMLT[dclass1],$D323))))</f>
        <v/>
      </c>
      <c r="AB323" t="str">
        <f>IF(J323="First day of Bhisma Pancaka","",IF(AND(G323="*",NOT(ISERROR(SEARCH("ekadasi",J323)))),-0.7,IF(ISBLANK(INDEX(GCalXMLT[dclass2],$D323)),"",INDEX(GCalXMLT[dclass2],$D323))))</f>
        <v/>
      </c>
      <c r="AC323" t="str">
        <f>IF(I323="Nandotsava",-1,IF(ISBLANK(INDEX(GCalXMLT[dclass3],$D323)),"",INDEX(GCalXMLT[dclass3],$D323)))</f>
        <v/>
      </c>
      <c r="AD323" t="str">
        <f>IF(I323="Nandotsava",IF(ISBLANK(INDEX(GCalXMLT[dclass3],$D323)),"",INDEX(GCalXMLT[dclass3],$D323)),IF(ISBLANK(INDEX(GCalXMLT[dclass4],$D323)),"",INDEX(GCalXMLT[dclass4],$D323)))</f>
        <v/>
      </c>
      <c r="AE323" t="str">
        <f>IFERROR(INDEX(Festivals!$V$2:$V$160,AP323),"")</f>
        <v/>
      </c>
      <c r="AF323" t="str">
        <f>IFERROR(IF($AQ323&gt;1,INDEX(Festivals!$V$2:$V$160,$AP323+1),""),"")</f>
        <v/>
      </c>
      <c r="AG323" t="str">
        <f>IFERROR(IF($AQ323&gt;2,INDEX(Festivals!$V$2:$V$160,$AP323+2),""),"")</f>
        <v/>
      </c>
      <c r="AH323" t="str">
        <f>IFERROR(IF($AQ323&gt;3,INDEX(Festivals!$V$2:$V$160,$AP323+3),""),"")</f>
        <v/>
      </c>
      <c r="AI323" t="str">
        <f>IFERROR(IF($AQ323&gt;4,INDEX(Festivals!$V$2:$V$160,$AP323+4),""),"")</f>
        <v/>
      </c>
      <c r="AJ323" t="str">
        <f>IFERROR(IF($AQ323&gt;5,INDEX(Festivals!$V$2:$V$160,$AP323+5),""),"")</f>
        <v/>
      </c>
      <c r="AK323" t="str">
        <f>IFERROR(IF($AQ323&gt;6,INDEX(Festivals!$V$2:$V$160,$AP323+6),""),"")</f>
        <v/>
      </c>
      <c r="AL323" t="str">
        <f ca="1">IFERROR(INDEX('Holidays Calc'!$J$2:$J$233,MATCH(A323,'Holidays Calc'!$I$2:$I$233,0)),"")</f>
        <v/>
      </c>
      <c r="AM323" t="str">
        <f ca="1">IF(AR323="","",IF(INDEX('Holidays Calc'!$I$2:$I$233,AR323+1)=A323,INDEX('Holidays Calc'!$J$2:$J$233,AR323+1),""))</f>
        <v/>
      </c>
      <c r="AN323" t="str">
        <f ca="1">IF(AR323="","",IF(INDEX('Holidays Calc'!$I$2:$I$233,AR323+2)=A323,INDEX('Holidays Calc'!$J$2:$J$233,AR323+2),""))</f>
        <v/>
      </c>
      <c r="AO323" t="str">
        <f ca="1">IF(AR323="","",IF(INDEX('Holidays Calc'!$I$2:$I$233,AR323+3)=A323,INDEX('Holidays Calc'!$J$2:$J$233,AR323+3),""))</f>
        <v/>
      </c>
      <c r="AP323" t="str">
        <f>IFERROR(IF($E323=E322,"",MATCH($E323,Festivals!$H$2:$H$160,0)),"")</f>
        <v/>
      </c>
      <c r="AQ323" t="str">
        <f>IF(AP323="","",COUNTIF(Festivals!$H$2:$H$160,$E323))</f>
        <v/>
      </c>
      <c r="AR323" t="str">
        <f ca="1">IFERROR(MATCH(A323,'Holidays Calc'!$I$2:$I$233,0),"")</f>
        <v/>
      </c>
      <c r="AS323" t="str">
        <f t="shared" ref="AS323:AS386" si="39">IF(COUNT(AA323:AK323)&lt;1,"",MIN(AA323:AK323))</f>
        <v/>
      </c>
      <c r="AT323" t="str">
        <f t="shared" si="38"/>
        <v/>
      </c>
      <c r="AU323" t="str">
        <f t="shared" ref="AU323:AU386" ca="1" si="40">IF(COUNT(AL323:AO323)&lt;1,"",MIN(AL323:AO323))</f>
        <v/>
      </c>
      <c r="AV323" t="str">
        <f t="shared" ref="AV323:AV386" ca="1" si="41">IF(AND(AU323 &lt; -10,AT323 &lt; -0.5),-21,IF(COUNT(AT323:AU323)&lt;1,"",MIN(AT323:AU323)))</f>
        <v/>
      </c>
    </row>
    <row r="324" spans="1:48" x14ac:dyDescent="0.25">
      <c r="A324" s="265">
        <f t="shared" si="37"/>
        <v>43750</v>
      </c>
      <c r="B324" s="265" t="str">
        <f t="shared" si="35"/>
        <v>12 Oct 2019</v>
      </c>
      <c r="C324" s="267">
        <f t="shared" si="36"/>
        <v>41</v>
      </c>
      <c r="D324">
        <f>MATCH(A324,GCalXMLT[daydate],0)</f>
        <v>323</v>
      </c>
      <c r="E324">
        <f>VALUE("1" &amp; Masacod(INDEX(GCalXMLT[gymasa],D324)) &amp; PaksaCod(INDEX(GCalXMLT[mpaksaid],D324)) &amp; TithiCod(INDEX(GCalXMLT[stithiname],D324)))</f>
        <v>107114</v>
      </c>
      <c r="F324" t="str">
        <f ca="1">INDEX(Parameters!$K$2:$K$16,MATCH(AV324,Parameters!$L$2:$L$16,0))</f>
        <v>H</v>
      </c>
      <c r="G324">
        <f>INDEX(GCalXMLT[fastmark],$D324)</f>
        <v>0</v>
      </c>
      <c r="H324" t="str">
        <f ca="1">INDEX(Parameters!$J$2:$J$16,MATCH(AV324,Parameters!$L$2:$L$16,0))</f>
        <v/>
      </c>
      <c r="I324">
        <f>INDEX(GCalXMLT[dfestival1],$D324)</f>
        <v>0</v>
      </c>
      <c r="J324">
        <f>IF(INDEX(GCalXMLT[dfestival2],$D324)="(Fast today)",INDEX(Festivals!$R$2:$R$180,MATCH($I324,Festivals!$R$2:$R$180,0)+1),INDEX(GCalXMLT[dfestival2],$D324))</f>
        <v>0</v>
      </c>
      <c r="K324">
        <f>IF(I324="Nandotsava","(Fast till noon)",INDEX(GCalXMLT[dfestival3],$D324))</f>
        <v>0</v>
      </c>
      <c r="L324">
        <f>IF(I324="Nandotsava", INDEX(GCalXMLT[dfestival3],$D324),INDEX(GCalXMLT[dfestival4],$D324))</f>
        <v>0</v>
      </c>
      <c r="M324" t="str">
        <f>IFERROR(INDEX(Festivals!$S$2:$S$160,AP324),"")</f>
        <v/>
      </c>
      <c r="N324" t="str">
        <f>IFERROR(IF($AQ324&gt;1,INDEX(Festivals!$S$2:$S$160,$AP324+1),""),"")</f>
        <v/>
      </c>
      <c r="O324" t="str">
        <f>IFERROR(IF($AQ324&gt;2,INDEX(Festivals!$S$2:$S$160,$AP324+2),""),"")</f>
        <v/>
      </c>
      <c r="P324" t="str">
        <f>IFERROR(IF($AQ324&gt;3,INDEX(Festivals!$S$2:$S$160,$AP324+3),""),"")</f>
        <v/>
      </c>
      <c r="Q324" t="str">
        <f>IFERROR(IF($AQ324&gt;4,INDEX(Festivals!$S$2:$S$160,$AP324+4),""),"")</f>
        <v/>
      </c>
      <c r="R324" t="str">
        <f>IFERROR(IF($AQ324&gt;5,INDEX(Festivals!$S$2:$S$160,$AP324+5),""),"")</f>
        <v/>
      </c>
      <c r="S324" t="str">
        <f>IFERROR(IF($AQ324&gt;6,INDEX(Festivals!$S$2:$S$160,$AP324+6),""),"")</f>
        <v/>
      </c>
      <c r="T324" t="str">
        <f>INDEX(GCalXMLT[dcaturmasya1],$D324)</f>
        <v>3last_PURNIMA_</v>
      </c>
      <c r="U324">
        <f>INDEX(GCalXMLT[dcaturmasya2],$D324)</f>
        <v>0</v>
      </c>
      <c r="V324" t="str">
        <f>INDEX(GCalXMLT[sankrantirasi],$D324) &amp; " " &amp; INDEX(GCalXMLT[sankrantitime],$D324)</f>
        <v xml:space="preserve"> </v>
      </c>
      <c r="W324" t="str">
        <f ca="1">IFERROR(INDEX('Holidays Calc'!$K$2:$K$233,AR324),"")</f>
        <v>N. Sra. Aparecida / Dia das Crianças</v>
      </c>
      <c r="X324" t="str">
        <f ca="1">IF(AR324="","",IF(INDEX('Holidays Calc'!$I$2:$I$233,AR324+1)=A324,INDEX('Holidays Calc'!$K$2:$K$233,AR324+1),""))</f>
        <v/>
      </c>
      <c r="Y324" t="str">
        <f ca="1">IF(AR324="","",IF(INDEX('Holidays Calc'!$I$2:$I$233,AR324+2)=A324,INDEX('Holidays Calc'!$K$2:$K$233,AR324+2),""))</f>
        <v/>
      </c>
      <c r="Z324" t="str">
        <f ca="1">IF(AR324="","",IF(INDEX('Holidays Calc'!$I$2:$I$233,AR324+3)=A324,INDEX('Holidays Calc'!$K$2:$K$2333,AR324+3),""))</f>
        <v/>
      </c>
      <c r="AA324" t="str">
        <f>IF(I324="Last day of Bhisma Pancaka","",IF(G324="*",-0.7,IF(ISBLANK(INDEX(GCalXMLT[dclass1],$D324)),"",INDEX(GCalXMLT[dclass1],$D324))))</f>
        <v/>
      </c>
      <c r="AB324" t="str">
        <f>IF(J324="First day of Bhisma Pancaka","",IF(AND(G324="*",NOT(ISERROR(SEARCH("ekadasi",J324)))),-0.7,IF(ISBLANK(INDEX(GCalXMLT[dclass2],$D324)),"",INDEX(GCalXMLT[dclass2],$D324))))</f>
        <v/>
      </c>
      <c r="AC324" t="str">
        <f>IF(I324="Nandotsava",-1,IF(ISBLANK(INDEX(GCalXMLT[dclass3],$D324)),"",INDEX(GCalXMLT[dclass3],$D324)))</f>
        <v/>
      </c>
      <c r="AD324" t="str">
        <f>IF(I324="Nandotsava",IF(ISBLANK(INDEX(GCalXMLT[dclass3],$D324)),"",INDEX(GCalXMLT[dclass3],$D324)),IF(ISBLANK(INDEX(GCalXMLT[dclass4],$D324)),"",INDEX(GCalXMLT[dclass4],$D324)))</f>
        <v/>
      </c>
      <c r="AE324" t="str">
        <f>IFERROR(INDEX(Festivals!$V$2:$V$160,AP324),"")</f>
        <v/>
      </c>
      <c r="AF324" t="str">
        <f>IFERROR(IF($AQ324&gt;1,INDEX(Festivals!$V$2:$V$160,$AP324+1),""),"")</f>
        <v/>
      </c>
      <c r="AG324" t="str">
        <f>IFERROR(IF($AQ324&gt;2,INDEX(Festivals!$V$2:$V$160,$AP324+2),""),"")</f>
        <v/>
      </c>
      <c r="AH324" t="str">
        <f>IFERROR(IF($AQ324&gt;3,INDEX(Festivals!$V$2:$V$160,$AP324+3),""),"")</f>
        <v/>
      </c>
      <c r="AI324" t="str">
        <f>IFERROR(IF($AQ324&gt;4,INDEX(Festivals!$V$2:$V$160,$AP324+4),""),"")</f>
        <v/>
      </c>
      <c r="AJ324" t="str">
        <f>IFERROR(IF($AQ324&gt;5,INDEX(Festivals!$V$2:$V$160,$AP324+5),""),"")</f>
        <v/>
      </c>
      <c r="AK324" t="str">
        <f>IFERROR(IF($AQ324&gt;6,INDEX(Festivals!$V$2:$V$160,$AP324+6),""),"")</f>
        <v/>
      </c>
      <c r="AL324">
        <f ca="1">IFERROR(INDEX('Holidays Calc'!$J$2:$J$233,MATCH(A324,'Holidays Calc'!$I$2:$I$233,0)),"")</f>
        <v>-11</v>
      </c>
      <c r="AM324" t="str">
        <f ca="1">IF(AR324="","",IF(INDEX('Holidays Calc'!$I$2:$I$233,AR324+1)=A324,INDEX('Holidays Calc'!$J$2:$J$233,AR324+1),""))</f>
        <v/>
      </c>
      <c r="AN324" t="str">
        <f ca="1">IF(AR324="","",IF(INDEX('Holidays Calc'!$I$2:$I$233,AR324+2)=A324,INDEX('Holidays Calc'!$J$2:$J$233,AR324+2),""))</f>
        <v/>
      </c>
      <c r="AO324" t="str">
        <f ca="1">IF(AR324="","",IF(INDEX('Holidays Calc'!$I$2:$I$233,AR324+3)=A324,INDEX('Holidays Calc'!$J$2:$J$233,AR324+3),""))</f>
        <v/>
      </c>
      <c r="AP324" t="str">
        <f>IFERROR(IF($E324=E323,"",MATCH($E324,Festivals!$H$2:$H$160,0)),"")</f>
        <v/>
      </c>
      <c r="AQ324" t="str">
        <f>IF(AP324="","",COUNTIF(Festivals!$H$2:$H$160,$E324))</f>
        <v/>
      </c>
      <c r="AR324">
        <f ca="1">IFERROR(MATCH(A324,'Holidays Calc'!$I$2:$I$233,0),"")</f>
        <v>62</v>
      </c>
      <c r="AS324" t="str">
        <f t="shared" si="39"/>
        <v/>
      </c>
      <c r="AT324" t="str">
        <f t="shared" si="38"/>
        <v/>
      </c>
      <c r="AU324">
        <f t="shared" ca="1" si="40"/>
        <v>-11</v>
      </c>
      <c r="AV324">
        <f t="shared" ca="1" si="41"/>
        <v>-11</v>
      </c>
    </row>
    <row r="325" spans="1:48" x14ac:dyDescent="0.25">
      <c r="A325" s="265">
        <f t="shared" si="37"/>
        <v>43751</v>
      </c>
      <c r="B325" s="265" t="str">
        <f t="shared" si="35"/>
        <v>13 Oct 2019</v>
      </c>
      <c r="C325" s="267">
        <f t="shared" si="36"/>
        <v>41</v>
      </c>
      <c r="D325">
        <f>MATCH(A325,GCalXMLT[daydate],0)</f>
        <v>324</v>
      </c>
      <c r="E325">
        <f>VALUE("1" &amp; Masacod(INDEX(GCalXMLT[gymasa],D325)) &amp; PaksaCod(INDEX(GCalXMLT[mpaksaid],D325)) &amp; TithiCod(INDEX(GCalXMLT[stithiname],D325)))</f>
        <v>107115</v>
      </c>
      <c r="F325" t="str">
        <f ca="1">INDEX(Parameters!$K$2:$K$16,MATCH(AV325,Parameters!$L$2:$L$16,0))</f>
        <v>C</v>
      </c>
      <c r="G325">
        <f>INDEX(GCalXMLT[fastmark],$D325)</f>
        <v>0</v>
      </c>
      <c r="H325" t="str">
        <f ca="1">INDEX(Parameters!$J$2:$J$16,MATCH(AV325,Parameters!$L$2:$L$16,0))</f>
        <v/>
      </c>
      <c r="I325">
        <f>INDEX(GCalXMLT[dfestival1],$D325)</f>
        <v>0</v>
      </c>
      <c r="J325">
        <f>IF(INDEX(GCalXMLT[dfestival2],$D325)="(Fast today)",INDEX(Festivals!$R$2:$R$180,MATCH($I325,Festivals!$R$2:$R$180,0)+1),INDEX(GCalXMLT[dfestival2],$D325))</f>
        <v>0</v>
      </c>
      <c r="K325">
        <f>IF(I325="Nandotsava","(Fast till noon)",INDEX(GCalXMLT[dfestival3],$D325))</f>
        <v>0</v>
      </c>
      <c r="L325">
        <f>IF(I325="Nandotsava", INDEX(GCalXMLT[dfestival3],$D325),INDEX(GCalXMLT[dfestival4],$D325))</f>
        <v>0</v>
      </c>
      <c r="M325" t="str">
        <f>IFERROR(INDEX(Festivals!$S$2:$S$160,AP325),"")</f>
        <v>Sri Krsna Saradiya Rasayatra</v>
      </c>
      <c r="N325" t="str">
        <f>IFERROR(IF($AQ325&gt;1,INDEX(Festivals!$S$2:$S$160,$AP325+1),""),"")</f>
        <v>Sri Murari Gupta - Disappearance</v>
      </c>
      <c r="O325" t="str">
        <f>IFERROR(IF($AQ325&gt;2,INDEX(Festivals!$S$2:$S$160,$AP325+2),""),"")</f>
        <v>Laksmi Puja</v>
      </c>
      <c r="P325" t="str">
        <f>IFERROR(IF($AQ325&gt;3,INDEX(Festivals!$S$2:$S$160,$AP325+3),""),"")</f>
        <v/>
      </c>
      <c r="Q325" t="str">
        <f>IFERROR(IF($AQ325&gt;4,INDEX(Festivals!$S$2:$S$160,$AP325+4),""),"")</f>
        <v/>
      </c>
      <c r="R325" t="str">
        <f>IFERROR(IF($AQ325&gt;5,INDEX(Festivals!$S$2:$S$160,$AP325+5),""),"")</f>
        <v/>
      </c>
      <c r="S325" t="str">
        <f>IFERROR(IF($AQ325&gt;6,INDEX(Festivals!$S$2:$S$160,$AP325+6),""),"")</f>
        <v/>
      </c>
      <c r="T325" t="str">
        <f>INDEX(GCalXMLT[dcaturmasya1],$D325)</f>
        <v>4first_PURNIMA_</v>
      </c>
      <c r="U325" t="str">
        <f>INDEX(GCalXMLT[dcaturmasya2],$D325)</f>
        <v>3last_PRATIPAT</v>
      </c>
      <c r="V325" t="str">
        <f>INDEX(GCalXMLT[sankrantirasi],$D325) &amp; " " &amp; INDEX(GCalXMLT[sankrantitime],$D325)</f>
        <v xml:space="preserve"> </v>
      </c>
      <c r="W325" t="str">
        <f ca="1">IFERROR(INDEX('Holidays Calc'!$K$2:$K$233,AR325),"")</f>
        <v/>
      </c>
      <c r="X325" t="str">
        <f ca="1">IF(AR325="","",IF(INDEX('Holidays Calc'!$I$2:$I$233,AR325+1)=A325,INDEX('Holidays Calc'!$K$2:$K$233,AR325+1),""))</f>
        <v/>
      </c>
      <c r="Y325" t="str">
        <f ca="1">IF(AR325="","",IF(INDEX('Holidays Calc'!$I$2:$I$233,AR325+2)=A325,INDEX('Holidays Calc'!$K$2:$K$233,AR325+2),""))</f>
        <v/>
      </c>
      <c r="Z325" t="str">
        <f ca="1">IF(AR325="","",IF(INDEX('Holidays Calc'!$I$2:$I$233,AR325+3)=A325,INDEX('Holidays Calc'!$K$2:$K$2333,AR325+3),""))</f>
        <v/>
      </c>
      <c r="AA325" t="str">
        <f>IF(I325="Last day of Bhisma Pancaka","",IF(G325="*",-0.7,IF(ISBLANK(INDEX(GCalXMLT[dclass1],$D325)),"",INDEX(GCalXMLT[dclass1],$D325))))</f>
        <v/>
      </c>
      <c r="AB325" t="str">
        <f>IF(J325="First day of Bhisma Pancaka","",IF(AND(G325="*",NOT(ISERROR(SEARCH("ekadasi",J325)))),-0.7,IF(ISBLANK(INDEX(GCalXMLT[dclass2],$D325)),"",INDEX(GCalXMLT[dclass2],$D325))))</f>
        <v/>
      </c>
      <c r="AC325" t="str">
        <f>IF(I325="Nandotsava",-1,IF(ISBLANK(INDEX(GCalXMLT[dclass3],$D325)),"",INDEX(GCalXMLT[dclass3],$D325)))</f>
        <v/>
      </c>
      <c r="AD325" t="str">
        <f>IF(I325="Nandotsava",IF(ISBLANK(INDEX(GCalXMLT[dclass3],$D325)),"",INDEX(GCalXMLT[dclass3],$D325)),IF(ISBLANK(INDEX(GCalXMLT[dclass4],$D325)),"",INDEX(GCalXMLT[dclass4],$D325)))</f>
        <v/>
      </c>
      <c r="AE325">
        <f>IFERROR(INDEX(Festivals!$V$2:$V$160,AP325),"")</f>
        <v>1</v>
      </c>
      <c r="AF325">
        <f>IFERROR(IF($AQ325&gt;1,INDEX(Festivals!$V$2:$V$160,$AP325+1),""),"")</f>
        <v>3</v>
      </c>
      <c r="AG325">
        <f>IFERROR(IF($AQ325&gt;2,INDEX(Festivals!$V$2:$V$160,$AP325+2),""),"")</f>
        <v>5</v>
      </c>
      <c r="AH325" t="str">
        <f>IFERROR(IF($AQ325&gt;3,INDEX(Festivals!$V$2:$V$160,$AP325+3),""),"")</f>
        <v/>
      </c>
      <c r="AI325" t="str">
        <f>IFERROR(IF($AQ325&gt;4,INDEX(Festivals!$V$2:$V$160,$AP325+4),""),"")</f>
        <v/>
      </c>
      <c r="AJ325" t="str">
        <f>IFERROR(IF($AQ325&gt;5,INDEX(Festivals!$V$2:$V$160,$AP325+5),""),"")</f>
        <v/>
      </c>
      <c r="AK325" t="str">
        <f>IFERROR(IF($AQ325&gt;6,INDEX(Festivals!$V$2:$V$160,$AP325+6),""),"")</f>
        <v/>
      </c>
      <c r="AL325" t="str">
        <f ca="1">IFERROR(INDEX('Holidays Calc'!$J$2:$J$233,MATCH(A325,'Holidays Calc'!$I$2:$I$233,0)),"")</f>
        <v/>
      </c>
      <c r="AM325" t="str">
        <f ca="1">IF(AR325="","",IF(INDEX('Holidays Calc'!$I$2:$I$233,AR325+1)=A325,INDEX('Holidays Calc'!$J$2:$J$233,AR325+1),""))</f>
        <v/>
      </c>
      <c r="AN325" t="str">
        <f ca="1">IF(AR325="","",IF(INDEX('Holidays Calc'!$I$2:$I$233,AR325+2)=A325,INDEX('Holidays Calc'!$J$2:$J$233,AR325+2),""))</f>
        <v/>
      </c>
      <c r="AO325" t="str">
        <f ca="1">IF(AR325="","",IF(INDEX('Holidays Calc'!$I$2:$I$233,AR325+3)=A325,INDEX('Holidays Calc'!$J$2:$J$233,AR325+3),""))</f>
        <v/>
      </c>
      <c r="AP325">
        <f>IFERROR(IF($E325=E324,"",MATCH($E325,Festivals!$H$2:$H$160,0)),"")</f>
        <v>82</v>
      </c>
      <c r="AQ325">
        <f>IF(AP325="","",COUNTIF(Festivals!$H$2:$H$160,$E325))</f>
        <v>3</v>
      </c>
      <c r="AR325" t="str">
        <f ca="1">IFERROR(MATCH(A325,'Holidays Calc'!$I$2:$I$233,0),"")</f>
        <v/>
      </c>
      <c r="AS325">
        <f t="shared" si="39"/>
        <v>1</v>
      </c>
      <c r="AT325">
        <f t="shared" si="38"/>
        <v>1</v>
      </c>
      <c r="AU325" t="str">
        <f t="shared" ca="1" si="40"/>
        <v/>
      </c>
      <c r="AV325">
        <f t="shared" ca="1" si="41"/>
        <v>1</v>
      </c>
    </row>
    <row r="326" spans="1:48" x14ac:dyDescent="0.25">
      <c r="A326" s="265">
        <f t="shared" si="37"/>
        <v>43752</v>
      </c>
      <c r="B326" s="265" t="str">
        <f t="shared" si="35"/>
        <v>14 Oct 2019</v>
      </c>
      <c r="C326" s="267">
        <f t="shared" si="36"/>
        <v>42</v>
      </c>
      <c r="D326">
        <f>MATCH(A326,GCalXMLT[daydate],0)</f>
        <v>325</v>
      </c>
      <c r="E326">
        <f>VALUE("1" &amp; Masacod(INDEX(GCalXMLT[gymasa],D326)) &amp; PaksaCod(INDEX(GCalXMLT[mpaksaid],D326)) &amp; TithiCod(INDEX(GCalXMLT[stithiname],D326)))</f>
        <v>108001</v>
      </c>
      <c r="F326" t="str">
        <f ca="1">INDEX(Parameters!$K$2:$K$16,MATCH(AV326,Parameters!$L$2:$L$16,0))</f>
        <v/>
      </c>
      <c r="G326">
        <f>INDEX(GCalXMLT[fastmark],$D326)</f>
        <v>0</v>
      </c>
      <c r="H326" t="str">
        <f ca="1">INDEX(Parameters!$J$2:$J$16,MATCH(AV326,Parameters!$L$2:$L$16,0))</f>
        <v/>
      </c>
      <c r="I326">
        <f>INDEX(GCalXMLT[dfestival1],$D326)</f>
        <v>0</v>
      </c>
      <c r="J326">
        <f>IF(INDEX(GCalXMLT[dfestival2],$D326)="(Fast today)",INDEX(Festivals!$R$2:$R$180,MATCH($I326,Festivals!$R$2:$R$180,0)+1),INDEX(GCalXMLT[dfestival2],$D326))</f>
        <v>0</v>
      </c>
      <c r="K326">
        <f>IF(I326="Nandotsava","(Fast till noon)",INDEX(GCalXMLT[dfestival3],$D326))</f>
        <v>0</v>
      </c>
      <c r="L326">
        <f>IF(I326="Nandotsava", INDEX(GCalXMLT[dfestival3],$D326),INDEX(GCalXMLT[dfestival4],$D326))</f>
        <v>0</v>
      </c>
      <c r="M326" t="str">
        <f>IFERROR(INDEX(Festivals!$S$2:$S$160,AP326),"")</f>
        <v/>
      </c>
      <c r="N326" t="str">
        <f>IFERROR(IF($AQ326&gt;1,INDEX(Festivals!$S$2:$S$160,$AP326+1),""),"")</f>
        <v/>
      </c>
      <c r="O326" t="str">
        <f>IFERROR(IF($AQ326&gt;2,INDEX(Festivals!$S$2:$S$160,$AP326+2),""),"")</f>
        <v/>
      </c>
      <c r="P326" t="str">
        <f>IFERROR(IF($AQ326&gt;3,INDEX(Festivals!$S$2:$S$160,$AP326+3),""),"")</f>
        <v/>
      </c>
      <c r="Q326" t="str">
        <f>IFERROR(IF($AQ326&gt;4,INDEX(Festivals!$S$2:$S$160,$AP326+4),""),"")</f>
        <v/>
      </c>
      <c r="R326" t="str">
        <f>IFERROR(IF($AQ326&gt;5,INDEX(Festivals!$S$2:$S$160,$AP326+5),""),"")</f>
        <v/>
      </c>
      <c r="S326" t="str">
        <f>IFERROR(IF($AQ326&gt;6,INDEX(Festivals!$S$2:$S$160,$AP326+6),""),"")</f>
        <v/>
      </c>
      <c r="T326" t="str">
        <f>INDEX(GCalXMLT[dcaturmasya1],$D326)</f>
        <v>4first_PRATIPAT</v>
      </c>
      <c r="U326">
        <f>INDEX(GCalXMLT[dcaturmasya2],$D326)</f>
        <v>0</v>
      </c>
      <c r="V326" t="str">
        <f>INDEX(GCalXMLT[sankrantirasi],$D326) &amp; " " &amp; INDEX(GCalXMLT[sankrantitime],$D326)</f>
        <v xml:space="preserve"> </v>
      </c>
      <c r="W326" t="str">
        <f ca="1">IFERROR(INDEX('Holidays Calc'!$K$2:$K$233,AR326),"")</f>
        <v/>
      </c>
      <c r="X326" t="str">
        <f ca="1">IF(AR326="","",IF(INDEX('Holidays Calc'!$I$2:$I$233,AR326+1)=A326,INDEX('Holidays Calc'!$K$2:$K$233,AR326+1),""))</f>
        <v/>
      </c>
      <c r="Y326" t="str">
        <f ca="1">IF(AR326="","",IF(INDEX('Holidays Calc'!$I$2:$I$233,AR326+2)=A326,INDEX('Holidays Calc'!$K$2:$K$233,AR326+2),""))</f>
        <v/>
      </c>
      <c r="Z326" t="str">
        <f ca="1">IF(AR326="","",IF(INDEX('Holidays Calc'!$I$2:$I$233,AR326+3)=A326,INDEX('Holidays Calc'!$K$2:$K$2333,AR326+3),""))</f>
        <v/>
      </c>
      <c r="AA326" t="str">
        <f>IF(I326="Last day of Bhisma Pancaka","",IF(G326="*",-0.7,IF(ISBLANK(INDEX(GCalXMLT[dclass1],$D326)),"",INDEX(GCalXMLT[dclass1],$D326))))</f>
        <v/>
      </c>
      <c r="AB326" t="str">
        <f>IF(J326="First day of Bhisma Pancaka","",IF(AND(G326="*",NOT(ISERROR(SEARCH("ekadasi",J326)))),-0.7,IF(ISBLANK(INDEX(GCalXMLT[dclass2],$D326)),"",INDEX(GCalXMLT[dclass2],$D326))))</f>
        <v/>
      </c>
      <c r="AC326" t="str">
        <f>IF(I326="Nandotsava",-1,IF(ISBLANK(INDEX(GCalXMLT[dclass3],$D326)),"",INDEX(GCalXMLT[dclass3],$D326)))</f>
        <v/>
      </c>
      <c r="AD326" t="str">
        <f>IF(I326="Nandotsava",IF(ISBLANK(INDEX(GCalXMLT[dclass3],$D326)),"",INDEX(GCalXMLT[dclass3],$D326)),IF(ISBLANK(INDEX(GCalXMLT[dclass4],$D326)),"",INDEX(GCalXMLT[dclass4],$D326)))</f>
        <v/>
      </c>
      <c r="AE326" t="str">
        <f>IFERROR(INDEX(Festivals!$V$2:$V$160,AP326),"")</f>
        <v/>
      </c>
      <c r="AF326" t="str">
        <f>IFERROR(IF($AQ326&gt;1,INDEX(Festivals!$V$2:$V$160,$AP326+1),""),"")</f>
        <v/>
      </c>
      <c r="AG326" t="str">
        <f>IFERROR(IF($AQ326&gt;2,INDEX(Festivals!$V$2:$V$160,$AP326+2),""),"")</f>
        <v/>
      </c>
      <c r="AH326" t="str">
        <f>IFERROR(IF($AQ326&gt;3,INDEX(Festivals!$V$2:$V$160,$AP326+3),""),"")</f>
        <v/>
      </c>
      <c r="AI326" t="str">
        <f>IFERROR(IF($AQ326&gt;4,INDEX(Festivals!$V$2:$V$160,$AP326+4),""),"")</f>
        <v/>
      </c>
      <c r="AJ326" t="str">
        <f>IFERROR(IF($AQ326&gt;5,INDEX(Festivals!$V$2:$V$160,$AP326+5),""),"")</f>
        <v/>
      </c>
      <c r="AK326" t="str">
        <f>IFERROR(IF($AQ326&gt;6,INDEX(Festivals!$V$2:$V$160,$AP326+6),""),"")</f>
        <v/>
      </c>
      <c r="AL326" t="str">
        <f ca="1">IFERROR(INDEX('Holidays Calc'!$J$2:$J$233,MATCH(A326,'Holidays Calc'!$I$2:$I$233,0)),"")</f>
        <v/>
      </c>
      <c r="AM326" t="str">
        <f ca="1">IF(AR326="","",IF(INDEX('Holidays Calc'!$I$2:$I$233,AR326+1)=A326,INDEX('Holidays Calc'!$J$2:$J$233,AR326+1),""))</f>
        <v/>
      </c>
      <c r="AN326" t="str">
        <f ca="1">IF(AR326="","",IF(INDEX('Holidays Calc'!$I$2:$I$233,AR326+2)=A326,INDEX('Holidays Calc'!$J$2:$J$233,AR326+2),""))</f>
        <v/>
      </c>
      <c r="AO326" t="str">
        <f ca="1">IF(AR326="","",IF(INDEX('Holidays Calc'!$I$2:$I$233,AR326+3)=A326,INDEX('Holidays Calc'!$J$2:$J$233,AR326+3),""))</f>
        <v/>
      </c>
      <c r="AP326" t="str">
        <f>IFERROR(IF($E326=E325,"",MATCH($E326,Festivals!$H$2:$H$160,0)),"")</f>
        <v/>
      </c>
      <c r="AQ326" t="str">
        <f>IF(AP326="","",COUNTIF(Festivals!$H$2:$H$160,$E326))</f>
        <v/>
      </c>
      <c r="AR326" t="str">
        <f ca="1">IFERROR(MATCH(A326,'Holidays Calc'!$I$2:$I$233,0),"")</f>
        <v/>
      </c>
      <c r="AS326" t="str">
        <f t="shared" si="39"/>
        <v/>
      </c>
      <c r="AT326" t="str">
        <f t="shared" si="38"/>
        <v/>
      </c>
      <c r="AU326" t="str">
        <f t="shared" ca="1" si="40"/>
        <v/>
      </c>
      <c r="AV326" t="str">
        <f t="shared" ca="1" si="41"/>
        <v/>
      </c>
    </row>
    <row r="327" spans="1:48" x14ac:dyDescent="0.25">
      <c r="A327" s="265">
        <f t="shared" si="37"/>
        <v>43753</v>
      </c>
      <c r="B327" s="265" t="str">
        <f t="shared" si="35"/>
        <v>15 Oct 2019</v>
      </c>
      <c r="C327" s="267">
        <f t="shared" si="36"/>
        <v>42</v>
      </c>
      <c r="D327">
        <f>MATCH(A327,GCalXMLT[daydate],0)</f>
        <v>326</v>
      </c>
      <c r="E327">
        <f>VALUE("1" &amp; Masacod(INDEX(GCalXMLT[gymasa],D327)) &amp; PaksaCod(INDEX(GCalXMLT[mpaksaid],D327)) &amp; TithiCod(INDEX(GCalXMLT[stithiname],D327)))</f>
        <v>108002</v>
      </c>
      <c r="F327" t="str">
        <f ca="1">INDEX(Parameters!$K$2:$K$16,MATCH(AV327,Parameters!$L$2:$L$16,0))</f>
        <v>C</v>
      </c>
      <c r="G327">
        <f>INDEX(GCalXMLT[fastmark],$D327)</f>
        <v>0</v>
      </c>
      <c r="H327" t="str">
        <f ca="1">INDEX(Parameters!$J$2:$J$16,MATCH(AV327,Parameters!$L$2:$L$16,0))</f>
        <v/>
      </c>
      <c r="I327">
        <f>INDEX(GCalXMLT[dfestival1],$D327)</f>
        <v>0</v>
      </c>
      <c r="J327">
        <f>IF(INDEX(GCalXMLT[dfestival2],$D327)="(Fast today)",INDEX(Festivals!$R$2:$R$180,MATCH($I327,Festivals!$R$2:$R$180,0)+1),INDEX(GCalXMLT[dfestival2],$D327))</f>
        <v>0</v>
      </c>
      <c r="K327">
        <f>IF(I327="Nandotsava","(Fast till noon)",INDEX(GCalXMLT[dfestival3],$D327))</f>
        <v>0</v>
      </c>
      <c r="L327">
        <f>IF(I327="Nandotsava", INDEX(GCalXMLT[dfestival3],$D327),INDEX(GCalXMLT[dfestival4],$D327))</f>
        <v>0</v>
      </c>
      <c r="M327" t="str">
        <f>IFERROR(INDEX(Festivals!$S$2:$S$160,AP327),"")</f>
        <v/>
      </c>
      <c r="N327" t="str">
        <f>IFERROR(IF($AQ327&gt;1,INDEX(Festivals!$S$2:$S$160,$AP327+1),""),"")</f>
        <v/>
      </c>
      <c r="O327" t="str">
        <f>IFERROR(IF($AQ327&gt;2,INDEX(Festivals!$S$2:$S$160,$AP327+2),""),"")</f>
        <v/>
      </c>
      <c r="P327" t="str">
        <f>IFERROR(IF($AQ327&gt;3,INDEX(Festivals!$S$2:$S$160,$AP327+3),""),"")</f>
        <v/>
      </c>
      <c r="Q327" t="str">
        <f>IFERROR(IF($AQ327&gt;4,INDEX(Festivals!$S$2:$S$160,$AP327+4),""),"")</f>
        <v/>
      </c>
      <c r="R327" t="str">
        <f>IFERROR(IF($AQ327&gt;5,INDEX(Festivals!$S$2:$S$160,$AP327+5),""),"")</f>
        <v/>
      </c>
      <c r="S327" t="str">
        <f>IFERROR(IF($AQ327&gt;6,INDEX(Festivals!$S$2:$S$160,$AP327+6),""),"")</f>
        <v/>
      </c>
      <c r="T327">
        <f>INDEX(GCalXMLT[dcaturmasya1],$D327)</f>
        <v>0</v>
      </c>
      <c r="U327">
        <f>INDEX(GCalXMLT[dcaturmasya2],$D327)</f>
        <v>0</v>
      </c>
      <c r="V327" t="str">
        <f>INDEX(GCalXMLT[sankrantirasi],$D327) &amp; " " &amp; INDEX(GCalXMLT[sankrantitime],$D327)</f>
        <v xml:space="preserve"> </v>
      </c>
      <c r="W327" t="str">
        <f ca="1">IFERROR(INDEX('Holidays Calc'!$K$2:$K$233,AR327),"")</f>
        <v>Dia do Professor</v>
      </c>
      <c r="X327" t="str">
        <f ca="1">IF(AR327="","",IF(INDEX('Holidays Calc'!$I$2:$I$233,AR327+1)=A327,INDEX('Holidays Calc'!$K$2:$K$233,AR327+1),""))</f>
        <v/>
      </c>
      <c r="Y327" t="str">
        <f ca="1">IF(AR327="","",IF(INDEX('Holidays Calc'!$I$2:$I$233,AR327+2)=A327,INDEX('Holidays Calc'!$K$2:$K$233,AR327+2),""))</f>
        <v/>
      </c>
      <c r="Z327" t="str">
        <f ca="1">IF(AR327="","",IF(INDEX('Holidays Calc'!$I$2:$I$233,AR327+3)=A327,INDEX('Holidays Calc'!$K$2:$K$2333,AR327+3),""))</f>
        <v/>
      </c>
      <c r="AA327" t="str">
        <f>IF(I327="Last day of Bhisma Pancaka","",IF(G327="*",-0.7,IF(ISBLANK(INDEX(GCalXMLT[dclass1],$D327)),"",INDEX(GCalXMLT[dclass1],$D327))))</f>
        <v/>
      </c>
      <c r="AB327" t="str">
        <f>IF(J327="First day of Bhisma Pancaka","",IF(AND(G327="*",NOT(ISERROR(SEARCH("ekadasi",J327)))),-0.7,IF(ISBLANK(INDEX(GCalXMLT[dclass2],$D327)),"",INDEX(GCalXMLT[dclass2],$D327))))</f>
        <v/>
      </c>
      <c r="AC327" t="str">
        <f>IF(I327="Nandotsava",-1,IF(ISBLANK(INDEX(GCalXMLT[dclass3],$D327)),"",INDEX(GCalXMLT[dclass3],$D327)))</f>
        <v/>
      </c>
      <c r="AD327" t="str">
        <f>IF(I327="Nandotsava",IF(ISBLANK(INDEX(GCalXMLT[dclass3],$D327)),"",INDEX(GCalXMLT[dclass3],$D327)),IF(ISBLANK(INDEX(GCalXMLT[dclass4],$D327)),"",INDEX(GCalXMLT[dclass4],$D327)))</f>
        <v/>
      </c>
      <c r="AE327" t="str">
        <f>IFERROR(INDEX(Festivals!$V$2:$V$160,AP327),"")</f>
        <v/>
      </c>
      <c r="AF327" t="str">
        <f>IFERROR(IF($AQ327&gt;1,INDEX(Festivals!$V$2:$V$160,$AP327+1),""),"")</f>
        <v/>
      </c>
      <c r="AG327" t="str">
        <f>IFERROR(IF($AQ327&gt;2,INDEX(Festivals!$V$2:$V$160,$AP327+2),""),"")</f>
        <v/>
      </c>
      <c r="AH327" t="str">
        <f>IFERROR(IF($AQ327&gt;3,INDEX(Festivals!$V$2:$V$160,$AP327+3),""),"")</f>
        <v/>
      </c>
      <c r="AI327" t="str">
        <f>IFERROR(IF($AQ327&gt;4,INDEX(Festivals!$V$2:$V$160,$AP327+4),""),"")</f>
        <v/>
      </c>
      <c r="AJ327" t="str">
        <f>IFERROR(IF($AQ327&gt;5,INDEX(Festivals!$V$2:$V$160,$AP327+5),""),"")</f>
        <v/>
      </c>
      <c r="AK327" t="str">
        <f>IFERROR(IF($AQ327&gt;6,INDEX(Festivals!$V$2:$V$160,$AP327+6),""),"")</f>
        <v/>
      </c>
      <c r="AL327">
        <f ca="1">IFERROR(INDEX('Holidays Calc'!$J$2:$J$233,MATCH(A327,'Holidays Calc'!$I$2:$I$233,0)),"")</f>
        <v>0.5</v>
      </c>
      <c r="AM327" t="str">
        <f ca="1">IF(AR327="","",IF(INDEX('Holidays Calc'!$I$2:$I$233,AR327+1)=A327,INDEX('Holidays Calc'!$J$2:$J$233,AR327+1),""))</f>
        <v/>
      </c>
      <c r="AN327" t="str">
        <f ca="1">IF(AR327="","",IF(INDEX('Holidays Calc'!$I$2:$I$233,AR327+2)=A327,INDEX('Holidays Calc'!$J$2:$J$233,AR327+2),""))</f>
        <v/>
      </c>
      <c r="AO327" t="str">
        <f ca="1">IF(AR327="","",IF(INDEX('Holidays Calc'!$I$2:$I$233,AR327+3)=A327,INDEX('Holidays Calc'!$J$2:$J$233,AR327+3),""))</f>
        <v/>
      </c>
      <c r="AP327" t="str">
        <f>IFERROR(IF($E327=E326,"",MATCH($E327,Festivals!$H$2:$H$160,0)),"")</f>
        <v/>
      </c>
      <c r="AQ327" t="str">
        <f>IF(AP327="","",COUNTIF(Festivals!$H$2:$H$160,$E327))</f>
        <v/>
      </c>
      <c r="AR327">
        <f ca="1">IFERROR(MATCH(A327,'Holidays Calc'!$I$2:$I$233,0),"")</f>
        <v>63</v>
      </c>
      <c r="AS327" t="str">
        <f t="shared" si="39"/>
        <v/>
      </c>
      <c r="AT327" t="str">
        <f t="shared" si="38"/>
        <v/>
      </c>
      <c r="AU327">
        <f t="shared" ca="1" si="40"/>
        <v>0.5</v>
      </c>
      <c r="AV327">
        <f t="shared" ca="1" si="41"/>
        <v>0.5</v>
      </c>
    </row>
    <row r="328" spans="1:48" x14ac:dyDescent="0.25">
      <c r="A328" s="265">
        <f t="shared" si="37"/>
        <v>43754</v>
      </c>
      <c r="B328" s="265" t="str">
        <f t="shared" si="35"/>
        <v>16 Oct 2019</v>
      </c>
      <c r="C328" s="267">
        <f t="shared" si="36"/>
        <v>42</v>
      </c>
      <c r="D328">
        <f>MATCH(A328,GCalXMLT[daydate],0)</f>
        <v>327</v>
      </c>
      <c r="E328">
        <f>VALUE("1" &amp; Masacod(INDEX(GCalXMLT[gymasa],D328)) &amp; PaksaCod(INDEX(GCalXMLT[mpaksaid],D328)) &amp; TithiCod(INDEX(GCalXMLT[stithiname],D328)))</f>
        <v>108003</v>
      </c>
      <c r="F328" t="str">
        <f ca="1">INDEX(Parameters!$K$2:$K$16,MATCH(AV328,Parameters!$L$2:$L$16,0))</f>
        <v/>
      </c>
      <c r="G328">
        <f>INDEX(GCalXMLT[fastmark],$D328)</f>
        <v>0</v>
      </c>
      <c r="H328" t="str">
        <f ca="1">INDEX(Parameters!$J$2:$J$16,MATCH(AV328,Parameters!$L$2:$L$16,0))</f>
        <v/>
      </c>
      <c r="I328">
        <f>INDEX(GCalXMLT[dfestival1],$D328)</f>
        <v>0</v>
      </c>
      <c r="J328">
        <f>IF(INDEX(GCalXMLT[dfestival2],$D328)="(Fast today)",INDEX(Festivals!$R$2:$R$180,MATCH($I328,Festivals!$R$2:$R$180,0)+1),INDEX(GCalXMLT[dfestival2],$D328))</f>
        <v>0</v>
      </c>
      <c r="K328">
        <f>IF(I328="Nandotsava","(Fast till noon)",INDEX(GCalXMLT[dfestival3],$D328))</f>
        <v>0</v>
      </c>
      <c r="L328">
        <f>IF(I328="Nandotsava", INDEX(GCalXMLT[dfestival3],$D328),INDEX(GCalXMLT[dfestival4],$D328))</f>
        <v>0</v>
      </c>
      <c r="M328" t="str">
        <f>IFERROR(INDEX(Festivals!$S$2:$S$160,AP328),"")</f>
        <v/>
      </c>
      <c r="N328" t="str">
        <f>IFERROR(IF($AQ328&gt;1,INDEX(Festivals!$S$2:$S$160,$AP328+1),""),"")</f>
        <v/>
      </c>
      <c r="O328" t="str">
        <f>IFERROR(IF($AQ328&gt;2,INDEX(Festivals!$S$2:$S$160,$AP328+2),""),"")</f>
        <v/>
      </c>
      <c r="P328" t="str">
        <f>IFERROR(IF($AQ328&gt;3,INDEX(Festivals!$S$2:$S$160,$AP328+3),""),"")</f>
        <v/>
      </c>
      <c r="Q328" t="str">
        <f>IFERROR(IF($AQ328&gt;4,INDEX(Festivals!$S$2:$S$160,$AP328+4),""),"")</f>
        <v/>
      </c>
      <c r="R328" t="str">
        <f>IFERROR(IF($AQ328&gt;5,INDEX(Festivals!$S$2:$S$160,$AP328+5),""),"")</f>
        <v/>
      </c>
      <c r="S328" t="str">
        <f>IFERROR(IF($AQ328&gt;6,INDEX(Festivals!$S$2:$S$160,$AP328+6),""),"")</f>
        <v/>
      </c>
      <c r="T328">
        <f>INDEX(GCalXMLT[dcaturmasya1],$D328)</f>
        <v>0</v>
      </c>
      <c r="U328">
        <f>INDEX(GCalXMLT[dcaturmasya2],$D328)</f>
        <v>0</v>
      </c>
      <c r="V328" t="str">
        <f>INDEX(GCalXMLT[sankrantirasi],$D328) &amp; " " &amp; INDEX(GCalXMLT[sankrantitime],$D328)</f>
        <v xml:space="preserve"> </v>
      </c>
      <c r="W328" t="str">
        <f ca="1">IFERROR(INDEX('Holidays Calc'!$K$2:$K$233,AR328),"")</f>
        <v/>
      </c>
      <c r="X328" t="str">
        <f ca="1">IF(AR328="","",IF(INDEX('Holidays Calc'!$I$2:$I$233,AR328+1)=A328,INDEX('Holidays Calc'!$K$2:$K$233,AR328+1),""))</f>
        <v/>
      </c>
      <c r="Y328" t="str">
        <f ca="1">IF(AR328="","",IF(INDEX('Holidays Calc'!$I$2:$I$233,AR328+2)=A328,INDEX('Holidays Calc'!$K$2:$K$233,AR328+2),""))</f>
        <v/>
      </c>
      <c r="Z328" t="str">
        <f ca="1">IF(AR328="","",IF(INDEX('Holidays Calc'!$I$2:$I$233,AR328+3)=A328,INDEX('Holidays Calc'!$K$2:$K$2333,AR328+3),""))</f>
        <v/>
      </c>
      <c r="AA328" t="str">
        <f>IF(I328="Last day of Bhisma Pancaka","",IF(G328="*",-0.7,IF(ISBLANK(INDEX(GCalXMLT[dclass1],$D328)),"",INDEX(GCalXMLT[dclass1],$D328))))</f>
        <v/>
      </c>
      <c r="AB328" t="str">
        <f>IF(J328="First day of Bhisma Pancaka","",IF(AND(G328="*",NOT(ISERROR(SEARCH("ekadasi",J328)))),-0.7,IF(ISBLANK(INDEX(GCalXMLT[dclass2],$D328)),"",INDEX(GCalXMLT[dclass2],$D328))))</f>
        <v/>
      </c>
      <c r="AC328" t="str">
        <f>IF(I328="Nandotsava",-1,IF(ISBLANK(INDEX(GCalXMLT[dclass3],$D328)),"",INDEX(GCalXMLT[dclass3],$D328)))</f>
        <v/>
      </c>
      <c r="AD328" t="str">
        <f>IF(I328="Nandotsava",IF(ISBLANK(INDEX(GCalXMLT[dclass3],$D328)),"",INDEX(GCalXMLT[dclass3],$D328)),IF(ISBLANK(INDEX(GCalXMLT[dclass4],$D328)),"",INDEX(GCalXMLT[dclass4],$D328)))</f>
        <v/>
      </c>
      <c r="AE328" t="str">
        <f>IFERROR(INDEX(Festivals!$V$2:$V$160,AP328),"")</f>
        <v/>
      </c>
      <c r="AF328" t="str">
        <f>IFERROR(IF($AQ328&gt;1,INDEX(Festivals!$V$2:$V$160,$AP328+1),""),"")</f>
        <v/>
      </c>
      <c r="AG328" t="str">
        <f>IFERROR(IF($AQ328&gt;2,INDEX(Festivals!$V$2:$V$160,$AP328+2),""),"")</f>
        <v/>
      </c>
      <c r="AH328" t="str">
        <f>IFERROR(IF($AQ328&gt;3,INDEX(Festivals!$V$2:$V$160,$AP328+3),""),"")</f>
        <v/>
      </c>
      <c r="AI328" t="str">
        <f>IFERROR(IF($AQ328&gt;4,INDEX(Festivals!$V$2:$V$160,$AP328+4),""),"")</f>
        <v/>
      </c>
      <c r="AJ328" t="str">
        <f>IFERROR(IF($AQ328&gt;5,INDEX(Festivals!$V$2:$V$160,$AP328+5),""),"")</f>
        <v/>
      </c>
      <c r="AK328" t="str">
        <f>IFERROR(IF($AQ328&gt;6,INDEX(Festivals!$V$2:$V$160,$AP328+6),""),"")</f>
        <v/>
      </c>
      <c r="AL328" t="str">
        <f ca="1">IFERROR(INDEX('Holidays Calc'!$J$2:$J$233,MATCH(A328,'Holidays Calc'!$I$2:$I$233,0)),"")</f>
        <v/>
      </c>
      <c r="AM328" t="str">
        <f ca="1">IF(AR328="","",IF(INDEX('Holidays Calc'!$I$2:$I$233,AR328+1)=A328,INDEX('Holidays Calc'!$J$2:$J$233,AR328+1),""))</f>
        <v/>
      </c>
      <c r="AN328" t="str">
        <f ca="1">IF(AR328="","",IF(INDEX('Holidays Calc'!$I$2:$I$233,AR328+2)=A328,INDEX('Holidays Calc'!$J$2:$J$233,AR328+2),""))</f>
        <v/>
      </c>
      <c r="AO328" t="str">
        <f ca="1">IF(AR328="","",IF(INDEX('Holidays Calc'!$I$2:$I$233,AR328+3)=A328,INDEX('Holidays Calc'!$J$2:$J$233,AR328+3),""))</f>
        <v/>
      </c>
      <c r="AP328" t="str">
        <f>IFERROR(IF($E328=E327,"",MATCH($E328,Festivals!$H$2:$H$160,0)),"")</f>
        <v/>
      </c>
      <c r="AQ328" t="str">
        <f>IF(AP328="","",COUNTIF(Festivals!$H$2:$H$160,$E328))</f>
        <v/>
      </c>
      <c r="AR328" t="str">
        <f ca="1">IFERROR(MATCH(A328,'Holidays Calc'!$I$2:$I$233,0),"")</f>
        <v/>
      </c>
      <c r="AS328" t="str">
        <f t="shared" si="39"/>
        <v/>
      </c>
      <c r="AT328" t="str">
        <f t="shared" si="38"/>
        <v/>
      </c>
      <c r="AU328" t="str">
        <f t="shared" ca="1" si="40"/>
        <v/>
      </c>
      <c r="AV328" t="str">
        <f t="shared" ca="1" si="41"/>
        <v/>
      </c>
    </row>
    <row r="329" spans="1:48" x14ac:dyDescent="0.25">
      <c r="A329" s="265">
        <f t="shared" si="37"/>
        <v>43755</v>
      </c>
      <c r="B329" s="265" t="str">
        <f t="shared" si="35"/>
        <v>17 Oct 2019</v>
      </c>
      <c r="C329" s="267">
        <f t="shared" si="36"/>
        <v>42</v>
      </c>
      <c r="D329">
        <f>MATCH(A329,GCalXMLT[daydate],0)</f>
        <v>328</v>
      </c>
      <c r="E329">
        <f>VALUE("1" &amp; Masacod(INDEX(GCalXMLT[gymasa],D329)) &amp; PaksaCod(INDEX(GCalXMLT[mpaksaid],D329)) &amp; TithiCod(INDEX(GCalXMLT[stithiname],D329)))</f>
        <v>108004</v>
      </c>
      <c r="F329" t="str">
        <f ca="1">INDEX(Parameters!$K$2:$K$16,MATCH(AV329,Parameters!$L$2:$L$16,0))</f>
        <v/>
      </c>
      <c r="G329">
        <f>INDEX(GCalXMLT[fastmark],$D329)</f>
        <v>0</v>
      </c>
      <c r="H329" t="str">
        <f ca="1">INDEX(Parameters!$J$2:$J$16,MATCH(AV329,Parameters!$L$2:$L$16,0))</f>
        <v/>
      </c>
      <c r="I329">
        <f>INDEX(GCalXMLT[dfestival1],$D329)</f>
        <v>0</v>
      </c>
      <c r="J329">
        <f>IF(INDEX(GCalXMLT[dfestival2],$D329)="(Fast today)",INDEX(Festivals!$R$2:$R$180,MATCH($I329,Festivals!$R$2:$R$180,0)+1),INDEX(GCalXMLT[dfestival2],$D329))</f>
        <v>0</v>
      </c>
      <c r="K329">
        <f>IF(I329="Nandotsava","(Fast till noon)",INDEX(GCalXMLT[dfestival3],$D329))</f>
        <v>0</v>
      </c>
      <c r="L329">
        <f>IF(I329="Nandotsava", INDEX(GCalXMLT[dfestival3],$D329),INDEX(GCalXMLT[dfestival4],$D329))</f>
        <v>0</v>
      </c>
      <c r="M329" t="str">
        <f>IFERROR(INDEX(Festivals!$S$2:$S$160,AP329),"")</f>
        <v/>
      </c>
      <c r="N329" t="str">
        <f>IFERROR(IF($AQ329&gt;1,INDEX(Festivals!$S$2:$S$160,$AP329+1),""),"")</f>
        <v/>
      </c>
      <c r="O329" t="str">
        <f>IFERROR(IF($AQ329&gt;2,INDEX(Festivals!$S$2:$S$160,$AP329+2),""),"")</f>
        <v/>
      </c>
      <c r="P329" t="str">
        <f>IFERROR(IF($AQ329&gt;3,INDEX(Festivals!$S$2:$S$160,$AP329+3),""),"")</f>
        <v/>
      </c>
      <c r="Q329" t="str">
        <f>IFERROR(IF($AQ329&gt;4,INDEX(Festivals!$S$2:$S$160,$AP329+4),""),"")</f>
        <v/>
      </c>
      <c r="R329" t="str">
        <f>IFERROR(IF($AQ329&gt;5,INDEX(Festivals!$S$2:$S$160,$AP329+5),""),"")</f>
        <v/>
      </c>
      <c r="S329" t="str">
        <f>IFERROR(IF($AQ329&gt;6,INDEX(Festivals!$S$2:$S$160,$AP329+6),""),"")</f>
        <v/>
      </c>
      <c r="T329">
        <f>INDEX(GCalXMLT[dcaturmasya1],$D329)</f>
        <v>0</v>
      </c>
      <c r="U329">
        <f>INDEX(GCalXMLT[dcaturmasya2],$D329)</f>
        <v>0</v>
      </c>
      <c r="V329" t="str">
        <f>INDEX(GCalXMLT[sankrantirasi],$D329) &amp; " " &amp; INDEX(GCalXMLT[sankrantitime],$D329)</f>
        <v xml:space="preserve"> </v>
      </c>
      <c r="W329" t="str">
        <f ca="1">IFERROR(INDEX('Holidays Calc'!$K$2:$K$233,AR329),"")</f>
        <v/>
      </c>
      <c r="X329" t="str">
        <f ca="1">IF(AR329="","",IF(INDEX('Holidays Calc'!$I$2:$I$233,AR329+1)=A329,INDEX('Holidays Calc'!$K$2:$K$233,AR329+1),""))</f>
        <v/>
      </c>
      <c r="Y329" t="str">
        <f ca="1">IF(AR329="","",IF(INDEX('Holidays Calc'!$I$2:$I$233,AR329+2)=A329,INDEX('Holidays Calc'!$K$2:$K$233,AR329+2),""))</f>
        <v/>
      </c>
      <c r="Z329" t="str">
        <f ca="1">IF(AR329="","",IF(INDEX('Holidays Calc'!$I$2:$I$233,AR329+3)=A329,INDEX('Holidays Calc'!$K$2:$K$2333,AR329+3),""))</f>
        <v/>
      </c>
      <c r="AA329" t="str">
        <f>IF(I329="Last day of Bhisma Pancaka","",IF(G329="*",-0.7,IF(ISBLANK(INDEX(GCalXMLT[dclass1],$D329)),"",INDEX(GCalXMLT[dclass1],$D329))))</f>
        <v/>
      </c>
      <c r="AB329" t="str">
        <f>IF(J329="First day of Bhisma Pancaka","",IF(AND(G329="*",NOT(ISERROR(SEARCH("ekadasi",J329)))),-0.7,IF(ISBLANK(INDEX(GCalXMLT[dclass2],$D329)),"",INDEX(GCalXMLT[dclass2],$D329))))</f>
        <v/>
      </c>
      <c r="AC329" t="str">
        <f>IF(I329="Nandotsava",-1,IF(ISBLANK(INDEX(GCalXMLT[dclass3],$D329)),"",INDEX(GCalXMLT[dclass3],$D329)))</f>
        <v/>
      </c>
      <c r="AD329" t="str">
        <f>IF(I329="Nandotsava",IF(ISBLANK(INDEX(GCalXMLT[dclass3],$D329)),"",INDEX(GCalXMLT[dclass3],$D329)),IF(ISBLANK(INDEX(GCalXMLT[dclass4],$D329)),"",INDEX(GCalXMLT[dclass4],$D329)))</f>
        <v/>
      </c>
      <c r="AE329" t="str">
        <f>IFERROR(INDEX(Festivals!$V$2:$V$160,AP329),"")</f>
        <v/>
      </c>
      <c r="AF329" t="str">
        <f>IFERROR(IF($AQ329&gt;1,INDEX(Festivals!$V$2:$V$160,$AP329+1),""),"")</f>
        <v/>
      </c>
      <c r="AG329" t="str">
        <f>IFERROR(IF($AQ329&gt;2,INDEX(Festivals!$V$2:$V$160,$AP329+2),""),"")</f>
        <v/>
      </c>
      <c r="AH329" t="str">
        <f>IFERROR(IF($AQ329&gt;3,INDEX(Festivals!$V$2:$V$160,$AP329+3),""),"")</f>
        <v/>
      </c>
      <c r="AI329" t="str">
        <f>IFERROR(IF($AQ329&gt;4,INDEX(Festivals!$V$2:$V$160,$AP329+4),""),"")</f>
        <v/>
      </c>
      <c r="AJ329" t="str">
        <f>IFERROR(IF($AQ329&gt;5,INDEX(Festivals!$V$2:$V$160,$AP329+5),""),"")</f>
        <v/>
      </c>
      <c r="AK329" t="str">
        <f>IFERROR(IF($AQ329&gt;6,INDEX(Festivals!$V$2:$V$160,$AP329+6),""),"")</f>
        <v/>
      </c>
      <c r="AL329" t="str">
        <f ca="1">IFERROR(INDEX('Holidays Calc'!$J$2:$J$233,MATCH(A329,'Holidays Calc'!$I$2:$I$233,0)),"")</f>
        <v/>
      </c>
      <c r="AM329" t="str">
        <f ca="1">IF(AR329="","",IF(INDEX('Holidays Calc'!$I$2:$I$233,AR329+1)=A329,INDEX('Holidays Calc'!$J$2:$J$233,AR329+1),""))</f>
        <v/>
      </c>
      <c r="AN329" t="str">
        <f ca="1">IF(AR329="","",IF(INDEX('Holidays Calc'!$I$2:$I$233,AR329+2)=A329,INDEX('Holidays Calc'!$J$2:$J$233,AR329+2),""))</f>
        <v/>
      </c>
      <c r="AO329" t="str">
        <f ca="1">IF(AR329="","",IF(INDEX('Holidays Calc'!$I$2:$I$233,AR329+3)=A329,INDEX('Holidays Calc'!$J$2:$J$233,AR329+3),""))</f>
        <v/>
      </c>
      <c r="AP329" t="str">
        <f>IFERROR(IF($E329=E328,"",MATCH($E329,Festivals!$H$2:$H$160,0)),"")</f>
        <v/>
      </c>
      <c r="AQ329" t="str">
        <f>IF(AP329="","",COUNTIF(Festivals!$H$2:$H$160,$E329))</f>
        <v/>
      </c>
      <c r="AR329" t="str">
        <f ca="1">IFERROR(MATCH(A329,'Holidays Calc'!$I$2:$I$233,0),"")</f>
        <v/>
      </c>
      <c r="AS329" t="str">
        <f t="shared" si="39"/>
        <v/>
      </c>
      <c r="AT329" t="str">
        <f t="shared" si="38"/>
        <v/>
      </c>
      <c r="AU329" t="str">
        <f t="shared" ca="1" si="40"/>
        <v/>
      </c>
      <c r="AV329" t="str">
        <f t="shared" ca="1" si="41"/>
        <v/>
      </c>
    </row>
    <row r="330" spans="1:48" x14ac:dyDescent="0.25">
      <c r="A330" s="265">
        <f t="shared" si="37"/>
        <v>43756</v>
      </c>
      <c r="B330" s="265" t="str">
        <f t="shared" si="35"/>
        <v>18 Oct 2019</v>
      </c>
      <c r="C330" s="267">
        <f t="shared" si="36"/>
        <v>42</v>
      </c>
      <c r="D330">
        <f>MATCH(A330,GCalXMLT[daydate],0)</f>
        <v>329</v>
      </c>
      <c r="E330">
        <f>VALUE("1" &amp; Masacod(INDEX(GCalXMLT[gymasa],D330)) &amp; PaksaCod(INDEX(GCalXMLT[mpaksaid],D330)) &amp; TithiCod(INDEX(GCalXMLT[stithiname],D330)))</f>
        <v>108005</v>
      </c>
      <c r="F330" t="str">
        <f ca="1">INDEX(Parameters!$K$2:$K$16,MATCH(AV330,Parameters!$L$2:$L$16,0))</f>
        <v>C</v>
      </c>
      <c r="G330">
        <f>INDEX(GCalXMLT[fastmark],$D330)</f>
        <v>0</v>
      </c>
      <c r="H330" t="str">
        <f ca="1">INDEX(Parameters!$J$2:$J$16,MATCH(AV330,Parameters!$L$2:$L$16,0))</f>
        <v/>
      </c>
      <c r="I330">
        <f>INDEX(GCalXMLT[dfestival1],$D330)</f>
        <v>0</v>
      </c>
      <c r="J330">
        <f>IF(INDEX(GCalXMLT[dfestival2],$D330)="(Fast today)",INDEX(Festivals!$R$2:$R$180,MATCH($I330,Festivals!$R$2:$R$180,0)+1),INDEX(GCalXMLT[dfestival2],$D330))</f>
        <v>0</v>
      </c>
      <c r="K330">
        <f>IF(I330="Nandotsava","(Fast till noon)",INDEX(GCalXMLT[dfestival3],$D330))</f>
        <v>0</v>
      </c>
      <c r="L330">
        <f>IF(I330="Nandotsava", INDEX(GCalXMLT[dfestival3],$D330),INDEX(GCalXMLT[dfestival4],$D330))</f>
        <v>0</v>
      </c>
      <c r="M330" t="str">
        <f>IFERROR(INDEX(Festivals!$S$2:$S$160,AP330),"")</f>
        <v>Srila Narottama Dasa Thakura - Disappearance</v>
      </c>
      <c r="N330" t="str">
        <f>IFERROR(IF($AQ330&gt;1,INDEX(Festivals!$S$2:$S$160,$AP330+1),""),"")</f>
        <v/>
      </c>
      <c r="O330" t="str">
        <f>IFERROR(IF($AQ330&gt;2,INDEX(Festivals!$S$2:$S$160,$AP330+2),""),"")</f>
        <v/>
      </c>
      <c r="P330" t="str">
        <f>IFERROR(IF($AQ330&gt;3,INDEX(Festivals!$S$2:$S$160,$AP330+3),""),"")</f>
        <v/>
      </c>
      <c r="Q330" t="str">
        <f>IFERROR(IF($AQ330&gt;4,INDEX(Festivals!$S$2:$S$160,$AP330+4),""),"")</f>
        <v/>
      </c>
      <c r="R330" t="str">
        <f>IFERROR(IF($AQ330&gt;5,INDEX(Festivals!$S$2:$S$160,$AP330+5),""),"")</f>
        <v/>
      </c>
      <c r="S330" t="str">
        <f>IFERROR(IF($AQ330&gt;6,INDEX(Festivals!$S$2:$S$160,$AP330+6),""),"")</f>
        <v/>
      </c>
      <c r="T330">
        <f>INDEX(GCalXMLT[dcaturmasya1],$D330)</f>
        <v>0</v>
      </c>
      <c r="U330">
        <f>INDEX(GCalXMLT[dcaturmasya2],$D330)</f>
        <v>0</v>
      </c>
      <c r="V330" t="str">
        <f>INDEX(GCalXMLT[sankrantirasi],$D330) &amp; " " &amp; INDEX(GCalXMLT[sankrantitime],$D330)</f>
        <v>Tula 0,679363425925926</v>
      </c>
      <c r="W330" t="str">
        <f ca="1">IFERROR(INDEX('Holidays Calc'!$K$2:$K$233,AR330),"")</f>
        <v/>
      </c>
      <c r="X330" t="str">
        <f ca="1">IF(AR330="","",IF(INDEX('Holidays Calc'!$I$2:$I$233,AR330+1)=A330,INDEX('Holidays Calc'!$K$2:$K$233,AR330+1),""))</f>
        <v/>
      </c>
      <c r="Y330" t="str">
        <f ca="1">IF(AR330="","",IF(INDEX('Holidays Calc'!$I$2:$I$233,AR330+2)=A330,INDEX('Holidays Calc'!$K$2:$K$233,AR330+2),""))</f>
        <v/>
      </c>
      <c r="Z330" t="str">
        <f ca="1">IF(AR330="","",IF(INDEX('Holidays Calc'!$I$2:$I$233,AR330+3)=A330,INDEX('Holidays Calc'!$K$2:$K$2333,AR330+3),""))</f>
        <v/>
      </c>
      <c r="AA330" t="str">
        <f>IF(I330="Last day of Bhisma Pancaka","",IF(G330="*",-0.7,IF(ISBLANK(INDEX(GCalXMLT[dclass1],$D330)),"",INDEX(GCalXMLT[dclass1],$D330))))</f>
        <v/>
      </c>
      <c r="AB330" t="str">
        <f>IF(J330="First day of Bhisma Pancaka","",IF(AND(G330="*",NOT(ISERROR(SEARCH("ekadasi",J330)))),-0.7,IF(ISBLANK(INDEX(GCalXMLT[dclass2],$D330)),"",INDEX(GCalXMLT[dclass2],$D330))))</f>
        <v/>
      </c>
      <c r="AC330" t="str">
        <f>IF(I330="Nandotsava",-1,IF(ISBLANK(INDEX(GCalXMLT[dclass3],$D330)),"",INDEX(GCalXMLT[dclass3],$D330)))</f>
        <v/>
      </c>
      <c r="AD330" t="str">
        <f>IF(I330="Nandotsava",IF(ISBLANK(INDEX(GCalXMLT[dclass3],$D330)),"",INDEX(GCalXMLT[dclass3],$D330)),IF(ISBLANK(INDEX(GCalXMLT[dclass4],$D330)),"",INDEX(GCalXMLT[dclass4],$D330)))</f>
        <v/>
      </c>
      <c r="AE330">
        <f>IFERROR(INDEX(Festivals!$V$2:$V$160,AP330),"")</f>
        <v>3</v>
      </c>
      <c r="AF330" t="str">
        <f>IFERROR(IF($AQ330&gt;1,INDEX(Festivals!$V$2:$V$160,$AP330+1),""),"")</f>
        <v/>
      </c>
      <c r="AG330" t="str">
        <f>IFERROR(IF($AQ330&gt;2,INDEX(Festivals!$V$2:$V$160,$AP330+2),""),"")</f>
        <v/>
      </c>
      <c r="AH330" t="str">
        <f>IFERROR(IF($AQ330&gt;3,INDEX(Festivals!$V$2:$V$160,$AP330+3),""),"")</f>
        <v/>
      </c>
      <c r="AI330" t="str">
        <f>IFERROR(IF($AQ330&gt;4,INDEX(Festivals!$V$2:$V$160,$AP330+4),""),"")</f>
        <v/>
      </c>
      <c r="AJ330" t="str">
        <f>IFERROR(IF($AQ330&gt;5,INDEX(Festivals!$V$2:$V$160,$AP330+5),""),"")</f>
        <v/>
      </c>
      <c r="AK330" t="str">
        <f>IFERROR(IF($AQ330&gt;6,INDEX(Festivals!$V$2:$V$160,$AP330+6),""),"")</f>
        <v/>
      </c>
      <c r="AL330" t="str">
        <f ca="1">IFERROR(INDEX('Holidays Calc'!$J$2:$J$233,MATCH(A330,'Holidays Calc'!$I$2:$I$233,0)),"")</f>
        <v/>
      </c>
      <c r="AM330" t="str">
        <f ca="1">IF(AR330="","",IF(INDEX('Holidays Calc'!$I$2:$I$233,AR330+1)=A330,INDEX('Holidays Calc'!$J$2:$J$233,AR330+1),""))</f>
        <v/>
      </c>
      <c r="AN330" t="str">
        <f ca="1">IF(AR330="","",IF(INDEX('Holidays Calc'!$I$2:$I$233,AR330+2)=A330,INDEX('Holidays Calc'!$J$2:$J$233,AR330+2),""))</f>
        <v/>
      </c>
      <c r="AO330" t="str">
        <f ca="1">IF(AR330="","",IF(INDEX('Holidays Calc'!$I$2:$I$233,AR330+3)=A330,INDEX('Holidays Calc'!$J$2:$J$233,AR330+3),""))</f>
        <v/>
      </c>
      <c r="AP330">
        <f>IFERROR(IF($E330=E329,"",MATCH($E330,Festivals!$H$2:$H$160,0)),"")</f>
        <v>85</v>
      </c>
      <c r="AQ330">
        <f>IF(AP330="","",COUNTIF(Festivals!$H$2:$H$160,$E330))</f>
        <v>1</v>
      </c>
      <c r="AR330" t="str">
        <f ca="1">IFERROR(MATCH(A330,'Holidays Calc'!$I$2:$I$233,0),"")</f>
        <v/>
      </c>
      <c r="AS330">
        <f t="shared" si="39"/>
        <v>3</v>
      </c>
      <c r="AT330">
        <f t="shared" si="38"/>
        <v>3</v>
      </c>
      <c r="AU330" t="str">
        <f t="shared" ca="1" si="40"/>
        <v/>
      </c>
      <c r="AV330">
        <f t="shared" ca="1" si="41"/>
        <v>3</v>
      </c>
    </row>
    <row r="331" spans="1:48" x14ac:dyDescent="0.25">
      <c r="A331" s="265">
        <f t="shared" si="37"/>
        <v>43757</v>
      </c>
      <c r="B331" s="265" t="str">
        <f t="shared" si="35"/>
        <v>19 Oct 2019</v>
      </c>
      <c r="C331" s="267">
        <f t="shared" si="36"/>
        <v>42</v>
      </c>
      <c r="D331">
        <f>MATCH(A331,GCalXMLT[daydate],0)</f>
        <v>330</v>
      </c>
      <c r="E331">
        <f>VALUE("1" &amp; Masacod(INDEX(GCalXMLT[gymasa],D331)) &amp; PaksaCod(INDEX(GCalXMLT[mpaksaid],D331)) &amp; TithiCod(INDEX(GCalXMLT[stithiname],D331)))</f>
        <v>108006</v>
      </c>
      <c r="F331" t="str">
        <f ca="1">INDEX(Parameters!$K$2:$K$16,MATCH(AV331,Parameters!$L$2:$L$16,0))</f>
        <v/>
      </c>
      <c r="G331">
        <f>INDEX(GCalXMLT[fastmark],$D331)</f>
        <v>0</v>
      </c>
      <c r="H331" t="str">
        <f ca="1">INDEX(Parameters!$J$2:$J$16,MATCH(AV331,Parameters!$L$2:$L$16,0))</f>
        <v/>
      </c>
      <c r="I331">
        <f>INDEX(GCalXMLT[dfestival1],$D331)</f>
        <v>0</v>
      </c>
      <c r="J331">
        <f>IF(INDEX(GCalXMLT[dfestival2],$D331)="(Fast today)",INDEX(Festivals!$R$2:$R$180,MATCH($I331,Festivals!$R$2:$R$180,0)+1),INDEX(GCalXMLT[dfestival2],$D331))</f>
        <v>0</v>
      </c>
      <c r="K331">
        <f>IF(I331="Nandotsava","(Fast till noon)",INDEX(GCalXMLT[dfestival3],$D331))</f>
        <v>0</v>
      </c>
      <c r="L331">
        <f>IF(I331="Nandotsava", INDEX(GCalXMLT[dfestival3],$D331),INDEX(GCalXMLT[dfestival4],$D331))</f>
        <v>0</v>
      </c>
      <c r="M331" t="str">
        <f>IFERROR(INDEX(Festivals!$S$2:$S$160,AP331),"")</f>
        <v/>
      </c>
      <c r="N331" t="str">
        <f>IFERROR(IF($AQ331&gt;1,INDEX(Festivals!$S$2:$S$160,$AP331+1),""),"")</f>
        <v/>
      </c>
      <c r="O331" t="str">
        <f>IFERROR(IF($AQ331&gt;2,INDEX(Festivals!$S$2:$S$160,$AP331+2),""),"")</f>
        <v/>
      </c>
      <c r="P331" t="str">
        <f>IFERROR(IF($AQ331&gt;3,INDEX(Festivals!$S$2:$S$160,$AP331+3),""),"")</f>
        <v/>
      </c>
      <c r="Q331" t="str">
        <f>IFERROR(IF($AQ331&gt;4,INDEX(Festivals!$S$2:$S$160,$AP331+4),""),"")</f>
        <v/>
      </c>
      <c r="R331" t="str">
        <f>IFERROR(IF($AQ331&gt;5,INDEX(Festivals!$S$2:$S$160,$AP331+5),""),"")</f>
        <v/>
      </c>
      <c r="S331" t="str">
        <f>IFERROR(IF($AQ331&gt;6,INDEX(Festivals!$S$2:$S$160,$AP331+6),""),"")</f>
        <v/>
      </c>
      <c r="T331">
        <f>INDEX(GCalXMLT[dcaturmasya1],$D331)</f>
        <v>0</v>
      </c>
      <c r="U331">
        <f>INDEX(GCalXMLT[dcaturmasya2],$D331)</f>
        <v>0</v>
      </c>
      <c r="V331" t="str">
        <f>INDEX(GCalXMLT[sankrantirasi],$D331) &amp; " " &amp; INDEX(GCalXMLT[sankrantitime],$D331)</f>
        <v xml:space="preserve"> </v>
      </c>
      <c r="W331" t="str">
        <f ca="1">IFERROR(INDEX('Holidays Calc'!$K$2:$K$233,AR331),"")</f>
        <v/>
      </c>
      <c r="X331" t="str">
        <f ca="1">IF(AR331="","",IF(INDEX('Holidays Calc'!$I$2:$I$233,AR331+1)=A331,INDEX('Holidays Calc'!$K$2:$K$233,AR331+1),""))</f>
        <v/>
      </c>
      <c r="Y331" t="str">
        <f ca="1">IF(AR331="","",IF(INDEX('Holidays Calc'!$I$2:$I$233,AR331+2)=A331,INDEX('Holidays Calc'!$K$2:$K$233,AR331+2),""))</f>
        <v/>
      </c>
      <c r="Z331" t="str">
        <f ca="1">IF(AR331="","",IF(INDEX('Holidays Calc'!$I$2:$I$233,AR331+3)=A331,INDEX('Holidays Calc'!$K$2:$K$2333,AR331+3),""))</f>
        <v/>
      </c>
      <c r="AA331" t="str">
        <f>IF(I331="Last day of Bhisma Pancaka","",IF(G331="*",-0.7,IF(ISBLANK(INDEX(GCalXMLT[dclass1],$D331)),"",INDEX(GCalXMLT[dclass1],$D331))))</f>
        <v/>
      </c>
      <c r="AB331" t="str">
        <f>IF(J331="First day of Bhisma Pancaka","",IF(AND(G331="*",NOT(ISERROR(SEARCH("ekadasi",J331)))),-0.7,IF(ISBLANK(INDEX(GCalXMLT[dclass2],$D331)),"",INDEX(GCalXMLT[dclass2],$D331))))</f>
        <v/>
      </c>
      <c r="AC331" t="str">
        <f>IF(I331="Nandotsava",-1,IF(ISBLANK(INDEX(GCalXMLT[dclass3],$D331)),"",INDEX(GCalXMLT[dclass3],$D331)))</f>
        <v/>
      </c>
      <c r="AD331" t="str">
        <f>IF(I331="Nandotsava",IF(ISBLANK(INDEX(GCalXMLT[dclass3],$D331)),"",INDEX(GCalXMLT[dclass3],$D331)),IF(ISBLANK(INDEX(GCalXMLT[dclass4],$D331)),"",INDEX(GCalXMLT[dclass4],$D331)))</f>
        <v/>
      </c>
      <c r="AE331" t="str">
        <f>IFERROR(INDEX(Festivals!$V$2:$V$160,AP331),"")</f>
        <v/>
      </c>
      <c r="AF331" t="str">
        <f>IFERROR(IF($AQ331&gt;1,INDEX(Festivals!$V$2:$V$160,$AP331+1),""),"")</f>
        <v/>
      </c>
      <c r="AG331" t="str">
        <f>IFERROR(IF($AQ331&gt;2,INDEX(Festivals!$V$2:$V$160,$AP331+2),""),"")</f>
        <v/>
      </c>
      <c r="AH331" t="str">
        <f>IFERROR(IF($AQ331&gt;3,INDEX(Festivals!$V$2:$V$160,$AP331+3),""),"")</f>
        <v/>
      </c>
      <c r="AI331" t="str">
        <f>IFERROR(IF($AQ331&gt;4,INDEX(Festivals!$V$2:$V$160,$AP331+4),""),"")</f>
        <v/>
      </c>
      <c r="AJ331" t="str">
        <f>IFERROR(IF($AQ331&gt;5,INDEX(Festivals!$V$2:$V$160,$AP331+5),""),"")</f>
        <v/>
      </c>
      <c r="AK331" t="str">
        <f>IFERROR(IF($AQ331&gt;6,INDEX(Festivals!$V$2:$V$160,$AP331+6),""),"")</f>
        <v/>
      </c>
      <c r="AL331" t="str">
        <f ca="1">IFERROR(INDEX('Holidays Calc'!$J$2:$J$233,MATCH(A331,'Holidays Calc'!$I$2:$I$233,0)),"")</f>
        <v/>
      </c>
      <c r="AM331" t="str">
        <f ca="1">IF(AR331="","",IF(INDEX('Holidays Calc'!$I$2:$I$233,AR331+1)=A331,INDEX('Holidays Calc'!$J$2:$J$233,AR331+1),""))</f>
        <v/>
      </c>
      <c r="AN331" t="str">
        <f ca="1">IF(AR331="","",IF(INDEX('Holidays Calc'!$I$2:$I$233,AR331+2)=A331,INDEX('Holidays Calc'!$J$2:$J$233,AR331+2),""))</f>
        <v/>
      </c>
      <c r="AO331" t="str">
        <f ca="1">IF(AR331="","",IF(INDEX('Holidays Calc'!$I$2:$I$233,AR331+3)=A331,INDEX('Holidays Calc'!$J$2:$J$233,AR331+3),""))</f>
        <v/>
      </c>
      <c r="AP331" t="str">
        <f>IFERROR(IF($E331=E330,"",MATCH($E331,Festivals!$H$2:$H$160,0)),"")</f>
        <v/>
      </c>
      <c r="AQ331" t="str">
        <f>IF(AP331="","",COUNTIF(Festivals!$H$2:$H$160,$E331))</f>
        <v/>
      </c>
      <c r="AR331" t="str">
        <f ca="1">IFERROR(MATCH(A331,'Holidays Calc'!$I$2:$I$233,0),"")</f>
        <v/>
      </c>
      <c r="AS331" t="str">
        <f t="shared" si="39"/>
        <v/>
      </c>
      <c r="AT331" t="str">
        <f t="shared" si="38"/>
        <v/>
      </c>
      <c r="AU331" t="str">
        <f t="shared" ca="1" si="40"/>
        <v/>
      </c>
      <c r="AV331" t="str">
        <f t="shared" ca="1" si="41"/>
        <v/>
      </c>
    </row>
    <row r="332" spans="1:48" x14ac:dyDescent="0.25">
      <c r="A332" s="265">
        <f t="shared" si="37"/>
        <v>43758</v>
      </c>
      <c r="B332" s="265" t="str">
        <f t="shared" ref="B332:B395" si="42">DAY(A332) &amp; " " &amp; MonthStr(MONTH(A332)) &amp; " " &amp; YEAR(A332)</f>
        <v>20 Oct 2019</v>
      </c>
      <c r="C332" s="267">
        <f t="shared" ref="C332:C395" si="43">WEEKNUM(A332,2)</f>
        <v>42</v>
      </c>
      <c r="D332">
        <f>MATCH(A332,GCalXMLT[daydate],0)</f>
        <v>331</v>
      </c>
      <c r="E332">
        <f>VALUE("1" &amp; Masacod(INDEX(GCalXMLT[gymasa],D332)) &amp; PaksaCod(INDEX(GCalXMLT[mpaksaid],D332)) &amp; TithiCod(INDEX(GCalXMLT[stithiname],D332)))</f>
        <v>108007</v>
      </c>
      <c r="F332" t="str">
        <f ca="1">INDEX(Parameters!$K$2:$K$16,MATCH(AV332,Parameters!$L$2:$L$16,0))</f>
        <v/>
      </c>
      <c r="G332">
        <f>INDEX(GCalXMLT[fastmark],$D332)</f>
        <v>0</v>
      </c>
      <c r="H332" t="str">
        <f ca="1">INDEX(Parameters!$J$2:$J$16,MATCH(AV332,Parameters!$L$2:$L$16,0))</f>
        <v/>
      </c>
      <c r="I332">
        <f>INDEX(GCalXMLT[dfestival1],$D332)</f>
        <v>0</v>
      </c>
      <c r="J332">
        <f>IF(INDEX(GCalXMLT[dfestival2],$D332)="(Fast today)",INDEX(Festivals!$R$2:$R$180,MATCH($I332,Festivals!$R$2:$R$180,0)+1),INDEX(GCalXMLT[dfestival2],$D332))</f>
        <v>0</v>
      </c>
      <c r="K332">
        <f>IF(I332="Nandotsava","(Fast till noon)",INDEX(GCalXMLT[dfestival3],$D332))</f>
        <v>0</v>
      </c>
      <c r="L332">
        <f>IF(I332="Nandotsava", INDEX(GCalXMLT[dfestival3],$D332),INDEX(GCalXMLT[dfestival4],$D332))</f>
        <v>0</v>
      </c>
      <c r="M332" t="str">
        <f>IFERROR(INDEX(Festivals!$S$2:$S$160,AP332),"")</f>
        <v/>
      </c>
      <c r="N332" t="str">
        <f>IFERROR(IF($AQ332&gt;1,INDEX(Festivals!$S$2:$S$160,$AP332+1),""),"")</f>
        <v/>
      </c>
      <c r="O332" t="str">
        <f>IFERROR(IF($AQ332&gt;2,INDEX(Festivals!$S$2:$S$160,$AP332+2),""),"")</f>
        <v/>
      </c>
      <c r="P332" t="str">
        <f>IFERROR(IF($AQ332&gt;3,INDEX(Festivals!$S$2:$S$160,$AP332+3),""),"")</f>
        <v/>
      </c>
      <c r="Q332" t="str">
        <f>IFERROR(IF($AQ332&gt;4,INDEX(Festivals!$S$2:$S$160,$AP332+4),""),"")</f>
        <v/>
      </c>
      <c r="R332" t="str">
        <f>IFERROR(IF($AQ332&gt;5,INDEX(Festivals!$S$2:$S$160,$AP332+5),""),"")</f>
        <v/>
      </c>
      <c r="S332" t="str">
        <f>IFERROR(IF($AQ332&gt;6,INDEX(Festivals!$S$2:$S$160,$AP332+6),""),"")</f>
        <v/>
      </c>
      <c r="T332">
        <f>INDEX(GCalXMLT[dcaturmasya1],$D332)</f>
        <v>0</v>
      </c>
      <c r="U332">
        <f>INDEX(GCalXMLT[dcaturmasya2],$D332)</f>
        <v>0</v>
      </c>
      <c r="V332" t="str">
        <f>INDEX(GCalXMLT[sankrantirasi],$D332) &amp; " " &amp; INDEX(GCalXMLT[sankrantitime],$D332)</f>
        <v xml:space="preserve"> </v>
      </c>
      <c r="W332" t="str">
        <f ca="1">IFERROR(INDEX('Holidays Calc'!$K$2:$K$233,AR332),"")</f>
        <v/>
      </c>
      <c r="X332" t="str">
        <f ca="1">IF(AR332="","",IF(INDEX('Holidays Calc'!$I$2:$I$233,AR332+1)=A332,INDEX('Holidays Calc'!$K$2:$K$233,AR332+1),""))</f>
        <v/>
      </c>
      <c r="Y332" t="str">
        <f ca="1">IF(AR332="","",IF(INDEX('Holidays Calc'!$I$2:$I$233,AR332+2)=A332,INDEX('Holidays Calc'!$K$2:$K$233,AR332+2),""))</f>
        <v/>
      </c>
      <c r="Z332" t="str">
        <f ca="1">IF(AR332="","",IF(INDEX('Holidays Calc'!$I$2:$I$233,AR332+3)=A332,INDEX('Holidays Calc'!$K$2:$K$2333,AR332+3),""))</f>
        <v/>
      </c>
      <c r="AA332" t="str">
        <f>IF(I332="Last day of Bhisma Pancaka","",IF(G332="*",-0.7,IF(ISBLANK(INDEX(GCalXMLT[dclass1],$D332)),"",INDEX(GCalXMLT[dclass1],$D332))))</f>
        <v/>
      </c>
      <c r="AB332" t="str">
        <f>IF(J332="First day of Bhisma Pancaka","",IF(AND(G332="*",NOT(ISERROR(SEARCH("ekadasi",J332)))),-0.7,IF(ISBLANK(INDEX(GCalXMLT[dclass2],$D332)),"",INDEX(GCalXMLT[dclass2],$D332))))</f>
        <v/>
      </c>
      <c r="AC332" t="str">
        <f>IF(I332="Nandotsava",-1,IF(ISBLANK(INDEX(GCalXMLT[dclass3],$D332)),"",INDEX(GCalXMLT[dclass3],$D332)))</f>
        <v/>
      </c>
      <c r="AD332" t="str">
        <f>IF(I332="Nandotsava",IF(ISBLANK(INDEX(GCalXMLT[dclass3],$D332)),"",INDEX(GCalXMLT[dclass3],$D332)),IF(ISBLANK(INDEX(GCalXMLT[dclass4],$D332)),"",INDEX(GCalXMLT[dclass4],$D332)))</f>
        <v/>
      </c>
      <c r="AE332" t="str">
        <f>IFERROR(INDEX(Festivals!$V$2:$V$160,AP332),"")</f>
        <v/>
      </c>
      <c r="AF332" t="str">
        <f>IFERROR(IF($AQ332&gt;1,INDEX(Festivals!$V$2:$V$160,$AP332+1),""),"")</f>
        <v/>
      </c>
      <c r="AG332" t="str">
        <f>IFERROR(IF($AQ332&gt;2,INDEX(Festivals!$V$2:$V$160,$AP332+2),""),"")</f>
        <v/>
      </c>
      <c r="AH332" t="str">
        <f>IFERROR(IF($AQ332&gt;3,INDEX(Festivals!$V$2:$V$160,$AP332+3),""),"")</f>
        <v/>
      </c>
      <c r="AI332" t="str">
        <f>IFERROR(IF($AQ332&gt;4,INDEX(Festivals!$V$2:$V$160,$AP332+4),""),"")</f>
        <v/>
      </c>
      <c r="AJ332" t="str">
        <f>IFERROR(IF($AQ332&gt;5,INDEX(Festivals!$V$2:$V$160,$AP332+5),""),"")</f>
        <v/>
      </c>
      <c r="AK332" t="str">
        <f>IFERROR(IF($AQ332&gt;6,INDEX(Festivals!$V$2:$V$160,$AP332+6),""),"")</f>
        <v/>
      </c>
      <c r="AL332" t="str">
        <f ca="1">IFERROR(INDEX('Holidays Calc'!$J$2:$J$233,MATCH(A332,'Holidays Calc'!$I$2:$I$233,0)),"")</f>
        <v/>
      </c>
      <c r="AM332" t="str">
        <f ca="1">IF(AR332="","",IF(INDEX('Holidays Calc'!$I$2:$I$233,AR332+1)=A332,INDEX('Holidays Calc'!$J$2:$J$233,AR332+1),""))</f>
        <v/>
      </c>
      <c r="AN332" t="str">
        <f ca="1">IF(AR332="","",IF(INDEX('Holidays Calc'!$I$2:$I$233,AR332+2)=A332,INDEX('Holidays Calc'!$J$2:$J$233,AR332+2),""))</f>
        <v/>
      </c>
      <c r="AO332" t="str">
        <f ca="1">IF(AR332="","",IF(INDEX('Holidays Calc'!$I$2:$I$233,AR332+3)=A332,INDEX('Holidays Calc'!$J$2:$J$233,AR332+3),""))</f>
        <v/>
      </c>
      <c r="AP332" t="str">
        <f>IFERROR(IF($E332=E331,"",MATCH($E332,Festivals!$H$2:$H$160,0)),"")</f>
        <v/>
      </c>
      <c r="AQ332" t="str">
        <f>IF(AP332="","",COUNTIF(Festivals!$H$2:$H$160,$E332))</f>
        <v/>
      </c>
      <c r="AR332" t="str">
        <f ca="1">IFERROR(MATCH(A332,'Holidays Calc'!$I$2:$I$233,0),"")</f>
        <v/>
      </c>
      <c r="AS332" t="str">
        <f t="shared" si="39"/>
        <v/>
      </c>
      <c r="AT332" t="str">
        <f t="shared" si="38"/>
        <v/>
      </c>
      <c r="AU332" t="str">
        <f t="shared" ca="1" si="40"/>
        <v/>
      </c>
      <c r="AV332" t="str">
        <f t="shared" ca="1" si="41"/>
        <v/>
      </c>
    </row>
    <row r="333" spans="1:48" x14ac:dyDescent="0.25">
      <c r="A333" s="265">
        <f t="shared" si="37"/>
        <v>43759</v>
      </c>
      <c r="B333" s="265" t="str">
        <f t="shared" si="42"/>
        <v>21 Oct 2019</v>
      </c>
      <c r="C333" s="267">
        <f t="shared" si="43"/>
        <v>43</v>
      </c>
      <c r="D333">
        <f>MATCH(A333,GCalXMLT[daydate],0)</f>
        <v>332</v>
      </c>
      <c r="E333">
        <f>VALUE("1" &amp; Masacod(INDEX(GCalXMLT[gymasa],D333)) &amp; PaksaCod(INDEX(GCalXMLT[mpaksaid],D333)) &amp; TithiCod(INDEX(GCalXMLT[stithiname],D333)))</f>
        <v>108008</v>
      </c>
      <c r="F333" t="str">
        <f ca="1">INDEX(Parameters!$K$2:$K$16,MATCH(AV333,Parameters!$L$2:$L$16,0))</f>
        <v>C</v>
      </c>
      <c r="G333">
        <f>INDEX(GCalXMLT[fastmark],$D333)</f>
        <v>0</v>
      </c>
      <c r="H333" t="str">
        <f ca="1">INDEX(Parameters!$J$2:$J$16,MATCH(AV333,Parameters!$L$2:$L$16,0))</f>
        <v/>
      </c>
      <c r="I333">
        <f>INDEX(GCalXMLT[dfestival1],$D333)</f>
        <v>0</v>
      </c>
      <c r="J333">
        <f>IF(INDEX(GCalXMLT[dfestival2],$D333)="(Fast today)",INDEX(Festivals!$R$2:$R$180,MATCH($I333,Festivals!$R$2:$R$180,0)+1),INDEX(GCalXMLT[dfestival2],$D333))</f>
        <v>0</v>
      </c>
      <c r="K333">
        <f>IF(I333="Nandotsava","(Fast till noon)",INDEX(GCalXMLT[dfestival3],$D333))</f>
        <v>0</v>
      </c>
      <c r="L333">
        <f>IF(I333="Nandotsava", INDEX(GCalXMLT[dfestival3],$D333),INDEX(GCalXMLT[dfestival4],$D333))</f>
        <v>0</v>
      </c>
      <c r="M333" t="str">
        <f>IFERROR(INDEX(Festivals!$S$2:$S$160,AP333),"")</f>
        <v>Appearance of Radha Kunda, snana dana</v>
      </c>
      <c r="N333" t="str">
        <f>IFERROR(IF($AQ333&gt;1,INDEX(Festivals!$S$2:$S$160,$AP333+1),""),"")</f>
        <v>Bahulastami</v>
      </c>
      <c r="O333" t="str">
        <f>IFERROR(IF($AQ333&gt;2,INDEX(Festivals!$S$2:$S$160,$AP333+2),""),"")</f>
        <v/>
      </c>
      <c r="P333" t="str">
        <f>IFERROR(IF($AQ333&gt;3,INDEX(Festivals!$S$2:$S$160,$AP333+3),""),"")</f>
        <v/>
      </c>
      <c r="Q333" t="str">
        <f>IFERROR(IF($AQ333&gt;4,INDEX(Festivals!$S$2:$S$160,$AP333+4),""),"")</f>
        <v/>
      </c>
      <c r="R333" t="str">
        <f>IFERROR(IF($AQ333&gt;5,INDEX(Festivals!$S$2:$S$160,$AP333+5),""),"")</f>
        <v/>
      </c>
      <c r="S333" t="str">
        <f>IFERROR(IF($AQ333&gt;6,INDEX(Festivals!$S$2:$S$160,$AP333+6),""),"")</f>
        <v/>
      </c>
      <c r="T333">
        <f>INDEX(GCalXMLT[dcaturmasya1],$D333)</f>
        <v>0</v>
      </c>
      <c r="U333">
        <f>INDEX(GCalXMLT[dcaturmasya2],$D333)</f>
        <v>0</v>
      </c>
      <c r="V333" t="str">
        <f>INDEX(GCalXMLT[sankrantirasi],$D333) &amp; " " &amp; INDEX(GCalXMLT[sankrantitime],$D333)</f>
        <v xml:space="preserve"> </v>
      </c>
      <c r="W333" t="str">
        <f ca="1">IFERROR(INDEX('Holidays Calc'!$K$2:$K$233,AR333),"")</f>
        <v/>
      </c>
      <c r="X333" t="str">
        <f ca="1">IF(AR333="","",IF(INDEX('Holidays Calc'!$I$2:$I$233,AR333+1)=A333,INDEX('Holidays Calc'!$K$2:$K$233,AR333+1),""))</f>
        <v/>
      </c>
      <c r="Y333" t="str">
        <f ca="1">IF(AR333="","",IF(INDEX('Holidays Calc'!$I$2:$I$233,AR333+2)=A333,INDEX('Holidays Calc'!$K$2:$K$233,AR333+2),""))</f>
        <v/>
      </c>
      <c r="Z333" t="str">
        <f ca="1">IF(AR333="","",IF(INDEX('Holidays Calc'!$I$2:$I$233,AR333+3)=A333,INDEX('Holidays Calc'!$K$2:$K$2333,AR333+3),""))</f>
        <v/>
      </c>
      <c r="AA333" t="str">
        <f>IF(I333="Last day of Bhisma Pancaka","",IF(G333="*",-0.7,IF(ISBLANK(INDEX(GCalXMLT[dclass1],$D333)),"",INDEX(GCalXMLT[dclass1],$D333))))</f>
        <v/>
      </c>
      <c r="AB333" t="str">
        <f>IF(J333="First day of Bhisma Pancaka","",IF(AND(G333="*",NOT(ISERROR(SEARCH("ekadasi",J333)))),-0.7,IF(ISBLANK(INDEX(GCalXMLT[dclass2],$D333)),"",INDEX(GCalXMLT[dclass2],$D333))))</f>
        <v/>
      </c>
      <c r="AC333" t="str">
        <f>IF(I333="Nandotsava",-1,IF(ISBLANK(INDEX(GCalXMLT[dclass3],$D333)),"",INDEX(GCalXMLT[dclass3],$D333)))</f>
        <v/>
      </c>
      <c r="AD333" t="str">
        <f>IF(I333="Nandotsava",IF(ISBLANK(INDEX(GCalXMLT[dclass3],$D333)),"",INDEX(GCalXMLT[dclass3],$D333)),IF(ISBLANK(INDEX(GCalXMLT[dclass4],$D333)),"",INDEX(GCalXMLT[dclass4],$D333)))</f>
        <v/>
      </c>
      <c r="AE333">
        <f>IFERROR(INDEX(Festivals!$V$2:$V$160,AP333),"")</f>
        <v>1</v>
      </c>
      <c r="AF333">
        <f>IFERROR(IF($AQ333&gt;1,INDEX(Festivals!$V$2:$V$160,$AP333+1),""),"")</f>
        <v>1</v>
      </c>
      <c r="AG333" t="str">
        <f>IFERROR(IF($AQ333&gt;2,INDEX(Festivals!$V$2:$V$160,$AP333+2),""),"")</f>
        <v/>
      </c>
      <c r="AH333" t="str">
        <f>IFERROR(IF($AQ333&gt;3,INDEX(Festivals!$V$2:$V$160,$AP333+3),""),"")</f>
        <v/>
      </c>
      <c r="AI333" t="str">
        <f>IFERROR(IF($AQ333&gt;4,INDEX(Festivals!$V$2:$V$160,$AP333+4),""),"")</f>
        <v/>
      </c>
      <c r="AJ333" t="str">
        <f>IFERROR(IF($AQ333&gt;5,INDEX(Festivals!$V$2:$V$160,$AP333+5),""),"")</f>
        <v/>
      </c>
      <c r="AK333" t="str">
        <f>IFERROR(IF($AQ333&gt;6,INDEX(Festivals!$V$2:$V$160,$AP333+6),""),"")</f>
        <v/>
      </c>
      <c r="AL333" t="str">
        <f ca="1">IFERROR(INDEX('Holidays Calc'!$J$2:$J$233,MATCH(A333,'Holidays Calc'!$I$2:$I$233,0)),"")</f>
        <v/>
      </c>
      <c r="AM333" t="str">
        <f ca="1">IF(AR333="","",IF(INDEX('Holidays Calc'!$I$2:$I$233,AR333+1)=A333,INDEX('Holidays Calc'!$J$2:$J$233,AR333+1),""))</f>
        <v/>
      </c>
      <c r="AN333" t="str">
        <f ca="1">IF(AR333="","",IF(INDEX('Holidays Calc'!$I$2:$I$233,AR333+2)=A333,INDEX('Holidays Calc'!$J$2:$J$233,AR333+2),""))</f>
        <v/>
      </c>
      <c r="AO333" t="str">
        <f ca="1">IF(AR333="","",IF(INDEX('Holidays Calc'!$I$2:$I$233,AR333+3)=A333,INDEX('Holidays Calc'!$J$2:$J$233,AR333+3),""))</f>
        <v/>
      </c>
      <c r="AP333">
        <f>IFERROR(IF($E333=E332,"",MATCH($E333,Festivals!$H$2:$H$160,0)),"")</f>
        <v>86</v>
      </c>
      <c r="AQ333">
        <f>IF(AP333="","",COUNTIF(Festivals!$H$2:$H$160,$E333))</f>
        <v>2</v>
      </c>
      <c r="AR333" t="str">
        <f ca="1">IFERROR(MATCH(A333,'Holidays Calc'!$I$2:$I$233,0),"")</f>
        <v/>
      </c>
      <c r="AS333">
        <f t="shared" si="39"/>
        <v>1</v>
      </c>
      <c r="AT333">
        <f t="shared" si="38"/>
        <v>1</v>
      </c>
      <c r="AU333" t="str">
        <f t="shared" ca="1" si="40"/>
        <v/>
      </c>
      <c r="AV333">
        <f t="shared" ca="1" si="41"/>
        <v>1</v>
      </c>
    </row>
    <row r="334" spans="1:48" x14ac:dyDescent="0.25">
      <c r="A334" s="265">
        <f t="shared" si="37"/>
        <v>43760</v>
      </c>
      <c r="B334" s="265" t="str">
        <f t="shared" si="42"/>
        <v>22 Oct 2019</v>
      </c>
      <c r="C334" s="267">
        <f t="shared" si="43"/>
        <v>43</v>
      </c>
      <c r="D334">
        <f>MATCH(A334,GCalXMLT[daydate],0)</f>
        <v>333</v>
      </c>
      <c r="E334">
        <f>VALUE("1" &amp; Masacod(INDEX(GCalXMLT[gymasa],D334)) &amp; PaksaCod(INDEX(GCalXMLT[mpaksaid],D334)) &amp; TithiCod(INDEX(GCalXMLT[stithiname],D334)))</f>
        <v>108009</v>
      </c>
      <c r="F334" t="str">
        <f ca="1">INDEX(Parameters!$K$2:$K$16,MATCH(AV334,Parameters!$L$2:$L$16,0))</f>
        <v>C</v>
      </c>
      <c r="G334">
        <f>INDEX(GCalXMLT[fastmark],$D334)</f>
        <v>0</v>
      </c>
      <c r="H334" t="str">
        <f ca="1">INDEX(Parameters!$J$2:$J$16,MATCH(AV334,Parameters!$L$2:$L$16,0))</f>
        <v/>
      </c>
      <c r="I334">
        <f>INDEX(GCalXMLT[dfestival1],$D334)</f>
        <v>0</v>
      </c>
      <c r="J334">
        <f>IF(INDEX(GCalXMLT[dfestival2],$D334)="(Fast today)",INDEX(Festivals!$R$2:$R$180,MATCH($I334,Festivals!$R$2:$R$180,0)+1),INDEX(GCalXMLT[dfestival2],$D334))</f>
        <v>0</v>
      </c>
      <c r="K334">
        <f>IF(I334="Nandotsava","(Fast till noon)",INDEX(GCalXMLT[dfestival3],$D334))</f>
        <v>0</v>
      </c>
      <c r="L334">
        <f>IF(I334="Nandotsava", INDEX(GCalXMLT[dfestival3],$D334),INDEX(GCalXMLT[dfestival4],$D334))</f>
        <v>0</v>
      </c>
      <c r="M334" t="str">
        <f>IFERROR(INDEX(Festivals!$S$2:$S$160,AP334),"")</f>
        <v>Sri Virabhadra - Appearance</v>
      </c>
      <c r="N334" t="str">
        <f>IFERROR(IF($AQ334&gt;1,INDEX(Festivals!$S$2:$S$160,$AP334+1),""),"")</f>
        <v/>
      </c>
      <c r="O334" t="str">
        <f>IFERROR(IF($AQ334&gt;2,INDEX(Festivals!$S$2:$S$160,$AP334+2),""),"")</f>
        <v/>
      </c>
      <c r="P334" t="str">
        <f>IFERROR(IF($AQ334&gt;3,INDEX(Festivals!$S$2:$S$160,$AP334+3),""),"")</f>
        <v/>
      </c>
      <c r="Q334" t="str">
        <f>IFERROR(IF($AQ334&gt;4,INDEX(Festivals!$S$2:$S$160,$AP334+4),""),"")</f>
        <v/>
      </c>
      <c r="R334" t="str">
        <f>IFERROR(IF($AQ334&gt;5,INDEX(Festivals!$S$2:$S$160,$AP334+5),""),"")</f>
        <v/>
      </c>
      <c r="S334" t="str">
        <f>IFERROR(IF($AQ334&gt;6,INDEX(Festivals!$S$2:$S$160,$AP334+6),""),"")</f>
        <v/>
      </c>
      <c r="T334">
        <f>INDEX(GCalXMLT[dcaturmasya1],$D334)</f>
        <v>0</v>
      </c>
      <c r="U334">
        <f>INDEX(GCalXMLT[dcaturmasya2],$D334)</f>
        <v>0</v>
      </c>
      <c r="V334" t="str">
        <f>INDEX(GCalXMLT[sankrantirasi],$D334) &amp; " " &amp; INDEX(GCalXMLT[sankrantitime],$D334)</f>
        <v xml:space="preserve"> </v>
      </c>
      <c r="W334" t="str">
        <f ca="1">IFERROR(INDEX('Holidays Calc'!$K$2:$K$233,AR334),"")</f>
        <v/>
      </c>
      <c r="X334" t="str">
        <f ca="1">IF(AR334="","",IF(INDEX('Holidays Calc'!$I$2:$I$233,AR334+1)=A334,INDEX('Holidays Calc'!$K$2:$K$233,AR334+1),""))</f>
        <v/>
      </c>
      <c r="Y334" t="str">
        <f ca="1">IF(AR334="","",IF(INDEX('Holidays Calc'!$I$2:$I$233,AR334+2)=A334,INDEX('Holidays Calc'!$K$2:$K$233,AR334+2),""))</f>
        <v/>
      </c>
      <c r="Z334" t="str">
        <f ca="1">IF(AR334="","",IF(INDEX('Holidays Calc'!$I$2:$I$233,AR334+3)=A334,INDEX('Holidays Calc'!$K$2:$K$2333,AR334+3),""))</f>
        <v/>
      </c>
      <c r="AA334" t="str">
        <f>IF(I334="Last day of Bhisma Pancaka","",IF(G334="*",-0.7,IF(ISBLANK(INDEX(GCalXMLT[dclass1],$D334)),"",INDEX(GCalXMLT[dclass1],$D334))))</f>
        <v/>
      </c>
      <c r="AB334" t="str">
        <f>IF(J334="First day of Bhisma Pancaka","",IF(AND(G334="*",NOT(ISERROR(SEARCH("ekadasi",J334)))),-0.7,IF(ISBLANK(INDEX(GCalXMLT[dclass2],$D334)),"",INDEX(GCalXMLT[dclass2],$D334))))</f>
        <v/>
      </c>
      <c r="AC334" t="str">
        <f>IF(I334="Nandotsava",-1,IF(ISBLANK(INDEX(GCalXMLT[dclass3],$D334)),"",INDEX(GCalXMLT[dclass3],$D334)))</f>
        <v/>
      </c>
      <c r="AD334" t="str">
        <f>IF(I334="Nandotsava",IF(ISBLANK(INDEX(GCalXMLT[dclass3],$D334)),"",INDEX(GCalXMLT[dclass3],$D334)),IF(ISBLANK(INDEX(GCalXMLT[dclass4],$D334)),"",INDEX(GCalXMLT[dclass4],$D334)))</f>
        <v/>
      </c>
      <c r="AE334">
        <f>IFERROR(INDEX(Festivals!$V$2:$V$160,AP334),"")</f>
        <v>3</v>
      </c>
      <c r="AF334" t="str">
        <f>IFERROR(IF($AQ334&gt;1,INDEX(Festivals!$V$2:$V$160,$AP334+1),""),"")</f>
        <v/>
      </c>
      <c r="AG334" t="str">
        <f>IFERROR(IF($AQ334&gt;2,INDEX(Festivals!$V$2:$V$160,$AP334+2),""),"")</f>
        <v/>
      </c>
      <c r="AH334" t="str">
        <f>IFERROR(IF($AQ334&gt;3,INDEX(Festivals!$V$2:$V$160,$AP334+3),""),"")</f>
        <v/>
      </c>
      <c r="AI334" t="str">
        <f>IFERROR(IF($AQ334&gt;4,INDEX(Festivals!$V$2:$V$160,$AP334+4),""),"")</f>
        <v/>
      </c>
      <c r="AJ334" t="str">
        <f>IFERROR(IF($AQ334&gt;5,INDEX(Festivals!$V$2:$V$160,$AP334+5),""),"")</f>
        <v/>
      </c>
      <c r="AK334" t="str">
        <f>IFERROR(IF($AQ334&gt;6,INDEX(Festivals!$V$2:$V$160,$AP334+6),""),"")</f>
        <v/>
      </c>
      <c r="AL334" t="str">
        <f ca="1">IFERROR(INDEX('Holidays Calc'!$J$2:$J$233,MATCH(A334,'Holidays Calc'!$I$2:$I$233,0)),"")</f>
        <v/>
      </c>
      <c r="AM334" t="str">
        <f ca="1">IF(AR334="","",IF(INDEX('Holidays Calc'!$I$2:$I$233,AR334+1)=A334,INDEX('Holidays Calc'!$J$2:$J$233,AR334+1),""))</f>
        <v/>
      </c>
      <c r="AN334" t="str">
        <f ca="1">IF(AR334="","",IF(INDEX('Holidays Calc'!$I$2:$I$233,AR334+2)=A334,INDEX('Holidays Calc'!$J$2:$J$233,AR334+2),""))</f>
        <v/>
      </c>
      <c r="AO334" t="str">
        <f ca="1">IF(AR334="","",IF(INDEX('Holidays Calc'!$I$2:$I$233,AR334+3)=A334,INDEX('Holidays Calc'!$J$2:$J$233,AR334+3),""))</f>
        <v/>
      </c>
      <c r="AP334">
        <f>IFERROR(IF($E334=E333,"",MATCH($E334,Festivals!$H$2:$H$160,0)),"")</f>
        <v>88</v>
      </c>
      <c r="AQ334">
        <f>IF(AP334="","",COUNTIF(Festivals!$H$2:$H$160,$E334))</f>
        <v>1</v>
      </c>
      <c r="AR334" t="str">
        <f ca="1">IFERROR(MATCH(A334,'Holidays Calc'!$I$2:$I$233,0),"")</f>
        <v/>
      </c>
      <c r="AS334">
        <f t="shared" si="39"/>
        <v>3</v>
      </c>
      <c r="AT334">
        <f t="shared" si="38"/>
        <v>3</v>
      </c>
      <c r="AU334" t="str">
        <f t="shared" ca="1" si="40"/>
        <v/>
      </c>
      <c r="AV334">
        <f t="shared" ca="1" si="41"/>
        <v>3</v>
      </c>
    </row>
    <row r="335" spans="1:48" x14ac:dyDescent="0.25">
      <c r="A335" s="265">
        <f t="shared" si="37"/>
        <v>43761</v>
      </c>
      <c r="B335" s="265" t="str">
        <f t="shared" si="42"/>
        <v>23 Oct 2019</v>
      </c>
      <c r="C335" s="267">
        <f t="shared" si="43"/>
        <v>43</v>
      </c>
      <c r="D335">
        <f>MATCH(A335,GCalXMLT[daydate],0)</f>
        <v>334</v>
      </c>
      <c r="E335">
        <f>VALUE("1" &amp; Masacod(INDEX(GCalXMLT[gymasa],D335)) &amp; PaksaCod(INDEX(GCalXMLT[mpaksaid],D335)) &amp; TithiCod(INDEX(GCalXMLT[stithiname],D335)))</f>
        <v>108010</v>
      </c>
      <c r="F335" t="str">
        <f ca="1">INDEX(Parameters!$K$2:$K$16,MATCH(AV335,Parameters!$L$2:$L$16,0))</f>
        <v/>
      </c>
      <c r="G335">
        <f>INDEX(GCalXMLT[fastmark],$D335)</f>
        <v>0</v>
      </c>
      <c r="H335" t="str">
        <f ca="1">INDEX(Parameters!$J$2:$J$16,MATCH(AV335,Parameters!$L$2:$L$16,0))</f>
        <v/>
      </c>
      <c r="I335">
        <f>INDEX(GCalXMLT[dfestival1],$D335)</f>
        <v>0</v>
      </c>
      <c r="J335">
        <f>IF(INDEX(GCalXMLT[dfestival2],$D335)="(Fast today)",INDEX(Festivals!$R$2:$R$180,MATCH($I335,Festivals!$R$2:$R$180,0)+1),INDEX(GCalXMLT[dfestival2],$D335))</f>
        <v>0</v>
      </c>
      <c r="K335">
        <f>IF(I335="Nandotsava","(Fast till noon)",INDEX(GCalXMLT[dfestival3],$D335))</f>
        <v>0</v>
      </c>
      <c r="L335">
        <f>IF(I335="Nandotsava", INDEX(GCalXMLT[dfestival3],$D335),INDEX(GCalXMLT[dfestival4],$D335))</f>
        <v>0</v>
      </c>
      <c r="M335" t="str">
        <f>IFERROR(INDEX(Festivals!$S$2:$S$160,AP335),"")</f>
        <v/>
      </c>
      <c r="N335" t="str">
        <f>IFERROR(IF($AQ335&gt;1,INDEX(Festivals!$S$2:$S$160,$AP335+1),""),"")</f>
        <v/>
      </c>
      <c r="O335" t="str">
        <f>IFERROR(IF($AQ335&gt;2,INDEX(Festivals!$S$2:$S$160,$AP335+2),""),"")</f>
        <v/>
      </c>
      <c r="P335" t="str">
        <f>IFERROR(IF($AQ335&gt;3,INDEX(Festivals!$S$2:$S$160,$AP335+3),""),"")</f>
        <v/>
      </c>
      <c r="Q335" t="str">
        <f>IFERROR(IF($AQ335&gt;4,INDEX(Festivals!$S$2:$S$160,$AP335+4),""),"")</f>
        <v/>
      </c>
      <c r="R335" t="str">
        <f>IFERROR(IF($AQ335&gt;5,INDEX(Festivals!$S$2:$S$160,$AP335+5),""),"")</f>
        <v/>
      </c>
      <c r="S335" t="str">
        <f>IFERROR(IF($AQ335&gt;6,INDEX(Festivals!$S$2:$S$160,$AP335+6),""),"")</f>
        <v/>
      </c>
      <c r="T335">
        <f>INDEX(GCalXMLT[dcaturmasya1],$D335)</f>
        <v>0</v>
      </c>
      <c r="U335">
        <f>INDEX(GCalXMLT[dcaturmasya2],$D335)</f>
        <v>0</v>
      </c>
      <c r="V335" t="str">
        <f>INDEX(GCalXMLT[sankrantirasi],$D335) &amp; " " &amp; INDEX(GCalXMLT[sankrantitime],$D335)</f>
        <v xml:space="preserve"> </v>
      </c>
      <c r="W335" t="str">
        <f ca="1">IFERROR(INDEX('Holidays Calc'!$K$2:$K$233,AR335),"")</f>
        <v/>
      </c>
      <c r="X335" t="str">
        <f ca="1">IF(AR335="","",IF(INDEX('Holidays Calc'!$I$2:$I$233,AR335+1)=A335,INDEX('Holidays Calc'!$K$2:$K$233,AR335+1),""))</f>
        <v/>
      </c>
      <c r="Y335" t="str">
        <f ca="1">IF(AR335="","",IF(INDEX('Holidays Calc'!$I$2:$I$233,AR335+2)=A335,INDEX('Holidays Calc'!$K$2:$K$233,AR335+2),""))</f>
        <v/>
      </c>
      <c r="Z335" t="str">
        <f ca="1">IF(AR335="","",IF(INDEX('Holidays Calc'!$I$2:$I$233,AR335+3)=A335,INDEX('Holidays Calc'!$K$2:$K$2333,AR335+3),""))</f>
        <v/>
      </c>
      <c r="AA335" t="str">
        <f>IF(I335="Last day of Bhisma Pancaka","",IF(G335="*",-0.7,IF(ISBLANK(INDEX(GCalXMLT[dclass1],$D335)),"",INDEX(GCalXMLT[dclass1],$D335))))</f>
        <v/>
      </c>
      <c r="AB335" t="str">
        <f>IF(J335="First day of Bhisma Pancaka","",IF(AND(G335="*",NOT(ISERROR(SEARCH("ekadasi",J335)))),-0.7,IF(ISBLANK(INDEX(GCalXMLT[dclass2],$D335)),"",INDEX(GCalXMLT[dclass2],$D335))))</f>
        <v/>
      </c>
      <c r="AC335" t="str">
        <f>IF(I335="Nandotsava",-1,IF(ISBLANK(INDEX(GCalXMLT[dclass3],$D335)),"",INDEX(GCalXMLT[dclass3],$D335)))</f>
        <v/>
      </c>
      <c r="AD335" t="str">
        <f>IF(I335="Nandotsava",IF(ISBLANK(INDEX(GCalXMLT[dclass3],$D335)),"",INDEX(GCalXMLT[dclass3],$D335)),IF(ISBLANK(INDEX(GCalXMLT[dclass4],$D335)),"",INDEX(GCalXMLT[dclass4],$D335)))</f>
        <v/>
      </c>
      <c r="AE335" t="str">
        <f>IFERROR(INDEX(Festivals!$V$2:$V$160,AP335),"")</f>
        <v/>
      </c>
      <c r="AF335" t="str">
        <f>IFERROR(IF($AQ335&gt;1,INDEX(Festivals!$V$2:$V$160,$AP335+1),""),"")</f>
        <v/>
      </c>
      <c r="AG335" t="str">
        <f>IFERROR(IF($AQ335&gt;2,INDEX(Festivals!$V$2:$V$160,$AP335+2),""),"")</f>
        <v/>
      </c>
      <c r="AH335" t="str">
        <f>IFERROR(IF($AQ335&gt;3,INDEX(Festivals!$V$2:$V$160,$AP335+3),""),"")</f>
        <v/>
      </c>
      <c r="AI335" t="str">
        <f>IFERROR(IF($AQ335&gt;4,INDEX(Festivals!$V$2:$V$160,$AP335+4),""),"")</f>
        <v/>
      </c>
      <c r="AJ335" t="str">
        <f>IFERROR(IF($AQ335&gt;5,INDEX(Festivals!$V$2:$V$160,$AP335+5),""),"")</f>
        <v/>
      </c>
      <c r="AK335" t="str">
        <f>IFERROR(IF($AQ335&gt;6,INDEX(Festivals!$V$2:$V$160,$AP335+6),""),"")</f>
        <v/>
      </c>
      <c r="AL335" t="str">
        <f ca="1">IFERROR(INDEX('Holidays Calc'!$J$2:$J$233,MATCH(A335,'Holidays Calc'!$I$2:$I$233,0)),"")</f>
        <v/>
      </c>
      <c r="AM335" t="str">
        <f ca="1">IF(AR335="","",IF(INDEX('Holidays Calc'!$I$2:$I$233,AR335+1)=A335,INDEX('Holidays Calc'!$J$2:$J$233,AR335+1),""))</f>
        <v/>
      </c>
      <c r="AN335" t="str">
        <f ca="1">IF(AR335="","",IF(INDEX('Holidays Calc'!$I$2:$I$233,AR335+2)=A335,INDEX('Holidays Calc'!$J$2:$J$233,AR335+2),""))</f>
        <v/>
      </c>
      <c r="AO335" t="str">
        <f ca="1">IF(AR335="","",IF(INDEX('Holidays Calc'!$I$2:$I$233,AR335+3)=A335,INDEX('Holidays Calc'!$J$2:$J$233,AR335+3),""))</f>
        <v/>
      </c>
      <c r="AP335" t="str">
        <f>IFERROR(IF($E335=E334,"",MATCH($E335,Festivals!$H$2:$H$160,0)),"")</f>
        <v/>
      </c>
      <c r="AQ335" t="str">
        <f>IF(AP335="","",COUNTIF(Festivals!$H$2:$H$160,$E335))</f>
        <v/>
      </c>
      <c r="AR335" t="str">
        <f ca="1">IFERROR(MATCH(A335,'Holidays Calc'!$I$2:$I$233,0),"")</f>
        <v/>
      </c>
      <c r="AS335" t="str">
        <f t="shared" si="39"/>
        <v/>
      </c>
      <c r="AT335" t="str">
        <f t="shared" si="38"/>
        <v/>
      </c>
      <c r="AU335" t="str">
        <f t="shared" ca="1" si="40"/>
        <v/>
      </c>
      <c r="AV335" t="str">
        <f t="shared" ca="1" si="41"/>
        <v/>
      </c>
    </row>
    <row r="336" spans="1:48" x14ac:dyDescent="0.25">
      <c r="A336" s="265">
        <f t="shared" si="37"/>
        <v>43762</v>
      </c>
      <c r="B336" s="265" t="str">
        <f t="shared" si="42"/>
        <v>24 Oct 2019</v>
      </c>
      <c r="C336" s="267">
        <f t="shared" si="43"/>
        <v>43</v>
      </c>
      <c r="D336">
        <f>MATCH(A336,GCalXMLT[daydate],0)</f>
        <v>335</v>
      </c>
      <c r="E336">
        <f>VALUE("1" &amp; Masacod(INDEX(GCalXMLT[gymasa],D336)) &amp; PaksaCod(INDEX(GCalXMLT[mpaksaid],D336)) &amp; TithiCod(INDEX(GCalXMLT[stithiname],D336)))</f>
        <v>108011</v>
      </c>
      <c r="F336" t="str">
        <f ca="1">INDEX(Parameters!$K$2:$K$16,MATCH(AV336,Parameters!$L$2:$L$16,0))</f>
        <v>E</v>
      </c>
      <c r="G336" t="str">
        <f>INDEX(GCalXMLT[fastmark],$D336)</f>
        <v>*</v>
      </c>
      <c r="H336" t="str">
        <f ca="1">INDEX(Parameters!$J$2:$J$16,MATCH(AV336,Parameters!$L$2:$L$16,0))</f>
        <v>*</v>
      </c>
      <c r="I336" t="str">
        <f>INDEX(GCalXMLT[dfestival1],$D336)</f>
        <v>Fasting for Rama Ekadasi</v>
      </c>
      <c r="J336">
        <f>IF(INDEX(GCalXMLT[dfestival2],$D336)="(Fast today)",INDEX(Festivals!$R$2:$R$180,MATCH($I336,Festivals!$R$2:$R$180,0)+1),INDEX(GCalXMLT[dfestival2],$D336))</f>
        <v>0</v>
      </c>
      <c r="K336">
        <f>IF(I336="Nandotsava","(Fast till noon)",INDEX(GCalXMLT[dfestival3],$D336))</f>
        <v>0</v>
      </c>
      <c r="L336">
        <f>IF(I336="Nandotsava", INDEX(GCalXMLT[dfestival3],$D336),INDEX(GCalXMLT[dfestival4],$D336))</f>
        <v>0</v>
      </c>
      <c r="M336" t="str">
        <f>IFERROR(INDEX(Festivals!$S$2:$S$160,AP336),"")</f>
        <v/>
      </c>
      <c r="N336" t="str">
        <f>IFERROR(IF($AQ336&gt;1,INDEX(Festivals!$S$2:$S$160,$AP336+1),""),"")</f>
        <v/>
      </c>
      <c r="O336" t="str">
        <f>IFERROR(IF($AQ336&gt;2,INDEX(Festivals!$S$2:$S$160,$AP336+2),""),"")</f>
        <v/>
      </c>
      <c r="P336" t="str">
        <f>IFERROR(IF($AQ336&gt;3,INDEX(Festivals!$S$2:$S$160,$AP336+3),""),"")</f>
        <v/>
      </c>
      <c r="Q336" t="str">
        <f>IFERROR(IF($AQ336&gt;4,INDEX(Festivals!$S$2:$S$160,$AP336+4),""),"")</f>
        <v/>
      </c>
      <c r="R336" t="str">
        <f>IFERROR(IF($AQ336&gt;5,INDEX(Festivals!$S$2:$S$160,$AP336+5),""),"")</f>
        <v/>
      </c>
      <c r="S336" t="str">
        <f>IFERROR(IF($AQ336&gt;6,INDEX(Festivals!$S$2:$S$160,$AP336+6),""),"")</f>
        <v/>
      </c>
      <c r="T336">
        <f>INDEX(GCalXMLT[dcaturmasya1],$D336)</f>
        <v>0</v>
      </c>
      <c r="U336">
        <f>INDEX(GCalXMLT[dcaturmasya2],$D336)</f>
        <v>0</v>
      </c>
      <c r="V336" t="str">
        <f>INDEX(GCalXMLT[sankrantirasi],$D336) &amp; " " &amp; INDEX(GCalXMLT[sankrantitime],$D336)</f>
        <v xml:space="preserve"> </v>
      </c>
      <c r="W336" t="str">
        <f ca="1">IFERROR(INDEX('Holidays Calc'!$K$2:$K$233,AR336),"")</f>
        <v/>
      </c>
      <c r="X336" t="str">
        <f ca="1">IF(AR336="","",IF(INDEX('Holidays Calc'!$I$2:$I$233,AR336+1)=A336,INDEX('Holidays Calc'!$K$2:$K$233,AR336+1),""))</f>
        <v/>
      </c>
      <c r="Y336" t="str">
        <f ca="1">IF(AR336="","",IF(INDEX('Holidays Calc'!$I$2:$I$233,AR336+2)=A336,INDEX('Holidays Calc'!$K$2:$K$233,AR336+2),""))</f>
        <v/>
      </c>
      <c r="Z336" t="str">
        <f ca="1">IF(AR336="","",IF(INDEX('Holidays Calc'!$I$2:$I$233,AR336+3)=A336,INDEX('Holidays Calc'!$K$2:$K$2333,AR336+3),""))</f>
        <v/>
      </c>
      <c r="AA336">
        <f>IF(I336="Last day of Bhisma Pancaka","",IF(G336="*",-0.7,IF(ISBLANK(INDEX(GCalXMLT[dclass1],$D336)),"",INDEX(GCalXMLT[dclass1],$D336))))</f>
        <v>-0.7</v>
      </c>
      <c r="AB336" t="str">
        <f>IF(J336="First day of Bhisma Pancaka","",IF(AND(G336="*",NOT(ISERROR(SEARCH("ekadasi",J336)))),-0.7,IF(ISBLANK(INDEX(GCalXMLT[dclass2],$D336)),"",INDEX(GCalXMLT[dclass2],$D336))))</f>
        <v/>
      </c>
      <c r="AC336" t="str">
        <f>IF(I336="Nandotsava",-1,IF(ISBLANK(INDEX(GCalXMLT[dclass3],$D336)),"",INDEX(GCalXMLT[dclass3],$D336)))</f>
        <v/>
      </c>
      <c r="AD336" t="str">
        <f>IF(I336="Nandotsava",IF(ISBLANK(INDEX(GCalXMLT[dclass3],$D336)),"",INDEX(GCalXMLT[dclass3],$D336)),IF(ISBLANK(INDEX(GCalXMLT[dclass4],$D336)),"",INDEX(GCalXMLT[dclass4],$D336)))</f>
        <v/>
      </c>
      <c r="AE336" t="str">
        <f>IFERROR(INDEX(Festivals!$V$2:$V$160,AP336),"")</f>
        <v/>
      </c>
      <c r="AF336" t="str">
        <f>IFERROR(IF($AQ336&gt;1,INDEX(Festivals!$V$2:$V$160,$AP336+1),""),"")</f>
        <v/>
      </c>
      <c r="AG336" t="str">
        <f>IFERROR(IF($AQ336&gt;2,INDEX(Festivals!$V$2:$V$160,$AP336+2),""),"")</f>
        <v/>
      </c>
      <c r="AH336" t="str">
        <f>IFERROR(IF($AQ336&gt;3,INDEX(Festivals!$V$2:$V$160,$AP336+3),""),"")</f>
        <v/>
      </c>
      <c r="AI336" t="str">
        <f>IFERROR(IF($AQ336&gt;4,INDEX(Festivals!$V$2:$V$160,$AP336+4),""),"")</f>
        <v/>
      </c>
      <c r="AJ336" t="str">
        <f>IFERROR(IF($AQ336&gt;5,INDEX(Festivals!$V$2:$V$160,$AP336+5),""),"")</f>
        <v/>
      </c>
      <c r="AK336" t="str">
        <f>IFERROR(IF($AQ336&gt;6,INDEX(Festivals!$V$2:$V$160,$AP336+6),""),"")</f>
        <v/>
      </c>
      <c r="AL336" t="str">
        <f ca="1">IFERROR(INDEX('Holidays Calc'!$J$2:$J$233,MATCH(A336,'Holidays Calc'!$I$2:$I$233,0)),"")</f>
        <v/>
      </c>
      <c r="AM336" t="str">
        <f ca="1">IF(AR336="","",IF(INDEX('Holidays Calc'!$I$2:$I$233,AR336+1)=A336,INDEX('Holidays Calc'!$J$2:$J$233,AR336+1),""))</f>
        <v/>
      </c>
      <c r="AN336" t="str">
        <f ca="1">IF(AR336="","",IF(INDEX('Holidays Calc'!$I$2:$I$233,AR336+2)=A336,INDEX('Holidays Calc'!$J$2:$J$233,AR336+2),""))</f>
        <v/>
      </c>
      <c r="AO336" t="str">
        <f ca="1">IF(AR336="","",IF(INDEX('Holidays Calc'!$I$2:$I$233,AR336+3)=A336,INDEX('Holidays Calc'!$J$2:$J$233,AR336+3),""))</f>
        <v/>
      </c>
      <c r="AP336" t="str">
        <f>IFERROR(IF($E336=E335,"",MATCH($E336,Festivals!$H$2:$H$160,0)),"")</f>
        <v/>
      </c>
      <c r="AQ336" t="str">
        <f>IF(AP336="","",COUNTIF(Festivals!$H$2:$H$160,$E336))</f>
        <v/>
      </c>
      <c r="AR336" t="str">
        <f ca="1">IFERROR(MATCH(A336,'Holidays Calc'!$I$2:$I$233,0),"")</f>
        <v/>
      </c>
      <c r="AS336">
        <f t="shared" si="39"/>
        <v>-0.7</v>
      </c>
      <c r="AT336">
        <f t="shared" si="38"/>
        <v>-0.7</v>
      </c>
      <c r="AU336" t="str">
        <f t="shared" ca="1" si="40"/>
        <v/>
      </c>
      <c r="AV336">
        <f t="shared" ca="1" si="41"/>
        <v>-0.7</v>
      </c>
    </row>
    <row r="337" spans="1:48" x14ac:dyDescent="0.25">
      <c r="A337" s="265">
        <f t="shared" si="37"/>
        <v>43763</v>
      </c>
      <c r="B337" s="265" t="str">
        <f t="shared" si="42"/>
        <v>25 Oct 2019</v>
      </c>
      <c r="C337" s="267">
        <f t="shared" si="43"/>
        <v>43</v>
      </c>
      <c r="D337">
        <f>MATCH(A337,GCalXMLT[daydate],0)</f>
        <v>336</v>
      </c>
      <c r="E337">
        <f>VALUE("1" &amp; Masacod(INDEX(GCalXMLT[gymasa],D337)) &amp; PaksaCod(INDEX(GCalXMLT[mpaksaid],D337)) &amp; TithiCod(INDEX(GCalXMLT[stithiname],D337)))</f>
        <v>108012</v>
      </c>
      <c r="F337" t="str">
        <f ca="1">INDEX(Parameters!$K$2:$K$16,MATCH(AV337,Parameters!$L$2:$L$16,0))</f>
        <v/>
      </c>
      <c r="G337">
        <f>INDEX(GCalXMLT[fastmark],$D337)</f>
        <v>0</v>
      </c>
      <c r="H337" t="str">
        <f ca="1">INDEX(Parameters!$J$2:$J$16,MATCH(AV337,Parameters!$L$2:$L$16,0))</f>
        <v/>
      </c>
      <c r="I337">
        <f>INDEX(GCalXMLT[dfestival1],$D337)</f>
        <v>0</v>
      </c>
      <c r="J337">
        <f>IF(INDEX(GCalXMLT[dfestival2],$D337)="(Fast today)",INDEX(Festivals!$R$2:$R$180,MATCH($I337,Festivals!$R$2:$R$180,0)+1),INDEX(GCalXMLT[dfestival2],$D337))</f>
        <v>0</v>
      </c>
      <c r="K337">
        <f>IF(I337="Nandotsava","(Fast till noon)",INDEX(GCalXMLT[dfestival3],$D337))</f>
        <v>0</v>
      </c>
      <c r="L337">
        <f>IF(I337="Nandotsava", INDEX(GCalXMLT[dfestival3],$D337),INDEX(GCalXMLT[dfestival4],$D337))</f>
        <v>0</v>
      </c>
      <c r="M337" t="str">
        <f>IFERROR(INDEX(Festivals!$S$2:$S$160,AP337),"")</f>
        <v/>
      </c>
      <c r="N337" t="str">
        <f>IFERROR(IF($AQ337&gt;1,INDEX(Festivals!$S$2:$S$160,$AP337+1),""),"")</f>
        <v/>
      </c>
      <c r="O337" t="str">
        <f>IFERROR(IF($AQ337&gt;2,INDEX(Festivals!$S$2:$S$160,$AP337+2),""),"")</f>
        <v/>
      </c>
      <c r="P337" t="str">
        <f>IFERROR(IF($AQ337&gt;3,INDEX(Festivals!$S$2:$S$160,$AP337+3),""),"")</f>
        <v/>
      </c>
      <c r="Q337" t="str">
        <f>IFERROR(IF($AQ337&gt;4,INDEX(Festivals!$S$2:$S$160,$AP337+4),""),"")</f>
        <v/>
      </c>
      <c r="R337" t="str">
        <f>IFERROR(IF($AQ337&gt;5,INDEX(Festivals!$S$2:$S$160,$AP337+5),""),"")</f>
        <v/>
      </c>
      <c r="S337" t="str">
        <f>IFERROR(IF($AQ337&gt;6,INDEX(Festivals!$S$2:$S$160,$AP337+6),""),"")</f>
        <v/>
      </c>
      <c r="T337">
        <f>INDEX(GCalXMLT[dcaturmasya1],$D337)</f>
        <v>0</v>
      </c>
      <c r="U337">
        <f>INDEX(GCalXMLT[dcaturmasya2],$D337)</f>
        <v>0</v>
      </c>
      <c r="V337" t="str">
        <f>INDEX(GCalXMLT[sankrantirasi],$D337) &amp; " " &amp; INDEX(GCalXMLT[sankrantitime],$D337)</f>
        <v xml:space="preserve"> </v>
      </c>
      <c r="W337" t="str">
        <f ca="1">IFERROR(INDEX('Holidays Calc'!$K$2:$K$233,AR337),"")</f>
        <v/>
      </c>
      <c r="X337" t="str">
        <f ca="1">IF(AR337="","",IF(INDEX('Holidays Calc'!$I$2:$I$233,AR337+1)=A337,INDEX('Holidays Calc'!$K$2:$K$233,AR337+1),""))</f>
        <v/>
      </c>
      <c r="Y337" t="str">
        <f ca="1">IF(AR337="","",IF(INDEX('Holidays Calc'!$I$2:$I$233,AR337+2)=A337,INDEX('Holidays Calc'!$K$2:$K$233,AR337+2),""))</f>
        <v/>
      </c>
      <c r="Z337" t="str">
        <f ca="1">IF(AR337="","",IF(INDEX('Holidays Calc'!$I$2:$I$233,AR337+3)=A337,INDEX('Holidays Calc'!$K$2:$K$2333,AR337+3),""))</f>
        <v/>
      </c>
      <c r="AA337" t="str">
        <f>IF(I337="Last day of Bhisma Pancaka","",IF(G337="*",-0.7,IF(ISBLANK(INDEX(GCalXMLT[dclass1],$D337)),"",INDEX(GCalXMLT[dclass1],$D337))))</f>
        <v/>
      </c>
      <c r="AB337" t="str">
        <f>IF(J337="First day of Bhisma Pancaka","",IF(AND(G337="*",NOT(ISERROR(SEARCH("ekadasi",J337)))),-0.7,IF(ISBLANK(INDEX(GCalXMLT[dclass2],$D337)),"",INDEX(GCalXMLT[dclass2],$D337))))</f>
        <v/>
      </c>
      <c r="AC337" t="str">
        <f>IF(I337="Nandotsava",-1,IF(ISBLANK(INDEX(GCalXMLT[dclass3],$D337)),"",INDEX(GCalXMLT[dclass3],$D337)))</f>
        <v/>
      </c>
      <c r="AD337" t="str">
        <f>IF(I337="Nandotsava",IF(ISBLANK(INDEX(GCalXMLT[dclass3],$D337)),"",INDEX(GCalXMLT[dclass3],$D337)),IF(ISBLANK(INDEX(GCalXMLT[dclass4],$D337)),"",INDEX(GCalXMLT[dclass4],$D337)))</f>
        <v/>
      </c>
      <c r="AE337" t="str">
        <f>IFERROR(INDEX(Festivals!$V$2:$V$160,AP337),"")</f>
        <v/>
      </c>
      <c r="AF337" t="str">
        <f>IFERROR(IF($AQ337&gt;1,INDEX(Festivals!$V$2:$V$160,$AP337+1),""),"")</f>
        <v/>
      </c>
      <c r="AG337" t="str">
        <f>IFERROR(IF($AQ337&gt;2,INDEX(Festivals!$V$2:$V$160,$AP337+2),""),"")</f>
        <v/>
      </c>
      <c r="AH337" t="str">
        <f>IFERROR(IF($AQ337&gt;3,INDEX(Festivals!$V$2:$V$160,$AP337+3),""),"")</f>
        <v/>
      </c>
      <c r="AI337" t="str">
        <f>IFERROR(IF($AQ337&gt;4,INDEX(Festivals!$V$2:$V$160,$AP337+4),""),"")</f>
        <v/>
      </c>
      <c r="AJ337" t="str">
        <f>IFERROR(IF($AQ337&gt;5,INDEX(Festivals!$V$2:$V$160,$AP337+5),""),"")</f>
        <v/>
      </c>
      <c r="AK337" t="str">
        <f>IFERROR(IF($AQ337&gt;6,INDEX(Festivals!$V$2:$V$160,$AP337+6),""),"")</f>
        <v/>
      </c>
      <c r="AL337" t="str">
        <f ca="1">IFERROR(INDEX('Holidays Calc'!$J$2:$J$233,MATCH(A337,'Holidays Calc'!$I$2:$I$233,0)),"")</f>
        <v/>
      </c>
      <c r="AM337" t="str">
        <f ca="1">IF(AR337="","",IF(INDEX('Holidays Calc'!$I$2:$I$233,AR337+1)=A337,INDEX('Holidays Calc'!$J$2:$J$233,AR337+1),""))</f>
        <v/>
      </c>
      <c r="AN337" t="str">
        <f ca="1">IF(AR337="","",IF(INDEX('Holidays Calc'!$I$2:$I$233,AR337+2)=A337,INDEX('Holidays Calc'!$J$2:$J$233,AR337+2),""))</f>
        <v/>
      </c>
      <c r="AO337" t="str">
        <f ca="1">IF(AR337="","",IF(INDEX('Holidays Calc'!$I$2:$I$233,AR337+3)=A337,INDEX('Holidays Calc'!$J$2:$J$233,AR337+3),""))</f>
        <v/>
      </c>
      <c r="AP337" t="str">
        <f>IFERROR(IF($E337=E336,"",MATCH($E337,Festivals!$H$2:$H$160,0)),"")</f>
        <v/>
      </c>
      <c r="AQ337" t="str">
        <f>IF(AP337="","",COUNTIF(Festivals!$H$2:$H$160,$E337))</f>
        <v/>
      </c>
      <c r="AR337" t="str">
        <f ca="1">IFERROR(MATCH(A337,'Holidays Calc'!$I$2:$I$233,0),"")</f>
        <v/>
      </c>
      <c r="AS337" t="str">
        <f t="shared" si="39"/>
        <v/>
      </c>
      <c r="AT337" t="str">
        <f t="shared" si="38"/>
        <v/>
      </c>
      <c r="AU337" t="str">
        <f t="shared" ca="1" si="40"/>
        <v/>
      </c>
      <c r="AV337" t="str">
        <f t="shared" ca="1" si="41"/>
        <v/>
      </c>
    </row>
    <row r="338" spans="1:48" x14ac:dyDescent="0.25">
      <c r="A338" s="265">
        <f t="shared" si="37"/>
        <v>43764</v>
      </c>
      <c r="B338" s="265" t="str">
        <f t="shared" si="42"/>
        <v>26 Oct 2019</v>
      </c>
      <c r="C338" s="267">
        <f t="shared" si="43"/>
        <v>43</v>
      </c>
      <c r="D338">
        <f>MATCH(A338,GCalXMLT[daydate],0)</f>
        <v>337</v>
      </c>
      <c r="E338">
        <f>VALUE("1" &amp; Masacod(INDEX(GCalXMLT[gymasa],D338)) &amp; PaksaCod(INDEX(GCalXMLT[mpaksaid],D338)) &amp; TithiCod(INDEX(GCalXMLT[stithiname],D338)))</f>
        <v>108013</v>
      </c>
      <c r="F338" t="str">
        <f ca="1">INDEX(Parameters!$K$2:$K$16,MATCH(AV338,Parameters!$L$2:$L$16,0))</f>
        <v/>
      </c>
      <c r="G338">
        <f>INDEX(GCalXMLT[fastmark],$D338)</f>
        <v>0</v>
      </c>
      <c r="H338" t="str">
        <f ca="1">INDEX(Parameters!$J$2:$J$16,MATCH(AV338,Parameters!$L$2:$L$16,0))</f>
        <v/>
      </c>
      <c r="I338">
        <f>INDEX(GCalXMLT[dfestival1],$D338)</f>
        <v>0</v>
      </c>
      <c r="J338">
        <f>IF(INDEX(GCalXMLT[dfestival2],$D338)="(Fast today)",INDEX(Festivals!$R$2:$R$180,MATCH($I338,Festivals!$R$2:$R$180,0)+1),INDEX(GCalXMLT[dfestival2],$D338))</f>
        <v>0</v>
      </c>
      <c r="K338">
        <f>IF(I338="Nandotsava","(Fast till noon)",INDEX(GCalXMLT[dfestival3],$D338))</f>
        <v>0</v>
      </c>
      <c r="L338">
        <f>IF(I338="Nandotsava", INDEX(GCalXMLT[dfestival3],$D338),INDEX(GCalXMLT[dfestival4],$D338))</f>
        <v>0</v>
      </c>
      <c r="M338" t="str">
        <f>IFERROR(INDEX(Festivals!$S$2:$S$160,AP338),"")</f>
        <v/>
      </c>
      <c r="N338" t="str">
        <f>IFERROR(IF($AQ338&gt;1,INDEX(Festivals!$S$2:$S$160,$AP338+1),""),"")</f>
        <v/>
      </c>
      <c r="O338" t="str">
        <f>IFERROR(IF($AQ338&gt;2,INDEX(Festivals!$S$2:$S$160,$AP338+2),""),"")</f>
        <v/>
      </c>
      <c r="P338" t="str">
        <f>IFERROR(IF($AQ338&gt;3,INDEX(Festivals!$S$2:$S$160,$AP338+3),""),"")</f>
        <v/>
      </c>
      <c r="Q338" t="str">
        <f>IFERROR(IF($AQ338&gt;4,INDEX(Festivals!$S$2:$S$160,$AP338+4),""),"")</f>
        <v/>
      </c>
      <c r="R338" t="str">
        <f>IFERROR(IF($AQ338&gt;5,INDEX(Festivals!$S$2:$S$160,$AP338+5),""),"")</f>
        <v/>
      </c>
      <c r="S338" t="str">
        <f>IFERROR(IF($AQ338&gt;6,INDEX(Festivals!$S$2:$S$160,$AP338+6),""),"")</f>
        <v/>
      </c>
      <c r="T338">
        <f>INDEX(GCalXMLT[dcaturmasya1],$D338)</f>
        <v>0</v>
      </c>
      <c r="U338">
        <f>INDEX(GCalXMLT[dcaturmasya2],$D338)</f>
        <v>0</v>
      </c>
      <c r="V338" t="str">
        <f>INDEX(GCalXMLT[sankrantirasi],$D338) &amp; " " &amp; INDEX(GCalXMLT[sankrantitime],$D338)</f>
        <v xml:space="preserve"> </v>
      </c>
      <c r="W338" t="str">
        <f ca="1">IFERROR(INDEX('Holidays Calc'!$K$2:$K$233,AR338),"")</f>
        <v/>
      </c>
      <c r="X338" t="str">
        <f ca="1">IF(AR338="","",IF(INDEX('Holidays Calc'!$I$2:$I$233,AR338+1)=A338,INDEX('Holidays Calc'!$K$2:$K$233,AR338+1),""))</f>
        <v/>
      </c>
      <c r="Y338" t="str">
        <f ca="1">IF(AR338="","",IF(INDEX('Holidays Calc'!$I$2:$I$233,AR338+2)=A338,INDEX('Holidays Calc'!$K$2:$K$233,AR338+2),""))</f>
        <v/>
      </c>
      <c r="Z338" t="str">
        <f ca="1">IF(AR338="","",IF(INDEX('Holidays Calc'!$I$2:$I$233,AR338+3)=A338,INDEX('Holidays Calc'!$K$2:$K$2333,AR338+3),""))</f>
        <v/>
      </c>
      <c r="AA338" t="str">
        <f>IF(I338="Last day of Bhisma Pancaka","",IF(G338="*",-0.7,IF(ISBLANK(INDEX(GCalXMLT[dclass1],$D338)),"",INDEX(GCalXMLT[dclass1],$D338))))</f>
        <v/>
      </c>
      <c r="AB338" t="str">
        <f>IF(J338="First day of Bhisma Pancaka","",IF(AND(G338="*",NOT(ISERROR(SEARCH("ekadasi",J338)))),-0.7,IF(ISBLANK(INDEX(GCalXMLT[dclass2],$D338)),"",INDEX(GCalXMLT[dclass2],$D338))))</f>
        <v/>
      </c>
      <c r="AC338" t="str">
        <f>IF(I338="Nandotsava",-1,IF(ISBLANK(INDEX(GCalXMLT[dclass3],$D338)),"",INDEX(GCalXMLT[dclass3],$D338)))</f>
        <v/>
      </c>
      <c r="AD338" t="str">
        <f>IF(I338="Nandotsava",IF(ISBLANK(INDEX(GCalXMLT[dclass3],$D338)),"",INDEX(GCalXMLT[dclass3],$D338)),IF(ISBLANK(INDEX(GCalXMLT[dclass4],$D338)),"",INDEX(GCalXMLT[dclass4],$D338)))</f>
        <v/>
      </c>
      <c r="AE338" t="str">
        <f>IFERROR(INDEX(Festivals!$V$2:$V$160,AP338),"")</f>
        <v/>
      </c>
      <c r="AF338" t="str">
        <f>IFERROR(IF($AQ338&gt;1,INDEX(Festivals!$V$2:$V$160,$AP338+1),""),"")</f>
        <v/>
      </c>
      <c r="AG338" t="str">
        <f>IFERROR(IF($AQ338&gt;2,INDEX(Festivals!$V$2:$V$160,$AP338+2),""),"")</f>
        <v/>
      </c>
      <c r="AH338" t="str">
        <f>IFERROR(IF($AQ338&gt;3,INDEX(Festivals!$V$2:$V$160,$AP338+3),""),"")</f>
        <v/>
      </c>
      <c r="AI338" t="str">
        <f>IFERROR(IF($AQ338&gt;4,INDEX(Festivals!$V$2:$V$160,$AP338+4),""),"")</f>
        <v/>
      </c>
      <c r="AJ338" t="str">
        <f>IFERROR(IF($AQ338&gt;5,INDEX(Festivals!$V$2:$V$160,$AP338+5),""),"")</f>
        <v/>
      </c>
      <c r="AK338" t="str">
        <f>IFERROR(IF($AQ338&gt;6,INDEX(Festivals!$V$2:$V$160,$AP338+6),""),"")</f>
        <v/>
      </c>
      <c r="AL338" t="str">
        <f ca="1">IFERROR(INDEX('Holidays Calc'!$J$2:$J$233,MATCH(A338,'Holidays Calc'!$I$2:$I$233,0)),"")</f>
        <v/>
      </c>
      <c r="AM338" t="str">
        <f ca="1">IF(AR338="","",IF(INDEX('Holidays Calc'!$I$2:$I$233,AR338+1)=A338,INDEX('Holidays Calc'!$J$2:$J$233,AR338+1),""))</f>
        <v/>
      </c>
      <c r="AN338" t="str">
        <f ca="1">IF(AR338="","",IF(INDEX('Holidays Calc'!$I$2:$I$233,AR338+2)=A338,INDEX('Holidays Calc'!$J$2:$J$233,AR338+2),""))</f>
        <v/>
      </c>
      <c r="AO338" t="str">
        <f ca="1">IF(AR338="","",IF(INDEX('Holidays Calc'!$I$2:$I$233,AR338+3)=A338,INDEX('Holidays Calc'!$J$2:$J$233,AR338+3),""))</f>
        <v/>
      </c>
      <c r="AP338" t="str">
        <f>IFERROR(IF($E338=E337,"",MATCH($E338,Festivals!$H$2:$H$160,0)),"")</f>
        <v/>
      </c>
      <c r="AQ338" t="str">
        <f>IF(AP338="","",COUNTIF(Festivals!$H$2:$H$160,$E338))</f>
        <v/>
      </c>
      <c r="AR338" t="str">
        <f ca="1">IFERROR(MATCH(A338,'Holidays Calc'!$I$2:$I$233,0),"")</f>
        <v/>
      </c>
      <c r="AS338" t="str">
        <f t="shared" si="39"/>
        <v/>
      </c>
      <c r="AT338" t="str">
        <f t="shared" si="38"/>
        <v/>
      </c>
      <c r="AU338" t="str">
        <f t="shared" ca="1" si="40"/>
        <v/>
      </c>
      <c r="AV338" t="str">
        <f t="shared" ca="1" si="41"/>
        <v/>
      </c>
    </row>
    <row r="339" spans="1:48" x14ac:dyDescent="0.25">
      <c r="A339" s="265">
        <f t="shared" si="37"/>
        <v>43765</v>
      </c>
      <c r="B339" s="265" t="str">
        <f t="shared" si="42"/>
        <v>27 Oct 2019</v>
      </c>
      <c r="C339" s="267">
        <f t="shared" si="43"/>
        <v>43</v>
      </c>
      <c r="D339">
        <f>MATCH(A339,GCalXMLT[daydate],0)</f>
        <v>338</v>
      </c>
      <c r="E339">
        <f>VALUE("1" &amp; Masacod(INDEX(GCalXMLT[gymasa],D339)) &amp; PaksaCod(INDEX(GCalXMLT[mpaksaid],D339)) &amp; TithiCod(INDEX(GCalXMLT[stithiname],D339)))</f>
        <v>108015</v>
      </c>
      <c r="F339" t="str">
        <f ca="1">INDEX(Parameters!$K$2:$K$16,MATCH(AV339,Parameters!$L$2:$L$16,0))</f>
        <v>C</v>
      </c>
      <c r="G339">
        <f>INDEX(GCalXMLT[fastmark],$D339)</f>
        <v>0</v>
      </c>
      <c r="H339" t="str">
        <f ca="1">INDEX(Parameters!$J$2:$J$16,MATCH(AV339,Parameters!$L$2:$L$16,0))</f>
        <v/>
      </c>
      <c r="I339">
        <f>INDEX(GCalXMLT[dfestival1],$D339)</f>
        <v>0</v>
      </c>
      <c r="J339">
        <f>IF(INDEX(GCalXMLT[dfestival2],$D339)="(Fast today)",INDEX(Festivals!$R$2:$R$180,MATCH($I339,Festivals!$R$2:$R$180,0)+1),INDEX(GCalXMLT[dfestival2],$D339))</f>
        <v>0</v>
      </c>
      <c r="K339">
        <f>IF(I339="Nandotsava","(Fast till noon)",INDEX(GCalXMLT[dfestival3],$D339))</f>
        <v>0</v>
      </c>
      <c r="L339">
        <f>IF(I339="Nandotsava", INDEX(GCalXMLT[dfestival3],$D339),INDEX(GCalXMLT[dfestival4],$D339))</f>
        <v>0</v>
      </c>
      <c r="M339" t="str">
        <f>IFERROR(INDEX(Festivals!$S$2:$S$160,AP339),"")</f>
        <v>Dipa dana, Dipavali, (Kali Puja)</v>
      </c>
      <c r="N339" t="str">
        <f>IFERROR(IF($AQ339&gt;1,INDEX(Festivals!$S$2:$S$160,$AP339+1),""),"")</f>
        <v/>
      </c>
      <c r="O339" t="str">
        <f>IFERROR(IF($AQ339&gt;2,INDEX(Festivals!$S$2:$S$160,$AP339+2),""),"")</f>
        <v/>
      </c>
      <c r="P339" t="str">
        <f>IFERROR(IF($AQ339&gt;3,INDEX(Festivals!$S$2:$S$160,$AP339+3),""),"")</f>
        <v/>
      </c>
      <c r="Q339" t="str">
        <f>IFERROR(IF($AQ339&gt;4,INDEX(Festivals!$S$2:$S$160,$AP339+4),""),"")</f>
        <v/>
      </c>
      <c r="R339" t="str">
        <f>IFERROR(IF($AQ339&gt;5,INDEX(Festivals!$S$2:$S$160,$AP339+5),""),"")</f>
        <v/>
      </c>
      <c r="S339" t="str">
        <f>IFERROR(IF($AQ339&gt;6,INDEX(Festivals!$S$2:$S$160,$AP339+6),""),"")</f>
        <v/>
      </c>
      <c r="T339">
        <f>INDEX(GCalXMLT[dcaturmasya1],$D339)</f>
        <v>0</v>
      </c>
      <c r="U339">
        <f>INDEX(GCalXMLT[dcaturmasya2],$D339)</f>
        <v>0</v>
      </c>
      <c r="V339" t="str">
        <f>INDEX(GCalXMLT[sankrantirasi],$D339) &amp; " " &amp; INDEX(GCalXMLT[sankrantitime],$D339)</f>
        <v xml:space="preserve"> </v>
      </c>
      <c r="W339" t="str">
        <f ca="1">IFERROR(INDEX('Holidays Calc'!$K$2:$K$233,AR339),"")</f>
        <v/>
      </c>
      <c r="X339" t="str">
        <f ca="1">IF(AR339="","",IF(INDEX('Holidays Calc'!$I$2:$I$233,AR339+1)=A339,INDEX('Holidays Calc'!$K$2:$K$233,AR339+1),""))</f>
        <v/>
      </c>
      <c r="Y339" t="str">
        <f ca="1">IF(AR339="","",IF(INDEX('Holidays Calc'!$I$2:$I$233,AR339+2)=A339,INDEX('Holidays Calc'!$K$2:$K$233,AR339+2),""))</f>
        <v/>
      </c>
      <c r="Z339" t="str">
        <f ca="1">IF(AR339="","",IF(INDEX('Holidays Calc'!$I$2:$I$233,AR339+3)=A339,INDEX('Holidays Calc'!$K$2:$K$2333,AR339+3),""))</f>
        <v/>
      </c>
      <c r="AA339" t="str">
        <f>IF(I339="Last day of Bhisma Pancaka","",IF(G339="*",-0.7,IF(ISBLANK(INDEX(GCalXMLT[dclass1],$D339)),"",INDEX(GCalXMLT[dclass1],$D339))))</f>
        <v/>
      </c>
      <c r="AB339" t="str">
        <f>IF(J339="First day of Bhisma Pancaka","",IF(AND(G339="*",NOT(ISERROR(SEARCH("ekadasi",J339)))),-0.7,IF(ISBLANK(INDEX(GCalXMLT[dclass2],$D339)),"",INDEX(GCalXMLT[dclass2],$D339))))</f>
        <v/>
      </c>
      <c r="AC339" t="str">
        <f>IF(I339="Nandotsava",-1,IF(ISBLANK(INDEX(GCalXMLT[dclass3],$D339)),"",INDEX(GCalXMLT[dclass3],$D339)))</f>
        <v/>
      </c>
      <c r="AD339" t="str">
        <f>IF(I339="Nandotsava",IF(ISBLANK(INDEX(GCalXMLT[dclass3],$D339)),"",INDEX(GCalXMLT[dclass3],$D339)),IF(ISBLANK(INDEX(GCalXMLT[dclass4],$D339)),"",INDEX(GCalXMLT[dclass4],$D339)))</f>
        <v/>
      </c>
      <c r="AE339">
        <f>IFERROR(INDEX(Festivals!$V$2:$V$160,AP339),"")</f>
        <v>1</v>
      </c>
      <c r="AF339" t="str">
        <f>IFERROR(IF($AQ339&gt;1,INDEX(Festivals!$V$2:$V$160,$AP339+1),""),"")</f>
        <v/>
      </c>
      <c r="AG339" t="str">
        <f>IFERROR(IF($AQ339&gt;2,INDEX(Festivals!$V$2:$V$160,$AP339+2),""),"")</f>
        <v/>
      </c>
      <c r="AH339" t="str">
        <f>IFERROR(IF($AQ339&gt;3,INDEX(Festivals!$V$2:$V$160,$AP339+3),""),"")</f>
        <v/>
      </c>
      <c r="AI339" t="str">
        <f>IFERROR(IF($AQ339&gt;4,INDEX(Festivals!$V$2:$V$160,$AP339+4),""),"")</f>
        <v/>
      </c>
      <c r="AJ339" t="str">
        <f>IFERROR(IF($AQ339&gt;5,INDEX(Festivals!$V$2:$V$160,$AP339+5),""),"")</f>
        <v/>
      </c>
      <c r="AK339" t="str">
        <f>IFERROR(IF($AQ339&gt;6,INDEX(Festivals!$V$2:$V$160,$AP339+6),""),"")</f>
        <v/>
      </c>
      <c r="AL339" t="str">
        <f ca="1">IFERROR(INDEX('Holidays Calc'!$J$2:$J$233,MATCH(A339,'Holidays Calc'!$I$2:$I$233,0)),"")</f>
        <v/>
      </c>
      <c r="AM339" t="str">
        <f ca="1">IF(AR339="","",IF(INDEX('Holidays Calc'!$I$2:$I$233,AR339+1)=A339,INDEX('Holidays Calc'!$J$2:$J$233,AR339+1),""))</f>
        <v/>
      </c>
      <c r="AN339" t="str">
        <f ca="1">IF(AR339="","",IF(INDEX('Holidays Calc'!$I$2:$I$233,AR339+2)=A339,INDEX('Holidays Calc'!$J$2:$J$233,AR339+2),""))</f>
        <v/>
      </c>
      <c r="AO339" t="str">
        <f ca="1">IF(AR339="","",IF(INDEX('Holidays Calc'!$I$2:$I$233,AR339+3)=A339,INDEX('Holidays Calc'!$J$2:$J$233,AR339+3),""))</f>
        <v/>
      </c>
      <c r="AP339">
        <f>IFERROR(IF($E339=E338,"",MATCH($E339,Festivals!$H$2:$H$160,0)),"")</f>
        <v>89</v>
      </c>
      <c r="AQ339">
        <f>IF(AP339="","",COUNTIF(Festivals!$H$2:$H$160,$E339))</f>
        <v>1</v>
      </c>
      <c r="AR339" t="str">
        <f ca="1">IFERROR(MATCH(A339,'Holidays Calc'!$I$2:$I$233,0),"")</f>
        <v/>
      </c>
      <c r="AS339">
        <f t="shared" si="39"/>
        <v>1</v>
      </c>
      <c r="AT339">
        <f t="shared" si="38"/>
        <v>1</v>
      </c>
      <c r="AU339" t="str">
        <f t="shared" ca="1" si="40"/>
        <v/>
      </c>
      <c r="AV339">
        <f t="shared" ca="1" si="41"/>
        <v>1</v>
      </c>
    </row>
    <row r="340" spans="1:48" x14ac:dyDescent="0.25">
      <c r="A340" s="265">
        <f t="shared" si="37"/>
        <v>43766</v>
      </c>
      <c r="B340" s="265" t="str">
        <f t="shared" si="42"/>
        <v>28 Oct 2019</v>
      </c>
      <c r="C340" s="267">
        <f t="shared" si="43"/>
        <v>44</v>
      </c>
      <c r="D340">
        <f>MATCH(A340,GCalXMLT[daydate],0)</f>
        <v>339</v>
      </c>
      <c r="E340">
        <f>VALUE("1" &amp; Masacod(INDEX(GCalXMLT[gymasa],D340)) &amp; PaksaCod(INDEX(GCalXMLT[mpaksaid],D340)) &amp; TithiCod(INDEX(GCalXMLT[stithiname],D340)))</f>
        <v>108101</v>
      </c>
      <c r="F340" t="str">
        <f ca="1">INDEX(Parameters!$K$2:$K$16,MATCH(AV340,Parameters!$L$2:$L$16,0))</f>
        <v>C</v>
      </c>
      <c r="G340">
        <f>INDEX(GCalXMLT[fastmark],$D340)</f>
        <v>0</v>
      </c>
      <c r="H340" t="str">
        <f ca="1">INDEX(Parameters!$J$2:$J$16,MATCH(AV340,Parameters!$L$2:$L$16,0))</f>
        <v/>
      </c>
      <c r="I340" t="str">
        <f>INDEX(GCalXMLT[dfestival1],$D340)</f>
        <v>Go Puja. Go Krda. Govardhana Puja.</v>
      </c>
      <c r="J340">
        <f>IF(INDEX(GCalXMLT[dfestival2],$D340)="(Fast today)",INDEX(Festivals!$R$2:$R$180,MATCH($I340,Festivals!$R$2:$R$180,0)+1),INDEX(GCalXMLT[dfestival2],$D340))</f>
        <v>0</v>
      </c>
      <c r="K340">
        <f>IF(I340="Nandotsava","(Fast till noon)",INDEX(GCalXMLT[dfestival3],$D340))</f>
        <v>0</v>
      </c>
      <c r="L340">
        <f>IF(I340="Nandotsava", INDEX(GCalXMLT[dfestival3],$D340),INDEX(GCalXMLT[dfestival4],$D340))</f>
        <v>0</v>
      </c>
      <c r="M340" t="str">
        <f>IFERROR(INDEX(Festivals!$S$2:$S$160,AP340),"")</f>
        <v>Bali Daityaraja Puja</v>
      </c>
      <c r="N340" t="str">
        <f>IFERROR(IF($AQ340&gt;1,INDEX(Festivals!$S$2:$S$160,$AP340+1),""),"")</f>
        <v>Sri Rasikananda - Appearance</v>
      </c>
      <c r="O340" t="str">
        <f>IFERROR(IF($AQ340&gt;2,INDEX(Festivals!$S$2:$S$160,$AP340+2),""),"")</f>
        <v/>
      </c>
      <c r="P340" t="str">
        <f>IFERROR(IF($AQ340&gt;3,INDEX(Festivals!$S$2:$S$160,$AP340+3),""),"")</f>
        <v/>
      </c>
      <c r="Q340" t="str">
        <f>IFERROR(IF($AQ340&gt;4,INDEX(Festivals!$S$2:$S$160,$AP340+4),""),"")</f>
        <v/>
      </c>
      <c r="R340" t="str">
        <f>IFERROR(IF($AQ340&gt;5,INDEX(Festivals!$S$2:$S$160,$AP340+5),""),"")</f>
        <v/>
      </c>
      <c r="S340" t="str">
        <f>IFERROR(IF($AQ340&gt;6,INDEX(Festivals!$S$2:$S$160,$AP340+6),""),"")</f>
        <v/>
      </c>
      <c r="T340">
        <f>INDEX(GCalXMLT[dcaturmasya1],$D340)</f>
        <v>0</v>
      </c>
      <c r="U340">
        <f>INDEX(GCalXMLT[dcaturmasya2],$D340)</f>
        <v>0</v>
      </c>
      <c r="V340" t="str">
        <f>INDEX(GCalXMLT[sankrantirasi],$D340) &amp; " " &amp; INDEX(GCalXMLT[sankrantitime],$D340)</f>
        <v xml:space="preserve"> </v>
      </c>
      <c r="W340" t="str">
        <f ca="1">IFERROR(INDEX('Holidays Calc'!$K$2:$K$233,AR340),"")</f>
        <v>Dia do Servidor Público</v>
      </c>
      <c r="X340" t="str">
        <f ca="1">IF(AR340="","",IF(INDEX('Holidays Calc'!$I$2:$I$233,AR340+1)=A340,INDEX('Holidays Calc'!$K$2:$K$233,AR340+1),""))</f>
        <v/>
      </c>
      <c r="Y340" t="str">
        <f ca="1">IF(AR340="","",IF(INDEX('Holidays Calc'!$I$2:$I$233,AR340+2)=A340,INDEX('Holidays Calc'!$K$2:$K$233,AR340+2),""))</f>
        <v/>
      </c>
      <c r="Z340" t="str">
        <f ca="1">IF(AR340="","",IF(INDEX('Holidays Calc'!$I$2:$I$233,AR340+3)=A340,INDEX('Holidays Calc'!$K$2:$K$2333,AR340+3),""))</f>
        <v/>
      </c>
      <c r="AA340">
        <f>IF(I340="Last day of Bhisma Pancaka","",IF(G340="*",-0.7,IF(ISBLANK(INDEX(GCalXMLT[dclass1],$D340)),"",INDEX(GCalXMLT[dclass1],$D340))))</f>
        <v>1</v>
      </c>
      <c r="AB340" t="str">
        <f>IF(J340="First day of Bhisma Pancaka","",IF(AND(G340="*",NOT(ISERROR(SEARCH("ekadasi",J340)))),-0.7,IF(ISBLANK(INDEX(GCalXMLT[dclass2],$D340)),"",INDEX(GCalXMLT[dclass2],$D340))))</f>
        <v/>
      </c>
      <c r="AC340" t="str">
        <f>IF(I340="Nandotsava",-1,IF(ISBLANK(INDEX(GCalXMLT[dclass3],$D340)),"",INDEX(GCalXMLT[dclass3],$D340)))</f>
        <v/>
      </c>
      <c r="AD340" t="str">
        <f>IF(I340="Nandotsava",IF(ISBLANK(INDEX(GCalXMLT[dclass3],$D340)),"",INDEX(GCalXMLT[dclass3],$D340)),IF(ISBLANK(INDEX(GCalXMLT[dclass4],$D340)),"",INDEX(GCalXMLT[dclass4],$D340)))</f>
        <v/>
      </c>
      <c r="AE340">
        <f>IFERROR(INDEX(Festivals!$V$2:$V$160,AP340),"")</f>
        <v>1</v>
      </c>
      <c r="AF340">
        <f>IFERROR(IF($AQ340&gt;1,INDEX(Festivals!$V$2:$V$160,$AP340+1),""),"")</f>
        <v>3</v>
      </c>
      <c r="AG340" t="str">
        <f>IFERROR(IF($AQ340&gt;2,INDEX(Festivals!$V$2:$V$160,$AP340+2),""),"")</f>
        <v/>
      </c>
      <c r="AH340" t="str">
        <f>IFERROR(IF($AQ340&gt;3,INDEX(Festivals!$V$2:$V$160,$AP340+3),""),"")</f>
        <v/>
      </c>
      <c r="AI340" t="str">
        <f>IFERROR(IF($AQ340&gt;4,INDEX(Festivals!$V$2:$V$160,$AP340+4),""),"")</f>
        <v/>
      </c>
      <c r="AJ340" t="str">
        <f>IFERROR(IF($AQ340&gt;5,INDEX(Festivals!$V$2:$V$160,$AP340+5),""),"")</f>
        <v/>
      </c>
      <c r="AK340" t="str">
        <f>IFERROR(IF($AQ340&gt;6,INDEX(Festivals!$V$2:$V$160,$AP340+6),""),"")</f>
        <v/>
      </c>
      <c r="AL340">
        <f ca="1">IFERROR(INDEX('Holidays Calc'!$J$2:$J$233,MATCH(A340,'Holidays Calc'!$I$2:$I$233,0)),"")</f>
        <v>0.5</v>
      </c>
      <c r="AM340" t="str">
        <f ca="1">IF(AR340="","",IF(INDEX('Holidays Calc'!$I$2:$I$233,AR340+1)=A340,INDEX('Holidays Calc'!$J$2:$J$233,AR340+1),""))</f>
        <v/>
      </c>
      <c r="AN340" t="str">
        <f ca="1">IF(AR340="","",IF(INDEX('Holidays Calc'!$I$2:$I$233,AR340+2)=A340,INDEX('Holidays Calc'!$J$2:$J$233,AR340+2),""))</f>
        <v/>
      </c>
      <c r="AO340" t="str">
        <f ca="1">IF(AR340="","",IF(INDEX('Holidays Calc'!$I$2:$I$233,AR340+3)=A340,INDEX('Holidays Calc'!$J$2:$J$233,AR340+3),""))</f>
        <v/>
      </c>
      <c r="AP340">
        <f>IFERROR(IF($E340=E339,"",MATCH($E340,Festivals!$H$2:$H$160,0)),"")</f>
        <v>90</v>
      </c>
      <c r="AQ340">
        <f>IF(AP340="","",COUNTIF(Festivals!$H$2:$H$160,$E340))</f>
        <v>2</v>
      </c>
      <c r="AR340">
        <f ca="1">IFERROR(MATCH(A340,'Holidays Calc'!$I$2:$I$233,0),"")</f>
        <v>64</v>
      </c>
      <c r="AS340">
        <f t="shared" si="39"/>
        <v>1</v>
      </c>
      <c r="AT340">
        <f t="shared" si="38"/>
        <v>1</v>
      </c>
      <c r="AU340">
        <f t="shared" ca="1" si="40"/>
        <v>0.5</v>
      </c>
      <c r="AV340">
        <f t="shared" ca="1" si="41"/>
        <v>0.5</v>
      </c>
    </row>
    <row r="341" spans="1:48" x14ac:dyDescent="0.25">
      <c r="A341" s="265">
        <f t="shared" si="37"/>
        <v>43767</v>
      </c>
      <c r="B341" s="265" t="str">
        <f t="shared" si="42"/>
        <v>29 Oct 2019</v>
      </c>
      <c r="C341" s="267">
        <f t="shared" si="43"/>
        <v>44</v>
      </c>
      <c r="D341">
        <f>MATCH(A341,GCalXMLT[daydate],0)</f>
        <v>340</v>
      </c>
      <c r="E341">
        <f>VALUE("1" &amp; Masacod(INDEX(GCalXMLT[gymasa],D341)) &amp; PaksaCod(INDEX(GCalXMLT[mpaksaid],D341)) &amp; TithiCod(INDEX(GCalXMLT[stithiname],D341)))</f>
        <v>108102</v>
      </c>
      <c r="F341" t="str">
        <f ca="1">INDEX(Parameters!$K$2:$K$16,MATCH(AV341,Parameters!$L$2:$L$16,0))</f>
        <v>C</v>
      </c>
      <c r="G341">
        <f>INDEX(GCalXMLT[fastmark],$D341)</f>
        <v>0</v>
      </c>
      <c r="H341" t="str">
        <f ca="1">INDEX(Parameters!$J$2:$J$16,MATCH(AV341,Parameters!$L$2:$L$16,0))</f>
        <v/>
      </c>
      <c r="I341">
        <f>INDEX(GCalXMLT[dfestival1],$D341)</f>
        <v>0</v>
      </c>
      <c r="J341">
        <f>IF(INDEX(GCalXMLT[dfestival2],$D341)="(Fast today)",INDEX(Festivals!$R$2:$R$180,MATCH($I341,Festivals!$R$2:$R$180,0)+1),INDEX(GCalXMLT[dfestival2],$D341))</f>
        <v>0</v>
      </c>
      <c r="K341">
        <f>IF(I341="Nandotsava","(Fast till noon)",INDEX(GCalXMLT[dfestival3],$D341))</f>
        <v>0</v>
      </c>
      <c r="L341">
        <f>IF(I341="Nandotsava", INDEX(GCalXMLT[dfestival3],$D341),INDEX(GCalXMLT[dfestival4],$D341))</f>
        <v>0</v>
      </c>
      <c r="M341" t="str">
        <f>IFERROR(INDEX(Festivals!$S$2:$S$160,AP341),"")</f>
        <v>Sri Vasudeva Ghosh - Disappearance</v>
      </c>
      <c r="N341" t="str">
        <f>IFERROR(IF($AQ341&gt;1,INDEX(Festivals!$S$2:$S$160,$AP341+1),""),"")</f>
        <v/>
      </c>
      <c r="O341" t="str">
        <f>IFERROR(IF($AQ341&gt;2,INDEX(Festivals!$S$2:$S$160,$AP341+2),""),"")</f>
        <v/>
      </c>
      <c r="P341" t="str">
        <f>IFERROR(IF($AQ341&gt;3,INDEX(Festivals!$S$2:$S$160,$AP341+3),""),"")</f>
        <v/>
      </c>
      <c r="Q341" t="str">
        <f>IFERROR(IF($AQ341&gt;4,INDEX(Festivals!$S$2:$S$160,$AP341+4),""),"")</f>
        <v/>
      </c>
      <c r="R341" t="str">
        <f>IFERROR(IF($AQ341&gt;5,INDEX(Festivals!$S$2:$S$160,$AP341+5),""),"")</f>
        <v/>
      </c>
      <c r="S341" t="str">
        <f>IFERROR(IF($AQ341&gt;6,INDEX(Festivals!$S$2:$S$160,$AP341+6),""),"")</f>
        <v/>
      </c>
      <c r="T341">
        <f>INDEX(GCalXMLT[dcaturmasya1],$D341)</f>
        <v>0</v>
      </c>
      <c r="U341">
        <f>INDEX(GCalXMLT[dcaturmasya2],$D341)</f>
        <v>0</v>
      </c>
      <c r="V341" t="str">
        <f>INDEX(GCalXMLT[sankrantirasi],$D341) &amp; " " &amp; INDEX(GCalXMLT[sankrantitime],$D341)</f>
        <v xml:space="preserve"> </v>
      </c>
      <c r="W341" t="str">
        <f ca="1">IFERROR(INDEX('Holidays Calc'!$K$2:$K$233,AR341),"")</f>
        <v/>
      </c>
      <c r="X341" t="str">
        <f ca="1">IF(AR341="","",IF(INDEX('Holidays Calc'!$I$2:$I$233,AR341+1)=A341,INDEX('Holidays Calc'!$K$2:$K$233,AR341+1),""))</f>
        <v/>
      </c>
      <c r="Y341" t="str">
        <f ca="1">IF(AR341="","",IF(INDEX('Holidays Calc'!$I$2:$I$233,AR341+2)=A341,INDEX('Holidays Calc'!$K$2:$K$233,AR341+2),""))</f>
        <v/>
      </c>
      <c r="Z341" t="str">
        <f ca="1">IF(AR341="","",IF(INDEX('Holidays Calc'!$I$2:$I$233,AR341+3)=A341,INDEX('Holidays Calc'!$K$2:$K$2333,AR341+3),""))</f>
        <v/>
      </c>
      <c r="AA341" t="str">
        <f>IF(I341="Last day of Bhisma Pancaka","",IF(G341="*",-0.7,IF(ISBLANK(INDEX(GCalXMLT[dclass1],$D341)),"",INDEX(GCalXMLT[dclass1],$D341))))</f>
        <v/>
      </c>
      <c r="AB341" t="str">
        <f>IF(J341="First day of Bhisma Pancaka","",IF(AND(G341="*",NOT(ISERROR(SEARCH("ekadasi",J341)))),-0.7,IF(ISBLANK(INDEX(GCalXMLT[dclass2],$D341)),"",INDEX(GCalXMLT[dclass2],$D341))))</f>
        <v/>
      </c>
      <c r="AC341" t="str">
        <f>IF(I341="Nandotsava",-1,IF(ISBLANK(INDEX(GCalXMLT[dclass3],$D341)),"",INDEX(GCalXMLT[dclass3],$D341)))</f>
        <v/>
      </c>
      <c r="AD341" t="str">
        <f>IF(I341="Nandotsava",IF(ISBLANK(INDEX(GCalXMLT[dclass3],$D341)),"",INDEX(GCalXMLT[dclass3],$D341)),IF(ISBLANK(INDEX(GCalXMLT[dclass4],$D341)),"",INDEX(GCalXMLT[dclass4],$D341)))</f>
        <v/>
      </c>
      <c r="AE341">
        <f>IFERROR(INDEX(Festivals!$V$2:$V$160,AP341),"")</f>
        <v>3</v>
      </c>
      <c r="AF341" t="str">
        <f>IFERROR(IF($AQ341&gt;1,INDEX(Festivals!$V$2:$V$160,$AP341+1),""),"")</f>
        <v/>
      </c>
      <c r="AG341" t="str">
        <f>IFERROR(IF($AQ341&gt;2,INDEX(Festivals!$V$2:$V$160,$AP341+2),""),"")</f>
        <v/>
      </c>
      <c r="AH341" t="str">
        <f>IFERROR(IF($AQ341&gt;3,INDEX(Festivals!$V$2:$V$160,$AP341+3),""),"")</f>
        <v/>
      </c>
      <c r="AI341" t="str">
        <f>IFERROR(IF($AQ341&gt;4,INDEX(Festivals!$V$2:$V$160,$AP341+4),""),"")</f>
        <v/>
      </c>
      <c r="AJ341" t="str">
        <f>IFERROR(IF($AQ341&gt;5,INDEX(Festivals!$V$2:$V$160,$AP341+5),""),"")</f>
        <v/>
      </c>
      <c r="AK341" t="str">
        <f>IFERROR(IF($AQ341&gt;6,INDEX(Festivals!$V$2:$V$160,$AP341+6),""),"")</f>
        <v/>
      </c>
      <c r="AL341" t="str">
        <f ca="1">IFERROR(INDEX('Holidays Calc'!$J$2:$J$233,MATCH(A341,'Holidays Calc'!$I$2:$I$233,0)),"")</f>
        <v/>
      </c>
      <c r="AM341" t="str">
        <f ca="1">IF(AR341="","",IF(INDEX('Holidays Calc'!$I$2:$I$233,AR341+1)=A341,INDEX('Holidays Calc'!$J$2:$J$233,AR341+1),""))</f>
        <v/>
      </c>
      <c r="AN341" t="str">
        <f ca="1">IF(AR341="","",IF(INDEX('Holidays Calc'!$I$2:$I$233,AR341+2)=A341,INDEX('Holidays Calc'!$J$2:$J$233,AR341+2),""))</f>
        <v/>
      </c>
      <c r="AO341" t="str">
        <f ca="1">IF(AR341="","",IF(INDEX('Holidays Calc'!$I$2:$I$233,AR341+3)=A341,INDEX('Holidays Calc'!$J$2:$J$233,AR341+3),""))</f>
        <v/>
      </c>
      <c r="AP341">
        <f>IFERROR(IF($E341=E340,"",MATCH($E341,Festivals!$H$2:$H$160,0)),"")</f>
        <v>92</v>
      </c>
      <c r="AQ341">
        <f>IF(AP341="","",COUNTIF(Festivals!$H$2:$H$160,$E341))</f>
        <v>1</v>
      </c>
      <c r="AR341" t="str">
        <f ca="1">IFERROR(MATCH(A341,'Holidays Calc'!$I$2:$I$233,0),"")</f>
        <v/>
      </c>
      <c r="AS341">
        <f t="shared" si="39"/>
        <v>3</v>
      </c>
      <c r="AT341">
        <f t="shared" si="38"/>
        <v>3</v>
      </c>
      <c r="AU341" t="str">
        <f t="shared" ca="1" si="40"/>
        <v/>
      </c>
      <c r="AV341">
        <f t="shared" ca="1" si="41"/>
        <v>3</v>
      </c>
    </row>
    <row r="342" spans="1:48" x14ac:dyDescent="0.25">
      <c r="A342" s="265">
        <f t="shared" si="37"/>
        <v>43768</v>
      </c>
      <c r="B342" s="265" t="str">
        <f t="shared" si="42"/>
        <v>30 Oct 2019</v>
      </c>
      <c r="C342" s="267">
        <f t="shared" si="43"/>
        <v>44</v>
      </c>
      <c r="D342">
        <f>MATCH(A342,GCalXMLT[daydate],0)</f>
        <v>341</v>
      </c>
      <c r="E342">
        <f>VALUE("1" &amp; Masacod(INDEX(GCalXMLT[gymasa],D342)) &amp; PaksaCod(INDEX(GCalXMLT[mpaksaid],D342)) &amp; TithiCod(INDEX(GCalXMLT[stithiname],D342)))</f>
        <v>108103</v>
      </c>
      <c r="F342" t="str">
        <f ca="1">INDEX(Parameters!$K$2:$K$16,MATCH(AV342,Parameters!$L$2:$L$16,0))</f>
        <v>C</v>
      </c>
      <c r="G342">
        <f>INDEX(GCalXMLT[fastmark],$D342)</f>
        <v>0</v>
      </c>
      <c r="H342" t="str">
        <f ca="1">INDEX(Parameters!$J$2:$J$16,MATCH(AV342,Parameters!$L$2:$L$16,0))</f>
        <v/>
      </c>
      <c r="I342">
        <f>INDEX(GCalXMLT[dfestival1],$D342)</f>
        <v>0</v>
      </c>
      <c r="J342">
        <f>IF(INDEX(GCalXMLT[dfestival2],$D342)="(Fast today)",INDEX(Festivals!$R$2:$R$180,MATCH($I342,Festivals!$R$2:$R$180,0)+1),INDEX(GCalXMLT[dfestival2],$D342))</f>
        <v>0</v>
      </c>
      <c r="K342">
        <f>IF(I342="Nandotsava","(Fast till noon)",INDEX(GCalXMLT[dfestival3],$D342))</f>
        <v>0</v>
      </c>
      <c r="L342">
        <f>IF(I342="Nandotsava", INDEX(GCalXMLT[dfestival3],$D342),INDEX(GCalXMLT[dfestival4],$D342))</f>
        <v>0</v>
      </c>
      <c r="M342" t="str">
        <f>IFERROR(INDEX(Festivals!$S$2:$S$160,AP342),"")</f>
        <v/>
      </c>
      <c r="N342" t="str">
        <f>IFERROR(IF($AQ342&gt;1,INDEX(Festivals!$S$2:$S$160,$AP342+1),""),"")</f>
        <v/>
      </c>
      <c r="O342" t="str">
        <f>IFERROR(IF($AQ342&gt;2,INDEX(Festivals!$S$2:$S$160,$AP342+2),""),"")</f>
        <v/>
      </c>
      <c r="P342" t="str">
        <f>IFERROR(IF($AQ342&gt;3,INDEX(Festivals!$S$2:$S$160,$AP342+3),""),"")</f>
        <v/>
      </c>
      <c r="Q342" t="str">
        <f>IFERROR(IF($AQ342&gt;4,INDEX(Festivals!$S$2:$S$160,$AP342+4),""),"")</f>
        <v/>
      </c>
      <c r="R342" t="str">
        <f>IFERROR(IF($AQ342&gt;5,INDEX(Festivals!$S$2:$S$160,$AP342+5),""),"")</f>
        <v/>
      </c>
      <c r="S342" t="str">
        <f>IFERROR(IF($AQ342&gt;6,INDEX(Festivals!$S$2:$S$160,$AP342+6),""),"")</f>
        <v/>
      </c>
      <c r="T342">
        <f>INDEX(GCalXMLT[dcaturmasya1],$D342)</f>
        <v>0</v>
      </c>
      <c r="U342">
        <f>INDEX(GCalXMLT[dcaturmasya2],$D342)</f>
        <v>0</v>
      </c>
      <c r="V342" t="str">
        <f>INDEX(GCalXMLT[sankrantirasi],$D342) &amp; " " &amp; INDEX(GCalXMLT[sankrantitime],$D342)</f>
        <v xml:space="preserve"> </v>
      </c>
      <c r="W342" t="str">
        <f ca="1">IFERROR(INDEX('Holidays Calc'!$K$2:$K$233,AR342),"")</f>
        <v>Dia do Comerciário</v>
      </c>
      <c r="X342" t="str">
        <f ca="1">IF(AR342="","",IF(INDEX('Holidays Calc'!$I$2:$I$233,AR342+1)=A342,INDEX('Holidays Calc'!$K$2:$K$233,AR342+1),""))</f>
        <v/>
      </c>
      <c r="Y342" t="str">
        <f ca="1">IF(AR342="","",IF(INDEX('Holidays Calc'!$I$2:$I$233,AR342+2)=A342,INDEX('Holidays Calc'!$K$2:$K$233,AR342+2),""))</f>
        <v/>
      </c>
      <c r="Z342" t="str">
        <f ca="1">IF(AR342="","",IF(INDEX('Holidays Calc'!$I$2:$I$233,AR342+3)=A342,INDEX('Holidays Calc'!$K$2:$K$2333,AR342+3),""))</f>
        <v/>
      </c>
      <c r="AA342" t="str">
        <f>IF(I342="Last day of Bhisma Pancaka","",IF(G342="*",-0.7,IF(ISBLANK(INDEX(GCalXMLT[dclass1],$D342)),"",INDEX(GCalXMLT[dclass1],$D342))))</f>
        <v/>
      </c>
      <c r="AB342" t="str">
        <f>IF(J342="First day of Bhisma Pancaka","",IF(AND(G342="*",NOT(ISERROR(SEARCH("ekadasi",J342)))),-0.7,IF(ISBLANK(INDEX(GCalXMLT[dclass2],$D342)),"",INDEX(GCalXMLT[dclass2],$D342))))</f>
        <v/>
      </c>
      <c r="AC342" t="str">
        <f>IF(I342="Nandotsava",-1,IF(ISBLANK(INDEX(GCalXMLT[dclass3],$D342)),"",INDEX(GCalXMLT[dclass3],$D342)))</f>
        <v/>
      </c>
      <c r="AD342" t="str">
        <f>IF(I342="Nandotsava",IF(ISBLANK(INDEX(GCalXMLT[dclass3],$D342)),"",INDEX(GCalXMLT[dclass3],$D342)),IF(ISBLANK(INDEX(GCalXMLT[dclass4],$D342)),"",INDEX(GCalXMLT[dclass4],$D342)))</f>
        <v/>
      </c>
      <c r="AE342" t="str">
        <f>IFERROR(INDEX(Festivals!$V$2:$V$160,AP342),"")</f>
        <v/>
      </c>
      <c r="AF342" t="str">
        <f>IFERROR(IF($AQ342&gt;1,INDEX(Festivals!$V$2:$V$160,$AP342+1),""),"")</f>
        <v/>
      </c>
      <c r="AG342" t="str">
        <f>IFERROR(IF($AQ342&gt;2,INDEX(Festivals!$V$2:$V$160,$AP342+2),""),"")</f>
        <v/>
      </c>
      <c r="AH342" t="str">
        <f>IFERROR(IF($AQ342&gt;3,INDEX(Festivals!$V$2:$V$160,$AP342+3),""),"")</f>
        <v/>
      </c>
      <c r="AI342" t="str">
        <f>IFERROR(IF($AQ342&gt;4,INDEX(Festivals!$V$2:$V$160,$AP342+4),""),"")</f>
        <v/>
      </c>
      <c r="AJ342" t="str">
        <f>IFERROR(IF($AQ342&gt;5,INDEX(Festivals!$V$2:$V$160,$AP342+5),""),"")</f>
        <v/>
      </c>
      <c r="AK342" t="str">
        <f>IFERROR(IF($AQ342&gt;6,INDEX(Festivals!$V$2:$V$160,$AP342+6),""),"")</f>
        <v/>
      </c>
      <c r="AL342">
        <f ca="1">IFERROR(INDEX('Holidays Calc'!$J$2:$J$233,MATCH(A342,'Holidays Calc'!$I$2:$I$233,0)),"")</f>
        <v>0.5</v>
      </c>
      <c r="AM342" t="str">
        <f ca="1">IF(AR342="","",IF(INDEX('Holidays Calc'!$I$2:$I$233,AR342+1)=A342,INDEX('Holidays Calc'!$J$2:$J$233,AR342+1),""))</f>
        <v/>
      </c>
      <c r="AN342" t="str">
        <f ca="1">IF(AR342="","",IF(INDEX('Holidays Calc'!$I$2:$I$233,AR342+2)=A342,INDEX('Holidays Calc'!$J$2:$J$233,AR342+2),""))</f>
        <v/>
      </c>
      <c r="AO342" t="str">
        <f ca="1">IF(AR342="","",IF(INDEX('Holidays Calc'!$I$2:$I$233,AR342+3)=A342,INDEX('Holidays Calc'!$J$2:$J$233,AR342+3),""))</f>
        <v/>
      </c>
      <c r="AP342" t="str">
        <f>IFERROR(IF($E342=E341,"",MATCH($E342,Festivals!$H$2:$H$160,0)),"")</f>
        <v/>
      </c>
      <c r="AQ342" t="str">
        <f>IF(AP342="","",COUNTIF(Festivals!$H$2:$H$160,$E342))</f>
        <v/>
      </c>
      <c r="AR342">
        <f ca="1">IFERROR(MATCH(A342,'Holidays Calc'!$I$2:$I$233,0),"")</f>
        <v>65</v>
      </c>
      <c r="AS342" t="str">
        <f t="shared" si="39"/>
        <v/>
      </c>
      <c r="AT342" t="str">
        <f t="shared" si="38"/>
        <v/>
      </c>
      <c r="AU342">
        <f t="shared" ca="1" si="40"/>
        <v>0.5</v>
      </c>
      <c r="AV342">
        <f t="shared" ca="1" si="41"/>
        <v>0.5</v>
      </c>
    </row>
    <row r="343" spans="1:48" x14ac:dyDescent="0.25">
      <c r="A343" s="265">
        <f t="shared" si="37"/>
        <v>43769</v>
      </c>
      <c r="B343" s="265" t="str">
        <f t="shared" si="42"/>
        <v>31 Oct 2019</v>
      </c>
      <c r="C343" s="267">
        <f t="shared" si="43"/>
        <v>44</v>
      </c>
      <c r="D343">
        <f>MATCH(A343,GCalXMLT[daydate],0)</f>
        <v>342</v>
      </c>
      <c r="E343">
        <f>VALUE("1" &amp; Masacod(INDEX(GCalXMLT[gymasa],D343)) &amp; PaksaCod(INDEX(GCalXMLT[mpaksaid],D343)) &amp; TithiCod(INDEX(GCalXMLT[stithiname],D343)))</f>
        <v>108104</v>
      </c>
      <c r="F343" t="str">
        <f ca="1">INDEX(Parameters!$K$2:$K$16,MATCH(AV343,Parameters!$L$2:$L$16,0))</f>
        <v>P</v>
      </c>
      <c r="G343">
        <f>INDEX(GCalXMLT[fastmark],$D343)</f>
        <v>0</v>
      </c>
      <c r="H343" t="str">
        <f ca="1">INDEX(Parameters!$J$2:$J$16,MATCH(AV343,Parameters!$L$2:$L$16,0))</f>
        <v>*</v>
      </c>
      <c r="I343">
        <f>INDEX(GCalXMLT[dfestival1],$D343)</f>
        <v>0</v>
      </c>
      <c r="J343">
        <f>IF(INDEX(GCalXMLT[dfestival2],$D343)="(Fast today)",INDEX(Festivals!$R$2:$R$180,MATCH($I343,Festivals!$R$2:$R$180,0)+1),INDEX(GCalXMLT[dfestival2],$D343))</f>
        <v>0</v>
      </c>
      <c r="K343">
        <f>IF(I343="Nandotsava","(Fast till noon)",INDEX(GCalXMLT[dfestival3],$D343))</f>
        <v>0</v>
      </c>
      <c r="L343">
        <f>IF(I343="Nandotsava", INDEX(GCalXMLT[dfestival3],$D343),INDEX(GCalXMLT[dfestival4],$D343))</f>
        <v>0</v>
      </c>
      <c r="M343" t="str">
        <f>IFERROR(INDEX(Festivals!$S$2:$S$160,AP343),"")</f>
        <v>Srila Prabhupada - Disappearance</v>
      </c>
      <c r="N343" t="str">
        <f>IFERROR(IF($AQ343&gt;1,INDEX(Festivals!$S$2:$S$160,$AP343+1),""),"")</f>
        <v>(Fast till noon)</v>
      </c>
      <c r="O343" t="str">
        <f>IFERROR(IF($AQ343&gt;2,INDEX(Festivals!$S$2:$S$160,$AP343+2),""),"")</f>
        <v/>
      </c>
      <c r="P343" t="str">
        <f>IFERROR(IF($AQ343&gt;3,INDEX(Festivals!$S$2:$S$160,$AP343+3),""),"")</f>
        <v/>
      </c>
      <c r="Q343" t="str">
        <f>IFERROR(IF($AQ343&gt;4,INDEX(Festivals!$S$2:$S$160,$AP343+4),""),"")</f>
        <v/>
      </c>
      <c r="R343" t="str">
        <f>IFERROR(IF($AQ343&gt;5,INDEX(Festivals!$S$2:$S$160,$AP343+5),""),"")</f>
        <v/>
      </c>
      <c r="S343" t="str">
        <f>IFERROR(IF($AQ343&gt;6,INDEX(Festivals!$S$2:$S$160,$AP343+6),""),"")</f>
        <v/>
      </c>
      <c r="T343">
        <f>INDEX(GCalXMLT[dcaturmasya1],$D343)</f>
        <v>0</v>
      </c>
      <c r="U343">
        <f>INDEX(GCalXMLT[dcaturmasya2],$D343)</f>
        <v>0</v>
      </c>
      <c r="V343" t="str">
        <f>INDEX(GCalXMLT[sankrantirasi],$D343) &amp; " " &amp; INDEX(GCalXMLT[sankrantitime],$D343)</f>
        <v xml:space="preserve"> </v>
      </c>
      <c r="W343" t="str">
        <f ca="1">IFERROR(INDEX('Holidays Calc'!$K$2:$K$233,AR343),"")</f>
        <v/>
      </c>
      <c r="X343" t="str">
        <f ca="1">IF(AR343="","",IF(INDEX('Holidays Calc'!$I$2:$I$233,AR343+1)=A343,INDEX('Holidays Calc'!$K$2:$K$233,AR343+1),""))</f>
        <v/>
      </c>
      <c r="Y343" t="str">
        <f ca="1">IF(AR343="","",IF(INDEX('Holidays Calc'!$I$2:$I$233,AR343+2)=A343,INDEX('Holidays Calc'!$K$2:$K$233,AR343+2),""))</f>
        <v/>
      </c>
      <c r="Z343" t="str">
        <f ca="1">IF(AR343="","",IF(INDEX('Holidays Calc'!$I$2:$I$233,AR343+3)=A343,INDEX('Holidays Calc'!$K$2:$K$2333,AR343+3),""))</f>
        <v/>
      </c>
      <c r="AA343" t="str">
        <f>IF(I343="Last day of Bhisma Pancaka","",IF(G343="*",-0.7,IF(ISBLANK(INDEX(GCalXMLT[dclass1],$D343)),"",INDEX(GCalXMLT[dclass1],$D343))))</f>
        <v/>
      </c>
      <c r="AB343" t="str">
        <f>IF(J343="First day of Bhisma Pancaka","",IF(AND(G343="*",NOT(ISERROR(SEARCH("ekadasi",J343)))),-0.7,IF(ISBLANK(INDEX(GCalXMLT[dclass2],$D343)),"",INDEX(GCalXMLT[dclass2],$D343))))</f>
        <v/>
      </c>
      <c r="AC343" t="str">
        <f>IF(I343="Nandotsava",-1,IF(ISBLANK(INDEX(GCalXMLT[dclass3],$D343)),"",INDEX(GCalXMLT[dclass3],$D343)))</f>
        <v/>
      </c>
      <c r="AD343" t="str">
        <f>IF(I343="Nandotsava",IF(ISBLANK(INDEX(GCalXMLT[dclass3],$D343)),"",INDEX(GCalXMLT[dclass3],$D343)),IF(ISBLANK(INDEX(GCalXMLT[dclass4],$D343)),"",INDEX(GCalXMLT[dclass4],$D343)))</f>
        <v/>
      </c>
      <c r="AE343">
        <f>IFERROR(INDEX(Festivals!$V$2:$V$160,AP343),"")</f>
        <v>2</v>
      </c>
      <c r="AF343">
        <f>IFERROR(IF($AQ343&gt;1,INDEX(Festivals!$V$2:$V$160,$AP343+1),""),"")</f>
        <v>-1</v>
      </c>
      <c r="AG343" t="str">
        <f>IFERROR(IF($AQ343&gt;2,INDEX(Festivals!$V$2:$V$160,$AP343+2),""),"")</f>
        <v/>
      </c>
      <c r="AH343" t="str">
        <f>IFERROR(IF($AQ343&gt;3,INDEX(Festivals!$V$2:$V$160,$AP343+3),""),"")</f>
        <v/>
      </c>
      <c r="AI343" t="str">
        <f>IFERROR(IF($AQ343&gt;4,INDEX(Festivals!$V$2:$V$160,$AP343+4),""),"")</f>
        <v/>
      </c>
      <c r="AJ343" t="str">
        <f>IFERROR(IF($AQ343&gt;5,INDEX(Festivals!$V$2:$V$160,$AP343+5),""),"")</f>
        <v/>
      </c>
      <c r="AK343" t="str">
        <f>IFERROR(IF($AQ343&gt;6,INDEX(Festivals!$V$2:$V$160,$AP343+6),""),"")</f>
        <v/>
      </c>
      <c r="AL343" t="str">
        <f ca="1">IFERROR(INDEX('Holidays Calc'!$J$2:$J$233,MATCH(A343,'Holidays Calc'!$I$2:$I$233,0)),"")</f>
        <v/>
      </c>
      <c r="AM343" t="str">
        <f ca="1">IF(AR343="","",IF(INDEX('Holidays Calc'!$I$2:$I$233,AR343+1)=A343,INDEX('Holidays Calc'!$J$2:$J$233,AR343+1),""))</f>
        <v/>
      </c>
      <c r="AN343" t="str">
        <f ca="1">IF(AR343="","",IF(INDEX('Holidays Calc'!$I$2:$I$233,AR343+2)=A343,INDEX('Holidays Calc'!$J$2:$J$233,AR343+2),""))</f>
        <v/>
      </c>
      <c r="AO343" t="str">
        <f ca="1">IF(AR343="","",IF(INDEX('Holidays Calc'!$I$2:$I$233,AR343+3)=A343,INDEX('Holidays Calc'!$J$2:$J$233,AR343+3),""))</f>
        <v/>
      </c>
      <c r="AP343">
        <f>IFERROR(IF($E343=E342,"",MATCH($E343,Festivals!$H$2:$H$160,0)),"")</f>
        <v>93</v>
      </c>
      <c r="AQ343">
        <f>IF(AP343="","",COUNTIF(Festivals!$H$2:$H$160,$E343))</f>
        <v>2</v>
      </c>
      <c r="AR343" t="str">
        <f ca="1">IFERROR(MATCH(A343,'Holidays Calc'!$I$2:$I$233,0),"")</f>
        <v/>
      </c>
      <c r="AS343">
        <f t="shared" si="39"/>
        <v>-1</v>
      </c>
      <c r="AT343">
        <f t="shared" si="38"/>
        <v>-1</v>
      </c>
      <c r="AU343" t="str">
        <f t="shared" ca="1" si="40"/>
        <v/>
      </c>
      <c r="AV343">
        <f t="shared" ca="1" si="41"/>
        <v>-1</v>
      </c>
    </row>
    <row r="344" spans="1:48" x14ac:dyDescent="0.25">
      <c r="A344" s="265">
        <f t="shared" si="37"/>
        <v>43770</v>
      </c>
      <c r="B344" s="265" t="str">
        <f t="shared" si="42"/>
        <v>1 Nov 2019</v>
      </c>
      <c r="C344" s="267">
        <f t="shared" si="43"/>
        <v>44</v>
      </c>
      <c r="D344">
        <f>MATCH(A344,GCalXMLT[daydate],0)</f>
        <v>343</v>
      </c>
      <c r="E344">
        <f>VALUE("1" &amp; Masacod(INDEX(GCalXMLT[gymasa],D344)) &amp; PaksaCod(INDEX(GCalXMLT[mpaksaid],D344)) &amp; TithiCod(INDEX(GCalXMLT[stithiname],D344)))</f>
        <v>108105</v>
      </c>
      <c r="F344" t="str">
        <f ca="1">INDEX(Parameters!$K$2:$K$16,MATCH(AV344,Parameters!$L$2:$L$16,0))</f>
        <v>C</v>
      </c>
      <c r="G344">
        <f>INDEX(GCalXMLT[fastmark],$D344)</f>
        <v>0</v>
      </c>
      <c r="H344" t="str">
        <f ca="1">INDEX(Parameters!$J$2:$J$16,MATCH(AV344,Parameters!$L$2:$L$16,0))</f>
        <v/>
      </c>
      <c r="I344">
        <f>INDEX(GCalXMLT[dfestival1],$D344)</f>
        <v>0</v>
      </c>
      <c r="J344">
        <f>IF(INDEX(GCalXMLT[dfestival2],$D344)="(Fast today)",INDEX(Festivals!$R$2:$R$180,MATCH($I344,Festivals!$R$2:$R$180,0)+1),INDEX(GCalXMLT[dfestival2],$D344))</f>
        <v>0</v>
      </c>
      <c r="K344">
        <f>IF(I344="Nandotsava","(Fast till noon)",INDEX(GCalXMLT[dfestival3],$D344))</f>
        <v>0</v>
      </c>
      <c r="L344">
        <f>IF(I344="Nandotsava", INDEX(GCalXMLT[dfestival3],$D344),INDEX(GCalXMLT[dfestival4],$D344))</f>
        <v>0</v>
      </c>
      <c r="M344" t="str">
        <f>IFERROR(INDEX(Festivals!$S$2:$S$160,AP344),"")</f>
        <v/>
      </c>
      <c r="N344" t="str">
        <f>IFERROR(IF($AQ344&gt;1,INDEX(Festivals!$S$2:$S$160,$AP344+1),""),"")</f>
        <v/>
      </c>
      <c r="O344" t="str">
        <f>IFERROR(IF($AQ344&gt;2,INDEX(Festivals!$S$2:$S$160,$AP344+2),""),"")</f>
        <v/>
      </c>
      <c r="P344" t="str">
        <f>IFERROR(IF($AQ344&gt;3,INDEX(Festivals!$S$2:$S$160,$AP344+3),""),"")</f>
        <v/>
      </c>
      <c r="Q344" t="str">
        <f>IFERROR(IF($AQ344&gt;4,INDEX(Festivals!$S$2:$S$160,$AP344+4),""),"")</f>
        <v/>
      </c>
      <c r="R344" t="str">
        <f>IFERROR(IF($AQ344&gt;5,INDEX(Festivals!$S$2:$S$160,$AP344+5),""),"")</f>
        <v/>
      </c>
      <c r="S344" t="str">
        <f>IFERROR(IF($AQ344&gt;6,INDEX(Festivals!$S$2:$S$160,$AP344+6),""),"")</f>
        <v/>
      </c>
      <c r="T344">
        <f>INDEX(GCalXMLT[dcaturmasya1],$D344)</f>
        <v>0</v>
      </c>
      <c r="U344">
        <f>INDEX(GCalXMLT[dcaturmasya2],$D344)</f>
        <v>0</v>
      </c>
      <c r="V344" t="str">
        <f>INDEX(GCalXMLT[sankrantirasi],$D344) &amp; " " &amp; INDEX(GCalXMLT[sankrantitime],$D344)</f>
        <v xml:space="preserve"> </v>
      </c>
      <c r="W344" t="str">
        <f ca="1">IFERROR(INDEX('Holidays Calc'!$K$2:$K$233,AR344),"")</f>
        <v>Dia de Todos os Santos</v>
      </c>
      <c r="X344" t="str">
        <f ca="1">IF(AR344="","",IF(INDEX('Holidays Calc'!$I$2:$I$233,AR344+1)=A344,INDEX('Holidays Calc'!$K$2:$K$233,AR344+1),""))</f>
        <v/>
      </c>
      <c r="Y344" t="str">
        <f ca="1">IF(AR344="","",IF(INDEX('Holidays Calc'!$I$2:$I$233,AR344+2)=A344,INDEX('Holidays Calc'!$K$2:$K$233,AR344+2),""))</f>
        <v/>
      </c>
      <c r="Z344" t="str">
        <f ca="1">IF(AR344="","",IF(INDEX('Holidays Calc'!$I$2:$I$233,AR344+3)=A344,INDEX('Holidays Calc'!$K$2:$K$2333,AR344+3),""))</f>
        <v/>
      </c>
      <c r="AA344" t="str">
        <f>IF(I344="Last day of Bhisma Pancaka","",IF(G344="*",-0.7,IF(ISBLANK(INDEX(GCalXMLT[dclass1],$D344)),"",INDEX(GCalXMLT[dclass1],$D344))))</f>
        <v/>
      </c>
      <c r="AB344" t="str">
        <f>IF(J344="First day of Bhisma Pancaka","",IF(AND(G344="*",NOT(ISERROR(SEARCH("ekadasi",J344)))),-0.7,IF(ISBLANK(INDEX(GCalXMLT[dclass2],$D344)),"",INDEX(GCalXMLT[dclass2],$D344))))</f>
        <v/>
      </c>
      <c r="AC344" t="str">
        <f>IF(I344="Nandotsava",-1,IF(ISBLANK(INDEX(GCalXMLT[dclass3],$D344)),"",INDEX(GCalXMLT[dclass3],$D344)))</f>
        <v/>
      </c>
      <c r="AD344" t="str">
        <f>IF(I344="Nandotsava",IF(ISBLANK(INDEX(GCalXMLT[dclass3],$D344)),"",INDEX(GCalXMLT[dclass3],$D344)),IF(ISBLANK(INDEX(GCalXMLT[dclass4],$D344)),"",INDEX(GCalXMLT[dclass4],$D344)))</f>
        <v/>
      </c>
      <c r="AE344" t="str">
        <f>IFERROR(INDEX(Festivals!$V$2:$V$160,AP344),"")</f>
        <v/>
      </c>
      <c r="AF344" t="str">
        <f>IFERROR(IF($AQ344&gt;1,INDEX(Festivals!$V$2:$V$160,$AP344+1),""),"")</f>
        <v/>
      </c>
      <c r="AG344" t="str">
        <f>IFERROR(IF($AQ344&gt;2,INDEX(Festivals!$V$2:$V$160,$AP344+2),""),"")</f>
        <v/>
      </c>
      <c r="AH344" t="str">
        <f>IFERROR(IF($AQ344&gt;3,INDEX(Festivals!$V$2:$V$160,$AP344+3),""),"")</f>
        <v/>
      </c>
      <c r="AI344" t="str">
        <f>IFERROR(IF($AQ344&gt;4,INDEX(Festivals!$V$2:$V$160,$AP344+4),""),"")</f>
        <v/>
      </c>
      <c r="AJ344" t="str">
        <f>IFERROR(IF($AQ344&gt;5,INDEX(Festivals!$V$2:$V$160,$AP344+5),""),"")</f>
        <v/>
      </c>
      <c r="AK344" t="str">
        <f>IFERROR(IF($AQ344&gt;6,INDEX(Festivals!$V$2:$V$160,$AP344+6),""),"")</f>
        <v/>
      </c>
      <c r="AL344">
        <f ca="1">IFERROR(INDEX('Holidays Calc'!$J$2:$J$233,MATCH(A344,'Holidays Calc'!$I$2:$I$233,0)),"")</f>
        <v>0.5</v>
      </c>
      <c r="AM344" t="str">
        <f ca="1">IF(AR344="","",IF(INDEX('Holidays Calc'!$I$2:$I$233,AR344+1)=A344,INDEX('Holidays Calc'!$J$2:$J$233,AR344+1),""))</f>
        <v/>
      </c>
      <c r="AN344" t="str">
        <f ca="1">IF(AR344="","",IF(INDEX('Holidays Calc'!$I$2:$I$233,AR344+2)=A344,INDEX('Holidays Calc'!$J$2:$J$233,AR344+2),""))</f>
        <v/>
      </c>
      <c r="AO344" t="str">
        <f ca="1">IF(AR344="","",IF(INDEX('Holidays Calc'!$I$2:$I$233,AR344+3)=A344,INDEX('Holidays Calc'!$J$2:$J$233,AR344+3),""))</f>
        <v/>
      </c>
      <c r="AP344" t="str">
        <f>IFERROR(IF($E344=E343,"",MATCH($E344,Festivals!$H$2:$H$160,0)),"")</f>
        <v/>
      </c>
      <c r="AQ344" t="str">
        <f>IF(AP344="","",COUNTIF(Festivals!$H$2:$H$160,$E344))</f>
        <v/>
      </c>
      <c r="AR344">
        <f ca="1">IFERROR(MATCH(A344,'Holidays Calc'!$I$2:$I$233,0),"")</f>
        <v>66</v>
      </c>
      <c r="AS344" t="str">
        <f t="shared" si="39"/>
        <v/>
      </c>
      <c r="AT344" t="str">
        <f t="shared" si="38"/>
        <v/>
      </c>
      <c r="AU344">
        <f t="shared" ca="1" si="40"/>
        <v>0.5</v>
      </c>
      <c r="AV344">
        <f t="shared" ca="1" si="41"/>
        <v>0.5</v>
      </c>
    </row>
    <row r="345" spans="1:48" x14ac:dyDescent="0.25">
      <c r="A345" s="265">
        <f t="shared" si="37"/>
        <v>43771</v>
      </c>
      <c r="B345" s="265" t="str">
        <f t="shared" si="42"/>
        <v>2 Nov 2019</v>
      </c>
      <c r="C345" s="267">
        <f t="shared" si="43"/>
        <v>44</v>
      </c>
      <c r="D345">
        <f>MATCH(A345,GCalXMLT[daydate],0)</f>
        <v>344</v>
      </c>
      <c r="E345">
        <f>VALUE("1" &amp; Masacod(INDEX(GCalXMLT[gymasa],D345)) &amp; PaksaCod(INDEX(GCalXMLT[mpaksaid],D345)) &amp; TithiCod(INDEX(GCalXMLT[stithiname],D345)))</f>
        <v>108106</v>
      </c>
      <c r="F345" t="str">
        <f ca="1">INDEX(Parameters!$K$2:$K$16,MATCH(AV345,Parameters!$L$2:$L$16,0))</f>
        <v>H</v>
      </c>
      <c r="G345">
        <f>INDEX(GCalXMLT[fastmark],$D345)</f>
        <v>0</v>
      </c>
      <c r="H345" t="str">
        <f ca="1">INDEX(Parameters!$J$2:$J$16,MATCH(AV345,Parameters!$L$2:$L$16,0))</f>
        <v/>
      </c>
      <c r="I345">
        <f>INDEX(GCalXMLT[dfestival1],$D345)</f>
        <v>0</v>
      </c>
      <c r="J345">
        <f>IF(INDEX(GCalXMLT[dfestival2],$D345)="(Fast today)",INDEX(Festivals!$R$2:$R$180,MATCH($I345,Festivals!$R$2:$R$180,0)+1),INDEX(GCalXMLT[dfestival2],$D345))</f>
        <v>0</v>
      </c>
      <c r="K345">
        <f>IF(I345="Nandotsava","(Fast till noon)",INDEX(GCalXMLT[dfestival3],$D345))</f>
        <v>0</v>
      </c>
      <c r="L345">
        <f>IF(I345="Nandotsava", INDEX(GCalXMLT[dfestival3],$D345),INDEX(GCalXMLT[dfestival4],$D345))</f>
        <v>0</v>
      </c>
      <c r="M345" t="str">
        <f>IFERROR(INDEX(Festivals!$S$2:$S$160,AP345),"")</f>
        <v/>
      </c>
      <c r="N345" t="str">
        <f>IFERROR(IF($AQ345&gt;1,INDEX(Festivals!$S$2:$S$160,$AP345+1),""),"")</f>
        <v/>
      </c>
      <c r="O345" t="str">
        <f>IFERROR(IF($AQ345&gt;2,INDEX(Festivals!$S$2:$S$160,$AP345+2),""),"")</f>
        <v/>
      </c>
      <c r="P345" t="str">
        <f>IFERROR(IF($AQ345&gt;3,INDEX(Festivals!$S$2:$S$160,$AP345+3),""),"")</f>
        <v/>
      </c>
      <c r="Q345" t="str">
        <f>IFERROR(IF($AQ345&gt;4,INDEX(Festivals!$S$2:$S$160,$AP345+4),""),"")</f>
        <v/>
      </c>
      <c r="R345" t="str">
        <f>IFERROR(IF($AQ345&gt;5,INDEX(Festivals!$S$2:$S$160,$AP345+5),""),"")</f>
        <v/>
      </c>
      <c r="S345" t="str">
        <f>IFERROR(IF($AQ345&gt;6,INDEX(Festivals!$S$2:$S$160,$AP345+6),""),"")</f>
        <v/>
      </c>
      <c r="T345">
        <f>INDEX(GCalXMLT[dcaturmasya1],$D345)</f>
        <v>0</v>
      </c>
      <c r="U345">
        <f>INDEX(GCalXMLT[dcaturmasya2],$D345)</f>
        <v>0</v>
      </c>
      <c r="V345" t="str">
        <f>INDEX(GCalXMLT[sankrantirasi],$D345) &amp; " " &amp; INDEX(GCalXMLT[sankrantitime],$D345)</f>
        <v xml:space="preserve"> </v>
      </c>
      <c r="W345" t="str">
        <f ca="1">IFERROR(INDEX('Holidays Calc'!$K$2:$K$233,AR345),"")</f>
        <v>Finados</v>
      </c>
      <c r="X345" t="str">
        <f ca="1">IF(AR345="","",IF(INDEX('Holidays Calc'!$I$2:$I$233,AR345+1)=A345,INDEX('Holidays Calc'!$K$2:$K$233,AR345+1),""))</f>
        <v/>
      </c>
      <c r="Y345" t="str">
        <f ca="1">IF(AR345="","",IF(INDEX('Holidays Calc'!$I$2:$I$233,AR345+2)=A345,INDEX('Holidays Calc'!$K$2:$K$233,AR345+2),""))</f>
        <v/>
      </c>
      <c r="Z345" t="str">
        <f ca="1">IF(AR345="","",IF(INDEX('Holidays Calc'!$I$2:$I$233,AR345+3)=A345,INDEX('Holidays Calc'!$K$2:$K$2333,AR345+3),""))</f>
        <v/>
      </c>
      <c r="AA345" t="str">
        <f>IF(I345="Last day of Bhisma Pancaka","",IF(G345="*",-0.7,IF(ISBLANK(INDEX(GCalXMLT[dclass1],$D345)),"",INDEX(GCalXMLT[dclass1],$D345))))</f>
        <v/>
      </c>
      <c r="AB345" t="str">
        <f>IF(J345="First day of Bhisma Pancaka","",IF(AND(G345="*",NOT(ISERROR(SEARCH("ekadasi",J345)))),-0.7,IF(ISBLANK(INDEX(GCalXMLT[dclass2],$D345)),"",INDEX(GCalXMLT[dclass2],$D345))))</f>
        <v/>
      </c>
      <c r="AC345" t="str">
        <f>IF(I345="Nandotsava",-1,IF(ISBLANK(INDEX(GCalXMLT[dclass3],$D345)),"",INDEX(GCalXMLT[dclass3],$D345)))</f>
        <v/>
      </c>
      <c r="AD345" t="str">
        <f>IF(I345="Nandotsava",IF(ISBLANK(INDEX(GCalXMLT[dclass3],$D345)),"",INDEX(GCalXMLT[dclass3],$D345)),IF(ISBLANK(INDEX(GCalXMLT[dclass4],$D345)),"",INDEX(GCalXMLT[dclass4],$D345)))</f>
        <v/>
      </c>
      <c r="AE345" t="str">
        <f>IFERROR(INDEX(Festivals!$V$2:$V$160,AP345),"")</f>
        <v/>
      </c>
      <c r="AF345" t="str">
        <f>IFERROR(IF($AQ345&gt;1,INDEX(Festivals!$V$2:$V$160,$AP345+1),""),"")</f>
        <v/>
      </c>
      <c r="AG345" t="str">
        <f>IFERROR(IF($AQ345&gt;2,INDEX(Festivals!$V$2:$V$160,$AP345+2),""),"")</f>
        <v/>
      </c>
      <c r="AH345" t="str">
        <f>IFERROR(IF($AQ345&gt;3,INDEX(Festivals!$V$2:$V$160,$AP345+3),""),"")</f>
        <v/>
      </c>
      <c r="AI345" t="str">
        <f>IFERROR(IF($AQ345&gt;4,INDEX(Festivals!$V$2:$V$160,$AP345+4),""),"")</f>
        <v/>
      </c>
      <c r="AJ345" t="str">
        <f>IFERROR(IF($AQ345&gt;5,INDEX(Festivals!$V$2:$V$160,$AP345+5),""),"")</f>
        <v/>
      </c>
      <c r="AK345" t="str">
        <f>IFERROR(IF($AQ345&gt;6,INDEX(Festivals!$V$2:$V$160,$AP345+6),""),"")</f>
        <v/>
      </c>
      <c r="AL345">
        <f ca="1">IFERROR(INDEX('Holidays Calc'!$J$2:$J$233,MATCH(A345,'Holidays Calc'!$I$2:$I$233,0)),"")</f>
        <v>-11</v>
      </c>
      <c r="AM345" t="str">
        <f ca="1">IF(AR345="","",IF(INDEX('Holidays Calc'!$I$2:$I$233,AR345+1)=A345,INDEX('Holidays Calc'!$J$2:$J$233,AR345+1),""))</f>
        <v/>
      </c>
      <c r="AN345" t="str">
        <f ca="1">IF(AR345="","",IF(INDEX('Holidays Calc'!$I$2:$I$233,AR345+2)=A345,INDEX('Holidays Calc'!$J$2:$J$233,AR345+2),""))</f>
        <v/>
      </c>
      <c r="AO345" t="str">
        <f ca="1">IF(AR345="","",IF(INDEX('Holidays Calc'!$I$2:$I$233,AR345+3)=A345,INDEX('Holidays Calc'!$J$2:$J$233,AR345+3),""))</f>
        <v/>
      </c>
      <c r="AP345" t="str">
        <f>IFERROR(IF($E345=E344,"",MATCH($E345,Festivals!$H$2:$H$160,0)),"")</f>
        <v/>
      </c>
      <c r="AQ345" t="str">
        <f>IF(AP345="","",COUNTIF(Festivals!$H$2:$H$160,$E345))</f>
        <v/>
      </c>
      <c r="AR345">
        <f ca="1">IFERROR(MATCH(A345,'Holidays Calc'!$I$2:$I$233,0),"")</f>
        <v>67</v>
      </c>
      <c r="AS345" t="str">
        <f t="shared" si="39"/>
        <v/>
      </c>
      <c r="AT345" t="str">
        <f t="shared" si="38"/>
        <v/>
      </c>
      <c r="AU345">
        <f t="shared" ca="1" si="40"/>
        <v>-11</v>
      </c>
      <c r="AV345">
        <f t="shared" ca="1" si="41"/>
        <v>-11</v>
      </c>
    </row>
    <row r="346" spans="1:48" x14ac:dyDescent="0.25">
      <c r="A346" s="265">
        <f t="shared" si="37"/>
        <v>43772</v>
      </c>
      <c r="B346" s="265" t="str">
        <f t="shared" si="42"/>
        <v>3 Nov 2019</v>
      </c>
      <c r="C346" s="267">
        <f t="shared" si="43"/>
        <v>44</v>
      </c>
      <c r="D346">
        <f>MATCH(A346,GCalXMLT[daydate],0)</f>
        <v>345</v>
      </c>
      <c r="E346">
        <f>VALUE("1" &amp; Masacod(INDEX(GCalXMLT[gymasa],D346)) &amp; PaksaCod(INDEX(GCalXMLT[mpaksaid],D346)) &amp; TithiCod(INDEX(GCalXMLT[stithiname],D346)))</f>
        <v>108107</v>
      </c>
      <c r="F346" t="str">
        <f ca="1">INDEX(Parameters!$K$2:$K$16,MATCH(AV346,Parameters!$L$2:$L$16,0))</f>
        <v/>
      </c>
      <c r="G346">
        <f>INDEX(GCalXMLT[fastmark],$D346)</f>
        <v>0</v>
      </c>
      <c r="H346" t="str">
        <f ca="1">INDEX(Parameters!$J$2:$J$16,MATCH(AV346,Parameters!$L$2:$L$16,0))</f>
        <v/>
      </c>
      <c r="I346">
        <f>INDEX(GCalXMLT[dfestival1],$D346)</f>
        <v>0</v>
      </c>
      <c r="J346">
        <f>IF(INDEX(GCalXMLT[dfestival2],$D346)="(Fast today)",INDEX(Festivals!$R$2:$R$180,MATCH($I346,Festivals!$R$2:$R$180,0)+1),INDEX(GCalXMLT[dfestival2],$D346))</f>
        <v>0</v>
      </c>
      <c r="K346">
        <f>IF(I346="Nandotsava","(Fast till noon)",INDEX(GCalXMLT[dfestival3],$D346))</f>
        <v>0</v>
      </c>
      <c r="L346">
        <f>IF(I346="Nandotsava", INDEX(GCalXMLT[dfestival3],$D346),INDEX(GCalXMLT[dfestival4],$D346))</f>
        <v>0</v>
      </c>
      <c r="M346" t="str">
        <f>IFERROR(INDEX(Festivals!$S$2:$S$160,AP346),"")</f>
        <v/>
      </c>
      <c r="N346" t="str">
        <f>IFERROR(IF($AQ346&gt;1,INDEX(Festivals!$S$2:$S$160,$AP346+1),""),"")</f>
        <v/>
      </c>
      <c r="O346" t="str">
        <f>IFERROR(IF($AQ346&gt;2,INDEX(Festivals!$S$2:$S$160,$AP346+2),""),"")</f>
        <v/>
      </c>
      <c r="P346" t="str">
        <f>IFERROR(IF($AQ346&gt;3,INDEX(Festivals!$S$2:$S$160,$AP346+3),""),"")</f>
        <v/>
      </c>
      <c r="Q346" t="str">
        <f>IFERROR(IF($AQ346&gt;4,INDEX(Festivals!$S$2:$S$160,$AP346+4),""),"")</f>
        <v/>
      </c>
      <c r="R346" t="str">
        <f>IFERROR(IF($AQ346&gt;5,INDEX(Festivals!$S$2:$S$160,$AP346+5),""),"")</f>
        <v/>
      </c>
      <c r="S346" t="str">
        <f>IFERROR(IF($AQ346&gt;6,INDEX(Festivals!$S$2:$S$160,$AP346+6),""),"")</f>
        <v/>
      </c>
      <c r="T346">
        <f>INDEX(GCalXMLT[dcaturmasya1],$D346)</f>
        <v>0</v>
      </c>
      <c r="U346">
        <f>INDEX(GCalXMLT[dcaturmasya2],$D346)</f>
        <v>0</v>
      </c>
      <c r="V346" t="str">
        <f>INDEX(GCalXMLT[sankrantirasi],$D346) &amp; " " &amp; INDEX(GCalXMLT[sankrantitime],$D346)</f>
        <v xml:space="preserve"> </v>
      </c>
      <c r="W346" t="str">
        <f ca="1">IFERROR(INDEX('Holidays Calc'!$K$2:$K$233,AR346),"")</f>
        <v/>
      </c>
      <c r="X346" t="str">
        <f ca="1">IF(AR346="","",IF(INDEX('Holidays Calc'!$I$2:$I$233,AR346+1)=A346,INDEX('Holidays Calc'!$K$2:$K$233,AR346+1),""))</f>
        <v/>
      </c>
      <c r="Y346" t="str">
        <f ca="1">IF(AR346="","",IF(INDEX('Holidays Calc'!$I$2:$I$233,AR346+2)=A346,INDEX('Holidays Calc'!$K$2:$K$233,AR346+2),""))</f>
        <v/>
      </c>
      <c r="Z346" t="str">
        <f ca="1">IF(AR346="","",IF(INDEX('Holidays Calc'!$I$2:$I$233,AR346+3)=A346,INDEX('Holidays Calc'!$K$2:$K$2333,AR346+3),""))</f>
        <v/>
      </c>
      <c r="AA346" t="str">
        <f>IF(I346="Last day of Bhisma Pancaka","",IF(G346="*",-0.7,IF(ISBLANK(INDEX(GCalXMLT[dclass1],$D346)),"",INDEX(GCalXMLT[dclass1],$D346))))</f>
        <v/>
      </c>
      <c r="AB346" t="str">
        <f>IF(J346="First day of Bhisma Pancaka","",IF(AND(G346="*",NOT(ISERROR(SEARCH("ekadasi",J346)))),-0.7,IF(ISBLANK(INDEX(GCalXMLT[dclass2],$D346)),"",INDEX(GCalXMLT[dclass2],$D346))))</f>
        <v/>
      </c>
      <c r="AC346" t="str">
        <f>IF(I346="Nandotsava",-1,IF(ISBLANK(INDEX(GCalXMLT[dclass3],$D346)),"",INDEX(GCalXMLT[dclass3],$D346)))</f>
        <v/>
      </c>
      <c r="AD346" t="str">
        <f>IF(I346="Nandotsava",IF(ISBLANK(INDEX(GCalXMLT[dclass3],$D346)),"",INDEX(GCalXMLT[dclass3],$D346)),IF(ISBLANK(INDEX(GCalXMLT[dclass4],$D346)),"",INDEX(GCalXMLT[dclass4],$D346)))</f>
        <v/>
      </c>
      <c r="AE346" t="str">
        <f>IFERROR(INDEX(Festivals!$V$2:$V$160,AP346),"")</f>
        <v/>
      </c>
      <c r="AF346" t="str">
        <f>IFERROR(IF($AQ346&gt;1,INDEX(Festivals!$V$2:$V$160,$AP346+1),""),"")</f>
        <v/>
      </c>
      <c r="AG346" t="str">
        <f>IFERROR(IF($AQ346&gt;2,INDEX(Festivals!$V$2:$V$160,$AP346+2),""),"")</f>
        <v/>
      </c>
      <c r="AH346" t="str">
        <f>IFERROR(IF($AQ346&gt;3,INDEX(Festivals!$V$2:$V$160,$AP346+3),""),"")</f>
        <v/>
      </c>
      <c r="AI346" t="str">
        <f>IFERROR(IF($AQ346&gt;4,INDEX(Festivals!$V$2:$V$160,$AP346+4),""),"")</f>
        <v/>
      </c>
      <c r="AJ346" t="str">
        <f>IFERROR(IF($AQ346&gt;5,INDEX(Festivals!$V$2:$V$160,$AP346+5),""),"")</f>
        <v/>
      </c>
      <c r="AK346" t="str">
        <f>IFERROR(IF($AQ346&gt;6,INDEX(Festivals!$V$2:$V$160,$AP346+6),""),"")</f>
        <v/>
      </c>
      <c r="AL346" t="str">
        <f ca="1">IFERROR(INDEX('Holidays Calc'!$J$2:$J$233,MATCH(A346,'Holidays Calc'!$I$2:$I$233,0)),"")</f>
        <v/>
      </c>
      <c r="AM346" t="str">
        <f ca="1">IF(AR346="","",IF(INDEX('Holidays Calc'!$I$2:$I$233,AR346+1)=A346,INDEX('Holidays Calc'!$J$2:$J$233,AR346+1),""))</f>
        <v/>
      </c>
      <c r="AN346" t="str">
        <f ca="1">IF(AR346="","",IF(INDEX('Holidays Calc'!$I$2:$I$233,AR346+2)=A346,INDEX('Holidays Calc'!$J$2:$J$233,AR346+2),""))</f>
        <v/>
      </c>
      <c r="AO346" t="str">
        <f ca="1">IF(AR346="","",IF(INDEX('Holidays Calc'!$I$2:$I$233,AR346+3)=A346,INDEX('Holidays Calc'!$J$2:$J$233,AR346+3),""))</f>
        <v/>
      </c>
      <c r="AP346" t="str">
        <f>IFERROR(IF($E346=E345,"",MATCH($E346,Festivals!$H$2:$H$160,0)),"")</f>
        <v/>
      </c>
      <c r="AQ346" t="str">
        <f>IF(AP346="","",COUNTIF(Festivals!$H$2:$H$160,$E346))</f>
        <v/>
      </c>
      <c r="AR346" t="str">
        <f ca="1">IFERROR(MATCH(A346,'Holidays Calc'!$I$2:$I$233,0),"")</f>
        <v/>
      </c>
      <c r="AS346" t="str">
        <f t="shared" si="39"/>
        <v/>
      </c>
      <c r="AT346" t="str">
        <f t="shared" si="38"/>
        <v/>
      </c>
      <c r="AU346" t="str">
        <f t="shared" ca="1" si="40"/>
        <v/>
      </c>
      <c r="AV346" t="str">
        <f t="shared" ca="1" si="41"/>
        <v/>
      </c>
    </row>
    <row r="347" spans="1:48" x14ac:dyDescent="0.25">
      <c r="A347" s="265">
        <f t="shared" si="37"/>
        <v>43773</v>
      </c>
      <c r="B347" s="265" t="str">
        <f t="shared" si="42"/>
        <v>4 Nov 2019</v>
      </c>
      <c r="C347" s="267">
        <f t="shared" si="43"/>
        <v>45</v>
      </c>
      <c r="D347">
        <f>MATCH(A347,GCalXMLT[daydate],0)</f>
        <v>346</v>
      </c>
      <c r="E347">
        <f>VALUE("1" &amp; Masacod(INDEX(GCalXMLT[gymasa],D347)) &amp; PaksaCod(INDEX(GCalXMLT[mpaksaid],D347)) &amp; TithiCod(INDEX(GCalXMLT[stithiname],D347)))</f>
        <v>108108</v>
      </c>
      <c r="F347" t="str">
        <f ca="1">INDEX(Parameters!$K$2:$K$16,MATCH(AV347,Parameters!$L$2:$L$16,0))</f>
        <v>C</v>
      </c>
      <c r="G347">
        <f>INDEX(GCalXMLT[fastmark],$D347)</f>
        <v>0</v>
      </c>
      <c r="H347" t="str">
        <f ca="1">INDEX(Parameters!$J$2:$J$16,MATCH(AV347,Parameters!$L$2:$L$16,0))</f>
        <v/>
      </c>
      <c r="I347">
        <f>INDEX(GCalXMLT[dfestival1],$D347)</f>
        <v>0</v>
      </c>
      <c r="J347">
        <f>IF(INDEX(GCalXMLT[dfestival2],$D347)="(Fast today)",INDEX(Festivals!$R$2:$R$180,MATCH($I347,Festivals!$R$2:$R$180,0)+1),INDEX(GCalXMLT[dfestival2],$D347))</f>
        <v>0</v>
      </c>
      <c r="K347">
        <f>IF(I347="Nandotsava","(Fast till noon)",INDEX(GCalXMLT[dfestival3],$D347))</f>
        <v>0</v>
      </c>
      <c r="L347">
        <f>IF(I347="Nandotsava", INDEX(GCalXMLT[dfestival3],$D347),INDEX(GCalXMLT[dfestival4],$D347))</f>
        <v>0</v>
      </c>
      <c r="M347" t="str">
        <f>IFERROR(INDEX(Festivals!$S$2:$S$160,AP347),"")</f>
        <v>Gopastami, Gosthastami</v>
      </c>
      <c r="N347" t="str">
        <f>IFERROR(IF($AQ347&gt;1,INDEX(Festivals!$S$2:$S$160,$AP347+1),""),"")</f>
        <v>Sri Gadadhara Dasa Gosvami - Disappearance</v>
      </c>
      <c r="O347" t="str">
        <f>IFERROR(IF($AQ347&gt;2,INDEX(Festivals!$S$2:$S$160,$AP347+2),""),"")</f>
        <v>Sri Dhananjaya Pandita - Disappearance</v>
      </c>
      <c r="P347" t="str">
        <f>IFERROR(IF($AQ347&gt;3,INDEX(Festivals!$S$2:$S$160,$AP347+3),""),"")</f>
        <v>Sri Srinivasa Acarya - Disappearance</v>
      </c>
      <c r="Q347" t="str">
        <f>IFERROR(IF($AQ347&gt;4,INDEX(Festivals!$S$2:$S$160,$AP347+4),""),"")</f>
        <v/>
      </c>
      <c r="R347" t="str">
        <f>IFERROR(IF($AQ347&gt;5,INDEX(Festivals!$S$2:$S$160,$AP347+5),""),"")</f>
        <v/>
      </c>
      <c r="S347" t="str">
        <f>IFERROR(IF($AQ347&gt;6,INDEX(Festivals!$S$2:$S$160,$AP347+6),""),"")</f>
        <v/>
      </c>
      <c r="T347">
        <f>INDEX(GCalXMLT[dcaturmasya1],$D347)</f>
        <v>0</v>
      </c>
      <c r="U347">
        <f>INDEX(GCalXMLT[dcaturmasya2],$D347)</f>
        <v>0</v>
      </c>
      <c r="V347" t="str">
        <f>INDEX(GCalXMLT[sankrantirasi],$D347) &amp; " " &amp; INDEX(GCalXMLT[sankrantitime],$D347)</f>
        <v xml:space="preserve"> </v>
      </c>
      <c r="W347" t="str">
        <f ca="1">IFERROR(INDEX('Holidays Calc'!$K$2:$K$233,AR347),"")</f>
        <v/>
      </c>
      <c r="X347" t="str">
        <f ca="1">IF(AR347="","",IF(INDEX('Holidays Calc'!$I$2:$I$233,AR347+1)=A347,INDEX('Holidays Calc'!$K$2:$K$233,AR347+1),""))</f>
        <v/>
      </c>
      <c r="Y347" t="str">
        <f ca="1">IF(AR347="","",IF(INDEX('Holidays Calc'!$I$2:$I$233,AR347+2)=A347,INDEX('Holidays Calc'!$K$2:$K$233,AR347+2),""))</f>
        <v/>
      </c>
      <c r="Z347" t="str">
        <f ca="1">IF(AR347="","",IF(INDEX('Holidays Calc'!$I$2:$I$233,AR347+3)=A347,INDEX('Holidays Calc'!$K$2:$K$2333,AR347+3),""))</f>
        <v/>
      </c>
      <c r="AA347" t="str">
        <f>IF(I347="Last day of Bhisma Pancaka","",IF(G347="*",-0.7,IF(ISBLANK(INDEX(GCalXMLT[dclass1],$D347)),"",INDEX(GCalXMLT[dclass1],$D347))))</f>
        <v/>
      </c>
      <c r="AB347" t="str">
        <f>IF(J347="First day of Bhisma Pancaka","",IF(AND(G347="*",NOT(ISERROR(SEARCH("ekadasi",J347)))),-0.7,IF(ISBLANK(INDEX(GCalXMLT[dclass2],$D347)),"",INDEX(GCalXMLT[dclass2],$D347))))</f>
        <v/>
      </c>
      <c r="AC347" t="str">
        <f>IF(I347="Nandotsava",-1,IF(ISBLANK(INDEX(GCalXMLT[dclass3],$D347)),"",INDEX(GCalXMLT[dclass3],$D347)))</f>
        <v/>
      </c>
      <c r="AD347" t="str">
        <f>IF(I347="Nandotsava",IF(ISBLANK(INDEX(GCalXMLT[dclass3],$D347)),"",INDEX(GCalXMLT[dclass3],$D347)),IF(ISBLANK(INDEX(GCalXMLT[dclass4],$D347)),"",INDEX(GCalXMLT[dclass4],$D347)))</f>
        <v/>
      </c>
      <c r="AE347">
        <f>IFERROR(INDEX(Festivals!$V$2:$V$160,AP347),"")</f>
        <v>1</v>
      </c>
      <c r="AF347">
        <f>IFERROR(IF($AQ347&gt;1,INDEX(Festivals!$V$2:$V$160,$AP347+1),""),"")</f>
        <v>3</v>
      </c>
      <c r="AG347">
        <f>IFERROR(IF($AQ347&gt;2,INDEX(Festivals!$V$2:$V$160,$AP347+2),""),"")</f>
        <v>3</v>
      </c>
      <c r="AH347">
        <f>IFERROR(IF($AQ347&gt;3,INDEX(Festivals!$V$2:$V$160,$AP347+3),""),"")</f>
        <v>3</v>
      </c>
      <c r="AI347" t="str">
        <f>IFERROR(IF($AQ347&gt;4,INDEX(Festivals!$V$2:$V$160,$AP347+4),""),"")</f>
        <v/>
      </c>
      <c r="AJ347" t="str">
        <f>IFERROR(IF($AQ347&gt;5,INDEX(Festivals!$V$2:$V$160,$AP347+5),""),"")</f>
        <v/>
      </c>
      <c r="AK347" t="str">
        <f>IFERROR(IF($AQ347&gt;6,INDEX(Festivals!$V$2:$V$160,$AP347+6),""),"")</f>
        <v/>
      </c>
      <c r="AL347" t="str">
        <f ca="1">IFERROR(INDEX('Holidays Calc'!$J$2:$J$233,MATCH(A347,'Holidays Calc'!$I$2:$I$233,0)),"")</f>
        <v/>
      </c>
      <c r="AM347" t="str">
        <f ca="1">IF(AR347="","",IF(INDEX('Holidays Calc'!$I$2:$I$233,AR347+1)=A347,INDEX('Holidays Calc'!$J$2:$J$233,AR347+1),""))</f>
        <v/>
      </c>
      <c r="AN347" t="str">
        <f ca="1">IF(AR347="","",IF(INDEX('Holidays Calc'!$I$2:$I$233,AR347+2)=A347,INDEX('Holidays Calc'!$J$2:$J$233,AR347+2),""))</f>
        <v/>
      </c>
      <c r="AO347" t="str">
        <f ca="1">IF(AR347="","",IF(INDEX('Holidays Calc'!$I$2:$I$233,AR347+3)=A347,INDEX('Holidays Calc'!$J$2:$J$233,AR347+3),""))</f>
        <v/>
      </c>
      <c r="AP347">
        <f>IFERROR(IF($E347=E346,"",MATCH($E347,Festivals!$H$2:$H$160,0)),"")</f>
        <v>95</v>
      </c>
      <c r="AQ347">
        <f>IF(AP347="","",COUNTIF(Festivals!$H$2:$H$160,$E347))</f>
        <v>4</v>
      </c>
      <c r="AR347" t="str">
        <f ca="1">IFERROR(MATCH(A347,'Holidays Calc'!$I$2:$I$233,0),"")</f>
        <v/>
      </c>
      <c r="AS347">
        <f t="shared" si="39"/>
        <v>1</v>
      </c>
      <c r="AT347">
        <f t="shared" si="38"/>
        <v>1</v>
      </c>
      <c r="AU347" t="str">
        <f t="shared" ca="1" si="40"/>
        <v/>
      </c>
      <c r="AV347">
        <f t="shared" ca="1" si="41"/>
        <v>1</v>
      </c>
    </row>
    <row r="348" spans="1:48" x14ac:dyDescent="0.25">
      <c r="A348" s="265">
        <f t="shared" si="37"/>
        <v>43774</v>
      </c>
      <c r="B348" s="265" t="str">
        <f t="shared" si="42"/>
        <v>5 Nov 2019</v>
      </c>
      <c r="C348" s="267">
        <f t="shared" si="43"/>
        <v>45</v>
      </c>
      <c r="D348">
        <f>MATCH(A348,GCalXMLT[daydate],0)</f>
        <v>347</v>
      </c>
      <c r="E348">
        <f>VALUE("1" &amp; Masacod(INDEX(GCalXMLT[gymasa],D348)) &amp; PaksaCod(INDEX(GCalXMLT[mpaksaid],D348)) &amp; TithiCod(INDEX(GCalXMLT[stithiname],D348)))</f>
        <v>108109</v>
      </c>
      <c r="F348" t="str">
        <f ca="1">INDEX(Parameters!$K$2:$K$16,MATCH(AV348,Parameters!$L$2:$L$16,0))</f>
        <v>C</v>
      </c>
      <c r="G348">
        <f>INDEX(GCalXMLT[fastmark],$D348)</f>
        <v>0</v>
      </c>
      <c r="H348" t="str">
        <f ca="1">INDEX(Parameters!$J$2:$J$16,MATCH(AV348,Parameters!$L$2:$L$16,0))</f>
        <v/>
      </c>
      <c r="I348">
        <f>INDEX(GCalXMLT[dfestival1],$D348)</f>
        <v>0</v>
      </c>
      <c r="J348">
        <f>IF(INDEX(GCalXMLT[dfestival2],$D348)="(Fast today)",INDEX(Festivals!$R$2:$R$180,MATCH($I348,Festivals!$R$2:$R$180,0)+1),INDEX(GCalXMLT[dfestival2],$D348))</f>
        <v>0</v>
      </c>
      <c r="K348">
        <f>IF(I348="Nandotsava","(Fast till noon)",INDEX(GCalXMLT[dfestival3],$D348))</f>
        <v>0</v>
      </c>
      <c r="L348">
        <f>IF(I348="Nandotsava", INDEX(GCalXMLT[dfestival3],$D348),INDEX(GCalXMLT[dfestival4],$D348))</f>
        <v>0</v>
      </c>
      <c r="M348" t="str">
        <f>IFERROR(INDEX(Festivals!$S$2:$S$160,AP348),"")</f>
        <v>Jagaddhatri Puja</v>
      </c>
      <c r="N348" t="str">
        <f>IFERROR(IF($AQ348&gt;1,INDEX(Festivals!$S$2:$S$160,$AP348+1),""),"")</f>
        <v/>
      </c>
      <c r="O348" t="str">
        <f>IFERROR(IF($AQ348&gt;2,INDEX(Festivals!$S$2:$S$160,$AP348+2),""),"")</f>
        <v/>
      </c>
      <c r="P348" t="str">
        <f>IFERROR(IF($AQ348&gt;3,INDEX(Festivals!$S$2:$S$160,$AP348+3),""),"")</f>
        <v/>
      </c>
      <c r="Q348" t="str">
        <f>IFERROR(IF($AQ348&gt;4,INDEX(Festivals!$S$2:$S$160,$AP348+4),""),"")</f>
        <v/>
      </c>
      <c r="R348" t="str">
        <f>IFERROR(IF($AQ348&gt;5,INDEX(Festivals!$S$2:$S$160,$AP348+5),""),"")</f>
        <v/>
      </c>
      <c r="S348" t="str">
        <f>IFERROR(IF($AQ348&gt;6,INDEX(Festivals!$S$2:$S$160,$AP348+6),""),"")</f>
        <v/>
      </c>
      <c r="T348">
        <f>INDEX(GCalXMLT[dcaturmasya1],$D348)</f>
        <v>0</v>
      </c>
      <c r="U348">
        <f>INDEX(GCalXMLT[dcaturmasya2],$D348)</f>
        <v>0</v>
      </c>
      <c r="V348" t="str">
        <f>INDEX(GCalXMLT[sankrantirasi],$D348) &amp; " " &amp; INDEX(GCalXMLT[sankrantitime],$D348)</f>
        <v xml:space="preserve"> </v>
      </c>
      <c r="W348" t="str">
        <f ca="1">IFERROR(INDEX('Holidays Calc'!$K$2:$K$233,AR348),"")</f>
        <v/>
      </c>
      <c r="X348" t="str">
        <f ca="1">IF(AR348="","",IF(INDEX('Holidays Calc'!$I$2:$I$233,AR348+1)=A348,INDEX('Holidays Calc'!$K$2:$K$233,AR348+1),""))</f>
        <v/>
      </c>
      <c r="Y348" t="str">
        <f ca="1">IF(AR348="","",IF(INDEX('Holidays Calc'!$I$2:$I$233,AR348+2)=A348,INDEX('Holidays Calc'!$K$2:$K$233,AR348+2),""))</f>
        <v/>
      </c>
      <c r="Z348" t="str">
        <f ca="1">IF(AR348="","",IF(INDEX('Holidays Calc'!$I$2:$I$233,AR348+3)=A348,INDEX('Holidays Calc'!$K$2:$K$2333,AR348+3),""))</f>
        <v/>
      </c>
      <c r="AA348" t="str">
        <f>IF(I348="Last day of Bhisma Pancaka","",IF(G348="*",-0.7,IF(ISBLANK(INDEX(GCalXMLT[dclass1],$D348)),"",INDEX(GCalXMLT[dclass1],$D348))))</f>
        <v/>
      </c>
      <c r="AB348" t="str">
        <f>IF(J348="First day of Bhisma Pancaka","",IF(AND(G348="*",NOT(ISERROR(SEARCH("ekadasi",J348)))),-0.7,IF(ISBLANK(INDEX(GCalXMLT[dclass2],$D348)),"",INDEX(GCalXMLT[dclass2],$D348))))</f>
        <v/>
      </c>
      <c r="AC348" t="str">
        <f>IF(I348="Nandotsava",-1,IF(ISBLANK(INDEX(GCalXMLT[dclass3],$D348)),"",INDEX(GCalXMLT[dclass3],$D348)))</f>
        <v/>
      </c>
      <c r="AD348" t="str">
        <f>IF(I348="Nandotsava",IF(ISBLANK(INDEX(GCalXMLT[dclass3],$D348)),"",INDEX(GCalXMLT[dclass3],$D348)),IF(ISBLANK(INDEX(GCalXMLT[dclass4],$D348)),"",INDEX(GCalXMLT[dclass4],$D348)))</f>
        <v/>
      </c>
      <c r="AE348">
        <f>IFERROR(INDEX(Festivals!$V$2:$V$160,AP348),"")</f>
        <v>5</v>
      </c>
      <c r="AF348" t="str">
        <f>IFERROR(IF($AQ348&gt;1,INDEX(Festivals!$V$2:$V$160,$AP348+1),""),"")</f>
        <v/>
      </c>
      <c r="AG348" t="str">
        <f>IFERROR(IF($AQ348&gt;2,INDEX(Festivals!$V$2:$V$160,$AP348+2),""),"")</f>
        <v/>
      </c>
      <c r="AH348" t="str">
        <f>IFERROR(IF($AQ348&gt;3,INDEX(Festivals!$V$2:$V$160,$AP348+3),""),"")</f>
        <v/>
      </c>
      <c r="AI348" t="str">
        <f>IFERROR(IF($AQ348&gt;4,INDEX(Festivals!$V$2:$V$160,$AP348+4),""),"")</f>
        <v/>
      </c>
      <c r="AJ348" t="str">
        <f>IFERROR(IF($AQ348&gt;5,INDEX(Festivals!$V$2:$V$160,$AP348+5),""),"")</f>
        <v/>
      </c>
      <c r="AK348" t="str">
        <f>IFERROR(IF($AQ348&gt;6,INDEX(Festivals!$V$2:$V$160,$AP348+6),""),"")</f>
        <v/>
      </c>
      <c r="AL348" t="str">
        <f ca="1">IFERROR(INDEX('Holidays Calc'!$J$2:$J$233,MATCH(A348,'Holidays Calc'!$I$2:$I$233,0)),"")</f>
        <v/>
      </c>
      <c r="AM348" t="str">
        <f ca="1">IF(AR348="","",IF(INDEX('Holidays Calc'!$I$2:$I$233,AR348+1)=A348,INDEX('Holidays Calc'!$J$2:$J$233,AR348+1),""))</f>
        <v/>
      </c>
      <c r="AN348" t="str">
        <f ca="1">IF(AR348="","",IF(INDEX('Holidays Calc'!$I$2:$I$233,AR348+2)=A348,INDEX('Holidays Calc'!$J$2:$J$233,AR348+2),""))</f>
        <v/>
      </c>
      <c r="AO348" t="str">
        <f ca="1">IF(AR348="","",IF(INDEX('Holidays Calc'!$I$2:$I$233,AR348+3)=A348,INDEX('Holidays Calc'!$J$2:$J$233,AR348+3),""))</f>
        <v/>
      </c>
      <c r="AP348">
        <f>IFERROR(IF($E348=E347,"",MATCH($E348,Festivals!$H$2:$H$160,0)),"")</f>
        <v>99</v>
      </c>
      <c r="AQ348">
        <f>IF(AP348="","",COUNTIF(Festivals!$H$2:$H$160,$E348))</f>
        <v>1</v>
      </c>
      <c r="AR348" t="str">
        <f ca="1">IFERROR(MATCH(A348,'Holidays Calc'!$I$2:$I$233,0),"")</f>
        <v/>
      </c>
      <c r="AS348">
        <f t="shared" si="39"/>
        <v>5</v>
      </c>
      <c r="AT348">
        <f t="shared" si="38"/>
        <v>5</v>
      </c>
      <c r="AU348" t="str">
        <f t="shared" ca="1" si="40"/>
        <v/>
      </c>
      <c r="AV348">
        <f t="shared" ca="1" si="41"/>
        <v>5</v>
      </c>
    </row>
    <row r="349" spans="1:48" x14ac:dyDescent="0.25">
      <c r="A349" s="265">
        <f t="shared" si="37"/>
        <v>43775</v>
      </c>
      <c r="B349" s="265" t="str">
        <f t="shared" si="42"/>
        <v>6 Nov 2019</v>
      </c>
      <c r="C349" s="267">
        <f t="shared" si="43"/>
        <v>45</v>
      </c>
      <c r="D349">
        <f>MATCH(A349,GCalXMLT[daydate],0)</f>
        <v>348</v>
      </c>
      <c r="E349">
        <f>VALUE("1" &amp; Masacod(INDEX(GCalXMLT[gymasa],D349)) &amp; PaksaCod(INDEX(GCalXMLT[mpaksaid],D349)) &amp; TithiCod(INDEX(GCalXMLT[stithiname],D349)))</f>
        <v>108110</v>
      </c>
      <c r="F349" t="str">
        <f ca="1">INDEX(Parameters!$K$2:$K$16,MATCH(AV349,Parameters!$L$2:$L$16,0))</f>
        <v/>
      </c>
      <c r="G349">
        <f>INDEX(GCalXMLT[fastmark],$D349)</f>
        <v>0</v>
      </c>
      <c r="H349" t="str">
        <f ca="1">INDEX(Parameters!$J$2:$J$16,MATCH(AV349,Parameters!$L$2:$L$16,0))</f>
        <v/>
      </c>
      <c r="I349">
        <f>INDEX(GCalXMLT[dfestival1],$D349)</f>
        <v>0</v>
      </c>
      <c r="J349">
        <f>IF(INDEX(GCalXMLT[dfestival2],$D349)="(Fast today)",INDEX(Festivals!$R$2:$R$180,MATCH($I349,Festivals!$R$2:$R$180,0)+1),INDEX(GCalXMLT[dfestival2],$D349))</f>
        <v>0</v>
      </c>
      <c r="K349">
        <f>IF(I349="Nandotsava","(Fast till noon)",INDEX(GCalXMLT[dfestival3],$D349))</f>
        <v>0</v>
      </c>
      <c r="L349">
        <f>IF(I349="Nandotsava", INDEX(GCalXMLT[dfestival3],$D349),INDEX(GCalXMLT[dfestival4],$D349))</f>
        <v>0</v>
      </c>
      <c r="M349" t="str">
        <f>IFERROR(INDEX(Festivals!$S$2:$S$160,AP349),"")</f>
        <v/>
      </c>
      <c r="N349" t="str">
        <f>IFERROR(IF($AQ349&gt;1,INDEX(Festivals!$S$2:$S$160,$AP349+1),""),"")</f>
        <v/>
      </c>
      <c r="O349" t="str">
        <f>IFERROR(IF($AQ349&gt;2,INDEX(Festivals!$S$2:$S$160,$AP349+2),""),"")</f>
        <v/>
      </c>
      <c r="P349" t="str">
        <f>IFERROR(IF($AQ349&gt;3,INDEX(Festivals!$S$2:$S$160,$AP349+3),""),"")</f>
        <v/>
      </c>
      <c r="Q349" t="str">
        <f>IFERROR(IF($AQ349&gt;4,INDEX(Festivals!$S$2:$S$160,$AP349+4),""),"")</f>
        <v/>
      </c>
      <c r="R349" t="str">
        <f>IFERROR(IF($AQ349&gt;5,INDEX(Festivals!$S$2:$S$160,$AP349+5),""),"")</f>
        <v/>
      </c>
      <c r="S349" t="str">
        <f>IFERROR(IF($AQ349&gt;6,INDEX(Festivals!$S$2:$S$160,$AP349+6),""),"")</f>
        <v/>
      </c>
      <c r="T349">
        <f>INDEX(GCalXMLT[dcaturmasya1],$D349)</f>
        <v>0</v>
      </c>
      <c r="U349">
        <f>INDEX(GCalXMLT[dcaturmasya2],$D349)</f>
        <v>0</v>
      </c>
      <c r="V349" t="str">
        <f>INDEX(GCalXMLT[sankrantirasi],$D349) &amp; " " &amp; INDEX(GCalXMLT[sankrantitime],$D349)</f>
        <v xml:space="preserve"> </v>
      </c>
      <c r="W349" t="str">
        <f ca="1">IFERROR(INDEX('Holidays Calc'!$K$2:$K$233,AR349),"")</f>
        <v/>
      </c>
      <c r="X349" t="str">
        <f ca="1">IF(AR349="","",IF(INDEX('Holidays Calc'!$I$2:$I$233,AR349+1)=A349,INDEX('Holidays Calc'!$K$2:$K$233,AR349+1),""))</f>
        <v/>
      </c>
      <c r="Y349" t="str">
        <f ca="1">IF(AR349="","",IF(INDEX('Holidays Calc'!$I$2:$I$233,AR349+2)=A349,INDEX('Holidays Calc'!$K$2:$K$233,AR349+2),""))</f>
        <v/>
      </c>
      <c r="Z349" t="str">
        <f ca="1">IF(AR349="","",IF(INDEX('Holidays Calc'!$I$2:$I$233,AR349+3)=A349,INDEX('Holidays Calc'!$K$2:$K$2333,AR349+3),""))</f>
        <v/>
      </c>
      <c r="AA349" t="str">
        <f>IF(I349="Last day of Bhisma Pancaka","",IF(G349="*",-0.7,IF(ISBLANK(INDEX(GCalXMLT[dclass1],$D349)),"",INDEX(GCalXMLT[dclass1],$D349))))</f>
        <v/>
      </c>
      <c r="AB349" t="str">
        <f>IF(J349="First day of Bhisma Pancaka","",IF(AND(G349="*",NOT(ISERROR(SEARCH("ekadasi",J349)))),-0.7,IF(ISBLANK(INDEX(GCalXMLT[dclass2],$D349)),"",INDEX(GCalXMLT[dclass2],$D349))))</f>
        <v/>
      </c>
      <c r="AC349" t="str">
        <f>IF(I349="Nandotsava",-1,IF(ISBLANK(INDEX(GCalXMLT[dclass3],$D349)),"",INDEX(GCalXMLT[dclass3],$D349)))</f>
        <v/>
      </c>
      <c r="AD349" t="str">
        <f>IF(I349="Nandotsava",IF(ISBLANK(INDEX(GCalXMLT[dclass3],$D349)),"",INDEX(GCalXMLT[dclass3],$D349)),IF(ISBLANK(INDEX(GCalXMLT[dclass4],$D349)),"",INDEX(GCalXMLT[dclass4],$D349)))</f>
        <v/>
      </c>
      <c r="AE349" t="str">
        <f>IFERROR(INDEX(Festivals!$V$2:$V$160,AP349),"")</f>
        <v>---</v>
      </c>
      <c r="AF349" t="str">
        <f>IFERROR(IF($AQ349&gt;1,INDEX(Festivals!$V$2:$V$160,$AP349+1),""),"")</f>
        <v/>
      </c>
      <c r="AG349" t="str">
        <f>IFERROR(IF($AQ349&gt;2,INDEX(Festivals!$V$2:$V$160,$AP349+2),""),"")</f>
        <v/>
      </c>
      <c r="AH349" t="str">
        <f>IFERROR(IF($AQ349&gt;3,INDEX(Festivals!$V$2:$V$160,$AP349+3),""),"")</f>
        <v/>
      </c>
      <c r="AI349" t="str">
        <f>IFERROR(IF($AQ349&gt;4,INDEX(Festivals!$V$2:$V$160,$AP349+4),""),"")</f>
        <v/>
      </c>
      <c r="AJ349" t="str">
        <f>IFERROR(IF($AQ349&gt;5,INDEX(Festivals!$V$2:$V$160,$AP349+5),""),"")</f>
        <v/>
      </c>
      <c r="AK349" t="str">
        <f>IFERROR(IF($AQ349&gt;6,INDEX(Festivals!$V$2:$V$160,$AP349+6),""),"")</f>
        <v/>
      </c>
      <c r="AL349" t="str">
        <f ca="1">IFERROR(INDEX('Holidays Calc'!$J$2:$J$233,MATCH(A349,'Holidays Calc'!$I$2:$I$233,0)),"")</f>
        <v/>
      </c>
      <c r="AM349" t="str">
        <f ca="1">IF(AR349="","",IF(INDEX('Holidays Calc'!$I$2:$I$233,AR349+1)=A349,INDEX('Holidays Calc'!$J$2:$J$233,AR349+1),""))</f>
        <v/>
      </c>
      <c r="AN349" t="str">
        <f ca="1">IF(AR349="","",IF(INDEX('Holidays Calc'!$I$2:$I$233,AR349+2)=A349,INDEX('Holidays Calc'!$J$2:$J$233,AR349+2),""))</f>
        <v/>
      </c>
      <c r="AO349" t="str">
        <f ca="1">IF(AR349="","",IF(INDEX('Holidays Calc'!$I$2:$I$233,AR349+3)=A349,INDEX('Holidays Calc'!$J$2:$J$233,AR349+3),""))</f>
        <v/>
      </c>
      <c r="AP349">
        <f>IFERROR(IF($E349=E348,"",MATCH($E349,Festivals!$H$2:$H$160,0)),"")</f>
        <v>100</v>
      </c>
      <c r="AQ349">
        <f>IF(AP349="","",COUNTIF(Festivals!$H$2:$H$160,$E349))</f>
        <v>1</v>
      </c>
      <c r="AR349" t="str">
        <f ca="1">IFERROR(MATCH(A349,'Holidays Calc'!$I$2:$I$233,0),"")</f>
        <v/>
      </c>
      <c r="AS349" t="str">
        <f t="shared" si="39"/>
        <v/>
      </c>
      <c r="AT349" t="str">
        <f t="shared" si="38"/>
        <v/>
      </c>
      <c r="AU349" t="str">
        <f t="shared" ca="1" si="40"/>
        <v/>
      </c>
      <c r="AV349" t="str">
        <f t="shared" ca="1" si="41"/>
        <v/>
      </c>
    </row>
    <row r="350" spans="1:48" x14ac:dyDescent="0.25">
      <c r="A350" s="265">
        <f t="shared" si="37"/>
        <v>43776</v>
      </c>
      <c r="B350" s="265" t="str">
        <f t="shared" si="42"/>
        <v>7 Nov 2019</v>
      </c>
      <c r="C350" s="267">
        <f t="shared" si="43"/>
        <v>45</v>
      </c>
      <c r="D350">
        <f>MATCH(A350,GCalXMLT[daydate],0)</f>
        <v>349</v>
      </c>
      <c r="E350">
        <f>VALUE("1" &amp; Masacod(INDEX(GCalXMLT[gymasa],D350)) &amp; PaksaCod(INDEX(GCalXMLT[mpaksaid],D350)) &amp; TithiCod(INDEX(GCalXMLT[stithiname],D350)))</f>
        <v>108111</v>
      </c>
      <c r="F350" t="str">
        <f ca="1">INDEX(Parameters!$K$2:$K$16,MATCH(AV350,Parameters!$L$2:$L$16,0))</f>
        <v>P</v>
      </c>
      <c r="G350">
        <f>INDEX(GCalXMLT[fastmark],$D350)</f>
        <v>0</v>
      </c>
      <c r="H350" t="str">
        <f ca="1">INDEX(Parameters!$J$2:$J$16,MATCH(AV350,Parameters!$L$2:$L$16,0))</f>
        <v>*</v>
      </c>
      <c r="I350">
        <f>INDEX(GCalXMLT[dfestival1],$D350)</f>
        <v>0</v>
      </c>
      <c r="J350">
        <f>IF(INDEX(GCalXMLT[dfestival2],$D350)="(Fast today)",INDEX(Festivals!$R$2:$R$180,MATCH($I350,Festivals!$R$2:$R$180,0)+1),INDEX(GCalXMLT[dfestival2],$D350))</f>
        <v>0</v>
      </c>
      <c r="K350">
        <f>IF(I350="Nandotsava","(Fast till noon)",INDEX(GCalXMLT[dfestival3],$D350))</f>
        <v>0</v>
      </c>
      <c r="L350">
        <f>IF(I350="Nandotsava", INDEX(GCalXMLT[dfestival3],$D350),INDEX(GCalXMLT[dfestival4],$D350))</f>
        <v>0</v>
      </c>
      <c r="M350" t="str">
        <f>IFERROR(INDEX(Festivals!$S$2:$S$160,AP350),"")</f>
        <v>Srila Gaura Kisora Dasa Babaji - Disappearance</v>
      </c>
      <c r="N350" t="str">
        <f>IFERROR(IF($AQ350&gt;1,INDEX(Festivals!$S$2:$S$160,$AP350+1),""),"")</f>
        <v>(Fast today till noon)</v>
      </c>
      <c r="O350" t="str">
        <f>IFERROR(IF($AQ350&gt;2,INDEX(Festivals!$S$2:$S$160,$AP350+2),""),"")</f>
        <v/>
      </c>
      <c r="P350" t="str">
        <f>IFERROR(IF($AQ350&gt;3,INDEX(Festivals!$S$2:$S$160,$AP350+3),""),"")</f>
        <v/>
      </c>
      <c r="Q350" t="str">
        <f>IFERROR(IF($AQ350&gt;4,INDEX(Festivals!$S$2:$S$160,$AP350+4),""),"")</f>
        <v/>
      </c>
      <c r="R350" t="str">
        <f>IFERROR(IF($AQ350&gt;5,INDEX(Festivals!$S$2:$S$160,$AP350+5),""),"")</f>
        <v/>
      </c>
      <c r="S350" t="str">
        <f>IFERROR(IF($AQ350&gt;6,INDEX(Festivals!$S$2:$S$160,$AP350+6),""),"")</f>
        <v/>
      </c>
      <c r="T350" t="str">
        <f>INDEX(GCalXMLT[dcaturmasya1],$D350)</f>
        <v>4last_EKADASI_</v>
      </c>
      <c r="U350">
        <f>INDEX(GCalXMLT[dcaturmasya2],$D350)</f>
        <v>0</v>
      </c>
      <c r="V350" t="str">
        <f>INDEX(GCalXMLT[sankrantirasi],$D350) &amp; " " &amp; INDEX(GCalXMLT[sankrantitime],$D350)</f>
        <v xml:space="preserve"> </v>
      </c>
      <c r="W350" t="str">
        <f ca="1">IFERROR(INDEX('Holidays Calc'!$K$2:$K$233,AR350),"")</f>
        <v/>
      </c>
      <c r="X350" t="str">
        <f ca="1">IF(AR350="","",IF(INDEX('Holidays Calc'!$I$2:$I$233,AR350+1)=A350,INDEX('Holidays Calc'!$K$2:$K$233,AR350+1),""))</f>
        <v/>
      </c>
      <c r="Y350" t="str">
        <f ca="1">IF(AR350="","",IF(INDEX('Holidays Calc'!$I$2:$I$233,AR350+2)=A350,INDEX('Holidays Calc'!$K$2:$K$233,AR350+2),""))</f>
        <v/>
      </c>
      <c r="Z350" t="str">
        <f ca="1">IF(AR350="","",IF(INDEX('Holidays Calc'!$I$2:$I$233,AR350+3)=A350,INDEX('Holidays Calc'!$K$2:$K$2333,AR350+3),""))</f>
        <v/>
      </c>
      <c r="AA350" t="str">
        <f>IF(I350="Last day of Bhisma Pancaka","",IF(G350="*",-0.7,IF(ISBLANK(INDEX(GCalXMLT[dclass1],$D350)),"",INDEX(GCalXMLT[dclass1],$D350))))</f>
        <v/>
      </c>
      <c r="AB350" t="str">
        <f>IF(J350="First day of Bhisma Pancaka","",IF(AND(G350="*",NOT(ISERROR(SEARCH("ekadasi",J350)))),-0.7,IF(ISBLANK(INDEX(GCalXMLT[dclass2],$D350)),"",INDEX(GCalXMLT[dclass2],$D350))))</f>
        <v/>
      </c>
      <c r="AC350" t="str">
        <f>IF(I350="Nandotsava",-1,IF(ISBLANK(INDEX(GCalXMLT[dclass3],$D350)),"",INDEX(GCalXMLT[dclass3],$D350)))</f>
        <v/>
      </c>
      <c r="AD350" t="str">
        <f>IF(I350="Nandotsava",IF(ISBLANK(INDEX(GCalXMLT[dclass3],$D350)),"",INDEX(GCalXMLT[dclass3],$D350)),IF(ISBLANK(INDEX(GCalXMLT[dclass4],$D350)),"",INDEX(GCalXMLT[dclass4],$D350)))</f>
        <v/>
      </c>
      <c r="AE350">
        <f>IFERROR(INDEX(Festivals!$V$2:$V$160,AP350),"")</f>
        <v>2</v>
      </c>
      <c r="AF350">
        <f>IFERROR(IF($AQ350&gt;1,INDEX(Festivals!$V$2:$V$160,$AP350+1),""),"")</f>
        <v>-1</v>
      </c>
      <c r="AG350" t="str">
        <f>IFERROR(IF($AQ350&gt;2,INDEX(Festivals!$V$2:$V$160,$AP350+2),""),"")</f>
        <v/>
      </c>
      <c r="AH350" t="str">
        <f>IFERROR(IF($AQ350&gt;3,INDEX(Festivals!$V$2:$V$160,$AP350+3),""),"")</f>
        <v/>
      </c>
      <c r="AI350" t="str">
        <f>IFERROR(IF($AQ350&gt;4,INDEX(Festivals!$V$2:$V$160,$AP350+4),""),"")</f>
        <v/>
      </c>
      <c r="AJ350" t="str">
        <f>IFERROR(IF($AQ350&gt;5,INDEX(Festivals!$V$2:$V$160,$AP350+5),""),"")</f>
        <v/>
      </c>
      <c r="AK350" t="str">
        <f>IFERROR(IF($AQ350&gt;6,INDEX(Festivals!$V$2:$V$160,$AP350+6),""),"")</f>
        <v/>
      </c>
      <c r="AL350" t="str">
        <f ca="1">IFERROR(INDEX('Holidays Calc'!$J$2:$J$233,MATCH(A350,'Holidays Calc'!$I$2:$I$233,0)),"")</f>
        <v/>
      </c>
      <c r="AM350" t="str">
        <f ca="1">IF(AR350="","",IF(INDEX('Holidays Calc'!$I$2:$I$233,AR350+1)=A350,INDEX('Holidays Calc'!$J$2:$J$233,AR350+1),""))</f>
        <v/>
      </c>
      <c r="AN350" t="str">
        <f ca="1">IF(AR350="","",IF(INDEX('Holidays Calc'!$I$2:$I$233,AR350+2)=A350,INDEX('Holidays Calc'!$J$2:$J$233,AR350+2),""))</f>
        <v/>
      </c>
      <c r="AO350" t="str">
        <f ca="1">IF(AR350="","",IF(INDEX('Holidays Calc'!$I$2:$I$233,AR350+3)=A350,INDEX('Holidays Calc'!$J$2:$J$233,AR350+3),""))</f>
        <v/>
      </c>
      <c r="AP350">
        <f>IFERROR(IF($E350=E349,"",MATCH($E350,Festivals!$H$2:$H$160,0)),"")</f>
        <v>101</v>
      </c>
      <c r="AQ350">
        <f>IF(AP350="","",COUNTIF(Festivals!$H$2:$H$160,$E350))</f>
        <v>2</v>
      </c>
      <c r="AR350" t="str">
        <f ca="1">IFERROR(MATCH(A350,'Holidays Calc'!$I$2:$I$233,0),"")</f>
        <v/>
      </c>
      <c r="AS350">
        <f t="shared" si="39"/>
        <v>-1</v>
      </c>
      <c r="AT350">
        <f t="shared" si="38"/>
        <v>-1</v>
      </c>
      <c r="AU350" t="str">
        <f t="shared" ca="1" si="40"/>
        <v/>
      </c>
      <c r="AV350">
        <f t="shared" ca="1" si="41"/>
        <v>-1</v>
      </c>
    </row>
    <row r="351" spans="1:48" x14ac:dyDescent="0.25">
      <c r="A351" s="265">
        <f t="shared" si="37"/>
        <v>43777</v>
      </c>
      <c r="B351" s="265" t="str">
        <f t="shared" si="42"/>
        <v>8 Nov 2019</v>
      </c>
      <c r="C351" s="267">
        <f t="shared" si="43"/>
        <v>45</v>
      </c>
      <c r="D351">
        <f>MATCH(A351,GCalXMLT[daydate],0)</f>
        <v>350</v>
      </c>
      <c r="E351">
        <f>VALUE("1" &amp; Masacod(INDEX(GCalXMLT[gymasa],D351)) &amp; PaksaCod(INDEX(GCalXMLT[mpaksaid],D351)) &amp; TithiCod(INDEX(GCalXMLT[stithiname],D351)))</f>
        <v>108112</v>
      </c>
      <c r="F351" t="str">
        <f ca="1">INDEX(Parameters!$K$2:$K$16,MATCH(AV351,Parameters!$L$2:$L$16,0))</f>
        <v>K</v>
      </c>
      <c r="G351" t="str">
        <f>INDEX(GCalXMLT[fastmark],$D351)</f>
        <v>*</v>
      </c>
      <c r="H351" t="str">
        <f ca="1">INDEX(Parameters!$J$2:$J$16,MATCH(AV351,Parameters!$L$2:$L$16,0))</f>
        <v>*</v>
      </c>
      <c r="I351" t="str">
        <f>INDEX(GCalXMLT[dfestival1],$D351)</f>
        <v>Vyanjuli Mahadvadasi</v>
      </c>
      <c r="J351" t="str">
        <f>IF(INDEX(GCalXMLT[dfestival2],$D351)="(Fast today)",INDEX(Festivals!$R$2:$R$180,MATCH($I351,Festivals!$R$2:$R$180,0)+1),INDEX(GCalXMLT[dfestival2],$D351))</f>
        <v>Fasting for Utthana Ekadasi</v>
      </c>
      <c r="K351" t="str">
        <f>IF(I351="Nandotsava","(Fast till noon)",INDEX(GCalXMLT[dfestival3],$D351))</f>
        <v>First day of Bhisma Pancaka</v>
      </c>
      <c r="L351">
        <f>IF(I351="Nandotsava", INDEX(GCalXMLT[dfestival3],$D351),INDEX(GCalXMLT[dfestival4],$D351))</f>
        <v>0</v>
      </c>
      <c r="M351" t="str">
        <f>IFERROR(INDEX(Festivals!$S$2:$S$160,AP351),"")</f>
        <v/>
      </c>
      <c r="N351" t="str">
        <f>IFERROR(IF($AQ351&gt;1,INDEX(Festivals!$S$2:$S$160,$AP351+1),""),"")</f>
        <v/>
      </c>
      <c r="O351" t="str">
        <f>IFERROR(IF($AQ351&gt;2,INDEX(Festivals!$S$2:$S$160,$AP351+2),""),"")</f>
        <v/>
      </c>
      <c r="P351" t="str">
        <f>IFERROR(IF($AQ351&gt;3,INDEX(Festivals!$S$2:$S$160,$AP351+3),""),"")</f>
        <v/>
      </c>
      <c r="Q351" t="str">
        <f>IFERROR(IF($AQ351&gt;4,INDEX(Festivals!$S$2:$S$160,$AP351+4),""),"")</f>
        <v/>
      </c>
      <c r="R351" t="str">
        <f>IFERROR(IF($AQ351&gt;5,INDEX(Festivals!$S$2:$S$160,$AP351+5),""),"")</f>
        <v/>
      </c>
      <c r="S351" t="str">
        <f>IFERROR(IF($AQ351&gt;6,INDEX(Festivals!$S$2:$S$160,$AP351+6),""),"")</f>
        <v/>
      </c>
      <c r="T351">
        <f>INDEX(GCalXMLT[dcaturmasya1],$D351)</f>
        <v>0</v>
      </c>
      <c r="U351">
        <f>INDEX(GCalXMLT[dcaturmasya2],$D351)</f>
        <v>0</v>
      </c>
      <c r="V351" t="str">
        <f>INDEX(GCalXMLT[sankrantirasi],$D351) &amp; " " &amp; INDEX(GCalXMLT[sankrantitime],$D351)</f>
        <v xml:space="preserve"> </v>
      </c>
      <c r="W351" t="str">
        <f ca="1">IFERROR(INDEX('Holidays Calc'!$K$2:$K$233,AR351),"")</f>
        <v/>
      </c>
      <c r="X351" t="str">
        <f ca="1">IF(AR351="","",IF(INDEX('Holidays Calc'!$I$2:$I$233,AR351+1)=A351,INDEX('Holidays Calc'!$K$2:$K$233,AR351+1),""))</f>
        <v/>
      </c>
      <c r="Y351" t="str">
        <f ca="1">IF(AR351="","",IF(INDEX('Holidays Calc'!$I$2:$I$233,AR351+2)=A351,INDEX('Holidays Calc'!$K$2:$K$233,AR351+2),""))</f>
        <v/>
      </c>
      <c r="Z351" t="str">
        <f ca="1">IF(AR351="","",IF(INDEX('Holidays Calc'!$I$2:$I$233,AR351+3)=A351,INDEX('Holidays Calc'!$K$2:$K$2333,AR351+3),""))</f>
        <v/>
      </c>
      <c r="AA351">
        <f>IF(I351="Last day of Bhisma Pancaka","",IF(G351="*",-0.7,IF(ISBLANK(INDEX(GCalXMLT[dclass1],$D351)),"",INDEX(GCalXMLT[dclass1],$D351))))</f>
        <v>-0.7</v>
      </c>
      <c r="AB351">
        <f>IF(J351="First day of Bhisma Pancaka","",IF(AND(G351="*",NOT(ISERROR(SEARCH("ekadasi",J351)))),-0.7,IF(ISBLANK(INDEX(GCalXMLT[dclass2],$D351)),"",INDEX(GCalXMLT[dclass2],$D351))))</f>
        <v>-0.7</v>
      </c>
      <c r="AC351">
        <f>IF(I351="Nandotsava",-1,IF(ISBLANK(INDEX(GCalXMLT[dclass3],$D351)),"",INDEX(GCalXMLT[dclass3],$D351)))</f>
        <v>-1</v>
      </c>
      <c r="AD351" t="str">
        <f>IF(I351="Nandotsava",IF(ISBLANK(INDEX(GCalXMLT[dclass3],$D351)),"",INDEX(GCalXMLT[dclass3],$D351)),IF(ISBLANK(INDEX(GCalXMLT[dclass4],$D351)),"",INDEX(GCalXMLT[dclass4],$D351)))</f>
        <v/>
      </c>
      <c r="AE351" t="str">
        <f>IFERROR(INDEX(Festivals!$V$2:$V$160,AP351),"")</f>
        <v/>
      </c>
      <c r="AF351" t="str">
        <f>IFERROR(IF($AQ351&gt;1,INDEX(Festivals!$V$2:$V$160,$AP351+1),""),"")</f>
        <v/>
      </c>
      <c r="AG351" t="str">
        <f>IFERROR(IF($AQ351&gt;2,INDEX(Festivals!$V$2:$V$160,$AP351+2),""),"")</f>
        <v/>
      </c>
      <c r="AH351" t="str">
        <f>IFERROR(IF($AQ351&gt;3,INDEX(Festivals!$V$2:$V$160,$AP351+3),""),"")</f>
        <v/>
      </c>
      <c r="AI351" t="str">
        <f>IFERROR(IF($AQ351&gt;4,INDEX(Festivals!$V$2:$V$160,$AP351+4),""),"")</f>
        <v/>
      </c>
      <c r="AJ351" t="str">
        <f>IFERROR(IF($AQ351&gt;5,INDEX(Festivals!$V$2:$V$160,$AP351+5),""),"")</f>
        <v/>
      </c>
      <c r="AK351" t="str">
        <f>IFERROR(IF($AQ351&gt;6,INDEX(Festivals!$V$2:$V$160,$AP351+6),""),"")</f>
        <v/>
      </c>
      <c r="AL351" t="str">
        <f ca="1">IFERROR(INDEX('Holidays Calc'!$J$2:$J$233,MATCH(A351,'Holidays Calc'!$I$2:$I$233,0)),"")</f>
        <v/>
      </c>
      <c r="AM351" t="str">
        <f ca="1">IF(AR351="","",IF(INDEX('Holidays Calc'!$I$2:$I$233,AR351+1)=A351,INDEX('Holidays Calc'!$J$2:$J$233,AR351+1),""))</f>
        <v/>
      </c>
      <c r="AN351" t="str">
        <f ca="1">IF(AR351="","",IF(INDEX('Holidays Calc'!$I$2:$I$233,AR351+2)=A351,INDEX('Holidays Calc'!$J$2:$J$233,AR351+2),""))</f>
        <v/>
      </c>
      <c r="AO351" t="str">
        <f ca="1">IF(AR351="","",IF(INDEX('Holidays Calc'!$I$2:$I$233,AR351+3)=A351,INDEX('Holidays Calc'!$J$2:$J$233,AR351+3),""))</f>
        <v/>
      </c>
      <c r="AP351" t="str">
        <f>IFERROR(IF($E351=E350,"",MATCH($E351,Festivals!$H$2:$H$160,0)),"")</f>
        <v/>
      </c>
      <c r="AQ351" t="str">
        <f>IF(AP351="","",COUNTIF(Festivals!$H$2:$H$160,$E351))</f>
        <v/>
      </c>
      <c r="AR351" t="str">
        <f ca="1">IFERROR(MATCH(A351,'Holidays Calc'!$I$2:$I$233,0),"")</f>
        <v/>
      </c>
      <c r="AS351">
        <f t="shared" si="39"/>
        <v>-1</v>
      </c>
      <c r="AT351">
        <f t="shared" si="38"/>
        <v>-2</v>
      </c>
      <c r="AU351" t="str">
        <f t="shared" ca="1" si="40"/>
        <v/>
      </c>
      <c r="AV351">
        <f t="shared" ca="1" si="41"/>
        <v>-2</v>
      </c>
    </row>
    <row r="352" spans="1:48" x14ac:dyDescent="0.25">
      <c r="A352" s="265">
        <f t="shared" si="37"/>
        <v>43778</v>
      </c>
      <c r="B352" s="265" t="str">
        <f t="shared" si="42"/>
        <v>9 Nov 2019</v>
      </c>
      <c r="C352" s="267">
        <f t="shared" si="43"/>
        <v>45</v>
      </c>
      <c r="D352">
        <f>MATCH(A352,GCalXMLT[daydate],0)</f>
        <v>351</v>
      </c>
      <c r="E352">
        <f>VALUE("1" &amp; Masacod(INDEX(GCalXMLT[gymasa],D352)) &amp; PaksaCod(INDEX(GCalXMLT[mpaksaid],D352)) &amp; TithiCod(INDEX(GCalXMLT[stithiname],D352)))</f>
        <v>108112</v>
      </c>
      <c r="F352" t="str">
        <f ca="1">INDEX(Parameters!$K$2:$K$16,MATCH(AV352,Parameters!$L$2:$L$16,0))</f>
        <v/>
      </c>
      <c r="G352">
        <f>INDEX(GCalXMLT[fastmark],$D352)</f>
        <v>0</v>
      </c>
      <c r="H352" t="str">
        <f ca="1">INDEX(Parameters!$J$2:$J$16,MATCH(AV352,Parameters!$L$2:$L$16,0))</f>
        <v/>
      </c>
      <c r="I352">
        <f>INDEX(GCalXMLT[dfestival1],$D352)</f>
        <v>0</v>
      </c>
      <c r="J352">
        <f>IF(INDEX(GCalXMLT[dfestival2],$D352)="(Fast today)",INDEX(Festivals!$R$2:$R$180,MATCH($I352,Festivals!$R$2:$R$180,0)+1),INDEX(GCalXMLT[dfestival2],$D352))</f>
        <v>0</v>
      </c>
      <c r="K352">
        <f>IF(I352="Nandotsava","(Fast till noon)",INDEX(GCalXMLT[dfestival3],$D352))</f>
        <v>0</v>
      </c>
      <c r="L352">
        <f>IF(I352="Nandotsava", INDEX(GCalXMLT[dfestival3],$D352),INDEX(GCalXMLT[dfestival4],$D352))</f>
        <v>0</v>
      </c>
      <c r="M352" t="str">
        <f>IFERROR(INDEX(Festivals!$S$2:$S$160,AP352),"")</f>
        <v/>
      </c>
      <c r="N352" t="str">
        <f>IFERROR(IF($AQ352&gt;1,INDEX(Festivals!$S$2:$S$160,$AP352+1),""),"")</f>
        <v/>
      </c>
      <c r="O352" t="str">
        <f>IFERROR(IF($AQ352&gt;2,INDEX(Festivals!$S$2:$S$160,$AP352+2),""),"")</f>
        <v/>
      </c>
      <c r="P352" t="str">
        <f>IFERROR(IF($AQ352&gt;3,INDEX(Festivals!$S$2:$S$160,$AP352+3),""),"")</f>
        <v/>
      </c>
      <c r="Q352" t="str">
        <f>IFERROR(IF($AQ352&gt;4,INDEX(Festivals!$S$2:$S$160,$AP352+4),""),"")</f>
        <v/>
      </c>
      <c r="R352" t="str">
        <f>IFERROR(IF($AQ352&gt;5,INDEX(Festivals!$S$2:$S$160,$AP352+5),""),"")</f>
        <v/>
      </c>
      <c r="S352" t="str">
        <f>IFERROR(IF($AQ352&gt;6,INDEX(Festivals!$S$2:$S$160,$AP352+6),""),"")</f>
        <v/>
      </c>
      <c r="T352">
        <f>INDEX(GCalXMLT[dcaturmasya1],$D352)</f>
        <v>0</v>
      </c>
      <c r="U352">
        <f>INDEX(GCalXMLT[dcaturmasya2],$D352)</f>
        <v>0</v>
      </c>
      <c r="V352" t="str">
        <f>INDEX(GCalXMLT[sankrantirasi],$D352) &amp; " " &amp; INDEX(GCalXMLT[sankrantitime],$D352)</f>
        <v xml:space="preserve"> </v>
      </c>
      <c r="W352" t="str">
        <f ca="1">IFERROR(INDEX('Holidays Calc'!$K$2:$K$233,AR352),"")</f>
        <v/>
      </c>
      <c r="X352" t="str">
        <f ca="1">IF(AR352="","",IF(INDEX('Holidays Calc'!$I$2:$I$233,AR352+1)=A352,INDEX('Holidays Calc'!$K$2:$K$233,AR352+1),""))</f>
        <v/>
      </c>
      <c r="Y352" t="str">
        <f ca="1">IF(AR352="","",IF(INDEX('Holidays Calc'!$I$2:$I$233,AR352+2)=A352,INDEX('Holidays Calc'!$K$2:$K$233,AR352+2),""))</f>
        <v/>
      </c>
      <c r="Z352" t="str">
        <f ca="1">IF(AR352="","",IF(INDEX('Holidays Calc'!$I$2:$I$233,AR352+3)=A352,INDEX('Holidays Calc'!$K$2:$K$2333,AR352+3),""))</f>
        <v/>
      </c>
      <c r="AA352" t="str">
        <f>IF(I352="Last day of Bhisma Pancaka","",IF(G352="*",-0.7,IF(ISBLANK(INDEX(GCalXMLT[dclass1],$D352)),"",INDEX(GCalXMLT[dclass1],$D352))))</f>
        <v/>
      </c>
      <c r="AB352" t="str">
        <f>IF(J352="First day of Bhisma Pancaka","",IF(AND(G352="*",NOT(ISERROR(SEARCH("ekadasi",J352)))),-0.7,IF(ISBLANK(INDEX(GCalXMLT[dclass2],$D352)),"",INDEX(GCalXMLT[dclass2],$D352))))</f>
        <v/>
      </c>
      <c r="AC352" t="str">
        <f>IF(I352="Nandotsava",-1,IF(ISBLANK(INDEX(GCalXMLT[dclass3],$D352)),"",INDEX(GCalXMLT[dclass3],$D352)))</f>
        <v/>
      </c>
      <c r="AD352" t="str">
        <f>IF(I352="Nandotsava",IF(ISBLANK(INDEX(GCalXMLT[dclass3],$D352)),"",INDEX(GCalXMLT[dclass3],$D352)),IF(ISBLANK(INDEX(GCalXMLT[dclass4],$D352)),"",INDEX(GCalXMLT[dclass4],$D352)))</f>
        <v/>
      </c>
      <c r="AE352" t="str">
        <f>IFERROR(INDEX(Festivals!$V$2:$V$160,AP352),"")</f>
        <v/>
      </c>
      <c r="AF352" t="str">
        <f>IFERROR(IF($AQ352&gt;1,INDEX(Festivals!$V$2:$V$160,$AP352+1),""),"")</f>
        <v/>
      </c>
      <c r="AG352" t="str">
        <f>IFERROR(IF($AQ352&gt;2,INDEX(Festivals!$V$2:$V$160,$AP352+2),""),"")</f>
        <v/>
      </c>
      <c r="AH352" t="str">
        <f>IFERROR(IF($AQ352&gt;3,INDEX(Festivals!$V$2:$V$160,$AP352+3),""),"")</f>
        <v/>
      </c>
      <c r="AI352" t="str">
        <f>IFERROR(IF($AQ352&gt;4,INDEX(Festivals!$V$2:$V$160,$AP352+4),""),"")</f>
        <v/>
      </c>
      <c r="AJ352" t="str">
        <f>IFERROR(IF($AQ352&gt;5,INDEX(Festivals!$V$2:$V$160,$AP352+5),""),"")</f>
        <v/>
      </c>
      <c r="AK352" t="str">
        <f>IFERROR(IF($AQ352&gt;6,INDEX(Festivals!$V$2:$V$160,$AP352+6),""),"")</f>
        <v/>
      </c>
      <c r="AL352" t="str">
        <f ca="1">IFERROR(INDEX('Holidays Calc'!$J$2:$J$233,MATCH(A352,'Holidays Calc'!$I$2:$I$233,0)),"")</f>
        <v/>
      </c>
      <c r="AM352" t="str">
        <f ca="1">IF(AR352="","",IF(INDEX('Holidays Calc'!$I$2:$I$233,AR352+1)=A352,INDEX('Holidays Calc'!$J$2:$J$233,AR352+1),""))</f>
        <v/>
      </c>
      <c r="AN352" t="str">
        <f ca="1">IF(AR352="","",IF(INDEX('Holidays Calc'!$I$2:$I$233,AR352+2)=A352,INDEX('Holidays Calc'!$J$2:$J$233,AR352+2),""))</f>
        <v/>
      </c>
      <c r="AO352" t="str">
        <f ca="1">IF(AR352="","",IF(INDEX('Holidays Calc'!$I$2:$I$233,AR352+3)=A352,INDEX('Holidays Calc'!$J$2:$J$233,AR352+3),""))</f>
        <v/>
      </c>
      <c r="AP352" t="str">
        <f>IFERROR(IF($E352=E351,"",MATCH($E352,Festivals!$H$2:$H$160,0)),"")</f>
        <v/>
      </c>
      <c r="AQ352" t="str">
        <f>IF(AP352="","",COUNTIF(Festivals!$H$2:$H$160,$E352))</f>
        <v/>
      </c>
      <c r="AR352" t="str">
        <f ca="1">IFERROR(MATCH(A352,'Holidays Calc'!$I$2:$I$233,0),"")</f>
        <v/>
      </c>
      <c r="AS352" t="str">
        <f t="shared" si="39"/>
        <v/>
      </c>
      <c r="AT352" t="str">
        <f t="shared" si="38"/>
        <v/>
      </c>
      <c r="AU352" t="str">
        <f t="shared" ca="1" si="40"/>
        <v/>
      </c>
      <c r="AV352" t="str">
        <f t="shared" ca="1" si="41"/>
        <v/>
      </c>
    </row>
    <row r="353" spans="1:48" x14ac:dyDescent="0.25">
      <c r="A353" s="265">
        <f t="shared" si="37"/>
        <v>43779</v>
      </c>
      <c r="B353" s="265" t="str">
        <f t="shared" si="42"/>
        <v>10 Nov 2019</v>
      </c>
      <c r="C353" s="267">
        <f t="shared" si="43"/>
        <v>45</v>
      </c>
      <c r="D353">
        <f>MATCH(A353,GCalXMLT[daydate],0)</f>
        <v>352</v>
      </c>
      <c r="E353">
        <f>VALUE("1" &amp; Masacod(INDEX(GCalXMLT[gymasa],D353)) &amp; PaksaCod(INDEX(GCalXMLT[mpaksaid],D353)) &amp; TithiCod(INDEX(GCalXMLT[stithiname],D353)))</f>
        <v>108113</v>
      </c>
      <c r="F353" t="str">
        <f ca="1">INDEX(Parameters!$K$2:$K$16,MATCH(AV353,Parameters!$L$2:$L$16,0))</f>
        <v/>
      </c>
      <c r="G353">
        <f>INDEX(GCalXMLT[fastmark],$D353)</f>
        <v>0</v>
      </c>
      <c r="H353" t="str">
        <f ca="1">INDEX(Parameters!$J$2:$J$16,MATCH(AV353,Parameters!$L$2:$L$16,0))</f>
        <v/>
      </c>
      <c r="I353">
        <f>INDEX(GCalXMLT[dfestival1],$D353)</f>
        <v>0</v>
      </c>
      <c r="J353">
        <f>IF(INDEX(GCalXMLT[dfestival2],$D353)="(Fast today)",INDEX(Festivals!$R$2:$R$180,MATCH($I353,Festivals!$R$2:$R$180,0)+1),INDEX(GCalXMLT[dfestival2],$D353))</f>
        <v>0</v>
      </c>
      <c r="K353">
        <f>IF(I353="Nandotsava","(Fast till noon)",INDEX(GCalXMLT[dfestival3],$D353))</f>
        <v>0</v>
      </c>
      <c r="L353">
        <f>IF(I353="Nandotsava", INDEX(GCalXMLT[dfestival3],$D353),INDEX(GCalXMLT[dfestival4],$D353))</f>
        <v>0</v>
      </c>
      <c r="M353" t="str">
        <f>IFERROR(INDEX(Festivals!$S$2:$S$160,AP353),"")</f>
        <v/>
      </c>
      <c r="N353" t="str">
        <f>IFERROR(IF($AQ353&gt;1,INDEX(Festivals!$S$2:$S$160,$AP353+1),""),"")</f>
        <v/>
      </c>
      <c r="O353" t="str">
        <f>IFERROR(IF($AQ353&gt;2,INDEX(Festivals!$S$2:$S$160,$AP353+2),""),"")</f>
        <v/>
      </c>
      <c r="P353" t="str">
        <f>IFERROR(IF($AQ353&gt;3,INDEX(Festivals!$S$2:$S$160,$AP353+3),""),"")</f>
        <v/>
      </c>
      <c r="Q353" t="str">
        <f>IFERROR(IF($AQ353&gt;4,INDEX(Festivals!$S$2:$S$160,$AP353+4),""),"")</f>
        <v/>
      </c>
      <c r="R353" t="str">
        <f>IFERROR(IF($AQ353&gt;5,INDEX(Festivals!$S$2:$S$160,$AP353+5),""),"")</f>
        <v/>
      </c>
      <c r="S353" t="str">
        <f>IFERROR(IF($AQ353&gt;6,INDEX(Festivals!$S$2:$S$160,$AP353+6),""),"")</f>
        <v/>
      </c>
      <c r="T353">
        <f>INDEX(GCalXMLT[dcaturmasya1],$D353)</f>
        <v>0</v>
      </c>
      <c r="U353">
        <f>INDEX(GCalXMLT[dcaturmasya2],$D353)</f>
        <v>0</v>
      </c>
      <c r="V353" t="str">
        <f>INDEX(GCalXMLT[sankrantirasi],$D353) &amp; " " &amp; INDEX(GCalXMLT[sankrantitime],$D353)</f>
        <v xml:space="preserve"> </v>
      </c>
      <c r="W353" t="str">
        <f ca="1">IFERROR(INDEX('Holidays Calc'!$K$2:$K$233,AR353),"")</f>
        <v/>
      </c>
      <c r="X353" t="str">
        <f ca="1">IF(AR353="","",IF(INDEX('Holidays Calc'!$I$2:$I$233,AR353+1)=A353,INDEX('Holidays Calc'!$K$2:$K$233,AR353+1),""))</f>
        <v/>
      </c>
      <c r="Y353" t="str">
        <f ca="1">IF(AR353="","",IF(INDEX('Holidays Calc'!$I$2:$I$233,AR353+2)=A353,INDEX('Holidays Calc'!$K$2:$K$233,AR353+2),""))</f>
        <v/>
      </c>
      <c r="Z353" t="str">
        <f ca="1">IF(AR353="","",IF(INDEX('Holidays Calc'!$I$2:$I$233,AR353+3)=A353,INDEX('Holidays Calc'!$K$2:$K$2333,AR353+3),""))</f>
        <v/>
      </c>
      <c r="AA353" t="str">
        <f>IF(I353="Last day of Bhisma Pancaka","",IF(G353="*",-0.7,IF(ISBLANK(INDEX(GCalXMLT[dclass1],$D353)),"",INDEX(GCalXMLT[dclass1],$D353))))</f>
        <v/>
      </c>
      <c r="AB353" t="str">
        <f>IF(J353="First day of Bhisma Pancaka","",IF(AND(G353="*",NOT(ISERROR(SEARCH("ekadasi",J353)))),-0.7,IF(ISBLANK(INDEX(GCalXMLT[dclass2],$D353)),"",INDEX(GCalXMLT[dclass2],$D353))))</f>
        <v/>
      </c>
      <c r="AC353" t="str">
        <f>IF(I353="Nandotsava",-1,IF(ISBLANK(INDEX(GCalXMLT[dclass3],$D353)),"",INDEX(GCalXMLT[dclass3],$D353)))</f>
        <v/>
      </c>
      <c r="AD353" t="str">
        <f>IF(I353="Nandotsava",IF(ISBLANK(INDEX(GCalXMLT[dclass3],$D353)),"",INDEX(GCalXMLT[dclass3],$D353)),IF(ISBLANK(INDEX(GCalXMLT[dclass4],$D353)),"",INDEX(GCalXMLT[dclass4],$D353)))</f>
        <v/>
      </c>
      <c r="AE353" t="str">
        <f>IFERROR(INDEX(Festivals!$V$2:$V$160,AP353),"")</f>
        <v/>
      </c>
      <c r="AF353" t="str">
        <f>IFERROR(IF($AQ353&gt;1,INDEX(Festivals!$V$2:$V$160,$AP353+1),""),"")</f>
        <v/>
      </c>
      <c r="AG353" t="str">
        <f>IFERROR(IF($AQ353&gt;2,INDEX(Festivals!$V$2:$V$160,$AP353+2),""),"")</f>
        <v/>
      </c>
      <c r="AH353" t="str">
        <f>IFERROR(IF($AQ353&gt;3,INDEX(Festivals!$V$2:$V$160,$AP353+3),""),"")</f>
        <v/>
      </c>
      <c r="AI353" t="str">
        <f>IFERROR(IF($AQ353&gt;4,INDEX(Festivals!$V$2:$V$160,$AP353+4),""),"")</f>
        <v/>
      </c>
      <c r="AJ353" t="str">
        <f>IFERROR(IF($AQ353&gt;5,INDEX(Festivals!$V$2:$V$160,$AP353+5),""),"")</f>
        <v/>
      </c>
      <c r="AK353" t="str">
        <f>IFERROR(IF($AQ353&gt;6,INDEX(Festivals!$V$2:$V$160,$AP353+6),""),"")</f>
        <v/>
      </c>
      <c r="AL353" t="str">
        <f ca="1">IFERROR(INDEX('Holidays Calc'!$J$2:$J$233,MATCH(A353,'Holidays Calc'!$I$2:$I$233,0)),"")</f>
        <v/>
      </c>
      <c r="AM353" t="str">
        <f ca="1">IF(AR353="","",IF(INDEX('Holidays Calc'!$I$2:$I$233,AR353+1)=A353,INDEX('Holidays Calc'!$J$2:$J$233,AR353+1),""))</f>
        <v/>
      </c>
      <c r="AN353" t="str">
        <f ca="1">IF(AR353="","",IF(INDEX('Holidays Calc'!$I$2:$I$233,AR353+2)=A353,INDEX('Holidays Calc'!$J$2:$J$233,AR353+2),""))</f>
        <v/>
      </c>
      <c r="AO353" t="str">
        <f ca="1">IF(AR353="","",IF(INDEX('Holidays Calc'!$I$2:$I$233,AR353+3)=A353,INDEX('Holidays Calc'!$J$2:$J$233,AR353+3),""))</f>
        <v/>
      </c>
      <c r="AP353" t="str">
        <f>IFERROR(IF($E353=E352,"",MATCH($E353,Festivals!$H$2:$H$160,0)),"")</f>
        <v/>
      </c>
      <c r="AQ353" t="str">
        <f>IF(AP353="","",COUNTIF(Festivals!$H$2:$H$160,$E353))</f>
        <v/>
      </c>
      <c r="AR353" t="str">
        <f ca="1">IFERROR(MATCH(A353,'Holidays Calc'!$I$2:$I$233,0),"")</f>
        <v/>
      </c>
      <c r="AS353" t="str">
        <f t="shared" si="39"/>
        <v/>
      </c>
      <c r="AT353" t="str">
        <f t="shared" si="38"/>
        <v/>
      </c>
      <c r="AU353" t="str">
        <f t="shared" ca="1" si="40"/>
        <v/>
      </c>
      <c r="AV353" t="str">
        <f t="shared" ca="1" si="41"/>
        <v/>
      </c>
    </row>
    <row r="354" spans="1:48" x14ac:dyDescent="0.25">
      <c r="A354" s="265">
        <f t="shared" si="37"/>
        <v>43780</v>
      </c>
      <c r="B354" s="265" t="str">
        <f t="shared" si="42"/>
        <v>11 Nov 2019</v>
      </c>
      <c r="C354" s="267">
        <f t="shared" si="43"/>
        <v>46</v>
      </c>
      <c r="D354">
        <f>MATCH(A354,GCalXMLT[daydate],0)</f>
        <v>353</v>
      </c>
      <c r="E354">
        <f>VALUE("1" &amp; Masacod(INDEX(GCalXMLT[gymasa],D354)) &amp; PaksaCod(INDEX(GCalXMLT[mpaksaid],D354)) &amp; TithiCod(INDEX(GCalXMLT[stithiname],D354)))</f>
        <v>108114</v>
      </c>
      <c r="F354" t="str">
        <f ca="1">INDEX(Parameters!$K$2:$K$16,MATCH(AV354,Parameters!$L$2:$L$16,0))</f>
        <v>C</v>
      </c>
      <c r="G354">
        <f>INDEX(GCalXMLT[fastmark],$D354)</f>
        <v>0</v>
      </c>
      <c r="H354" t="str">
        <f ca="1">INDEX(Parameters!$J$2:$J$16,MATCH(AV354,Parameters!$L$2:$L$16,0))</f>
        <v/>
      </c>
      <c r="I354">
        <f>INDEX(GCalXMLT[dfestival1],$D354)</f>
        <v>0</v>
      </c>
      <c r="J354">
        <f>IF(INDEX(GCalXMLT[dfestival2],$D354)="(Fast today)",INDEX(Festivals!$R$2:$R$180,MATCH($I354,Festivals!$R$2:$R$180,0)+1),INDEX(GCalXMLT[dfestival2],$D354))</f>
        <v>0</v>
      </c>
      <c r="K354">
        <f>IF(I354="Nandotsava","(Fast till noon)",INDEX(GCalXMLT[dfestival3],$D354))</f>
        <v>0</v>
      </c>
      <c r="L354">
        <f>IF(I354="Nandotsava", INDEX(GCalXMLT[dfestival3],$D354),INDEX(GCalXMLT[dfestival4],$D354))</f>
        <v>0</v>
      </c>
      <c r="M354" t="str">
        <f>IFERROR(INDEX(Festivals!$S$2:$S$160,AP354),"")</f>
        <v>Sri Bhugarbha Gosvami - Disappearance</v>
      </c>
      <c r="N354" t="str">
        <f>IFERROR(IF($AQ354&gt;1,INDEX(Festivals!$S$2:$S$160,$AP354+1),""),"")</f>
        <v>Sri Kasisvara Pandita - Disappearance</v>
      </c>
      <c r="O354" t="str">
        <f>IFERROR(IF($AQ354&gt;2,INDEX(Festivals!$S$2:$S$160,$AP354+2),""),"")</f>
        <v/>
      </c>
      <c r="P354" t="str">
        <f>IFERROR(IF($AQ354&gt;3,INDEX(Festivals!$S$2:$S$160,$AP354+3),""),"")</f>
        <v/>
      </c>
      <c r="Q354" t="str">
        <f>IFERROR(IF($AQ354&gt;4,INDEX(Festivals!$S$2:$S$160,$AP354+4),""),"")</f>
        <v/>
      </c>
      <c r="R354" t="str">
        <f>IFERROR(IF($AQ354&gt;5,INDEX(Festivals!$S$2:$S$160,$AP354+5),""),"")</f>
        <v/>
      </c>
      <c r="S354" t="str">
        <f>IFERROR(IF($AQ354&gt;6,INDEX(Festivals!$S$2:$S$160,$AP354+6),""),"")</f>
        <v/>
      </c>
      <c r="T354" t="str">
        <f>INDEX(GCalXMLT[dcaturmasya1],$D354)</f>
        <v>4last_PURNIMA_</v>
      </c>
      <c r="U354">
        <f>INDEX(GCalXMLT[dcaturmasya2],$D354)</f>
        <v>0</v>
      </c>
      <c r="V354" t="str">
        <f>INDEX(GCalXMLT[sankrantirasi],$D354) &amp; " " &amp; INDEX(GCalXMLT[sankrantitime],$D354)</f>
        <v xml:space="preserve"> </v>
      </c>
      <c r="W354" t="str">
        <f ca="1">IFERROR(INDEX('Holidays Calc'!$K$2:$K$233,AR354),"")</f>
        <v/>
      </c>
      <c r="X354" t="str">
        <f ca="1">IF(AR354="","",IF(INDEX('Holidays Calc'!$I$2:$I$233,AR354+1)=A354,INDEX('Holidays Calc'!$K$2:$K$233,AR354+1),""))</f>
        <v/>
      </c>
      <c r="Y354" t="str">
        <f ca="1">IF(AR354="","",IF(INDEX('Holidays Calc'!$I$2:$I$233,AR354+2)=A354,INDEX('Holidays Calc'!$K$2:$K$233,AR354+2),""))</f>
        <v/>
      </c>
      <c r="Z354" t="str">
        <f ca="1">IF(AR354="","",IF(INDEX('Holidays Calc'!$I$2:$I$233,AR354+3)=A354,INDEX('Holidays Calc'!$K$2:$K$2333,AR354+3),""))</f>
        <v/>
      </c>
      <c r="AA354" t="str">
        <f>IF(I354="Last day of Bhisma Pancaka","",IF(G354="*",-0.7,IF(ISBLANK(INDEX(GCalXMLT[dclass1],$D354)),"",INDEX(GCalXMLT[dclass1],$D354))))</f>
        <v/>
      </c>
      <c r="AB354" t="str">
        <f>IF(J354="First day of Bhisma Pancaka","",IF(AND(G354="*",NOT(ISERROR(SEARCH("ekadasi",J354)))),-0.7,IF(ISBLANK(INDEX(GCalXMLT[dclass2],$D354)),"",INDEX(GCalXMLT[dclass2],$D354))))</f>
        <v/>
      </c>
      <c r="AC354" t="str">
        <f>IF(I354="Nandotsava",-1,IF(ISBLANK(INDEX(GCalXMLT[dclass3],$D354)),"",INDEX(GCalXMLT[dclass3],$D354)))</f>
        <v/>
      </c>
      <c r="AD354" t="str">
        <f>IF(I354="Nandotsava",IF(ISBLANK(INDEX(GCalXMLT[dclass3],$D354)),"",INDEX(GCalXMLT[dclass3],$D354)),IF(ISBLANK(INDEX(GCalXMLT[dclass4],$D354)),"",INDEX(GCalXMLT[dclass4],$D354)))</f>
        <v/>
      </c>
      <c r="AE354">
        <f>IFERROR(INDEX(Festivals!$V$2:$V$160,AP354),"")</f>
        <v>3</v>
      </c>
      <c r="AF354">
        <f>IFERROR(IF($AQ354&gt;1,INDEX(Festivals!$V$2:$V$160,$AP354+1),""),"")</f>
        <v>3</v>
      </c>
      <c r="AG354" t="str">
        <f>IFERROR(IF($AQ354&gt;2,INDEX(Festivals!$V$2:$V$160,$AP354+2),""),"")</f>
        <v/>
      </c>
      <c r="AH354" t="str">
        <f>IFERROR(IF($AQ354&gt;3,INDEX(Festivals!$V$2:$V$160,$AP354+3),""),"")</f>
        <v/>
      </c>
      <c r="AI354" t="str">
        <f>IFERROR(IF($AQ354&gt;4,INDEX(Festivals!$V$2:$V$160,$AP354+4),""),"")</f>
        <v/>
      </c>
      <c r="AJ354" t="str">
        <f>IFERROR(IF($AQ354&gt;5,INDEX(Festivals!$V$2:$V$160,$AP354+5),""),"")</f>
        <v/>
      </c>
      <c r="AK354" t="str">
        <f>IFERROR(IF($AQ354&gt;6,INDEX(Festivals!$V$2:$V$160,$AP354+6),""),"")</f>
        <v/>
      </c>
      <c r="AL354" t="str">
        <f ca="1">IFERROR(INDEX('Holidays Calc'!$J$2:$J$233,MATCH(A354,'Holidays Calc'!$I$2:$I$233,0)),"")</f>
        <v/>
      </c>
      <c r="AM354" t="str">
        <f ca="1">IF(AR354="","",IF(INDEX('Holidays Calc'!$I$2:$I$233,AR354+1)=A354,INDEX('Holidays Calc'!$J$2:$J$233,AR354+1),""))</f>
        <v/>
      </c>
      <c r="AN354" t="str">
        <f ca="1">IF(AR354="","",IF(INDEX('Holidays Calc'!$I$2:$I$233,AR354+2)=A354,INDEX('Holidays Calc'!$J$2:$J$233,AR354+2),""))</f>
        <v/>
      </c>
      <c r="AO354" t="str">
        <f ca="1">IF(AR354="","",IF(INDEX('Holidays Calc'!$I$2:$I$233,AR354+3)=A354,INDEX('Holidays Calc'!$J$2:$J$233,AR354+3),""))</f>
        <v/>
      </c>
      <c r="AP354">
        <f>IFERROR(IF($E354=E353,"",MATCH($E354,Festivals!$H$2:$H$160,0)),"")</f>
        <v>103</v>
      </c>
      <c r="AQ354">
        <f>IF(AP354="","",COUNTIF(Festivals!$H$2:$H$160,$E354))</f>
        <v>2</v>
      </c>
      <c r="AR354" t="str">
        <f ca="1">IFERROR(MATCH(A354,'Holidays Calc'!$I$2:$I$233,0),"")</f>
        <v/>
      </c>
      <c r="AS354">
        <f t="shared" si="39"/>
        <v>3</v>
      </c>
      <c r="AT354">
        <f t="shared" si="38"/>
        <v>3</v>
      </c>
      <c r="AU354" t="str">
        <f t="shared" ca="1" si="40"/>
        <v/>
      </c>
      <c r="AV354">
        <f t="shared" ca="1" si="41"/>
        <v>3</v>
      </c>
    </row>
    <row r="355" spans="1:48" x14ac:dyDescent="0.25">
      <c r="A355" s="265">
        <f t="shared" si="37"/>
        <v>43781</v>
      </c>
      <c r="B355" s="265" t="str">
        <f t="shared" si="42"/>
        <v>12 Nov 2019</v>
      </c>
      <c r="C355" s="267">
        <f t="shared" si="43"/>
        <v>46</v>
      </c>
      <c r="D355">
        <f>MATCH(A355,GCalXMLT[daydate],0)</f>
        <v>354</v>
      </c>
      <c r="E355">
        <f>VALUE("1" &amp; Masacod(INDEX(GCalXMLT[gymasa],D355)) &amp; PaksaCod(INDEX(GCalXMLT[mpaksaid],D355)) &amp; TithiCod(INDEX(GCalXMLT[stithiname],D355)))</f>
        <v>108115</v>
      </c>
      <c r="F355" t="str">
        <f ca="1">INDEX(Parameters!$K$2:$K$16,MATCH(AV355,Parameters!$L$2:$L$16,0))</f>
        <v>C</v>
      </c>
      <c r="G355">
        <f>INDEX(GCalXMLT[fastmark],$D355)</f>
        <v>0</v>
      </c>
      <c r="H355" t="str">
        <f ca="1">INDEX(Parameters!$J$2:$J$16,MATCH(AV355,Parameters!$L$2:$L$16,0))</f>
        <v/>
      </c>
      <c r="I355" t="str">
        <f>INDEX(GCalXMLT[dfestival1],$D355)</f>
        <v>Last day of Bhisma Pancaka</v>
      </c>
      <c r="J355">
        <f>IF(INDEX(GCalXMLT[dfestival2],$D355)="(Fast today)",INDEX(Festivals!$R$2:$R$180,MATCH($I355,Festivals!$R$2:$R$180,0)+1),INDEX(GCalXMLT[dfestival2],$D355))</f>
        <v>0</v>
      </c>
      <c r="K355">
        <f>IF(I355="Nandotsava","(Fast till noon)",INDEX(GCalXMLT[dfestival3],$D355))</f>
        <v>0</v>
      </c>
      <c r="L355">
        <f>IF(I355="Nandotsava", INDEX(GCalXMLT[dfestival3],$D355),INDEX(GCalXMLT[dfestival4],$D355))</f>
        <v>0</v>
      </c>
      <c r="M355" t="str">
        <f>IFERROR(INDEX(Festivals!$S$2:$S$160,AP355),"")</f>
        <v>Sri Krsna Rasayatra</v>
      </c>
      <c r="N355" t="str">
        <f>IFERROR(IF($AQ355&gt;1,INDEX(Festivals!$S$2:$S$160,$AP355+1),""),"")</f>
        <v>Tulasi-Saligrama Vivaha (marriage)</v>
      </c>
      <c r="O355" t="str">
        <f>IFERROR(IF($AQ355&gt;2,INDEX(Festivals!$S$2:$S$160,$AP355+2),""),"")</f>
        <v>Sri Nimbarkacarya - Appearance</v>
      </c>
      <c r="P355" t="str">
        <f>IFERROR(IF($AQ355&gt;3,INDEX(Festivals!$S$2:$S$160,$AP355+3),""),"")</f>
        <v/>
      </c>
      <c r="Q355" t="str">
        <f>IFERROR(IF($AQ355&gt;4,INDEX(Festivals!$S$2:$S$160,$AP355+4),""),"")</f>
        <v/>
      </c>
      <c r="R355" t="str">
        <f>IFERROR(IF($AQ355&gt;5,INDEX(Festivals!$S$2:$S$160,$AP355+5),""),"")</f>
        <v/>
      </c>
      <c r="S355" t="str">
        <f>IFERROR(IF($AQ355&gt;6,INDEX(Festivals!$S$2:$S$160,$AP355+6),""),"")</f>
        <v/>
      </c>
      <c r="T355" t="str">
        <f>INDEX(GCalXMLT[dcaturmasya1],$D355)</f>
        <v>4last_PRATIPAT</v>
      </c>
      <c r="U355">
        <f>INDEX(GCalXMLT[dcaturmasya2],$D355)</f>
        <v>0</v>
      </c>
      <c r="V355" t="str">
        <f>INDEX(GCalXMLT[sankrantirasi],$D355) &amp; " " &amp; INDEX(GCalXMLT[sankrantitime],$D355)</f>
        <v xml:space="preserve"> </v>
      </c>
      <c r="W355" t="str">
        <f ca="1">IFERROR(INDEX('Holidays Calc'!$K$2:$K$233,AR355),"")</f>
        <v/>
      </c>
      <c r="X355" t="str">
        <f ca="1">IF(AR355="","",IF(INDEX('Holidays Calc'!$I$2:$I$233,AR355+1)=A355,INDEX('Holidays Calc'!$K$2:$K$233,AR355+1),""))</f>
        <v/>
      </c>
      <c r="Y355" t="str">
        <f ca="1">IF(AR355="","",IF(INDEX('Holidays Calc'!$I$2:$I$233,AR355+2)=A355,INDEX('Holidays Calc'!$K$2:$K$233,AR355+2),""))</f>
        <v/>
      </c>
      <c r="Z355" t="str">
        <f ca="1">IF(AR355="","",IF(INDEX('Holidays Calc'!$I$2:$I$233,AR355+3)=A355,INDEX('Holidays Calc'!$K$2:$K$2333,AR355+3),""))</f>
        <v/>
      </c>
      <c r="AA355" t="str">
        <f>IF(I355="Last day of Bhisma Pancaka","",IF(G355="*",-0.7,IF(ISBLANK(INDEX(GCalXMLT[dclass1],$D355)),"",INDEX(GCalXMLT[dclass1],$D355))))</f>
        <v/>
      </c>
      <c r="AB355" t="str">
        <f>IF(J355="First day of Bhisma Pancaka","",IF(AND(G355="*",NOT(ISERROR(SEARCH("ekadasi",J355)))),-0.7,IF(ISBLANK(INDEX(GCalXMLT[dclass2],$D355)),"",INDEX(GCalXMLT[dclass2],$D355))))</f>
        <v/>
      </c>
      <c r="AC355" t="str">
        <f>IF(I355="Nandotsava",-1,IF(ISBLANK(INDEX(GCalXMLT[dclass3],$D355)),"",INDEX(GCalXMLT[dclass3],$D355)))</f>
        <v/>
      </c>
      <c r="AD355" t="str">
        <f>IF(I355="Nandotsava",IF(ISBLANK(INDEX(GCalXMLT[dclass3],$D355)),"",INDEX(GCalXMLT[dclass3],$D355)),IF(ISBLANK(INDEX(GCalXMLT[dclass4],$D355)),"",INDEX(GCalXMLT[dclass4],$D355)))</f>
        <v/>
      </c>
      <c r="AE355">
        <f>IFERROR(INDEX(Festivals!$V$2:$V$160,AP355),"")</f>
        <v>1</v>
      </c>
      <c r="AF355">
        <f>IFERROR(IF($AQ355&gt;1,INDEX(Festivals!$V$2:$V$160,$AP355+1),""),"")</f>
        <v>1</v>
      </c>
      <c r="AG355">
        <f>IFERROR(IF($AQ355&gt;2,INDEX(Festivals!$V$2:$V$160,$AP355+2),""),"")</f>
        <v>3</v>
      </c>
      <c r="AH355" t="str">
        <f>IFERROR(IF($AQ355&gt;3,INDEX(Festivals!$V$2:$V$160,$AP355+3),""),"")</f>
        <v/>
      </c>
      <c r="AI355" t="str">
        <f>IFERROR(IF($AQ355&gt;4,INDEX(Festivals!$V$2:$V$160,$AP355+4),""),"")</f>
        <v/>
      </c>
      <c r="AJ355" t="str">
        <f>IFERROR(IF($AQ355&gt;5,INDEX(Festivals!$V$2:$V$160,$AP355+5),""),"")</f>
        <v/>
      </c>
      <c r="AK355" t="str">
        <f>IFERROR(IF($AQ355&gt;6,INDEX(Festivals!$V$2:$V$160,$AP355+6),""),"")</f>
        <v/>
      </c>
      <c r="AL355" t="str">
        <f ca="1">IFERROR(INDEX('Holidays Calc'!$J$2:$J$233,MATCH(A355,'Holidays Calc'!$I$2:$I$233,0)),"")</f>
        <v/>
      </c>
      <c r="AM355" t="str">
        <f ca="1">IF(AR355="","",IF(INDEX('Holidays Calc'!$I$2:$I$233,AR355+1)=A355,INDEX('Holidays Calc'!$J$2:$J$233,AR355+1),""))</f>
        <v/>
      </c>
      <c r="AN355" t="str">
        <f ca="1">IF(AR355="","",IF(INDEX('Holidays Calc'!$I$2:$I$233,AR355+2)=A355,INDEX('Holidays Calc'!$J$2:$J$233,AR355+2),""))</f>
        <v/>
      </c>
      <c r="AO355" t="str">
        <f ca="1">IF(AR355="","",IF(INDEX('Holidays Calc'!$I$2:$I$233,AR355+3)=A355,INDEX('Holidays Calc'!$J$2:$J$233,AR355+3),""))</f>
        <v/>
      </c>
      <c r="AP355">
        <f>IFERROR(IF($E355=E354,"",MATCH($E355,Festivals!$H$2:$H$160,0)),"")</f>
        <v>105</v>
      </c>
      <c r="AQ355">
        <f>IF(AP355="","",COUNTIF(Festivals!$H$2:$H$160,$E355))</f>
        <v>3</v>
      </c>
      <c r="AR355" t="str">
        <f ca="1">IFERROR(MATCH(A355,'Holidays Calc'!$I$2:$I$233,0),"")</f>
        <v/>
      </c>
      <c r="AS355">
        <f t="shared" si="39"/>
        <v>1</v>
      </c>
      <c r="AT355">
        <f t="shared" si="38"/>
        <v>1</v>
      </c>
      <c r="AU355" t="str">
        <f t="shared" ca="1" si="40"/>
        <v/>
      </c>
      <c r="AV355">
        <f t="shared" ca="1" si="41"/>
        <v>1</v>
      </c>
    </row>
    <row r="356" spans="1:48" x14ac:dyDescent="0.25">
      <c r="A356" s="265">
        <f t="shared" si="37"/>
        <v>43782</v>
      </c>
      <c r="B356" s="265" t="str">
        <f t="shared" si="42"/>
        <v>13 Nov 2019</v>
      </c>
      <c r="C356" s="267">
        <f t="shared" si="43"/>
        <v>46</v>
      </c>
      <c r="D356">
        <f>MATCH(A356,GCalXMLT[daydate],0)</f>
        <v>355</v>
      </c>
      <c r="E356">
        <f>VALUE("1" &amp; Masacod(INDEX(GCalXMLT[gymasa],D356)) &amp; PaksaCod(INDEX(GCalXMLT[mpaksaid],D356)) &amp; TithiCod(INDEX(GCalXMLT[stithiname],D356)))</f>
        <v>109001</v>
      </c>
      <c r="F356" t="str">
        <f ca="1">INDEX(Parameters!$K$2:$K$16,MATCH(AV356,Parameters!$L$2:$L$16,0))</f>
        <v>C</v>
      </c>
      <c r="G356">
        <f>INDEX(GCalXMLT[fastmark],$D356)</f>
        <v>0</v>
      </c>
      <c r="H356" t="str">
        <f ca="1">INDEX(Parameters!$J$2:$J$16,MATCH(AV356,Parameters!$L$2:$L$16,0))</f>
        <v/>
      </c>
      <c r="I356">
        <f>INDEX(GCalXMLT[dfestival1],$D356)</f>
        <v>0</v>
      </c>
      <c r="J356">
        <f>IF(INDEX(GCalXMLT[dfestival2],$D356)="(Fast today)",INDEX(Festivals!$R$2:$R$180,MATCH($I356,Festivals!$R$2:$R$180,0)+1),INDEX(GCalXMLT[dfestival2],$D356))</f>
        <v>0</v>
      </c>
      <c r="K356">
        <f>IF(I356="Nandotsava","(Fast till noon)",INDEX(GCalXMLT[dfestival3],$D356))</f>
        <v>0</v>
      </c>
      <c r="L356">
        <f>IF(I356="Nandotsava", INDEX(GCalXMLT[dfestival3],$D356),INDEX(GCalXMLT[dfestival4],$D356))</f>
        <v>0</v>
      </c>
      <c r="M356" t="str">
        <f>IFERROR(INDEX(Festivals!$S$2:$S$160,AP356),"")</f>
        <v>Katyayani vrata begins</v>
      </c>
      <c r="N356" t="str">
        <f>IFERROR(IF($AQ356&gt;1,INDEX(Festivals!$S$2:$S$160,$AP356+1),""),"")</f>
        <v/>
      </c>
      <c r="O356" t="str">
        <f>IFERROR(IF($AQ356&gt;2,INDEX(Festivals!$S$2:$S$160,$AP356+2),""),"")</f>
        <v/>
      </c>
      <c r="P356" t="str">
        <f>IFERROR(IF($AQ356&gt;3,INDEX(Festivals!$S$2:$S$160,$AP356+3),""),"")</f>
        <v/>
      </c>
      <c r="Q356" t="str">
        <f>IFERROR(IF($AQ356&gt;4,INDEX(Festivals!$S$2:$S$160,$AP356+4),""),"")</f>
        <v/>
      </c>
      <c r="R356" t="str">
        <f>IFERROR(IF($AQ356&gt;5,INDEX(Festivals!$S$2:$S$160,$AP356+5),""),"")</f>
        <v/>
      </c>
      <c r="S356" t="str">
        <f>IFERROR(IF($AQ356&gt;6,INDEX(Festivals!$S$2:$S$160,$AP356+6),""),"")</f>
        <v/>
      </c>
      <c r="T356">
        <f>INDEX(GCalXMLT[dcaturmasya1],$D356)</f>
        <v>0</v>
      </c>
      <c r="U356">
        <f>INDEX(GCalXMLT[dcaturmasya2],$D356)</f>
        <v>0</v>
      </c>
      <c r="V356" t="str">
        <f>INDEX(GCalXMLT[sankrantirasi],$D356) &amp; " " &amp; INDEX(GCalXMLT[sankrantitime],$D356)</f>
        <v xml:space="preserve"> </v>
      </c>
      <c r="W356" t="str">
        <f ca="1">IFERROR(INDEX('Holidays Calc'!$K$2:$K$233,AR356),"")</f>
        <v/>
      </c>
      <c r="X356" t="str">
        <f ca="1">IF(AR356="","",IF(INDEX('Holidays Calc'!$I$2:$I$233,AR356+1)=A356,INDEX('Holidays Calc'!$K$2:$K$233,AR356+1),""))</f>
        <v/>
      </c>
      <c r="Y356" t="str">
        <f ca="1">IF(AR356="","",IF(INDEX('Holidays Calc'!$I$2:$I$233,AR356+2)=A356,INDEX('Holidays Calc'!$K$2:$K$233,AR356+2),""))</f>
        <v/>
      </c>
      <c r="Z356" t="str">
        <f ca="1">IF(AR356="","",IF(INDEX('Holidays Calc'!$I$2:$I$233,AR356+3)=A356,INDEX('Holidays Calc'!$K$2:$K$2333,AR356+3),""))</f>
        <v/>
      </c>
      <c r="AA356" t="str">
        <f>IF(I356="Last day of Bhisma Pancaka","",IF(G356="*",-0.7,IF(ISBLANK(INDEX(GCalXMLT[dclass1],$D356)),"",INDEX(GCalXMLT[dclass1],$D356))))</f>
        <v/>
      </c>
      <c r="AB356" t="str">
        <f>IF(J356="First day of Bhisma Pancaka","",IF(AND(G356="*",NOT(ISERROR(SEARCH("ekadasi",J356)))),-0.7,IF(ISBLANK(INDEX(GCalXMLT[dclass2],$D356)),"",INDEX(GCalXMLT[dclass2],$D356))))</f>
        <v/>
      </c>
      <c r="AC356" t="str">
        <f>IF(I356="Nandotsava",-1,IF(ISBLANK(INDEX(GCalXMLT[dclass3],$D356)),"",INDEX(GCalXMLT[dclass3],$D356)))</f>
        <v/>
      </c>
      <c r="AD356" t="str">
        <f>IF(I356="Nandotsava",IF(ISBLANK(INDEX(GCalXMLT[dclass3],$D356)),"",INDEX(GCalXMLT[dclass3],$D356)),IF(ISBLANK(INDEX(GCalXMLT[dclass4],$D356)),"",INDEX(GCalXMLT[dclass4],$D356)))</f>
        <v/>
      </c>
      <c r="AE356">
        <f>IFERROR(INDEX(Festivals!$V$2:$V$160,AP356),"")</f>
        <v>1</v>
      </c>
      <c r="AF356" t="str">
        <f>IFERROR(IF($AQ356&gt;1,INDEX(Festivals!$V$2:$V$160,$AP356+1),""),"")</f>
        <v/>
      </c>
      <c r="AG356" t="str">
        <f>IFERROR(IF($AQ356&gt;2,INDEX(Festivals!$V$2:$V$160,$AP356+2),""),"")</f>
        <v/>
      </c>
      <c r="AH356" t="str">
        <f>IFERROR(IF($AQ356&gt;3,INDEX(Festivals!$V$2:$V$160,$AP356+3),""),"")</f>
        <v/>
      </c>
      <c r="AI356" t="str">
        <f>IFERROR(IF($AQ356&gt;4,INDEX(Festivals!$V$2:$V$160,$AP356+4),""),"")</f>
        <v/>
      </c>
      <c r="AJ356" t="str">
        <f>IFERROR(IF($AQ356&gt;5,INDEX(Festivals!$V$2:$V$160,$AP356+5),""),"")</f>
        <v/>
      </c>
      <c r="AK356" t="str">
        <f>IFERROR(IF($AQ356&gt;6,INDEX(Festivals!$V$2:$V$160,$AP356+6),""),"")</f>
        <v/>
      </c>
      <c r="AL356" t="str">
        <f ca="1">IFERROR(INDEX('Holidays Calc'!$J$2:$J$233,MATCH(A356,'Holidays Calc'!$I$2:$I$233,0)),"")</f>
        <v/>
      </c>
      <c r="AM356" t="str">
        <f ca="1">IF(AR356="","",IF(INDEX('Holidays Calc'!$I$2:$I$233,AR356+1)=A356,INDEX('Holidays Calc'!$J$2:$J$233,AR356+1),""))</f>
        <v/>
      </c>
      <c r="AN356" t="str">
        <f ca="1">IF(AR356="","",IF(INDEX('Holidays Calc'!$I$2:$I$233,AR356+2)=A356,INDEX('Holidays Calc'!$J$2:$J$233,AR356+2),""))</f>
        <v/>
      </c>
      <c r="AO356" t="str">
        <f ca="1">IF(AR356="","",IF(INDEX('Holidays Calc'!$I$2:$I$233,AR356+3)=A356,INDEX('Holidays Calc'!$J$2:$J$233,AR356+3),""))</f>
        <v/>
      </c>
      <c r="AP356">
        <f>IFERROR(IF($E356=E355,"",MATCH($E356,Festivals!$H$2:$H$160,0)),"")</f>
        <v>108</v>
      </c>
      <c r="AQ356">
        <f>IF(AP356="","",COUNTIF(Festivals!$H$2:$H$160,$E356))</f>
        <v>1</v>
      </c>
      <c r="AR356" t="str">
        <f ca="1">IFERROR(MATCH(A356,'Holidays Calc'!$I$2:$I$233,0),"")</f>
        <v/>
      </c>
      <c r="AS356">
        <f t="shared" si="39"/>
        <v>1</v>
      </c>
      <c r="AT356">
        <f t="shared" si="38"/>
        <v>1</v>
      </c>
      <c r="AU356" t="str">
        <f t="shared" ca="1" si="40"/>
        <v/>
      </c>
      <c r="AV356">
        <f t="shared" ca="1" si="41"/>
        <v>1</v>
      </c>
    </row>
    <row r="357" spans="1:48" x14ac:dyDescent="0.25">
      <c r="A357" s="265">
        <f t="shared" si="37"/>
        <v>43783</v>
      </c>
      <c r="B357" s="265" t="str">
        <f t="shared" si="42"/>
        <v>14 Nov 2019</v>
      </c>
      <c r="C357" s="267">
        <f t="shared" si="43"/>
        <v>46</v>
      </c>
      <c r="D357">
        <f>MATCH(A357,GCalXMLT[daydate],0)</f>
        <v>356</v>
      </c>
      <c r="E357">
        <f>VALUE("1" &amp; Masacod(INDEX(GCalXMLT[gymasa],D357)) &amp; PaksaCod(INDEX(GCalXMLT[mpaksaid],D357)) &amp; TithiCod(INDEX(GCalXMLT[stithiname],D357)))</f>
        <v>109002</v>
      </c>
      <c r="F357" t="str">
        <f ca="1">INDEX(Parameters!$K$2:$K$16,MATCH(AV357,Parameters!$L$2:$L$16,0))</f>
        <v/>
      </c>
      <c r="G357">
        <f>INDEX(GCalXMLT[fastmark],$D357)</f>
        <v>0</v>
      </c>
      <c r="H357" t="str">
        <f ca="1">INDEX(Parameters!$J$2:$J$16,MATCH(AV357,Parameters!$L$2:$L$16,0))</f>
        <v/>
      </c>
      <c r="I357">
        <f>INDEX(GCalXMLT[dfestival1],$D357)</f>
        <v>0</v>
      </c>
      <c r="J357">
        <f>IF(INDEX(GCalXMLT[dfestival2],$D357)="(Fast today)",INDEX(Festivals!$R$2:$R$180,MATCH($I357,Festivals!$R$2:$R$180,0)+1),INDEX(GCalXMLT[dfestival2],$D357))</f>
        <v>0</v>
      </c>
      <c r="K357">
        <f>IF(I357="Nandotsava","(Fast till noon)",INDEX(GCalXMLT[dfestival3],$D357))</f>
        <v>0</v>
      </c>
      <c r="L357">
        <f>IF(I357="Nandotsava", INDEX(GCalXMLT[dfestival3],$D357),INDEX(GCalXMLT[dfestival4],$D357))</f>
        <v>0</v>
      </c>
      <c r="M357" t="str">
        <f>IFERROR(INDEX(Festivals!$S$2:$S$160,AP357),"")</f>
        <v/>
      </c>
      <c r="N357" t="str">
        <f>IFERROR(IF($AQ357&gt;1,INDEX(Festivals!$S$2:$S$160,$AP357+1),""),"")</f>
        <v/>
      </c>
      <c r="O357" t="str">
        <f>IFERROR(IF($AQ357&gt;2,INDEX(Festivals!$S$2:$S$160,$AP357+2),""),"")</f>
        <v/>
      </c>
      <c r="P357" t="str">
        <f>IFERROR(IF($AQ357&gt;3,INDEX(Festivals!$S$2:$S$160,$AP357+3),""),"")</f>
        <v/>
      </c>
      <c r="Q357" t="str">
        <f>IFERROR(IF($AQ357&gt;4,INDEX(Festivals!$S$2:$S$160,$AP357+4),""),"")</f>
        <v/>
      </c>
      <c r="R357" t="str">
        <f>IFERROR(IF($AQ357&gt;5,INDEX(Festivals!$S$2:$S$160,$AP357+5),""),"")</f>
        <v/>
      </c>
      <c r="S357" t="str">
        <f>IFERROR(IF($AQ357&gt;6,INDEX(Festivals!$S$2:$S$160,$AP357+6),""),"")</f>
        <v/>
      </c>
      <c r="T357">
        <f>INDEX(GCalXMLT[dcaturmasya1],$D357)</f>
        <v>0</v>
      </c>
      <c r="U357">
        <f>INDEX(GCalXMLT[dcaturmasya2],$D357)</f>
        <v>0</v>
      </c>
      <c r="V357" t="str">
        <f>INDEX(GCalXMLT[sankrantirasi],$D357) &amp; " " &amp; INDEX(GCalXMLT[sankrantitime],$D357)</f>
        <v xml:space="preserve"> </v>
      </c>
      <c r="W357" t="str">
        <f ca="1">IFERROR(INDEX('Holidays Calc'!$K$2:$K$233,AR357),"")</f>
        <v/>
      </c>
      <c r="X357" t="str">
        <f ca="1">IF(AR357="","",IF(INDEX('Holidays Calc'!$I$2:$I$233,AR357+1)=A357,INDEX('Holidays Calc'!$K$2:$K$233,AR357+1),""))</f>
        <v/>
      </c>
      <c r="Y357" t="str">
        <f ca="1">IF(AR357="","",IF(INDEX('Holidays Calc'!$I$2:$I$233,AR357+2)=A357,INDEX('Holidays Calc'!$K$2:$K$233,AR357+2),""))</f>
        <v/>
      </c>
      <c r="Z357" t="str">
        <f ca="1">IF(AR357="","",IF(INDEX('Holidays Calc'!$I$2:$I$233,AR357+3)=A357,INDEX('Holidays Calc'!$K$2:$K$2333,AR357+3),""))</f>
        <v/>
      </c>
      <c r="AA357" t="str">
        <f>IF(I357="Last day of Bhisma Pancaka","",IF(G357="*",-0.7,IF(ISBLANK(INDEX(GCalXMLT[dclass1],$D357)),"",INDEX(GCalXMLT[dclass1],$D357))))</f>
        <v/>
      </c>
      <c r="AB357" t="str">
        <f>IF(J357="First day of Bhisma Pancaka","",IF(AND(G357="*",NOT(ISERROR(SEARCH("ekadasi",J357)))),-0.7,IF(ISBLANK(INDEX(GCalXMLT[dclass2],$D357)),"",INDEX(GCalXMLT[dclass2],$D357))))</f>
        <v/>
      </c>
      <c r="AC357" t="str">
        <f>IF(I357="Nandotsava",-1,IF(ISBLANK(INDEX(GCalXMLT[dclass3],$D357)),"",INDEX(GCalXMLT[dclass3],$D357)))</f>
        <v/>
      </c>
      <c r="AD357" t="str">
        <f>IF(I357="Nandotsava",IF(ISBLANK(INDEX(GCalXMLT[dclass3],$D357)),"",INDEX(GCalXMLT[dclass3],$D357)),IF(ISBLANK(INDEX(GCalXMLT[dclass4],$D357)),"",INDEX(GCalXMLT[dclass4],$D357)))</f>
        <v/>
      </c>
      <c r="AE357" t="str">
        <f>IFERROR(INDEX(Festivals!$V$2:$V$160,AP357),"")</f>
        <v/>
      </c>
      <c r="AF357" t="str">
        <f>IFERROR(IF($AQ357&gt;1,INDEX(Festivals!$V$2:$V$160,$AP357+1),""),"")</f>
        <v/>
      </c>
      <c r="AG357" t="str">
        <f>IFERROR(IF($AQ357&gt;2,INDEX(Festivals!$V$2:$V$160,$AP357+2),""),"")</f>
        <v/>
      </c>
      <c r="AH357" t="str">
        <f>IFERROR(IF($AQ357&gt;3,INDEX(Festivals!$V$2:$V$160,$AP357+3),""),"")</f>
        <v/>
      </c>
      <c r="AI357" t="str">
        <f>IFERROR(IF($AQ357&gt;4,INDEX(Festivals!$V$2:$V$160,$AP357+4),""),"")</f>
        <v/>
      </c>
      <c r="AJ357" t="str">
        <f>IFERROR(IF($AQ357&gt;5,INDEX(Festivals!$V$2:$V$160,$AP357+5),""),"")</f>
        <v/>
      </c>
      <c r="AK357" t="str">
        <f>IFERROR(IF($AQ357&gt;6,INDEX(Festivals!$V$2:$V$160,$AP357+6),""),"")</f>
        <v/>
      </c>
      <c r="AL357" t="str">
        <f ca="1">IFERROR(INDEX('Holidays Calc'!$J$2:$J$233,MATCH(A357,'Holidays Calc'!$I$2:$I$233,0)),"")</f>
        <v/>
      </c>
      <c r="AM357" t="str">
        <f ca="1">IF(AR357="","",IF(INDEX('Holidays Calc'!$I$2:$I$233,AR357+1)=A357,INDEX('Holidays Calc'!$J$2:$J$233,AR357+1),""))</f>
        <v/>
      </c>
      <c r="AN357" t="str">
        <f ca="1">IF(AR357="","",IF(INDEX('Holidays Calc'!$I$2:$I$233,AR357+2)=A357,INDEX('Holidays Calc'!$J$2:$J$233,AR357+2),""))</f>
        <v/>
      </c>
      <c r="AO357" t="str">
        <f ca="1">IF(AR357="","",IF(INDEX('Holidays Calc'!$I$2:$I$233,AR357+3)=A357,INDEX('Holidays Calc'!$J$2:$J$233,AR357+3),""))</f>
        <v/>
      </c>
      <c r="AP357" t="str">
        <f>IFERROR(IF($E357=E356,"",MATCH($E357,Festivals!$H$2:$H$160,0)),"")</f>
        <v/>
      </c>
      <c r="AQ357" t="str">
        <f>IF(AP357="","",COUNTIF(Festivals!$H$2:$H$160,$E357))</f>
        <v/>
      </c>
      <c r="AR357" t="str">
        <f ca="1">IFERROR(MATCH(A357,'Holidays Calc'!$I$2:$I$233,0),"")</f>
        <v/>
      </c>
      <c r="AS357" t="str">
        <f t="shared" si="39"/>
        <v/>
      </c>
      <c r="AT357" t="str">
        <f t="shared" si="38"/>
        <v/>
      </c>
      <c r="AU357" t="str">
        <f t="shared" ca="1" si="40"/>
        <v/>
      </c>
      <c r="AV357" t="str">
        <f t="shared" ca="1" si="41"/>
        <v/>
      </c>
    </row>
    <row r="358" spans="1:48" x14ac:dyDescent="0.25">
      <c r="A358" s="265">
        <f t="shared" si="37"/>
        <v>43784</v>
      </c>
      <c r="B358" s="265" t="str">
        <f t="shared" si="42"/>
        <v>15 Nov 2019</v>
      </c>
      <c r="C358" s="267">
        <f t="shared" si="43"/>
        <v>46</v>
      </c>
      <c r="D358">
        <f>MATCH(A358,GCalXMLT[daydate],0)</f>
        <v>357</v>
      </c>
      <c r="E358">
        <f>VALUE("1" &amp; Masacod(INDEX(GCalXMLT[gymasa],D358)) &amp; PaksaCod(INDEX(GCalXMLT[mpaksaid],D358)) &amp; TithiCod(INDEX(GCalXMLT[stithiname],D358)))</f>
        <v>109003</v>
      </c>
      <c r="F358" t="str">
        <f ca="1">INDEX(Parameters!$K$2:$K$16,MATCH(AV358,Parameters!$L$2:$L$16,0))</f>
        <v>H</v>
      </c>
      <c r="G358">
        <f>INDEX(GCalXMLT[fastmark],$D358)</f>
        <v>0</v>
      </c>
      <c r="H358" t="str">
        <f ca="1">INDEX(Parameters!$J$2:$J$16,MATCH(AV358,Parameters!$L$2:$L$16,0))</f>
        <v/>
      </c>
      <c r="I358">
        <f>INDEX(GCalXMLT[dfestival1],$D358)</f>
        <v>0</v>
      </c>
      <c r="J358">
        <f>IF(INDEX(GCalXMLT[dfestival2],$D358)="(Fast today)",INDEX(Festivals!$R$2:$R$180,MATCH($I358,Festivals!$R$2:$R$180,0)+1),INDEX(GCalXMLT[dfestival2],$D358))</f>
        <v>0</v>
      </c>
      <c r="K358">
        <f>IF(I358="Nandotsava","(Fast till noon)",INDEX(GCalXMLT[dfestival3],$D358))</f>
        <v>0</v>
      </c>
      <c r="L358">
        <f>IF(I358="Nandotsava", INDEX(GCalXMLT[dfestival3],$D358),INDEX(GCalXMLT[dfestival4],$D358))</f>
        <v>0</v>
      </c>
      <c r="M358" t="str">
        <f>IFERROR(INDEX(Festivals!$S$2:$S$160,AP358),"")</f>
        <v/>
      </c>
      <c r="N358" t="str">
        <f>IFERROR(IF($AQ358&gt;1,INDEX(Festivals!$S$2:$S$160,$AP358+1),""),"")</f>
        <v/>
      </c>
      <c r="O358" t="str">
        <f>IFERROR(IF($AQ358&gt;2,INDEX(Festivals!$S$2:$S$160,$AP358+2),""),"")</f>
        <v/>
      </c>
      <c r="P358" t="str">
        <f>IFERROR(IF($AQ358&gt;3,INDEX(Festivals!$S$2:$S$160,$AP358+3),""),"")</f>
        <v/>
      </c>
      <c r="Q358" t="str">
        <f>IFERROR(IF($AQ358&gt;4,INDEX(Festivals!$S$2:$S$160,$AP358+4),""),"")</f>
        <v/>
      </c>
      <c r="R358" t="str">
        <f>IFERROR(IF($AQ358&gt;5,INDEX(Festivals!$S$2:$S$160,$AP358+5),""),"")</f>
        <v/>
      </c>
      <c r="S358" t="str">
        <f>IFERROR(IF($AQ358&gt;6,INDEX(Festivals!$S$2:$S$160,$AP358+6),""),"")</f>
        <v/>
      </c>
      <c r="T358">
        <f>INDEX(GCalXMLT[dcaturmasya1],$D358)</f>
        <v>0</v>
      </c>
      <c r="U358">
        <f>INDEX(GCalXMLT[dcaturmasya2],$D358)</f>
        <v>0</v>
      </c>
      <c r="V358" t="str">
        <f>INDEX(GCalXMLT[sankrantirasi],$D358) &amp; " " &amp; INDEX(GCalXMLT[sankrantitime],$D358)</f>
        <v xml:space="preserve"> </v>
      </c>
      <c r="W358" t="str">
        <f ca="1">IFERROR(INDEX('Holidays Calc'!$K$2:$K$233,AR358),"")</f>
        <v>Proc. da República</v>
      </c>
      <c r="X358" t="str">
        <f ca="1">IF(AR358="","",IF(INDEX('Holidays Calc'!$I$2:$I$233,AR358+1)=A358,INDEX('Holidays Calc'!$K$2:$K$233,AR358+1),""))</f>
        <v/>
      </c>
      <c r="Y358" t="str">
        <f ca="1">IF(AR358="","",IF(INDEX('Holidays Calc'!$I$2:$I$233,AR358+2)=A358,INDEX('Holidays Calc'!$K$2:$K$233,AR358+2),""))</f>
        <v/>
      </c>
      <c r="Z358" t="str">
        <f ca="1">IF(AR358="","",IF(INDEX('Holidays Calc'!$I$2:$I$233,AR358+3)=A358,INDEX('Holidays Calc'!$K$2:$K$2333,AR358+3),""))</f>
        <v/>
      </c>
      <c r="AA358" t="str">
        <f>IF(I358="Last day of Bhisma Pancaka","",IF(G358="*",-0.7,IF(ISBLANK(INDEX(GCalXMLT[dclass1],$D358)),"",INDEX(GCalXMLT[dclass1],$D358))))</f>
        <v/>
      </c>
      <c r="AB358" t="str">
        <f>IF(J358="First day of Bhisma Pancaka","",IF(AND(G358="*",NOT(ISERROR(SEARCH("ekadasi",J358)))),-0.7,IF(ISBLANK(INDEX(GCalXMLT[dclass2],$D358)),"",INDEX(GCalXMLT[dclass2],$D358))))</f>
        <v/>
      </c>
      <c r="AC358" t="str">
        <f>IF(I358="Nandotsava",-1,IF(ISBLANK(INDEX(GCalXMLT[dclass3],$D358)),"",INDEX(GCalXMLT[dclass3],$D358)))</f>
        <v/>
      </c>
      <c r="AD358" t="str">
        <f>IF(I358="Nandotsava",IF(ISBLANK(INDEX(GCalXMLT[dclass3],$D358)),"",INDEX(GCalXMLT[dclass3],$D358)),IF(ISBLANK(INDEX(GCalXMLT[dclass4],$D358)),"",INDEX(GCalXMLT[dclass4],$D358)))</f>
        <v/>
      </c>
      <c r="AE358" t="str">
        <f>IFERROR(INDEX(Festivals!$V$2:$V$160,AP358),"")</f>
        <v/>
      </c>
      <c r="AF358" t="str">
        <f>IFERROR(IF($AQ358&gt;1,INDEX(Festivals!$V$2:$V$160,$AP358+1),""),"")</f>
        <v/>
      </c>
      <c r="AG358" t="str">
        <f>IFERROR(IF($AQ358&gt;2,INDEX(Festivals!$V$2:$V$160,$AP358+2),""),"")</f>
        <v/>
      </c>
      <c r="AH358" t="str">
        <f>IFERROR(IF($AQ358&gt;3,INDEX(Festivals!$V$2:$V$160,$AP358+3),""),"")</f>
        <v/>
      </c>
      <c r="AI358" t="str">
        <f>IFERROR(IF($AQ358&gt;4,INDEX(Festivals!$V$2:$V$160,$AP358+4),""),"")</f>
        <v/>
      </c>
      <c r="AJ358" t="str">
        <f>IFERROR(IF($AQ358&gt;5,INDEX(Festivals!$V$2:$V$160,$AP358+5),""),"")</f>
        <v/>
      </c>
      <c r="AK358" t="str">
        <f>IFERROR(IF($AQ358&gt;6,INDEX(Festivals!$V$2:$V$160,$AP358+6),""),"")</f>
        <v/>
      </c>
      <c r="AL358">
        <f ca="1">IFERROR(INDEX('Holidays Calc'!$J$2:$J$233,MATCH(A358,'Holidays Calc'!$I$2:$I$233,0)),"")</f>
        <v>-11</v>
      </c>
      <c r="AM358" t="str">
        <f ca="1">IF(AR358="","",IF(INDEX('Holidays Calc'!$I$2:$I$233,AR358+1)=A358,INDEX('Holidays Calc'!$J$2:$J$233,AR358+1),""))</f>
        <v/>
      </c>
      <c r="AN358" t="str">
        <f ca="1">IF(AR358="","",IF(INDEX('Holidays Calc'!$I$2:$I$233,AR358+2)=A358,INDEX('Holidays Calc'!$J$2:$J$233,AR358+2),""))</f>
        <v/>
      </c>
      <c r="AO358" t="str">
        <f ca="1">IF(AR358="","",IF(INDEX('Holidays Calc'!$I$2:$I$233,AR358+3)=A358,INDEX('Holidays Calc'!$J$2:$J$233,AR358+3),""))</f>
        <v/>
      </c>
      <c r="AP358" t="str">
        <f>IFERROR(IF($E358=E357,"",MATCH($E358,Festivals!$H$2:$H$160,0)),"")</f>
        <v/>
      </c>
      <c r="AQ358" t="str">
        <f>IF(AP358="","",COUNTIF(Festivals!$H$2:$H$160,$E358))</f>
        <v/>
      </c>
      <c r="AR358">
        <f ca="1">IFERROR(MATCH(A358,'Holidays Calc'!$I$2:$I$233,0),"")</f>
        <v>68</v>
      </c>
      <c r="AS358" t="str">
        <f t="shared" si="39"/>
        <v/>
      </c>
      <c r="AT358" t="str">
        <f t="shared" si="38"/>
        <v/>
      </c>
      <c r="AU358">
        <f t="shared" ca="1" si="40"/>
        <v>-11</v>
      </c>
      <c r="AV358">
        <f t="shared" ca="1" si="41"/>
        <v>-11</v>
      </c>
    </row>
    <row r="359" spans="1:48" x14ac:dyDescent="0.25">
      <c r="A359" s="265">
        <f t="shared" si="37"/>
        <v>43785</v>
      </c>
      <c r="B359" s="265" t="str">
        <f t="shared" si="42"/>
        <v>16 Nov 2019</v>
      </c>
      <c r="C359" s="267">
        <f t="shared" si="43"/>
        <v>46</v>
      </c>
      <c r="D359">
        <f>MATCH(A359,GCalXMLT[daydate],0)</f>
        <v>358</v>
      </c>
      <c r="E359">
        <f>VALUE("1" &amp; Masacod(INDEX(GCalXMLT[gymasa],D359)) &amp; PaksaCod(INDEX(GCalXMLT[mpaksaid],D359)) &amp; TithiCod(INDEX(GCalXMLT[stithiname],D359)))</f>
        <v>109004</v>
      </c>
      <c r="F359" t="str">
        <f ca="1">INDEX(Parameters!$K$2:$K$16,MATCH(AV359,Parameters!$L$2:$L$16,0))</f>
        <v/>
      </c>
      <c r="G359">
        <f>INDEX(GCalXMLT[fastmark],$D359)</f>
        <v>0</v>
      </c>
      <c r="H359" t="str">
        <f ca="1">INDEX(Parameters!$J$2:$J$16,MATCH(AV359,Parameters!$L$2:$L$16,0))</f>
        <v/>
      </c>
      <c r="I359">
        <f>INDEX(GCalXMLT[dfestival1],$D359)</f>
        <v>0</v>
      </c>
      <c r="J359">
        <f>IF(INDEX(GCalXMLT[dfestival2],$D359)="(Fast today)",INDEX(Festivals!$R$2:$R$180,MATCH($I359,Festivals!$R$2:$R$180,0)+1),INDEX(GCalXMLT[dfestival2],$D359))</f>
        <v>0</v>
      </c>
      <c r="K359">
        <f>IF(I359="Nandotsava","(Fast till noon)",INDEX(GCalXMLT[dfestival3],$D359))</f>
        <v>0</v>
      </c>
      <c r="L359">
        <f>IF(I359="Nandotsava", INDEX(GCalXMLT[dfestival3],$D359),INDEX(GCalXMLT[dfestival4],$D359))</f>
        <v>0</v>
      </c>
      <c r="M359" t="str">
        <f>IFERROR(INDEX(Festivals!$S$2:$S$160,AP359),"")</f>
        <v/>
      </c>
      <c r="N359" t="str">
        <f>IFERROR(IF($AQ359&gt;1,INDEX(Festivals!$S$2:$S$160,$AP359+1),""),"")</f>
        <v/>
      </c>
      <c r="O359" t="str">
        <f>IFERROR(IF($AQ359&gt;2,INDEX(Festivals!$S$2:$S$160,$AP359+2),""),"")</f>
        <v/>
      </c>
      <c r="P359" t="str">
        <f>IFERROR(IF($AQ359&gt;3,INDEX(Festivals!$S$2:$S$160,$AP359+3),""),"")</f>
        <v/>
      </c>
      <c r="Q359" t="str">
        <f>IFERROR(IF($AQ359&gt;4,INDEX(Festivals!$S$2:$S$160,$AP359+4),""),"")</f>
        <v/>
      </c>
      <c r="R359" t="str">
        <f>IFERROR(IF($AQ359&gt;5,INDEX(Festivals!$S$2:$S$160,$AP359+5),""),"")</f>
        <v/>
      </c>
      <c r="S359" t="str">
        <f>IFERROR(IF($AQ359&gt;6,INDEX(Festivals!$S$2:$S$160,$AP359+6),""),"")</f>
        <v/>
      </c>
      <c r="T359">
        <f>INDEX(GCalXMLT[dcaturmasya1],$D359)</f>
        <v>0</v>
      </c>
      <c r="U359">
        <f>INDEX(GCalXMLT[dcaturmasya2],$D359)</f>
        <v>0</v>
      </c>
      <c r="V359" t="str">
        <f>INDEX(GCalXMLT[sankrantirasi],$D359) &amp; " " &amp; INDEX(GCalXMLT[sankrantitime],$D359)</f>
        <v xml:space="preserve"> </v>
      </c>
      <c r="W359" t="str">
        <f ca="1">IFERROR(INDEX('Holidays Calc'!$K$2:$K$233,AR359),"")</f>
        <v/>
      </c>
      <c r="X359" t="str">
        <f ca="1">IF(AR359="","",IF(INDEX('Holidays Calc'!$I$2:$I$233,AR359+1)=A359,INDEX('Holidays Calc'!$K$2:$K$233,AR359+1),""))</f>
        <v/>
      </c>
      <c r="Y359" t="str">
        <f ca="1">IF(AR359="","",IF(INDEX('Holidays Calc'!$I$2:$I$233,AR359+2)=A359,INDEX('Holidays Calc'!$K$2:$K$233,AR359+2),""))</f>
        <v/>
      </c>
      <c r="Z359" t="str">
        <f ca="1">IF(AR359="","",IF(INDEX('Holidays Calc'!$I$2:$I$233,AR359+3)=A359,INDEX('Holidays Calc'!$K$2:$K$2333,AR359+3),""))</f>
        <v/>
      </c>
      <c r="AA359" t="str">
        <f>IF(I359="Last day of Bhisma Pancaka","",IF(G359="*",-0.7,IF(ISBLANK(INDEX(GCalXMLT[dclass1],$D359)),"",INDEX(GCalXMLT[dclass1],$D359))))</f>
        <v/>
      </c>
      <c r="AB359" t="str">
        <f>IF(J359="First day of Bhisma Pancaka","",IF(AND(G359="*",NOT(ISERROR(SEARCH("ekadasi",J359)))),-0.7,IF(ISBLANK(INDEX(GCalXMLT[dclass2],$D359)),"",INDEX(GCalXMLT[dclass2],$D359))))</f>
        <v/>
      </c>
      <c r="AC359" t="str">
        <f>IF(I359="Nandotsava",-1,IF(ISBLANK(INDEX(GCalXMLT[dclass3],$D359)),"",INDEX(GCalXMLT[dclass3],$D359)))</f>
        <v/>
      </c>
      <c r="AD359" t="str">
        <f>IF(I359="Nandotsava",IF(ISBLANK(INDEX(GCalXMLT[dclass3],$D359)),"",INDEX(GCalXMLT[dclass3],$D359)),IF(ISBLANK(INDEX(GCalXMLT[dclass4],$D359)),"",INDEX(GCalXMLT[dclass4],$D359)))</f>
        <v/>
      </c>
      <c r="AE359" t="str">
        <f>IFERROR(INDEX(Festivals!$V$2:$V$160,AP359),"")</f>
        <v/>
      </c>
      <c r="AF359" t="str">
        <f>IFERROR(IF($AQ359&gt;1,INDEX(Festivals!$V$2:$V$160,$AP359+1),""),"")</f>
        <v/>
      </c>
      <c r="AG359" t="str">
        <f>IFERROR(IF($AQ359&gt;2,INDEX(Festivals!$V$2:$V$160,$AP359+2),""),"")</f>
        <v/>
      </c>
      <c r="AH359" t="str">
        <f>IFERROR(IF($AQ359&gt;3,INDEX(Festivals!$V$2:$V$160,$AP359+3),""),"")</f>
        <v/>
      </c>
      <c r="AI359" t="str">
        <f>IFERROR(IF($AQ359&gt;4,INDEX(Festivals!$V$2:$V$160,$AP359+4),""),"")</f>
        <v/>
      </c>
      <c r="AJ359" t="str">
        <f>IFERROR(IF($AQ359&gt;5,INDEX(Festivals!$V$2:$V$160,$AP359+5),""),"")</f>
        <v/>
      </c>
      <c r="AK359" t="str">
        <f>IFERROR(IF($AQ359&gt;6,INDEX(Festivals!$V$2:$V$160,$AP359+6),""),"")</f>
        <v/>
      </c>
      <c r="AL359" t="str">
        <f ca="1">IFERROR(INDEX('Holidays Calc'!$J$2:$J$233,MATCH(A359,'Holidays Calc'!$I$2:$I$233,0)),"")</f>
        <v/>
      </c>
      <c r="AM359" t="str">
        <f ca="1">IF(AR359="","",IF(INDEX('Holidays Calc'!$I$2:$I$233,AR359+1)=A359,INDEX('Holidays Calc'!$J$2:$J$233,AR359+1),""))</f>
        <v/>
      </c>
      <c r="AN359" t="str">
        <f ca="1">IF(AR359="","",IF(INDEX('Holidays Calc'!$I$2:$I$233,AR359+2)=A359,INDEX('Holidays Calc'!$J$2:$J$233,AR359+2),""))</f>
        <v/>
      </c>
      <c r="AO359" t="str">
        <f ca="1">IF(AR359="","",IF(INDEX('Holidays Calc'!$I$2:$I$233,AR359+3)=A359,INDEX('Holidays Calc'!$J$2:$J$233,AR359+3),""))</f>
        <v/>
      </c>
      <c r="AP359" t="str">
        <f>IFERROR(IF($E359=E358,"",MATCH($E359,Festivals!$H$2:$H$160,0)),"")</f>
        <v/>
      </c>
      <c r="AQ359" t="str">
        <f>IF(AP359="","",COUNTIF(Festivals!$H$2:$H$160,$E359))</f>
        <v/>
      </c>
      <c r="AR359" t="str">
        <f ca="1">IFERROR(MATCH(A359,'Holidays Calc'!$I$2:$I$233,0),"")</f>
        <v/>
      </c>
      <c r="AS359" t="str">
        <f t="shared" si="39"/>
        <v/>
      </c>
      <c r="AT359" t="str">
        <f t="shared" si="38"/>
        <v/>
      </c>
      <c r="AU359" t="str">
        <f t="shared" ca="1" si="40"/>
        <v/>
      </c>
      <c r="AV359" t="str">
        <f t="shared" ca="1" si="41"/>
        <v/>
      </c>
    </row>
    <row r="360" spans="1:48" x14ac:dyDescent="0.25">
      <c r="A360" s="265">
        <f t="shared" si="37"/>
        <v>43786</v>
      </c>
      <c r="B360" s="265" t="str">
        <f t="shared" si="42"/>
        <v>17 Nov 2019</v>
      </c>
      <c r="C360" s="267">
        <f t="shared" si="43"/>
        <v>46</v>
      </c>
      <c r="D360">
        <f>MATCH(A360,GCalXMLT[daydate],0)</f>
        <v>359</v>
      </c>
      <c r="E360">
        <f>VALUE("1" &amp; Masacod(INDEX(GCalXMLT[gymasa],D360)) &amp; PaksaCod(INDEX(GCalXMLT[mpaksaid],D360)) &amp; TithiCod(INDEX(GCalXMLT[stithiname],D360)))</f>
        <v>109005</v>
      </c>
      <c r="F360" t="str">
        <f ca="1">INDEX(Parameters!$K$2:$K$16,MATCH(AV360,Parameters!$L$2:$L$16,0))</f>
        <v/>
      </c>
      <c r="G360">
        <f>INDEX(GCalXMLT[fastmark],$D360)</f>
        <v>0</v>
      </c>
      <c r="H360" t="str">
        <f ca="1">INDEX(Parameters!$J$2:$J$16,MATCH(AV360,Parameters!$L$2:$L$16,0))</f>
        <v/>
      </c>
      <c r="I360">
        <f>INDEX(GCalXMLT[dfestival1],$D360)</f>
        <v>0</v>
      </c>
      <c r="J360">
        <f>IF(INDEX(GCalXMLT[dfestival2],$D360)="(Fast today)",INDEX(Festivals!$R$2:$R$180,MATCH($I360,Festivals!$R$2:$R$180,0)+1),INDEX(GCalXMLT[dfestival2],$D360))</f>
        <v>0</v>
      </c>
      <c r="K360">
        <f>IF(I360="Nandotsava","(Fast till noon)",INDEX(GCalXMLT[dfestival3],$D360))</f>
        <v>0</v>
      </c>
      <c r="L360">
        <f>IF(I360="Nandotsava", INDEX(GCalXMLT[dfestival3],$D360),INDEX(GCalXMLT[dfestival4],$D360))</f>
        <v>0</v>
      </c>
      <c r="M360" t="str">
        <f>IFERROR(INDEX(Festivals!$S$2:$S$160,AP360),"")</f>
        <v/>
      </c>
      <c r="N360" t="str">
        <f>IFERROR(IF($AQ360&gt;1,INDEX(Festivals!$S$2:$S$160,$AP360+1),""),"")</f>
        <v/>
      </c>
      <c r="O360" t="str">
        <f>IFERROR(IF($AQ360&gt;2,INDEX(Festivals!$S$2:$S$160,$AP360+2),""),"")</f>
        <v/>
      </c>
      <c r="P360" t="str">
        <f>IFERROR(IF($AQ360&gt;3,INDEX(Festivals!$S$2:$S$160,$AP360+3),""),"")</f>
        <v/>
      </c>
      <c r="Q360" t="str">
        <f>IFERROR(IF($AQ360&gt;4,INDEX(Festivals!$S$2:$S$160,$AP360+4),""),"")</f>
        <v/>
      </c>
      <c r="R360" t="str">
        <f>IFERROR(IF($AQ360&gt;5,INDEX(Festivals!$S$2:$S$160,$AP360+5),""),"")</f>
        <v/>
      </c>
      <c r="S360" t="str">
        <f>IFERROR(IF($AQ360&gt;6,INDEX(Festivals!$S$2:$S$160,$AP360+6),""),"")</f>
        <v/>
      </c>
      <c r="T360">
        <f>INDEX(GCalXMLT[dcaturmasya1],$D360)</f>
        <v>0</v>
      </c>
      <c r="U360">
        <f>INDEX(GCalXMLT[dcaturmasya2],$D360)</f>
        <v>0</v>
      </c>
      <c r="V360" t="str">
        <f>INDEX(GCalXMLT[sankrantirasi],$D360) &amp; " " &amp; INDEX(GCalXMLT[sankrantitime],$D360)</f>
        <v>Vrscika 0,670266203703704</v>
      </c>
      <c r="W360" t="str">
        <f ca="1">IFERROR(INDEX('Holidays Calc'!$K$2:$K$233,AR360),"")</f>
        <v/>
      </c>
      <c r="X360" t="str">
        <f ca="1">IF(AR360="","",IF(INDEX('Holidays Calc'!$I$2:$I$233,AR360+1)=A360,INDEX('Holidays Calc'!$K$2:$K$233,AR360+1),""))</f>
        <v/>
      </c>
      <c r="Y360" t="str">
        <f ca="1">IF(AR360="","",IF(INDEX('Holidays Calc'!$I$2:$I$233,AR360+2)=A360,INDEX('Holidays Calc'!$K$2:$K$233,AR360+2),""))</f>
        <v/>
      </c>
      <c r="Z360" t="str">
        <f ca="1">IF(AR360="","",IF(INDEX('Holidays Calc'!$I$2:$I$233,AR360+3)=A360,INDEX('Holidays Calc'!$K$2:$K$2333,AR360+3),""))</f>
        <v/>
      </c>
      <c r="AA360" t="str">
        <f>IF(I360="Last day of Bhisma Pancaka","",IF(G360="*",-0.7,IF(ISBLANK(INDEX(GCalXMLT[dclass1],$D360)),"",INDEX(GCalXMLT[dclass1],$D360))))</f>
        <v/>
      </c>
      <c r="AB360" t="str">
        <f>IF(J360="First day of Bhisma Pancaka","",IF(AND(G360="*",NOT(ISERROR(SEARCH("ekadasi",J360)))),-0.7,IF(ISBLANK(INDEX(GCalXMLT[dclass2],$D360)),"",INDEX(GCalXMLT[dclass2],$D360))))</f>
        <v/>
      </c>
      <c r="AC360" t="str">
        <f>IF(I360="Nandotsava",-1,IF(ISBLANK(INDEX(GCalXMLT[dclass3],$D360)),"",INDEX(GCalXMLT[dclass3],$D360)))</f>
        <v/>
      </c>
      <c r="AD360" t="str">
        <f>IF(I360="Nandotsava",IF(ISBLANK(INDEX(GCalXMLT[dclass3],$D360)),"",INDEX(GCalXMLT[dclass3],$D360)),IF(ISBLANK(INDEX(GCalXMLT[dclass4],$D360)),"",INDEX(GCalXMLT[dclass4],$D360)))</f>
        <v/>
      </c>
      <c r="AE360" t="str">
        <f>IFERROR(INDEX(Festivals!$V$2:$V$160,AP360),"")</f>
        <v/>
      </c>
      <c r="AF360" t="str">
        <f>IFERROR(IF($AQ360&gt;1,INDEX(Festivals!$V$2:$V$160,$AP360+1),""),"")</f>
        <v/>
      </c>
      <c r="AG360" t="str">
        <f>IFERROR(IF($AQ360&gt;2,INDEX(Festivals!$V$2:$V$160,$AP360+2),""),"")</f>
        <v/>
      </c>
      <c r="AH360" t="str">
        <f>IFERROR(IF($AQ360&gt;3,INDEX(Festivals!$V$2:$V$160,$AP360+3),""),"")</f>
        <v/>
      </c>
      <c r="AI360" t="str">
        <f>IFERROR(IF($AQ360&gt;4,INDEX(Festivals!$V$2:$V$160,$AP360+4),""),"")</f>
        <v/>
      </c>
      <c r="AJ360" t="str">
        <f>IFERROR(IF($AQ360&gt;5,INDEX(Festivals!$V$2:$V$160,$AP360+5),""),"")</f>
        <v/>
      </c>
      <c r="AK360" t="str">
        <f>IFERROR(IF($AQ360&gt;6,INDEX(Festivals!$V$2:$V$160,$AP360+6),""),"")</f>
        <v/>
      </c>
      <c r="AL360" t="str">
        <f ca="1">IFERROR(INDEX('Holidays Calc'!$J$2:$J$233,MATCH(A360,'Holidays Calc'!$I$2:$I$233,0)),"")</f>
        <v/>
      </c>
      <c r="AM360" t="str">
        <f ca="1">IF(AR360="","",IF(INDEX('Holidays Calc'!$I$2:$I$233,AR360+1)=A360,INDEX('Holidays Calc'!$J$2:$J$233,AR360+1),""))</f>
        <v/>
      </c>
      <c r="AN360" t="str">
        <f ca="1">IF(AR360="","",IF(INDEX('Holidays Calc'!$I$2:$I$233,AR360+2)=A360,INDEX('Holidays Calc'!$J$2:$J$233,AR360+2),""))</f>
        <v/>
      </c>
      <c r="AO360" t="str">
        <f ca="1">IF(AR360="","",IF(INDEX('Holidays Calc'!$I$2:$I$233,AR360+3)=A360,INDEX('Holidays Calc'!$J$2:$J$233,AR360+3),""))</f>
        <v/>
      </c>
      <c r="AP360" t="str">
        <f>IFERROR(IF($E360=E359,"",MATCH($E360,Festivals!$H$2:$H$160,0)),"")</f>
        <v/>
      </c>
      <c r="AQ360" t="str">
        <f>IF(AP360="","",COUNTIF(Festivals!$H$2:$H$160,$E360))</f>
        <v/>
      </c>
      <c r="AR360" t="str">
        <f ca="1">IFERROR(MATCH(A360,'Holidays Calc'!$I$2:$I$233,0),"")</f>
        <v/>
      </c>
      <c r="AS360" t="str">
        <f t="shared" si="39"/>
        <v/>
      </c>
      <c r="AT360" t="str">
        <f t="shared" si="38"/>
        <v/>
      </c>
      <c r="AU360" t="str">
        <f t="shared" ca="1" si="40"/>
        <v/>
      </c>
      <c r="AV360" t="str">
        <f t="shared" ca="1" si="41"/>
        <v/>
      </c>
    </row>
    <row r="361" spans="1:48" x14ac:dyDescent="0.25">
      <c r="A361" s="265">
        <f t="shared" si="37"/>
        <v>43787</v>
      </c>
      <c r="B361" s="265" t="str">
        <f t="shared" si="42"/>
        <v>18 Nov 2019</v>
      </c>
      <c r="C361" s="267">
        <f t="shared" si="43"/>
        <v>47</v>
      </c>
      <c r="D361">
        <f>MATCH(A361,GCalXMLT[daydate],0)</f>
        <v>360</v>
      </c>
      <c r="E361">
        <f>VALUE("1" &amp; Masacod(INDEX(GCalXMLT[gymasa],D361)) &amp; PaksaCod(INDEX(GCalXMLT[mpaksaid],D361)) &amp; TithiCod(INDEX(GCalXMLT[stithiname],D361)))</f>
        <v>109006</v>
      </c>
      <c r="F361" t="str">
        <f ca="1">INDEX(Parameters!$K$2:$K$16,MATCH(AV361,Parameters!$L$2:$L$16,0))</f>
        <v/>
      </c>
      <c r="G361">
        <f>INDEX(GCalXMLT[fastmark],$D361)</f>
        <v>0</v>
      </c>
      <c r="H361" t="str">
        <f ca="1">INDEX(Parameters!$J$2:$J$16,MATCH(AV361,Parameters!$L$2:$L$16,0))</f>
        <v/>
      </c>
      <c r="I361">
        <f>INDEX(GCalXMLT[dfestival1],$D361)</f>
        <v>0</v>
      </c>
      <c r="J361">
        <f>IF(INDEX(GCalXMLT[dfestival2],$D361)="(Fast today)",INDEX(Festivals!$R$2:$R$180,MATCH($I361,Festivals!$R$2:$R$180,0)+1),INDEX(GCalXMLT[dfestival2],$D361))</f>
        <v>0</v>
      </c>
      <c r="K361">
        <f>IF(I361="Nandotsava","(Fast till noon)",INDEX(GCalXMLT[dfestival3],$D361))</f>
        <v>0</v>
      </c>
      <c r="L361">
        <f>IF(I361="Nandotsava", INDEX(GCalXMLT[dfestival3],$D361),INDEX(GCalXMLT[dfestival4],$D361))</f>
        <v>0</v>
      </c>
      <c r="M361" t="str">
        <f>IFERROR(INDEX(Festivals!$S$2:$S$160,AP361),"")</f>
        <v/>
      </c>
      <c r="N361" t="str">
        <f>IFERROR(IF($AQ361&gt;1,INDEX(Festivals!$S$2:$S$160,$AP361+1),""),"")</f>
        <v/>
      </c>
      <c r="O361" t="str">
        <f>IFERROR(IF($AQ361&gt;2,INDEX(Festivals!$S$2:$S$160,$AP361+2),""),"")</f>
        <v/>
      </c>
      <c r="P361" t="str">
        <f>IFERROR(IF($AQ361&gt;3,INDEX(Festivals!$S$2:$S$160,$AP361+3),""),"")</f>
        <v/>
      </c>
      <c r="Q361" t="str">
        <f>IFERROR(IF($AQ361&gt;4,INDEX(Festivals!$S$2:$S$160,$AP361+4),""),"")</f>
        <v/>
      </c>
      <c r="R361" t="str">
        <f>IFERROR(IF($AQ361&gt;5,INDEX(Festivals!$S$2:$S$160,$AP361+5),""),"")</f>
        <v/>
      </c>
      <c r="S361" t="str">
        <f>IFERROR(IF($AQ361&gt;6,INDEX(Festivals!$S$2:$S$160,$AP361+6),""),"")</f>
        <v/>
      </c>
      <c r="T361">
        <f>INDEX(GCalXMLT[dcaturmasya1],$D361)</f>
        <v>0</v>
      </c>
      <c r="U361">
        <f>INDEX(GCalXMLT[dcaturmasya2],$D361)</f>
        <v>0</v>
      </c>
      <c r="V361" t="str">
        <f>INDEX(GCalXMLT[sankrantirasi],$D361) &amp; " " &amp; INDEX(GCalXMLT[sankrantitime],$D361)</f>
        <v xml:space="preserve"> </v>
      </c>
      <c r="W361" t="str">
        <f ca="1">IFERROR(INDEX('Holidays Calc'!$K$2:$K$233,AR361),"")</f>
        <v/>
      </c>
      <c r="X361" t="str">
        <f ca="1">IF(AR361="","",IF(INDEX('Holidays Calc'!$I$2:$I$233,AR361+1)=A361,INDEX('Holidays Calc'!$K$2:$K$233,AR361+1),""))</f>
        <v/>
      </c>
      <c r="Y361" t="str">
        <f ca="1">IF(AR361="","",IF(INDEX('Holidays Calc'!$I$2:$I$233,AR361+2)=A361,INDEX('Holidays Calc'!$K$2:$K$233,AR361+2),""))</f>
        <v/>
      </c>
      <c r="Z361" t="str">
        <f ca="1">IF(AR361="","",IF(INDEX('Holidays Calc'!$I$2:$I$233,AR361+3)=A361,INDEX('Holidays Calc'!$K$2:$K$2333,AR361+3),""))</f>
        <v/>
      </c>
      <c r="AA361" t="str">
        <f>IF(I361="Last day of Bhisma Pancaka","",IF(G361="*",-0.7,IF(ISBLANK(INDEX(GCalXMLT[dclass1],$D361)),"",INDEX(GCalXMLT[dclass1],$D361))))</f>
        <v/>
      </c>
      <c r="AB361" t="str">
        <f>IF(J361="First day of Bhisma Pancaka","",IF(AND(G361="*",NOT(ISERROR(SEARCH("ekadasi",J361)))),-0.7,IF(ISBLANK(INDEX(GCalXMLT[dclass2],$D361)),"",INDEX(GCalXMLT[dclass2],$D361))))</f>
        <v/>
      </c>
      <c r="AC361" t="str">
        <f>IF(I361="Nandotsava",-1,IF(ISBLANK(INDEX(GCalXMLT[dclass3],$D361)),"",INDEX(GCalXMLT[dclass3],$D361)))</f>
        <v/>
      </c>
      <c r="AD361" t="str">
        <f>IF(I361="Nandotsava",IF(ISBLANK(INDEX(GCalXMLT[dclass3],$D361)),"",INDEX(GCalXMLT[dclass3],$D361)),IF(ISBLANK(INDEX(GCalXMLT[dclass4],$D361)),"",INDEX(GCalXMLT[dclass4],$D361)))</f>
        <v/>
      </c>
      <c r="AE361" t="str">
        <f>IFERROR(INDEX(Festivals!$V$2:$V$160,AP361),"")</f>
        <v/>
      </c>
      <c r="AF361" t="str">
        <f>IFERROR(IF($AQ361&gt;1,INDEX(Festivals!$V$2:$V$160,$AP361+1),""),"")</f>
        <v/>
      </c>
      <c r="AG361" t="str">
        <f>IFERROR(IF($AQ361&gt;2,INDEX(Festivals!$V$2:$V$160,$AP361+2),""),"")</f>
        <v/>
      </c>
      <c r="AH361" t="str">
        <f>IFERROR(IF($AQ361&gt;3,INDEX(Festivals!$V$2:$V$160,$AP361+3),""),"")</f>
        <v/>
      </c>
      <c r="AI361" t="str">
        <f>IFERROR(IF($AQ361&gt;4,INDEX(Festivals!$V$2:$V$160,$AP361+4),""),"")</f>
        <v/>
      </c>
      <c r="AJ361" t="str">
        <f>IFERROR(IF($AQ361&gt;5,INDEX(Festivals!$V$2:$V$160,$AP361+5),""),"")</f>
        <v/>
      </c>
      <c r="AK361" t="str">
        <f>IFERROR(IF($AQ361&gt;6,INDEX(Festivals!$V$2:$V$160,$AP361+6),""),"")</f>
        <v/>
      </c>
      <c r="AL361" t="str">
        <f ca="1">IFERROR(INDEX('Holidays Calc'!$J$2:$J$233,MATCH(A361,'Holidays Calc'!$I$2:$I$233,0)),"")</f>
        <v/>
      </c>
      <c r="AM361" t="str">
        <f ca="1">IF(AR361="","",IF(INDEX('Holidays Calc'!$I$2:$I$233,AR361+1)=A361,INDEX('Holidays Calc'!$J$2:$J$233,AR361+1),""))</f>
        <v/>
      </c>
      <c r="AN361" t="str">
        <f ca="1">IF(AR361="","",IF(INDEX('Holidays Calc'!$I$2:$I$233,AR361+2)=A361,INDEX('Holidays Calc'!$J$2:$J$233,AR361+2),""))</f>
        <v/>
      </c>
      <c r="AO361" t="str">
        <f ca="1">IF(AR361="","",IF(INDEX('Holidays Calc'!$I$2:$I$233,AR361+3)=A361,INDEX('Holidays Calc'!$J$2:$J$233,AR361+3),""))</f>
        <v/>
      </c>
      <c r="AP361" t="str">
        <f>IFERROR(IF($E361=E360,"",MATCH($E361,Festivals!$H$2:$H$160,0)),"")</f>
        <v/>
      </c>
      <c r="AQ361" t="str">
        <f>IF(AP361="","",COUNTIF(Festivals!$H$2:$H$160,$E361))</f>
        <v/>
      </c>
      <c r="AR361" t="str">
        <f ca="1">IFERROR(MATCH(A361,'Holidays Calc'!$I$2:$I$233,0),"")</f>
        <v/>
      </c>
      <c r="AS361" t="str">
        <f t="shared" si="39"/>
        <v/>
      </c>
      <c r="AT361" t="str">
        <f t="shared" si="38"/>
        <v/>
      </c>
      <c r="AU361" t="str">
        <f t="shared" ca="1" si="40"/>
        <v/>
      </c>
      <c r="AV361" t="str">
        <f t="shared" ca="1" si="41"/>
        <v/>
      </c>
    </row>
    <row r="362" spans="1:48" x14ac:dyDescent="0.25">
      <c r="A362" s="265">
        <f t="shared" si="37"/>
        <v>43788</v>
      </c>
      <c r="B362" s="265" t="str">
        <f t="shared" si="42"/>
        <v>19 Nov 2019</v>
      </c>
      <c r="C362" s="267">
        <f t="shared" si="43"/>
        <v>47</v>
      </c>
      <c r="D362">
        <f>MATCH(A362,GCalXMLT[daydate],0)</f>
        <v>361</v>
      </c>
      <c r="E362">
        <f>VALUE("1" &amp; Masacod(INDEX(GCalXMLT[gymasa],D362)) &amp; PaksaCod(INDEX(GCalXMLT[mpaksaid],D362)) &amp; TithiCod(INDEX(GCalXMLT[stithiname],D362)))</f>
        <v>109007</v>
      </c>
      <c r="F362" t="str">
        <f ca="1">INDEX(Parameters!$K$2:$K$16,MATCH(AV362,Parameters!$L$2:$L$16,0))</f>
        <v>C</v>
      </c>
      <c r="G362">
        <f>INDEX(GCalXMLT[fastmark],$D362)</f>
        <v>0</v>
      </c>
      <c r="H362" t="str">
        <f ca="1">INDEX(Parameters!$J$2:$J$16,MATCH(AV362,Parameters!$L$2:$L$16,0))</f>
        <v/>
      </c>
      <c r="I362">
        <f>INDEX(GCalXMLT[dfestival1],$D362)</f>
        <v>0</v>
      </c>
      <c r="J362">
        <f>IF(INDEX(GCalXMLT[dfestival2],$D362)="(Fast today)",INDEX(Festivals!$R$2:$R$180,MATCH($I362,Festivals!$R$2:$R$180,0)+1),INDEX(GCalXMLT[dfestival2],$D362))</f>
        <v>0</v>
      </c>
      <c r="K362">
        <f>IF(I362="Nandotsava","(Fast till noon)",INDEX(GCalXMLT[dfestival3],$D362))</f>
        <v>0</v>
      </c>
      <c r="L362">
        <f>IF(I362="Nandotsava", INDEX(GCalXMLT[dfestival3],$D362),INDEX(GCalXMLT[dfestival4],$D362))</f>
        <v>0</v>
      </c>
      <c r="M362" t="str">
        <f>IFERROR(INDEX(Festivals!$S$2:$S$160,AP362),"")</f>
        <v/>
      </c>
      <c r="N362" t="str">
        <f>IFERROR(IF($AQ362&gt;1,INDEX(Festivals!$S$2:$S$160,$AP362+1),""),"")</f>
        <v/>
      </c>
      <c r="O362" t="str">
        <f>IFERROR(IF($AQ362&gt;2,INDEX(Festivals!$S$2:$S$160,$AP362+2),""),"")</f>
        <v/>
      </c>
      <c r="P362" t="str">
        <f>IFERROR(IF($AQ362&gt;3,INDEX(Festivals!$S$2:$S$160,$AP362+3),""),"")</f>
        <v/>
      </c>
      <c r="Q362" t="str">
        <f>IFERROR(IF($AQ362&gt;4,INDEX(Festivals!$S$2:$S$160,$AP362+4),""),"")</f>
        <v/>
      </c>
      <c r="R362" t="str">
        <f>IFERROR(IF($AQ362&gt;5,INDEX(Festivals!$S$2:$S$160,$AP362+5),""),"")</f>
        <v/>
      </c>
      <c r="S362" t="str">
        <f>IFERROR(IF($AQ362&gt;6,INDEX(Festivals!$S$2:$S$160,$AP362+6),""),"")</f>
        <v/>
      </c>
      <c r="T362">
        <f>INDEX(GCalXMLT[dcaturmasya1],$D362)</f>
        <v>0</v>
      </c>
      <c r="U362">
        <f>INDEX(GCalXMLT[dcaturmasya2],$D362)</f>
        <v>0</v>
      </c>
      <c r="V362" t="str">
        <f>INDEX(GCalXMLT[sankrantirasi],$D362) &amp; " " &amp; INDEX(GCalXMLT[sankrantitime],$D362)</f>
        <v xml:space="preserve"> </v>
      </c>
      <c r="W362" t="str">
        <f ca="1">IFERROR(INDEX('Holidays Calc'!$K$2:$K$233,AR362),"")</f>
        <v>Dia da Bandeira</v>
      </c>
      <c r="X362" t="str">
        <f ca="1">IF(AR362="","",IF(INDEX('Holidays Calc'!$I$2:$I$233,AR362+1)=A362,INDEX('Holidays Calc'!$K$2:$K$233,AR362+1),""))</f>
        <v/>
      </c>
      <c r="Y362" t="str">
        <f ca="1">IF(AR362="","",IF(INDEX('Holidays Calc'!$I$2:$I$233,AR362+2)=A362,INDEX('Holidays Calc'!$K$2:$K$233,AR362+2),""))</f>
        <v/>
      </c>
      <c r="Z362" t="str">
        <f ca="1">IF(AR362="","",IF(INDEX('Holidays Calc'!$I$2:$I$233,AR362+3)=A362,INDEX('Holidays Calc'!$K$2:$K$2333,AR362+3),""))</f>
        <v/>
      </c>
      <c r="AA362" t="str">
        <f>IF(I362="Last day of Bhisma Pancaka","",IF(G362="*",-0.7,IF(ISBLANK(INDEX(GCalXMLT[dclass1],$D362)),"",INDEX(GCalXMLT[dclass1],$D362))))</f>
        <v/>
      </c>
      <c r="AB362" t="str">
        <f>IF(J362="First day of Bhisma Pancaka","",IF(AND(G362="*",NOT(ISERROR(SEARCH("ekadasi",J362)))),-0.7,IF(ISBLANK(INDEX(GCalXMLT[dclass2],$D362)),"",INDEX(GCalXMLT[dclass2],$D362))))</f>
        <v/>
      </c>
      <c r="AC362" t="str">
        <f>IF(I362="Nandotsava",-1,IF(ISBLANK(INDEX(GCalXMLT[dclass3],$D362)),"",INDEX(GCalXMLT[dclass3],$D362)))</f>
        <v/>
      </c>
      <c r="AD362" t="str">
        <f>IF(I362="Nandotsava",IF(ISBLANK(INDEX(GCalXMLT[dclass3],$D362)),"",INDEX(GCalXMLT[dclass3],$D362)),IF(ISBLANK(INDEX(GCalXMLT[dclass4],$D362)),"",INDEX(GCalXMLT[dclass4],$D362)))</f>
        <v/>
      </c>
      <c r="AE362" t="str">
        <f>IFERROR(INDEX(Festivals!$V$2:$V$160,AP362),"")</f>
        <v/>
      </c>
      <c r="AF362" t="str">
        <f>IFERROR(IF($AQ362&gt;1,INDEX(Festivals!$V$2:$V$160,$AP362+1),""),"")</f>
        <v/>
      </c>
      <c r="AG362" t="str">
        <f>IFERROR(IF($AQ362&gt;2,INDEX(Festivals!$V$2:$V$160,$AP362+2),""),"")</f>
        <v/>
      </c>
      <c r="AH362" t="str">
        <f>IFERROR(IF($AQ362&gt;3,INDEX(Festivals!$V$2:$V$160,$AP362+3),""),"")</f>
        <v/>
      </c>
      <c r="AI362" t="str">
        <f>IFERROR(IF($AQ362&gt;4,INDEX(Festivals!$V$2:$V$160,$AP362+4),""),"")</f>
        <v/>
      </c>
      <c r="AJ362" t="str">
        <f>IFERROR(IF($AQ362&gt;5,INDEX(Festivals!$V$2:$V$160,$AP362+5),""),"")</f>
        <v/>
      </c>
      <c r="AK362" t="str">
        <f>IFERROR(IF($AQ362&gt;6,INDEX(Festivals!$V$2:$V$160,$AP362+6),""),"")</f>
        <v/>
      </c>
      <c r="AL362">
        <f ca="1">IFERROR(INDEX('Holidays Calc'!$J$2:$J$233,MATCH(A362,'Holidays Calc'!$I$2:$I$233,0)),"")</f>
        <v>0.5</v>
      </c>
      <c r="AM362" t="str">
        <f ca="1">IF(AR362="","",IF(INDEX('Holidays Calc'!$I$2:$I$233,AR362+1)=A362,INDEX('Holidays Calc'!$J$2:$J$233,AR362+1),""))</f>
        <v/>
      </c>
      <c r="AN362" t="str">
        <f ca="1">IF(AR362="","",IF(INDEX('Holidays Calc'!$I$2:$I$233,AR362+2)=A362,INDEX('Holidays Calc'!$J$2:$J$233,AR362+2),""))</f>
        <v/>
      </c>
      <c r="AO362" t="str">
        <f ca="1">IF(AR362="","",IF(INDEX('Holidays Calc'!$I$2:$I$233,AR362+3)=A362,INDEX('Holidays Calc'!$J$2:$J$233,AR362+3),""))</f>
        <v/>
      </c>
      <c r="AP362" t="str">
        <f>IFERROR(IF($E362=E361,"",MATCH($E362,Festivals!$H$2:$H$160,0)),"")</f>
        <v/>
      </c>
      <c r="AQ362" t="str">
        <f>IF(AP362="","",COUNTIF(Festivals!$H$2:$H$160,$E362))</f>
        <v/>
      </c>
      <c r="AR362">
        <f ca="1">IFERROR(MATCH(A362,'Holidays Calc'!$I$2:$I$233,0),"")</f>
        <v>69</v>
      </c>
      <c r="AS362" t="str">
        <f t="shared" si="39"/>
        <v/>
      </c>
      <c r="AT362" t="str">
        <f t="shared" si="38"/>
        <v/>
      </c>
      <c r="AU362">
        <f t="shared" ca="1" si="40"/>
        <v>0.5</v>
      </c>
      <c r="AV362">
        <f t="shared" ca="1" si="41"/>
        <v>0.5</v>
      </c>
    </row>
    <row r="363" spans="1:48" x14ac:dyDescent="0.25">
      <c r="A363" s="265">
        <f t="shared" si="37"/>
        <v>43789</v>
      </c>
      <c r="B363" s="265" t="str">
        <f t="shared" si="42"/>
        <v>20 Nov 2019</v>
      </c>
      <c r="C363" s="267">
        <f t="shared" si="43"/>
        <v>47</v>
      </c>
      <c r="D363">
        <f>MATCH(A363,GCalXMLT[daydate],0)</f>
        <v>362</v>
      </c>
      <c r="E363">
        <f>VALUE("1" &amp; Masacod(INDEX(GCalXMLT[gymasa],D363)) &amp; PaksaCod(INDEX(GCalXMLT[mpaksaid],D363)) &amp; TithiCod(INDEX(GCalXMLT[stithiname],D363)))</f>
        <v>109008</v>
      </c>
      <c r="F363" t="str">
        <f ca="1">INDEX(Parameters!$K$2:$K$16,MATCH(AV363,Parameters!$L$2:$L$16,0))</f>
        <v>C</v>
      </c>
      <c r="G363">
        <f>INDEX(GCalXMLT[fastmark],$D363)</f>
        <v>0</v>
      </c>
      <c r="H363" t="str">
        <f ca="1">INDEX(Parameters!$J$2:$J$16,MATCH(AV363,Parameters!$L$2:$L$16,0))</f>
        <v/>
      </c>
      <c r="I363">
        <f>INDEX(GCalXMLT[dfestival1],$D363)</f>
        <v>0</v>
      </c>
      <c r="J363">
        <f>IF(INDEX(GCalXMLT[dfestival2],$D363)="(Fast today)",INDEX(Festivals!$R$2:$R$180,MATCH($I363,Festivals!$R$2:$R$180,0)+1),INDEX(GCalXMLT[dfestival2],$D363))</f>
        <v>0</v>
      </c>
      <c r="K363">
        <f>IF(I363="Nandotsava","(Fast till noon)",INDEX(GCalXMLT[dfestival3],$D363))</f>
        <v>0</v>
      </c>
      <c r="L363">
        <f>IF(I363="Nandotsava", INDEX(GCalXMLT[dfestival3],$D363),INDEX(GCalXMLT[dfestival4],$D363))</f>
        <v>0</v>
      </c>
      <c r="M363" t="str">
        <f>IFERROR(INDEX(Festivals!$S$2:$S$160,AP363),"")</f>
        <v/>
      </c>
      <c r="N363" t="str">
        <f>IFERROR(IF($AQ363&gt;1,INDEX(Festivals!$S$2:$S$160,$AP363+1),""),"")</f>
        <v/>
      </c>
      <c r="O363" t="str">
        <f>IFERROR(IF($AQ363&gt;2,INDEX(Festivals!$S$2:$S$160,$AP363+2),""),"")</f>
        <v/>
      </c>
      <c r="P363" t="str">
        <f>IFERROR(IF($AQ363&gt;3,INDEX(Festivals!$S$2:$S$160,$AP363+3),""),"")</f>
        <v/>
      </c>
      <c r="Q363" t="str">
        <f>IFERROR(IF($AQ363&gt;4,INDEX(Festivals!$S$2:$S$160,$AP363+4),""),"")</f>
        <v/>
      </c>
      <c r="R363" t="str">
        <f>IFERROR(IF($AQ363&gt;5,INDEX(Festivals!$S$2:$S$160,$AP363+5),""),"")</f>
        <v/>
      </c>
      <c r="S363" t="str">
        <f>IFERROR(IF($AQ363&gt;6,INDEX(Festivals!$S$2:$S$160,$AP363+6),""),"")</f>
        <v/>
      </c>
      <c r="T363">
        <f>INDEX(GCalXMLT[dcaturmasya1],$D363)</f>
        <v>0</v>
      </c>
      <c r="U363">
        <f>INDEX(GCalXMLT[dcaturmasya2],$D363)</f>
        <v>0</v>
      </c>
      <c r="V363" t="str">
        <f>INDEX(GCalXMLT[sankrantirasi],$D363) &amp; " " &amp; INDEX(GCalXMLT[sankrantitime],$D363)</f>
        <v xml:space="preserve"> </v>
      </c>
      <c r="W363" t="str">
        <f ca="1">IFERROR(INDEX('Holidays Calc'!$K$2:$K$233,AR363),"")</f>
        <v>Dia da Consciência Negra</v>
      </c>
      <c r="X363" t="str">
        <f ca="1">IF(AR363="","",IF(INDEX('Holidays Calc'!$I$2:$I$233,AR363+1)=A363,INDEX('Holidays Calc'!$K$2:$K$233,AR363+1),""))</f>
        <v/>
      </c>
      <c r="Y363" t="str">
        <f ca="1">IF(AR363="","",IF(INDEX('Holidays Calc'!$I$2:$I$233,AR363+2)=A363,INDEX('Holidays Calc'!$K$2:$K$233,AR363+2),""))</f>
        <v/>
      </c>
      <c r="Z363" t="str">
        <f ca="1">IF(AR363="","",IF(INDEX('Holidays Calc'!$I$2:$I$233,AR363+3)=A363,INDEX('Holidays Calc'!$K$2:$K$2333,AR363+3),""))</f>
        <v/>
      </c>
      <c r="AA363" t="str">
        <f>IF(I363="Last day of Bhisma Pancaka","",IF(G363="*",-0.7,IF(ISBLANK(INDEX(GCalXMLT[dclass1],$D363)),"",INDEX(GCalXMLT[dclass1],$D363))))</f>
        <v/>
      </c>
      <c r="AB363" t="str">
        <f>IF(J363="First day of Bhisma Pancaka","",IF(AND(G363="*",NOT(ISERROR(SEARCH("ekadasi",J363)))),-0.7,IF(ISBLANK(INDEX(GCalXMLT[dclass2],$D363)),"",INDEX(GCalXMLT[dclass2],$D363))))</f>
        <v/>
      </c>
      <c r="AC363" t="str">
        <f>IF(I363="Nandotsava",-1,IF(ISBLANK(INDEX(GCalXMLT[dclass3],$D363)),"",INDEX(GCalXMLT[dclass3],$D363)))</f>
        <v/>
      </c>
      <c r="AD363" t="str">
        <f>IF(I363="Nandotsava",IF(ISBLANK(INDEX(GCalXMLT[dclass3],$D363)),"",INDEX(GCalXMLT[dclass3],$D363)),IF(ISBLANK(INDEX(GCalXMLT[dclass4],$D363)),"",INDEX(GCalXMLT[dclass4],$D363)))</f>
        <v/>
      </c>
      <c r="AE363" t="str">
        <f>IFERROR(INDEX(Festivals!$V$2:$V$160,AP363),"")</f>
        <v/>
      </c>
      <c r="AF363" t="str">
        <f>IFERROR(IF($AQ363&gt;1,INDEX(Festivals!$V$2:$V$160,$AP363+1),""),"")</f>
        <v/>
      </c>
      <c r="AG363" t="str">
        <f>IFERROR(IF($AQ363&gt;2,INDEX(Festivals!$V$2:$V$160,$AP363+2),""),"")</f>
        <v/>
      </c>
      <c r="AH363" t="str">
        <f>IFERROR(IF($AQ363&gt;3,INDEX(Festivals!$V$2:$V$160,$AP363+3),""),"")</f>
        <v/>
      </c>
      <c r="AI363" t="str">
        <f>IFERROR(IF($AQ363&gt;4,INDEX(Festivals!$V$2:$V$160,$AP363+4),""),"")</f>
        <v/>
      </c>
      <c r="AJ363" t="str">
        <f>IFERROR(IF($AQ363&gt;5,INDEX(Festivals!$V$2:$V$160,$AP363+5),""),"")</f>
        <v/>
      </c>
      <c r="AK363" t="str">
        <f>IFERROR(IF($AQ363&gt;6,INDEX(Festivals!$V$2:$V$160,$AP363+6),""),"")</f>
        <v/>
      </c>
      <c r="AL363">
        <f ca="1">IFERROR(INDEX('Holidays Calc'!$J$2:$J$233,MATCH(A363,'Holidays Calc'!$I$2:$I$233,0)),"")</f>
        <v>0.5</v>
      </c>
      <c r="AM363" t="str">
        <f ca="1">IF(AR363="","",IF(INDEX('Holidays Calc'!$I$2:$I$233,AR363+1)=A363,INDEX('Holidays Calc'!$J$2:$J$233,AR363+1),""))</f>
        <v/>
      </c>
      <c r="AN363" t="str">
        <f ca="1">IF(AR363="","",IF(INDEX('Holidays Calc'!$I$2:$I$233,AR363+2)=A363,INDEX('Holidays Calc'!$J$2:$J$233,AR363+2),""))</f>
        <v/>
      </c>
      <c r="AO363" t="str">
        <f ca="1">IF(AR363="","",IF(INDEX('Holidays Calc'!$I$2:$I$233,AR363+3)=A363,INDEX('Holidays Calc'!$J$2:$J$233,AR363+3),""))</f>
        <v/>
      </c>
      <c r="AP363" t="str">
        <f>IFERROR(IF($E363=E362,"",MATCH($E363,Festivals!$H$2:$H$160,0)),"")</f>
        <v/>
      </c>
      <c r="AQ363" t="str">
        <f>IF(AP363="","",COUNTIF(Festivals!$H$2:$H$160,$E363))</f>
        <v/>
      </c>
      <c r="AR363">
        <f ca="1">IFERROR(MATCH(A363,'Holidays Calc'!$I$2:$I$233,0),"")</f>
        <v>70</v>
      </c>
      <c r="AS363" t="str">
        <f t="shared" si="39"/>
        <v/>
      </c>
      <c r="AT363" t="str">
        <f t="shared" si="38"/>
        <v/>
      </c>
      <c r="AU363">
        <f t="shared" ca="1" si="40"/>
        <v>0.5</v>
      </c>
      <c r="AV363">
        <f t="shared" ca="1" si="41"/>
        <v>0.5</v>
      </c>
    </row>
    <row r="364" spans="1:48" x14ac:dyDescent="0.25">
      <c r="A364" s="265">
        <f t="shared" si="37"/>
        <v>43790</v>
      </c>
      <c r="B364" s="265" t="str">
        <f t="shared" si="42"/>
        <v>21 Nov 2019</v>
      </c>
      <c r="C364" s="267">
        <f t="shared" si="43"/>
        <v>47</v>
      </c>
      <c r="D364">
        <f>MATCH(A364,GCalXMLT[daydate],0)</f>
        <v>363</v>
      </c>
      <c r="E364">
        <f>VALUE("1" &amp; Masacod(INDEX(GCalXMLT[gymasa],D364)) &amp; PaksaCod(INDEX(GCalXMLT[mpaksaid],D364)) &amp; TithiCod(INDEX(GCalXMLT[stithiname],D364)))</f>
        <v>109010</v>
      </c>
      <c r="F364" t="str">
        <f ca="1">INDEX(Parameters!$K$2:$K$16,MATCH(AV364,Parameters!$L$2:$L$16,0))</f>
        <v/>
      </c>
      <c r="G364">
        <f>INDEX(GCalXMLT[fastmark],$D364)</f>
        <v>0</v>
      </c>
      <c r="H364" t="str">
        <f ca="1">INDEX(Parameters!$J$2:$J$16,MATCH(AV364,Parameters!$L$2:$L$16,0))</f>
        <v/>
      </c>
      <c r="I364">
        <f>INDEX(GCalXMLT[dfestival1],$D364)</f>
        <v>0</v>
      </c>
      <c r="J364">
        <f>IF(INDEX(GCalXMLT[dfestival2],$D364)="(Fast today)",INDEX(Festivals!$R$2:$R$180,MATCH($I364,Festivals!$R$2:$R$180,0)+1),INDEX(GCalXMLT[dfestival2],$D364))</f>
        <v>0</v>
      </c>
      <c r="K364">
        <f>IF(I364="Nandotsava","(Fast till noon)",INDEX(GCalXMLT[dfestival3],$D364))</f>
        <v>0</v>
      </c>
      <c r="L364">
        <f>IF(I364="Nandotsava", INDEX(GCalXMLT[dfestival3],$D364),INDEX(GCalXMLT[dfestival4],$D364))</f>
        <v>0</v>
      </c>
      <c r="M364" t="str">
        <f>IFERROR(INDEX(Festivals!$S$2:$S$160,AP364),"")</f>
        <v/>
      </c>
      <c r="N364" t="str">
        <f>IFERROR(IF($AQ364&gt;1,INDEX(Festivals!$S$2:$S$160,$AP364+1),""),"")</f>
        <v/>
      </c>
      <c r="O364" t="str">
        <f>IFERROR(IF($AQ364&gt;2,INDEX(Festivals!$S$2:$S$160,$AP364+2),""),"")</f>
        <v/>
      </c>
      <c r="P364" t="str">
        <f>IFERROR(IF($AQ364&gt;3,INDEX(Festivals!$S$2:$S$160,$AP364+3),""),"")</f>
        <v/>
      </c>
      <c r="Q364" t="str">
        <f>IFERROR(IF($AQ364&gt;4,INDEX(Festivals!$S$2:$S$160,$AP364+4),""),"")</f>
        <v/>
      </c>
      <c r="R364" t="str">
        <f>IFERROR(IF($AQ364&gt;5,INDEX(Festivals!$S$2:$S$160,$AP364+5),""),"")</f>
        <v/>
      </c>
      <c r="S364" t="str">
        <f>IFERROR(IF($AQ364&gt;6,INDEX(Festivals!$S$2:$S$160,$AP364+6),""),"")</f>
        <v/>
      </c>
      <c r="T364">
        <f>INDEX(GCalXMLT[dcaturmasya1],$D364)</f>
        <v>0</v>
      </c>
      <c r="U364">
        <f>INDEX(GCalXMLT[dcaturmasya2],$D364)</f>
        <v>0</v>
      </c>
      <c r="V364" t="str">
        <f>INDEX(GCalXMLT[sankrantirasi],$D364) &amp; " " &amp; INDEX(GCalXMLT[sankrantitime],$D364)</f>
        <v xml:space="preserve"> </v>
      </c>
      <c r="W364" t="str">
        <f ca="1">IFERROR(INDEX('Holidays Calc'!$K$2:$K$233,AR364),"")</f>
        <v/>
      </c>
      <c r="X364" t="str">
        <f ca="1">IF(AR364="","",IF(INDEX('Holidays Calc'!$I$2:$I$233,AR364+1)=A364,INDEX('Holidays Calc'!$K$2:$K$233,AR364+1),""))</f>
        <v/>
      </c>
      <c r="Y364" t="str">
        <f ca="1">IF(AR364="","",IF(INDEX('Holidays Calc'!$I$2:$I$233,AR364+2)=A364,INDEX('Holidays Calc'!$K$2:$K$233,AR364+2),""))</f>
        <v/>
      </c>
      <c r="Z364" t="str">
        <f ca="1">IF(AR364="","",IF(INDEX('Holidays Calc'!$I$2:$I$233,AR364+3)=A364,INDEX('Holidays Calc'!$K$2:$K$2333,AR364+3),""))</f>
        <v/>
      </c>
      <c r="AA364" t="str">
        <f>IF(I364="Last day of Bhisma Pancaka","",IF(G364="*",-0.7,IF(ISBLANK(INDEX(GCalXMLT[dclass1],$D364)),"",INDEX(GCalXMLT[dclass1],$D364))))</f>
        <v/>
      </c>
      <c r="AB364" t="str">
        <f>IF(J364="First day of Bhisma Pancaka","",IF(AND(G364="*",NOT(ISERROR(SEARCH("ekadasi",J364)))),-0.7,IF(ISBLANK(INDEX(GCalXMLT[dclass2],$D364)),"",INDEX(GCalXMLT[dclass2],$D364))))</f>
        <v/>
      </c>
      <c r="AC364" t="str">
        <f>IF(I364="Nandotsava",-1,IF(ISBLANK(INDEX(GCalXMLT[dclass3],$D364)),"",INDEX(GCalXMLT[dclass3],$D364)))</f>
        <v/>
      </c>
      <c r="AD364" t="str">
        <f>IF(I364="Nandotsava",IF(ISBLANK(INDEX(GCalXMLT[dclass3],$D364)),"",INDEX(GCalXMLT[dclass3],$D364)),IF(ISBLANK(INDEX(GCalXMLT[dclass4],$D364)),"",INDEX(GCalXMLT[dclass4],$D364)))</f>
        <v/>
      </c>
      <c r="AE364" t="str">
        <f>IFERROR(INDEX(Festivals!$V$2:$V$160,AP364),"")</f>
        <v/>
      </c>
      <c r="AF364" t="str">
        <f>IFERROR(IF($AQ364&gt;1,INDEX(Festivals!$V$2:$V$160,$AP364+1),""),"")</f>
        <v/>
      </c>
      <c r="AG364" t="str">
        <f>IFERROR(IF($AQ364&gt;2,INDEX(Festivals!$V$2:$V$160,$AP364+2),""),"")</f>
        <v/>
      </c>
      <c r="AH364" t="str">
        <f>IFERROR(IF($AQ364&gt;3,INDEX(Festivals!$V$2:$V$160,$AP364+3),""),"")</f>
        <v/>
      </c>
      <c r="AI364" t="str">
        <f>IFERROR(IF($AQ364&gt;4,INDEX(Festivals!$V$2:$V$160,$AP364+4),""),"")</f>
        <v/>
      </c>
      <c r="AJ364" t="str">
        <f>IFERROR(IF($AQ364&gt;5,INDEX(Festivals!$V$2:$V$160,$AP364+5),""),"")</f>
        <v/>
      </c>
      <c r="AK364" t="str">
        <f>IFERROR(IF($AQ364&gt;6,INDEX(Festivals!$V$2:$V$160,$AP364+6),""),"")</f>
        <v/>
      </c>
      <c r="AL364" t="str">
        <f ca="1">IFERROR(INDEX('Holidays Calc'!$J$2:$J$233,MATCH(A364,'Holidays Calc'!$I$2:$I$233,0)),"")</f>
        <v/>
      </c>
      <c r="AM364" t="str">
        <f ca="1">IF(AR364="","",IF(INDEX('Holidays Calc'!$I$2:$I$233,AR364+1)=A364,INDEX('Holidays Calc'!$J$2:$J$233,AR364+1),""))</f>
        <v/>
      </c>
      <c r="AN364" t="str">
        <f ca="1">IF(AR364="","",IF(INDEX('Holidays Calc'!$I$2:$I$233,AR364+2)=A364,INDEX('Holidays Calc'!$J$2:$J$233,AR364+2),""))</f>
        <v/>
      </c>
      <c r="AO364" t="str">
        <f ca="1">IF(AR364="","",IF(INDEX('Holidays Calc'!$I$2:$I$233,AR364+3)=A364,INDEX('Holidays Calc'!$J$2:$J$233,AR364+3),""))</f>
        <v/>
      </c>
      <c r="AP364" t="str">
        <f>IFERROR(IF($E364=E363,"",MATCH($E364,Festivals!$H$2:$H$160,0)),"")</f>
        <v/>
      </c>
      <c r="AQ364" t="str">
        <f>IF(AP364="","",COUNTIF(Festivals!$H$2:$H$160,$E364))</f>
        <v/>
      </c>
      <c r="AR364" t="str">
        <f ca="1">IFERROR(MATCH(A364,'Holidays Calc'!$I$2:$I$233,0),"")</f>
        <v/>
      </c>
      <c r="AS364" t="str">
        <f t="shared" si="39"/>
        <v/>
      </c>
      <c r="AT364" t="str">
        <f t="shared" si="38"/>
        <v/>
      </c>
      <c r="AU364" t="str">
        <f t="shared" ca="1" si="40"/>
        <v/>
      </c>
      <c r="AV364" t="str">
        <f t="shared" ca="1" si="41"/>
        <v/>
      </c>
    </row>
    <row r="365" spans="1:48" x14ac:dyDescent="0.25">
      <c r="A365" s="265">
        <f t="shared" si="37"/>
        <v>43791</v>
      </c>
      <c r="B365" s="265" t="str">
        <f t="shared" si="42"/>
        <v>22 Nov 2019</v>
      </c>
      <c r="C365" s="267">
        <f t="shared" si="43"/>
        <v>47</v>
      </c>
      <c r="D365">
        <f>MATCH(A365,GCalXMLT[daydate],0)</f>
        <v>364</v>
      </c>
      <c r="E365">
        <f>VALUE("1" &amp; Masacod(INDEX(GCalXMLT[gymasa],D365)) &amp; PaksaCod(INDEX(GCalXMLT[mpaksaid],D365)) &amp; TithiCod(INDEX(GCalXMLT[stithiname],D365)))</f>
        <v>109011</v>
      </c>
      <c r="F365" t="str">
        <f ca="1">INDEX(Parameters!$K$2:$K$16,MATCH(AV365,Parameters!$L$2:$L$16,0))</f>
        <v>E</v>
      </c>
      <c r="G365" t="str">
        <f>INDEX(GCalXMLT[fastmark],$D365)</f>
        <v>*</v>
      </c>
      <c r="H365" t="str">
        <f ca="1">INDEX(Parameters!$J$2:$J$16,MATCH(AV365,Parameters!$L$2:$L$16,0))</f>
        <v>*</v>
      </c>
      <c r="I365" t="str">
        <f>INDEX(GCalXMLT[dfestival1],$D365)</f>
        <v>Fasting for Utpanna Ekadasi</v>
      </c>
      <c r="J365">
        <f>IF(INDEX(GCalXMLT[dfestival2],$D365)="(Fast today)",INDEX(Festivals!$R$2:$R$180,MATCH($I365,Festivals!$R$2:$R$180,0)+1),INDEX(GCalXMLT[dfestival2],$D365))</f>
        <v>0</v>
      </c>
      <c r="K365">
        <f>IF(I365="Nandotsava","(Fast till noon)",INDEX(GCalXMLT[dfestival3],$D365))</f>
        <v>0</v>
      </c>
      <c r="L365">
        <f>IF(I365="Nandotsava", INDEX(GCalXMLT[dfestival3],$D365),INDEX(GCalXMLT[dfestival4],$D365))</f>
        <v>0</v>
      </c>
      <c r="M365" t="str">
        <f>IFERROR(INDEX(Festivals!$S$2:$S$160,AP365),"")</f>
        <v>Sri Narahari Sarakara Thakura - Disappearance</v>
      </c>
      <c r="N365" t="str">
        <f>IFERROR(IF($AQ365&gt;1,INDEX(Festivals!$S$2:$S$160,$AP365+1),""),"")</f>
        <v/>
      </c>
      <c r="O365" t="str">
        <f>IFERROR(IF($AQ365&gt;2,INDEX(Festivals!$S$2:$S$160,$AP365+2),""),"")</f>
        <v/>
      </c>
      <c r="P365" t="str">
        <f>IFERROR(IF($AQ365&gt;3,INDEX(Festivals!$S$2:$S$160,$AP365+3),""),"")</f>
        <v/>
      </c>
      <c r="Q365" t="str">
        <f>IFERROR(IF($AQ365&gt;4,INDEX(Festivals!$S$2:$S$160,$AP365+4),""),"")</f>
        <v/>
      </c>
      <c r="R365" t="str">
        <f>IFERROR(IF($AQ365&gt;5,INDEX(Festivals!$S$2:$S$160,$AP365+5),""),"")</f>
        <v/>
      </c>
      <c r="S365" t="str">
        <f>IFERROR(IF($AQ365&gt;6,INDEX(Festivals!$S$2:$S$160,$AP365+6),""),"")</f>
        <v/>
      </c>
      <c r="T365">
        <f>INDEX(GCalXMLT[dcaturmasya1],$D365)</f>
        <v>0</v>
      </c>
      <c r="U365">
        <f>INDEX(GCalXMLT[dcaturmasya2],$D365)</f>
        <v>0</v>
      </c>
      <c r="V365" t="str">
        <f>INDEX(GCalXMLT[sankrantirasi],$D365) &amp; " " &amp; INDEX(GCalXMLT[sankrantitime],$D365)</f>
        <v xml:space="preserve"> </v>
      </c>
      <c r="W365" t="str">
        <f ca="1">IFERROR(INDEX('Holidays Calc'!$K$2:$K$233,AR365),"")</f>
        <v/>
      </c>
      <c r="X365" t="str">
        <f ca="1">IF(AR365="","",IF(INDEX('Holidays Calc'!$I$2:$I$233,AR365+1)=A365,INDEX('Holidays Calc'!$K$2:$K$233,AR365+1),""))</f>
        <v/>
      </c>
      <c r="Y365" t="str">
        <f ca="1">IF(AR365="","",IF(INDEX('Holidays Calc'!$I$2:$I$233,AR365+2)=A365,INDEX('Holidays Calc'!$K$2:$K$233,AR365+2),""))</f>
        <v/>
      </c>
      <c r="Z365" t="str">
        <f ca="1">IF(AR365="","",IF(INDEX('Holidays Calc'!$I$2:$I$233,AR365+3)=A365,INDEX('Holidays Calc'!$K$2:$K$2333,AR365+3),""))</f>
        <v/>
      </c>
      <c r="AA365">
        <f>IF(I365="Last day of Bhisma Pancaka","",IF(G365="*",-0.7,IF(ISBLANK(INDEX(GCalXMLT[dclass1],$D365)),"",INDEX(GCalXMLT[dclass1],$D365))))</f>
        <v>-0.7</v>
      </c>
      <c r="AB365" t="str">
        <f>IF(J365="First day of Bhisma Pancaka","",IF(AND(G365="*",NOT(ISERROR(SEARCH("ekadasi",J365)))),-0.7,IF(ISBLANK(INDEX(GCalXMLT[dclass2],$D365)),"",INDEX(GCalXMLT[dclass2],$D365))))</f>
        <v/>
      </c>
      <c r="AC365" t="str">
        <f>IF(I365="Nandotsava",-1,IF(ISBLANK(INDEX(GCalXMLT[dclass3],$D365)),"",INDEX(GCalXMLT[dclass3],$D365)))</f>
        <v/>
      </c>
      <c r="AD365" t="str">
        <f>IF(I365="Nandotsava",IF(ISBLANK(INDEX(GCalXMLT[dclass3],$D365)),"",INDEX(GCalXMLT[dclass3],$D365)),IF(ISBLANK(INDEX(GCalXMLT[dclass4],$D365)),"",INDEX(GCalXMLT[dclass4],$D365)))</f>
        <v/>
      </c>
      <c r="AE365">
        <f>IFERROR(INDEX(Festivals!$V$2:$V$160,AP365),"")</f>
        <v>3</v>
      </c>
      <c r="AF365" t="str">
        <f>IFERROR(IF($AQ365&gt;1,INDEX(Festivals!$V$2:$V$160,$AP365+1),""),"")</f>
        <v/>
      </c>
      <c r="AG365" t="str">
        <f>IFERROR(IF($AQ365&gt;2,INDEX(Festivals!$V$2:$V$160,$AP365+2),""),"")</f>
        <v/>
      </c>
      <c r="AH365" t="str">
        <f>IFERROR(IF($AQ365&gt;3,INDEX(Festivals!$V$2:$V$160,$AP365+3),""),"")</f>
        <v/>
      </c>
      <c r="AI365" t="str">
        <f>IFERROR(IF($AQ365&gt;4,INDEX(Festivals!$V$2:$V$160,$AP365+4),""),"")</f>
        <v/>
      </c>
      <c r="AJ365" t="str">
        <f>IFERROR(IF($AQ365&gt;5,INDEX(Festivals!$V$2:$V$160,$AP365+5),""),"")</f>
        <v/>
      </c>
      <c r="AK365" t="str">
        <f>IFERROR(IF($AQ365&gt;6,INDEX(Festivals!$V$2:$V$160,$AP365+6),""),"")</f>
        <v/>
      </c>
      <c r="AL365" t="str">
        <f ca="1">IFERROR(INDEX('Holidays Calc'!$J$2:$J$233,MATCH(A365,'Holidays Calc'!$I$2:$I$233,0)),"")</f>
        <v/>
      </c>
      <c r="AM365" t="str">
        <f ca="1">IF(AR365="","",IF(INDEX('Holidays Calc'!$I$2:$I$233,AR365+1)=A365,INDEX('Holidays Calc'!$J$2:$J$233,AR365+1),""))</f>
        <v/>
      </c>
      <c r="AN365" t="str">
        <f ca="1">IF(AR365="","",IF(INDEX('Holidays Calc'!$I$2:$I$233,AR365+2)=A365,INDEX('Holidays Calc'!$J$2:$J$233,AR365+2),""))</f>
        <v/>
      </c>
      <c r="AO365" t="str">
        <f ca="1">IF(AR365="","",IF(INDEX('Holidays Calc'!$I$2:$I$233,AR365+3)=A365,INDEX('Holidays Calc'!$J$2:$J$233,AR365+3),""))</f>
        <v/>
      </c>
      <c r="AP365">
        <f>IFERROR(IF($E365=E364,"",MATCH($E365,Festivals!$H$2:$H$160,0)),"")</f>
        <v>109</v>
      </c>
      <c r="AQ365">
        <f>IF(AP365="","",COUNTIF(Festivals!$H$2:$H$160,$E365))</f>
        <v>1</v>
      </c>
      <c r="AR365" t="str">
        <f ca="1">IFERROR(MATCH(A365,'Holidays Calc'!$I$2:$I$233,0),"")</f>
        <v/>
      </c>
      <c r="AS365">
        <f t="shared" si="39"/>
        <v>-0.7</v>
      </c>
      <c r="AT365">
        <f t="shared" si="38"/>
        <v>-0.7</v>
      </c>
      <c r="AU365" t="str">
        <f t="shared" ca="1" si="40"/>
        <v/>
      </c>
      <c r="AV365">
        <f t="shared" ca="1" si="41"/>
        <v>-0.7</v>
      </c>
    </row>
    <row r="366" spans="1:48" x14ac:dyDescent="0.25">
      <c r="A366" s="265">
        <f t="shared" si="37"/>
        <v>43792</v>
      </c>
      <c r="B366" s="265" t="str">
        <f t="shared" si="42"/>
        <v>23 Nov 2019</v>
      </c>
      <c r="C366" s="267">
        <f t="shared" si="43"/>
        <v>47</v>
      </c>
      <c r="D366">
        <f>MATCH(A366,GCalXMLT[daydate],0)</f>
        <v>365</v>
      </c>
      <c r="E366">
        <f>VALUE("1" &amp; Masacod(INDEX(GCalXMLT[gymasa],D366)) &amp; PaksaCod(INDEX(GCalXMLT[mpaksaid],D366)) &amp; TithiCod(INDEX(GCalXMLT[stithiname],D366)))</f>
        <v>109012</v>
      </c>
      <c r="F366" t="str">
        <f ca="1">INDEX(Parameters!$K$2:$K$16,MATCH(AV366,Parameters!$L$2:$L$16,0))</f>
        <v>C</v>
      </c>
      <c r="G366">
        <f>INDEX(GCalXMLT[fastmark],$D366)</f>
        <v>0</v>
      </c>
      <c r="H366" t="str">
        <f ca="1">INDEX(Parameters!$J$2:$J$16,MATCH(AV366,Parameters!$L$2:$L$16,0))</f>
        <v/>
      </c>
      <c r="I366">
        <f>INDEX(GCalXMLT[dfestival1],$D366)</f>
        <v>0</v>
      </c>
      <c r="J366">
        <f>IF(INDEX(GCalXMLT[dfestival2],$D366)="(Fast today)",INDEX(Festivals!$R$2:$R$180,MATCH($I366,Festivals!$R$2:$R$180,0)+1),INDEX(GCalXMLT[dfestival2],$D366))</f>
        <v>0</v>
      </c>
      <c r="K366">
        <f>IF(I366="Nandotsava","(Fast till noon)",INDEX(GCalXMLT[dfestival3],$D366))</f>
        <v>0</v>
      </c>
      <c r="L366">
        <f>IF(I366="Nandotsava", INDEX(GCalXMLT[dfestival3],$D366),INDEX(GCalXMLT[dfestival4],$D366))</f>
        <v>0</v>
      </c>
      <c r="M366" t="str">
        <f>IFERROR(INDEX(Festivals!$S$2:$S$160,AP366),"")</f>
        <v>Sri Kaliya Krsnadasa - Disappearance</v>
      </c>
      <c r="N366" t="str">
        <f>IFERROR(IF($AQ366&gt;1,INDEX(Festivals!$S$2:$S$160,$AP366+1),""),"")</f>
        <v/>
      </c>
      <c r="O366" t="str">
        <f>IFERROR(IF($AQ366&gt;2,INDEX(Festivals!$S$2:$S$160,$AP366+2),""),"")</f>
        <v/>
      </c>
      <c r="P366" t="str">
        <f>IFERROR(IF($AQ366&gt;3,INDEX(Festivals!$S$2:$S$160,$AP366+3),""),"")</f>
        <v/>
      </c>
      <c r="Q366" t="str">
        <f>IFERROR(IF($AQ366&gt;4,INDEX(Festivals!$S$2:$S$160,$AP366+4),""),"")</f>
        <v/>
      </c>
      <c r="R366" t="str">
        <f>IFERROR(IF($AQ366&gt;5,INDEX(Festivals!$S$2:$S$160,$AP366+5),""),"")</f>
        <v/>
      </c>
      <c r="S366" t="str">
        <f>IFERROR(IF($AQ366&gt;6,INDEX(Festivals!$S$2:$S$160,$AP366+6),""),"")</f>
        <v/>
      </c>
      <c r="T366">
        <f>INDEX(GCalXMLT[dcaturmasya1],$D366)</f>
        <v>0</v>
      </c>
      <c r="U366">
        <f>INDEX(GCalXMLT[dcaturmasya2],$D366)</f>
        <v>0</v>
      </c>
      <c r="V366" t="str">
        <f>INDEX(GCalXMLT[sankrantirasi],$D366) &amp; " " &amp; INDEX(GCalXMLT[sankrantitime],$D366)</f>
        <v xml:space="preserve"> </v>
      </c>
      <c r="W366" t="str">
        <f ca="1">IFERROR(INDEX('Holidays Calc'!$K$2:$K$233,AR366),"")</f>
        <v/>
      </c>
      <c r="X366" t="str">
        <f ca="1">IF(AR366="","",IF(INDEX('Holidays Calc'!$I$2:$I$233,AR366+1)=A366,INDEX('Holidays Calc'!$K$2:$K$233,AR366+1),""))</f>
        <v/>
      </c>
      <c r="Y366" t="str">
        <f ca="1">IF(AR366="","",IF(INDEX('Holidays Calc'!$I$2:$I$233,AR366+2)=A366,INDEX('Holidays Calc'!$K$2:$K$233,AR366+2),""))</f>
        <v/>
      </c>
      <c r="Z366" t="str">
        <f ca="1">IF(AR366="","",IF(INDEX('Holidays Calc'!$I$2:$I$233,AR366+3)=A366,INDEX('Holidays Calc'!$K$2:$K$2333,AR366+3),""))</f>
        <v/>
      </c>
      <c r="AA366" t="str">
        <f>IF(I366="Last day of Bhisma Pancaka","",IF(G366="*",-0.7,IF(ISBLANK(INDEX(GCalXMLT[dclass1],$D366)),"",INDEX(GCalXMLT[dclass1],$D366))))</f>
        <v/>
      </c>
      <c r="AB366" t="str">
        <f>IF(J366="First day of Bhisma Pancaka","",IF(AND(G366="*",NOT(ISERROR(SEARCH("ekadasi",J366)))),-0.7,IF(ISBLANK(INDEX(GCalXMLT[dclass2],$D366)),"",INDEX(GCalXMLT[dclass2],$D366))))</f>
        <v/>
      </c>
      <c r="AC366" t="str">
        <f>IF(I366="Nandotsava",-1,IF(ISBLANK(INDEX(GCalXMLT[dclass3],$D366)),"",INDEX(GCalXMLT[dclass3],$D366)))</f>
        <v/>
      </c>
      <c r="AD366" t="str">
        <f>IF(I366="Nandotsava",IF(ISBLANK(INDEX(GCalXMLT[dclass3],$D366)),"",INDEX(GCalXMLT[dclass3],$D366)),IF(ISBLANK(INDEX(GCalXMLT[dclass4],$D366)),"",INDEX(GCalXMLT[dclass4],$D366)))</f>
        <v/>
      </c>
      <c r="AE366">
        <f>IFERROR(INDEX(Festivals!$V$2:$V$160,AP366),"")</f>
        <v>3</v>
      </c>
      <c r="AF366" t="str">
        <f>IFERROR(IF($AQ366&gt;1,INDEX(Festivals!$V$2:$V$160,$AP366+1),""),"")</f>
        <v/>
      </c>
      <c r="AG366" t="str">
        <f>IFERROR(IF($AQ366&gt;2,INDEX(Festivals!$V$2:$V$160,$AP366+2),""),"")</f>
        <v/>
      </c>
      <c r="AH366" t="str">
        <f>IFERROR(IF($AQ366&gt;3,INDEX(Festivals!$V$2:$V$160,$AP366+3),""),"")</f>
        <v/>
      </c>
      <c r="AI366" t="str">
        <f>IFERROR(IF($AQ366&gt;4,INDEX(Festivals!$V$2:$V$160,$AP366+4),""),"")</f>
        <v/>
      </c>
      <c r="AJ366" t="str">
        <f>IFERROR(IF($AQ366&gt;5,INDEX(Festivals!$V$2:$V$160,$AP366+5),""),"")</f>
        <v/>
      </c>
      <c r="AK366" t="str">
        <f>IFERROR(IF($AQ366&gt;6,INDEX(Festivals!$V$2:$V$160,$AP366+6),""),"")</f>
        <v/>
      </c>
      <c r="AL366" t="str">
        <f ca="1">IFERROR(INDEX('Holidays Calc'!$J$2:$J$233,MATCH(A366,'Holidays Calc'!$I$2:$I$233,0)),"")</f>
        <v/>
      </c>
      <c r="AM366" t="str">
        <f ca="1">IF(AR366="","",IF(INDEX('Holidays Calc'!$I$2:$I$233,AR366+1)=A366,INDEX('Holidays Calc'!$J$2:$J$233,AR366+1),""))</f>
        <v/>
      </c>
      <c r="AN366" t="str">
        <f ca="1">IF(AR366="","",IF(INDEX('Holidays Calc'!$I$2:$I$233,AR366+2)=A366,INDEX('Holidays Calc'!$J$2:$J$233,AR366+2),""))</f>
        <v/>
      </c>
      <c r="AO366" t="str">
        <f ca="1">IF(AR366="","",IF(INDEX('Holidays Calc'!$I$2:$I$233,AR366+3)=A366,INDEX('Holidays Calc'!$J$2:$J$233,AR366+3),""))</f>
        <v/>
      </c>
      <c r="AP366">
        <f>IFERROR(IF($E366=E365,"",MATCH($E366,Festivals!$H$2:$H$160,0)),"")</f>
        <v>110</v>
      </c>
      <c r="AQ366">
        <f>IF(AP366="","",COUNTIF(Festivals!$H$2:$H$160,$E366))</f>
        <v>1</v>
      </c>
      <c r="AR366" t="str">
        <f ca="1">IFERROR(MATCH(A366,'Holidays Calc'!$I$2:$I$233,0),"")</f>
        <v/>
      </c>
      <c r="AS366">
        <f t="shared" si="39"/>
        <v>3</v>
      </c>
      <c r="AT366">
        <f t="shared" si="38"/>
        <v>3</v>
      </c>
      <c r="AU366" t="str">
        <f t="shared" ca="1" si="40"/>
        <v/>
      </c>
      <c r="AV366">
        <f t="shared" ca="1" si="41"/>
        <v>3</v>
      </c>
    </row>
    <row r="367" spans="1:48" x14ac:dyDescent="0.25">
      <c r="A367" s="265">
        <f t="shared" si="37"/>
        <v>43793</v>
      </c>
      <c r="B367" s="265" t="str">
        <f t="shared" si="42"/>
        <v>24 Nov 2019</v>
      </c>
      <c r="C367" s="267">
        <f t="shared" si="43"/>
        <v>47</v>
      </c>
      <c r="D367">
        <f>MATCH(A367,GCalXMLT[daydate],0)</f>
        <v>366</v>
      </c>
      <c r="E367">
        <f>VALUE("1" &amp; Masacod(INDEX(GCalXMLT[gymasa],D367)) &amp; PaksaCod(INDEX(GCalXMLT[mpaksaid],D367)) &amp; TithiCod(INDEX(GCalXMLT[stithiname],D367)))</f>
        <v>109013</v>
      </c>
      <c r="F367" t="str">
        <f ca="1">INDEX(Parameters!$K$2:$K$16,MATCH(AV367,Parameters!$L$2:$L$16,0))</f>
        <v>C</v>
      </c>
      <c r="G367">
        <f>INDEX(GCalXMLT[fastmark],$D367)</f>
        <v>0</v>
      </c>
      <c r="H367" t="str">
        <f ca="1">INDEX(Parameters!$J$2:$J$16,MATCH(AV367,Parameters!$L$2:$L$16,0))</f>
        <v/>
      </c>
      <c r="I367">
        <f>INDEX(GCalXMLT[dfestival1],$D367)</f>
        <v>0</v>
      </c>
      <c r="J367">
        <f>IF(INDEX(GCalXMLT[dfestival2],$D367)="(Fast today)",INDEX(Festivals!$R$2:$R$180,MATCH($I367,Festivals!$R$2:$R$180,0)+1),INDEX(GCalXMLT[dfestival2],$D367))</f>
        <v>0</v>
      </c>
      <c r="K367">
        <f>IF(I367="Nandotsava","(Fast till noon)",INDEX(GCalXMLT[dfestival3],$D367))</f>
        <v>0</v>
      </c>
      <c r="L367">
        <f>IF(I367="Nandotsava", INDEX(GCalXMLT[dfestival3],$D367),INDEX(GCalXMLT[dfestival4],$D367))</f>
        <v>0</v>
      </c>
      <c r="M367" t="str">
        <f>IFERROR(INDEX(Festivals!$S$2:$S$160,AP367),"")</f>
        <v>Sri Saranga Thakura - Disappearance</v>
      </c>
      <c r="N367" t="str">
        <f>IFERROR(IF($AQ367&gt;1,INDEX(Festivals!$S$2:$S$160,$AP367+1),""),"")</f>
        <v/>
      </c>
      <c r="O367" t="str">
        <f>IFERROR(IF($AQ367&gt;2,INDEX(Festivals!$S$2:$S$160,$AP367+2),""),"")</f>
        <v/>
      </c>
      <c r="P367" t="str">
        <f>IFERROR(IF($AQ367&gt;3,INDEX(Festivals!$S$2:$S$160,$AP367+3),""),"")</f>
        <v/>
      </c>
      <c r="Q367" t="str">
        <f>IFERROR(IF($AQ367&gt;4,INDEX(Festivals!$S$2:$S$160,$AP367+4),""),"")</f>
        <v/>
      </c>
      <c r="R367" t="str">
        <f>IFERROR(IF($AQ367&gt;5,INDEX(Festivals!$S$2:$S$160,$AP367+5),""),"")</f>
        <v/>
      </c>
      <c r="S367" t="str">
        <f>IFERROR(IF($AQ367&gt;6,INDEX(Festivals!$S$2:$S$160,$AP367+6),""),"")</f>
        <v/>
      </c>
      <c r="T367">
        <f>INDEX(GCalXMLT[dcaturmasya1],$D367)</f>
        <v>0</v>
      </c>
      <c r="U367">
        <f>INDEX(GCalXMLT[dcaturmasya2],$D367)</f>
        <v>0</v>
      </c>
      <c r="V367" t="str">
        <f>INDEX(GCalXMLT[sankrantirasi],$D367) &amp; " " &amp; INDEX(GCalXMLT[sankrantitime],$D367)</f>
        <v xml:space="preserve"> </v>
      </c>
      <c r="W367" t="str">
        <f ca="1">IFERROR(INDEX('Holidays Calc'!$K$2:$K$233,AR367),"")</f>
        <v/>
      </c>
      <c r="X367" t="str">
        <f ca="1">IF(AR367="","",IF(INDEX('Holidays Calc'!$I$2:$I$233,AR367+1)=A367,INDEX('Holidays Calc'!$K$2:$K$233,AR367+1),""))</f>
        <v/>
      </c>
      <c r="Y367" t="str">
        <f ca="1">IF(AR367="","",IF(INDEX('Holidays Calc'!$I$2:$I$233,AR367+2)=A367,INDEX('Holidays Calc'!$K$2:$K$233,AR367+2),""))</f>
        <v/>
      </c>
      <c r="Z367" t="str">
        <f ca="1">IF(AR367="","",IF(INDEX('Holidays Calc'!$I$2:$I$233,AR367+3)=A367,INDEX('Holidays Calc'!$K$2:$K$2333,AR367+3),""))</f>
        <v/>
      </c>
      <c r="AA367" t="str">
        <f>IF(I367="Last day of Bhisma Pancaka","",IF(G367="*",-0.7,IF(ISBLANK(INDEX(GCalXMLT[dclass1],$D367)),"",INDEX(GCalXMLT[dclass1],$D367))))</f>
        <v/>
      </c>
      <c r="AB367" t="str">
        <f>IF(J367="First day of Bhisma Pancaka","",IF(AND(G367="*",NOT(ISERROR(SEARCH("ekadasi",J367)))),-0.7,IF(ISBLANK(INDEX(GCalXMLT[dclass2],$D367)),"",INDEX(GCalXMLT[dclass2],$D367))))</f>
        <v/>
      </c>
      <c r="AC367" t="str">
        <f>IF(I367="Nandotsava",-1,IF(ISBLANK(INDEX(GCalXMLT[dclass3],$D367)),"",INDEX(GCalXMLT[dclass3],$D367)))</f>
        <v/>
      </c>
      <c r="AD367" t="str">
        <f>IF(I367="Nandotsava",IF(ISBLANK(INDEX(GCalXMLT[dclass3],$D367)),"",INDEX(GCalXMLT[dclass3],$D367)),IF(ISBLANK(INDEX(GCalXMLT[dclass4],$D367)),"",INDEX(GCalXMLT[dclass4],$D367)))</f>
        <v/>
      </c>
      <c r="AE367">
        <f>IFERROR(INDEX(Festivals!$V$2:$V$160,AP367),"")</f>
        <v>3</v>
      </c>
      <c r="AF367" t="str">
        <f>IFERROR(IF($AQ367&gt;1,INDEX(Festivals!$V$2:$V$160,$AP367+1),""),"")</f>
        <v/>
      </c>
      <c r="AG367" t="str">
        <f>IFERROR(IF($AQ367&gt;2,INDEX(Festivals!$V$2:$V$160,$AP367+2),""),"")</f>
        <v/>
      </c>
      <c r="AH367" t="str">
        <f>IFERROR(IF($AQ367&gt;3,INDEX(Festivals!$V$2:$V$160,$AP367+3),""),"")</f>
        <v/>
      </c>
      <c r="AI367" t="str">
        <f>IFERROR(IF($AQ367&gt;4,INDEX(Festivals!$V$2:$V$160,$AP367+4),""),"")</f>
        <v/>
      </c>
      <c r="AJ367" t="str">
        <f>IFERROR(IF($AQ367&gt;5,INDEX(Festivals!$V$2:$V$160,$AP367+5),""),"")</f>
        <v/>
      </c>
      <c r="AK367" t="str">
        <f>IFERROR(IF($AQ367&gt;6,INDEX(Festivals!$V$2:$V$160,$AP367+6),""),"")</f>
        <v/>
      </c>
      <c r="AL367" t="str">
        <f ca="1">IFERROR(INDEX('Holidays Calc'!$J$2:$J$233,MATCH(A367,'Holidays Calc'!$I$2:$I$233,0)),"")</f>
        <v/>
      </c>
      <c r="AM367" t="str">
        <f ca="1">IF(AR367="","",IF(INDEX('Holidays Calc'!$I$2:$I$233,AR367+1)=A367,INDEX('Holidays Calc'!$J$2:$J$233,AR367+1),""))</f>
        <v/>
      </c>
      <c r="AN367" t="str">
        <f ca="1">IF(AR367="","",IF(INDEX('Holidays Calc'!$I$2:$I$233,AR367+2)=A367,INDEX('Holidays Calc'!$J$2:$J$233,AR367+2),""))</f>
        <v/>
      </c>
      <c r="AO367" t="str">
        <f ca="1">IF(AR367="","",IF(INDEX('Holidays Calc'!$I$2:$I$233,AR367+3)=A367,INDEX('Holidays Calc'!$J$2:$J$233,AR367+3),""))</f>
        <v/>
      </c>
      <c r="AP367">
        <f>IFERROR(IF($E367=E366,"",MATCH($E367,Festivals!$H$2:$H$160,0)),"")</f>
        <v>111</v>
      </c>
      <c r="AQ367">
        <f>IF(AP367="","",COUNTIF(Festivals!$H$2:$H$160,$E367))</f>
        <v>1</v>
      </c>
      <c r="AR367" t="str">
        <f ca="1">IFERROR(MATCH(A367,'Holidays Calc'!$I$2:$I$233,0),"")</f>
        <v/>
      </c>
      <c r="AS367">
        <f t="shared" si="39"/>
        <v>3</v>
      </c>
      <c r="AT367">
        <f t="shared" si="38"/>
        <v>3</v>
      </c>
      <c r="AU367" t="str">
        <f t="shared" ca="1" si="40"/>
        <v/>
      </c>
      <c r="AV367">
        <f t="shared" ca="1" si="41"/>
        <v>3</v>
      </c>
    </row>
    <row r="368" spans="1:48" x14ac:dyDescent="0.25">
      <c r="A368" s="265">
        <f t="shared" si="37"/>
        <v>43794</v>
      </c>
      <c r="B368" s="265" t="str">
        <f t="shared" si="42"/>
        <v>25 Nov 2019</v>
      </c>
      <c r="C368" s="267">
        <f t="shared" si="43"/>
        <v>48</v>
      </c>
      <c r="D368">
        <f>MATCH(A368,GCalXMLT[daydate],0)</f>
        <v>367</v>
      </c>
      <c r="E368">
        <f>VALUE("1" &amp; Masacod(INDEX(GCalXMLT[gymasa],D368)) &amp; PaksaCod(INDEX(GCalXMLT[mpaksaid],D368)) &amp; TithiCod(INDEX(GCalXMLT[stithiname],D368)))</f>
        <v>109014</v>
      </c>
      <c r="F368" t="str">
        <f ca="1">INDEX(Parameters!$K$2:$K$16,MATCH(AV368,Parameters!$L$2:$L$16,0))</f>
        <v/>
      </c>
      <c r="G368">
        <f>INDEX(GCalXMLT[fastmark],$D368)</f>
        <v>0</v>
      </c>
      <c r="H368" t="str">
        <f ca="1">INDEX(Parameters!$J$2:$J$16,MATCH(AV368,Parameters!$L$2:$L$16,0))</f>
        <v/>
      </c>
      <c r="I368">
        <f>INDEX(GCalXMLT[dfestival1],$D368)</f>
        <v>0</v>
      </c>
      <c r="J368">
        <f>IF(INDEX(GCalXMLT[dfestival2],$D368)="(Fast today)",INDEX(Festivals!$R$2:$R$180,MATCH($I368,Festivals!$R$2:$R$180,0)+1),INDEX(GCalXMLT[dfestival2],$D368))</f>
        <v>0</v>
      </c>
      <c r="K368">
        <f>IF(I368="Nandotsava","(Fast till noon)",INDEX(GCalXMLT[dfestival3],$D368))</f>
        <v>0</v>
      </c>
      <c r="L368">
        <f>IF(I368="Nandotsava", INDEX(GCalXMLT[dfestival3],$D368),INDEX(GCalXMLT[dfestival4],$D368))</f>
        <v>0</v>
      </c>
      <c r="M368" t="str">
        <f>IFERROR(INDEX(Festivals!$S$2:$S$160,AP368),"")</f>
        <v/>
      </c>
      <c r="N368" t="str">
        <f>IFERROR(IF($AQ368&gt;1,INDEX(Festivals!$S$2:$S$160,$AP368+1),""),"")</f>
        <v/>
      </c>
      <c r="O368" t="str">
        <f>IFERROR(IF($AQ368&gt;2,INDEX(Festivals!$S$2:$S$160,$AP368+2),""),"")</f>
        <v/>
      </c>
      <c r="P368" t="str">
        <f>IFERROR(IF($AQ368&gt;3,INDEX(Festivals!$S$2:$S$160,$AP368+3),""),"")</f>
        <v/>
      </c>
      <c r="Q368" t="str">
        <f>IFERROR(IF($AQ368&gt;4,INDEX(Festivals!$S$2:$S$160,$AP368+4),""),"")</f>
        <v/>
      </c>
      <c r="R368" t="str">
        <f>IFERROR(IF($AQ368&gt;5,INDEX(Festivals!$S$2:$S$160,$AP368+5),""),"")</f>
        <v/>
      </c>
      <c r="S368" t="str">
        <f>IFERROR(IF($AQ368&gt;6,INDEX(Festivals!$S$2:$S$160,$AP368+6),""),"")</f>
        <v/>
      </c>
      <c r="T368">
        <f>INDEX(GCalXMLT[dcaturmasya1],$D368)</f>
        <v>0</v>
      </c>
      <c r="U368">
        <f>INDEX(GCalXMLT[dcaturmasya2],$D368)</f>
        <v>0</v>
      </c>
      <c r="V368" t="str">
        <f>INDEX(GCalXMLT[sankrantirasi],$D368) &amp; " " &amp; INDEX(GCalXMLT[sankrantitime],$D368)</f>
        <v xml:space="preserve"> </v>
      </c>
      <c r="W368" t="str">
        <f ca="1">IFERROR(INDEX('Holidays Calc'!$K$2:$K$233,AR368),"")</f>
        <v/>
      </c>
      <c r="X368" t="str">
        <f ca="1">IF(AR368="","",IF(INDEX('Holidays Calc'!$I$2:$I$233,AR368+1)=A368,INDEX('Holidays Calc'!$K$2:$K$233,AR368+1),""))</f>
        <v/>
      </c>
      <c r="Y368" t="str">
        <f ca="1">IF(AR368="","",IF(INDEX('Holidays Calc'!$I$2:$I$233,AR368+2)=A368,INDEX('Holidays Calc'!$K$2:$K$233,AR368+2),""))</f>
        <v/>
      </c>
      <c r="Z368" t="str">
        <f ca="1">IF(AR368="","",IF(INDEX('Holidays Calc'!$I$2:$I$233,AR368+3)=A368,INDEX('Holidays Calc'!$K$2:$K$2333,AR368+3),""))</f>
        <v/>
      </c>
      <c r="AA368" t="str">
        <f>IF(I368="Last day of Bhisma Pancaka","",IF(G368="*",-0.7,IF(ISBLANK(INDEX(GCalXMLT[dclass1],$D368)),"",INDEX(GCalXMLT[dclass1],$D368))))</f>
        <v/>
      </c>
      <c r="AB368" t="str">
        <f>IF(J368="First day of Bhisma Pancaka","",IF(AND(G368="*",NOT(ISERROR(SEARCH("ekadasi",J368)))),-0.7,IF(ISBLANK(INDEX(GCalXMLT[dclass2],$D368)),"",INDEX(GCalXMLT[dclass2],$D368))))</f>
        <v/>
      </c>
      <c r="AC368" t="str">
        <f>IF(I368="Nandotsava",-1,IF(ISBLANK(INDEX(GCalXMLT[dclass3],$D368)),"",INDEX(GCalXMLT[dclass3],$D368)))</f>
        <v/>
      </c>
      <c r="AD368" t="str">
        <f>IF(I368="Nandotsava",IF(ISBLANK(INDEX(GCalXMLT[dclass3],$D368)),"",INDEX(GCalXMLT[dclass3],$D368)),IF(ISBLANK(INDEX(GCalXMLT[dclass4],$D368)),"",INDEX(GCalXMLT[dclass4],$D368)))</f>
        <v/>
      </c>
      <c r="AE368" t="str">
        <f>IFERROR(INDEX(Festivals!$V$2:$V$160,AP368),"")</f>
        <v/>
      </c>
      <c r="AF368" t="str">
        <f>IFERROR(IF($AQ368&gt;1,INDEX(Festivals!$V$2:$V$160,$AP368+1),""),"")</f>
        <v/>
      </c>
      <c r="AG368" t="str">
        <f>IFERROR(IF($AQ368&gt;2,INDEX(Festivals!$V$2:$V$160,$AP368+2),""),"")</f>
        <v/>
      </c>
      <c r="AH368" t="str">
        <f>IFERROR(IF($AQ368&gt;3,INDEX(Festivals!$V$2:$V$160,$AP368+3),""),"")</f>
        <v/>
      </c>
      <c r="AI368" t="str">
        <f>IFERROR(IF($AQ368&gt;4,INDEX(Festivals!$V$2:$V$160,$AP368+4),""),"")</f>
        <v/>
      </c>
      <c r="AJ368" t="str">
        <f>IFERROR(IF($AQ368&gt;5,INDEX(Festivals!$V$2:$V$160,$AP368+5),""),"")</f>
        <v/>
      </c>
      <c r="AK368" t="str">
        <f>IFERROR(IF($AQ368&gt;6,INDEX(Festivals!$V$2:$V$160,$AP368+6),""),"")</f>
        <v/>
      </c>
      <c r="AL368" t="str">
        <f ca="1">IFERROR(INDEX('Holidays Calc'!$J$2:$J$233,MATCH(A368,'Holidays Calc'!$I$2:$I$233,0)),"")</f>
        <v/>
      </c>
      <c r="AM368" t="str">
        <f ca="1">IF(AR368="","",IF(INDEX('Holidays Calc'!$I$2:$I$233,AR368+1)=A368,INDEX('Holidays Calc'!$J$2:$J$233,AR368+1),""))</f>
        <v/>
      </c>
      <c r="AN368" t="str">
        <f ca="1">IF(AR368="","",IF(INDEX('Holidays Calc'!$I$2:$I$233,AR368+2)=A368,INDEX('Holidays Calc'!$J$2:$J$233,AR368+2),""))</f>
        <v/>
      </c>
      <c r="AO368" t="str">
        <f ca="1">IF(AR368="","",IF(INDEX('Holidays Calc'!$I$2:$I$233,AR368+3)=A368,INDEX('Holidays Calc'!$J$2:$J$233,AR368+3),""))</f>
        <v/>
      </c>
      <c r="AP368" t="str">
        <f>IFERROR(IF($E368=E367,"",MATCH($E368,Festivals!$H$2:$H$160,0)),"")</f>
        <v/>
      </c>
      <c r="AQ368" t="str">
        <f>IF(AP368="","",COUNTIF(Festivals!$H$2:$H$160,$E368))</f>
        <v/>
      </c>
      <c r="AR368" t="str">
        <f ca="1">IFERROR(MATCH(A368,'Holidays Calc'!$I$2:$I$233,0),"")</f>
        <v/>
      </c>
      <c r="AS368" t="str">
        <f t="shared" si="39"/>
        <v/>
      </c>
      <c r="AT368" t="str">
        <f t="shared" si="38"/>
        <v/>
      </c>
      <c r="AU368" t="str">
        <f t="shared" ca="1" si="40"/>
        <v/>
      </c>
      <c r="AV368" t="str">
        <f t="shared" ca="1" si="41"/>
        <v/>
      </c>
    </row>
    <row r="369" spans="1:48" x14ac:dyDescent="0.25">
      <c r="A369" s="265">
        <f t="shared" si="37"/>
        <v>43795</v>
      </c>
      <c r="B369" s="265" t="str">
        <f t="shared" si="42"/>
        <v>26 Nov 2019</v>
      </c>
      <c r="C369" s="267">
        <f t="shared" si="43"/>
        <v>48</v>
      </c>
      <c r="D369">
        <f>MATCH(A369,GCalXMLT[daydate],0)</f>
        <v>368</v>
      </c>
      <c r="E369">
        <f>VALUE("1" &amp; Masacod(INDEX(GCalXMLT[gymasa],D369)) &amp; PaksaCod(INDEX(GCalXMLT[mpaksaid],D369)) &amp; TithiCod(INDEX(GCalXMLT[stithiname],D369)))</f>
        <v>109015</v>
      </c>
      <c r="F369" t="str">
        <f ca="1">INDEX(Parameters!$K$2:$K$16,MATCH(AV369,Parameters!$L$2:$L$16,0))</f>
        <v/>
      </c>
      <c r="G369">
        <f>INDEX(GCalXMLT[fastmark],$D369)</f>
        <v>0</v>
      </c>
      <c r="H369" t="str">
        <f ca="1">INDEX(Parameters!$J$2:$J$16,MATCH(AV369,Parameters!$L$2:$L$16,0))</f>
        <v/>
      </c>
      <c r="I369">
        <f>INDEX(GCalXMLT[dfestival1],$D369)</f>
        <v>0</v>
      </c>
      <c r="J369">
        <f>IF(INDEX(GCalXMLT[dfestival2],$D369)="(Fast today)",INDEX(Festivals!$R$2:$R$180,MATCH($I369,Festivals!$R$2:$R$180,0)+1),INDEX(GCalXMLT[dfestival2],$D369))</f>
        <v>0</v>
      </c>
      <c r="K369">
        <f>IF(I369="Nandotsava","(Fast till noon)",INDEX(GCalXMLT[dfestival3],$D369))</f>
        <v>0</v>
      </c>
      <c r="L369">
        <f>IF(I369="Nandotsava", INDEX(GCalXMLT[dfestival3],$D369),INDEX(GCalXMLT[dfestival4],$D369))</f>
        <v>0</v>
      </c>
      <c r="M369" t="str">
        <f>IFERROR(INDEX(Festivals!$S$2:$S$160,AP369),"")</f>
        <v/>
      </c>
      <c r="N369" t="str">
        <f>IFERROR(IF($AQ369&gt;1,INDEX(Festivals!$S$2:$S$160,$AP369+1),""),"")</f>
        <v/>
      </c>
      <c r="O369" t="str">
        <f>IFERROR(IF($AQ369&gt;2,INDEX(Festivals!$S$2:$S$160,$AP369+2),""),"")</f>
        <v/>
      </c>
      <c r="P369" t="str">
        <f>IFERROR(IF($AQ369&gt;3,INDEX(Festivals!$S$2:$S$160,$AP369+3),""),"")</f>
        <v/>
      </c>
      <c r="Q369" t="str">
        <f>IFERROR(IF($AQ369&gt;4,INDEX(Festivals!$S$2:$S$160,$AP369+4),""),"")</f>
        <v/>
      </c>
      <c r="R369" t="str">
        <f>IFERROR(IF($AQ369&gt;5,INDEX(Festivals!$S$2:$S$160,$AP369+5),""),"")</f>
        <v/>
      </c>
      <c r="S369" t="str">
        <f>IFERROR(IF($AQ369&gt;6,INDEX(Festivals!$S$2:$S$160,$AP369+6),""),"")</f>
        <v/>
      </c>
      <c r="T369">
        <f>INDEX(GCalXMLT[dcaturmasya1],$D369)</f>
        <v>0</v>
      </c>
      <c r="U369">
        <f>INDEX(GCalXMLT[dcaturmasya2],$D369)</f>
        <v>0</v>
      </c>
      <c r="V369" t="str">
        <f>INDEX(GCalXMLT[sankrantirasi],$D369) &amp; " " &amp; INDEX(GCalXMLT[sankrantitime],$D369)</f>
        <v xml:space="preserve"> </v>
      </c>
      <c r="W369" t="str">
        <f ca="1">IFERROR(INDEX('Holidays Calc'!$K$2:$K$233,AR369),"")</f>
        <v/>
      </c>
      <c r="X369" t="str">
        <f ca="1">IF(AR369="","",IF(INDEX('Holidays Calc'!$I$2:$I$233,AR369+1)=A369,INDEX('Holidays Calc'!$K$2:$K$233,AR369+1),""))</f>
        <v/>
      </c>
      <c r="Y369" t="str">
        <f ca="1">IF(AR369="","",IF(INDEX('Holidays Calc'!$I$2:$I$233,AR369+2)=A369,INDEX('Holidays Calc'!$K$2:$K$233,AR369+2),""))</f>
        <v/>
      </c>
      <c r="Z369" t="str">
        <f ca="1">IF(AR369="","",IF(INDEX('Holidays Calc'!$I$2:$I$233,AR369+3)=A369,INDEX('Holidays Calc'!$K$2:$K$2333,AR369+3),""))</f>
        <v/>
      </c>
      <c r="AA369" t="str">
        <f>IF(I369="Last day of Bhisma Pancaka","",IF(G369="*",-0.7,IF(ISBLANK(INDEX(GCalXMLT[dclass1],$D369)),"",INDEX(GCalXMLT[dclass1],$D369))))</f>
        <v/>
      </c>
      <c r="AB369" t="str">
        <f>IF(J369="First day of Bhisma Pancaka","",IF(AND(G369="*",NOT(ISERROR(SEARCH("ekadasi",J369)))),-0.7,IF(ISBLANK(INDEX(GCalXMLT[dclass2],$D369)),"",INDEX(GCalXMLT[dclass2],$D369))))</f>
        <v/>
      </c>
      <c r="AC369" t="str">
        <f>IF(I369="Nandotsava",-1,IF(ISBLANK(INDEX(GCalXMLT[dclass3],$D369)),"",INDEX(GCalXMLT[dclass3],$D369)))</f>
        <v/>
      </c>
      <c r="AD369" t="str">
        <f>IF(I369="Nandotsava",IF(ISBLANK(INDEX(GCalXMLT[dclass3],$D369)),"",INDEX(GCalXMLT[dclass3],$D369)),IF(ISBLANK(INDEX(GCalXMLT[dclass4],$D369)),"",INDEX(GCalXMLT[dclass4],$D369)))</f>
        <v/>
      </c>
      <c r="AE369" t="str">
        <f>IFERROR(INDEX(Festivals!$V$2:$V$160,AP369),"")</f>
        <v/>
      </c>
      <c r="AF369" t="str">
        <f>IFERROR(IF($AQ369&gt;1,INDEX(Festivals!$V$2:$V$160,$AP369+1),""),"")</f>
        <v/>
      </c>
      <c r="AG369" t="str">
        <f>IFERROR(IF($AQ369&gt;2,INDEX(Festivals!$V$2:$V$160,$AP369+2),""),"")</f>
        <v/>
      </c>
      <c r="AH369" t="str">
        <f>IFERROR(IF($AQ369&gt;3,INDEX(Festivals!$V$2:$V$160,$AP369+3),""),"")</f>
        <v/>
      </c>
      <c r="AI369" t="str">
        <f>IFERROR(IF($AQ369&gt;4,INDEX(Festivals!$V$2:$V$160,$AP369+4),""),"")</f>
        <v/>
      </c>
      <c r="AJ369" t="str">
        <f>IFERROR(IF($AQ369&gt;5,INDEX(Festivals!$V$2:$V$160,$AP369+5),""),"")</f>
        <v/>
      </c>
      <c r="AK369" t="str">
        <f>IFERROR(IF($AQ369&gt;6,INDEX(Festivals!$V$2:$V$160,$AP369+6),""),"")</f>
        <v/>
      </c>
      <c r="AL369" t="str">
        <f ca="1">IFERROR(INDEX('Holidays Calc'!$J$2:$J$233,MATCH(A369,'Holidays Calc'!$I$2:$I$233,0)),"")</f>
        <v/>
      </c>
      <c r="AM369" t="str">
        <f ca="1">IF(AR369="","",IF(INDEX('Holidays Calc'!$I$2:$I$233,AR369+1)=A369,INDEX('Holidays Calc'!$J$2:$J$233,AR369+1),""))</f>
        <v/>
      </c>
      <c r="AN369" t="str">
        <f ca="1">IF(AR369="","",IF(INDEX('Holidays Calc'!$I$2:$I$233,AR369+2)=A369,INDEX('Holidays Calc'!$J$2:$J$233,AR369+2),""))</f>
        <v/>
      </c>
      <c r="AO369" t="str">
        <f ca="1">IF(AR369="","",IF(INDEX('Holidays Calc'!$I$2:$I$233,AR369+3)=A369,INDEX('Holidays Calc'!$J$2:$J$233,AR369+3),""))</f>
        <v/>
      </c>
      <c r="AP369" t="str">
        <f>IFERROR(IF($E369=E368,"",MATCH($E369,Festivals!$H$2:$H$160,0)),"")</f>
        <v/>
      </c>
      <c r="AQ369" t="str">
        <f>IF(AP369="","",COUNTIF(Festivals!$H$2:$H$160,$E369))</f>
        <v/>
      </c>
      <c r="AR369" t="str">
        <f ca="1">IFERROR(MATCH(A369,'Holidays Calc'!$I$2:$I$233,0),"")</f>
        <v/>
      </c>
      <c r="AS369" t="str">
        <f t="shared" si="39"/>
        <v/>
      </c>
      <c r="AT369" t="str">
        <f t="shared" si="38"/>
        <v/>
      </c>
      <c r="AU369" t="str">
        <f t="shared" ca="1" si="40"/>
        <v/>
      </c>
      <c r="AV369" t="str">
        <f t="shared" ca="1" si="41"/>
        <v/>
      </c>
    </row>
    <row r="370" spans="1:48" x14ac:dyDescent="0.25">
      <c r="A370" s="265">
        <f t="shared" si="37"/>
        <v>43796</v>
      </c>
      <c r="B370" s="265" t="str">
        <f t="shared" si="42"/>
        <v>27 Nov 2019</v>
      </c>
      <c r="C370" s="267">
        <f t="shared" si="43"/>
        <v>48</v>
      </c>
      <c r="D370">
        <f>MATCH(A370,GCalXMLT[daydate],0)</f>
        <v>369</v>
      </c>
      <c r="E370">
        <f>VALUE("1" &amp; Masacod(INDEX(GCalXMLT[gymasa],D370)) &amp; PaksaCod(INDEX(GCalXMLT[mpaksaid],D370)) &amp; TithiCod(INDEX(GCalXMLT[stithiname],D370)))</f>
        <v>109101</v>
      </c>
      <c r="F370" t="str">
        <f ca="1">INDEX(Parameters!$K$2:$K$16,MATCH(AV370,Parameters!$L$2:$L$16,0))</f>
        <v/>
      </c>
      <c r="G370">
        <f>INDEX(GCalXMLT[fastmark],$D370)</f>
        <v>0</v>
      </c>
      <c r="H370" t="str">
        <f ca="1">INDEX(Parameters!$J$2:$J$16,MATCH(AV370,Parameters!$L$2:$L$16,0))</f>
        <v/>
      </c>
      <c r="I370">
        <f>INDEX(GCalXMLT[dfestival1],$D370)</f>
        <v>0</v>
      </c>
      <c r="J370">
        <f>IF(INDEX(GCalXMLT[dfestival2],$D370)="(Fast today)",INDEX(Festivals!$R$2:$R$180,MATCH($I370,Festivals!$R$2:$R$180,0)+1),INDEX(GCalXMLT[dfestival2],$D370))</f>
        <v>0</v>
      </c>
      <c r="K370">
        <f>IF(I370="Nandotsava","(Fast till noon)",INDEX(GCalXMLT[dfestival3],$D370))</f>
        <v>0</v>
      </c>
      <c r="L370">
        <f>IF(I370="Nandotsava", INDEX(GCalXMLT[dfestival3],$D370),INDEX(GCalXMLT[dfestival4],$D370))</f>
        <v>0</v>
      </c>
      <c r="M370" t="str">
        <f>IFERROR(INDEX(Festivals!$S$2:$S$160,AP370),"")</f>
        <v/>
      </c>
      <c r="N370" t="str">
        <f>IFERROR(IF($AQ370&gt;1,INDEX(Festivals!$S$2:$S$160,$AP370+1),""),"")</f>
        <v/>
      </c>
      <c r="O370" t="str">
        <f>IFERROR(IF($AQ370&gt;2,INDEX(Festivals!$S$2:$S$160,$AP370+2),""),"")</f>
        <v/>
      </c>
      <c r="P370" t="str">
        <f>IFERROR(IF($AQ370&gt;3,INDEX(Festivals!$S$2:$S$160,$AP370+3),""),"")</f>
        <v/>
      </c>
      <c r="Q370" t="str">
        <f>IFERROR(IF($AQ370&gt;4,INDEX(Festivals!$S$2:$S$160,$AP370+4),""),"")</f>
        <v/>
      </c>
      <c r="R370" t="str">
        <f>IFERROR(IF($AQ370&gt;5,INDEX(Festivals!$S$2:$S$160,$AP370+5),""),"")</f>
        <v/>
      </c>
      <c r="S370" t="str">
        <f>IFERROR(IF($AQ370&gt;6,INDEX(Festivals!$S$2:$S$160,$AP370+6),""),"")</f>
        <v/>
      </c>
      <c r="T370">
        <f>INDEX(GCalXMLT[dcaturmasya1],$D370)</f>
        <v>0</v>
      </c>
      <c r="U370">
        <f>INDEX(GCalXMLT[dcaturmasya2],$D370)</f>
        <v>0</v>
      </c>
      <c r="V370" t="str">
        <f>INDEX(GCalXMLT[sankrantirasi],$D370) &amp; " " &amp; INDEX(GCalXMLT[sankrantitime],$D370)</f>
        <v xml:space="preserve"> </v>
      </c>
      <c r="W370" t="str">
        <f ca="1">IFERROR(INDEX('Holidays Calc'!$K$2:$K$233,AR370),"")</f>
        <v/>
      </c>
      <c r="X370" t="str">
        <f ca="1">IF(AR370="","",IF(INDEX('Holidays Calc'!$I$2:$I$233,AR370+1)=A370,INDEX('Holidays Calc'!$K$2:$K$233,AR370+1),""))</f>
        <v/>
      </c>
      <c r="Y370" t="str">
        <f ca="1">IF(AR370="","",IF(INDEX('Holidays Calc'!$I$2:$I$233,AR370+2)=A370,INDEX('Holidays Calc'!$K$2:$K$233,AR370+2),""))</f>
        <v/>
      </c>
      <c r="Z370" t="str">
        <f ca="1">IF(AR370="","",IF(INDEX('Holidays Calc'!$I$2:$I$233,AR370+3)=A370,INDEX('Holidays Calc'!$K$2:$K$2333,AR370+3),""))</f>
        <v/>
      </c>
      <c r="AA370" t="str">
        <f>IF(I370="Last day of Bhisma Pancaka","",IF(G370="*",-0.7,IF(ISBLANK(INDEX(GCalXMLT[dclass1],$D370)),"",INDEX(GCalXMLT[dclass1],$D370))))</f>
        <v/>
      </c>
      <c r="AB370" t="str">
        <f>IF(J370="First day of Bhisma Pancaka","",IF(AND(G370="*",NOT(ISERROR(SEARCH("ekadasi",J370)))),-0.7,IF(ISBLANK(INDEX(GCalXMLT[dclass2],$D370)),"",INDEX(GCalXMLT[dclass2],$D370))))</f>
        <v/>
      </c>
      <c r="AC370" t="str">
        <f>IF(I370="Nandotsava",-1,IF(ISBLANK(INDEX(GCalXMLT[dclass3],$D370)),"",INDEX(GCalXMLT[dclass3],$D370)))</f>
        <v/>
      </c>
      <c r="AD370" t="str">
        <f>IF(I370="Nandotsava",IF(ISBLANK(INDEX(GCalXMLT[dclass3],$D370)),"",INDEX(GCalXMLT[dclass3],$D370)),IF(ISBLANK(INDEX(GCalXMLT[dclass4],$D370)),"",INDEX(GCalXMLT[dclass4],$D370)))</f>
        <v/>
      </c>
      <c r="AE370" t="str">
        <f>IFERROR(INDEX(Festivals!$V$2:$V$160,AP370),"")</f>
        <v/>
      </c>
      <c r="AF370" t="str">
        <f>IFERROR(IF($AQ370&gt;1,INDEX(Festivals!$V$2:$V$160,$AP370+1),""),"")</f>
        <v/>
      </c>
      <c r="AG370" t="str">
        <f>IFERROR(IF($AQ370&gt;2,INDEX(Festivals!$V$2:$V$160,$AP370+2),""),"")</f>
        <v/>
      </c>
      <c r="AH370" t="str">
        <f>IFERROR(IF($AQ370&gt;3,INDEX(Festivals!$V$2:$V$160,$AP370+3),""),"")</f>
        <v/>
      </c>
      <c r="AI370" t="str">
        <f>IFERROR(IF($AQ370&gt;4,INDEX(Festivals!$V$2:$V$160,$AP370+4),""),"")</f>
        <v/>
      </c>
      <c r="AJ370" t="str">
        <f>IFERROR(IF($AQ370&gt;5,INDEX(Festivals!$V$2:$V$160,$AP370+5),""),"")</f>
        <v/>
      </c>
      <c r="AK370" t="str">
        <f>IFERROR(IF($AQ370&gt;6,INDEX(Festivals!$V$2:$V$160,$AP370+6),""),"")</f>
        <v/>
      </c>
      <c r="AL370" t="str">
        <f ca="1">IFERROR(INDEX('Holidays Calc'!$J$2:$J$233,MATCH(A370,'Holidays Calc'!$I$2:$I$233,0)),"")</f>
        <v/>
      </c>
      <c r="AM370" t="str">
        <f ca="1">IF(AR370="","",IF(INDEX('Holidays Calc'!$I$2:$I$233,AR370+1)=A370,INDEX('Holidays Calc'!$J$2:$J$233,AR370+1),""))</f>
        <v/>
      </c>
      <c r="AN370" t="str">
        <f ca="1">IF(AR370="","",IF(INDEX('Holidays Calc'!$I$2:$I$233,AR370+2)=A370,INDEX('Holidays Calc'!$J$2:$J$233,AR370+2),""))</f>
        <v/>
      </c>
      <c r="AO370" t="str">
        <f ca="1">IF(AR370="","",IF(INDEX('Holidays Calc'!$I$2:$I$233,AR370+3)=A370,INDEX('Holidays Calc'!$J$2:$J$233,AR370+3),""))</f>
        <v/>
      </c>
      <c r="AP370" t="str">
        <f>IFERROR(IF($E370=E369,"",MATCH($E370,Festivals!$H$2:$H$160,0)),"")</f>
        <v/>
      </c>
      <c r="AQ370" t="str">
        <f>IF(AP370="","",COUNTIF(Festivals!$H$2:$H$160,$E370))</f>
        <v/>
      </c>
      <c r="AR370" t="str">
        <f ca="1">IFERROR(MATCH(A370,'Holidays Calc'!$I$2:$I$233,0),"")</f>
        <v/>
      </c>
      <c r="AS370" t="str">
        <f t="shared" si="39"/>
        <v/>
      </c>
      <c r="AT370" t="str">
        <f t="shared" si="38"/>
        <v/>
      </c>
      <c r="AU370" t="str">
        <f t="shared" ca="1" si="40"/>
        <v/>
      </c>
      <c r="AV370" t="str">
        <f t="shared" ca="1" si="41"/>
        <v/>
      </c>
    </row>
    <row r="371" spans="1:48" x14ac:dyDescent="0.25">
      <c r="A371" s="265">
        <f t="shared" si="37"/>
        <v>43797</v>
      </c>
      <c r="B371" s="265" t="str">
        <f t="shared" si="42"/>
        <v>28 Nov 2019</v>
      </c>
      <c r="C371" s="267">
        <f t="shared" si="43"/>
        <v>48</v>
      </c>
      <c r="D371">
        <f>MATCH(A371,GCalXMLT[daydate],0)</f>
        <v>370</v>
      </c>
      <c r="E371">
        <f>VALUE("1" &amp; Masacod(INDEX(GCalXMLT[gymasa],D371)) &amp; PaksaCod(INDEX(GCalXMLT[mpaksaid],D371)) &amp; TithiCod(INDEX(GCalXMLT[stithiname],D371)))</f>
        <v>109102</v>
      </c>
      <c r="F371" t="str">
        <f ca="1">INDEX(Parameters!$K$2:$K$16,MATCH(AV371,Parameters!$L$2:$L$16,0))</f>
        <v/>
      </c>
      <c r="G371">
        <f>INDEX(GCalXMLT[fastmark],$D371)</f>
        <v>0</v>
      </c>
      <c r="H371" t="str">
        <f ca="1">INDEX(Parameters!$J$2:$J$16,MATCH(AV371,Parameters!$L$2:$L$16,0))</f>
        <v/>
      </c>
      <c r="I371">
        <f>INDEX(GCalXMLT[dfestival1],$D371)</f>
        <v>0</v>
      </c>
      <c r="J371">
        <f>IF(INDEX(GCalXMLT[dfestival2],$D371)="(Fast today)",INDEX(Festivals!$R$2:$R$180,MATCH($I371,Festivals!$R$2:$R$180,0)+1),INDEX(GCalXMLT[dfestival2],$D371))</f>
        <v>0</v>
      </c>
      <c r="K371">
        <f>IF(I371="Nandotsava","(Fast till noon)",INDEX(GCalXMLT[dfestival3],$D371))</f>
        <v>0</v>
      </c>
      <c r="L371">
        <f>IF(I371="Nandotsava", INDEX(GCalXMLT[dfestival3],$D371),INDEX(GCalXMLT[dfestival4],$D371))</f>
        <v>0</v>
      </c>
      <c r="M371" t="str">
        <f>IFERROR(INDEX(Festivals!$S$2:$S$160,AP371),"")</f>
        <v/>
      </c>
      <c r="N371" t="str">
        <f>IFERROR(IF($AQ371&gt;1,INDEX(Festivals!$S$2:$S$160,$AP371+1),""),"")</f>
        <v/>
      </c>
      <c r="O371" t="str">
        <f>IFERROR(IF($AQ371&gt;2,INDEX(Festivals!$S$2:$S$160,$AP371+2),""),"")</f>
        <v/>
      </c>
      <c r="P371" t="str">
        <f>IFERROR(IF($AQ371&gt;3,INDEX(Festivals!$S$2:$S$160,$AP371+3),""),"")</f>
        <v/>
      </c>
      <c r="Q371" t="str">
        <f>IFERROR(IF($AQ371&gt;4,INDEX(Festivals!$S$2:$S$160,$AP371+4),""),"")</f>
        <v/>
      </c>
      <c r="R371" t="str">
        <f>IFERROR(IF($AQ371&gt;5,INDEX(Festivals!$S$2:$S$160,$AP371+5),""),"")</f>
        <v/>
      </c>
      <c r="S371" t="str">
        <f>IFERROR(IF($AQ371&gt;6,INDEX(Festivals!$S$2:$S$160,$AP371+6),""),"")</f>
        <v/>
      </c>
      <c r="T371">
        <f>INDEX(GCalXMLT[dcaturmasya1],$D371)</f>
        <v>0</v>
      </c>
      <c r="U371">
        <f>INDEX(GCalXMLT[dcaturmasya2],$D371)</f>
        <v>0</v>
      </c>
      <c r="V371" t="str">
        <f>INDEX(GCalXMLT[sankrantirasi],$D371) &amp; " " &amp; INDEX(GCalXMLT[sankrantitime],$D371)</f>
        <v xml:space="preserve"> </v>
      </c>
      <c r="W371" t="str">
        <f ca="1">IFERROR(INDEX('Holidays Calc'!$K$2:$K$233,AR371),"")</f>
        <v/>
      </c>
      <c r="X371" t="str">
        <f ca="1">IF(AR371="","",IF(INDEX('Holidays Calc'!$I$2:$I$233,AR371+1)=A371,INDEX('Holidays Calc'!$K$2:$K$233,AR371+1),""))</f>
        <v/>
      </c>
      <c r="Y371" t="str">
        <f ca="1">IF(AR371="","",IF(INDEX('Holidays Calc'!$I$2:$I$233,AR371+2)=A371,INDEX('Holidays Calc'!$K$2:$K$233,AR371+2),""))</f>
        <v/>
      </c>
      <c r="Z371" t="str">
        <f ca="1">IF(AR371="","",IF(INDEX('Holidays Calc'!$I$2:$I$233,AR371+3)=A371,INDEX('Holidays Calc'!$K$2:$K$2333,AR371+3),""))</f>
        <v/>
      </c>
      <c r="AA371" t="str">
        <f>IF(I371="Last day of Bhisma Pancaka","",IF(G371="*",-0.7,IF(ISBLANK(INDEX(GCalXMLT[dclass1],$D371)),"",INDEX(GCalXMLT[dclass1],$D371))))</f>
        <v/>
      </c>
      <c r="AB371" t="str">
        <f>IF(J371="First day of Bhisma Pancaka","",IF(AND(G371="*",NOT(ISERROR(SEARCH("ekadasi",J371)))),-0.7,IF(ISBLANK(INDEX(GCalXMLT[dclass2],$D371)),"",INDEX(GCalXMLT[dclass2],$D371))))</f>
        <v/>
      </c>
      <c r="AC371" t="str">
        <f>IF(I371="Nandotsava",-1,IF(ISBLANK(INDEX(GCalXMLT[dclass3],$D371)),"",INDEX(GCalXMLT[dclass3],$D371)))</f>
        <v/>
      </c>
      <c r="AD371" t="str">
        <f>IF(I371="Nandotsava",IF(ISBLANK(INDEX(GCalXMLT[dclass3],$D371)),"",INDEX(GCalXMLT[dclass3],$D371)),IF(ISBLANK(INDEX(GCalXMLT[dclass4],$D371)),"",INDEX(GCalXMLT[dclass4],$D371)))</f>
        <v/>
      </c>
      <c r="AE371" t="str">
        <f>IFERROR(INDEX(Festivals!$V$2:$V$160,AP371),"")</f>
        <v/>
      </c>
      <c r="AF371" t="str">
        <f>IFERROR(IF($AQ371&gt;1,INDEX(Festivals!$V$2:$V$160,$AP371+1),""),"")</f>
        <v/>
      </c>
      <c r="AG371" t="str">
        <f>IFERROR(IF($AQ371&gt;2,INDEX(Festivals!$V$2:$V$160,$AP371+2),""),"")</f>
        <v/>
      </c>
      <c r="AH371" t="str">
        <f>IFERROR(IF($AQ371&gt;3,INDEX(Festivals!$V$2:$V$160,$AP371+3),""),"")</f>
        <v/>
      </c>
      <c r="AI371" t="str">
        <f>IFERROR(IF($AQ371&gt;4,INDEX(Festivals!$V$2:$V$160,$AP371+4),""),"")</f>
        <v/>
      </c>
      <c r="AJ371" t="str">
        <f>IFERROR(IF($AQ371&gt;5,INDEX(Festivals!$V$2:$V$160,$AP371+5),""),"")</f>
        <v/>
      </c>
      <c r="AK371" t="str">
        <f>IFERROR(IF($AQ371&gt;6,INDEX(Festivals!$V$2:$V$160,$AP371+6),""),"")</f>
        <v/>
      </c>
      <c r="AL371" t="str">
        <f ca="1">IFERROR(INDEX('Holidays Calc'!$J$2:$J$233,MATCH(A371,'Holidays Calc'!$I$2:$I$233,0)),"")</f>
        <v/>
      </c>
      <c r="AM371" t="str">
        <f ca="1">IF(AR371="","",IF(INDEX('Holidays Calc'!$I$2:$I$233,AR371+1)=A371,INDEX('Holidays Calc'!$J$2:$J$233,AR371+1),""))</f>
        <v/>
      </c>
      <c r="AN371" t="str">
        <f ca="1">IF(AR371="","",IF(INDEX('Holidays Calc'!$I$2:$I$233,AR371+2)=A371,INDEX('Holidays Calc'!$J$2:$J$233,AR371+2),""))</f>
        <v/>
      </c>
      <c r="AO371" t="str">
        <f ca="1">IF(AR371="","",IF(INDEX('Holidays Calc'!$I$2:$I$233,AR371+3)=A371,INDEX('Holidays Calc'!$J$2:$J$233,AR371+3),""))</f>
        <v/>
      </c>
      <c r="AP371" t="str">
        <f>IFERROR(IF($E371=E370,"",MATCH($E371,Festivals!$H$2:$H$160,0)),"")</f>
        <v/>
      </c>
      <c r="AQ371" t="str">
        <f>IF(AP371="","",COUNTIF(Festivals!$H$2:$H$160,$E371))</f>
        <v/>
      </c>
      <c r="AR371" t="str">
        <f ca="1">IFERROR(MATCH(A371,'Holidays Calc'!$I$2:$I$233,0),"")</f>
        <v/>
      </c>
      <c r="AS371" t="str">
        <f t="shared" si="39"/>
        <v/>
      </c>
      <c r="AT371" t="str">
        <f t="shared" si="38"/>
        <v/>
      </c>
      <c r="AU371" t="str">
        <f t="shared" ca="1" si="40"/>
        <v/>
      </c>
      <c r="AV371" t="str">
        <f t="shared" ca="1" si="41"/>
        <v/>
      </c>
    </row>
    <row r="372" spans="1:48" x14ac:dyDescent="0.25">
      <c r="A372" s="265">
        <f t="shared" si="37"/>
        <v>43798</v>
      </c>
      <c r="B372" s="265" t="str">
        <f t="shared" si="42"/>
        <v>29 Nov 2019</v>
      </c>
      <c r="C372" s="267">
        <f t="shared" si="43"/>
        <v>48</v>
      </c>
      <c r="D372">
        <f>MATCH(A372,GCalXMLT[daydate],0)</f>
        <v>371</v>
      </c>
      <c r="E372">
        <f>VALUE("1" &amp; Masacod(INDEX(GCalXMLT[gymasa],D372)) &amp; PaksaCod(INDEX(GCalXMLT[mpaksaid],D372)) &amp; TithiCod(INDEX(GCalXMLT[stithiname],D372)))</f>
        <v>109103</v>
      </c>
      <c r="F372" t="str">
        <f ca="1">INDEX(Parameters!$K$2:$K$16,MATCH(AV372,Parameters!$L$2:$L$16,0))</f>
        <v/>
      </c>
      <c r="G372">
        <f>INDEX(GCalXMLT[fastmark],$D372)</f>
        <v>0</v>
      </c>
      <c r="H372" t="str">
        <f ca="1">INDEX(Parameters!$J$2:$J$16,MATCH(AV372,Parameters!$L$2:$L$16,0))</f>
        <v/>
      </c>
      <c r="I372">
        <f>INDEX(GCalXMLT[dfestival1],$D372)</f>
        <v>0</v>
      </c>
      <c r="J372">
        <f>IF(INDEX(GCalXMLT[dfestival2],$D372)="(Fast today)",INDEX(Festivals!$R$2:$R$180,MATCH($I372,Festivals!$R$2:$R$180,0)+1),INDEX(GCalXMLT[dfestival2],$D372))</f>
        <v>0</v>
      </c>
      <c r="K372">
        <f>IF(I372="Nandotsava","(Fast till noon)",INDEX(GCalXMLT[dfestival3],$D372))</f>
        <v>0</v>
      </c>
      <c r="L372">
        <f>IF(I372="Nandotsava", INDEX(GCalXMLT[dfestival3],$D372),INDEX(GCalXMLT[dfestival4],$D372))</f>
        <v>0</v>
      </c>
      <c r="M372" t="str">
        <f>IFERROR(INDEX(Festivals!$S$2:$S$160,AP372),"")</f>
        <v/>
      </c>
      <c r="N372" t="str">
        <f>IFERROR(IF($AQ372&gt;1,INDEX(Festivals!$S$2:$S$160,$AP372+1),""),"")</f>
        <v/>
      </c>
      <c r="O372" t="str">
        <f>IFERROR(IF($AQ372&gt;2,INDEX(Festivals!$S$2:$S$160,$AP372+2),""),"")</f>
        <v/>
      </c>
      <c r="P372" t="str">
        <f>IFERROR(IF($AQ372&gt;3,INDEX(Festivals!$S$2:$S$160,$AP372+3),""),"")</f>
        <v/>
      </c>
      <c r="Q372" t="str">
        <f>IFERROR(IF($AQ372&gt;4,INDEX(Festivals!$S$2:$S$160,$AP372+4),""),"")</f>
        <v/>
      </c>
      <c r="R372" t="str">
        <f>IFERROR(IF($AQ372&gt;5,INDEX(Festivals!$S$2:$S$160,$AP372+5),""),"")</f>
        <v/>
      </c>
      <c r="S372" t="str">
        <f>IFERROR(IF($AQ372&gt;6,INDEX(Festivals!$S$2:$S$160,$AP372+6),""),"")</f>
        <v/>
      </c>
      <c r="T372">
        <f>INDEX(GCalXMLT[dcaturmasya1],$D372)</f>
        <v>0</v>
      </c>
      <c r="U372">
        <f>INDEX(GCalXMLT[dcaturmasya2],$D372)</f>
        <v>0</v>
      </c>
      <c r="V372" t="str">
        <f>INDEX(GCalXMLT[sankrantirasi],$D372) &amp; " " &amp; INDEX(GCalXMLT[sankrantitime],$D372)</f>
        <v xml:space="preserve"> </v>
      </c>
      <c r="W372" t="str">
        <f ca="1">IFERROR(INDEX('Holidays Calc'!$K$2:$K$233,AR372),"")</f>
        <v/>
      </c>
      <c r="X372" t="str">
        <f ca="1">IF(AR372="","",IF(INDEX('Holidays Calc'!$I$2:$I$233,AR372+1)=A372,INDEX('Holidays Calc'!$K$2:$K$233,AR372+1),""))</f>
        <v/>
      </c>
      <c r="Y372" t="str">
        <f ca="1">IF(AR372="","",IF(INDEX('Holidays Calc'!$I$2:$I$233,AR372+2)=A372,INDEX('Holidays Calc'!$K$2:$K$233,AR372+2),""))</f>
        <v/>
      </c>
      <c r="Z372" t="str">
        <f ca="1">IF(AR372="","",IF(INDEX('Holidays Calc'!$I$2:$I$233,AR372+3)=A372,INDEX('Holidays Calc'!$K$2:$K$2333,AR372+3),""))</f>
        <v/>
      </c>
      <c r="AA372" t="str">
        <f>IF(I372="Last day of Bhisma Pancaka","",IF(G372="*",-0.7,IF(ISBLANK(INDEX(GCalXMLT[dclass1],$D372)),"",INDEX(GCalXMLT[dclass1],$D372))))</f>
        <v/>
      </c>
      <c r="AB372" t="str">
        <f>IF(J372="First day of Bhisma Pancaka","",IF(AND(G372="*",NOT(ISERROR(SEARCH("ekadasi",J372)))),-0.7,IF(ISBLANK(INDEX(GCalXMLT[dclass2],$D372)),"",INDEX(GCalXMLT[dclass2],$D372))))</f>
        <v/>
      </c>
      <c r="AC372" t="str">
        <f>IF(I372="Nandotsava",-1,IF(ISBLANK(INDEX(GCalXMLT[dclass3],$D372)),"",INDEX(GCalXMLT[dclass3],$D372)))</f>
        <v/>
      </c>
      <c r="AD372" t="str">
        <f>IF(I372="Nandotsava",IF(ISBLANK(INDEX(GCalXMLT[dclass3],$D372)),"",INDEX(GCalXMLT[dclass3],$D372)),IF(ISBLANK(INDEX(GCalXMLT[dclass4],$D372)),"",INDEX(GCalXMLT[dclass4],$D372)))</f>
        <v/>
      </c>
      <c r="AE372" t="str">
        <f>IFERROR(INDEX(Festivals!$V$2:$V$160,AP372),"")</f>
        <v/>
      </c>
      <c r="AF372" t="str">
        <f>IFERROR(IF($AQ372&gt;1,INDEX(Festivals!$V$2:$V$160,$AP372+1),""),"")</f>
        <v/>
      </c>
      <c r="AG372" t="str">
        <f>IFERROR(IF($AQ372&gt;2,INDEX(Festivals!$V$2:$V$160,$AP372+2),""),"")</f>
        <v/>
      </c>
      <c r="AH372" t="str">
        <f>IFERROR(IF($AQ372&gt;3,INDEX(Festivals!$V$2:$V$160,$AP372+3),""),"")</f>
        <v/>
      </c>
      <c r="AI372" t="str">
        <f>IFERROR(IF($AQ372&gt;4,INDEX(Festivals!$V$2:$V$160,$AP372+4),""),"")</f>
        <v/>
      </c>
      <c r="AJ372" t="str">
        <f>IFERROR(IF($AQ372&gt;5,INDEX(Festivals!$V$2:$V$160,$AP372+5),""),"")</f>
        <v/>
      </c>
      <c r="AK372" t="str">
        <f>IFERROR(IF($AQ372&gt;6,INDEX(Festivals!$V$2:$V$160,$AP372+6),""),"")</f>
        <v/>
      </c>
      <c r="AL372" t="str">
        <f ca="1">IFERROR(INDEX('Holidays Calc'!$J$2:$J$233,MATCH(A372,'Holidays Calc'!$I$2:$I$233,0)),"")</f>
        <v/>
      </c>
      <c r="AM372" t="str">
        <f ca="1">IF(AR372="","",IF(INDEX('Holidays Calc'!$I$2:$I$233,AR372+1)=A372,INDEX('Holidays Calc'!$J$2:$J$233,AR372+1),""))</f>
        <v/>
      </c>
      <c r="AN372" t="str">
        <f ca="1">IF(AR372="","",IF(INDEX('Holidays Calc'!$I$2:$I$233,AR372+2)=A372,INDEX('Holidays Calc'!$J$2:$J$233,AR372+2),""))</f>
        <v/>
      </c>
      <c r="AO372" t="str">
        <f ca="1">IF(AR372="","",IF(INDEX('Holidays Calc'!$I$2:$I$233,AR372+3)=A372,INDEX('Holidays Calc'!$J$2:$J$233,AR372+3),""))</f>
        <v/>
      </c>
      <c r="AP372" t="str">
        <f>IFERROR(IF($E372=E371,"",MATCH($E372,Festivals!$H$2:$H$160,0)),"")</f>
        <v/>
      </c>
      <c r="AQ372" t="str">
        <f>IF(AP372="","",COUNTIF(Festivals!$H$2:$H$160,$E372))</f>
        <v/>
      </c>
      <c r="AR372" t="str">
        <f ca="1">IFERROR(MATCH(A372,'Holidays Calc'!$I$2:$I$233,0),"")</f>
        <v/>
      </c>
      <c r="AS372" t="str">
        <f t="shared" si="39"/>
        <v/>
      </c>
      <c r="AT372" t="str">
        <f t="shared" si="38"/>
        <v/>
      </c>
      <c r="AU372" t="str">
        <f t="shared" ca="1" si="40"/>
        <v/>
      </c>
      <c r="AV372" t="str">
        <f t="shared" ca="1" si="41"/>
        <v/>
      </c>
    </row>
    <row r="373" spans="1:48" x14ac:dyDescent="0.25">
      <c r="A373" s="265">
        <f t="shared" si="37"/>
        <v>43799</v>
      </c>
      <c r="B373" s="265" t="str">
        <f t="shared" si="42"/>
        <v>30 Nov 2019</v>
      </c>
      <c r="C373" s="267">
        <f t="shared" si="43"/>
        <v>48</v>
      </c>
      <c r="D373">
        <f>MATCH(A373,GCalXMLT[daydate],0)</f>
        <v>372</v>
      </c>
      <c r="E373">
        <f>VALUE("1" &amp; Masacod(INDEX(GCalXMLT[gymasa],D373)) &amp; PaksaCod(INDEX(GCalXMLT[mpaksaid],D373)) &amp; TithiCod(INDEX(GCalXMLT[stithiname],D373)))</f>
        <v>109104</v>
      </c>
      <c r="F373" t="str">
        <f ca="1">INDEX(Parameters!$K$2:$K$16,MATCH(AV373,Parameters!$L$2:$L$16,0))</f>
        <v/>
      </c>
      <c r="G373">
        <f>INDEX(GCalXMLT[fastmark],$D373)</f>
        <v>0</v>
      </c>
      <c r="H373" t="str">
        <f ca="1">INDEX(Parameters!$J$2:$J$16,MATCH(AV373,Parameters!$L$2:$L$16,0))</f>
        <v/>
      </c>
      <c r="I373">
        <f>INDEX(GCalXMLT[dfestival1],$D373)</f>
        <v>0</v>
      </c>
      <c r="J373">
        <f>IF(INDEX(GCalXMLT[dfestival2],$D373)="(Fast today)",INDEX(Festivals!$R$2:$R$180,MATCH($I373,Festivals!$R$2:$R$180,0)+1),INDEX(GCalXMLT[dfestival2],$D373))</f>
        <v>0</v>
      </c>
      <c r="K373">
        <f>IF(I373="Nandotsava","(Fast till noon)",INDEX(GCalXMLT[dfestival3],$D373))</f>
        <v>0</v>
      </c>
      <c r="L373">
        <f>IF(I373="Nandotsava", INDEX(GCalXMLT[dfestival3],$D373),INDEX(GCalXMLT[dfestival4],$D373))</f>
        <v>0</v>
      </c>
      <c r="M373" t="str">
        <f>IFERROR(INDEX(Festivals!$S$2:$S$160,AP373),"")</f>
        <v/>
      </c>
      <c r="N373" t="str">
        <f>IFERROR(IF($AQ373&gt;1,INDEX(Festivals!$S$2:$S$160,$AP373+1),""),"")</f>
        <v/>
      </c>
      <c r="O373" t="str">
        <f>IFERROR(IF($AQ373&gt;2,INDEX(Festivals!$S$2:$S$160,$AP373+2),""),"")</f>
        <v/>
      </c>
      <c r="P373" t="str">
        <f>IFERROR(IF($AQ373&gt;3,INDEX(Festivals!$S$2:$S$160,$AP373+3),""),"")</f>
        <v/>
      </c>
      <c r="Q373" t="str">
        <f>IFERROR(IF($AQ373&gt;4,INDEX(Festivals!$S$2:$S$160,$AP373+4),""),"")</f>
        <v/>
      </c>
      <c r="R373" t="str">
        <f>IFERROR(IF($AQ373&gt;5,INDEX(Festivals!$S$2:$S$160,$AP373+5),""),"")</f>
        <v/>
      </c>
      <c r="S373" t="str">
        <f>IFERROR(IF($AQ373&gt;6,INDEX(Festivals!$S$2:$S$160,$AP373+6),""),"")</f>
        <v/>
      </c>
      <c r="T373">
        <f>INDEX(GCalXMLT[dcaturmasya1],$D373)</f>
        <v>0</v>
      </c>
      <c r="U373">
        <f>INDEX(GCalXMLT[dcaturmasya2],$D373)</f>
        <v>0</v>
      </c>
      <c r="V373" t="str">
        <f>INDEX(GCalXMLT[sankrantirasi],$D373) &amp; " " &amp; INDEX(GCalXMLT[sankrantitime],$D373)</f>
        <v xml:space="preserve"> </v>
      </c>
      <c r="W373" t="str">
        <f ca="1">IFERROR(INDEX('Holidays Calc'!$K$2:$K$233,AR373),"")</f>
        <v/>
      </c>
      <c r="X373" t="str">
        <f ca="1">IF(AR373="","",IF(INDEX('Holidays Calc'!$I$2:$I$233,AR373+1)=A373,INDEX('Holidays Calc'!$K$2:$K$233,AR373+1),""))</f>
        <v/>
      </c>
      <c r="Y373" t="str">
        <f ca="1">IF(AR373="","",IF(INDEX('Holidays Calc'!$I$2:$I$233,AR373+2)=A373,INDEX('Holidays Calc'!$K$2:$K$233,AR373+2),""))</f>
        <v/>
      </c>
      <c r="Z373" t="str">
        <f ca="1">IF(AR373="","",IF(INDEX('Holidays Calc'!$I$2:$I$233,AR373+3)=A373,INDEX('Holidays Calc'!$K$2:$K$2333,AR373+3),""))</f>
        <v/>
      </c>
      <c r="AA373" t="str">
        <f>IF(I373="Last day of Bhisma Pancaka","",IF(G373="*",-0.7,IF(ISBLANK(INDEX(GCalXMLT[dclass1],$D373)),"",INDEX(GCalXMLT[dclass1],$D373))))</f>
        <v/>
      </c>
      <c r="AB373" t="str">
        <f>IF(J373="First day of Bhisma Pancaka","",IF(AND(G373="*",NOT(ISERROR(SEARCH("ekadasi",J373)))),-0.7,IF(ISBLANK(INDEX(GCalXMLT[dclass2],$D373)),"",INDEX(GCalXMLT[dclass2],$D373))))</f>
        <v/>
      </c>
      <c r="AC373" t="str">
        <f>IF(I373="Nandotsava",-1,IF(ISBLANK(INDEX(GCalXMLT[dclass3],$D373)),"",INDEX(GCalXMLT[dclass3],$D373)))</f>
        <v/>
      </c>
      <c r="AD373" t="str">
        <f>IF(I373="Nandotsava",IF(ISBLANK(INDEX(GCalXMLT[dclass3],$D373)),"",INDEX(GCalXMLT[dclass3],$D373)),IF(ISBLANK(INDEX(GCalXMLT[dclass4],$D373)),"",INDEX(GCalXMLT[dclass4],$D373)))</f>
        <v/>
      </c>
      <c r="AE373" t="str">
        <f>IFERROR(INDEX(Festivals!$V$2:$V$160,AP373),"")</f>
        <v/>
      </c>
      <c r="AF373" t="str">
        <f>IFERROR(IF($AQ373&gt;1,INDEX(Festivals!$V$2:$V$160,$AP373+1),""),"")</f>
        <v/>
      </c>
      <c r="AG373" t="str">
        <f>IFERROR(IF($AQ373&gt;2,INDEX(Festivals!$V$2:$V$160,$AP373+2),""),"")</f>
        <v/>
      </c>
      <c r="AH373" t="str">
        <f>IFERROR(IF($AQ373&gt;3,INDEX(Festivals!$V$2:$V$160,$AP373+3),""),"")</f>
        <v/>
      </c>
      <c r="AI373" t="str">
        <f>IFERROR(IF($AQ373&gt;4,INDEX(Festivals!$V$2:$V$160,$AP373+4),""),"")</f>
        <v/>
      </c>
      <c r="AJ373" t="str">
        <f>IFERROR(IF($AQ373&gt;5,INDEX(Festivals!$V$2:$V$160,$AP373+5),""),"")</f>
        <v/>
      </c>
      <c r="AK373" t="str">
        <f>IFERROR(IF($AQ373&gt;6,INDEX(Festivals!$V$2:$V$160,$AP373+6),""),"")</f>
        <v/>
      </c>
      <c r="AL373" t="str">
        <f ca="1">IFERROR(INDEX('Holidays Calc'!$J$2:$J$233,MATCH(A373,'Holidays Calc'!$I$2:$I$233,0)),"")</f>
        <v/>
      </c>
      <c r="AM373" t="str">
        <f ca="1">IF(AR373="","",IF(INDEX('Holidays Calc'!$I$2:$I$233,AR373+1)=A373,INDEX('Holidays Calc'!$J$2:$J$233,AR373+1),""))</f>
        <v/>
      </c>
      <c r="AN373" t="str">
        <f ca="1">IF(AR373="","",IF(INDEX('Holidays Calc'!$I$2:$I$233,AR373+2)=A373,INDEX('Holidays Calc'!$J$2:$J$233,AR373+2),""))</f>
        <v/>
      </c>
      <c r="AO373" t="str">
        <f ca="1">IF(AR373="","",IF(INDEX('Holidays Calc'!$I$2:$I$233,AR373+3)=A373,INDEX('Holidays Calc'!$J$2:$J$233,AR373+3),""))</f>
        <v/>
      </c>
      <c r="AP373" t="str">
        <f>IFERROR(IF($E373=E372,"",MATCH($E373,Festivals!$H$2:$H$160,0)),"")</f>
        <v/>
      </c>
      <c r="AQ373" t="str">
        <f>IF(AP373="","",COUNTIF(Festivals!$H$2:$H$160,$E373))</f>
        <v/>
      </c>
      <c r="AR373" t="str">
        <f ca="1">IFERROR(MATCH(A373,'Holidays Calc'!$I$2:$I$233,0),"")</f>
        <v/>
      </c>
      <c r="AS373" t="str">
        <f t="shared" si="39"/>
        <v/>
      </c>
      <c r="AT373" t="str">
        <f t="shared" si="38"/>
        <v/>
      </c>
      <c r="AU373" t="str">
        <f t="shared" ca="1" si="40"/>
        <v/>
      </c>
      <c r="AV373" t="str">
        <f t="shared" ca="1" si="41"/>
        <v/>
      </c>
    </row>
    <row r="374" spans="1:48" x14ac:dyDescent="0.25">
      <c r="A374" s="265">
        <f t="shared" si="37"/>
        <v>43800</v>
      </c>
      <c r="B374" s="265" t="str">
        <f t="shared" si="42"/>
        <v>1 Dec 2019</v>
      </c>
      <c r="C374" s="267">
        <f t="shared" si="43"/>
        <v>48</v>
      </c>
      <c r="D374">
        <f>MATCH(A374,GCalXMLT[daydate],0)</f>
        <v>373</v>
      </c>
      <c r="E374">
        <f>VALUE("1" &amp; Masacod(INDEX(GCalXMLT[gymasa],D374)) &amp; PaksaCod(INDEX(GCalXMLT[mpaksaid],D374)) &amp; TithiCod(INDEX(GCalXMLT[stithiname],D374)))</f>
        <v>109105</v>
      </c>
      <c r="F374" t="str">
        <f ca="1">INDEX(Parameters!$K$2:$K$16,MATCH(AV374,Parameters!$L$2:$L$16,0))</f>
        <v/>
      </c>
      <c r="G374">
        <f>INDEX(GCalXMLT[fastmark],$D374)</f>
        <v>0</v>
      </c>
      <c r="H374" t="str">
        <f ca="1">INDEX(Parameters!$J$2:$J$16,MATCH(AV374,Parameters!$L$2:$L$16,0))</f>
        <v/>
      </c>
      <c r="I374">
        <f>INDEX(GCalXMLT[dfestival1],$D374)</f>
        <v>0</v>
      </c>
      <c r="J374">
        <f>IF(INDEX(GCalXMLT[dfestival2],$D374)="(Fast today)",INDEX(Festivals!$R$2:$R$180,MATCH($I374,Festivals!$R$2:$R$180,0)+1),INDEX(GCalXMLT[dfestival2],$D374))</f>
        <v>0</v>
      </c>
      <c r="K374">
        <f>IF(I374="Nandotsava","(Fast till noon)",INDEX(GCalXMLT[dfestival3],$D374))</f>
        <v>0</v>
      </c>
      <c r="L374">
        <f>IF(I374="Nandotsava", INDEX(GCalXMLT[dfestival3],$D374),INDEX(GCalXMLT[dfestival4],$D374))</f>
        <v>0</v>
      </c>
      <c r="M374" t="str">
        <f>IFERROR(INDEX(Festivals!$S$2:$S$160,AP374),"")</f>
        <v/>
      </c>
      <c r="N374" t="str">
        <f>IFERROR(IF($AQ374&gt;1,INDEX(Festivals!$S$2:$S$160,$AP374+1),""),"")</f>
        <v/>
      </c>
      <c r="O374" t="str">
        <f>IFERROR(IF($AQ374&gt;2,INDEX(Festivals!$S$2:$S$160,$AP374+2),""),"")</f>
        <v/>
      </c>
      <c r="P374" t="str">
        <f>IFERROR(IF($AQ374&gt;3,INDEX(Festivals!$S$2:$S$160,$AP374+3),""),"")</f>
        <v/>
      </c>
      <c r="Q374" t="str">
        <f>IFERROR(IF($AQ374&gt;4,INDEX(Festivals!$S$2:$S$160,$AP374+4),""),"")</f>
        <v/>
      </c>
      <c r="R374" t="str">
        <f>IFERROR(IF($AQ374&gt;5,INDEX(Festivals!$S$2:$S$160,$AP374+5),""),"")</f>
        <v/>
      </c>
      <c r="S374" t="str">
        <f>IFERROR(IF($AQ374&gt;6,INDEX(Festivals!$S$2:$S$160,$AP374+6),""),"")</f>
        <v/>
      </c>
      <c r="T374">
        <f>INDEX(GCalXMLT[dcaturmasya1],$D374)</f>
        <v>0</v>
      </c>
      <c r="U374">
        <f>INDEX(GCalXMLT[dcaturmasya2],$D374)</f>
        <v>0</v>
      </c>
      <c r="V374" t="str">
        <f>INDEX(GCalXMLT[sankrantirasi],$D374) &amp; " " &amp; INDEX(GCalXMLT[sankrantitime],$D374)</f>
        <v xml:space="preserve"> </v>
      </c>
      <c r="W374" t="str">
        <f ca="1">IFERROR(INDEX('Holidays Calc'!$K$2:$K$233,AR374),"")</f>
        <v/>
      </c>
      <c r="X374" t="str">
        <f ca="1">IF(AR374="","",IF(INDEX('Holidays Calc'!$I$2:$I$233,AR374+1)=A374,INDEX('Holidays Calc'!$K$2:$K$233,AR374+1),""))</f>
        <v/>
      </c>
      <c r="Y374" t="str">
        <f ca="1">IF(AR374="","",IF(INDEX('Holidays Calc'!$I$2:$I$233,AR374+2)=A374,INDEX('Holidays Calc'!$K$2:$K$233,AR374+2),""))</f>
        <v/>
      </c>
      <c r="Z374" t="str">
        <f ca="1">IF(AR374="","",IF(INDEX('Holidays Calc'!$I$2:$I$233,AR374+3)=A374,INDEX('Holidays Calc'!$K$2:$K$2333,AR374+3),""))</f>
        <v/>
      </c>
      <c r="AA374" t="str">
        <f>IF(I374="Last day of Bhisma Pancaka","",IF(G374="*",-0.7,IF(ISBLANK(INDEX(GCalXMLT[dclass1],$D374)),"",INDEX(GCalXMLT[dclass1],$D374))))</f>
        <v/>
      </c>
      <c r="AB374" t="str">
        <f>IF(J374="First day of Bhisma Pancaka","",IF(AND(G374="*",NOT(ISERROR(SEARCH("ekadasi",J374)))),-0.7,IF(ISBLANK(INDEX(GCalXMLT[dclass2],$D374)),"",INDEX(GCalXMLT[dclass2],$D374))))</f>
        <v/>
      </c>
      <c r="AC374" t="str">
        <f>IF(I374="Nandotsava",-1,IF(ISBLANK(INDEX(GCalXMLT[dclass3],$D374)),"",INDEX(GCalXMLT[dclass3],$D374)))</f>
        <v/>
      </c>
      <c r="AD374" t="str">
        <f>IF(I374="Nandotsava",IF(ISBLANK(INDEX(GCalXMLT[dclass3],$D374)),"",INDEX(GCalXMLT[dclass3],$D374)),IF(ISBLANK(INDEX(GCalXMLT[dclass4],$D374)),"",INDEX(GCalXMLT[dclass4],$D374)))</f>
        <v/>
      </c>
      <c r="AE374" t="str">
        <f>IFERROR(INDEX(Festivals!$V$2:$V$160,AP374),"")</f>
        <v/>
      </c>
      <c r="AF374" t="str">
        <f>IFERROR(IF($AQ374&gt;1,INDEX(Festivals!$V$2:$V$160,$AP374+1),""),"")</f>
        <v/>
      </c>
      <c r="AG374" t="str">
        <f>IFERROR(IF($AQ374&gt;2,INDEX(Festivals!$V$2:$V$160,$AP374+2),""),"")</f>
        <v/>
      </c>
      <c r="AH374" t="str">
        <f>IFERROR(IF($AQ374&gt;3,INDEX(Festivals!$V$2:$V$160,$AP374+3),""),"")</f>
        <v/>
      </c>
      <c r="AI374" t="str">
        <f>IFERROR(IF($AQ374&gt;4,INDEX(Festivals!$V$2:$V$160,$AP374+4),""),"")</f>
        <v/>
      </c>
      <c r="AJ374" t="str">
        <f>IFERROR(IF($AQ374&gt;5,INDEX(Festivals!$V$2:$V$160,$AP374+5),""),"")</f>
        <v/>
      </c>
      <c r="AK374" t="str">
        <f>IFERROR(IF($AQ374&gt;6,INDEX(Festivals!$V$2:$V$160,$AP374+6),""),"")</f>
        <v/>
      </c>
      <c r="AL374" t="str">
        <f ca="1">IFERROR(INDEX('Holidays Calc'!$J$2:$J$233,MATCH(A374,'Holidays Calc'!$I$2:$I$233,0)),"")</f>
        <v/>
      </c>
      <c r="AM374" t="str">
        <f ca="1">IF(AR374="","",IF(INDEX('Holidays Calc'!$I$2:$I$233,AR374+1)=A374,INDEX('Holidays Calc'!$J$2:$J$233,AR374+1),""))</f>
        <v/>
      </c>
      <c r="AN374" t="str">
        <f ca="1">IF(AR374="","",IF(INDEX('Holidays Calc'!$I$2:$I$233,AR374+2)=A374,INDEX('Holidays Calc'!$J$2:$J$233,AR374+2),""))</f>
        <v/>
      </c>
      <c r="AO374" t="str">
        <f ca="1">IF(AR374="","",IF(INDEX('Holidays Calc'!$I$2:$I$233,AR374+3)=A374,INDEX('Holidays Calc'!$J$2:$J$233,AR374+3),""))</f>
        <v/>
      </c>
      <c r="AP374" t="str">
        <f>IFERROR(IF($E374=E373,"",MATCH($E374,Festivals!$H$2:$H$160,0)),"")</f>
        <v/>
      </c>
      <c r="AQ374" t="str">
        <f>IF(AP374="","",COUNTIF(Festivals!$H$2:$H$160,$E374))</f>
        <v/>
      </c>
      <c r="AR374" t="str">
        <f ca="1">IFERROR(MATCH(A374,'Holidays Calc'!$I$2:$I$233,0),"")</f>
        <v/>
      </c>
      <c r="AS374" t="str">
        <f t="shared" si="39"/>
        <v/>
      </c>
      <c r="AT374" t="str">
        <f t="shared" si="38"/>
        <v/>
      </c>
      <c r="AU374" t="str">
        <f t="shared" ca="1" si="40"/>
        <v/>
      </c>
      <c r="AV374" t="str">
        <f t="shared" ca="1" si="41"/>
        <v/>
      </c>
    </row>
    <row r="375" spans="1:48" x14ac:dyDescent="0.25">
      <c r="A375" s="265">
        <f t="shared" si="37"/>
        <v>43801</v>
      </c>
      <c r="B375" s="265" t="str">
        <f t="shared" si="42"/>
        <v>2 Dec 2019</v>
      </c>
      <c r="C375" s="267">
        <f t="shared" si="43"/>
        <v>49</v>
      </c>
      <c r="D375">
        <f>MATCH(A375,GCalXMLT[daydate],0)</f>
        <v>374</v>
      </c>
      <c r="E375">
        <f>VALUE("1" &amp; Masacod(INDEX(GCalXMLT[gymasa],D375)) &amp; PaksaCod(INDEX(GCalXMLT[mpaksaid],D375)) &amp; TithiCod(INDEX(GCalXMLT[stithiname],D375)))</f>
        <v>109106</v>
      </c>
      <c r="F375" t="str">
        <f ca="1">INDEX(Parameters!$K$2:$K$16,MATCH(AV375,Parameters!$L$2:$L$16,0))</f>
        <v>C</v>
      </c>
      <c r="G375">
        <f>INDEX(GCalXMLT[fastmark],$D375)</f>
        <v>0</v>
      </c>
      <c r="H375" t="str">
        <f ca="1">INDEX(Parameters!$J$2:$J$16,MATCH(AV375,Parameters!$L$2:$L$16,0))</f>
        <v/>
      </c>
      <c r="I375">
        <f>INDEX(GCalXMLT[dfestival1],$D375)</f>
        <v>0</v>
      </c>
      <c r="J375">
        <f>IF(INDEX(GCalXMLT[dfestival2],$D375)="(Fast today)",INDEX(Festivals!$R$2:$R$180,MATCH($I375,Festivals!$R$2:$R$180,0)+1),INDEX(GCalXMLT[dfestival2],$D375))</f>
        <v>0</v>
      </c>
      <c r="K375">
        <f>IF(I375="Nandotsava","(Fast till noon)",INDEX(GCalXMLT[dfestival3],$D375))</f>
        <v>0</v>
      </c>
      <c r="L375">
        <f>IF(I375="Nandotsava", INDEX(GCalXMLT[dfestival3],$D375),INDEX(GCalXMLT[dfestival4],$D375))</f>
        <v>0</v>
      </c>
      <c r="M375" t="str">
        <f>IFERROR(INDEX(Festivals!$S$2:$S$160,AP375),"")</f>
        <v>Odana sasthi</v>
      </c>
      <c r="N375" t="str">
        <f>IFERROR(IF($AQ375&gt;1,INDEX(Festivals!$S$2:$S$160,$AP375+1),""),"")</f>
        <v/>
      </c>
      <c r="O375" t="str">
        <f>IFERROR(IF($AQ375&gt;2,INDEX(Festivals!$S$2:$S$160,$AP375+2),""),"")</f>
        <v/>
      </c>
      <c r="P375" t="str">
        <f>IFERROR(IF($AQ375&gt;3,INDEX(Festivals!$S$2:$S$160,$AP375+3),""),"")</f>
        <v/>
      </c>
      <c r="Q375" t="str">
        <f>IFERROR(IF($AQ375&gt;4,INDEX(Festivals!$S$2:$S$160,$AP375+4),""),"")</f>
        <v/>
      </c>
      <c r="R375" t="str">
        <f>IFERROR(IF($AQ375&gt;5,INDEX(Festivals!$S$2:$S$160,$AP375+5),""),"")</f>
        <v/>
      </c>
      <c r="S375" t="str">
        <f>IFERROR(IF($AQ375&gt;6,INDEX(Festivals!$S$2:$S$160,$AP375+6),""),"")</f>
        <v/>
      </c>
      <c r="T375">
        <f>INDEX(GCalXMLT[dcaturmasya1],$D375)</f>
        <v>0</v>
      </c>
      <c r="U375">
        <f>INDEX(GCalXMLT[dcaturmasya2],$D375)</f>
        <v>0</v>
      </c>
      <c r="V375" t="str">
        <f>INDEX(GCalXMLT[sankrantirasi],$D375) &amp; " " &amp; INDEX(GCalXMLT[sankrantitime],$D375)</f>
        <v xml:space="preserve"> </v>
      </c>
      <c r="W375" t="str">
        <f ca="1">IFERROR(INDEX('Holidays Calc'!$K$2:$K$233,AR375),"")</f>
        <v/>
      </c>
      <c r="X375" t="str">
        <f ca="1">IF(AR375="","",IF(INDEX('Holidays Calc'!$I$2:$I$233,AR375+1)=A375,INDEX('Holidays Calc'!$K$2:$K$233,AR375+1),""))</f>
        <v/>
      </c>
      <c r="Y375" t="str">
        <f ca="1">IF(AR375="","",IF(INDEX('Holidays Calc'!$I$2:$I$233,AR375+2)=A375,INDEX('Holidays Calc'!$K$2:$K$233,AR375+2),""))</f>
        <v/>
      </c>
      <c r="Z375" t="str">
        <f ca="1">IF(AR375="","",IF(INDEX('Holidays Calc'!$I$2:$I$233,AR375+3)=A375,INDEX('Holidays Calc'!$K$2:$K$2333,AR375+3),""))</f>
        <v/>
      </c>
      <c r="AA375" t="str">
        <f>IF(I375="Last day of Bhisma Pancaka","",IF(G375="*",-0.7,IF(ISBLANK(INDEX(GCalXMLT[dclass1],$D375)),"",INDEX(GCalXMLT[dclass1],$D375))))</f>
        <v/>
      </c>
      <c r="AB375" t="str">
        <f>IF(J375="First day of Bhisma Pancaka","",IF(AND(G375="*",NOT(ISERROR(SEARCH("ekadasi",J375)))),-0.7,IF(ISBLANK(INDEX(GCalXMLT[dclass2],$D375)),"",INDEX(GCalXMLT[dclass2],$D375))))</f>
        <v/>
      </c>
      <c r="AC375" t="str">
        <f>IF(I375="Nandotsava",-1,IF(ISBLANK(INDEX(GCalXMLT[dclass3],$D375)),"",INDEX(GCalXMLT[dclass3],$D375)))</f>
        <v/>
      </c>
      <c r="AD375" t="str">
        <f>IF(I375="Nandotsava",IF(ISBLANK(INDEX(GCalXMLT[dclass3],$D375)),"",INDEX(GCalXMLT[dclass3],$D375)),IF(ISBLANK(INDEX(GCalXMLT[dclass4],$D375)),"",INDEX(GCalXMLT[dclass4],$D375)))</f>
        <v/>
      </c>
      <c r="AE375">
        <f>IFERROR(INDEX(Festivals!$V$2:$V$160,AP375),"")</f>
        <v>1</v>
      </c>
      <c r="AF375" t="str">
        <f>IFERROR(IF($AQ375&gt;1,INDEX(Festivals!$V$2:$V$160,$AP375+1),""),"")</f>
        <v/>
      </c>
      <c r="AG375" t="str">
        <f>IFERROR(IF($AQ375&gt;2,INDEX(Festivals!$V$2:$V$160,$AP375+2),""),"")</f>
        <v/>
      </c>
      <c r="AH375" t="str">
        <f>IFERROR(IF($AQ375&gt;3,INDEX(Festivals!$V$2:$V$160,$AP375+3),""),"")</f>
        <v/>
      </c>
      <c r="AI375" t="str">
        <f>IFERROR(IF($AQ375&gt;4,INDEX(Festivals!$V$2:$V$160,$AP375+4),""),"")</f>
        <v/>
      </c>
      <c r="AJ375" t="str">
        <f>IFERROR(IF($AQ375&gt;5,INDEX(Festivals!$V$2:$V$160,$AP375+5),""),"")</f>
        <v/>
      </c>
      <c r="AK375" t="str">
        <f>IFERROR(IF($AQ375&gt;6,INDEX(Festivals!$V$2:$V$160,$AP375+6),""),"")</f>
        <v/>
      </c>
      <c r="AL375" t="str">
        <f ca="1">IFERROR(INDEX('Holidays Calc'!$J$2:$J$233,MATCH(A375,'Holidays Calc'!$I$2:$I$233,0)),"")</f>
        <v/>
      </c>
      <c r="AM375" t="str">
        <f ca="1">IF(AR375="","",IF(INDEX('Holidays Calc'!$I$2:$I$233,AR375+1)=A375,INDEX('Holidays Calc'!$J$2:$J$233,AR375+1),""))</f>
        <v/>
      </c>
      <c r="AN375" t="str">
        <f ca="1">IF(AR375="","",IF(INDEX('Holidays Calc'!$I$2:$I$233,AR375+2)=A375,INDEX('Holidays Calc'!$J$2:$J$233,AR375+2),""))</f>
        <v/>
      </c>
      <c r="AO375" t="str">
        <f ca="1">IF(AR375="","",IF(INDEX('Holidays Calc'!$I$2:$I$233,AR375+3)=A375,INDEX('Holidays Calc'!$J$2:$J$233,AR375+3),""))</f>
        <v/>
      </c>
      <c r="AP375">
        <f>IFERROR(IF($E375=E374,"",MATCH($E375,Festivals!$H$2:$H$160,0)),"")</f>
        <v>112</v>
      </c>
      <c r="AQ375">
        <f>IF(AP375="","",COUNTIF(Festivals!$H$2:$H$160,$E375))</f>
        <v>1</v>
      </c>
      <c r="AR375" t="str">
        <f ca="1">IFERROR(MATCH(A375,'Holidays Calc'!$I$2:$I$233,0),"")</f>
        <v/>
      </c>
      <c r="AS375">
        <f t="shared" si="39"/>
        <v>1</v>
      </c>
      <c r="AT375">
        <f t="shared" si="38"/>
        <v>1</v>
      </c>
      <c r="AU375" t="str">
        <f t="shared" ca="1" si="40"/>
        <v/>
      </c>
      <c r="AV375">
        <f t="shared" ca="1" si="41"/>
        <v>1</v>
      </c>
    </row>
    <row r="376" spans="1:48" x14ac:dyDescent="0.25">
      <c r="A376" s="265">
        <f t="shared" si="37"/>
        <v>43802</v>
      </c>
      <c r="B376" s="265" t="str">
        <f t="shared" si="42"/>
        <v>3 Dec 2019</v>
      </c>
      <c r="C376" s="267">
        <f t="shared" si="43"/>
        <v>49</v>
      </c>
      <c r="D376">
        <f>MATCH(A376,GCalXMLT[daydate],0)</f>
        <v>375</v>
      </c>
      <c r="E376">
        <f>VALUE("1" &amp; Masacod(INDEX(GCalXMLT[gymasa],D376)) &amp; PaksaCod(INDEX(GCalXMLT[mpaksaid],D376)) &amp; TithiCod(INDEX(GCalXMLT[stithiname],D376)))</f>
        <v>109107</v>
      </c>
      <c r="F376" t="str">
        <f ca="1">INDEX(Parameters!$K$2:$K$16,MATCH(AV376,Parameters!$L$2:$L$16,0))</f>
        <v/>
      </c>
      <c r="G376">
        <f>INDEX(GCalXMLT[fastmark],$D376)</f>
        <v>0</v>
      </c>
      <c r="H376" t="str">
        <f ca="1">INDEX(Parameters!$J$2:$J$16,MATCH(AV376,Parameters!$L$2:$L$16,0))</f>
        <v/>
      </c>
      <c r="I376">
        <f>INDEX(GCalXMLT[dfestival1],$D376)</f>
        <v>0</v>
      </c>
      <c r="J376">
        <f>IF(INDEX(GCalXMLT[dfestival2],$D376)="(Fast today)",INDEX(Festivals!$R$2:$R$180,MATCH($I376,Festivals!$R$2:$R$180,0)+1),INDEX(GCalXMLT[dfestival2],$D376))</f>
        <v>0</v>
      </c>
      <c r="K376">
        <f>IF(I376="Nandotsava","(Fast till noon)",INDEX(GCalXMLT[dfestival3],$D376))</f>
        <v>0</v>
      </c>
      <c r="L376">
        <f>IF(I376="Nandotsava", INDEX(GCalXMLT[dfestival3],$D376),INDEX(GCalXMLT[dfestival4],$D376))</f>
        <v>0</v>
      </c>
      <c r="M376" t="str">
        <f>IFERROR(INDEX(Festivals!$S$2:$S$160,AP376),"")</f>
        <v/>
      </c>
      <c r="N376" t="str">
        <f>IFERROR(IF($AQ376&gt;1,INDEX(Festivals!$S$2:$S$160,$AP376+1),""),"")</f>
        <v/>
      </c>
      <c r="O376" t="str">
        <f>IFERROR(IF($AQ376&gt;2,INDEX(Festivals!$S$2:$S$160,$AP376+2),""),"")</f>
        <v/>
      </c>
      <c r="P376" t="str">
        <f>IFERROR(IF($AQ376&gt;3,INDEX(Festivals!$S$2:$S$160,$AP376+3),""),"")</f>
        <v/>
      </c>
      <c r="Q376" t="str">
        <f>IFERROR(IF($AQ376&gt;4,INDEX(Festivals!$S$2:$S$160,$AP376+4),""),"")</f>
        <v/>
      </c>
      <c r="R376" t="str">
        <f>IFERROR(IF($AQ376&gt;5,INDEX(Festivals!$S$2:$S$160,$AP376+5),""),"")</f>
        <v/>
      </c>
      <c r="S376" t="str">
        <f>IFERROR(IF($AQ376&gt;6,INDEX(Festivals!$S$2:$S$160,$AP376+6),""),"")</f>
        <v/>
      </c>
      <c r="T376">
        <f>INDEX(GCalXMLT[dcaturmasya1],$D376)</f>
        <v>0</v>
      </c>
      <c r="U376">
        <f>INDEX(GCalXMLT[dcaturmasya2],$D376)</f>
        <v>0</v>
      </c>
      <c r="V376" t="str">
        <f>INDEX(GCalXMLT[sankrantirasi],$D376) &amp; " " &amp; INDEX(GCalXMLT[sankrantitime],$D376)</f>
        <v xml:space="preserve"> </v>
      </c>
      <c r="W376" t="str">
        <f ca="1">IFERROR(INDEX('Holidays Calc'!$K$2:$K$233,AR376),"")</f>
        <v/>
      </c>
      <c r="X376" t="str">
        <f ca="1">IF(AR376="","",IF(INDEX('Holidays Calc'!$I$2:$I$233,AR376+1)=A376,INDEX('Holidays Calc'!$K$2:$K$233,AR376+1),""))</f>
        <v/>
      </c>
      <c r="Y376" t="str">
        <f ca="1">IF(AR376="","",IF(INDEX('Holidays Calc'!$I$2:$I$233,AR376+2)=A376,INDEX('Holidays Calc'!$K$2:$K$233,AR376+2),""))</f>
        <v/>
      </c>
      <c r="Z376" t="str">
        <f ca="1">IF(AR376="","",IF(INDEX('Holidays Calc'!$I$2:$I$233,AR376+3)=A376,INDEX('Holidays Calc'!$K$2:$K$2333,AR376+3),""))</f>
        <v/>
      </c>
      <c r="AA376" t="str">
        <f>IF(I376="Last day of Bhisma Pancaka","",IF(G376="*",-0.7,IF(ISBLANK(INDEX(GCalXMLT[dclass1],$D376)),"",INDEX(GCalXMLT[dclass1],$D376))))</f>
        <v/>
      </c>
      <c r="AB376" t="str">
        <f>IF(J376="First day of Bhisma Pancaka","",IF(AND(G376="*",NOT(ISERROR(SEARCH("ekadasi",J376)))),-0.7,IF(ISBLANK(INDEX(GCalXMLT[dclass2],$D376)),"",INDEX(GCalXMLT[dclass2],$D376))))</f>
        <v/>
      </c>
      <c r="AC376" t="str">
        <f>IF(I376="Nandotsava",-1,IF(ISBLANK(INDEX(GCalXMLT[dclass3],$D376)),"",INDEX(GCalXMLT[dclass3],$D376)))</f>
        <v/>
      </c>
      <c r="AD376" t="str">
        <f>IF(I376="Nandotsava",IF(ISBLANK(INDEX(GCalXMLT[dclass3],$D376)),"",INDEX(GCalXMLT[dclass3],$D376)),IF(ISBLANK(INDEX(GCalXMLT[dclass4],$D376)),"",INDEX(GCalXMLT[dclass4],$D376)))</f>
        <v/>
      </c>
      <c r="AE376" t="str">
        <f>IFERROR(INDEX(Festivals!$V$2:$V$160,AP376),"")</f>
        <v/>
      </c>
      <c r="AF376" t="str">
        <f>IFERROR(IF($AQ376&gt;1,INDEX(Festivals!$V$2:$V$160,$AP376+1),""),"")</f>
        <v/>
      </c>
      <c r="AG376" t="str">
        <f>IFERROR(IF($AQ376&gt;2,INDEX(Festivals!$V$2:$V$160,$AP376+2),""),"")</f>
        <v/>
      </c>
      <c r="AH376" t="str">
        <f>IFERROR(IF($AQ376&gt;3,INDEX(Festivals!$V$2:$V$160,$AP376+3),""),"")</f>
        <v/>
      </c>
      <c r="AI376" t="str">
        <f>IFERROR(IF($AQ376&gt;4,INDEX(Festivals!$V$2:$V$160,$AP376+4),""),"")</f>
        <v/>
      </c>
      <c r="AJ376" t="str">
        <f>IFERROR(IF($AQ376&gt;5,INDEX(Festivals!$V$2:$V$160,$AP376+5),""),"")</f>
        <v/>
      </c>
      <c r="AK376" t="str">
        <f>IFERROR(IF($AQ376&gt;6,INDEX(Festivals!$V$2:$V$160,$AP376+6),""),"")</f>
        <v/>
      </c>
      <c r="AL376" t="str">
        <f ca="1">IFERROR(INDEX('Holidays Calc'!$J$2:$J$233,MATCH(A376,'Holidays Calc'!$I$2:$I$233,0)),"")</f>
        <v/>
      </c>
      <c r="AM376" t="str">
        <f ca="1">IF(AR376="","",IF(INDEX('Holidays Calc'!$I$2:$I$233,AR376+1)=A376,INDEX('Holidays Calc'!$J$2:$J$233,AR376+1),""))</f>
        <v/>
      </c>
      <c r="AN376" t="str">
        <f ca="1">IF(AR376="","",IF(INDEX('Holidays Calc'!$I$2:$I$233,AR376+2)=A376,INDEX('Holidays Calc'!$J$2:$J$233,AR376+2),""))</f>
        <v/>
      </c>
      <c r="AO376" t="str">
        <f ca="1">IF(AR376="","",IF(INDEX('Holidays Calc'!$I$2:$I$233,AR376+3)=A376,INDEX('Holidays Calc'!$J$2:$J$233,AR376+3),""))</f>
        <v/>
      </c>
      <c r="AP376" t="str">
        <f>IFERROR(IF($E376=E375,"",MATCH($E376,Festivals!$H$2:$H$160,0)),"")</f>
        <v/>
      </c>
      <c r="AQ376" t="str">
        <f>IF(AP376="","",COUNTIF(Festivals!$H$2:$H$160,$E376))</f>
        <v/>
      </c>
      <c r="AR376" t="str">
        <f ca="1">IFERROR(MATCH(A376,'Holidays Calc'!$I$2:$I$233,0),"")</f>
        <v/>
      </c>
      <c r="AS376" t="str">
        <f t="shared" si="39"/>
        <v/>
      </c>
      <c r="AT376" t="str">
        <f t="shared" si="38"/>
        <v/>
      </c>
      <c r="AU376" t="str">
        <f t="shared" ca="1" si="40"/>
        <v/>
      </c>
      <c r="AV376" t="str">
        <f t="shared" ca="1" si="41"/>
        <v/>
      </c>
    </row>
    <row r="377" spans="1:48" x14ac:dyDescent="0.25">
      <c r="A377" s="265">
        <f t="shared" si="37"/>
        <v>43803</v>
      </c>
      <c r="B377" s="265" t="str">
        <f t="shared" si="42"/>
        <v>4 Dec 2019</v>
      </c>
      <c r="C377" s="267">
        <f t="shared" si="43"/>
        <v>49</v>
      </c>
      <c r="D377">
        <f>MATCH(A377,GCalXMLT[daydate],0)</f>
        <v>376</v>
      </c>
      <c r="E377">
        <f>VALUE("1" &amp; Masacod(INDEX(GCalXMLT[gymasa],D377)) &amp; PaksaCod(INDEX(GCalXMLT[mpaksaid],D377)) &amp; TithiCod(INDEX(GCalXMLT[stithiname],D377)))</f>
        <v>109108</v>
      </c>
      <c r="F377" t="str">
        <f ca="1">INDEX(Parameters!$K$2:$K$16,MATCH(AV377,Parameters!$L$2:$L$16,0))</f>
        <v/>
      </c>
      <c r="G377">
        <f>INDEX(GCalXMLT[fastmark],$D377)</f>
        <v>0</v>
      </c>
      <c r="H377" t="str">
        <f ca="1">INDEX(Parameters!$J$2:$J$16,MATCH(AV377,Parameters!$L$2:$L$16,0))</f>
        <v/>
      </c>
      <c r="I377">
        <f>INDEX(GCalXMLT[dfestival1],$D377)</f>
        <v>0</v>
      </c>
      <c r="J377">
        <f>IF(INDEX(GCalXMLT[dfestival2],$D377)="(Fast today)",INDEX(Festivals!$R$2:$R$180,MATCH($I377,Festivals!$R$2:$R$180,0)+1),INDEX(GCalXMLT[dfestival2],$D377))</f>
        <v>0</v>
      </c>
      <c r="K377">
        <f>IF(I377="Nandotsava","(Fast till noon)",INDEX(GCalXMLT[dfestival3],$D377))</f>
        <v>0</v>
      </c>
      <c r="L377">
        <f>IF(I377="Nandotsava", INDEX(GCalXMLT[dfestival3],$D377),INDEX(GCalXMLT[dfestival4],$D377))</f>
        <v>0</v>
      </c>
      <c r="M377" t="str">
        <f>IFERROR(INDEX(Festivals!$S$2:$S$160,AP377),"")</f>
        <v/>
      </c>
      <c r="N377" t="str">
        <f>IFERROR(IF($AQ377&gt;1,INDEX(Festivals!$S$2:$S$160,$AP377+1),""),"")</f>
        <v/>
      </c>
      <c r="O377" t="str">
        <f>IFERROR(IF($AQ377&gt;2,INDEX(Festivals!$S$2:$S$160,$AP377+2),""),"")</f>
        <v/>
      </c>
      <c r="P377" t="str">
        <f>IFERROR(IF($AQ377&gt;3,INDEX(Festivals!$S$2:$S$160,$AP377+3),""),"")</f>
        <v/>
      </c>
      <c r="Q377" t="str">
        <f>IFERROR(IF($AQ377&gt;4,INDEX(Festivals!$S$2:$S$160,$AP377+4),""),"")</f>
        <v/>
      </c>
      <c r="R377" t="str">
        <f>IFERROR(IF($AQ377&gt;5,INDEX(Festivals!$S$2:$S$160,$AP377+5),""),"")</f>
        <v/>
      </c>
      <c r="S377" t="str">
        <f>IFERROR(IF($AQ377&gt;6,INDEX(Festivals!$S$2:$S$160,$AP377+6),""),"")</f>
        <v/>
      </c>
      <c r="T377">
        <f>INDEX(GCalXMLT[dcaturmasya1],$D377)</f>
        <v>0</v>
      </c>
      <c r="U377">
        <f>INDEX(GCalXMLT[dcaturmasya2],$D377)</f>
        <v>0</v>
      </c>
      <c r="V377" t="str">
        <f>INDEX(GCalXMLT[sankrantirasi],$D377) &amp; " " &amp; INDEX(GCalXMLT[sankrantitime],$D377)</f>
        <v xml:space="preserve"> </v>
      </c>
      <c r="W377" t="str">
        <f ca="1">IFERROR(INDEX('Holidays Calc'!$K$2:$K$233,AR377),"")</f>
        <v/>
      </c>
      <c r="X377" t="str">
        <f ca="1">IF(AR377="","",IF(INDEX('Holidays Calc'!$I$2:$I$233,AR377+1)=A377,INDEX('Holidays Calc'!$K$2:$K$233,AR377+1),""))</f>
        <v/>
      </c>
      <c r="Y377" t="str">
        <f ca="1">IF(AR377="","",IF(INDEX('Holidays Calc'!$I$2:$I$233,AR377+2)=A377,INDEX('Holidays Calc'!$K$2:$K$233,AR377+2),""))</f>
        <v/>
      </c>
      <c r="Z377" t="str">
        <f ca="1">IF(AR377="","",IF(INDEX('Holidays Calc'!$I$2:$I$233,AR377+3)=A377,INDEX('Holidays Calc'!$K$2:$K$2333,AR377+3),""))</f>
        <v/>
      </c>
      <c r="AA377" t="str">
        <f>IF(I377="Last day of Bhisma Pancaka","",IF(G377="*",-0.7,IF(ISBLANK(INDEX(GCalXMLT[dclass1],$D377)),"",INDEX(GCalXMLT[dclass1],$D377))))</f>
        <v/>
      </c>
      <c r="AB377" t="str">
        <f>IF(J377="First day of Bhisma Pancaka","",IF(AND(G377="*",NOT(ISERROR(SEARCH("ekadasi",J377)))),-0.7,IF(ISBLANK(INDEX(GCalXMLT[dclass2],$D377)),"",INDEX(GCalXMLT[dclass2],$D377))))</f>
        <v/>
      </c>
      <c r="AC377" t="str">
        <f>IF(I377="Nandotsava",-1,IF(ISBLANK(INDEX(GCalXMLT[dclass3],$D377)),"",INDEX(GCalXMLT[dclass3],$D377)))</f>
        <v/>
      </c>
      <c r="AD377" t="str">
        <f>IF(I377="Nandotsava",IF(ISBLANK(INDEX(GCalXMLT[dclass3],$D377)),"",INDEX(GCalXMLT[dclass3],$D377)),IF(ISBLANK(INDEX(GCalXMLT[dclass4],$D377)),"",INDEX(GCalXMLT[dclass4],$D377)))</f>
        <v/>
      </c>
      <c r="AE377" t="str">
        <f>IFERROR(INDEX(Festivals!$V$2:$V$160,AP377),"")</f>
        <v/>
      </c>
      <c r="AF377" t="str">
        <f>IFERROR(IF($AQ377&gt;1,INDEX(Festivals!$V$2:$V$160,$AP377+1),""),"")</f>
        <v/>
      </c>
      <c r="AG377" t="str">
        <f>IFERROR(IF($AQ377&gt;2,INDEX(Festivals!$V$2:$V$160,$AP377+2),""),"")</f>
        <v/>
      </c>
      <c r="AH377" t="str">
        <f>IFERROR(IF($AQ377&gt;3,INDEX(Festivals!$V$2:$V$160,$AP377+3),""),"")</f>
        <v/>
      </c>
      <c r="AI377" t="str">
        <f>IFERROR(IF($AQ377&gt;4,INDEX(Festivals!$V$2:$V$160,$AP377+4),""),"")</f>
        <v/>
      </c>
      <c r="AJ377" t="str">
        <f>IFERROR(IF($AQ377&gt;5,INDEX(Festivals!$V$2:$V$160,$AP377+5),""),"")</f>
        <v/>
      </c>
      <c r="AK377" t="str">
        <f>IFERROR(IF($AQ377&gt;6,INDEX(Festivals!$V$2:$V$160,$AP377+6),""),"")</f>
        <v/>
      </c>
      <c r="AL377" t="str">
        <f ca="1">IFERROR(INDEX('Holidays Calc'!$J$2:$J$233,MATCH(A377,'Holidays Calc'!$I$2:$I$233,0)),"")</f>
        <v/>
      </c>
      <c r="AM377" t="str">
        <f ca="1">IF(AR377="","",IF(INDEX('Holidays Calc'!$I$2:$I$233,AR377+1)=A377,INDEX('Holidays Calc'!$J$2:$J$233,AR377+1),""))</f>
        <v/>
      </c>
      <c r="AN377" t="str">
        <f ca="1">IF(AR377="","",IF(INDEX('Holidays Calc'!$I$2:$I$233,AR377+2)=A377,INDEX('Holidays Calc'!$J$2:$J$233,AR377+2),""))</f>
        <v/>
      </c>
      <c r="AO377" t="str">
        <f ca="1">IF(AR377="","",IF(INDEX('Holidays Calc'!$I$2:$I$233,AR377+3)=A377,INDEX('Holidays Calc'!$J$2:$J$233,AR377+3),""))</f>
        <v/>
      </c>
      <c r="AP377" t="str">
        <f>IFERROR(IF($E377=E376,"",MATCH($E377,Festivals!$H$2:$H$160,0)),"")</f>
        <v/>
      </c>
      <c r="AQ377" t="str">
        <f>IF(AP377="","",COUNTIF(Festivals!$H$2:$H$160,$E377))</f>
        <v/>
      </c>
      <c r="AR377" t="str">
        <f ca="1">IFERROR(MATCH(A377,'Holidays Calc'!$I$2:$I$233,0),"")</f>
        <v/>
      </c>
      <c r="AS377" t="str">
        <f t="shared" si="39"/>
        <v/>
      </c>
      <c r="AT377" t="str">
        <f t="shared" si="38"/>
        <v/>
      </c>
      <c r="AU377" t="str">
        <f t="shared" ca="1" si="40"/>
        <v/>
      </c>
      <c r="AV377" t="str">
        <f t="shared" ca="1" si="41"/>
        <v/>
      </c>
    </row>
    <row r="378" spans="1:48" x14ac:dyDescent="0.25">
      <c r="A378" s="265">
        <f t="shared" si="37"/>
        <v>43804</v>
      </c>
      <c r="B378" s="265" t="str">
        <f t="shared" si="42"/>
        <v>5 Dec 2019</v>
      </c>
      <c r="C378" s="267">
        <f t="shared" si="43"/>
        <v>49</v>
      </c>
      <c r="D378">
        <f>MATCH(A378,GCalXMLT[daydate],0)</f>
        <v>377</v>
      </c>
      <c r="E378">
        <f>VALUE("1" &amp; Masacod(INDEX(GCalXMLT[gymasa],D378)) &amp; PaksaCod(INDEX(GCalXMLT[mpaksaid],D378)) &amp; TithiCod(INDEX(GCalXMLT[stithiname],D378)))</f>
        <v>109109</v>
      </c>
      <c r="F378" t="str">
        <f ca="1">INDEX(Parameters!$K$2:$K$16,MATCH(AV378,Parameters!$L$2:$L$16,0))</f>
        <v/>
      </c>
      <c r="G378">
        <f>INDEX(GCalXMLT[fastmark],$D378)</f>
        <v>0</v>
      </c>
      <c r="H378" t="str">
        <f ca="1">INDEX(Parameters!$J$2:$J$16,MATCH(AV378,Parameters!$L$2:$L$16,0))</f>
        <v/>
      </c>
      <c r="I378">
        <f>INDEX(GCalXMLT[dfestival1],$D378)</f>
        <v>0</v>
      </c>
      <c r="J378">
        <f>IF(INDEX(GCalXMLT[dfestival2],$D378)="(Fast today)",INDEX(Festivals!$R$2:$R$180,MATCH($I378,Festivals!$R$2:$R$180,0)+1),INDEX(GCalXMLT[dfestival2],$D378))</f>
        <v>0</v>
      </c>
      <c r="K378">
        <f>IF(I378="Nandotsava","(Fast till noon)",INDEX(GCalXMLT[dfestival3],$D378))</f>
        <v>0</v>
      </c>
      <c r="L378">
        <f>IF(I378="Nandotsava", INDEX(GCalXMLT[dfestival3],$D378),INDEX(GCalXMLT[dfestival4],$D378))</f>
        <v>0</v>
      </c>
      <c r="M378" t="str">
        <f>IFERROR(INDEX(Festivals!$S$2:$S$160,AP378),"")</f>
        <v/>
      </c>
      <c r="N378" t="str">
        <f>IFERROR(IF($AQ378&gt;1,INDEX(Festivals!$S$2:$S$160,$AP378+1),""),"")</f>
        <v/>
      </c>
      <c r="O378" t="str">
        <f>IFERROR(IF($AQ378&gt;2,INDEX(Festivals!$S$2:$S$160,$AP378+2),""),"")</f>
        <v/>
      </c>
      <c r="P378" t="str">
        <f>IFERROR(IF($AQ378&gt;3,INDEX(Festivals!$S$2:$S$160,$AP378+3),""),"")</f>
        <v/>
      </c>
      <c r="Q378" t="str">
        <f>IFERROR(IF($AQ378&gt;4,INDEX(Festivals!$S$2:$S$160,$AP378+4),""),"")</f>
        <v/>
      </c>
      <c r="R378" t="str">
        <f>IFERROR(IF($AQ378&gt;5,INDEX(Festivals!$S$2:$S$160,$AP378+5),""),"")</f>
        <v/>
      </c>
      <c r="S378" t="str">
        <f>IFERROR(IF($AQ378&gt;6,INDEX(Festivals!$S$2:$S$160,$AP378+6),""),"")</f>
        <v/>
      </c>
      <c r="T378">
        <f>INDEX(GCalXMLT[dcaturmasya1],$D378)</f>
        <v>0</v>
      </c>
      <c r="U378">
        <f>INDEX(GCalXMLT[dcaturmasya2],$D378)</f>
        <v>0</v>
      </c>
      <c r="V378" t="str">
        <f>INDEX(GCalXMLT[sankrantirasi],$D378) &amp; " " &amp; INDEX(GCalXMLT[sankrantitime],$D378)</f>
        <v xml:space="preserve"> </v>
      </c>
      <c r="W378" t="str">
        <f ca="1">IFERROR(INDEX('Holidays Calc'!$K$2:$K$233,AR378),"")</f>
        <v/>
      </c>
      <c r="X378" t="str">
        <f ca="1">IF(AR378="","",IF(INDEX('Holidays Calc'!$I$2:$I$233,AR378+1)=A378,INDEX('Holidays Calc'!$K$2:$K$233,AR378+1),""))</f>
        <v/>
      </c>
      <c r="Y378" t="str">
        <f ca="1">IF(AR378="","",IF(INDEX('Holidays Calc'!$I$2:$I$233,AR378+2)=A378,INDEX('Holidays Calc'!$K$2:$K$233,AR378+2),""))</f>
        <v/>
      </c>
      <c r="Z378" t="str">
        <f ca="1">IF(AR378="","",IF(INDEX('Holidays Calc'!$I$2:$I$233,AR378+3)=A378,INDEX('Holidays Calc'!$K$2:$K$2333,AR378+3),""))</f>
        <v/>
      </c>
      <c r="AA378" t="str">
        <f>IF(I378="Last day of Bhisma Pancaka","",IF(G378="*",-0.7,IF(ISBLANK(INDEX(GCalXMLT[dclass1],$D378)),"",INDEX(GCalXMLT[dclass1],$D378))))</f>
        <v/>
      </c>
      <c r="AB378" t="str">
        <f>IF(J378="First day of Bhisma Pancaka","",IF(AND(G378="*",NOT(ISERROR(SEARCH("ekadasi",J378)))),-0.7,IF(ISBLANK(INDEX(GCalXMLT[dclass2],$D378)),"",INDEX(GCalXMLT[dclass2],$D378))))</f>
        <v/>
      </c>
      <c r="AC378" t="str">
        <f>IF(I378="Nandotsava",-1,IF(ISBLANK(INDEX(GCalXMLT[dclass3],$D378)),"",INDEX(GCalXMLT[dclass3],$D378)))</f>
        <v/>
      </c>
      <c r="AD378" t="str">
        <f>IF(I378="Nandotsava",IF(ISBLANK(INDEX(GCalXMLT[dclass3],$D378)),"",INDEX(GCalXMLT[dclass3],$D378)),IF(ISBLANK(INDEX(GCalXMLT[dclass4],$D378)),"",INDEX(GCalXMLT[dclass4],$D378)))</f>
        <v/>
      </c>
      <c r="AE378" t="str">
        <f>IFERROR(INDEX(Festivals!$V$2:$V$160,AP378),"")</f>
        <v/>
      </c>
      <c r="AF378" t="str">
        <f>IFERROR(IF($AQ378&gt;1,INDEX(Festivals!$V$2:$V$160,$AP378+1),""),"")</f>
        <v/>
      </c>
      <c r="AG378" t="str">
        <f>IFERROR(IF($AQ378&gt;2,INDEX(Festivals!$V$2:$V$160,$AP378+2),""),"")</f>
        <v/>
      </c>
      <c r="AH378" t="str">
        <f>IFERROR(IF($AQ378&gt;3,INDEX(Festivals!$V$2:$V$160,$AP378+3),""),"")</f>
        <v/>
      </c>
      <c r="AI378" t="str">
        <f>IFERROR(IF($AQ378&gt;4,INDEX(Festivals!$V$2:$V$160,$AP378+4),""),"")</f>
        <v/>
      </c>
      <c r="AJ378" t="str">
        <f>IFERROR(IF($AQ378&gt;5,INDEX(Festivals!$V$2:$V$160,$AP378+5),""),"")</f>
        <v/>
      </c>
      <c r="AK378" t="str">
        <f>IFERROR(IF($AQ378&gt;6,INDEX(Festivals!$V$2:$V$160,$AP378+6),""),"")</f>
        <v/>
      </c>
      <c r="AL378" t="str">
        <f ca="1">IFERROR(INDEX('Holidays Calc'!$J$2:$J$233,MATCH(A378,'Holidays Calc'!$I$2:$I$233,0)),"")</f>
        <v/>
      </c>
      <c r="AM378" t="str">
        <f ca="1">IF(AR378="","",IF(INDEX('Holidays Calc'!$I$2:$I$233,AR378+1)=A378,INDEX('Holidays Calc'!$J$2:$J$233,AR378+1),""))</f>
        <v/>
      </c>
      <c r="AN378" t="str">
        <f ca="1">IF(AR378="","",IF(INDEX('Holidays Calc'!$I$2:$I$233,AR378+2)=A378,INDEX('Holidays Calc'!$J$2:$J$233,AR378+2),""))</f>
        <v/>
      </c>
      <c r="AO378" t="str">
        <f ca="1">IF(AR378="","",IF(INDEX('Holidays Calc'!$I$2:$I$233,AR378+3)=A378,INDEX('Holidays Calc'!$J$2:$J$233,AR378+3),""))</f>
        <v/>
      </c>
      <c r="AP378" t="str">
        <f>IFERROR(IF($E378=E377,"",MATCH($E378,Festivals!$H$2:$H$160,0)),"")</f>
        <v/>
      </c>
      <c r="AQ378" t="str">
        <f>IF(AP378="","",COUNTIF(Festivals!$H$2:$H$160,$E378))</f>
        <v/>
      </c>
      <c r="AR378" t="str">
        <f ca="1">IFERROR(MATCH(A378,'Holidays Calc'!$I$2:$I$233,0),"")</f>
        <v/>
      </c>
      <c r="AS378" t="str">
        <f t="shared" si="39"/>
        <v/>
      </c>
      <c r="AT378" t="str">
        <f t="shared" si="38"/>
        <v/>
      </c>
      <c r="AU378" t="str">
        <f t="shared" ca="1" si="40"/>
        <v/>
      </c>
      <c r="AV378" t="str">
        <f t="shared" ca="1" si="41"/>
        <v/>
      </c>
    </row>
    <row r="379" spans="1:48" x14ac:dyDescent="0.25">
      <c r="A379" s="265">
        <f t="shared" si="37"/>
        <v>43805</v>
      </c>
      <c r="B379" s="265" t="str">
        <f t="shared" si="42"/>
        <v>6 Dec 2019</v>
      </c>
      <c r="C379" s="267">
        <f t="shared" si="43"/>
        <v>49</v>
      </c>
      <c r="D379">
        <f>MATCH(A379,GCalXMLT[daydate],0)</f>
        <v>378</v>
      </c>
      <c r="E379">
        <f>VALUE("1" &amp; Masacod(INDEX(GCalXMLT[gymasa],D379)) &amp; PaksaCod(INDEX(GCalXMLT[mpaksaid],D379)) &amp; TithiCod(INDEX(GCalXMLT[stithiname],D379)))</f>
        <v>109110</v>
      </c>
      <c r="F379" t="str">
        <f ca="1">INDEX(Parameters!$K$2:$K$16,MATCH(AV379,Parameters!$L$2:$L$16,0))</f>
        <v/>
      </c>
      <c r="G379">
        <f>INDEX(GCalXMLT[fastmark],$D379)</f>
        <v>0</v>
      </c>
      <c r="H379" t="str">
        <f ca="1">INDEX(Parameters!$J$2:$J$16,MATCH(AV379,Parameters!$L$2:$L$16,0))</f>
        <v/>
      </c>
      <c r="I379">
        <f>INDEX(GCalXMLT[dfestival1],$D379)</f>
        <v>0</v>
      </c>
      <c r="J379">
        <f>IF(INDEX(GCalXMLT[dfestival2],$D379)="(Fast today)",INDEX(Festivals!$R$2:$R$180,MATCH($I379,Festivals!$R$2:$R$180,0)+1),INDEX(GCalXMLT[dfestival2],$D379))</f>
        <v>0</v>
      </c>
      <c r="K379">
        <f>IF(I379="Nandotsava","(Fast till noon)",INDEX(GCalXMLT[dfestival3],$D379))</f>
        <v>0</v>
      </c>
      <c r="L379">
        <f>IF(I379="Nandotsava", INDEX(GCalXMLT[dfestival3],$D379),INDEX(GCalXMLT[dfestival4],$D379))</f>
        <v>0</v>
      </c>
      <c r="M379" t="str">
        <f>IFERROR(INDEX(Festivals!$S$2:$S$160,AP379),"")</f>
        <v/>
      </c>
      <c r="N379" t="str">
        <f>IFERROR(IF($AQ379&gt;1,INDEX(Festivals!$S$2:$S$160,$AP379+1),""),"")</f>
        <v/>
      </c>
      <c r="O379" t="str">
        <f>IFERROR(IF($AQ379&gt;2,INDEX(Festivals!$S$2:$S$160,$AP379+2),""),"")</f>
        <v/>
      </c>
      <c r="P379" t="str">
        <f>IFERROR(IF($AQ379&gt;3,INDEX(Festivals!$S$2:$S$160,$AP379+3),""),"")</f>
        <v/>
      </c>
      <c r="Q379" t="str">
        <f>IFERROR(IF($AQ379&gt;4,INDEX(Festivals!$S$2:$S$160,$AP379+4),""),"")</f>
        <v/>
      </c>
      <c r="R379" t="str">
        <f>IFERROR(IF($AQ379&gt;5,INDEX(Festivals!$S$2:$S$160,$AP379+5),""),"")</f>
        <v/>
      </c>
      <c r="S379" t="str">
        <f>IFERROR(IF($AQ379&gt;6,INDEX(Festivals!$S$2:$S$160,$AP379+6),""),"")</f>
        <v/>
      </c>
      <c r="T379">
        <f>INDEX(GCalXMLT[dcaturmasya1],$D379)</f>
        <v>0</v>
      </c>
      <c r="U379">
        <f>INDEX(GCalXMLT[dcaturmasya2],$D379)</f>
        <v>0</v>
      </c>
      <c r="V379" t="str">
        <f>INDEX(GCalXMLT[sankrantirasi],$D379) &amp; " " &amp; INDEX(GCalXMLT[sankrantitime],$D379)</f>
        <v xml:space="preserve"> </v>
      </c>
      <c r="W379" t="str">
        <f ca="1">IFERROR(INDEX('Holidays Calc'!$K$2:$K$233,AR379),"")</f>
        <v/>
      </c>
      <c r="X379" t="str">
        <f ca="1">IF(AR379="","",IF(INDEX('Holidays Calc'!$I$2:$I$233,AR379+1)=A379,INDEX('Holidays Calc'!$K$2:$K$233,AR379+1),""))</f>
        <v/>
      </c>
      <c r="Y379" t="str">
        <f ca="1">IF(AR379="","",IF(INDEX('Holidays Calc'!$I$2:$I$233,AR379+2)=A379,INDEX('Holidays Calc'!$K$2:$K$233,AR379+2),""))</f>
        <v/>
      </c>
      <c r="Z379" t="str">
        <f ca="1">IF(AR379="","",IF(INDEX('Holidays Calc'!$I$2:$I$233,AR379+3)=A379,INDEX('Holidays Calc'!$K$2:$K$2333,AR379+3),""))</f>
        <v/>
      </c>
      <c r="AA379" t="str">
        <f>IF(I379="Last day of Bhisma Pancaka","",IF(G379="*",-0.7,IF(ISBLANK(INDEX(GCalXMLT[dclass1],$D379)),"",INDEX(GCalXMLT[dclass1],$D379))))</f>
        <v/>
      </c>
      <c r="AB379" t="str">
        <f>IF(J379="First day of Bhisma Pancaka","",IF(AND(G379="*",NOT(ISERROR(SEARCH("ekadasi",J379)))),-0.7,IF(ISBLANK(INDEX(GCalXMLT[dclass2],$D379)),"",INDEX(GCalXMLT[dclass2],$D379))))</f>
        <v/>
      </c>
      <c r="AC379" t="str">
        <f>IF(I379="Nandotsava",-1,IF(ISBLANK(INDEX(GCalXMLT[dclass3],$D379)),"",INDEX(GCalXMLT[dclass3],$D379)))</f>
        <v/>
      </c>
      <c r="AD379" t="str">
        <f>IF(I379="Nandotsava",IF(ISBLANK(INDEX(GCalXMLT[dclass3],$D379)),"",INDEX(GCalXMLT[dclass3],$D379)),IF(ISBLANK(INDEX(GCalXMLT[dclass4],$D379)),"",INDEX(GCalXMLT[dclass4],$D379)))</f>
        <v/>
      </c>
      <c r="AE379" t="str">
        <f>IFERROR(INDEX(Festivals!$V$2:$V$160,AP379),"")</f>
        <v/>
      </c>
      <c r="AF379" t="str">
        <f>IFERROR(IF($AQ379&gt;1,INDEX(Festivals!$V$2:$V$160,$AP379+1),""),"")</f>
        <v/>
      </c>
      <c r="AG379" t="str">
        <f>IFERROR(IF($AQ379&gt;2,INDEX(Festivals!$V$2:$V$160,$AP379+2),""),"")</f>
        <v/>
      </c>
      <c r="AH379" t="str">
        <f>IFERROR(IF($AQ379&gt;3,INDEX(Festivals!$V$2:$V$160,$AP379+3),""),"")</f>
        <v/>
      </c>
      <c r="AI379" t="str">
        <f>IFERROR(IF($AQ379&gt;4,INDEX(Festivals!$V$2:$V$160,$AP379+4),""),"")</f>
        <v/>
      </c>
      <c r="AJ379" t="str">
        <f>IFERROR(IF($AQ379&gt;5,INDEX(Festivals!$V$2:$V$160,$AP379+5),""),"")</f>
        <v/>
      </c>
      <c r="AK379" t="str">
        <f>IFERROR(IF($AQ379&gt;6,INDEX(Festivals!$V$2:$V$160,$AP379+6),""),"")</f>
        <v/>
      </c>
      <c r="AL379" t="str">
        <f ca="1">IFERROR(INDEX('Holidays Calc'!$J$2:$J$233,MATCH(A379,'Holidays Calc'!$I$2:$I$233,0)),"")</f>
        <v/>
      </c>
      <c r="AM379" t="str">
        <f ca="1">IF(AR379="","",IF(INDEX('Holidays Calc'!$I$2:$I$233,AR379+1)=A379,INDEX('Holidays Calc'!$J$2:$J$233,AR379+1),""))</f>
        <v/>
      </c>
      <c r="AN379" t="str">
        <f ca="1">IF(AR379="","",IF(INDEX('Holidays Calc'!$I$2:$I$233,AR379+2)=A379,INDEX('Holidays Calc'!$J$2:$J$233,AR379+2),""))</f>
        <v/>
      </c>
      <c r="AO379" t="str">
        <f ca="1">IF(AR379="","",IF(INDEX('Holidays Calc'!$I$2:$I$233,AR379+3)=A379,INDEX('Holidays Calc'!$J$2:$J$233,AR379+3),""))</f>
        <v/>
      </c>
      <c r="AP379" t="str">
        <f>IFERROR(IF($E379=E378,"",MATCH($E379,Festivals!$H$2:$H$160,0)),"")</f>
        <v/>
      </c>
      <c r="AQ379" t="str">
        <f>IF(AP379="","",COUNTIF(Festivals!$H$2:$H$160,$E379))</f>
        <v/>
      </c>
      <c r="AR379" t="str">
        <f ca="1">IFERROR(MATCH(A379,'Holidays Calc'!$I$2:$I$233,0),"")</f>
        <v/>
      </c>
      <c r="AS379" t="str">
        <f t="shared" si="39"/>
        <v/>
      </c>
      <c r="AT379" t="str">
        <f t="shared" si="38"/>
        <v/>
      </c>
      <c r="AU379" t="str">
        <f t="shared" ca="1" si="40"/>
        <v/>
      </c>
      <c r="AV379" t="str">
        <f t="shared" ca="1" si="41"/>
        <v/>
      </c>
    </row>
    <row r="380" spans="1:48" x14ac:dyDescent="0.25">
      <c r="A380" s="265">
        <f t="shared" si="37"/>
        <v>43806</v>
      </c>
      <c r="B380" s="265" t="str">
        <f t="shared" si="42"/>
        <v>7 Dec 2019</v>
      </c>
      <c r="C380" s="267">
        <f t="shared" si="43"/>
        <v>49</v>
      </c>
      <c r="D380">
        <f>MATCH(A380,GCalXMLT[daydate],0)</f>
        <v>379</v>
      </c>
      <c r="E380">
        <f>VALUE("1" &amp; Masacod(INDEX(GCalXMLT[gymasa],D380)) &amp; PaksaCod(INDEX(GCalXMLT[mpaksaid],D380)) &amp; TithiCod(INDEX(GCalXMLT[stithiname],D380)))</f>
        <v>109111</v>
      </c>
      <c r="F380" t="str">
        <f ca="1">INDEX(Parameters!$K$2:$K$16,MATCH(AV380,Parameters!$L$2:$L$16,0))</f>
        <v>E</v>
      </c>
      <c r="G380" t="str">
        <f>INDEX(GCalXMLT[fastmark],$D380)</f>
        <v>*</v>
      </c>
      <c r="H380" t="str">
        <f ca="1">INDEX(Parameters!$J$2:$J$16,MATCH(AV380,Parameters!$L$2:$L$16,0))</f>
        <v>*</v>
      </c>
      <c r="I380" t="str">
        <f>INDEX(GCalXMLT[dfestival1],$D380)</f>
        <v>Fasting for Moksada Ekadasi</v>
      </c>
      <c r="J380">
        <f>IF(INDEX(GCalXMLT[dfestival2],$D380)="(Fast today)",INDEX(Festivals!$R$2:$R$180,MATCH($I380,Festivals!$R$2:$R$180,0)+1),INDEX(GCalXMLT[dfestival2],$D380))</f>
        <v>0</v>
      </c>
      <c r="K380">
        <f>IF(I380="Nandotsava","(Fast till noon)",INDEX(GCalXMLT[dfestival3],$D380))</f>
        <v>0</v>
      </c>
      <c r="L380">
        <f>IF(I380="Nandotsava", INDEX(GCalXMLT[dfestival3],$D380),INDEX(GCalXMLT[dfestival4],$D380))</f>
        <v>0</v>
      </c>
      <c r="M380" t="str">
        <f>IFERROR(INDEX(Festivals!$S$2:$S$160,AP380),"")</f>
        <v>Advent of Srimad Bhagavad-gita</v>
      </c>
      <c r="N380" t="str">
        <f>IFERROR(IF($AQ380&gt;1,INDEX(Festivals!$S$2:$S$160,$AP380+1),""),"")</f>
        <v/>
      </c>
      <c r="O380" t="str">
        <f>IFERROR(IF($AQ380&gt;2,INDEX(Festivals!$S$2:$S$160,$AP380+2),""),"")</f>
        <v/>
      </c>
      <c r="P380" t="str">
        <f>IFERROR(IF($AQ380&gt;3,INDEX(Festivals!$S$2:$S$160,$AP380+3),""),"")</f>
        <v/>
      </c>
      <c r="Q380" t="str">
        <f>IFERROR(IF($AQ380&gt;4,INDEX(Festivals!$S$2:$S$160,$AP380+4),""),"")</f>
        <v/>
      </c>
      <c r="R380" t="str">
        <f>IFERROR(IF($AQ380&gt;5,INDEX(Festivals!$S$2:$S$160,$AP380+5),""),"")</f>
        <v/>
      </c>
      <c r="S380" t="str">
        <f>IFERROR(IF($AQ380&gt;6,INDEX(Festivals!$S$2:$S$160,$AP380+6),""),"")</f>
        <v/>
      </c>
      <c r="T380">
        <f>INDEX(GCalXMLT[dcaturmasya1],$D380)</f>
        <v>0</v>
      </c>
      <c r="U380">
        <f>INDEX(GCalXMLT[dcaturmasya2],$D380)</f>
        <v>0</v>
      </c>
      <c r="V380" t="str">
        <f>INDEX(GCalXMLT[sankrantirasi],$D380) &amp; " " &amp; INDEX(GCalXMLT[sankrantitime],$D380)</f>
        <v xml:space="preserve"> </v>
      </c>
      <c r="W380" t="str">
        <f ca="1">IFERROR(INDEX('Holidays Calc'!$K$2:$K$233,AR380),"")</f>
        <v/>
      </c>
      <c r="X380" t="str">
        <f ca="1">IF(AR380="","",IF(INDEX('Holidays Calc'!$I$2:$I$233,AR380+1)=A380,INDEX('Holidays Calc'!$K$2:$K$233,AR380+1),""))</f>
        <v/>
      </c>
      <c r="Y380" t="str">
        <f ca="1">IF(AR380="","",IF(INDEX('Holidays Calc'!$I$2:$I$233,AR380+2)=A380,INDEX('Holidays Calc'!$K$2:$K$233,AR380+2),""))</f>
        <v/>
      </c>
      <c r="Z380" t="str">
        <f ca="1">IF(AR380="","",IF(INDEX('Holidays Calc'!$I$2:$I$233,AR380+3)=A380,INDEX('Holidays Calc'!$K$2:$K$2333,AR380+3),""))</f>
        <v/>
      </c>
      <c r="AA380">
        <f>IF(I380="Last day of Bhisma Pancaka","",IF(G380="*",-0.7,IF(ISBLANK(INDEX(GCalXMLT[dclass1],$D380)),"",INDEX(GCalXMLT[dclass1],$D380))))</f>
        <v>-0.7</v>
      </c>
      <c r="AB380" t="str">
        <f>IF(J380="First day of Bhisma Pancaka","",IF(AND(G380="*",NOT(ISERROR(SEARCH("ekadasi",J380)))),-0.7,IF(ISBLANK(INDEX(GCalXMLT[dclass2],$D380)),"",INDEX(GCalXMLT[dclass2],$D380))))</f>
        <v/>
      </c>
      <c r="AC380" t="str">
        <f>IF(I380="Nandotsava",-1,IF(ISBLANK(INDEX(GCalXMLT[dclass3],$D380)),"",INDEX(GCalXMLT[dclass3],$D380)))</f>
        <v/>
      </c>
      <c r="AD380" t="str">
        <f>IF(I380="Nandotsava",IF(ISBLANK(INDEX(GCalXMLT[dclass3],$D380)),"",INDEX(GCalXMLT[dclass3],$D380)),IF(ISBLANK(INDEX(GCalXMLT[dclass4],$D380)),"",INDEX(GCalXMLT[dclass4],$D380)))</f>
        <v/>
      </c>
      <c r="AE380">
        <f>IFERROR(INDEX(Festivals!$V$2:$V$160,AP380),"")</f>
        <v>1</v>
      </c>
      <c r="AF380" t="str">
        <f>IFERROR(IF($AQ380&gt;1,INDEX(Festivals!$V$2:$V$160,$AP380+1),""),"")</f>
        <v/>
      </c>
      <c r="AG380" t="str">
        <f>IFERROR(IF($AQ380&gt;2,INDEX(Festivals!$V$2:$V$160,$AP380+2),""),"")</f>
        <v/>
      </c>
      <c r="AH380" t="str">
        <f>IFERROR(IF($AQ380&gt;3,INDEX(Festivals!$V$2:$V$160,$AP380+3),""),"")</f>
        <v/>
      </c>
      <c r="AI380" t="str">
        <f>IFERROR(IF($AQ380&gt;4,INDEX(Festivals!$V$2:$V$160,$AP380+4),""),"")</f>
        <v/>
      </c>
      <c r="AJ380" t="str">
        <f>IFERROR(IF($AQ380&gt;5,INDEX(Festivals!$V$2:$V$160,$AP380+5),""),"")</f>
        <v/>
      </c>
      <c r="AK380" t="str">
        <f>IFERROR(IF($AQ380&gt;6,INDEX(Festivals!$V$2:$V$160,$AP380+6),""),"")</f>
        <v/>
      </c>
      <c r="AL380" t="str">
        <f ca="1">IFERROR(INDEX('Holidays Calc'!$J$2:$J$233,MATCH(A380,'Holidays Calc'!$I$2:$I$233,0)),"")</f>
        <v/>
      </c>
      <c r="AM380" t="str">
        <f ca="1">IF(AR380="","",IF(INDEX('Holidays Calc'!$I$2:$I$233,AR380+1)=A380,INDEX('Holidays Calc'!$J$2:$J$233,AR380+1),""))</f>
        <v/>
      </c>
      <c r="AN380" t="str">
        <f ca="1">IF(AR380="","",IF(INDEX('Holidays Calc'!$I$2:$I$233,AR380+2)=A380,INDEX('Holidays Calc'!$J$2:$J$233,AR380+2),""))</f>
        <v/>
      </c>
      <c r="AO380" t="str">
        <f ca="1">IF(AR380="","",IF(INDEX('Holidays Calc'!$I$2:$I$233,AR380+3)=A380,INDEX('Holidays Calc'!$J$2:$J$233,AR380+3),""))</f>
        <v/>
      </c>
      <c r="AP380">
        <f>IFERROR(IF($E380=E379,"",MATCH($E380,Festivals!$H$2:$H$160,0)),"")</f>
        <v>113</v>
      </c>
      <c r="AQ380">
        <f>IF(AP380="","",COUNTIF(Festivals!$H$2:$H$160,$E380))</f>
        <v>1</v>
      </c>
      <c r="AR380" t="str">
        <f ca="1">IFERROR(MATCH(A380,'Holidays Calc'!$I$2:$I$233,0),"")</f>
        <v/>
      </c>
      <c r="AS380">
        <f t="shared" si="39"/>
        <v>-0.7</v>
      </c>
      <c r="AT380">
        <f t="shared" si="38"/>
        <v>-0.7</v>
      </c>
      <c r="AU380" t="str">
        <f t="shared" ca="1" si="40"/>
        <v/>
      </c>
      <c r="AV380">
        <f t="shared" ca="1" si="41"/>
        <v>-0.7</v>
      </c>
    </row>
    <row r="381" spans="1:48" x14ac:dyDescent="0.25">
      <c r="A381" s="265">
        <f t="shared" si="37"/>
        <v>43807</v>
      </c>
      <c r="B381" s="265" t="str">
        <f t="shared" si="42"/>
        <v>8 Dec 2019</v>
      </c>
      <c r="C381" s="267">
        <f t="shared" si="43"/>
        <v>49</v>
      </c>
      <c r="D381">
        <f>MATCH(A381,GCalXMLT[daydate],0)</f>
        <v>380</v>
      </c>
      <c r="E381">
        <f>VALUE("1" &amp; Masacod(INDEX(GCalXMLT[gymasa],D381)) &amp; PaksaCod(INDEX(GCalXMLT[mpaksaid],D381)) &amp; TithiCod(INDEX(GCalXMLT[stithiname],D381)))</f>
        <v>109112</v>
      </c>
      <c r="F381" t="str">
        <f ca="1">INDEX(Parameters!$K$2:$K$16,MATCH(AV381,Parameters!$L$2:$L$16,0))</f>
        <v/>
      </c>
      <c r="G381">
        <f>INDEX(GCalXMLT[fastmark],$D381)</f>
        <v>0</v>
      </c>
      <c r="H381" t="str">
        <f ca="1">INDEX(Parameters!$J$2:$J$16,MATCH(AV381,Parameters!$L$2:$L$16,0))</f>
        <v/>
      </c>
      <c r="I381">
        <f>INDEX(GCalXMLT[dfestival1],$D381)</f>
        <v>0</v>
      </c>
      <c r="J381">
        <f>IF(INDEX(GCalXMLT[dfestival2],$D381)="(Fast today)",INDEX(Festivals!$R$2:$R$180,MATCH($I381,Festivals!$R$2:$R$180,0)+1),INDEX(GCalXMLT[dfestival2],$D381))</f>
        <v>0</v>
      </c>
      <c r="K381">
        <f>IF(I381="Nandotsava","(Fast till noon)",INDEX(GCalXMLT[dfestival3],$D381))</f>
        <v>0</v>
      </c>
      <c r="L381">
        <f>IF(I381="Nandotsava", INDEX(GCalXMLT[dfestival3],$D381),INDEX(GCalXMLT[dfestival4],$D381))</f>
        <v>0</v>
      </c>
      <c r="M381" t="str">
        <f>IFERROR(INDEX(Festivals!$S$2:$S$160,AP381),"")</f>
        <v/>
      </c>
      <c r="N381" t="str">
        <f>IFERROR(IF($AQ381&gt;1,INDEX(Festivals!$S$2:$S$160,$AP381+1),""),"")</f>
        <v/>
      </c>
      <c r="O381" t="str">
        <f>IFERROR(IF($AQ381&gt;2,INDEX(Festivals!$S$2:$S$160,$AP381+2),""),"")</f>
        <v/>
      </c>
      <c r="P381" t="str">
        <f>IFERROR(IF($AQ381&gt;3,INDEX(Festivals!$S$2:$S$160,$AP381+3),""),"")</f>
        <v/>
      </c>
      <c r="Q381" t="str">
        <f>IFERROR(IF($AQ381&gt;4,INDEX(Festivals!$S$2:$S$160,$AP381+4),""),"")</f>
        <v/>
      </c>
      <c r="R381" t="str">
        <f>IFERROR(IF($AQ381&gt;5,INDEX(Festivals!$S$2:$S$160,$AP381+5),""),"")</f>
        <v/>
      </c>
      <c r="S381" t="str">
        <f>IFERROR(IF($AQ381&gt;6,INDEX(Festivals!$S$2:$S$160,$AP381+6),""),"")</f>
        <v/>
      </c>
      <c r="T381">
        <f>INDEX(GCalXMLT[dcaturmasya1],$D381)</f>
        <v>0</v>
      </c>
      <c r="U381">
        <f>INDEX(GCalXMLT[dcaturmasya2],$D381)</f>
        <v>0</v>
      </c>
      <c r="V381" t="str">
        <f>INDEX(GCalXMLT[sankrantirasi],$D381) &amp; " " &amp; INDEX(GCalXMLT[sankrantitime],$D381)</f>
        <v xml:space="preserve"> </v>
      </c>
      <c r="W381" t="str">
        <f ca="1">IFERROR(INDEX('Holidays Calc'!$K$2:$K$233,AR381),"")</f>
        <v/>
      </c>
      <c r="X381" t="str">
        <f ca="1">IF(AR381="","",IF(INDEX('Holidays Calc'!$I$2:$I$233,AR381+1)=A381,INDEX('Holidays Calc'!$K$2:$K$233,AR381+1),""))</f>
        <v/>
      </c>
      <c r="Y381" t="str">
        <f ca="1">IF(AR381="","",IF(INDEX('Holidays Calc'!$I$2:$I$233,AR381+2)=A381,INDEX('Holidays Calc'!$K$2:$K$233,AR381+2),""))</f>
        <v/>
      </c>
      <c r="Z381" t="str">
        <f ca="1">IF(AR381="","",IF(INDEX('Holidays Calc'!$I$2:$I$233,AR381+3)=A381,INDEX('Holidays Calc'!$K$2:$K$2333,AR381+3),""))</f>
        <v/>
      </c>
      <c r="AA381" t="str">
        <f>IF(I381="Last day of Bhisma Pancaka","",IF(G381="*",-0.7,IF(ISBLANK(INDEX(GCalXMLT[dclass1],$D381)),"",INDEX(GCalXMLT[dclass1],$D381))))</f>
        <v/>
      </c>
      <c r="AB381" t="str">
        <f>IF(J381="First day of Bhisma Pancaka","",IF(AND(G381="*",NOT(ISERROR(SEARCH("ekadasi",J381)))),-0.7,IF(ISBLANK(INDEX(GCalXMLT[dclass2],$D381)),"",INDEX(GCalXMLT[dclass2],$D381))))</f>
        <v/>
      </c>
      <c r="AC381" t="str">
        <f>IF(I381="Nandotsava",-1,IF(ISBLANK(INDEX(GCalXMLT[dclass3],$D381)),"",INDEX(GCalXMLT[dclass3],$D381)))</f>
        <v/>
      </c>
      <c r="AD381" t="str">
        <f>IF(I381="Nandotsava",IF(ISBLANK(INDEX(GCalXMLT[dclass3],$D381)),"",INDEX(GCalXMLT[dclass3],$D381)),IF(ISBLANK(INDEX(GCalXMLT[dclass4],$D381)),"",INDEX(GCalXMLT[dclass4],$D381)))</f>
        <v/>
      </c>
      <c r="AE381" t="str">
        <f>IFERROR(INDEX(Festivals!$V$2:$V$160,AP381),"")</f>
        <v/>
      </c>
      <c r="AF381" t="str">
        <f>IFERROR(IF($AQ381&gt;1,INDEX(Festivals!$V$2:$V$160,$AP381+1),""),"")</f>
        <v/>
      </c>
      <c r="AG381" t="str">
        <f>IFERROR(IF($AQ381&gt;2,INDEX(Festivals!$V$2:$V$160,$AP381+2),""),"")</f>
        <v/>
      </c>
      <c r="AH381" t="str">
        <f>IFERROR(IF($AQ381&gt;3,INDEX(Festivals!$V$2:$V$160,$AP381+3),""),"")</f>
        <v/>
      </c>
      <c r="AI381" t="str">
        <f>IFERROR(IF($AQ381&gt;4,INDEX(Festivals!$V$2:$V$160,$AP381+4),""),"")</f>
        <v/>
      </c>
      <c r="AJ381" t="str">
        <f>IFERROR(IF($AQ381&gt;5,INDEX(Festivals!$V$2:$V$160,$AP381+5),""),"")</f>
        <v/>
      </c>
      <c r="AK381" t="str">
        <f>IFERROR(IF($AQ381&gt;6,INDEX(Festivals!$V$2:$V$160,$AP381+6),""),"")</f>
        <v/>
      </c>
      <c r="AL381" t="str">
        <f ca="1">IFERROR(INDEX('Holidays Calc'!$J$2:$J$233,MATCH(A381,'Holidays Calc'!$I$2:$I$233,0)),"")</f>
        <v/>
      </c>
      <c r="AM381" t="str">
        <f ca="1">IF(AR381="","",IF(INDEX('Holidays Calc'!$I$2:$I$233,AR381+1)=A381,INDEX('Holidays Calc'!$J$2:$J$233,AR381+1),""))</f>
        <v/>
      </c>
      <c r="AN381" t="str">
        <f ca="1">IF(AR381="","",IF(INDEX('Holidays Calc'!$I$2:$I$233,AR381+2)=A381,INDEX('Holidays Calc'!$J$2:$J$233,AR381+2),""))</f>
        <v/>
      </c>
      <c r="AO381" t="str">
        <f ca="1">IF(AR381="","",IF(INDEX('Holidays Calc'!$I$2:$I$233,AR381+3)=A381,INDEX('Holidays Calc'!$J$2:$J$233,AR381+3),""))</f>
        <v/>
      </c>
      <c r="AP381" t="str">
        <f>IFERROR(IF($E381=E380,"",MATCH($E381,Festivals!$H$2:$H$160,0)),"")</f>
        <v/>
      </c>
      <c r="AQ381" t="str">
        <f>IF(AP381="","",COUNTIF(Festivals!$H$2:$H$160,$E381))</f>
        <v/>
      </c>
      <c r="AR381" t="str">
        <f ca="1">IFERROR(MATCH(A381,'Holidays Calc'!$I$2:$I$233,0),"")</f>
        <v/>
      </c>
      <c r="AS381" t="str">
        <f t="shared" si="39"/>
        <v/>
      </c>
      <c r="AT381" t="str">
        <f t="shared" si="38"/>
        <v/>
      </c>
      <c r="AU381" t="str">
        <f t="shared" ca="1" si="40"/>
        <v/>
      </c>
      <c r="AV381" t="str">
        <f t="shared" ca="1" si="41"/>
        <v/>
      </c>
    </row>
    <row r="382" spans="1:48" x14ac:dyDescent="0.25">
      <c r="A382" s="265">
        <f t="shared" si="37"/>
        <v>43808</v>
      </c>
      <c r="B382" s="265" t="str">
        <f t="shared" si="42"/>
        <v>9 Dec 2019</v>
      </c>
      <c r="C382" s="267">
        <f t="shared" si="43"/>
        <v>50</v>
      </c>
      <c r="D382">
        <f>MATCH(A382,GCalXMLT[daydate],0)</f>
        <v>381</v>
      </c>
      <c r="E382">
        <f>VALUE("1" &amp; Masacod(INDEX(GCalXMLT[gymasa],D382)) &amp; PaksaCod(INDEX(GCalXMLT[mpaksaid],D382)) &amp; TithiCod(INDEX(GCalXMLT[stithiname],D382)))</f>
        <v>109113</v>
      </c>
      <c r="F382" t="str">
        <f ca="1">INDEX(Parameters!$K$2:$K$16,MATCH(AV382,Parameters!$L$2:$L$16,0))</f>
        <v/>
      </c>
      <c r="G382">
        <f>INDEX(GCalXMLT[fastmark],$D382)</f>
        <v>0</v>
      </c>
      <c r="H382" t="str">
        <f ca="1">INDEX(Parameters!$J$2:$J$16,MATCH(AV382,Parameters!$L$2:$L$16,0))</f>
        <v/>
      </c>
      <c r="I382">
        <f>INDEX(GCalXMLT[dfestival1],$D382)</f>
        <v>0</v>
      </c>
      <c r="J382">
        <f>IF(INDEX(GCalXMLT[dfestival2],$D382)="(Fast today)",INDEX(Festivals!$R$2:$R$180,MATCH($I382,Festivals!$R$2:$R$180,0)+1),INDEX(GCalXMLT[dfestival2],$D382))</f>
        <v>0</v>
      </c>
      <c r="K382">
        <f>IF(I382="Nandotsava","(Fast till noon)",INDEX(GCalXMLT[dfestival3],$D382))</f>
        <v>0</v>
      </c>
      <c r="L382">
        <f>IF(I382="Nandotsava", INDEX(GCalXMLT[dfestival3],$D382),INDEX(GCalXMLT[dfestival4],$D382))</f>
        <v>0</v>
      </c>
      <c r="M382" t="str">
        <f>IFERROR(INDEX(Festivals!$S$2:$S$160,AP382),"")</f>
        <v/>
      </c>
      <c r="N382" t="str">
        <f>IFERROR(IF($AQ382&gt;1,INDEX(Festivals!$S$2:$S$160,$AP382+1),""),"")</f>
        <v/>
      </c>
      <c r="O382" t="str">
        <f>IFERROR(IF($AQ382&gt;2,INDEX(Festivals!$S$2:$S$160,$AP382+2),""),"")</f>
        <v/>
      </c>
      <c r="P382" t="str">
        <f>IFERROR(IF($AQ382&gt;3,INDEX(Festivals!$S$2:$S$160,$AP382+3),""),"")</f>
        <v/>
      </c>
      <c r="Q382" t="str">
        <f>IFERROR(IF($AQ382&gt;4,INDEX(Festivals!$S$2:$S$160,$AP382+4),""),"")</f>
        <v/>
      </c>
      <c r="R382" t="str">
        <f>IFERROR(IF($AQ382&gt;5,INDEX(Festivals!$S$2:$S$160,$AP382+5),""),"")</f>
        <v/>
      </c>
      <c r="S382" t="str">
        <f>IFERROR(IF($AQ382&gt;6,INDEX(Festivals!$S$2:$S$160,$AP382+6),""),"")</f>
        <v/>
      </c>
      <c r="T382">
        <f>INDEX(GCalXMLT[dcaturmasya1],$D382)</f>
        <v>0</v>
      </c>
      <c r="U382">
        <f>INDEX(GCalXMLT[dcaturmasya2],$D382)</f>
        <v>0</v>
      </c>
      <c r="V382" t="str">
        <f>INDEX(GCalXMLT[sankrantirasi],$D382) &amp; " " &amp; INDEX(GCalXMLT[sankrantitime],$D382)</f>
        <v xml:space="preserve"> </v>
      </c>
      <c r="W382" t="str">
        <f ca="1">IFERROR(INDEX('Holidays Calc'!$K$2:$K$233,AR382),"")</f>
        <v/>
      </c>
      <c r="X382" t="str">
        <f ca="1">IF(AR382="","",IF(INDEX('Holidays Calc'!$I$2:$I$233,AR382+1)=A382,INDEX('Holidays Calc'!$K$2:$K$233,AR382+1),""))</f>
        <v/>
      </c>
      <c r="Y382" t="str">
        <f ca="1">IF(AR382="","",IF(INDEX('Holidays Calc'!$I$2:$I$233,AR382+2)=A382,INDEX('Holidays Calc'!$K$2:$K$233,AR382+2),""))</f>
        <v/>
      </c>
      <c r="Z382" t="str">
        <f ca="1">IF(AR382="","",IF(INDEX('Holidays Calc'!$I$2:$I$233,AR382+3)=A382,INDEX('Holidays Calc'!$K$2:$K$2333,AR382+3),""))</f>
        <v/>
      </c>
      <c r="AA382" t="str">
        <f>IF(I382="Last day of Bhisma Pancaka","",IF(G382="*",-0.7,IF(ISBLANK(INDEX(GCalXMLT[dclass1],$D382)),"",INDEX(GCalXMLT[dclass1],$D382))))</f>
        <v/>
      </c>
      <c r="AB382" t="str">
        <f>IF(J382="First day of Bhisma Pancaka","",IF(AND(G382="*",NOT(ISERROR(SEARCH("ekadasi",J382)))),-0.7,IF(ISBLANK(INDEX(GCalXMLT[dclass2],$D382)),"",INDEX(GCalXMLT[dclass2],$D382))))</f>
        <v/>
      </c>
      <c r="AC382" t="str">
        <f>IF(I382="Nandotsava",-1,IF(ISBLANK(INDEX(GCalXMLT[dclass3],$D382)),"",INDEX(GCalXMLT[dclass3],$D382)))</f>
        <v/>
      </c>
      <c r="AD382" t="str">
        <f>IF(I382="Nandotsava",IF(ISBLANK(INDEX(GCalXMLT[dclass3],$D382)),"",INDEX(GCalXMLT[dclass3],$D382)),IF(ISBLANK(INDEX(GCalXMLT[dclass4],$D382)),"",INDEX(GCalXMLT[dclass4],$D382)))</f>
        <v/>
      </c>
      <c r="AE382" t="str">
        <f>IFERROR(INDEX(Festivals!$V$2:$V$160,AP382),"")</f>
        <v/>
      </c>
      <c r="AF382" t="str">
        <f>IFERROR(IF($AQ382&gt;1,INDEX(Festivals!$V$2:$V$160,$AP382+1),""),"")</f>
        <v/>
      </c>
      <c r="AG382" t="str">
        <f>IFERROR(IF($AQ382&gt;2,INDEX(Festivals!$V$2:$V$160,$AP382+2),""),"")</f>
        <v/>
      </c>
      <c r="AH382" t="str">
        <f>IFERROR(IF($AQ382&gt;3,INDEX(Festivals!$V$2:$V$160,$AP382+3),""),"")</f>
        <v/>
      </c>
      <c r="AI382" t="str">
        <f>IFERROR(IF($AQ382&gt;4,INDEX(Festivals!$V$2:$V$160,$AP382+4),""),"")</f>
        <v/>
      </c>
      <c r="AJ382" t="str">
        <f>IFERROR(IF($AQ382&gt;5,INDEX(Festivals!$V$2:$V$160,$AP382+5),""),"")</f>
        <v/>
      </c>
      <c r="AK382" t="str">
        <f>IFERROR(IF($AQ382&gt;6,INDEX(Festivals!$V$2:$V$160,$AP382+6),""),"")</f>
        <v/>
      </c>
      <c r="AL382" t="str">
        <f ca="1">IFERROR(INDEX('Holidays Calc'!$J$2:$J$233,MATCH(A382,'Holidays Calc'!$I$2:$I$233,0)),"")</f>
        <v/>
      </c>
      <c r="AM382" t="str">
        <f ca="1">IF(AR382="","",IF(INDEX('Holidays Calc'!$I$2:$I$233,AR382+1)=A382,INDEX('Holidays Calc'!$J$2:$J$233,AR382+1),""))</f>
        <v/>
      </c>
      <c r="AN382" t="str">
        <f ca="1">IF(AR382="","",IF(INDEX('Holidays Calc'!$I$2:$I$233,AR382+2)=A382,INDEX('Holidays Calc'!$J$2:$J$233,AR382+2),""))</f>
        <v/>
      </c>
      <c r="AO382" t="str">
        <f ca="1">IF(AR382="","",IF(INDEX('Holidays Calc'!$I$2:$I$233,AR382+3)=A382,INDEX('Holidays Calc'!$J$2:$J$233,AR382+3),""))</f>
        <v/>
      </c>
      <c r="AP382" t="str">
        <f>IFERROR(IF($E382=E381,"",MATCH($E382,Festivals!$H$2:$H$160,0)),"")</f>
        <v/>
      </c>
      <c r="AQ382" t="str">
        <f>IF(AP382="","",COUNTIF(Festivals!$H$2:$H$160,$E382))</f>
        <v/>
      </c>
      <c r="AR382" t="str">
        <f ca="1">IFERROR(MATCH(A382,'Holidays Calc'!$I$2:$I$233,0),"")</f>
        <v/>
      </c>
      <c r="AS382" t="str">
        <f t="shared" si="39"/>
        <v/>
      </c>
      <c r="AT382" t="str">
        <f t="shared" si="38"/>
        <v/>
      </c>
      <c r="AU382" t="str">
        <f t="shared" ca="1" si="40"/>
        <v/>
      </c>
      <c r="AV382" t="str">
        <f t="shared" ca="1" si="41"/>
        <v/>
      </c>
    </row>
    <row r="383" spans="1:48" x14ac:dyDescent="0.25">
      <c r="A383" s="265">
        <f t="shared" si="37"/>
        <v>43809</v>
      </c>
      <c r="B383" s="265" t="str">
        <f t="shared" si="42"/>
        <v>10 Dec 2019</v>
      </c>
      <c r="C383" s="267">
        <f t="shared" si="43"/>
        <v>50</v>
      </c>
      <c r="D383">
        <f>MATCH(A383,GCalXMLT[daydate],0)</f>
        <v>382</v>
      </c>
      <c r="E383">
        <f>VALUE("1" &amp; Masacod(INDEX(GCalXMLT[gymasa],D383)) &amp; PaksaCod(INDEX(GCalXMLT[mpaksaid],D383)) &amp; TithiCod(INDEX(GCalXMLT[stithiname],D383)))</f>
        <v>109114</v>
      </c>
      <c r="F383" t="str">
        <f ca="1">INDEX(Parameters!$K$2:$K$16,MATCH(AV383,Parameters!$L$2:$L$16,0))</f>
        <v/>
      </c>
      <c r="G383">
        <f>INDEX(GCalXMLT[fastmark],$D383)</f>
        <v>0</v>
      </c>
      <c r="H383" t="str">
        <f ca="1">INDEX(Parameters!$J$2:$J$16,MATCH(AV383,Parameters!$L$2:$L$16,0))</f>
        <v/>
      </c>
      <c r="I383">
        <f>INDEX(GCalXMLT[dfestival1],$D383)</f>
        <v>0</v>
      </c>
      <c r="J383">
        <f>IF(INDEX(GCalXMLT[dfestival2],$D383)="(Fast today)",INDEX(Festivals!$R$2:$R$180,MATCH($I383,Festivals!$R$2:$R$180,0)+1),INDEX(GCalXMLT[dfestival2],$D383))</f>
        <v>0</v>
      </c>
      <c r="K383">
        <f>IF(I383="Nandotsava","(Fast till noon)",INDEX(GCalXMLT[dfestival3],$D383))</f>
        <v>0</v>
      </c>
      <c r="L383">
        <f>IF(I383="Nandotsava", INDEX(GCalXMLT[dfestival3],$D383),INDEX(GCalXMLT[dfestival4],$D383))</f>
        <v>0</v>
      </c>
      <c r="M383" t="str">
        <f>IFERROR(INDEX(Festivals!$S$2:$S$160,AP383),"")</f>
        <v/>
      </c>
      <c r="N383" t="str">
        <f>IFERROR(IF($AQ383&gt;1,INDEX(Festivals!$S$2:$S$160,$AP383+1),""),"")</f>
        <v/>
      </c>
      <c r="O383" t="str">
        <f>IFERROR(IF($AQ383&gt;2,INDEX(Festivals!$S$2:$S$160,$AP383+2),""),"")</f>
        <v/>
      </c>
      <c r="P383" t="str">
        <f>IFERROR(IF($AQ383&gt;3,INDEX(Festivals!$S$2:$S$160,$AP383+3),""),"")</f>
        <v/>
      </c>
      <c r="Q383" t="str">
        <f>IFERROR(IF($AQ383&gt;4,INDEX(Festivals!$S$2:$S$160,$AP383+4),""),"")</f>
        <v/>
      </c>
      <c r="R383" t="str">
        <f>IFERROR(IF($AQ383&gt;5,INDEX(Festivals!$S$2:$S$160,$AP383+5),""),"")</f>
        <v/>
      </c>
      <c r="S383" t="str">
        <f>IFERROR(IF($AQ383&gt;6,INDEX(Festivals!$S$2:$S$160,$AP383+6),""),"")</f>
        <v/>
      </c>
      <c r="T383">
        <f>INDEX(GCalXMLT[dcaturmasya1],$D383)</f>
        <v>0</v>
      </c>
      <c r="U383">
        <f>INDEX(GCalXMLT[dcaturmasya2],$D383)</f>
        <v>0</v>
      </c>
      <c r="V383" t="str">
        <f>INDEX(GCalXMLT[sankrantirasi],$D383) &amp; " " &amp; INDEX(GCalXMLT[sankrantitime],$D383)</f>
        <v xml:space="preserve"> </v>
      </c>
      <c r="W383" t="str">
        <f ca="1">IFERROR(INDEX('Holidays Calc'!$K$2:$K$233,AR383),"")</f>
        <v/>
      </c>
      <c r="X383" t="str">
        <f ca="1">IF(AR383="","",IF(INDEX('Holidays Calc'!$I$2:$I$233,AR383+1)=A383,INDEX('Holidays Calc'!$K$2:$K$233,AR383+1),""))</f>
        <v/>
      </c>
      <c r="Y383" t="str">
        <f ca="1">IF(AR383="","",IF(INDEX('Holidays Calc'!$I$2:$I$233,AR383+2)=A383,INDEX('Holidays Calc'!$K$2:$K$233,AR383+2),""))</f>
        <v/>
      </c>
      <c r="Z383" t="str">
        <f ca="1">IF(AR383="","",IF(INDEX('Holidays Calc'!$I$2:$I$233,AR383+3)=A383,INDEX('Holidays Calc'!$K$2:$K$2333,AR383+3),""))</f>
        <v/>
      </c>
      <c r="AA383" t="str">
        <f>IF(I383="Last day of Bhisma Pancaka","",IF(G383="*",-0.7,IF(ISBLANK(INDEX(GCalXMLT[dclass1],$D383)),"",INDEX(GCalXMLT[dclass1],$D383))))</f>
        <v/>
      </c>
      <c r="AB383" t="str">
        <f>IF(J383="First day of Bhisma Pancaka","",IF(AND(G383="*",NOT(ISERROR(SEARCH("ekadasi",J383)))),-0.7,IF(ISBLANK(INDEX(GCalXMLT[dclass2],$D383)),"",INDEX(GCalXMLT[dclass2],$D383))))</f>
        <v/>
      </c>
      <c r="AC383" t="str">
        <f>IF(I383="Nandotsava",-1,IF(ISBLANK(INDEX(GCalXMLT[dclass3],$D383)),"",INDEX(GCalXMLT[dclass3],$D383)))</f>
        <v/>
      </c>
      <c r="AD383" t="str">
        <f>IF(I383="Nandotsava",IF(ISBLANK(INDEX(GCalXMLT[dclass3],$D383)),"",INDEX(GCalXMLT[dclass3],$D383)),IF(ISBLANK(INDEX(GCalXMLT[dclass4],$D383)),"",INDEX(GCalXMLT[dclass4],$D383)))</f>
        <v/>
      </c>
      <c r="AE383" t="str">
        <f>IFERROR(INDEX(Festivals!$V$2:$V$160,AP383),"")</f>
        <v/>
      </c>
      <c r="AF383" t="str">
        <f>IFERROR(IF($AQ383&gt;1,INDEX(Festivals!$V$2:$V$160,$AP383+1),""),"")</f>
        <v/>
      </c>
      <c r="AG383" t="str">
        <f>IFERROR(IF($AQ383&gt;2,INDEX(Festivals!$V$2:$V$160,$AP383+2),""),"")</f>
        <v/>
      </c>
      <c r="AH383" t="str">
        <f>IFERROR(IF($AQ383&gt;3,INDEX(Festivals!$V$2:$V$160,$AP383+3),""),"")</f>
        <v/>
      </c>
      <c r="AI383" t="str">
        <f>IFERROR(IF($AQ383&gt;4,INDEX(Festivals!$V$2:$V$160,$AP383+4),""),"")</f>
        <v/>
      </c>
      <c r="AJ383" t="str">
        <f>IFERROR(IF($AQ383&gt;5,INDEX(Festivals!$V$2:$V$160,$AP383+5),""),"")</f>
        <v/>
      </c>
      <c r="AK383" t="str">
        <f>IFERROR(IF($AQ383&gt;6,INDEX(Festivals!$V$2:$V$160,$AP383+6),""),"")</f>
        <v/>
      </c>
      <c r="AL383" t="str">
        <f ca="1">IFERROR(INDEX('Holidays Calc'!$J$2:$J$233,MATCH(A383,'Holidays Calc'!$I$2:$I$233,0)),"")</f>
        <v/>
      </c>
      <c r="AM383" t="str">
        <f ca="1">IF(AR383="","",IF(INDEX('Holidays Calc'!$I$2:$I$233,AR383+1)=A383,INDEX('Holidays Calc'!$J$2:$J$233,AR383+1),""))</f>
        <v/>
      </c>
      <c r="AN383" t="str">
        <f ca="1">IF(AR383="","",IF(INDEX('Holidays Calc'!$I$2:$I$233,AR383+2)=A383,INDEX('Holidays Calc'!$J$2:$J$233,AR383+2),""))</f>
        <v/>
      </c>
      <c r="AO383" t="str">
        <f ca="1">IF(AR383="","",IF(INDEX('Holidays Calc'!$I$2:$I$233,AR383+3)=A383,INDEX('Holidays Calc'!$J$2:$J$233,AR383+3),""))</f>
        <v/>
      </c>
      <c r="AP383" t="str">
        <f>IFERROR(IF($E383=E382,"",MATCH($E383,Festivals!$H$2:$H$160,0)),"")</f>
        <v/>
      </c>
      <c r="AQ383" t="str">
        <f>IF(AP383="","",COUNTIF(Festivals!$H$2:$H$160,$E383))</f>
        <v/>
      </c>
      <c r="AR383" t="str">
        <f ca="1">IFERROR(MATCH(A383,'Holidays Calc'!$I$2:$I$233,0),"")</f>
        <v/>
      </c>
      <c r="AS383" t="str">
        <f t="shared" si="39"/>
        <v/>
      </c>
      <c r="AT383" t="str">
        <f t="shared" si="38"/>
        <v/>
      </c>
      <c r="AU383" t="str">
        <f t="shared" ca="1" si="40"/>
        <v/>
      </c>
      <c r="AV383" t="str">
        <f t="shared" ca="1" si="41"/>
        <v/>
      </c>
    </row>
    <row r="384" spans="1:48" x14ac:dyDescent="0.25">
      <c r="A384" s="265">
        <f t="shared" si="37"/>
        <v>43810</v>
      </c>
      <c r="B384" s="265" t="str">
        <f t="shared" si="42"/>
        <v>11 Dec 2019</v>
      </c>
      <c r="C384" s="267">
        <f t="shared" si="43"/>
        <v>50</v>
      </c>
      <c r="D384">
        <f>MATCH(A384,GCalXMLT[daydate],0)</f>
        <v>383</v>
      </c>
      <c r="E384">
        <f>VALUE("1" &amp; Masacod(INDEX(GCalXMLT[gymasa],D384)) &amp; PaksaCod(INDEX(GCalXMLT[mpaksaid],D384)) &amp; TithiCod(INDEX(GCalXMLT[stithiname],D384)))</f>
        <v>109115</v>
      </c>
      <c r="F384" t="str">
        <f ca="1">INDEX(Parameters!$K$2:$K$16,MATCH(AV384,Parameters!$L$2:$L$16,0))</f>
        <v>C</v>
      </c>
      <c r="G384">
        <f>INDEX(GCalXMLT[fastmark],$D384)</f>
        <v>0</v>
      </c>
      <c r="H384" t="str">
        <f ca="1">INDEX(Parameters!$J$2:$J$16,MATCH(AV384,Parameters!$L$2:$L$16,0))</f>
        <v/>
      </c>
      <c r="I384">
        <f>INDEX(GCalXMLT[dfestival1],$D384)</f>
        <v>0</v>
      </c>
      <c r="J384">
        <f>IF(INDEX(GCalXMLT[dfestival2],$D384)="(Fast today)",INDEX(Festivals!$R$2:$R$180,MATCH($I384,Festivals!$R$2:$R$180,0)+1),INDEX(GCalXMLT[dfestival2],$D384))</f>
        <v>0</v>
      </c>
      <c r="K384">
        <f>IF(I384="Nandotsava","(Fast till noon)",INDEX(GCalXMLT[dfestival3],$D384))</f>
        <v>0</v>
      </c>
      <c r="L384">
        <f>IF(I384="Nandotsava", INDEX(GCalXMLT[dfestival3],$D384),INDEX(GCalXMLT[dfestival4],$D384))</f>
        <v>0</v>
      </c>
      <c r="M384" t="str">
        <f>IFERROR(INDEX(Festivals!$S$2:$S$160,AP384),"")</f>
        <v>Katyayani vrata ends</v>
      </c>
      <c r="N384" t="str">
        <f>IFERROR(IF($AQ384&gt;1,INDEX(Festivals!$S$2:$S$160,$AP384+1),""),"")</f>
        <v/>
      </c>
      <c r="O384" t="str">
        <f>IFERROR(IF($AQ384&gt;2,INDEX(Festivals!$S$2:$S$160,$AP384+2),""),"")</f>
        <v/>
      </c>
      <c r="P384" t="str">
        <f>IFERROR(IF($AQ384&gt;3,INDEX(Festivals!$S$2:$S$160,$AP384+3),""),"")</f>
        <v/>
      </c>
      <c r="Q384" t="str">
        <f>IFERROR(IF($AQ384&gt;4,INDEX(Festivals!$S$2:$S$160,$AP384+4),""),"")</f>
        <v/>
      </c>
      <c r="R384" t="str">
        <f>IFERROR(IF($AQ384&gt;5,INDEX(Festivals!$S$2:$S$160,$AP384+5),""),"")</f>
        <v/>
      </c>
      <c r="S384" t="str">
        <f>IFERROR(IF($AQ384&gt;6,INDEX(Festivals!$S$2:$S$160,$AP384+6),""),"")</f>
        <v/>
      </c>
      <c r="T384">
        <f>INDEX(GCalXMLT[dcaturmasya1],$D384)</f>
        <v>0</v>
      </c>
      <c r="U384">
        <f>INDEX(GCalXMLT[dcaturmasya2],$D384)</f>
        <v>0</v>
      </c>
      <c r="V384" t="str">
        <f>INDEX(GCalXMLT[sankrantirasi],$D384) &amp; " " &amp; INDEX(GCalXMLT[sankrantitime],$D384)</f>
        <v xml:space="preserve"> </v>
      </c>
      <c r="W384" t="str">
        <f ca="1">IFERROR(INDEX('Holidays Calc'!$K$2:$K$233,AR384),"")</f>
        <v/>
      </c>
      <c r="X384" t="str">
        <f ca="1">IF(AR384="","",IF(INDEX('Holidays Calc'!$I$2:$I$233,AR384+1)=A384,INDEX('Holidays Calc'!$K$2:$K$233,AR384+1),""))</f>
        <v/>
      </c>
      <c r="Y384" t="str">
        <f ca="1">IF(AR384="","",IF(INDEX('Holidays Calc'!$I$2:$I$233,AR384+2)=A384,INDEX('Holidays Calc'!$K$2:$K$233,AR384+2),""))</f>
        <v/>
      </c>
      <c r="Z384" t="str">
        <f ca="1">IF(AR384="","",IF(INDEX('Holidays Calc'!$I$2:$I$233,AR384+3)=A384,INDEX('Holidays Calc'!$K$2:$K$2333,AR384+3),""))</f>
        <v/>
      </c>
      <c r="AA384" t="str">
        <f>IF(I384="Last day of Bhisma Pancaka","",IF(G384="*",-0.7,IF(ISBLANK(INDEX(GCalXMLT[dclass1],$D384)),"",INDEX(GCalXMLT[dclass1],$D384))))</f>
        <v/>
      </c>
      <c r="AB384" t="str">
        <f>IF(J384="First day of Bhisma Pancaka","",IF(AND(G384="*",NOT(ISERROR(SEARCH("ekadasi",J384)))),-0.7,IF(ISBLANK(INDEX(GCalXMLT[dclass2],$D384)),"",INDEX(GCalXMLT[dclass2],$D384))))</f>
        <v/>
      </c>
      <c r="AC384" t="str">
        <f>IF(I384="Nandotsava",-1,IF(ISBLANK(INDEX(GCalXMLT[dclass3],$D384)),"",INDEX(GCalXMLT[dclass3],$D384)))</f>
        <v/>
      </c>
      <c r="AD384" t="str">
        <f>IF(I384="Nandotsava",IF(ISBLANK(INDEX(GCalXMLT[dclass3],$D384)),"",INDEX(GCalXMLT[dclass3],$D384)),IF(ISBLANK(INDEX(GCalXMLT[dclass4],$D384)),"",INDEX(GCalXMLT[dclass4],$D384)))</f>
        <v/>
      </c>
      <c r="AE384">
        <f>IFERROR(INDEX(Festivals!$V$2:$V$160,AP384),"")</f>
        <v>1</v>
      </c>
      <c r="AF384" t="str">
        <f>IFERROR(IF($AQ384&gt;1,INDEX(Festivals!$V$2:$V$160,$AP384+1),""),"")</f>
        <v/>
      </c>
      <c r="AG384" t="str">
        <f>IFERROR(IF($AQ384&gt;2,INDEX(Festivals!$V$2:$V$160,$AP384+2),""),"")</f>
        <v/>
      </c>
      <c r="AH384" t="str">
        <f>IFERROR(IF($AQ384&gt;3,INDEX(Festivals!$V$2:$V$160,$AP384+3),""),"")</f>
        <v/>
      </c>
      <c r="AI384" t="str">
        <f>IFERROR(IF($AQ384&gt;4,INDEX(Festivals!$V$2:$V$160,$AP384+4),""),"")</f>
        <v/>
      </c>
      <c r="AJ384" t="str">
        <f>IFERROR(IF($AQ384&gt;5,INDEX(Festivals!$V$2:$V$160,$AP384+5),""),"")</f>
        <v/>
      </c>
      <c r="AK384" t="str">
        <f>IFERROR(IF($AQ384&gt;6,INDEX(Festivals!$V$2:$V$160,$AP384+6),""),"")</f>
        <v/>
      </c>
      <c r="AL384" t="str">
        <f ca="1">IFERROR(INDEX('Holidays Calc'!$J$2:$J$233,MATCH(A384,'Holidays Calc'!$I$2:$I$233,0)),"")</f>
        <v/>
      </c>
      <c r="AM384" t="str">
        <f ca="1">IF(AR384="","",IF(INDEX('Holidays Calc'!$I$2:$I$233,AR384+1)=A384,INDEX('Holidays Calc'!$J$2:$J$233,AR384+1),""))</f>
        <v/>
      </c>
      <c r="AN384" t="str">
        <f ca="1">IF(AR384="","",IF(INDEX('Holidays Calc'!$I$2:$I$233,AR384+2)=A384,INDEX('Holidays Calc'!$J$2:$J$233,AR384+2),""))</f>
        <v/>
      </c>
      <c r="AO384" t="str">
        <f ca="1">IF(AR384="","",IF(INDEX('Holidays Calc'!$I$2:$I$233,AR384+3)=A384,INDEX('Holidays Calc'!$J$2:$J$233,AR384+3),""))</f>
        <v/>
      </c>
      <c r="AP384">
        <f>IFERROR(IF($E384=E383,"",MATCH($E384,Festivals!$H$2:$H$160,0)),"")</f>
        <v>114</v>
      </c>
      <c r="AQ384">
        <f>IF(AP384="","",COUNTIF(Festivals!$H$2:$H$160,$E384))</f>
        <v>1</v>
      </c>
      <c r="AR384" t="str">
        <f ca="1">IFERROR(MATCH(A384,'Holidays Calc'!$I$2:$I$233,0),"")</f>
        <v/>
      </c>
      <c r="AS384">
        <f t="shared" si="39"/>
        <v>1</v>
      </c>
      <c r="AT384">
        <f t="shared" si="38"/>
        <v>1</v>
      </c>
      <c r="AU384" t="str">
        <f t="shared" ca="1" si="40"/>
        <v/>
      </c>
      <c r="AV384">
        <f t="shared" ca="1" si="41"/>
        <v>1</v>
      </c>
    </row>
    <row r="385" spans="1:48" x14ac:dyDescent="0.25">
      <c r="A385" s="265">
        <f t="shared" si="37"/>
        <v>43811</v>
      </c>
      <c r="B385" s="265" t="str">
        <f t="shared" si="42"/>
        <v>12 Dec 2019</v>
      </c>
      <c r="C385" s="267">
        <f t="shared" si="43"/>
        <v>50</v>
      </c>
      <c r="D385">
        <f>MATCH(A385,GCalXMLT[daydate],0)</f>
        <v>384</v>
      </c>
      <c r="E385">
        <f>VALUE("1" &amp; Masacod(INDEX(GCalXMLT[gymasa],D385)) &amp; PaksaCod(INDEX(GCalXMLT[mpaksaid],D385)) &amp; TithiCod(INDEX(GCalXMLT[stithiname],D385)))</f>
        <v>110001</v>
      </c>
      <c r="F385" t="str">
        <f ca="1">INDEX(Parameters!$K$2:$K$16,MATCH(AV385,Parameters!$L$2:$L$16,0))</f>
        <v/>
      </c>
      <c r="G385">
        <f>INDEX(GCalXMLT[fastmark],$D385)</f>
        <v>0</v>
      </c>
      <c r="H385" t="str">
        <f ca="1">INDEX(Parameters!$J$2:$J$16,MATCH(AV385,Parameters!$L$2:$L$16,0))</f>
        <v/>
      </c>
      <c r="I385">
        <f>INDEX(GCalXMLT[dfestival1],$D385)</f>
        <v>0</v>
      </c>
      <c r="J385">
        <f>IF(INDEX(GCalXMLT[dfestival2],$D385)="(Fast today)",INDEX(Festivals!$R$2:$R$180,MATCH($I385,Festivals!$R$2:$R$180,0)+1),INDEX(GCalXMLT[dfestival2],$D385))</f>
        <v>0</v>
      </c>
      <c r="K385">
        <f>IF(I385="Nandotsava","(Fast till noon)",INDEX(GCalXMLT[dfestival3],$D385))</f>
        <v>0</v>
      </c>
      <c r="L385">
        <f>IF(I385="Nandotsava", INDEX(GCalXMLT[dfestival3],$D385),INDEX(GCalXMLT[dfestival4],$D385))</f>
        <v>0</v>
      </c>
      <c r="M385" t="str">
        <f>IFERROR(INDEX(Festivals!$S$2:$S$160,AP385),"")</f>
        <v/>
      </c>
      <c r="N385" t="str">
        <f>IFERROR(IF($AQ385&gt;1,INDEX(Festivals!$S$2:$S$160,$AP385+1),""),"")</f>
        <v/>
      </c>
      <c r="O385" t="str">
        <f>IFERROR(IF($AQ385&gt;2,INDEX(Festivals!$S$2:$S$160,$AP385+2),""),"")</f>
        <v/>
      </c>
      <c r="P385" t="str">
        <f>IFERROR(IF($AQ385&gt;3,INDEX(Festivals!$S$2:$S$160,$AP385+3),""),"")</f>
        <v/>
      </c>
      <c r="Q385" t="str">
        <f>IFERROR(IF($AQ385&gt;4,INDEX(Festivals!$S$2:$S$160,$AP385+4),""),"")</f>
        <v/>
      </c>
      <c r="R385" t="str">
        <f>IFERROR(IF($AQ385&gt;5,INDEX(Festivals!$S$2:$S$160,$AP385+5),""),"")</f>
        <v/>
      </c>
      <c r="S385" t="str">
        <f>IFERROR(IF($AQ385&gt;6,INDEX(Festivals!$S$2:$S$160,$AP385+6),""),"")</f>
        <v/>
      </c>
      <c r="T385">
        <f>INDEX(GCalXMLT[dcaturmasya1],$D385)</f>
        <v>0</v>
      </c>
      <c r="U385">
        <f>INDEX(GCalXMLT[dcaturmasya2],$D385)</f>
        <v>0</v>
      </c>
      <c r="V385" t="str">
        <f>INDEX(GCalXMLT[sankrantirasi],$D385) &amp; " " &amp; INDEX(GCalXMLT[sankrantitime],$D385)</f>
        <v xml:space="preserve"> </v>
      </c>
      <c r="W385" t="str">
        <f ca="1">IFERROR(INDEX('Holidays Calc'!$K$2:$K$233,AR385),"")</f>
        <v/>
      </c>
      <c r="X385" t="str">
        <f ca="1">IF(AR385="","",IF(INDEX('Holidays Calc'!$I$2:$I$233,AR385+1)=A385,INDEX('Holidays Calc'!$K$2:$K$233,AR385+1),""))</f>
        <v/>
      </c>
      <c r="Y385" t="str">
        <f ca="1">IF(AR385="","",IF(INDEX('Holidays Calc'!$I$2:$I$233,AR385+2)=A385,INDEX('Holidays Calc'!$K$2:$K$233,AR385+2),""))</f>
        <v/>
      </c>
      <c r="Z385" t="str">
        <f ca="1">IF(AR385="","",IF(INDEX('Holidays Calc'!$I$2:$I$233,AR385+3)=A385,INDEX('Holidays Calc'!$K$2:$K$2333,AR385+3),""))</f>
        <v/>
      </c>
      <c r="AA385" t="str">
        <f>IF(I385="Last day of Bhisma Pancaka","",IF(G385="*",-0.7,IF(ISBLANK(INDEX(GCalXMLT[dclass1],$D385)),"",INDEX(GCalXMLT[dclass1],$D385))))</f>
        <v/>
      </c>
      <c r="AB385" t="str">
        <f>IF(J385="First day of Bhisma Pancaka","",IF(AND(G385="*",NOT(ISERROR(SEARCH("ekadasi",J385)))),-0.7,IF(ISBLANK(INDEX(GCalXMLT[dclass2],$D385)),"",INDEX(GCalXMLT[dclass2],$D385))))</f>
        <v/>
      </c>
      <c r="AC385" t="str">
        <f>IF(I385="Nandotsava",-1,IF(ISBLANK(INDEX(GCalXMLT[dclass3],$D385)),"",INDEX(GCalXMLT[dclass3],$D385)))</f>
        <v/>
      </c>
      <c r="AD385" t="str">
        <f>IF(I385="Nandotsava",IF(ISBLANK(INDEX(GCalXMLT[dclass3],$D385)),"",INDEX(GCalXMLT[dclass3],$D385)),IF(ISBLANK(INDEX(GCalXMLT[dclass4],$D385)),"",INDEX(GCalXMLT[dclass4],$D385)))</f>
        <v/>
      </c>
      <c r="AE385" t="str">
        <f>IFERROR(INDEX(Festivals!$V$2:$V$160,AP385),"")</f>
        <v/>
      </c>
      <c r="AF385" t="str">
        <f>IFERROR(IF($AQ385&gt;1,INDEX(Festivals!$V$2:$V$160,$AP385+1),""),"")</f>
        <v/>
      </c>
      <c r="AG385" t="str">
        <f>IFERROR(IF($AQ385&gt;2,INDEX(Festivals!$V$2:$V$160,$AP385+2),""),"")</f>
        <v/>
      </c>
      <c r="AH385" t="str">
        <f>IFERROR(IF($AQ385&gt;3,INDEX(Festivals!$V$2:$V$160,$AP385+3),""),"")</f>
        <v/>
      </c>
      <c r="AI385" t="str">
        <f>IFERROR(IF($AQ385&gt;4,INDEX(Festivals!$V$2:$V$160,$AP385+4),""),"")</f>
        <v/>
      </c>
      <c r="AJ385" t="str">
        <f>IFERROR(IF($AQ385&gt;5,INDEX(Festivals!$V$2:$V$160,$AP385+5),""),"")</f>
        <v/>
      </c>
      <c r="AK385" t="str">
        <f>IFERROR(IF($AQ385&gt;6,INDEX(Festivals!$V$2:$V$160,$AP385+6),""),"")</f>
        <v/>
      </c>
      <c r="AL385" t="str">
        <f ca="1">IFERROR(INDEX('Holidays Calc'!$J$2:$J$233,MATCH(A385,'Holidays Calc'!$I$2:$I$233,0)),"")</f>
        <v/>
      </c>
      <c r="AM385" t="str">
        <f ca="1">IF(AR385="","",IF(INDEX('Holidays Calc'!$I$2:$I$233,AR385+1)=A385,INDEX('Holidays Calc'!$J$2:$J$233,AR385+1),""))</f>
        <v/>
      </c>
      <c r="AN385" t="str">
        <f ca="1">IF(AR385="","",IF(INDEX('Holidays Calc'!$I$2:$I$233,AR385+2)=A385,INDEX('Holidays Calc'!$J$2:$J$233,AR385+2),""))</f>
        <v/>
      </c>
      <c r="AO385" t="str">
        <f ca="1">IF(AR385="","",IF(INDEX('Holidays Calc'!$I$2:$I$233,AR385+3)=A385,INDEX('Holidays Calc'!$J$2:$J$233,AR385+3),""))</f>
        <v/>
      </c>
      <c r="AP385" t="str">
        <f>IFERROR(IF($E385=E384,"",MATCH($E385,Festivals!$H$2:$H$160,0)),"")</f>
        <v/>
      </c>
      <c r="AQ385" t="str">
        <f>IF(AP385="","",COUNTIF(Festivals!$H$2:$H$160,$E385))</f>
        <v/>
      </c>
      <c r="AR385" t="str">
        <f ca="1">IFERROR(MATCH(A385,'Holidays Calc'!$I$2:$I$233,0),"")</f>
        <v/>
      </c>
      <c r="AS385" t="str">
        <f t="shared" si="39"/>
        <v/>
      </c>
      <c r="AT385" t="str">
        <f t="shared" si="38"/>
        <v/>
      </c>
      <c r="AU385" t="str">
        <f t="shared" ca="1" si="40"/>
        <v/>
      </c>
      <c r="AV385" t="str">
        <f t="shared" ca="1" si="41"/>
        <v/>
      </c>
    </row>
    <row r="386" spans="1:48" x14ac:dyDescent="0.25">
      <c r="A386" s="265">
        <f t="shared" ref="A386:A435" si="44">A385+1</f>
        <v>43812</v>
      </c>
      <c r="B386" s="265" t="str">
        <f t="shared" si="42"/>
        <v>13 Dec 2019</v>
      </c>
      <c r="C386" s="267">
        <f t="shared" si="43"/>
        <v>50</v>
      </c>
      <c r="D386">
        <f>MATCH(A386,GCalXMLT[daydate],0)</f>
        <v>385</v>
      </c>
      <c r="E386">
        <f>VALUE("1" &amp; Masacod(INDEX(GCalXMLT[gymasa],D386)) &amp; PaksaCod(INDEX(GCalXMLT[mpaksaid],D386)) &amp; TithiCod(INDEX(GCalXMLT[stithiname],D386)))</f>
        <v>110002</v>
      </c>
      <c r="F386" t="str">
        <f ca="1">INDEX(Parameters!$K$2:$K$16,MATCH(AV386,Parameters!$L$2:$L$16,0))</f>
        <v/>
      </c>
      <c r="G386">
        <f>INDEX(GCalXMLT[fastmark],$D386)</f>
        <v>0</v>
      </c>
      <c r="H386" t="str">
        <f ca="1">INDEX(Parameters!$J$2:$J$16,MATCH(AV386,Parameters!$L$2:$L$16,0))</f>
        <v/>
      </c>
      <c r="I386">
        <f>INDEX(GCalXMLT[dfestival1],$D386)</f>
        <v>0</v>
      </c>
      <c r="J386">
        <f>IF(INDEX(GCalXMLT[dfestival2],$D386)="(Fast today)",INDEX(Festivals!$R$2:$R$180,MATCH($I386,Festivals!$R$2:$R$180,0)+1),INDEX(GCalXMLT[dfestival2],$D386))</f>
        <v>0</v>
      </c>
      <c r="K386">
        <f>IF(I386="Nandotsava","(Fast till noon)",INDEX(GCalXMLT[dfestival3],$D386))</f>
        <v>0</v>
      </c>
      <c r="L386">
        <f>IF(I386="Nandotsava", INDEX(GCalXMLT[dfestival3],$D386),INDEX(GCalXMLT[dfestival4],$D386))</f>
        <v>0</v>
      </c>
      <c r="M386" t="str">
        <f>IFERROR(INDEX(Festivals!$S$2:$S$160,AP386),"")</f>
        <v/>
      </c>
      <c r="N386" t="str">
        <f>IFERROR(IF($AQ386&gt;1,INDEX(Festivals!$S$2:$S$160,$AP386+1),""),"")</f>
        <v/>
      </c>
      <c r="O386" t="str">
        <f>IFERROR(IF($AQ386&gt;2,INDEX(Festivals!$S$2:$S$160,$AP386+2),""),"")</f>
        <v/>
      </c>
      <c r="P386" t="str">
        <f>IFERROR(IF($AQ386&gt;3,INDEX(Festivals!$S$2:$S$160,$AP386+3),""),"")</f>
        <v/>
      </c>
      <c r="Q386" t="str">
        <f>IFERROR(IF($AQ386&gt;4,INDEX(Festivals!$S$2:$S$160,$AP386+4),""),"")</f>
        <v/>
      </c>
      <c r="R386" t="str">
        <f>IFERROR(IF($AQ386&gt;5,INDEX(Festivals!$S$2:$S$160,$AP386+5),""),"")</f>
        <v/>
      </c>
      <c r="S386" t="str">
        <f>IFERROR(IF($AQ386&gt;6,INDEX(Festivals!$S$2:$S$160,$AP386+6),""),"")</f>
        <v/>
      </c>
      <c r="T386">
        <f>INDEX(GCalXMLT[dcaturmasya1],$D386)</f>
        <v>0</v>
      </c>
      <c r="U386">
        <f>INDEX(GCalXMLT[dcaturmasya2],$D386)</f>
        <v>0</v>
      </c>
      <c r="V386" t="str">
        <f>INDEX(GCalXMLT[sankrantirasi],$D386) &amp; " " &amp; INDEX(GCalXMLT[sankrantitime],$D386)</f>
        <v xml:space="preserve"> </v>
      </c>
      <c r="W386" t="str">
        <f ca="1">IFERROR(INDEX('Holidays Calc'!$K$2:$K$233,AR386),"")</f>
        <v/>
      </c>
      <c r="X386" t="str">
        <f ca="1">IF(AR386="","",IF(INDEX('Holidays Calc'!$I$2:$I$233,AR386+1)=A386,INDEX('Holidays Calc'!$K$2:$K$233,AR386+1),""))</f>
        <v/>
      </c>
      <c r="Y386" t="str">
        <f ca="1">IF(AR386="","",IF(INDEX('Holidays Calc'!$I$2:$I$233,AR386+2)=A386,INDEX('Holidays Calc'!$K$2:$K$233,AR386+2),""))</f>
        <v/>
      </c>
      <c r="Z386" t="str">
        <f ca="1">IF(AR386="","",IF(INDEX('Holidays Calc'!$I$2:$I$233,AR386+3)=A386,INDEX('Holidays Calc'!$K$2:$K$2333,AR386+3),""))</f>
        <v/>
      </c>
      <c r="AA386" t="str">
        <f>IF(I386="Last day of Bhisma Pancaka","",IF(G386="*",-0.7,IF(ISBLANK(INDEX(GCalXMLT[dclass1],$D386)),"",INDEX(GCalXMLT[dclass1],$D386))))</f>
        <v/>
      </c>
      <c r="AB386" t="str">
        <f>IF(J386="First day of Bhisma Pancaka","",IF(AND(G386="*",NOT(ISERROR(SEARCH("ekadasi",J386)))),-0.7,IF(ISBLANK(INDEX(GCalXMLT[dclass2],$D386)),"",INDEX(GCalXMLT[dclass2],$D386))))</f>
        <v/>
      </c>
      <c r="AC386" t="str">
        <f>IF(I386="Nandotsava",-1,IF(ISBLANK(INDEX(GCalXMLT[dclass3],$D386)),"",INDEX(GCalXMLT[dclass3],$D386)))</f>
        <v/>
      </c>
      <c r="AD386" t="str">
        <f>IF(I386="Nandotsava",IF(ISBLANK(INDEX(GCalXMLT[dclass3],$D386)),"",INDEX(GCalXMLT[dclass3],$D386)),IF(ISBLANK(INDEX(GCalXMLT[dclass4],$D386)),"",INDEX(GCalXMLT[dclass4],$D386)))</f>
        <v/>
      </c>
      <c r="AE386" t="str">
        <f>IFERROR(INDEX(Festivals!$V$2:$V$160,AP386),"")</f>
        <v/>
      </c>
      <c r="AF386" t="str">
        <f>IFERROR(IF($AQ386&gt;1,INDEX(Festivals!$V$2:$V$160,$AP386+1),""),"")</f>
        <v/>
      </c>
      <c r="AG386" t="str">
        <f>IFERROR(IF($AQ386&gt;2,INDEX(Festivals!$V$2:$V$160,$AP386+2),""),"")</f>
        <v/>
      </c>
      <c r="AH386" t="str">
        <f>IFERROR(IF($AQ386&gt;3,INDEX(Festivals!$V$2:$V$160,$AP386+3),""),"")</f>
        <v/>
      </c>
      <c r="AI386" t="str">
        <f>IFERROR(IF($AQ386&gt;4,INDEX(Festivals!$V$2:$V$160,$AP386+4),""),"")</f>
        <v/>
      </c>
      <c r="AJ386" t="str">
        <f>IFERROR(IF($AQ386&gt;5,INDEX(Festivals!$V$2:$V$160,$AP386+5),""),"")</f>
        <v/>
      </c>
      <c r="AK386" t="str">
        <f>IFERROR(IF($AQ386&gt;6,INDEX(Festivals!$V$2:$V$160,$AP386+6),""),"")</f>
        <v/>
      </c>
      <c r="AL386" t="str">
        <f ca="1">IFERROR(INDEX('Holidays Calc'!$J$2:$J$233,MATCH(A386,'Holidays Calc'!$I$2:$I$233,0)),"")</f>
        <v/>
      </c>
      <c r="AM386" t="str">
        <f ca="1">IF(AR386="","",IF(INDEX('Holidays Calc'!$I$2:$I$233,AR386+1)=A386,INDEX('Holidays Calc'!$J$2:$J$233,AR386+1),""))</f>
        <v/>
      </c>
      <c r="AN386" t="str">
        <f ca="1">IF(AR386="","",IF(INDEX('Holidays Calc'!$I$2:$I$233,AR386+2)=A386,INDEX('Holidays Calc'!$J$2:$J$233,AR386+2),""))</f>
        <v/>
      </c>
      <c r="AO386" t="str">
        <f ca="1">IF(AR386="","",IF(INDEX('Holidays Calc'!$I$2:$I$233,AR386+3)=A386,INDEX('Holidays Calc'!$J$2:$J$233,AR386+3),""))</f>
        <v/>
      </c>
      <c r="AP386" t="str">
        <f>IFERROR(IF($E386=E385,"",MATCH($E386,Festivals!$H$2:$H$160,0)),"")</f>
        <v/>
      </c>
      <c r="AQ386" t="str">
        <f>IF(AP386="","",COUNTIF(Festivals!$H$2:$H$160,$E386))</f>
        <v/>
      </c>
      <c r="AR386" t="str">
        <f ca="1">IFERROR(MATCH(A386,'Holidays Calc'!$I$2:$I$233,0),"")</f>
        <v/>
      </c>
      <c r="AS386" t="str">
        <f t="shared" si="39"/>
        <v/>
      </c>
      <c r="AT386" t="str">
        <f t="shared" ref="AT386:AT435" si="45">IF(AND(G386 = "*", AS386 &lt;= -1 ), -2, IF(AND(G385 = "*", AS386 &lt;= -1), -0.3, AS386))</f>
        <v/>
      </c>
      <c r="AU386" t="str">
        <f t="shared" ca="1" si="40"/>
        <v/>
      </c>
      <c r="AV386" t="str">
        <f t="shared" ca="1" si="41"/>
        <v/>
      </c>
    </row>
    <row r="387" spans="1:48" x14ac:dyDescent="0.25">
      <c r="A387" s="265">
        <f t="shared" si="44"/>
        <v>43813</v>
      </c>
      <c r="B387" s="265" t="str">
        <f t="shared" si="42"/>
        <v>14 Dec 2019</v>
      </c>
      <c r="C387" s="267">
        <f t="shared" si="43"/>
        <v>50</v>
      </c>
      <c r="D387">
        <f>MATCH(A387,GCalXMLT[daydate],0)</f>
        <v>386</v>
      </c>
      <c r="E387">
        <f>VALUE("1" &amp; Masacod(INDEX(GCalXMLT[gymasa],D387)) &amp; PaksaCod(INDEX(GCalXMLT[mpaksaid],D387)) &amp; TithiCod(INDEX(GCalXMLT[stithiname],D387)))</f>
        <v>110003</v>
      </c>
      <c r="F387" t="str">
        <f ca="1">INDEX(Parameters!$K$2:$K$16,MATCH(AV387,Parameters!$L$2:$L$16,0))</f>
        <v/>
      </c>
      <c r="G387">
        <f>INDEX(GCalXMLT[fastmark],$D387)</f>
        <v>0</v>
      </c>
      <c r="H387" t="str">
        <f ca="1">INDEX(Parameters!$J$2:$J$16,MATCH(AV387,Parameters!$L$2:$L$16,0))</f>
        <v/>
      </c>
      <c r="I387">
        <f>INDEX(GCalXMLT[dfestival1],$D387)</f>
        <v>0</v>
      </c>
      <c r="J387">
        <f>IF(INDEX(GCalXMLT[dfestival2],$D387)="(Fast today)",INDEX(Festivals!$R$2:$R$180,MATCH($I387,Festivals!$R$2:$R$180,0)+1),INDEX(GCalXMLT[dfestival2],$D387))</f>
        <v>0</v>
      </c>
      <c r="K387">
        <f>IF(I387="Nandotsava","(Fast till noon)",INDEX(GCalXMLT[dfestival3],$D387))</f>
        <v>0</v>
      </c>
      <c r="L387">
        <f>IF(I387="Nandotsava", INDEX(GCalXMLT[dfestival3],$D387),INDEX(GCalXMLT[dfestival4],$D387))</f>
        <v>0</v>
      </c>
      <c r="M387" t="str">
        <f>IFERROR(INDEX(Festivals!$S$2:$S$160,AP387),"")</f>
        <v/>
      </c>
      <c r="N387" t="str">
        <f>IFERROR(IF($AQ387&gt;1,INDEX(Festivals!$S$2:$S$160,$AP387+1),""),"")</f>
        <v/>
      </c>
      <c r="O387" t="str">
        <f>IFERROR(IF($AQ387&gt;2,INDEX(Festivals!$S$2:$S$160,$AP387+2),""),"")</f>
        <v/>
      </c>
      <c r="P387" t="str">
        <f>IFERROR(IF($AQ387&gt;3,INDEX(Festivals!$S$2:$S$160,$AP387+3),""),"")</f>
        <v/>
      </c>
      <c r="Q387" t="str">
        <f>IFERROR(IF($AQ387&gt;4,INDEX(Festivals!$S$2:$S$160,$AP387+4),""),"")</f>
        <v/>
      </c>
      <c r="R387" t="str">
        <f>IFERROR(IF($AQ387&gt;5,INDEX(Festivals!$S$2:$S$160,$AP387+5),""),"")</f>
        <v/>
      </c>
      <c r="S387" t="str">
        <f>IFERROR(IF($AQ387&gt;6,INDEX(Festivals!$S$2:$S$160,$AP387+6),""),"")</f>
        <v/>
      </c>
      <c r="T387">
        <f>INDEX(GCalXMLT[dcaturmasya1],$D387)</f>
        <v>0</v>
      </c>
      <c r="U387">
        <f>INDEX(GCalXMLT[dcaturmasya2],$D387)</f>
        <v>0</v>
      </c>
      <c r="V387" t="str">
        <f>INDEX(GCalXMLT[sankrantirasi],$D387) &amp; " " &amp; INDEX(GCalXMLT[sankrantitime],$D387)</f>
        <v xml:space="preserve"> </v>
      </c>
      <c r="W387" t="str">
        <f ca="1">IFERROR(INDEX('Holidays Calc'!$K$2:$K$233,AR387),"")</f>
        <v/>
      </c>
      <c r="X387" t="str">
        <f ca="1">IF(AR387="","",IF(INDEX('Holidays Calc'!$I$2:$I$233,AR387+1)=A387,INDEX('Holidays Calc'!$K$2:$K$233,AR387+1),""))</f>
        <v/>
      </c>
      <c r="Y387" t="str">
        <f ca="1">IF(AR387="","",IF(INDEX('Holidays Calc'!$I$2:$I$233,AR387+2)=A387,INDEX('Holidays Calc'!$K$2:$K$233,AR387+2),""))</f>
        <v/>
      </c>
      <c r="Z387" t="str">
        <f ca="1">IF(AR387="","",IF(INDEX('Holidays Calc'!$I$2:$I$233,AR387+3)=A387,INDEX('Holidays Calc'!$K$2:$K$2333,AR387+3),""))</f>
        <v/>
      </c>
      <c r="AA387" t="str">
        <f>IF(I387="Last day of Bhisma Pancaka","",IF(G387="*",-0.7,IF(ISBLANK(INDEX(GCalXMLT[dclass1],$D387)),"",INDEX(GCalXMLT[dclass1],$D387))))</f>
        <v/>
      </c>
      <c r="AB387" t="str">
        <f>IF(J387="First day of Bhisma Pancaka","",IF(AND(G387="*",NOT(ISERROR(SEARCH("ekadasi",J387)))),-0.7,IF(ISBLANK(INDEX(GCalXMLT[dclass2],$D387)),"",INDEX(GCalXMLT[dclass2],$D387))))</f>
        <v/>
      </c>
      <c r="AC387" t="str">
        <f>IF(I387="Nandotsava",-1,IF(ISBLANK(INDEX(GCalXMLT[dclass3],$D387)),"",INDEX(GCalXMLT[dclass3],$D387)))</f>
        <v/>
      </c>
      <c r="AD387" t="str">
        <f>IF(I387="Nandotsava",IF(ISBLANK(INDEX(GCalXMLT[dclass3],$D387)),"",INDEX(GCalXMLT[dclass3],$D387)),IF(ISBLANK(INDEX(GCalXMLT[dclass4],$D387)),"",INDEX(GCalXMLT[dclass4],$D387)))</f>
        <v/>
      </c>
      <c r="AE387" t="str">
        <f>IFERROR(INDEX(Festivals!$V$2:$V$160,AP387),"")</f>
        <v/>
      </c>
      <c r="AF387" t="str">
        <f>IFERROR(IF($AQ387&gt;1,INDEX(Festivals!$V$2:$V$160,$AP387+1),""),"")</f>
        <v/>
      </c>
      <c r="AG387" t="str">
        <f>IFERROR(IF($AQ387&gt;2,INDEX(Festivals!$V$2:$V$160,$AP387+2),""),"")</f>
        <v/>
      </c>
      <c r="AH387" t="str">
        <f>IFERROR(IF($AQ387&gt;3,INDEX(Festivals!$V$2:$V$160,$AP387+3),""),"")</f>
        <v/>
      </c>
      <c r="AI387" t="str">
        <f>IFERROR(IF($AQ387&gt;4,INDEX(Festivals!$V$2:$V$160,$AP387+4),""),"")</f>
        <v/>
      </c>
      <c r="AJ387" t="str">
        <f>IFERROR(IF($AQ387&gt;5,INDEX(Festivals!$V$2:$V$160,$AP387+5),""),"")</f>
        <v/>
      </c>
      <c r="AK387" t="str">
        <f>IFERROR(IF($AQ387&gt;6,INDEX(Festivals!$V$2:$V$160,$AP387+6),""),"")</f>
        <v/>
      </c>
      <c r="AL387" t="str">
        <f ca="1">IFERROR(INDEX('Holidays Calc'!$J$2:$J$233,MATCH(A387,'Holidays Calc'!$I$2:$I$233,0)),"")</f>
        <v/>
      </c>
      <c r="AM387" t="str">
        <f ca="1">IF(AR387="","",IF(INDEX('Holidays Calc'!$I$2:$I$233,AR387+1)=A387,INDEX('Holidays Calc'!$J$2:$J$233,AR387+1),""))</f>
        <v/>
      </c>
      <c r="AN387" t="str">
        <f ca="1">IF(AR387="","",IF(INDEX('Holidays Calc'!$I$2:$I$233,AR387+2)=A387,INDEX('Holidays Calc'!$J$2:$J$233,AR387+2),""))</f>
        <v/>
      </c>
      <c r="AO387" t="str">
        <f ca="1">IF(AR387="","",IF(INDEX('Holidays Calc'!$I$2:$I$233,AR387+3)=A387,INDEX('Holidays Calc'!$J$2:$J$233,AR387+3),""))</f>
        <v/>
      </c>
      <c r="AP387" t="str">
        <f>IFERROR(IF($E387=E386,"",MATCH($E387,Festivals!$H$2:$H$160,0)),"")</f>
        <v/>
      </c>
      <c r="AQ387" t="str">
        <f>IF(AP387="","",COUNTIF(Festivals!$H$2:$H$160,$E387))</f>
        <v/>
      </c>
      <c r="AR387" t="str">
        <f ca="1">IFERROR(MATCH(A387,'Holidays Calc'!$I$2:$I$233,0),"")</f>
        <v/>
      </c>
      <c r="AS387" t="str">
        <f t="shared" ref="AS387:AS435" si="46">IF(COUNT(AA387:AK387)&lt;1,"",MIN(AA387:AK387))</f>
        <v/>
      </c>
      <c r="AT387" t="str">
        <f t="shared" si="45"/>
        <v/>
      </c>
      <c r="AU387" t="str">
        <f t="shared" ref="AU387:AU435" ca="1" si="47">IF(COUNT(AL387:AO387)&lt;1,"",MIN(AL387:AO387))</f>
        <v/>
      </c>
      <c r="AV387" t="str">
        <f t="shared" ref="AV387:AV435" ca="1" si="48">IF(AND(AU387 &lt; -10,AT387 &lt; -0.5),-21,IF(COUNT(AT387:AU387)&lt;1,"",MIN(AT387:AU387)))</f>
        <v/>
      </c>
    </row>
    <row r="388" spans="1:48" x14ac:dyDescent="0.25">
      <c r="A388" s="265">
        <f t="shared" si="44"/>
        <v>43814</v>
      </c>
      <c r="B388" s="265" t="str">
        <f t="shared" si="42"/>
        <v>15 Dec 2019</v>
      </c>
      <c r="C388" s="267">
        <f t="shared" si="43"/>
        <v>50</v>
      </c>
      <c r="D388">
        <f>MATCH(A388,GCalXMLT[daydate],0)</f>
        <v>387</v>
      </c>
      <c r="E388">
        <f>VALUE("1" &amp; Masacod(INDEX(GCalXMLT[gymasa],D388)) &amp; PaksaCod(INDEX(GCalXMLT[mpaksaid],D388)) &amp; TithiCod(INDEX(GCalXMLT[stithiname],D388)))</f>
        <v>110004</v>
      </c>
      <c r="F388" t="str">
        <f ca="1">INDEX(Parameters!$K$2:$K$16,MATCH(AV388,Parameters!$L$2:$L$16,0))</f>
        <v>P</v>
      </c>
      <c r="G388">
        <f>INDEX(GCalXMLT[fastmark],$D388)</f>
        <v>0</v>
      </c>
      <c r="H388" t="str">
        <f ca="1">INDEX(Parameters!$J$2:$J$16,MATCH(AV388,Parameters!$L$2:$L$16,0))</f>
        <v>*</v>
      </c>
      <c r="I388">
        <f>INDEX(GCalXMLT[dfestival1],$D388)</f>
        <v>0</v>
      </c>
      <c r="J388">
        <f>IF(INDEX(GCalXMLT[dfestival2],$D388)="(Fast today)",INDEX(Festivals!$R$2:$R$180,MATCH($I388,Festivals!$R$2:$R$180,0)+1),INDEX(GCalXMLT[dfestival2],$D388))</f>
        <v>0</v>
      </c>
      <c r="K388">
        <f>IF(I388="Nandotsava","(Fast till noon)",INDEX(GCalXMLT[dfestival3],$D388))</f>
        <v>0</v>
      </c>
      <c r="L388">
        <f>IF(I388="Nandotsava", INDEX(GCalXMLT[dfestival3],$D388),INDEX(GCalXMLT[dfestival4],$D388))</f>
        <v>0</v>
      </c>
      <c r="M388" t="str">
        <f>IFERROR(INDEX(Festivals!$S$2:$S$160,AP388),"")</f>
        <v>Srila Bhaktisiddhanta Sarasvati Thakura - Disappearance</v>
      </c>
      <c r="N388" t="str">
        <f>IFERROR(IF($AQ388&gt;1,INDEX(Festivals!$S$2:$S$160,$AP388+1),""),"")</f>
        <v>(Fast till noon)</v>
      </c>
      <c r="O388" t="str">
        <f>IFERROR(IF($AQ388&gt;2,INDEX(Festivals!$S$2:$S$160,$AP388+2),""),"")</f>
        <v/>
      </c>
      <c r="P388" t="str">
        <f>IFERROR(IF($AQ388&gt;3,INDEX(Festivals!$S$2:$S$160,$AP388+3),""),"")</f>
        <v/>
      </c>
      <c r="Q388" t="str">
        <f>IFERROR(IF($AQ388&gt;4,INDEX(Festivals!$S$2:$S$160,$AP388+4),""),"")</f>
        <v/>
      </c>
      <c r="R388" t="str">
        <f>IFERROR(IF($AQ388&gt;5,INDEX(Festivals!$S$2:$S$160,$AP388+5),""),"")</f>
        <v/>
      </c>
      <c r="S388" t="str">
        <f>IFERROR(IF($AQ388&gt;6,INDEX(Festivals!$S$2:$S$160,$AP388+6),""),"")</f>
        <v/>
      </c>
      <c r="T388">
        <f>INDEX(GCalXMLT[dcaturmasya1],$D388)</f>
        <v>0</v>
      </c>
      <c r="U388">
        <f>INDEX(GCalXMLT[dcaturmasya2],$D388)</f>
        <v>0</v>
      </c>
      <c r="V388" t="str">
        <f>INDEX(GCalXMLT[sankrantirasi],$D388) &amp; " " &amp; INDEX(GCalXMLT[sankrantitime],$D388)</f>
        <v xml:space="preserve"> </v>
      </c>
      <c r="W388" t="str">
        <f ca="1">IFERROR(INDEX('Holidays Calc'!$K$2:$K$233,AR388),"")</f>
        <v/>
      </c>
      <c r="X388" t="str">
        <f ca="1">IF(AR388="","",IF(INDEX('Holidays Calc'!$I$2:$I$233,AR388+1)=A388,INDEX('Holidays Calc'!$K$2:$K$233,AR388+1),""))</f>
        <v/>
      </c>
      <c r="Y388" t="str">
        <f ca="1">IF(AR388="","",IF(INDEX('Holidays Calc'!$I$2:$I$233,AR388+2)=A388,INDEX('Holidays Calc'!$K$2:$K$233,AR388+2),""))</f>
        <v/>
      </c>
      <c r="Z388" t="str">
        <f ca="1">IF(AR388="","",IF(INDEX('Holidays Calc'!$I$2:$I$233,AR388+3)=A388,INDEX('Holidays Calc'!$K$2:$K$2333,AR388+3),""))</f>
        <v/>
      </c>
      <c r="AA388" t="str">
        <f>IF(I388="Last day of Bhisma Pancaka","",IF(G388="*",-0.7,IF(ISBLANK(INDEX(GCalXMLT[dclass1],$D388)),"",INDEX(GCalXMLT[dclass1],$D388))))</f>
        <v/>
      </c>
      <c r="AB388" t="str">
        <f>IF(J388="First day of Bhisma Pancaka","",IF(AND(G388="*",NOT(ISERROR(SEARCH("ekadasi",J388)))),-0.7,IF(ISBLANK(INDEX(GCalXMLT[dclass2],$D388)),"",INDEX(GCalXMLT[dclass2],$D388))))</f>
        <v/>
      </c>
      <c r="AC388" t="str">
        <f>IF(I388="Nandotsava",-1,IF(ISBLANK(INDEX(GCalXMLT[dclass3],$D388)),"",INDEX(GCalXMLT[dclass3],$D388)))</f>
        <v/>
      </c>
      <c r="AD388" t="str">
        <f>IF(I388="Nandotsava",IF(ISBLANK(INDEX(GCalXMLT[dclass3],$D388)),"",INDEX(GCalXMLT[dclass3],$D388)),IF(ISBLANK(INDEX(GCalXMLT[dclass4],$D388)),"",INDEX(GCalXMLT[dclass4],$D388)))</f>
        <v/>
      </c>
      <c r="AE388">
        <f>IFERROR(INDEX(Festivals!$V$2:$V$160,AP388),"")</f>
        <v>2</v>
      </c>
      <c r="AF388">
        <f>IFERROR(IF($AQ388&gt;1,INDEX(Festivals!$V$2:$V$160,$AP388+1),""),"")</f>
        <v>-1</v>
      </c>
      <c r="AG388" t="str">
        <f>IFERROR(IF($AQ388&gt;2,INDEX(Festivals!$V$2:$V$160,$AP388+2),""),"")</f>
        <v/>
      </c>
      <c r="AH388" t="str">
        <f>IFERROR(IF($AQ388&gt;3,INDEX(Festivals!$V$2:$V$160,$AP388+3),""),"")</f>
        <v/>
      </c>
      <c r="AI388" t="str">
        <f>IFERROR(IF($AQ388&gt;4,INDEX(Festivals!$V$2:$V$160,$AP388+4),""),"")</f>
        <v/>
      </c>
      <c r="AJ388" t="str">
        <f>IFERROR(IF($AQ388&gt;5,INDEX(Festivals!$V$2:$V$160,$AP388+5),""),"")</f>
        <v/>
      </c>
      <c r="AK388" t="str">
        <f>IFERROR(IF($AQ388&gt;6,INDEX(Festivals!$V$2:$V$160,$AP388+6),""),"")</f>
        <v/>
      </c>
      <c r="AL388" t="str">
        <f ca="1">IFERROR(INDEX('Holidays Calc'!$J$2:$J$233,MATCH(A388,'Holidays Calc'!$I$2:$I$233,0)),"")</f>
        <v/>
      </c>
      <c r="AM388" t="str">
        <f ca="1">IF(AR388="","",IF(INDEX('Holidays Calc'!$I$2:$I$233,AR388+1)=A388,INDEX('Holidays Calc'!$J$2:$J$233,AR388+1),""))</f>
        <v/>
      </c>
      <c r="AN388" t="str">
        <f ca="1">IF(AR388="","",IF(INDEX('Holidays Calc'!$I$2:$I$233,AR388+2)=A388,INDEX('Holidays Calc'!$J$2:$J$233,AR388+2),""))</f>
        <v/>
      </c>
      <c r="AO388" t="str">
        <f ca="1">IF(AR388="","",IF(INDEX('Holidays Calc'!$I$2:$I$233,AR388+3)=A388,INDEX('Holidays Calc'!$J$2:$J$233,AR388+3),""))</f>
        <v/>
      </c>
      <c r="AP388">
        <f>IFERROR(IF($E388=E387,"",MATCH($E388,Festivals!$H$2:$H$160,0)),"")</f>
        <v>115</v>
      </c>
      <c r="AQ388">
        <f>IF(AP388="","",COUNTIF(Festivals!$H$2:$H$160,$E388))</f>
        <v>2</v>
      </c>
      <c r="AR388" t="str">
        <f ca="1">IFERROR(MATCH(A388,'Holidays Calc'!$I$2:$I$233,0),"")</f>
        <v/>
      </c>
      <c r="AS388">
        <f t="shared" si="46"/>
        <v>-1</v>
      </c>
      <c r="AT388">
        <f t="shared" si="45"/>
        <v>-1</v>
      </c>
      <c r="AU388" t="str">
        <f t="shared" ca="1" si="47"/>
        <v/>
      </c>
      <c r="AV388">
        <f t="shared" ca="1" si="48"/>
        <v>-1</v>
      </c>
    </row>
    <row r="389" spans="1:48" x14ac:dyDescent="0.25">
      <c r="A389" s="265">
        <f t="shared" si="44"/>
        <v>43815</v>
      </c>
      <c r="B389" s="265" t="str">
        <f t="shared" si="42"/>
        <v>16 Dec 2019</v>
      </c>
      <c r="C389" s="267">
        <f t="shared" si="43"/>
        <v>51</v>
      </c>
      <c r="D389">
        <f>MATCH(A389,GCalXMLT[daydate],0)</f>
        <v>388</v>
      </c>
      <c r="E389">
        <f>VALUE("1" &amp; Masacod(INDEX(GCalXMLT[gymasa],D389)) &amp; PaksaCod(INDEX(GCalXMLT[mpaksaid],D389)) &amp; TithiCod(INDEX(GCalXMLT[stithiname],D389)))</f>
        <v>110005</v>
      </c>
      <c r="F389" t="str">
        <f ca="1">INDEX(Parameters!$K$2:$K$16,MATCH(AV389,Parameters!$L$2:$L$16,0))</f>
        <v/>
      </c>
      <c r="G389">
        <f>INDEX(GCalXMLT[fastmark],$D389)</f>
        <v>0</v>
      </c>
      <c r="H389" t="str">
        <f ca="1">INDEX(Parameters!$J$2:$J$16,MATCH(AV389,Parameters!$L$2:$L$16,0))</f>
        <v/>
      </c>
      <c r="I389">
        <f>INDEX(GCalXMLT[dfestival1],$D389)</f>
        <v>0</v>
      </c>
      <c r="J389">
        <f>IF(INDEX(GCalXMLT[dfestival2],$D389)="(Fast today)",INDEX(Festivals!$R$2:$R$180,MATCH($I389,Festivals!$R$2:$R$180,0)+1),INDEX(GCalXMLT[dfestival2],$D389))</f>
        <v>0</v>
      </c>
      <c r="K389">
        <f>IF(I389="Nandotsava","(Fast till noon)",INDEX(GCalXMLT[dfestival3],$D389))</f>
        <v>0</v>
      </c>
      <c r="L389">
        <f>IF(I389="Nandotsava", INDEX(GCalXMLT[dfestival3],$D389),INDEX(GCalXMLT[dfestival4],$D389))</f>
        <v>0</v>
      </c>
      <c r="M389" t="str">
        <f>IFERROR(INDEX(Festivals!$S$2:$S$160,AP389),"")</f>
        <v/>
      </c>
      <c r="N389" t="str">
        <f>IFERROR(IF($AQ389&gt;1,INDEX(Festivals!$S$2:$S$160,$AP389+1),""),"")</f>
        <v/>
      </c>
      <c r="O389" t="str">
        <f>IFERROR(IF($AQ389&gt;2,INDEX(Festivals!$S$2:$S$160,$AP389+2),""),"")</f>
        <v/>
      </c>
      <c r="P389" t="str">
        <f>IFERROR(IF($AQ389&gt;3,INDEX(Festivals!$S$2:$S$160,$AP389+3),""),"")</f>
        <v/>
      </c>
      <c r="Q389" t="str">
        <f>IFERROR(IF($AQ389&gt;4,INDEX(Festivals!$S$2:$S$160,$AP389+4),""),"")</f>
        <v/>
      </c>
      <c r="R389" t="str">
        <f>IFERROR(IF($AQ389&gt;5,INDEX(Festivals!$S$2:$S$160,$AP389+5),""),"")</f>
        <v/>
      </c>
      <c r="S389" t="str">
        <f>IFERROR(IF($AQ389&gt;6,INDEX(Festivals!$S$2:$S$160,$AP389+6),""),"")</f>
        <v/>
      </c>
      <c r="T389">
        <f>INDEX(GCalXMLT[dcaturmasya1],$D389)</f>
        <v>0</v>
      </c>
      <c r="U389">
        <f>INDEX(GCalXMLT[dcaturmasya2],$D389)</f>
        <v>0</v>
      </c>
      <c r="V389" t="str">
        <f>INDEX(GCalXMLT[sankrantirasi],$D389) &amp; " " &amp; INDEX(GCalXMLT[sankrantitime],$D389)</f>
        <v>Dhanus 0,280706018518519</v>
      </c>
      <c r="W389" t="str">
        <f ca="1">IFERROR(INDEX('Holidays Calc'!$K$2:$K$233,AR389),"")</f>
        <v/>
      </c>
      <c r="X389" t="str">
        <f ca="1">IF(AR389="","",IF(INDEX('Holidays Calc'!$I$2:$I$233,AR389+1)=A389,INDEX('Holidays Calc'!$K$2:$K$233,AR389+1),""))</f>
        <v/>
      </c>
      <c r="Y389" t="str">
        <f ca="1">IF(AR389="","",IF(INDEX('Holidays Calc'!$I$2:$I$233,AR389+2)=A389,INDEX('Holidays Calc'!$K$2:$K$233,AR389+2),""))</f>
        <v/>
      </c>
      <c r="Z389" t="str">
        <f ca="1">IF(AR389="","",IF(INDEX('Holidays Calc'!$I$2:$I$233,AR389+3)=A389,INDEX('Holidays Calc'!$K$2:$K$2333,AR389+3),""))</f>
        <v/>
      </c>
      <c r="AA389" t="str">
        <f>IF(I389="Last day of Bhisma Pancaka","",IF(G389="*",-0.7,IF(ISBLANK(INDEX(GCalXMLT[dclass1],$D389)),"",INDEX(GCalXMLT[dclass1],$D389))))</f>
        <v/>
      </c>
      <c r="AB389" t="str">
        <f>IF(J389="First day of Bhisma Pancaka","",IF(AND(G389="*",NOT(ISERROR(SEARCH("ekadasi",J389)))),-0.7,IF(ISBLANK(INDEX(GCalXMLT[dclass2],$D389)),"",INDEX(GCalXMLT[dclass2],$D389))))</f>
        <v/>
      </c>
      <c r="AC389" t="str">
        <f>IF(I389="Nandotsava",-1,IF(ISBLANK(INDEX(GCalXMLT[dclass3],$D389)),"",INDEX(GCalXMLT[dclass3],$D389)))</f>
        <v/>
      </c>
      <c r="AD389" t="str">
        <f>IF(I389="Nandotsava",IF(ISBLANK(INDEX(GCalXMLT[dclass3],$D389)),"",INDEX(GCalXMLT[dclass3],$D389)),IF(ISBLANK(INDEX(GCalXMLT[dclass4],$D389)),"",INDEX(GCalXMLT[dclass4],$D389)))</f>
        <v/>
      </c>
      <c r="AE389" t="str">
        <f>IFERROR(INDEX(Festivals!$V$2:$V$160,AP389),"")</f>
        <v/>
      </c>
      <c r="AF389" t="str">
        <f>IFERROR(IF($AQ389&gt;1,INDEX(Festivals!$V$2:$V$160,$AP389+1),""),"")</f>
        <v/>
      </c>
      <c r="AG389" t="str">
        <f>IFERROR(IF($AQ389&gt;2,INDEX(Festivals!$V$2:$V$160,$AP389+2),""),"")</f>
        <v/>
      </c>
      <c r="AH389" t="str">
        <f>IFERROR(IF($AQ389&gt;3,INDEX(Festivals!$V$2:$V$160,$AP389+3),""),"")</f>
        <v/>
      </c>
      <c r="AI389" t="str">
        <f>IFERROR(IF($AQ389&gt;4,INDEX(Festivals!$V$2:$V$160,$AP389+4),""),"")</f>
        <v/>
      </c>
      <c r="AJ389" t="str">
        <f>IFERROR(IF($AQ389&gt;5,INDEX(Festivals!$V$2:$V$160,$AP389+5),""),"")</f>
        <v/>
      </c>
      <c r="AK389" t="str">
        <f>IFERROR(IF($AQ389&gt;6,INDEX(Festivals!$V$2:$V$160,$AP389+6),""),"")</f>
        <v/>
      </c>
      <c r="AL389" t="str">
        <f ca="1">IFERROR(INDEX('Holidays Calc'!$J$2:$J$233,MATCH(A389,'Holidays Calc'!$I$2:$I$233,0)),"")</f>
        <v/>
      </c>
      <c r="AM389" t="str">
        <f ca="1">IF(AR389="","",IF(INDEX('Holidays Calc'!$I$2:$I$233,AR389+1)=A389,INDEX('Holidays Calc'!$J$2:$J$233,AR389+1),""))</f>
        <v/>
      </c>
      <c r="AN389" t="str">
        <f ca="1">IF(AR389="","",IF(INDEX('Holidays Calc'!$I$2:$I$233,AR389+2)=A389,INDEX('Holidays Calc'!$J$2:$J$233,AR389+2),""))</f>
        <v/>
      </c>
      <c r="AO389" t="str">
        <f ca="1">IF(AR389="","",IF(INDEX('Holidays Calc'!$I$2:$I$233,AR389+3)=A389,INDEX('Holidays Calc'!$J$2:$J$233,AR389+3),""))</f>
        <v/>
      </c>
      <c r="AP389" t="str">
        <f>IFERROR(IF($E389=E388,"",MATCH($E389,Festivals!$H$2:$H$160,0)),"")</f>
        <v/>
      </c>
      <c r="AQ389" t="str">
        <f>IF(AP389="","",COUNTIF(Festivals!$H$2:$H$160,$E389))</f>
        <v/>
      </c>
      <c r="AR389" t="str">
        <f ca="1">IFERROR(MATCH(A389,'Holidays Calc'!$I$2:$I$233,0),"")</f>
        <v/>
      </c>
      <c r="AS389" t="str">
        <f t="shared" si="46"/>
        <v/>
      </c>
      <c r="AT389" t="str">
        <f t="shared" si="45"/>
        <v/>
      </c>
      <c r="AU389" t="str">
        <f t="shared" ca="1" si="47"/>
        <v/>
      </c>
      <c r="AV389" t="str">
        <f t="shared" ca="1" si="48"/>
        <v/>
      </c>
    </row>
    <row r="390" spans="1:48" x14ac:dyDescent="0.25">
      <c r="A390" s="265">
        <f t="shared" si="44"/>
        <v>43816</v>
      </c>
      <c r="B390" s="265" t="str">
        <f t="shared" si="42"/>
        <v>17 Dec 2019</v>
      </c>
      <c r="C390" s="267">
        <f t="shared" si="43"/>
        <v>51</v>
      </c>
      <c r="D390">
        <f>MATCH(A390,GCalXMLT[daydate],0)</f>
        <v>389</v>
      </c>
      <c r="E390">
        <f>VALUE("1" &amp; Masacod(INDEX(GCalXMLT[gymasa],D390)) &amp; PaksaCod(INDEX(GCalXMLT[mpaksaid],D390)) &amp; TithiCod(INDEX(GCalXMLT[stithiname],D390)))</f>
        <v>110006</v>
      </c>
      <c r="F390" t="str">
        <f ca="1">INDEX(Parameters!$K$2:$K$16,MATCH(AV390,Parameters!$L$2:$L$16,0))</f>
        <v/>
      </c>
      <c r="G390">
        <f>INDEX(GCalXMLT[fastmark],$D390)</f>
        <v>0</v>
      </c>
      <c r="H390" t="str">
        <f ca="1">INDEX(Parameters!$J$2:$J$16,MATCH(AV390,Parameters!$L$2:$L$16,0))</f>
        <v/>
      </c>
      <c r="I390">
        <f>INDEX(GCalXMLT[dfestival1],$D390)</f>
        <v>0</v>
      </c>
      <c r="J390">
        <f>IF(INDEX(GCalXMLT[dfestival2],$D390)="(Fast today)",INDEX(Festivals!$R$2:$R$180,MATCH($I390,Festivals!$R$2:$R$180,0)+1),INDEX(GCalXMLT[dfestival2],$D390))</f>
        <v>0</v>
      </c>
      <c r="K390">
        <f>IF(I390="Nandotsava","(Fast till noon)",INDEX(GCalXMLT[dfestival3],$D390))</f>
        <v>0</v>
      </c>
      <c r="L390">
        <f>IF(I390="Nandotsava", INDEX(GCalXMLT[dfestival3],$D390),INDEX(GCalXMLT[dfestival4],$D390))</f>
        <v>0</v>
      </c>
      <c r="M390" t="str">
        <f>IFERROR(INDEX(Festivals!$S$2:$S$160,AP390),"")</f>
        <v/>
      </c>
      <c r="N390" t="str">
        <f>IFERROR(IF($AQ390&gt;1,INDEX(Festivals!$S$2:$S$160,$AP390+1),""),"")</f>
        <v/>
      </c>
      <c r="O390" t="str">
        <f>IFERROR(IF($AQ390&gt;2,INDEX(Festivals!$S$2:$S$160,$AP390+2),""),"")</f>
        <v/>
      </c>
      <c r="P390" t="str">
        <f>IFERROR(IF($AQ390&gt;3,INDEX(Festivals!$S$2:$S$160,$AP390+3),""),"")</f>
        <v/>
      </c>
      <c r="Q390" t="str">
        <f>IFERROR(IF($AQ390&gt;4,INDEX(Festivals!$S$2:$S$160,$AP390+4),""),"")</f>
        <v/>
      </c>
      <c r="R390" t="str">
        <f>IFERROR(IF($AQ390&gt;5,INDEX(Festivals!$S$2:$S$160,$AP390+5),""),"")</f>
        <v/>
      </c>
      <c r="S390" t="str">
        <f>IFERROR(IF($AQ390&gt;6,INDEX(Festivals!$S$2:$S$160,$AP390+6),""),"")</f>
        <v/>
      </c>
      <c r="T390">
        <f>INDEX(GCalXMLT[dcaturmasya1],$D390)</f>
        <v>0</v>
      </c>
      <c r="U390">
        <f>INDEX(GCalXMLT[dcaturmasya2],$D390)</f>
        <v>0</v>
      </c>
      <c r="V390" t="str">
        <f>INDEX(GCalXMLT[sankrantirasi],$D390) &amp; " " &amp; INDEX(GCalXMLT[sankrantitime],$D390)</f>
        <v xml:space="preserve"> </v>
      </c>
      <c r="W390" t="str">
        <f ca="1">IFERROR(INDEX('Holidays Calc'!$K$2:$K$233,AR390),"")</f>
        <v/>
      </c>
      <c r="X390" t="str">
        <f ca="1">IF(AR390="","",IF(INDEX('Holidays Calc'!$I$2:$I$233,AR390+1)=A390,INDEX('Holidays Calc'!$K$2:$K$233,AR390+1),""))</f>
        <v/>
      </c>
      <c r="Y390" t="str">
        <f ca="1">IF(AR390="","",IF(INDEX('Holidays Calc'!$I$2:$I$233,AR390+2)=A390,INDEX('Holidays Calc'!$K$2:$K$233,AR390+2),""))</f>
        <v/>
      </c>
      <c r="Z390" t="str">
        <f ca="1">IF(AR390="","",IF(INDEX('Holidays Calc'!$I$2:$I$233,AR390+3)=A390,INDEX('Holidays Calc'!$K$2:$K$2333,AR390+3),""))</f>
        <v/>
      </c>
      <c r="AA390" t="str">
        <f>IF(I390="Last day of Bhisma Pancaka","",IF(G390="*",-0.7,IF(ISBLANK(INDEX(GCalXMLT[dclass1],$D390)),"",INDEX(GCalXMLT[dclass1],$D390))))</f>
        <v/>
      </c>
      <c r="AB390" t="str">
        <f>IF(J390="First day of Bhisma Pancaka","",IF(AND(G390="*",NOT(ISERROR(SEARCH("ekadasi",J390)))),-0.7,IF(ISBLANK(INDEX(GCalXMLT[dclass2],$D390)),"",INDEX(GCalXMLT[dclass2],$D390))))</f>
        <v/>
      </c>
      <c r="AC390" t="str">
        <f>IF(I390="Nandotsava",-1,IF(ISBLANK(INDEX(GCalXMLT[dclass3],$D390)),"",INDEX(GCalXMLT[dclass3],$D390)))</f>
        <v/>
      </c>
      <c r="AD390" t="str">
        <f>IF(I390="Nandotsava",IF(ISBLANK(INDEX(GCalXMLT[dclass3],$D390)),"",INDEX(GCalXMLT[dclass3],$D390)),IF(ISBLANK(INDEX(GCalXMLT[dclass4],$D390)),"",INDEX(GCalXMLT[dclass4],$D390)))</f>
        <v/>
      </c>
      <c r="AE390" t="str">
        <f>IFERROR(INDEX(Festivals!$V$2:$V$160,AP390),"")</f>
        <v/>
      </c>
      <c r="AF390" t="str">
        <f>IFERROR(IF($AQ390&gt;1,INDEX(Festivals!$V$2:$V$160,$AP390+1),""),"")</f>
        <v/>
      </c>
      <c r="AG390" t="str">
        <f>IFERROR(IF($AQ390&gt;2,INDEX(Festivals!$V$2:$V$160,$AP390+2),""),"")</f>
        <v/>
      </c>
      <c r="AH390" t="str">
        <f>IFERROR(IF($AQ390&gt;3,INDEX(Festivals!$V$2:$V$160,$AP390+3),""),"")</f>
        <v/>
      </c>
      <c r="AI390" t="str">
        <f>IFERROR(IF($AQ390&gt;4,INDEX(Festivals!$V$2:$V$160,$AP390+4),""),"")</f>
        <v/>
      </c>
      <c r="AJ390" t="str">
        <f>IFERROR(IF($AQ390&gt;5,INDEX(Festivals!$V$2:$V$160,$AP390+5),""),"")</f>
        <v/>
      </c>
      <c r="AK390" t="str">
        <f>IFERROR(IF($AQ390&gt;6,INDEX(Festivals!$V$2:$V$160,$AP390+6),""),"")</f>
        <v/>
      </c>
      <c r="AL390" t="str">
        <f ca="1">IFERROR(INDEX('Holidays Calc'!$J$2:$J$233,MATCH(A390,'Holidays Calc'!$I$2:$I$233,0)),"")</f>
        <v/>
      </c>
      <c r="AM390" t="str">
        <f ca="1">IF(AR390="","",IF(INDEX('Holidays Calc'!$I$2:$I$233,AR390+1)=A390,INDEX('Holidays Calc'!$J$2:$J$233,AR390+1),""))</f>
        <v/>
      </c>
      <c r="AN390" t="str">
        <f ca="1">IF(AR390="","",IF(INDEX('Holidays Calc'!$I$2:$I$233,AR390+2)=A390,INDEX('Holidays Calc'!$J$2:$J$233,AR390+2),""))</f>
        <v/>
      </c>
      <c r="AO390" t="str">
        <f ca="1">IF(AR390="","",IF(INDEX('Holidays Calc'!$I$2:$I$233,AR390+3)=A390,INDEX('Holidays Calc'!$J$2:$J$233,AR390+3),""))</f>
        <v/>
      </c>
      <c r="AP390" t="str">
        <f>IFERROR(IF($E390=E389,"",MATCH($E390,Festivals!$H$2:$H$160,0)),"")</f>
        <v/>
      </c>
      <c r="AQ390" t="str">
        <f>IF(AP390="","",COUNTIF(Festivals!$H$2:$H$160,$E390))</f>
        <v/>
      </c>
      <c r="AR390" t="str">
        <f ca="1">IFERROR(MATCH(A390,'Holidays Calc'!$I$2:$I$233,0),"")</f>
        <v/>
      </c>
      <c r="AS390" t="str">
        <f t="shared" si="46"/>
        <v/>
      </c>
      <c r="AT390" t="str">
        <f t="shared" si="45"/>
        <v/>
      </c>
      <c r="AU390" t="str">
        <f t="shared" ca="1" si="47"/>
        <v/>
      </c>
      <c r="AV390" t="str">
        <f t="shared" ca="1" si="48"/>
        <v/>
      </c>
    </row>
    <row r="391" spans="1:48" x14ac:dyDescent="0.25">
      <c r="A391" s="265">
        <f t="shared" si="44"/>
        <v>43817</v>
      </c>
      <c r="B391" s="265" t="str">
        <f t="shared" si="42"/>
        <v>18 Dec 2019</v>
      </c>
      <c r="C391" s="267">
        <f t="shared" si="43"/>
        <v>51</v>
      </c>
      <c r="D391">
        <f>MATCH(A391,GCalXMLT[daydate],0)</f>
        <v>390</v>
      </c>
      <c r="E391">
        <f>VALUE("1" &amp; Masacod(INDEX(GCalXMLT[gymasa],D391)) &amp; PaksaCod(INDEX(GCalXMLT[mpaksaid],D391)) &amp; TithiCod(INDEX(GCalXMLT[stithiname],D391)))</f>
        <v>110007</v>
      </c>
      <c r="F391" t="str">
        <f ca="1">INDEX(Parameters!$K$2:$K$16,MATCH(AV391,Parameters!$L$2:$L$16,0))</f>
        <v/>
      </c>
      <c r="G391">
        <f>INDEX(GCalXMLT[fastmark],$D391)</f>
        <v>0</v>
      </c>
      <c r="H391" t="str">
        <f ca="1">INDEX(Parameters!$J$2:$J$16,MATCH(AV391,Parameters!$L$2:$L$16,0))</f>
        <v/>
      </c>
      <c r="I391">
        <f>INDEX(GCalXMLT[dfestival1],$D391)</f>
        <v>0</v>
      </c>
      <c r="J391">
        <f>IF(INDEX(GCalXMLT[dfestival2],$D391)="(Fast today)",INDEX(Festivals!$R$2:$R$180,MATCH($I391,Festivals!$R$2:$R$180,0)+1),INDEX(GCalXMLT[dfestival2],$D391))</f>
        <v>0</v>
      </c>
      <c r="K391">
        <f>IF(I391="Nandotsava","(Fast till noon)",INDEX(GCalXMLT[dfestival3],$D391))</f>
        <v>0</v>
      </c>
      <c r="L391">
        <f>IF(I391="Nandotsava", INDEX(GCalXMLT[dfestival3],$D391),INDEX(GCalXMLT[dfestival4],$D391))</f>
        <v>0</v>
      </c>
      <c r="M391" t="str">
        <f>IFERROR(INDEX(Festivals!$S$2:$S$160,AP391),"")</f>
        <v/>
      </c>
      <c r="N391" t="str">
        <f>IFERROR(IF($AQ391&gt;1,INDEX(Festivals!$S$2:$S$160,$AP391+1),""),"")</f>
        <v/>
      </c>
      <c r="O391" t="str">
        <f>IFERROR(IF($AQ391&gt;2,INDEX(Festivals!$S$2:$S$160,$AP391+2),""),"")</f>
        <v/>
      </c>
      <c r="P391" t="str">
        <f>IFERROR(IF($AQ391&gt;3,INDEX(Festivals!$S$2:$S$160,$AP391+3),""),"")</f>
        <v/>
      </c>
      <c r="Q391" t="str">
        <f>IFERROR(IF($AQ391&gt;4,INDEX(Festivals!$S$2:$S$160,$AP391+4),""),"")</f>
        <v/>
      </c>
      <c r="R391" t="str">
        <f>IFERROR(IF($AQ391&gt;5,INDEX(Festivals!$S$2:$S$160,$AP391+5),""),"")</f>
        <v/>
      </c>
      <c r="S391" t="str">
        <f>IFERROR(IF($AQ391&gt;6,INDEX(Festivals!$S$2:$S$160,$AP391+6),""),"")</f>
        <v/>
      </c>
      <c r="T391">
        <f>INDEX(GCalXMLT[dcaturmasya1],$D391)</f>
        <v>0</v>
      </c>
      <c r="U391">
        <f>INDEX(GCalXMLT[dcaturmasya2],$D391)</f>
        <v>0</v>
      </c>
      <c r="V391" t="str">
        <f>INDEX(GCalXMLT[sankrantirasi],$D391) &amp; " " &amp; INDEX(GCalXMLT[sankrantitime],$D391)</f>
        <v xml:space="preserve"> </v>
      </c>
      <c r="W391" t="str">
        <f ca="1">IFERROR(INDEX('Holidays Calc'!$K$2:$K$233,AR391),"")</f>
        <v/>
      </c>
      <c r="X391" t="str">
        <f ca="1">IF(AR391="","",IF(INDEX('Holidays Calc'!$I$2:$I$233,AR391+1)=A391,INDEX('Holidays Calc'!$K$2:$K$233,AR391+1),""))</f>
        <v/>
      </c>
      <c r="Y391" t="str">
        <f ca="1">IF(AR391="","",IF(INDEX('Holidays Calc'!$I$2:$I$233,AR391+2)=A391,INDEX('Holidays Calc'!$K$2:$K$233,AR391+2),""))</f>
        <v/>
      </c>
      <c r="Z391" t="str">
        <f ca="1">IF(AR391="","",IF(INDEX('Holidays Calc'!$I$2:$I$233,AR391+3)=A391,INDEX('Holidays Calc'!$K$2:$K$2333,AR391+3),""))</f>
        <v/>
      </c>
      <c r="AA391" t="str">
        <f>IF(I391="Last day of Bhisma Pancaka","",IF(G391="*",-0.7,IF(ISBLANK(INDEX(GCalXMLT[dclass1],$D391)),"",INDEX(GCalXMLT[dclass1],$D391))))</f>
        <v/>
      </c>
      <c r="AB391" t="str">
        <f>IF(J391="First day of Bhisma Pancaka","",IF(AND(G391="*",NOT(ISERROR(SEARCH("ekadasi",J391)))),-0.7,IF(ISBLANK(INDEX(GCalXMLT[dclass2],$D391)),"",INDEX(GCalXMLT[dclass2],$D391))))</f>
        <v/>
      </c>
      <c r="AC391" t="str">
        <f>IF(I391="Nandotsava",-1,IF(ISBLANK(INDEX(GCalXMLT[dclass3],$D391)),"",INDEX(GCalXMLT[dclass3],$D391)))</f>
        <v/>
      </c>
      <c r="AD391" t="str">
        <f>IF(I391="Nandotsava",IF(ISBLANK(INDEX(GCalXMLT[dclass3],$D391)),"",INDEX(GCalXMLT[dclass3],$D391)),IF(ISBLANK(INDEX(GCalXMLT[dclass4],$D391)),"",INDEX(GCalXMLT[dclass4],$D391)))</f>
        <v/>
      </c>
      <c r="AE391" t="str">
        <f>IFERROR(INDEX(Festivals!$V$2:$V$160,AP391),"")</f>
        <v/>
      </c>
      <c r="AF391" t="str">
        <f>IFERROR(IF($AQ391&gt;1,INDEX(Festivals!$V$2:$V$160,$AP391+1),""),"")</f>
        <v/>
      </c>
      <c r="AG391" t="str">
        <f>IFERROR(IF($AQ391&gt;2,INDEX(Festivals!$V$2:$V$160,$AP391+2),""),"")</f>
        <v/>
      </c>
      <c r="AH391" t="str">
        <f>IFERROR(IF($AQ391&gt;3,INDEX(Festivals!$V$2:$V$160,$AP391+3),""),"")</f>
        <v/>
      </c>
      <c r="AI391" t="str">
        <f>IFERROR(IF($AQ391&gt;4,INDEX(Festivals!$V$2:$V$160,$AP391+4),""),"")</f>
        <v/>
      </c>
      <c r="AJ391" t="str">
        <f>IFERROR(IF($AQ391&gt;5,INDEX(Festivals!$V$2:$V$160,$AP391+5),""),"")</f>
        <v/>
      </c>
      <c r="AK391" t="str">
        <f>IFERROR(IF($AQ391&gt;6,INDEX(Festivals!$V$2:$V$160,$AP391+6),""),"")</f>
        <v/>
      </c>
      <c r="AL391" t="str">
        <f ca="1">IFERROR(INDEX('Holidays Calc'!$J$2:$J$233,MATCH(A391,'Holidays Calc'!$I$2:$I$233,0)),"")</f>
        <v/>
      </c>
      <c r="AM391" t="str">
        <f ca="1">IF(AR391="","",IF(INDEX('Holidays Calc'!$I$2:$I$233,AR391+1)=A391,INDEX('Holidays Calc'!$J$2:$J$233,AR391+1),""))</f>
        <v/>
      </c>
      <c r="AN391" t="str">
        <f ca="1">IF(AR391="","",IF(INDEX('Holidays Calc'!$I$2:$I$233,AR391+2)=A391,INDEX('Holidays Calc'!$J$2:$J$233,AR391+2),""))</f>
        <v/>
      </c>
      <c r="AO391" t="str">
        <f ca="1">IF(AR391="","",IF(INDEX('Holidays Calc'!$I$2:$I$233,AR391+3)=A391,INDEX('Holidays Calc'!$J$2:$J$233,AR391+3),""))</f>
        <v/>
      </c>
      <c r="AP391" t="str">
        <f>IFERROR(IF($E391=E390,"",MATCH($E391,Festivals!$H$2:$H$160,0)),"")</f>
        <v/>
      </c>
      <c r="AQ391" t="str">
        <f>IF(AP391="","",COUNTIF(Festivals!$H$2:$H$160,$E391))</f>
        <v/>
      </c>
      <c r="AR391" t="str">
        <f ca="1">IFERROR(MATCH(A391,'Holidays Calc'!$I$2:$I$233,0),"")</f>
        <v/>
      </c>
      <c r="AS391" t="str">
        <f t="shared" si="46"/>
        <v/>
      </c>
      <c r="AT391" t="str">
        <f t="shared" si="45"/>
        <v/>
      </c>
      <c r="AU391" t="str">
        <f t="shared" ca="1" si="47"/>
        <v/>
      </c>
      <c r="AV391" t="str">
        <f t="shared" ca="1" si="48"/>
        <v/>
      </c>
    </row>
    <row r="392" spans="1:48" x14ac:dyDescent="0.25">
      <c r="A392" s="265">
        <f t="shared" si="44"/>
        <v>43818</v>
      </c>
      <c r="B392" s="265" t="str">
        <f t="shared" si="42"/>
        <v>19 Dec 2019</v>
      </c>
      <c r="C392" s="267">
        <f t="shared" si="43"/>
        <v>51</v>
      </c>
      <c r="D392">
        <f>MATCH(A392,GCalXMLT[daydate],0)</f>
        <v>391</v>
      </c>
      <c r="E392">
        <f>VALUE("1" &amp; Masacod(INDEX(GCalXMLT[gymasa],D392)) &amp; PaksaCod(INDEX(GCalXMLT[mpaksaid],D392)) &amp; TithiCod(INDEX(GCalXMLT[stithiname],D392)))</f>
        <v>110008</v>
      </c>
      <c r="F392" t="str">
        <f ca="1">INDEX(Parameters!$K$2:$K$16,MATCH(AV392,Parameters!$L$2:$L$16,0))</f>
        <v/>
      </c>
      <c r="G392">
        <f>INDEX(GCalXMLT[fastmark],$D392)</f>
        <v>0</v>
      </c>
      <c r="H392" t="str">
        <f ca="1">INDEX(Parameters!$J$2:$J$16,MATCH(AV392,Parameters!$L$2:$L$16,0))</f>
        <v/>
      </c>
      <c r="I392">
        <f>INDEX(GCalXMLT[dfestival1],$D392)</f>
        <v>0</v>
      </c>
      <c r="J392">
        <f>IF(INDEX(GCalXMLT[dfestival2],$D392)="(Fast today)",INDEX(Festivals!$R$2:$R$180,MATCH($I392,Festivals!$R$2:$R$180,0)+1),INDEX(GCalXMLT[dfestival2],$D392))</f>
        <v>0</v>
      </c>
      <c r="K392">
        <f>IF(I392="Nandotsava","(Fast till noon)",INDEX(GCalXMLT[dfestival3],$D392))</f>
        <v>0</v>
      </c>
      <c r="L392">
        <f>IF(I392="Nandotsava", INDEX(GCalXMLT[dfestival3],$D392),INDEX(GCalXMLT[dfestival4],$D392))</f>
        <v>0</v>
      </c>
      <c r="M392" t="str">
        <f>IFERROR(INDEX(Festivals!$S$2:$S$160,AP392),"")</f>
        <v/>
      </c>
      <c r="N392" t="str">
        <f>IFERROR(IF($AQ392&gt;1,INDEX(Festivals!$S$2:$S$160,$AP392+1),""),"")</f>
        <v/>
      </c>
      <c r="O392" t="str">
        <f>IFERROR(IF($AQ392&gt;2,INDEX(Festivals!$S$2:$S$160,$AP392+2),""),"")</f>
        <v/>
      </c>
      <c r="P392" t="str">
        <f>IFERROR(IF($AQ392&gt;3,INDEX(Festivals!$S$2:$S$160,$AP392+3),""),"")</f>
        <v/>
      </c>
      <c r="Q392" t="str">
        <f>IFERROR(IF($AQ392&gt;4,INDEX(Festivals!$S$2:$S$160,$AP392+4),""),"")</f>
        <v/>
      </c>
      <c r="R392" t="str">
        <f>IFERROR(IF($AQ392&gt;5,INDEX(Festivals!$S$2:$S$160,$AP392+5),""),"")</f>
        <v/>
      </c>
      <c r="S392" t="str">
        <f>IFERROR(IF($AQ392&gt;6,INDEX(Festivals!$S$2:$S$160,$AP392+6),""),"")</f>
        <v/>
      </c>
      <c r="T392">
        <f>INDEX(GCalXMLT[dcaturmasya1],$D392)</f>
        <v>0</v>
      </c>
      <c r="U392">
        <f>INDEX(GCalXMLT[dcaturmasya2],$D392)</f>
        <v>0</v>
      </c>
      <c r="V392" t="str">
        <f>INDEX(GCalXMLT[sankrantirasi],$D392) &amp; " " &amp; INDEX(GCalXMLT[sankrantitime],$D392)</f>
        <v xml:space="preserve"> </v>
      </c>
      <c r="W392" t="str">
        <f ca="1">IFERROR(INDEX('Holidays Calc'!$K$2:$K$233,AR392),"")</f>
        <v/>
      </c>
      <c r="X392" t="str">
        <f ca="1">IF(AR392="","",IF(INDEX('Holidays Calc'!$I$2:$I$233,AR392+1)=A392,INDEX('Holidays Calc'!$K$2:$K$233,AR392+1),""))</f>
        <v/>
      </c>
      <c r="Y392" t="str">
        <f ca="1">IF(AR392="","",IF(INDEX('Holidays Calc'!$I$2:$I$233,AR392+2)=A392,INDEX('Holidays Calc'!$K$2:$K$233,AR392+2),""))</f>
        <v/>
      </c>
      <c r="Z392" t="str">
        <f ca="1">IF(AR392="","",IF(INDEX('Holidays Calc'!$I$2:$I$233,AR392+3)=A392,INDEX('Holidays Calc'!$K$2:$K$2333,AR392+3),""))</f>
        <v/>
      </c>
      <c r="AA392" t="str">
        <f>IF(I392="Last day of Bhisma Pancaka","",IF(G392="*",-0.7,IF(ISBLANK(INDEX(GCalXMLT[dclass1],$D392)),"",INDEX(GCalXMLT[dclass1],$D392))))</f>
        <v/>
      </c>
      <c r="AB392" t="str">
        <f>IF(J392="First day of Bhisma Pancaka","",IF(AND(G392="*",NOT(ISERROR(SEARCH("ekadasi",J392)))),-0.7,IF(ISBLANK(INDEX(GCalXMLT[dclass2],$D392)),"",INDEX(GCalXMLT[dclass2],$D392))))</f>
        <v/>
      </c>
      <c r="AC392" t="str">
        <f>IF(I392="Nandotsava",-1,IF(ISBLANK(INDEX(GCalXMLT[dclass3],$D392)),"",INDEX(GCalXMLT[dclass3],$D392)))</f>
        <v/>
      </c>
      <c r="AD392" t="str">
        <f>IF(I392="Nandotsava",IF(ISBLANK(INDEX(GCalXMLT[dclass3],$D392)),"",INDEX(GCalXMLT[dclass3],$D392)),IF(ISBLANK(INDEX(GCalXMLT[dclass4],$D392)),"",INDEX(GCalXMLT[dclass4],$D392)))</f>
        <v/>
      </c>
      <c r="AE392" t="str">
        <f>IFERROR(INDEX(Festivals!$V$2:$V$160,AP392),"")</f>
        <v/>
      </c>
      <c r="AF392" t="str">
        <f>IFERROR(IF($AQ392&gt;1,INDEX(Festivals!$V$2:$V$160,$AP392+1),""),"")</f>
        <v/>
      </c>
      <c r="AG392" t="str">
        <f>IFERROR(IF($AQ392&gt;2,INDEX(Festivals!$V$2:$V$160,$AP392+2),""),"")</f>
        <v/>
      </c>
      <c r="AH392" t="str">
        <f>IFERROR(IF($AQ392&gt;3,INDEX(Festivals!$V$2:$V$160,$AP392+3),""),"")</f>
        <v/>
      </c>
      <c r="AI392" t="str">
        <f>IFERROR(IF($AQ392&gt;4,INDEX(Festivals!$V$2:$V$160,$AP392+4),""),"")</f>
        <v/>
      </c>
      <c r="AJ392" t="str">
        <f>IFERROR(IF($AQ392&gt;5,INDEX(Festivals!$V$2:$V$160,$AP392+5),""),"")</f>
        <v/>
      </c>
      <c r="AK392" t="str">
        <f>IFERROR(IF($AQ392&gt;6,INDEX(Festivals!$V$2:$V$160,$AP392+6),""),"")</f>
        <v/>
      </c>
      <c r="AL392" t="str">
        <f ca="1">IFERROR(INDEX('Holidays Calc'!$J$2:$J$233,MATCH(A392,'Holidays Calc'!$I$2:$I$233,0)),"")</f>
        <v/>
      </c>
      <c r="AM392" t="str">
        <f ca="1">IF(AR392="","",IF(INDEX('Holidays Calc'!$I$2:$I$233,AR392+1)=A392,INDEX('Holidays Calc'!$J$2:$J$233,AR392+1),""))</f>
        <v/>
      </c>
      <c r="AN392" t="str">
        <f ca="1">IF(AR392="","",IF(INDEX('Holidays Calc'!$I$2:$I$233,AR392+2)=A392,INDEX('Holidays Calc'!$J$2:$J$233,AR392+2),""))</f>
        <v/>
      </c>
      <c r="AO392" t="str">
        <f ca="1">IF(AR392="","",IF(INDEX('Holidays Calc'!$I$2:$I$233,AR392+3)=A392,INDEX('Holidays Calc'!$J$2:$J$233,AR392+3),""))</f>
        <v/>
      </c>
      <c r="AP392" t="str">
        <f>IFERROR(IF($E392=E391,"",MATCH($E392,Festivals!$H$2:$H$160,0)),"")</f>
        <v/>
      </c>
      <c r="AQ392" t="str">
        <f>IF(AP392="","",COUNTIF(Festivals!$H$2:$H$160,$E392))</f>
        <v/>
      </c>
      <c r="AR392" t="str">
        <f ca="1">IFERROR(MATCH(A392,'Holidays Calc'!$I$2:$I$233,0),"")</f>
        <v/>
      </c>
      <c r="AS392" t="str">
        <f t="shared" si="46"/>
        <v/>
      </c>
      <c r="AT392" t="str">
        <f t="shared" si="45"/>
        <v/>
      </c>
      <c r="AU392" t="str">
        <f t="shared" ca="1" si="47"/>
        <v/>
      </c>
      <c r="AV392" t="str">
        <f t="shared" ca="1" si="48"/>
        <v/>
      </c>
    </row>
    <row r="393" spans="1:48" x14ac:dyDescent="0.25">
      <c r="A393" s="265">
        <f t="shared" si="44"/>
        <v>43819</v>
      </c>
      <c r="B393" s="265" t="str">
        <f t="shared" si="42"/>
        <v>20 Dec 2019</v>
      </c>
      <c r="C393" s="267">
        <f t="shared" si="43"/>
        <v>51</v>
      </c>
      <c r="D393">
        <f>MATCH(A393,GCalXMLT[daydate],0)</f>
        <v>392</v>
      </c>
      <c r="E393">
        <f>VALUE("1" &amp; Masacod(INDEX(GCalXMLT[gymasa],D393)) &amp; PaksaCod(INDEX(GCalXMLT[mpaksaid],D393)) &amp; TithiCod(INDEX(GCalXMLT[stithiname],D393)))</f>
        <v>110009</v>
      </c>
      <c r="F393" t="str">
        <f ca="1">INDEX(Parameters!$K$2:$K$16,MATCH(AV393,Parameters!$L$2:$L$16,0))</f>
        <v/>
      </c>
      <c r="G393">
        <f>INDEX(GCalXMLT[fastmark],$D393)</f>
        <v>0</v>
      </c>
      <c r="H393" t="str">
        <f ca="1">INDEX(Parameters!$J$2:$J$16,MATCH(AV393,Parameters!$L$2:$L$16,0))</f>
        <v/>
      </c>
      <c r="I393">
        <f>INDEX(GCalXMLT[dfestival1],$D393)</f>
        <v>0</v>
      </c>
      <c r="J393">
        <f>IF(INDEX(GCalXMLT[dfestival2],$D393)="(Fast today)",INDEX(Festivals!$R$2:$R$180,MATCH($I393,Festivals!$R$2:$R$180,0)+1),INDEX(GCalXMLT[dfestival2],$D393))</f>
        <v>0</v>
      </c>
      <c r="K393">
        <f>IF(I393="Nandotsava","(Fast till noon)",INDEX(GCalXMLT[dfestival3],$D393))</f>
        <v>0</v>
      </c>
      <c r="L393">
        <f>IF(I393="Nandotsava", INDEX(GCalXMLT[dfestival3],$D393),INDEX(GCalXMLT[dfestival4],$D393))</f>
        <v>0</v>
      </c>
      <c r="M393" t="str">
        <f>IFERROR(INDEX(Festivals!$S$2:$S$160,AP393),"")</f>
        <v/>
      </c>
      <c r="N393" t="str">
        <f>IFERROR(IF($AQ393&gt;1,INDEX(Festivals!$S$2:$S$160,$AP393+1),""),"")</f>
        <v/>
      </c>
      <c r="O393" t="str">
        <f>IFERROR(IF($AQ393&gt;2,INDEX(Festivals!$S$2:$S$160,$AP393+2),""),"")</f>
        <v/>
      </c>
      <c r="P393" t="str">
        <f>IFERROR(IF($AQ393&gt;3,INDEX(Festivals!$S$2:$S$160,$AP393+3),""),"")</f>
        <v/>
      </c>
      <c r="Q393" t="str">
        <f>IFERROR(IF($AQ393&gt;4,INDEX(Festivals!$S$2:$S$160,$AP393+4),""),"")</f>
        <v/>
      </c>
      <c r="R393" t="str">
        <f>IFERROR(IF($AQ393&gt;5,INDEX(Festivals!$S$2:$S$160,$AP393+5),""),"")</f>
        <v/>
      </c>
      <c r="S393" t="str">
        <f>IFERROR(IF($AQ393&gt;6,INDEX(Festivals!$S$2:$S$160,$AP393+6),""),"")</f>
        <v/>
      </c>
      <c r="T393">
        <f>INDEX(GCalXMLT[dcaturmasya1],$D393)</f>
        <v>0</v>
      </c>
      <c r="U393">
        <f>INDEX(GCalXMLT[dcaturmasya2],$D393)</f>
        <v>0</v>
      </c>
      <c r="V393" t="str">
        <f>INDEX(GCalXMLT[sankrantirasi],$D393) &amp; " " &amp; INDEX(GCalXMLT[sankrantitime],$D393)</f>
        <v xml:space="preserve"> </v>
      </c>
      <c r="W393" t="str">
        <f ca="1">IFERROR(INDEX('Holidays Calc'!$K$2:$K$233,AR393),"")</f>
        <v/>
      </c>
      <c r="X393" t="str">
        <f ca="1">IF(AR393="","",IF(INDEX('Holidays Calc'!$I$2:$I$233,AR393+1)=A393,INDEX('Holidays Calc'!$K$2:$K$233,AR393+1),""))</f>
        <v/>
      </c>
      <c r="Y393" t="str">
        <f ca="1">IF(AR393="","",IF(INDEX('Holidays Calc'!$I$2:$I$233,AR393+2)=A393,INDEX('Holidays Calc'!$K$2:$K$233,AR393+2),""))</f>
        <v/>
      </c>
      <c r="Z393" t="str">
        <f ca="1">IF(AR393="","",IF(INDEX('Holidays Calc'!$I$2:$I$233,AR393+3)=A393,INDEX('Holidays Calc'!$K$2:$K$2333,AR393+3),""))</f>
        <v/>
      </c>
      <c r="AA393" t="str">
        <f>IF(I393="Last day of Bhisma Pancaka","",IF(G393="*",-0.7,IF(ISBLANK(INDEX(GCalXMLT[dclass1],$D393)),"",INDEX(GCalXMLT[dclass1],$D393))))</f>
        <v/>
      </c>
      <c r="AB393" t="str">
        <f>IF(J393="First day of Bhisma Pancaka","",IF(AND(G393="*",NOT(ISERROR(SEARCH("ekadasi",J393)))),-0.7,IF(ISBLANK(INDEX(GCalXMLT[dclass2],$D393)),"",INDEX(GCalXMLT[dclass2],$D393))))</f>
        <v/>
      </c>
      <c r="AC393" t="str">
        <f>IF(I393="Nandotsava",-1,IF(ISBLANK(INDEX(GCalXMLT[dclass3],$D393)),"",INDEX(GCalXMLT[dclass3],$D393)))</f>
        <v/>
      </c>
      <c r="AD393" t="str">
        <f>IF(I393="Nandotsava",IF(ISBLANK(INDEX(GCalXMLT[dclass3],$D393)),"",INDEX(GCalXMLT[dclass3],$D393)),IF(ISBLANK(INDEX(GCalXMLT[dclass4],$D393)),"",INDEX(GCalXMLT[dclass4],$D393)))</f>
        <v/>
      </c>
      <c r="AE393" t="str">
        <f>IFERROR(INDEX(Festivals!$V$2:$V$160,AP393),"")</f>
        <v/>
      </c>
      <c r="AF393" t="str">
        <f>IFERROR(IF($AQ393&gt;1,INDEX(Festivals!$V$2:$V$160,$AP393+1),""),"")</f>
        <v/>
      </c>
      <c r="AG393" t="str">
        <f>IFERROR(IF($AQ393&gt;2,INDEX(Festivals!$V$2:$V$160,$AP393+2),""),"")</f>
        <v/>
      </c>
      <c r="AH393" t="str">
        <f>IFERROR(IF($AQ393&gt;3,INDEX(Festivals!$V$2:$V$160,$AP393+3),""),"")</f>
        <v/>
      </c>
      <c r="AI393" t="str">
        <f>IFERROR(IF($AQ393&gt;4,INDEX(Festivals!$V$2:$V$160,$AP393+4),""),"")</f>
        <v/>
      </c>
      <c r="AJ393" t="str">
        <f>IFERROR(IF($AQ393&gt;5,INDEX(Festivals!$V$2:$V$160,$AP393+5),""),"")</f>
        <v/>
      </c>
      <c r="AK393" t="str">
        <f>IFERROR(IF($AQ393&gt;6,INDEX(Festivals!$V$2:$V$160,$AP393+6),""),"")</f>
        <v/>
      </c>
      <c r="AL393" t="str">
        <f ca="1">IFERROR(INDEX('Holidays Calc'!$J$2:$J$233,MATCH(A393,'Holidays Calc'!$I$2:$I$233,0)),"")</f>
        <v/>
      </c>
      <c r="AM393" t="str">
        <f ca="1">IF(AR393="","",IF(INDEX('Holidays Calc'!$I$2:$I$233,AR393+1)=A393,INDEX('Holidays Calc'!$J$2:$J$233,AR393+1),""))</f>
        <v/>
      </c>
      <c r="AN393" t="str">
        <f ca="1">IF(AR393="","",IF(INDEX('Holidays Calc'!$I$2:$I$233,AR393+2)=A393,INDEX('Holidays Calc'!$J$2:$J$233,AR393+2),""))</f>
        <v/>
      </c>
      <c r="AO393" t="str">
        <f ca="1">IF(AR393="","",IF(INDEX('Holidays Calc'!$I$2:$I$233,AR393+3)=A393,INDEX('Holidays Calc'!$J$2:$J$233,AR393+3),""))</f>
        <v/>
      </c>
      <c r="AP393" t="str">
        <f>IFERROR(IF($E393=E392,"",MATCH($E393,Festivals!$H$2:$H$160,0)),"")</f>
        <v/>
      </c>
      <c r="AQ393" t="str">
        <f>IF(AP393="","",COUNTIF(Festivals!$H$2:$H$160,$E393))</f>
        <v/>
      </c>
      <c r="AR393" t="str">
        <f ca="1">IFERROR(MATCH(A393,'Holidays Calc'!$I$2:$I$233,0),"")</f>
        <v/>
      </c>
      <c r="AS393" t="str">
        <f t="shared" si="46"/>
        <v/>
      </c>
      <c r="AT393" t="str">
        <f t="shared" si="45"/>
        <v/>
      </c>
      <c r="AU393" t="str">
        <f t="shared" ca="1" si="47"/>
        <v/>
      </c>
      <c r="AV393" t="str">
        <f t="shared" ca="1" si="48"/>
        <v/>
      </c>
    </row>
    <row r="394" spans="1:48" x14ac:dyDescent="0.25">
      <c r="A394" s="265">
        <f t="shared" si="44"/>
        <v>43820</v>
      </c>
      <c r="B394" s="265" t="str">
        <f t="shared" si="42"/>
        <v>21 Dec 2019</v>
      </c>
      <c r="C394" s="267">
        <f t="shared" si="43"/>
        <v>51</v>
      </c>
      <c r="D394">
        <f>MATCH(A394,GCalXMLT[daydate],0)</f>
        <v>393</v>
      </c>
      <c r="E394">
        <f>VALUE("1" &amp; Masacod(INDEX(GCalXMLT[gymasa],D394)) &amp; PaksaCod(INDEX(GCalXMLT[mpaksaid],D394)) &amp; TithiCod(INDEX(GCalXMLT[stithiname],D394)))</f>
        <v>110010</v>
      </c>
      <c r="F394" t="str">
        <f ca="1">INDEX(Parameters!$K$2:$K$16,MATCH(AV394,Parameters!$L$2:$L$16,0))</f>
        <v>C</v>
      </c>
      <c r="G394">
        <f>INDEX(GCalXMLT[fastmark],$D394)</f>
        <v>0</v>
      </c>
      <c r="H394" t="str">
        <f ca="1">INDEX(Parameters!$J$2:$J$16,MATCH(AV394,Parameters!$L$2:$L$16,0))</f>
        <v/>
      </c>
      <c r="I394">
        <f>INDEX(GCalXMLT[dfestival1],$D394)</f>
        <v>0</v>
      </c>
      <c r="J394">
        <f>IF(INDEX(GCalXMLT[dfestival2],$D394)="(Fast today)",INDEX(Festivals!$R$2:$R$180,MATCH($I394,Festivals!$R$2:$R$180,0)+1),INDEX(GCalXMLT[dfestival2],$D394))</f>
        <v>0</v>
      </c>
      <c r="K394">
        <f>IF(I394="Nandotsava","(Fast till noon)",INDEX(GCalXMLT[dfestival3],$D394))</f>
        <v>0</v>
      </c>
      <c r="L394">
        <f>IF(I394="Nandotsava", INDEX(GCalXMLT[dfestival3],$D394),INDEX(GCalXMLT[dfestival4],$D394))</f>
        <v>0</v>
      </c>
      <c r="M394" t="str">
        <f>IFERROR(INDEX(Festivals!$S$2:$S$160,AP394),"")</f>
        <v/>
      </c>
      <c r="N394" t="str">
        <f>IFERROR(IF($AQ394&gt;1,INDEX(Festivals!$S$2:$S$160,$AP394+1),""),"")</f>
        <v/>
      </c>
      <c r="O394" t="str">
        <f>IFERROR(IF($AQ394&gt;2,INDEX(Festivals!$S$2:$S$160,$AP394+2),""),"")</f>
        <v/>
      </c>
      <c r="P394" t="str">
        <f>IFERROR(IF($AQ394&gt;3,INDEX(Festivals!$S$2:$S$160,$AP394+3),""),"")</f>
        <v/>
      </c>
      <c r="Q394" t="str">
        <f>IFERROR(IF($AQ394&gt;4,INDEX(Festivals!$S$2:$S$160,$AP394+4),""),"")</f>
        <v/>
      </c>
      <c r="R394" t="str">
        <f>IFERROR(IF($AQ394&gt;5,INDEX(Festivals!$S$2:$S$160,$AP394+5),""),"")</f>
        <v/>
      </c>
      <c r="S394" t="str">
        <f>IFERROR(IF($AQ394&gt;6,INDEX(Festivals!$S$2:$S$160,$AP394+6),""),"")</f>
        <v/>
      </c>
      <c r="T394">
        <f>INDEX(GCalXMLT[dcaturmasya1],$D394)</f>
        <v>0</v>
      </c>
      <c r="U394">
        <f>INDEX(GCalXMLT[dcaturmasya2],$D394)</f>
        <v>0</v>
      </c>
      <c r="V394" t="str">
        <f>INDEX(GCalXMLT[sankrantirasi],$D394) &amp; " " &amp; INDEX(GCalXMLT[sankrantitime],$D394)</f>
        <v xml:space="preserve"> </v>
      </c>
      <c r="W394" t="str">
        <f ca="1">IFERROR(INDEX('Holidays Calc'!$K$2:$K$233,AR394),"")</f>
        <v>Verão</v>
      </c>
      <c r="X394" t="str">
        <f ca="1">IF(AR394="","",IF(INDEX('Holidays Calc'!$I$2:$I$233,AR394+1)=A394,INDEX('Holidays Calc'!$K$2:$K$233,AR394+1),""))</f>
        <v/>
      </c>
      <c r="Y394" t="str">
        <f ca="1">IF(AR394="","",IF(INDEX('Holidays Calc'!$I$2:$I$233,AR394+2)=A394,INDEX('Holidays Calc'!$K$2:$K$233,AR394+2),""))</f>
        <v/>
      </c>
      <c r="Z394" t="str">
        <f ca="1">IF(AR394="","",IF(INDEX('Holidays Calc'!$I$2:$I$233,AR394+3)=A394,INDEX('Holidays Calc'!$K$2:$K$2333,AR394+3),""))</f>
        <v/>
      </c>
      <c r="AA394" t="str">
        <f>IF(I394="Last day of Bhisma Pancaka","",IF(G394="*",-0.7,IF(ISBLANK(INDEX(GCalXMLT[dclass1],$D394)),"",INDEX(GCalXMLT[dclass1],$D394))))</f>
        <v/>
      </c>
      <c r="AB394" t="str">
        <f>IF(J394="First day of Bhisma Pancaka","",IF(AND(G394="*",NOT(ISERROR(SEARCH("ekadasi",J394)))),-0.7,IF(ISBLANK(INDEX(GCalXMLT[dclass2],$D394)),"",INDEX(GCalXMLT[dclass2],$D394))))</f>
        <v/>
      </c>
      <c r="AC394" t="str">
        <f>IF(I394="Nandotsava",-1,IF(ISBLANK(INDEX(GCalXMLT[dclass3],$D394)),"",INDEX(GCalXMLT[dclass3],$D394)))</f>
        <v/>
      </c>
      <c r="AD394" t="str">
        <f>IF(I394="Nandotsava",IF(ISBLANK(INDEX(GCalXMLT[dclass3],$D394)),"",INDEX(GCalXMLT[dclass3],$D394)),IF(ISBLANK(INDEX(GCalXMLT[dclass4],$D394)),"",INDEX(GCalXMLT[dclass4],$D394)))</f>
        <v/>
      </c>
      <c r="AE394" t="str">
        <f>IFERROR(INDEX(Festivals!$V$2:$V$160,AP394),"")</f>
        <v/>
      </c>
      <c r="AF394" t="str">
        <f>IFERROR(IF($AQ394&gt;1,INDEX(Festivals!$V$2:$V$160,$AP394+1),""),"")</f>
        <v/>
      </c>
      <c r="AG394" t="str">
        <f>IFERROR(IF($AQ394&gt;2,INDEX(Festivals!$V$2:$V$160,$AP394+2),""),"")</f>
        <v/>
      </c>
      <c r="AH394" t="str">
        <f>IFERROR(IF($AQ394&gt;3,INDEX(Festivals!$V$2:$V$160,$AP394+3),""),"")</f>
        <v/>
      </c>
      <c r="AI394" t="str">
        <f>IFERROR(IF($AQ394&gt;4,INDEX(Festivals!$V$2:$V$160,$AP394+4),""),"")</f>
        <v/>
      </c>
      <c r="AJ394" t="str">
        <f>IFERROR(IF($AQ394&gt;5,INDEX(Festivals!$V$2:$V$160,$AP394+5),""),"")</f>
        <v/>
      </c>
      <c r="AK394" t="str">
        <f>IFERROR(IF($AQ394&gt;6,INDEX(Festivals!$V$2:$V$160,$AP394+6),""),"")</f>
        <v/>
      </c>
      <c r="AL394">
        <f ca="1">IFERROR(INDEX('Holidays Calc'!$J$2:$J$233,MATCH(A394,'Holidays Calc'!$I$2:$I$233,0)),"")</f>
        <v>0.5</v>
      </c>
      <c r="AM394" t="str">
        <f ca="1">IF(AR394="","",IF(INDEX('Holidays Calc'!$I$2:$I$233,AR394+1)=A394,INDEX('Holidays Calc'!$J$2:$J$233,AR394+1),""))</f>
        <v/>
      </c>
      <c r="AN394" t="str">
        <f ca="1">IF(AR394="","",IF(INDEX('Holidays Calc'!$I$2:$I$233,AR394+2)=A394,INDEX('Holidays Calc'!$J$2:$J$233,AR394+2),""))</f>
        <v/>
      </c>
      <c r="AO394" t="str">
        <f ca="1">IF(AR394="","",IF(INDEX('Holidays Calc'!$I$2:$I$233,AR394+3)=A394,INDEX('Holidays Calc'!$J$2:$J$233,AR394+3),""))</f>
        <v/>
      </c>
      <c r="AP394" t="str">
        <f>IFERROR(IF($E394=E393,"",MATCH($E394,Festivals!$H$2:$H$160,0)),"")</f>
        <v/>
      </c>
      <c r="AQ394" t="str">
        <f>IF(AP394="","",COUNTIF(Festivals!$H$2:$H$160,$E394))</f>
        <v/>
      </c>
      <c r="AR394">
        <f ca="1">IFERROR(MATCH(A394,'Holidays Calc'!$I$2:$I$233,0),"")</f>
        <v>71</v>
      </c>
      <c r="AS394" t="str">
        <f t="shared" si="46"/>
        <v/>
      </c>
      <c r="AT394" t="str">
        <f t="shared" si="45"/>
        <v/>
      </c>
      <c r="AU394">
        <f t="shared" ca="1" si="47"/>
        <v>0.5</v>
      </c>
      <c r="AV394">
        <f t="shared" ca="1" si="48"/>
        <v>0.5</v>
      </c>
    </row>
    <row r="395" spans="1:48" x14ac:dyDescent="0.25">
      <c r="A395" s="265">
        <f t="shared" si="44"/>
        <v>43821</v>
      </c>
      <c r="B395" s="265" t="str">
        <f t="shared" si="42"/>
        <v>22 Dec 2019</v>
      </c>
      <c r="C395" s="267">
        <f t="shared" si="43"/>
        <v>51</v>
      </c>
      <c r="D395">
        <f>MATCH(A395,GCalXMLT[daydate],0)</f>
        <v>394</v>
      </c>
      <c r="E395">
        <f>VALUE("1" &amp; Masacod(INDEX(GCalXMLT[gymasa],D395)) &amp; PaksaCod(INDEX(GCalXMLT[mpaksaid],D395)) &amp; TithiCod(INDEX(GCalXMLT[stithiname],D395)))</f>
        <v>110011</v>
      </c>
      <c r="F395" t="str">
        <f ca="1">INDEX(Parameters!$K$2:$K$16,MATCH(AV395,Parameters!$L$2:$L$16,0))</f>
        <v>E</v>
      </c>
      <c r="G395" t="str">
        <f>INDEX(GCalXMLT[fastmark],$D395)</f>
        <v>*</v>
      </c>
      <c r="H395" t="str">
        <f ca="1">INDEX(Parameters!$J$2:$J$16,MATCH(AV395,Parameters!$L$2:$L$16,0))</f>
        <v>*</v>
      </c>
      <c r="I395" t="str">
        <f>INDEX(GCalXMLT[dfestival1],$D395)</f>
        <v>Fasting for Saphala Ekadasi</v>
      </c>
      <c r="J395">
        <f>IF(INDEX(GCalXMLT[dfestival2],$D395)="(Fast today)",INDEX(Festivals!$R$2:$R$180,MATCH($I395,Festivals!$R$2:$R$180,0)+1),INDEX(GCalXMLT[dfestival2],$D395))</f>
        <v>0</v>
      </c>
      <c r="K395">
        <f>IF(I395="Nandotsava","(Fast till noon)",INDEX(GCalXMLT[dfestival3],$D395))</f>
        <v>0</v>
      </c>
      <c r="L395">
        <f>IF(I395="Nandotsava", INDEX(GCalXMLT[dfestival3],$D395),INDEX(GCalXMLT[dfestival4],$D395))</f>
        <v>0</v>
      </c>
      <c r="M395" t="str">
        <f>IFERROR(INDEX(Festivals!$S$2:$S$160,AP395),"")</f>
        <v>Sri Devananda Pandita - Disappearance</v>
      </c>
      <c r="N395" t="str">
        <f>IFERROR(IF($AQ395&gt;1,INDEX(Festivals!$S$2:$S$160,$AP395+1),""),"")</f>
        <v/>
      </c>
      <c r="O395" t="str">
        <f>IFERROR(IF($AQ395&gt;2,INDEX(Festivals!$S$2:$S$160,$AP395+2),""),"")</f>
        <v/>
      </c>
      <c r="P395" t="str">
        <f>IFERROR(IF($AQ395&gt;3,INDEX(Festivals!$S$2:$S$160,$AP395+3),""),"")</f>
        <v/>
      </c>
      <c r="Q395" t="str">
        <f>IFERROR(IF($AQ395&gt;4,INDEX(Festivals!$S$2:$S$160,$AP395+4),""),"")</f>
        <v/>
      </c>
      <c r="R395" t="str">
        <f>IFERROR(IF($AQ395&gt;5,INDEX(Festivals!$S$2:$S$160,$AP395+5),""),"")</f>
        <v/>
      </c>
      <c r="S395" t="str">
        <f>IFERROR(IF($AQ395&gt;6,INDEX(Festivals!$S$2:$S$160,$AP395+6),""),"")</f>
        <v/>
      </c>
      <c r="T395">
        <f>INDEX(GCalXMLT[dcaturmasya1],$D395)</f>
        <v>0</v>
      </c>
      <c r="U395">
        <f>INDEX(GCalXMLT[dcaturmasya2],$D395)</f>
        <v>0</v>
      </c>
      <c r="V395" t="str">
        <f>INDEX(GCalXMLT[sankrantirasi],$D395) &amp; " " &amp; INDEX(GCalXMLT[sankrantitime],$D395)</f>
        <v xml:space="preserve"> </v>
      </c>
      <c r="W395" t="str">
        <f ca="1">IFERROR(INDEX('Holidays Calc'!$K$2:$K$233,AR395),"")</f>
        <v/>
      </c>
      <c r="X395" t="str">
        <f ca="1">IF(AR395="","",IF(INDEX('Holidays Calc'!$I$2:$I$233,AR395+1)=A395,INDEX('Holidays Calc'!$K$2:$K$233,AR395+1),""))</f>
        <v/>
      </c>
      <c r="Y395" t="str">
        <f ca="1">IF(AR395="","",IF(INDEX('Holidays Calc'!$I$2:$I$233,AR395+2)=A395,INDEX('Holidays Calc'!$K$2:$K$233,AR395+2),""))</f>
        <v/>
      </c>
      <c r="Z395" t="str">
        <f ca="1">IF(AR395="","",IF(INDEX('Holidays Calc'!$I$2:$I$233,AR395+3)=A395,INDEX('Holidays Calc'!$K$2:$K$2333,AR395+3),""))</f>
        <v/>
      </c>
      <c r="AA395">
        <f>IF(I395="Last day of Bhisma Pancaka","",IF(G395="*",-0.7,IF(ISBLANK(INDEX(GCalXMLT[dclass1],$D395)),"",INDEX(GCalXMLT[dclass1],$D395))))</f>
        <v>-0.7</v>
      </c>
      <c r="AB395" t="str">
        <f>IF(J395="First day of Bhisma Pancaka","",IF(AND(G395="*",NOT(ISERROR(SEARCH("ekadasi",J395)))),-0.7,IF(ISBLANK(INDEX(GCalXMLT[dclass2],$D395)),"",INDEX(GCalXMLT[dclass2],$D395))))</f>
        <v/>
      </c>
      <c r="AC395" t="str">
        <f>IF(I395="Nandotsava",-1,IF(ISBLANK(INDEX(GCalXMLT[dclass3],$D395)),"",INDEX(GCalXMLT[dclass3],$D395)))</f>
        <v/>
      </c>
      <c r="AD395" t="str">
        <f>IF(I395="Nandotsava",IF(ISBLANK(INDEX(GCalXMLT[dclass3],$D395)),"",INDEX(GCalXMLT[dclass3],$D395)),IF(ISBLANK(INDEX(GCalXMLT[dclass4],$D395)),"",INDEX(GCalXMLT[dclass4],$D395)))</f>
        <v/>
      </c>
      <c r="AE395">
        <f>IFERROR(INDEX(Festivals!$V$2:$V$160,AP395),"")</f>
        <v>3</v>
      </c>
      <c r="AF395" t="str">
        <f>IFERROR(IF($AQ395&gt;1,INDEX(Festivals!$V$2:$V$160,$AP395+1),""),"")</f>
        <v/>
      </c>
      <c r="AG395" t="str">
        <f>IFERROR(IF($AQ395&gt;2,INDEX(Festivals!$V$2:$V$160,$AP395+2),""),"")</f>
        <v/>
      </c>
      <c r="AH395" t="str">
        <f>IFERROR(IF($AQ395&gt;3,INDEX(Festivals!$V$2:$V$160,$AP395+3),""),"")</f>
        <v/>
      </c>
      <c r="AI395" t="str">
        <f>IFERROR(IF($AQ395&gt;4,INDEX(Festivals!$V$2:$V$160,$AP395+4),""),"")</f>
        <v/>
      </c>
      <c r="AJ395" t="str">
        <f>IFERROR(IF($AQ395&gt;5,INDEX(Festivals!$V$2:$V$160,$AP395+5),""),"")</f>
        <v/>
      </c>
      <c r="AK395" t="str">
        <f>IFERROR(IF($AQ395&gt;6,INDEX(Festivals!$V$2:$V$160,$AP395+6),""),"")</f>
        <v/>
      </c>
      <c r="AL395" t="str">
        <f ca="1">IFERROR(INDEX('Holidays Calc'!$J$2:$J$233,MATCH(A395,'Holidays Calc'!$I$2:$I$233,0)),"")</f>
        <v/>
      </c>
      <c r="AM395" t="str">
        <f ca="1">IF(AR395="","",IF(INDEX('Holidays Calc'!$I$2:$I$233,AR395+1)=A395,INDEX('Holidays Calc'!$J$2:$J$233,AR395+1),""))</f>
        <v/>
      </c>
      <c r="AN395" t="str">
        <f ca="1">IF(AR395="","",IF(INDEX('Holidays Calc'!$I$2:$I$233,AR395+2)=A395,INDEX('Holidays Calc'!$J$2:$J$233,AR395+2),""))</f>
        <v/>
      </c>
      <c r="AO395" t="str">
        <f ca="1">IF(AR395="","",IF(INDEX('Holidays Calc'!$I$2:$I$233,AR395+3)=A395,INDEX('Holidays Calc'!$J$2:$J$233,AR395+3),""))</f>
        <v/>
      </c>
      <c r="AP395">
        <f>IFERROR(IF($E395=E394,"",MATCH($E395,Festivals!$H$2:$H$160,0)),"")</f>
        <v>117</v>
      </c>
      <c r="AQ395">
        <f>IF(AP395="","",COUNTIF(Festivals!$H$2:$H$160,$E395))</f>
        <v>1</v>
      </c>
      <c r="AR395" t="str">
        <f ca="1">IFERROR(MATCH(A395,'Holidays Calc'!$I$2:$I$233,0),"")</f>
        <v/>
      </c>
      <c r="AS395">
        <f t="shared" si="46"/>
        <v>-0.7</v>
      </c>
      <c r="AT395">
        <f t="shared" si="45"/>
        <v>-0.7</v>
      </c>
      <c r="AU395" t="str">
        <f t="shared" ca="1" si="47"/>
        <v/>
      </c>
      <c r="AV395">
        <f t="shared" ca="1" si="48"/>
        <v>-0.7</v>
      </c>
    </row>
    <row r="396" spans="1:48" x14ac:dyDescent="0.25">
      <c r="A396" s="265">
        <f t="shared" si="44"/>
        <v>43822</v>
      </c>
      <c r="B396" s="265" t="str">
        <f t="shared" ref="B396:B435" si="49">DAY(A396) &amp; " " &amp; MonthStr(MONTH(A396)) &amp; " " &amp; YEAR(A396)</f>
        <v>23 Dec 2019</v>
      </c>
      <c r="C396" s="267">
        <f t="shared" ref="C396:C435" si="50">WEEKNUM(A396,2)</f>
        <v>52</v>
      </c>
      <c r="D396">
        <f>MATCH(A396,GCalXMLT[daydate],0)</f>
        <v>395</v>
      </c>
      <c r="E396">
        <f>VALUE("1" &amp; Masacod(INDEX(GCalXMLT[gymasa],D396)) &amp; PaksaCod(INDEX(GCalXMLT[mpaksaid],D396)) &amp; TithiCod(INDEX(GCalXMLT[stithiname],D396)))</f>
        <v>110012</v>
      </c>
      <c r="F396" t="str">
        <f ca="1">INDEX(Parameters!$K$2:$K$16,MATCH(AV396,Parameters!$L$2:$L$16,0))</f>
        <v/>
      </c>
      <c r="G396">
        <f>INDEX(GCalXMLT[fastmark],$D396)</f>
        <v>0</v>
      </c>
      <c r="H396" t="str">
        <f ca="1">INDEX(Parameters!$J$2:$J$16,MATCH(AV396,Parameters!$L$2:$L$16,0))</f>
        <v/>
      </c>
      <c r="I396">
        <f>INDEX(GCalXMLT[dfestival1],$D396)</f>
        <v>0</v>
      </c>
      <c r="J396">
        <f>IF(INDEX(GCalXMLT[dfestival2],$D396)="(Fast today)",INDEX(Festivals!$R$2:$R$180,MATCH($I396,Festivals!$R$2:$R$180,0)+1),INDEX(GCalXMLT[dfestival2],$D396))</f>
        <v>0</v>
      </c>
      <c r="K396">
        <f>IF(I396="Nandotsava","(Fast till noon)",INDEX(GCalXMLT[dfestival3],$D396))</f>
        <v>0</v>
      </c>
      <c r="L396">
        <f>IF(I396="Nandotsava", INDEX(GCalXMLT[dfestival3],$D396),INDEX(GCalXMLT[dfestival4],$D396))</f>
        <v>0</v>
      </c>
      <c r="M396" t="str">
        <f>IFERROR(INDEX(Festivals!$S$2:$S$160,AP396),"")</f>
        <v/>
      </c>
      <c r="N396" t="str">
        <f>IFERROR(IF($AQ396&gt;1,INDEX(Festivals!$S$2:$S$160,$AP396+1),""),"")</f>
        <v/>
      </c>
      <c r="O396" t="str">
        <f>IFERROR(IF($AQ396&gt;2,INDEX(Festivals!$S$2:$S$160,$AP396+2),""),"")</f>
        <v/>
      </c>
      <c r="P396" t="str">
        <f>IFERROR(IF($AQ396&gt;3,INDEX(Festivals!$S$2:$S$160,$AP396+3),""),"")</f>
        <v/>
      </c>
      <c r="Q396" t="str">
        <f>IFERROR(IF($AQ396&gt;4,INDEX(Festivals!$S$2:$S$160,$AP396+4),""),"")</f>
        <v/>
      </c>
      <c r="R396" t="str">
        <f>IFERROR(IF($AQ396&gt;5,INDEX(Festivals!$S$2:$S$160,$AP396+5),""),"")</f>
        <v/>
      </c>
      <c r="S396" t="str">
        <f>IFERROR(IF($AQ396&gt;6,INDEX(Festivals!$S$2:$S$160,$AP396+6),""),"")</f>
        <v/>
      </c>
      <c r="T396">
        <f>INDEX(GCalXMLT[dcaturmasya1],$D396)</f>
        <v>0</v>
      </c>
      <c r="U396">
        <f>INDEX(GCalXMLT[dcaturmasya2],$D396)</f>
        <v>0</v>
      </c>
      <c r="V396" t="str">
        <f>INDEX(GCalXMLT[sankrantirasi],$D396) &amp; " " &amp; INDEX(GCalXMLT[sankrantitime],$D396)</f>
        <v xml:space="preserve"> </v>
      </c>
      <c r="W396" t="str">
        <f ca="1">IFERROR(INDEX('Holidays Calc'!$K$2:$K$233,AR396),"")</f>
        <v/>
      </c>
      <c r="X396" t="str">
        <f ca="1">IF(AR396="","",IF(INDEX('Holidays Calc'!$I$2:$I$233,AR396+1)=A396,INDEX('Holidays Calc'!$K$2:$K$233,AR396+1),""))</f>
        <v/>
      </c>
      <c r="Y396" t="str">
        <f ca="1">IF(AR396="","",IF(INDEX('Holidays Calc'!$I$2:$I$233,AR396+2)=A396,INDEX('Holidays Calc'!$K$2:$K$233,AR396+2),""))</f>
        <v/>
      </c>
      <c r="Z396" t="str">
        <f ca="1">IF(AR396="","",IF(INDEX('Holidays Calc'!$I$2:$I$233,AR396+3)=A396,INDEX('Holidays Calc'!$K$2:$K$2333,AR396+3),""))</f>
        <v/>
      </c>
      <c r="AA396" t="str">
        <f>IF(I396="Last day of Bhisma Pancaka","",IF(G396="*",-0.7,IF(ISBLANK(INDEX(GCalXMLT[dclass1],$D396)),"",INDEX(GCalXMLT[dclass1],$D396))))</f>
        <v/>
      </c>
      <c r="AB396" t="str">
        <f>IF(J396="First day of Bhisma Pancaka","",IF(AND(G396="*",NOT(ISERROR(SEARCH("ekadasi",J396)))),-0.7,IF(ISBLANK(INDEX(GCalXMLT[dclass2],$D396)),"",INDEX(GCalXMLT[dclass2],$D396))))</f>
        <v/>
      </c>
      <c r="AC396" t="str">
        <f>IF(I396="Nandotsava",-1,IF(ISBLANK(INDEX(GCalXMLT[dclass3],$D396)),"",INDEX(GCalXMLT[dclass3],$D396)))</f>
        <v/>
      </c>
      <c r="AD396" t="str">
        <f>IF(I396="Nandotsava",IF(ISBLANK(INDEX(GCalXMLT[dclass3],$D396)),"",INDEX(GCalXMLT[dclass3],$D396)),IF(ISBLANK(INDEX(GCalXMLT[dclass4],$D396)),"",INDEX(GCalXMLT[dclass4],$D396)))</f>
        <v/>
      </c>
      <c r="AE396" t="str">
        <f>IFERROR(INDEX(Festivals!$V$2:$V$160,AP396),"")</f>
        <v/>
      </c>
      <c r="AF396" t="str">
        <f>IFERROR(IF($AQ396&gt;1,INDEX(Festivals!$V$2:$V$160,$AP396+1),""),"")</f>
        <v/>
      </c>
      <c r="AG396" t="str">
        <f>IFERROR(IF($AQ396&gt;2,INDEX(Festivals!$V$2:$V$160,$AP396+2),""),"")</f>
        <v/>
      </c>
      <c r="AH396" t="str">
        <f>IFERROR(IF($AQ396&gt;3,INDEX(Festivals!$V$2:$V$160,$AP396+3),""),"")</f>
        <v/>
      </c>
      <c r="AI396" t="str">
        <f>IFERROR(IF($AQ396&gt;4,INDEX(Festivals!$V$2:$V$160,$AP396+4),""),"")</f>
        <v/>
      </c>
      <c r="AJ396" t="str">
        <f>IFERROR(IF($AQ396&gt;5,INDEX(Festivals!$V$2:$V$160,$AP396+5),""),"")</f>
        <v/>
      </c>
      <c r="AK396" t="str">
        <f>IFERROR(IF($AQ396&gt;6,INDEX(Festivals!$V$2:$V$160,$AP396+6),""),"")</f>
        <v/>
      </c>
      <c r="AL396" t="str">
        <f ca="1">IFERROR(INDEX('Holidays Calc'!$J$2:$J$233,MATCH(A396,'Holidays Calc'!$I$2:$I$233,0)),"")</f>
        <v/>
      </c>
      <c r="AM396" t="str">
        <f ca="1">IF(AR396="","",IF(INDEX('Holidays Calc'!$I$2:$I$233,AR396+1)=A396,INDEX('Holidays Calc'!$J$2:$J$233,AR396+1),""))</f>
        <v/>
      </c>
      <c r="AN396" t="str">
        <f ca="1">IF(AR396="","",IF(INDEX('Holidays Calc'!$I$2:$I$233,AR396+2)=A396,INDEX('Holidays Calc'!$J$2:$J$233,AR396+2),""))</f>
        <v/>
      </c>
      <c r="AO396" t="str">
        <f ca="1">IF(AR396="","",IF(INDEX('Holidays Calc'!$I$2:$I$233,AR396+3)=A396,INDEX('Holidays Calc'!$J$2:$J$233,AR396+3),""))</f>
        <v/>
      </c>
      <c r="AP396" t="str">
        <f>IFERROR(IF($E396=E395,"",MATCH($E396,Festivals!$H$2:$H$160,0)),"")</f>
        <v/>
      </c>
      <c r="AQ396" t="str">
        <f>IF(AP396="","",COUNTIF(Festivals!$H$2:$H$160,$E396))</f>
        <v/>
      </c>
      <c r="AR396" t="str">
        <f ca="1">IFERROR(MATCH(A396,'Holidays Calc'!$I$2:$I$233,0),"")</f>
        <v/>
      </c>
      <c r="AS396" t="str">
        <f t="shared" si="46"/>
        <v/>
      </c>
      <c r="AT396" t="str">
        <f t="shared" si="45"/>
        <v/>
      </c>
      <c r="AU396" t="str">
        <f t="shared" ca="1" si="47"/>
        <v/>
      </c>
      <c r="AV396" t="str">
        <f t="shared" ca="1" si="48"/>
        <v/>
      </c>
    </row>
    <row r="397" spans="1:48" x14ac:dyDescent="0.25">
      <c r="A397" s="265">
        <f t="shared" si="44"/>
        <v>43823</v>
      </c>
      <c r="B397" s="265" t="str">
        <f t="shared" si="49"/>
        <v>24 Dec 2019</v>
      </c>
      <c r="C397" s="267">
        <f t="shared" si="50"/>
        <v>52</v>
      </c>
      <c r="D397">
        <f>MATCH(A397,GCalXMLT[daydate],0)</f>
        <v>396</v>
      </c>
      <c r="E397">
        <f>VALUE("1" &amp; Masacod(INDEX(GCalXMLT[gymasa],D397)) &amp; PaksaCod(INDEX(GCalXMLT[mpaksaid],D397)) &amp; TithiCod(INDEX(GCalXMLT[stithiname],D397)))</f>
        <v>110014</v>
      </c>
      <c r="F397" t="str">
        <f ca="1">INDEX(Parameters!$K$2:$K$16,MATCH(AV397,Parameters!$L$2:$L$16,0))</f>
        <v/>
      </c>
      <c r="G397">
        <f>INDEX(GCalXMLT[fastmark],$D397)</f>
        <v>0</v>
      </c>
      <c r="H397" t="str">
        <f ca="1">INDEX(Parameters!$J$2:$J$16,MATCH(AV397,Parameters!$L$2:$L$16,0))</f>
        <v/>
      </c>
      <c r="I397">
        <f>INDEX(GCalXMLT[dfestival1],$D397)</f>
        <v>0</v>
      </c>
      <c r="J397">
        <f>IF(INDEX(GCalXMLT[dfestival2],$D397)="(Fast today)",INDEX(Festivals!$R$2:$R$180,MATCH($I397,Festivals!$R$2:$R$180,0)+1),INDEX(GCalXMLT[dfestival2],$D397))</f>
        <v>0</v>
      </c>
      <c r="K397">
        <f>IF(I397="Nandotsava","(Fast till noon)",INDEX(GCalXMLT[dfestival3],$D397))</f>
        <v>0</v>
      </c>
      <c r="L397">
        <f>IF(I397="Nandotsava", INDEX(GCalXMLT[dfestival3],$D397),INDEX(GCalXMLT[dfestival4],$D397))</f>
        <v>0</v>
      </c>
      <c r="M397" t="str">
        <f>IFERROR(INDEX(Festivals!$S$2:$S$160,AP397),"")</f>
        <v/>
      </c>
      <c r="N397" t="str">
        <f>IFERROR(IF($AQ397&gt;1,INDEX(Festivals!$S$2:$S$160,$AP397+1),""),"")</f>
        <v/>
      </c>
      <c r="O397" t="str">
        <f>IFERROR(IF($AQ397&gt;2,INDEX(Festivals!$S$2:$S$160,$AP397+2),""),"")</f>
        <v/>
      </c>
      <c r="P397" t="str">
        <f>IFERROR(IF($AQ397&gt;3,INDEX(Festivals!$S$2:$S$160,$AP397+3),""),"")</f>
        <v/>
      </c>
      <c r="Q397" t="str">
        <f>IFERROR(IF($AQ397&gt;4,INDEX(Festivals!$S$2:$S$160,$AP397+4),""),"")</f>
        <v/>
      </c>
      <c r="R397" t="str">
        <f>IFERROR(IF($AQ397&gt;5,INDEX(Festivals!$S$2:$S$160,$AP397+5),""),"")</f>
        <v/>
      </c>
      <c r="S397" t="str">
        <f>IFERROR(IF($AQ397&gt;6,INDEX(Festivals!$S$2:$S$160,$AP397+6),""),"")</f>
        <v/>
      </c>
      <c r="T397">
        <f>INDEX(GCalXMLT[dcaturmasya1],$D397)</f>
        <v>0</v>
      </c>
      <c r="U397">
        <f>INDEX(GCalXMLT[dcaturmasya2],$D397)</f>
        <v>0</v>
      </c>
      <c r="V397" t="str">
        <f>INDEX(GCalXMLT[sankrantirasi],$D397) &amp; " " &amp; INDEX(GCalXMLT[sankrantitime],$D397)</f>
        <v xml:space="preserve"> </v>
      </c>
      <c r="W397" t="str">
        <f ca="1">IFERROR(INDEX('Holidays Calc'!$K$2:$K$233,AR397),"")</f>
        <v/>
      </c>
      <c r="X397" t="str">
        <f ca="1">IF(AR397="","",IF(INDEX('Holidays Calc'!$I$2:$I$233,AR397+1)=A397,INDEX('Holidays Calc'!$K$2:$K$233,AR397+1),""))</f>
        <v/>
      </c>
      <c r="Y397" t="str">
        <f ca="1">IF(AR397="","",IF(INDEX('Holidays Calc'!$I$2:$I$233,AR397+2)=A397,INDEX('Holidays Calc'!$K$2:$K$233,AR397+2),""))</f>
        <v/>
      </c>
      <c r="Z397" t="str">
        <f ca="1">IF(AR397="","",IF(INDEX('Holidays Calc'!$I$2:$I$233,AR397+3)=A397,INDEX('Holidays Calc'!$K$2:$K$2333,AR397+3),""))</f>
        <v/>
      </c>
      <c r="AA397" t="str">
        <f>IF(I397="Last day of Bhisma Pancaka","",IF(G397="*",-0.7,IF(ISBLANK(INDEX(GCalXMLT[dclass1],$D397)),"",INDEX(GCalXMLT[dclass1],$D397))))</f>
        <v/>
      </c>
      <c r="AB397" t="str">
        <f>IF(J397="First day of Bhisma Pancaka","",IF(AND(G397="*",NOT(ISERROR(SEARCH("ekadasi",J397)))),-0.7,IF(ISBLANK(INDEX(GCalXMLT[dclass2],$D397)),"",INDEX(GCalXMLT[dclass2],$D397))))</f>
        <v/>
      </c>
      <c r="AC397" t="str">
        <f>IF(I397="Nandotsava",-1,IF(ISBLANK(INDEX(GCalXMLT[dclass3],$D397)),"",INDEX(GCalXMLT[dclass3],$D397)))</f>
        <v/>
      </c>
      <c r="AD397" t="str">
        <f>IF(I397="Nandotsava",IF(ISBLANK(INDEX(GCalXMLT[dclass3],$D397)),"",INDEX(GCalXMLT[dclass3],$D397)),IF(ISBLANK(INDEX(GCalXMLT[dclass4],$D397)),"",INDEX(GCalXMLT[dclass4],$D397)))</f>
        <v/>
      </c>
      <c r="AE397" t="str">
        <f>IFERROR(INDEX(Festivals!$V$2:$V$160,AP397),"")</f>
        <v/>
      </c>
      <c r="AF397" t="str">
        <f>IFERROR(IF($AQ397&gt;1,INDEX(Festivals!$V$2:$V$160,$AP397+1),""),"")</f>
        <v/>
      </c>
      <c r="AG397" t="str">
        <f>IFERROR(IF($AQ397&gt;2,INDEX(Festivals!$V$2:$V$160,$AP397+2),""),"")</f>
        <v/>
      </c>
      <c r="AH397" t="str">
        <f>IFERROR(IF($AQ397&gt;3,INDEX(Festivals!$V$2:$V$160,$AP397+3),""),"")</f>
        <v/>
      </c>
      <c r="AI397" t="str">
        <f>IFERROR(IF($AQ397&gt;4,INDEX(Festivals!$V$2:$V$160,$AP397+4),""),"")</f>
        <v/>
      </c>
      <c r="AJ397" t="str">
        <f>IFERROR(IF($AQ397&gt;5,INDEX(Festivals!$V$2:$V$160,$AP397+5),""),"")</f>
        <v/>
      </c>
      <c r="AK397" t="str">
        <f>IFERROR(IF($AQ397&gt;6,INDEX(Festivals!$V$2:$V$160,$AP397+6),""),"")</f>
        <v/>
      </c>
      <c r="AL397" t="str">
        <f ca="1">IFERROR(INDEX('Holidays Calc'!$J$2:$J$233,MATCH(A397,'Holidays Calc'!$I$2:$I$233,0)),"")</f>
        <v/>
      </c>
      <c r="AM397" t="str">
        <f ca="1">IF(AR397="","",IF(INDEX('Holidays Calc'!$I$2:$I$233,AR397+1)=A397,INDEX('Holidays Calc'!$J$2:$J$233,AR397+1),""))</f>
        <v/>
      </c>
      <c r="AN397" t="str">
        <f ca="1">IF(AR397="","",IF(INDEX('Holidays Calc'!$I$2:$I$233,AR397+2)=A397,INDEX('Holidays Calc'!$J$2:$J$233,AR397+2),""))</f>
        <v/>
      </c>
      <c r="AO397" t="str">
        <f ca="1">IF(AR397="","",IF(INDEX('Holidays Calc'!$I$2:$I$233,AR397+3)=A397,INDEX('Holidays Calc'!$J$2:$J$233,AR397+3),""))</f>
        <v/>
      </c>
      <c r="AP397" t="str">
        <f>IFERROR(IF($E397=E396,"",MATCH($E397,Festivals!$H$2:$H$160,0)),"")</f>
        <v/>
      </c>
      <c r="AQ397" t="str">
        <f>IF(AP397="","",COUNTIF(Festivals!$H$2:$H$160,$E397))</f>
        <v/>
      </c>
      <c r="AR397" t="str">
        <f ca="1">IFERROR(MATCH(A397,'Holidays Calc'!$I$2:$I$233,0),"")</f>
        <v/>
      </c>
      <c r="AS397" t="str">
        <f t="shared" si="46"/>
        <v/>
      </c>
      <c r="AT397" t="str">
        <f t="shared" si="45"/>
        <v/>
      </c>
      <c r="AU397" t="str">
        <f t="shared" ca="1" si="47"/>
        <v/>
      </c>
      <c r="AV397" t="str">
        <f t="shared" ca="1" si="48"/>
        <v/>
      </c>
    </row>
    <row r="398" spans="1:48" x14ac:dyDescent="0.25">
      <c r="A398" s="265">
        <f t="shared" si="44"/>
        <v>43824</v>
      </c>
      <c r="B398" s="265" t="str">
        <f t="shared" si="49"/>
        <v>25 Dec 2019</v>
      </c>
      <c r="C398" s="267">
        <f t="shared" si="50"/>
        <v>52</v>
      </c>
      <c r="D398">
        <f>MATCH(A398,GCalXMLT[daydate],0)</f>
        <v>397</v>
      </c>
      <c r="E398">
        <f>VALUE("1" &amp; Masacod(INDEX(GCalXMLT[gymasa],D398)) &amp; PaksaCod(INDEX(GCalXMLT[mpaksaid],D398)) &amp; TithiCod(INDEX(GCalXMLT[stithiname],D398)))</f>
        <v>110015</v>
      </c>
      <c r="F398" t="str">
        <f ca="1">INDEX(Parameters!$K$2:$K$16,MATCH(AV398,Parameters!$L$2:$L$16,0))</f>
        <v>H</v>
      </c>
      <c r="G398">
        <f>INDEX(GCalXMLT[fastmark],$D398)</f>
        <v>0</v>
      </c>
      <c r="H398" t="str">
        <f ca="1">INDEX(Parameters!$J$2:$J$16,MATCH(AV398,Parameters!$L$2:$L$16,0))</f>
        <v/>
      </c>
      <c r="I398">
        <f>INDEX(GCalXMLT[dfestival1],$D398)</f>
        <v>0</v>
      </c>
      <c r="J398">
        <f>IF(INDEX(GCalXMLT[dfestival2],$D398)="(Fast today)",INDEX(Festivals!$R$2:$R$180,MATCH($I398,Festivals!$R$2:$R$180,0)+1),INDEX(GCalXMLT[dfestival2],$D398))</f>
        <v>0</v>
      </c>
      <c r="K398">
        <f>IF(I398="Nandotsava","(Fast till noon)",INDEX(GCalXMLT[dfestival3],$D398))</f>
        <v>0</v>
      </c>
      <c r="L398">
        <f>IF(I398="Nandotsava", INDEX(GCalXMLT[dfestival3],$D398),INDEX(GCalXMLT[dfestival4],$D398))</f>
        <v>0</v>
      </c>
      <c r="M398" t="str">
        <f>IFERROR(INDEX(Festivals!$S$2:$S$160,AP398),"")</f>
        <v/>
      </c>
      <c r="N398" t="str">
        <f>IFERROR(IF($AQ398&gt;1,INDEX(Festivals!$S$2:$S$160,$AP398+1),""),"")</f>
        <v/>
      </c>
      <c r="O398" t="str">
        <f>IFERROR(IF($AQ398&gt;2,INDEX(Festivals!$S$2:$S$160,$AP398+2),""),"")</f>
        <v/>
      </c>
      <c r="P398" t="str">
        <f>IFERROR(IF($AQ398&gt;3,INDEX(Festivals!$S$2:$S$160,$AP398+3),""),"")</f>
        <v/>
      </c>
      <c r="Q398" t="str">
        <f>IFERROR(IF($AQ398&gt;4,INDEX(Festivals!$S$2:$S$160,$AP398+4),""),"")</f>
        <v/>
      </c>
      <c r="R398" t="str">
        <f>IFERROR(IF($AQ398&gt;5,INDEX(Festivals!$S$2:$S$160,$AP398+5),""),"")</f>
        <v/>
      </c>
      <c r="S398" t="str">
        <f>IFERROR(IF($AQ398&gt;6,INDEX(Festivals!$S$2:$S$160,$AP398+6),""),"")</f>
        <v/>
      </c>
      <c r="T398">
        <f>INDEX(GCalXMLT[dcaturmasya1],$D398)</f>
        <v>0</v>
      </c>
      <c r="U398">
        <f>INDEX(GCalXMLT[dcaturmasya2],$D398)</f>
        <v>0</v>
      </c>
      <c r="V398" t="str">
        <f>INDEX(GCalXMLT[sankrantirasi],$D398) &amp; " " &amp; INDEX(GCalXMLT[sankrantitime],$D398)</f>
        <v xml:space="preserve"> </v>
      </c>
      <c r="W398" t="str">
        <f ca="1">IFERROR(INDEX('Holidays Calc'!$K$2:$K$233,AR398),"")</f>
        <v>Natal</v>
      </c>
      <c r="X398" t="str">
        <f ca="1">IF(AR398="","",IF(INDEX('Holidays Calc'!$I$2:$I$233,AR398+1)=A398,INDEX('Holidays Calc'!$K$2:$K$233,AR398+1),""))</f>
        <v/>
      </c>
      <c r="Y398" t="str">
        <f ca="1">IF(AR398="","",IF(INDEX('Holidays Calc'!$I$2:$I$233,AR398+2)=A398,INDEX('Holidays Calc'!$K$2:$K$233,AR398+2),""))</f>
        <v/>
      </c>
      <c r="Z398" t="str">
        <f ca="1">IF(AR398="","",IF(INDEX('Holidays Calc'!$I$2:$I$233,AR398+3)=A398,INDEX('Holidays Calc'!$K$2:$K$2333,AR398+3),""))</f>
        <v/>
      </c>
      <c r="AA398" t="str">
        <f>IF(I398="Last day of Bhisma Pancaka","",IF(G398="*",-0.7,IF(ISBLANK(INDEX(GCalXMLT[dclass1],$D398)),"",INDEX(GCalXMLT[dclass1],$D398))))</f>
        <v/>
      </c>
      <c r="AB398" t="str">
        <f>IF(J398="First day of Bhisma Pancaka","",IF(AND(G398="*",NOT(ISERROR(SEARCH("ekadasi",J398)))),-0.7,IF(ISBLANK(INDEX(GCalXMLT[dclass2],$D398)),"",INDEX(GCalXMLT[dclass2],$D398))))</f>
        <v/>
      </c>
      <c r="AC398" t="str">
        <f>IF(I398="Nandotsava",-1,IF(ISBLANK(INDEX(GCalXMLT[dclass3],$D398)),"",INDEX(GCalXMLT[dclass3],$D398)))</f>
        <v/>
      </c>
      <c r="AD398" t="str">
        <f>IF(I398="Nandotsava",IF(ISBLANK(INDEX(GCalXMLT[dclass3],$D398)),"",INDEX(GCalXMLT[dclass3],$D398)),IF(ISBLANK(INDEX(GCalXMLT[dclass4],$D398)),"",INDEX(GCalXMLT[dclass4],$D398)))</f>
        <v/>
      </c>
      <c r="AE398" t="str">
        <f>IFERROR(INDEX(Festivals!$V$2:$V$160,AP398),"")</f>
        <v/>
      </c>
      <c r="AF398" t="str">
        <f>IFERROR(IF($AQ398&gt;1,INDEX(Festivals!$V$2:$V$160,$AP398+1),""),"")</f>
        <v/>
      </c>
      <c r="AG398" t="str">
        <f>IFERROR(IF($AQ398&gt;2,INDEX(Festivals!$V$2:$V$160,$AP398+2),""),"")</f>
        <v/>
      </c>
      <c r="AH398" t="str">
        <f>IFERROR(IF($AQ398&gt;3,INDEX(Festivals!$V$2:$V$160,$AP398+3),""),"")</f>
        <v/>
      </c>
      <c r="AI398" t="str">
        <f>IFERROR(IF($AQ398&gt;4,INDEX(Festivals!$V$2:$V$160,$AP398+4),""),"")</f>
        <v/>
      </c>
      <c r="AJ398" t="str">
        <f>IFERROR(IF($AQ398&gt;5,INDEX(Festivals!$V$2:$V$160,$AP398+5),""),"")</f>
        <v/>
      </c>
      <c r="AK398" t="str">
        <f>IFERROR(IF($AQ398&gt;6,INDEX(Festivals!$V$2:$V$160,$AP398+6),""),"")</f>
        <v/>
      </c>
      <c r="AL398">
        <f ca="1">IFERROR(INDEX('Holidays Calc'!$J$2:$J$233,MATCH(A398,'Holidays Calc'!$I$2:$I$233,0)),"")</f>
        <v>-11</v>
      </c>
      <c r="AM398" t="str">
        <f ca="1">IF(AR398="","",IF(INDEX('Holidays Calc'!$I$2:$I$233,AR398+1)=A398,INDEX('Holidays Calc'!$J$2:$J$233,AR398+1),""))</f>
        <v/>
      </c>
      <c r="AN398" t="str">
        <f ca="1">IF(AR398="","",IF(INDEX('Holidays Calc'!$I$2:$I$233,AR398+2)=A398,INDEX('Holidays Calc'!$J$2:$J$233,AR398+2),""))</f>
        <v/>
      </c>
      <c r="AO398" t="str">
        <f ca="1">IF(AR398="","",IF(INDEX('Holidays Calc'!$I$2:$I$233,AR398+3)=A398,INDEX('Holidays Calc'!$J$2:$J$233,AR398+3),""))</f>
        <v/>
      </c>
      <c r="AP398" t="str">
        <f>IFERROR(IF($E398=E397,"",MATCH($E398,Festivals!$H$2:$H$160,0)),"")</f>
        <v/>
      </c>
      <c r="AQ398" t="str">
        <f>IF(AP398="","",COUNTIF(Festivals!$H$2:$H$160,$E398))</f>
        <v/>
      </c>
      <c r="AR398">
        <f ca="1">IFERROR(MATCH(A398,'Holidays Calc'!$I$2:$I$233,0),"")</f>
        <v>72</v>
      </c>
      <c r="AS398" t="str">
        <f t="shared" si="46"/>
        <v/>
      </c>
      <c r="AT398" t="str">
        <f t="shared" si="45"/>
        <v/>
      </c>
      <c r="AU398">
        <f t="shared" ca="1" si="47"/>
        <v>-11</v>
      </c>
      <c r="AV398">
        <f t="shared" ca="1" si="48"/>
        <v>-11</v>
      </c>
    </row>
    <row r="399" spans="1:48" x14ac:dyDescent="0.25">
      <c r="A399" s="265">
        <f t="shared" si="44"/>
        <v>43825</v>
      </c>
      <c r="B399" s="265" t="str">
        <f t="shared" si="49"/>
        <v>26 Dec 2019</v>
      </c>
      <c r="C399" s="267">
        <f t="shared" si="50"/>
        <v>52</v>
      </c>
      <c r="D399">
        <f>MATCH(A399,GCalXMLT[daydate],0)</f>
        <v>398</v>
      </c>
      <c r="E399">
        <f>VALUE("1" &amp; Masacod(INDEX(GCalXMLT[gymasa],D399)) &amp; PaksaCod(INDEX(GCalXMLT[mpaksaid],D399)) &amp; TithiCod(INDEX(GCalXMLT[stithiname],D399)))</f>
        <v>110101</v>
      </c>
      <c r="F399" t="str">
        <f ca="1">INDEX(Parameters!$K$2:$K$16,MATCH(AV399,Parameters!$L$2:$L$16,0))</f>
        <v>C</v>
      </c>
      <c r="G399">
        <f>INDEX(GCalXMLT[fastmark],$D399)</f>
        <v>0</v>
      </c>
      <c r="H399" t="str">
        <f ca="1">INDEX(Parameters!$J$2:$J$16,MATCH(AV399,Parameters!$L$2:$L$16,0))</f>
        <v/>
      </c>
      <c r="I399">
        <f>INDEX(GCalXMLT[dfestival1],$D399)</f>
        <v>0</v>
      </c>
      <c r="J399">
        <f>IF(INDEX(GCalXMLT[dfestival2],$D399)="(Fast today)",INDEX(Festivals!$R$2:$R$180,MATCH($I399,Festivals!$R$2:$R$180,0)+1),INDEX(GCalXMLT[dfestival2],$D399))</f>
        <v>0</v>
      </c>
      <c r="K399">
        <f>IF(I399="Nandotsava","(Fast till noon)",INDEX(GCalXMLT[dfestival3],$D399))</f>
        <v>0</v>
      </c>
      <c r="L399">
        <f>IF(I399="Nandotsava", INDEX(GCalXMLT[dfestival3],$D399),INDEX(GCalXMLT[dfestival4],$D399))</f>
        <v>0</v>
      </c>
      <c r="M399" t="str">
        <f>IFERROR(INDEX(Festivals!$S$2:$S$160,AP399),"")</f>
        <v>Sri Locana Dasa Thakura - Appearance</v>
      </c>
      <c r="N399" t="str">
        <f>IFERROR(IF($AQ399&gt;1,INDEX(Festivals!$S$2:$S$160,$AP399+1),""),"")</f>
        <v/>
      </c>
      <c r="O399" t="str">
        <f>IFERROR(IF($AQ399&gt;2,INDEX(Festivals!$S$2:$S$160,$AP399+2),""),"")</f>
        <v/>
      </c>
      <c r="P399" t="str">
        <f>IFERROR(IF($AQ399&gt;3,INDEX(Festivals!$S$2:$S$160,$AP399+3),""),"")</f>
        <v/>
      </c>
      <c r="Q399" t="str">
        <f>IFERROR(IF($AQ399&gt;4,INDEX(Festivals!$S$2:$S$160,$AP399+4),""),"")</f>
        <v/>
      </c>
      <c r="R399" t="str">
        <f>IFERROR(IF($AQ399&gt;5,INDEX(Festivals!$S$2:$S$160,$AP399+5),""),"")</f>
        <v/>
      </c>
      <c r="S399" t="str">
        <f>IFERROR(IF($AQ399&gt;6,INDEX(Festivals!$S$2:$S$160,$AP399+6),""),"")</f>
        <v/>
      </c>
      <c r="T399">
        <f>INDEX(GCalXMLT[dcaturmasya1],$D399)</f>
        <v>0</v>
      </c>
      <c r="U399">
        <f>INDEX(GCalXMLT[dcaturmasya2],$D399)</f>
        <v>0</v>
      </c>
      <c r="V399" t="str">
        <f>INDEX(GCalXMLT[sankrantirasi],$D399) &amp; " " &amp; INDEX(GCalXMLT[sankrantitime],$D399)</f>
        <v xml:space="preserve"> </v>
      </c>
      <c r="W399" t="str">
        <f ca="1">IFERROR(INDEX('Holidays Calc'!$K$2:$K$233,AR399),"")</f>
        <v/>
      </c>
      <c r="X399" t="str">
        <f ca="1">IF(AR399="","",IF(INDEX('Holidays Calc'!$I$2:$I$233,AR399+1)=A399,INDEX('Holidays Calc'!$K$2:$K$233,AR399+1),""))</f>
        <v/>
      </c>
      <c r="Y399" t="str">
        <f ca="1">IF(AR399="","",IF(INDEX('Holidays Calc'!$I$2:$I$233,AR399+2)=A399,INDEX('Holidays Calc'!$K$2:$K$233,AR399+2),""))</f>
        <v/>
      </c>
      <c r="Z399" t="str">
        <f ca="1">IF(AR399="","",IF(INDEX('Holidays Calc'!$I$2:$I$233,AR399+3)=A399,INDEX('Holidays Calc'!$K$2:$K$2333,AR399+3),""))</f>
        <v/>
      </c>
      <c r="AA399" t="str">
        <f>IF(I399="Last day of Bhisma Pancaka","",IF(G399="*",-0.7,IF(ISBLANK(INDEX(GCalXMLT[dclass1],$D399)),"",INDEX(GCalXMLT[dclass1],$D399))))</f>
        <v/>
      </c>
      <c r="AB399" t="str">
        <f>IF(J399="First day of Bhisma Pancaka","",IF(AND(G399="*",NOT(ISERROR(SEARCH("ekadasi",J399)))),-0.7,IF(ISBLANK(INDEX(GCalXMLT[dclass2],$D399)),"",INDEX(GCalXMLT[dclass2],$D399))))</f>
        <v/>
      </c>
      <c r="AC399" t="str">
        <f>IF(I399="Nandotsava",-1,IF(ISBLANK(INDEX(GCalXMLT[dclass3],$D399)),"",INDEX(GCalXMLT[dclass3],$D399)))</f>
        <v/>
      </c>
      <c r="AD399" t="str">
        <f>IF(I399="Nandotsava",IF(ISBLANK(INDEX(GCalXMLT[dclass3],$D399)),"",INDEX(GCalXMLT[dclass3],$D399)),IF(ISBLANK(INDEX(GCalXMLT[dclass4],$D399)),"",INDEX(GCalXMLT[dclass4],$D399)))</f>
        <v/>
      </c>
      <c r="AE399">
        <f>IFERROR(INDEX(Festivals!$V$2:$V$160,AP399),"")</f>
        <v>3</v>
      </c>
      <c r="AF399" t="str">
        <f>IFERROR(IF($AQ399&gt;1,INDEX(Festivals!$V$2:$V$160,$AP399+1),""),"")</f>
        <v/>
      </c>
      <c r="AG399" t="str">
        <f>IFERROR(IF($AQ399&gt;2,INDEX(Festivals!$V$2:$V$160,$AP399+2),""),"")</f>
        <v/>
      </c>
      <c r="AH399" t="str">
        <f>IFERROR(IF($AQ399&gt;3,INDEX(Festivals!$V$2:$V$160,$AP399+3),""),"")</f>
        <v/>
      </c>
      <c r="AI399" t="str">
        <f>IFERROR(IF($AQ399&gt;4,INDEX(Festivals!$V$2:$V$160,$AP399+4),""),"")</f>
        <v/>
      </c>
      <c r="AJ399" t="str">
        <f>IFERROR(IF($AQ399&gt;5,INDEX(Festivals!$V$2:$V$160,$AP399+5),""),"")</f>
        <v/>
      </c>
      <c r="AK399" t="str">
        <f>IFERROR(IF($AQ399&gt;6,INDEX(Festivals!$V$2:$V$160,$AP399+6),""),"")</f>
        <v/>
      </c>
      <c r="AL399" t="str">
        <f ca="1">IFERROR(INDEX('Holidays Calc'!$J$2:$J$233,MATCH(A399,'Holidays Calc'!$I$2:$I$233,0)),"")</f>
        <v/>
      </c>
      <c r="AM399" t="str">
        <f ca="1">IF(AR399="","",IF(INDEX('Holidays Calc'!$I$2:$I$233,AR399+1)=A399,INDEX('Holidays Calc'!$J$2:$J$233,AR399+1),""))</f>
        <v/>
      </c>
      <c r="AN399" t="str">
        <f ca="1">IF(AR399="","",IF(INDEX('Holidays Calc'!$I$2:$I$233,AR399+2)=A399,INDEX('Holidays Calc'!$J$2:$J$233,AR399+2),""))</f>
        <v/>
      </c>
      <c r="AO399" t="str">
        <f ca="1">IF(AR399="","",IF(INDEX('Holidays Calc'!$I$2:$I$233,AR399+3)=A399,INDEX('Holidays Calc'!$J$2:$J$233,AR399+3),""))</f>
        <v/>
      </c>
      <c r="AP399">
        <f>IFERROR(IF($E399=E398,"",MATCH($E399,Festivals!$H$2:$H$160,0)),"")</f>
        <v>120</v>
      </c>
      <c r="AQ399">
        <f>IF(AP399="","",COUNTIF(Festivals!$H$2:$H$160,$E399))</f>
        <v>1</v>
      </c>
      <c r="AR399" t="str">
        <f ca="1">IFERROR(MATCH(A399,'Holidays Calc'!$I$2:$I$233,0),"")</f>
        <v/>
      </c>
      <c r="AS399">
        <f t="shared" si="46"/>
        <v>3</v>
      </c>
      <c r="AT399">
        <f t="shared" si="45"/>
        <v>3</v>
      </c>
      <c r="AU399" t="str">
        <f t="shared" ca="1" si="47"/>
        <v/>
      </c>
      <c r="AV399">
        <f t="shared" ca="1" si="48"/>
        <v>3</v>
      </c>
    </row>
    <row r="400" spans="1:48" x14ac:dyDescent="0.25">
      <c r="A400" s="265">
        <f t="shared" si="44"/>
        <v>43826</v>
      </c>
      <c r="B400" s="265" t="str">
        <f t="shared" si="49"/>
        <v>27 Dec 2019</v>
      </c>
      <c r="C400" s="267">
        <f t="shared" si="50"/>
        <v>52</v>
      </c>
      <c r="D400">
        <f>MATCH(A400,GCalXMLT[daydate],0)</f>
        <v>399</v>
      </c>
      <c r="E400">
        <f>VALUE("1" &amp; Masacod(INDEX(GCalXMLT[gymasa],D400)) &amp; PaksaCod(INDEX(GCalXMLT[mpaksaid],D400)) &amp; TithiCod(INDEX(GCalXMLT[stithiname],D400)))</f>
        <v>110102</v>
      </c>
      <c r="F400" t="str">
        <f ca="1">INDEX(Parameters!$K$2:$K$16,MATCH(AV400,Parameters!$L$2:$L$16,0))</f>
        <v/>
      </c>
      <c r="G400">
        <f>INDEX(GCalXMLT[fastmark],$D400)</f>
        <v>0</v>
      </c>
      <c r="H400" t="str">
        <f ca="1">INDEX(Parameters!$J$2:$J$16,MATCH(AV400,Parameters!$L$2:$L$16,0))</f>
        <v/>
      </c>
      <c r="I400">
        <f>INDEX(GCalXMLT[dfestival1],$D400)</f>
        <v>0</v>
      </c>
      <c r="J400">
        <f>IF(INDEX(GCalXMLT[dfestival2],$D400)="(Fast today)",INDEX(Festivals!$R$2:$R$180,MATCH($I400,Festivals!$R$2:$R$180,0)+1),INDEX(GCalXMLT[dfestival2],$D400))</f>
        <v>0</v>
      </c>
      <c r="K400">
        <f>IF(I400="Nandotsava","(Fast till noon)",INDEX(GCalXMLT[dfestival3],$D400))</f>
        <v>0</v>
      </c>
      <c r="L400">
        <f>IF(I400="Nandotsava", INDEX(GCalXMLT[dfestival3],$D400),INDEX(GCalXMLT[dfestival4],$D400))</f>
        <v>0</v>
      </c>
      <c r="M400" t="str">
        <f>IFERROR(INDEX(Festivals!$S$2:$S$160,AP400),"")</f>
        <v/>
      </c>
      <c r="N400" t="str">
        <f>IFERROR(IF($AQ400&gt;1,INDEX(Festivals!$S$2:$S$160,$AP400+1),""),"")</f>
        <v/>
      </c>
      <c r="O400" t="str">
        <f>IFERROR(IF($AQ400&gt;2,INDEX(Festivals!$S$2:$S$160,$AP400+2),""),"")</f>
        <v/>
      </c>
      <c r="P400" t="str">
        <f>IFERROR(IF($AQ400&gt;3,INDEX(Festivals!$S$2:$S$160,$AP400+3),""),"")</f>
        <v/>
      </c>
      <c r="Q400" t="str">
        <f>IFERROR(IF($AQ400&gt;4,INDEX(Festivals!$S$2:$S$160,$AP400+4),""),"")</f>
        <v/>
      </c>
      <c r="R400" t="str">
        <f>IFERROR(IF($AQ400&gt;5,INDEX(Festivals!$S$2:$S$160,$AP400+5),""),"")</f>
        <v/>
      </c>
      <c r="S400" t="str">
        <f>IFERROR(IF($AQ400&gt;6,INDEX(Festivals!$S$2:$S$160,$AP400+6),""),"")</f>
        <v/>
      </c>
      <c r="T400">
        <f>INDEX(GCalXMLT[dcaturmasya1],$D400)</f>
        <v>0</v>
      </c>
      <c r="U400">
        <f>INDEX(GCalXMLT[dcaturmasya2],$D400)</f>
        <v>0</v>
      </c>
      <c r="V400" t="str">
        <f>INDEX(GCalXMLT[sankrantirasi],$D400) &amp; " " &amp; INDEX(GCalXMLT[sankrantitime],$D400)</f>
        <v xml:space="preserve"> </v>
      </c>
      <c r="W400" t="str">
        <f ca="1">IFERROR(INDEX('Holidays Calc'!$K$2:$K$233,AR400),"")</f>
        <v/>
      </c>
      <c r="X400" t="str">
        <f ca="1">IF(AR400="","",IF(INDEX('Holidays Calc'!$I$2:$I$233,AR400+1)=A400,INDEX('Holidays Calc'!$K$2:$K$233,AR400+1),""))</f>
        <v/>
      </c>
      <c r="Y400" t="str">
        <f ca="1">IF(AR400="","",IF(INDEX('Holidays Calc'!$I$2:$I$233,AR400+2)=A400,INDEX('Holidays Calc'!$K$2:$K$233,AR400+2),""))</f>
        <v/>
      </c>
      <c r="Z400" t="str">
        <f ca="1">IF(AR400="","",IF(INDEX('Holidays Calc'!$I$2:$I$233,AR400+3)=A400,INDEX('Holidays Calc'!$K$2:$K$2333,AR400+3),""))</f>
        <v/>
      </c>
      <c r="AA400" t="str">
        <f>IF(I400="Last day of Bhisma Pancaka","",IF(G400="*",-0.7,IF(ISBLANK(INDEX(GCalXMLT[dclass1],$D400)),"",INDEX(GCalXMLT[dclass1],$D400))))</f>
        <v/>
      </c>
      <c r="AB400" t="str">
        <f>IF(J400="First day of Bhisma Pancaka","",IF(AND(G400="*",NOT(ISERROR(SEARCH("ekadasi",J400)))),-0.7,IF(ISBLANK(INDEX(GCalXMLT[dclass2],$D400)),"",INDEX(GCalXMLT[dclass2],$D400))))</f>
        <v/>
      </c>
      <c r="AC400" t="str">
        <f>IF(I400="Nandotsava",-1,IF(ISBLANK(INDEX(GCalXMLT[dclass3],$D400)),"",INDEX(GCalXMLT[dclass3],$D400)))</f>
        <v/>
      </c>
      <c r="AD400" t="str">
        <f>IF(I400="Nandotsava",IF(ISBLANK(INDEX(GCalXMLT[dclass3],$D400)),"",INDEX(GCalXMLT[dclass3],$D400)),IF(ISBLANK(INDEX(GCalXMLT[dclass4],$D400)),"",INDEX(GCalXMLT[dclass4],$D400)))</f>
        <v/>
      </c>
      <c r="AE400" t="str">
        <f>IFERROR(INDEX(Festivals!$V$2:$V$160,AP400),"")</f>
        <v/>
      </c>
      <c r="AF400" t="str">
        <f>IFERROR(IF($AQ400&gt;1,INDEX(Festivals!$V$2:$V$160,$AP400+1),""),"")</f>
        <v/>
      </c>
      <c r="AG400" t="str">
        <f>IFERROR(IF($AQ400&gt;2,INDEX(Festivals!$V$2:$V$160,$AP400+2),""),"")</f>
        <v/>
      </c>
      <c r="AH400" t="str">
        <f>IFERROR(IF($AQ400&gt;3,INDEX(Festivals!$V$2:$V$160,$AP400+3),""),"")</f>
        <v/>
      </c>
      <c r="AI400" t="str">
        <f>IFERROR(IF($AQ400&gt;4,INDEX(Festivals!$V$2:$V$160,$AP400+4),""),"")</f>
        <v/>
      </c>
      <c r="AJ400" t="str">
        <f>IFERROR(IF($AQ400&gt;5,INDEX(Festivals!$V$2:$V$160,$AP400+5),""),"")</f>
        <v/>
      </c>
      <c r="AK400" t="str">
        <f>IFERROR(IF($AQ400&gt;6,INDEX(Festivals!$V$2:$V$160,$AP400+6),""),"")</f>
        <v/>
      </c>
      <c r="AL400" t="str">
        <f ca="1">IFERROR(INDEX('Holidays Calc'!$J$2:$J$233,MATCH(A400,'Holidays Calc'!$I$2:$I$233,0)),"")</f>
        <v/>
      </c>
      <c r="AM400" t="str">
        <f ca="1">IF(AR400="","",IF(INDEX('Holidays Calc'!$I$2:$I$233,AR400+1)=A400,INDEX('Holidays Calc'!$J$2:$J$233,AR400+1),""))</f>
        <v/>
      </c>
      <c r="AN400" t="str">
        <f ca="1">IF(AR400="","",IF(INDEX('Holidays Calc'!$I$2:$I$233,AR400+2)=A400,INDEX('Holidays Calc'!$J$2:$J$233,AR400+2),""))</f>
        <v/>
      </c>
      <c r="AO400" t="str">
        <f ca="1">IF(AR400="","",IF(INDEX('Holidays Calc'!$I$2:$I$233,AR400+3)=A400,INDEX('Holidays Calc'!$J$2:$J$233,AR400+3),""))</f>
        <v/>
      </c>
      <c r="AP400" t="str">
        <f>IFERROR(IF($E400=E399,"",MATCH($E400,Festivals!$H$2:$H$160,0)),"")</f>
        <v/>
      </c>
      <c r="AQ400" t="str">
        <f>IF(AP400="","",COUNTIF(Festivals!$H$2:$H$160,$E400))</f>
        <v/>
      </c>
      <c r="AR400" t="str">
        <f ca="1">IFERROR(MATCH(A400,'Holidays Calc'!$I$2:$I$233,0),"")</f>
        <v/>
      </c>
      <c r="AS400" t="str">
        <f t="shared" si="46"/>
        <v/>
      </c>
      <c r="AT400" t="str">
        <f t="shared" si="45"/>
        <v/>
      </c>
      <c r="AU400" t="str">
        <f t="shared" ca="1" si="47"/>
        <v/>
      </c>
      <c r="AV400" t="str">
        <f t="shared" ca="1" si="48"/>
        <v/>
      </c>
    </row>
    <row r="401" spans="1:48" x14ac:dyDescent="0.25">
      <c r="A401" s="265">
        <f t="shared" si="44"/>
        <v>43827</v>
      </c>
      <c r="B401" s="265" t="str">
        <f t="shared" si="49"/>
        <v>28 Dec 2019</v>
      </c>
      <c r="C401" s="267">
        <f t="shared" si="50"/>
        <v>52</v>
      </c>
      <c r="D401">
        <f>MATCH(A401,GCalXMLT[daydate],0)</f>
        <v>400</v>
      </c>
      <c r="E401">
        <f>VALUE("1" &amp; Masacod(INDEX(GCalXMLT[gymasa],D401)) &amp; PaksaCod(INDEX(GCalXMLT[mpaksaid],D401)) &amp; TithiCod(INDEX(GCalXMLT[stithiname],D401)))</f>
        <v>110103</v>
      </c>
      <c r="F401" t="str">
        <f ca="1">INDEX(Parameters!$K$2:$K$16,MATCH(AV401,Parameters!$L$2:$L$16,0))</f>
        <v>C</v>
      </c>
      <c r="G401">
        <f>INDEX(GCalXMLT[fastmark],$D401)</f>
        <v>0</v>
      </c>
      <c r="H401" t="str">
        <f ca="1">INDEX(Parameters!$J$2:$J$16,MATCH(AV401,Parameters!$L$2:$L$16,0))</f>
        <v/>
      </c>
      <c r="I401">
        <f>INDEX(GCalXMLT[dfestival1],$D401)</f>
        <v>0</v>
      </c>
      <c r="J401">
        <f>IF(INDEX(GCalXMLT[dfestival2],$D401)="(Fast today)",INDEX(Festivals!$R$2:$R$180,MATCH($I401,Festivals!$R$2:$R$180,0)+1),INDEX(GCalXMLT[dfestival2],$D401))</f>
        <v>0</v>
      </c>
      <c r="K401">
        <f>IF(I401="Nandotsava","(Fast till noon)",INDEX(GCalXMLT[dfestival3],$D401))</f>
        <v>0</v>
      </c>
      <c r="L401">
        <f>IF(I401="Nandotsava", INDEX(GCalXMLT[dfestival3],$D401),INDEX(GCalXMLT[dfestival4],$D401))</f>
        <v>0</v>
      </c>
      <c r="M401" t="str">
        <f>IFERROR(INDEX(Festivals!$S$2:$S$160,AP401),"")</f>
        <v>Srila Jiva Gosvami - Disappearance</v>
      </c>
      <c r="N401" t="str">
        <f>IFERROR(IF($AQ401&gt;1,INDEX(Festivals!$S$2:$S$160,$AP401+1),""),"")</f>
        <v>Sri Jagadisa Pandita - Disappearance</v>
      </c>
      <c r="O401" t="str">
        <f>IFERROR(IF($AQ401&gt;2,INDEX(Festivals!$S$2:$S$160,$AP401+2),""),"")</f>
        <v/>
      </c>
      <c r="P401" t="str">
        <f>IFERROR(IF($AQ401&gt;3,INDEX(Festivals!$S$2:$S$160,$AP401+3),""),"")</f>
        <v/>
      </c>
      <c r="Q401" t="str">
        <f>IFERROR(IF($AQ401&gt;4,INDEX(Festivals!$S$2:$S$160,$AP401+4),""),"")</f>
        <v/>
      </c>
      <c r="R401" t="str">
        <f>IFERROR(IF($AQ401&gt;5,INDEX(Festivals!$S$2:$S$160,$AP401+5),""),"")</f>
        <v/>
      </c>
      <c r="S401" t="str">
        <f>IFERROR(IF($AQ401&gt;6,INDEX(Festivals!$S$2:$S$160,$AP401+6),""),"")</f>
        <v/>
      </c>
      <c r="T401">
        <f>INDEX(GCalXMLT[dcaturmasya1],$D401)</f>
        <v>0</v>
      </c>
      <c r="U401">
        <f>INDEX(GCalXMLT[dcaturmasya2],$D401)</f>
        <v>0</v>
      </c>
      <c r="V401" t="str">
        <f>INDEX(GCalXMLT[sankrantirasi],$D401) &amp; " " &amp; INDEX(GCalXMLT[sankrantitime],$D401)</f>
        <v xml:space="preserve"> </v>
      </c>
      <c r="W401" t="str">
        <f ca="1">IFERROR(INDEX('Holidays Calc'!$K$2:$K$233,AR401),"")</f>
        <v/>
      </c>
      <c r="X401" t="str">
        <f ca="1">IF(AR401="","",IF(INDEX('Holidays Calc'!$I$2:$I$233,AR401+1)=A401,INDEX('Holidays Calc'!$K$2:$K$233,AR401+1),""))</f>
        <v/>
      </c>
      <c r="Y401" t="str">
        <f ca="1">IF(AR401="","",IF(INDEX('Holidays Calc'!$I$2:$I$233,AR401+2)=A401,INDEX('Holidays Calc'!$K$2:$K$233,AR401+2),""))</f>
        <v/>
      </c>
      <c r="Z401" t="str">
        <f ca="1">IF(AR401="","",IF(INDEX('Holidays Calc'!$I$2:$I$233,AR401+3)=A401,INDEX('Holidays Calc'!$K$2:$K$2333,AR401+3),""))</f>
        <v/>
      </c>
      <c r="AA401" t="str">
        <f>IF(I401="Last day of Bhisma Pancaka","",IF(G401="*",-0.7,IF(ISBLANK(INDEX(GCalXMLT[dclass1],$D401)),"",INDEX(GCalXMLT[dclass1],$D401))))</f>
        <v/>
      </c>
      <c r="AB401" t="str">
        <f>IF(J401="First day of Bhisma Pancaka","",IF(AND(G401="*",NOT(ISERROR(SEARCH("ekadasi",J401)))),-0.7,IF(ISBLANK(INDEX(GCalXMLT[dclass2],$D401)),"",INDEX(GCalXMLT[dclass2],$D401))))</f>
        <v/>
      </c>
      <c r="AC401" t="str">
        <f>IF(I401="Nandotsava",-1,IF(ISBLANK(INDEX(GCalXMLT[dclass3],$D401)),"",INDEX(GCalXMLT[dclass3],$D401)))</f>
        <v/>
      </c>
      <c r="AD401" t="str">
        <f>IF(I401="Nandotsava",IF(ISBLANK(INDEX(GCalXMLT[dclass3],$D401)),"",INDEX(GCalXMLT[dclass3],$D401)),IF(ISBLANK(INDEX(GCalXMLT[dclass4],$D401)),"",INDEX(GCalXMLT[dclass4],$D401)))</f>
        <v/>
      </c>
      <c r="AE401">
        <f>IFERROR(INDEX(Festivals!$V$2:$V$160,AP401),"")</f>
        <v>3</v>
      </c>
      <c r="AF401">
        <f>IFERROR(IF($AQ401&gt;1,INDEX(Festivals!$V$2:$V$160,$AP401+1),""),"")</f>
        <v>3</v>
      </c>
      <c r="AG401" t="str">
        <f>IFERROR(IF($AQ401&gt;2,INDEX(Festivals!$V$2:$V$160,$AP401+2),""),"")</f>
        <v/>
      </c>
      <c r="AH401" t="str">
        <f>IFERROR(IF($AQ401&gt;3,INDEX(Festivals!$V$2:$V$160,$AP401+3),""),"")</f>
        <v/>
      </c>
      <c r="AI401" t="str">
        <f>IFERROR(IF($AQ401&gt;4,INDEX(Festivals!$V$2:$V$160,$AP401+4),""),"")</f>
        <v/>
      </c>
      <c r="AJ401" t="str">
        <f>IFERROR(IF($AQ401&gt;5,INDEX(Festivals!$V$2:$V$160,$AP401+5),""),"")</f>
        <v/>
      </c>
      <c r="AK401" t="str">
        <f>IFERROR(IF($AQ401&gt;6,INDEX(Festivals!$V$2:$V$160,$AP401+6),""),"")</f>
        <v/>
      </c>
      <c r="AL401" t="str">
        <f ca="1">IFERROR(INDEX('Holidays Calc'!$J$2:$J$233,MATCH(A401,'Holidays Calc'!$I$2:$I$233,0)),"")</f>
        <v/>
      </c>
      <c r="AM401" t="str">
        <f ca="1">IF(AR401="","",IF(INDEX('Holidays Calc'!$I$2:$I$233,AR401+1)=A401,INDEX('Holidays Calc'!$J$2:$J$233,AR401+1),""))</f>
        <v/>
      </c>
      <c r="AN401" t="str">
        <f ca="1">IF(AR401="","",IF(INDEX('Holidays Calc'!$I$2:$I$233,AR401+2)=A401,INDEX('Holidays Calc'!$J$2:$J$233,AR401+2),""))</f>
        <v/>
      </c>
      <c r="AO401" t="str">
        <f ca="1">IF(AR401="","",IF(INDEX('Holidays Calc'!$I$2:$I$233,AR401+3)=A401,INDEX('Holidays Calc'!$J$2:$J$233,AR401+3),""))</f>
        <v/>
      </c>
      <c r="AP401">
        <f>IFERROR(IF($E401=E400,"",MATCH($E401,Festivals!$H$2:$H$160,0)),"")</f>
        <v>121</v>
      </c>
      <c r="AQ401">
        <f>IF(AP401="","",COUNTIF(Festivals!$H$2:$H$160,$E401))</f>
        <v>2</v>
      </c>
      <c r="AR401" t="str">
        <f ca="1">IFERROR(MATCH(A401,'Holidays Calc'!$I$2:$I$233,0),"")</f>
        <v/>
      </c>
      <c r="AS401">
        <f t="shared" si="46"/>
        <v>3</v>
      </c>
      <c r="AT401">
        <f t="shared" si="45"/>
        <v>3</v>
      </c>
      <c r="AU401" t="str">
        <f t="shared" ca="1" si="47"/>
        <v/>
      </c>
      <c r="AV401">
        <f t="shared" ca="1" si="48"/>
        <v>3</v>
      </c>
    </row>
    <row r="402" spans="1:48" x14ac:dyDescent="0.25">
      <c r="A402" s="265">
        <f t="shared" si="44"/>
        <v>43828</v>
      </c>
      <c r="B402" s="265" t="str">
        <f t="shared" si="49"/>
        <v>29 Dec 2019</v>
      </c>
      <c r="C402" s="267">
        <f t="shared" si="50"/>
        <v>52</v>
      </c>
      <c r="D402">
        <f>MATCH(A402,GCalXMLT[daydate],0)</f>
        <v>401</v>
      </c>
      <c r="E402">
        <f>VALUE("1" &amp; Masacod(INDEX(GCalXMLT[gymasa],D402)) &amp; PaksaCod(INDEX(GCalXMLT[mpaksaid],D402)) &amp; TithiCod(INDEX(GCalXMLT[stithiname],D402)))</f>
        <v>110104</v>
      </c>
      <c r="F402" t="str">
        <f ca="1">INDEX(Parameters!$K$2:$K$16,MATCH(AV402,Parameters!$L$2:$L$16,0))</f>
        <v/>
      </c>
      <c r="G402">
        <f>INDEX(GCalXMLT[fastmark],$D402)</f>
        <v>0</v>
      </c>
      <c r="H402" t="str">
        <f ca="1">INDEX(Parameters!$J$2:$J$16,MATCH(AV402,Parameters!$L$2:$L$16,0))</f>
        <v/>
      </c>
      <c r="I402">
        <f>INDEX(GCalXMLT[dfestival1],$D402)</f>
        <v>0</v>
      </c>
      <c r="J402">
        <f>IF(INDEX(GCalXMLT[dfestival2],$D402)="(Fast today)",INDEX(Festivals!$R$2:$R$180,MATCH($I402,Festivals!$R$2:$R$180,0)+1),INDEX(GCalXMLT[dfestival2],$D402))</f>
        <v>0</v>
      </c>
      <c r="K402">
        <f>IF(I402="Nandotsava","(Fast till noon)",INDEX(GCalXMLT[dfestival3],$D402))</f>
        <v>0</v>
      </c>
      <c r="L402">
        <f>IF(I402="Nandotsava", INDEX(GCalXMLT[dfestival3],$D402),INDEX(GCalXMLT[dfestival4],$D402))</f>
        <v>0</v>
      </c>
      <c r="M402" t="str">
        <f>IFERROR(INDEX(Festivals!$S$2:$S$160,AP402),"")</f>
        <v/>
      </c>
      <c r="N402" t="str">
        <f>IFERROR(IF($AQ402&gt;1,INDEX(Festivals!$S$2:$S$160,$AP402+1),""),"")</f>
        <v/>
      </c>
      <c r="O402" t="str">
        <f>IFERROR(IF($AQ402&gt;2,INDEX(Festivals!$S$2:$S$160,$AP402+2),""),"")</f>
        <v/>
      </c>
      <c r="P402" t="str">
        <f>IFERROR(IF($AQ402&gt;3,INDEX(Festivals!$S$2:$S$160,$AP402+3),""),"")</f>
        <v/>
      </c>
      <c r="Q402" t="str">
        <f>IFERROR(IF($AQ402&gt;4,INDEX(Festivals!$S$2:$S$160,$AP402+4),""),"")</f>
        <v/>
      </c>
      <c r="R402" t="str">
        <f>IFERROR(IF($AQ402&gt;5,INDEX(Festivals!$S$2:$S$160,$AP402+5),""),"")</f>
        <v/>
      </c>
      <c r="S402" t="str">
        <f>IFERROR(IF($AQ402&gt;6,INDEX(Festivals!$S$2:$S$160,$AP402+6),""),"")</f>
        <v/>
      </c>
      <c r="T402">
        <f>INDEX(GCalXMLT[dcaturmasya1],$D402)</f>
        <v>0</v>
      </c>
      <c r="U402">
        <f>INDEX(GCalXMLT[dcaturmasya2],$D402)</f>
        <v>0</v>
      </c>
      <c r="V402" t="str">
        <f>INDEX(GCalXMLT[sankrantirasi],$D402) &amp; " " &amp; INDEX(GCalXMLT[sankrantitime],$D402)</f>
        <v xml:space="preserve"> </v>
      </c>
      <c r="W402" t="str">
        <f ca="1">IFERROR(INDEX('Holidays Calc'!$K$2:$K$233,AR402),"")</f>
        <v/>
      </c>
      <c r="X402" t="str">
        <f ca="1">IF(AR402="","",IF(INDEX('Holidays Calc'!$I$2:$I$233,AR402+1)=A402,INDEX('Holidays Calc'!$K$2:$K$233,AR402+1),""))</f>
        <v/>
      </c>
      <c r="Y402" t="str">
        <f ca="1">IF(AR402="","",IF(INDEX('Holidays Calc'!$I$2:$I$233,AR402+2)=A402,INDEX('Holidays Calc'!$K$2:$K$233,AR402+2),""))</f>
        <v/>
      </c>
      <c r="Z402" t="str">
        <f ca="1">IF(AR402="","",IF(INDEX('Holidays Calc'!$I$2:$I$233,AR402+3)=A402,INDEX('Holidays Calc'!$K$2:$K$2333,AR402+3),""))</f>
        <v/>
      </c>
      <c r="AA402" t="str">
        <f>IF(I402="Last day of Bhisma Pancaka","",IF(G402="*",-0.7,IF(ISBLANK(INDEX(GCalXMLT[dclass1],$D402)),"",INDEX(GCalXMLT[dclass1],$D402))))</f>
        <v/>
      </c>
      <c r="AB402" t="str">
        <f>IF(J402="First day of Bhisma Pancaka","",IF(AND(G402="*",NOT(ISERROR(SEARCH("ekadasi",J402)))),-0.7,IF(ISBLANK(INDEX(GCalXMLT[dclass2],$D402)),"",INDEX(GCalXMLT[dclass2],$D402))))</f>
        <v/>
      </c>
      <c r="AC402" t="str">
        <f>IF(I402="Nandotsava",-1,IF(ISBLANK(INDEX(GCalXMLT[dclass3],$D402)),"",INDEX(GCalXMLT[dclass3],$D402)))</f>
        <v/>
      </c>
      <c r="AD402" t="str">
        <f>IF(I402="Nandotsava",IF(ISBLANK(INDEX(GCalXMLT[dclass3],$D402)),"",INDEX(GCalXMLT[dclass3],$D402)),IF(ISBLANK(INDEX(GCalXMLT[dclass4],$D402)),"",INDEX(GCalXMLT[dclass4],$D402)))</f>
        <v/>
      </c>
      <c r="AE402" t="str">
        <f>IFERROR(INDEX(Festivals!$V$2:$V$160,AP402),"")</f>
        <v/>
      </c>
      <c r="AF402" t="str">
        <f>IFERROR(IF($AQ402&gt;1,INDEX(Festivals!$V$2:$V$160,$AP402+1),""),"")</f>
        <v/>
      </c>
      <c r="AG402" t="str">
        <f>IFERROR(IF($AQ402&gt;2,INDEX(Festivals!$V$2:$V$160,$AP402+2),""),"")</f>
        <v/>
      </c>
      <c r="AH402" t="str">
        <f>IFERROR(IF($AQ402&gt;3,INDEX(Festivals!$V$2:$V$160,$AP402+3),""),"")</f>
        <v/>
      </c>
      <c r="AI402" t="str">
        <f>IFERROR(IF($AQ402&gt;4,INDEX(Festivals!$V$2:$V$160,$AP402+4),""),"")</f>
        <v/>
      </c>
      <c r="AJ402" t="str">
        <f>IFERROR(IF($AQ402&gt;5,INDEX(Festivals!$V$2:$V$160,$AP402+5),""),"")</f>
        <v/>
      </c>
      <c r="AK402" t="str">
        <f>IFERROR(IF($AQ402&gt;6,INDEX(Festivals!$V$2:$V$160,$AP402+6),""),"")</f>
        <v/>
      </c>
      <c r="AL402" t="str">
        <f ca="1">IFERROR(INDEX('Holidays Calc'!$J$2:$J$233,MATCH(A402,'Holidays Calc'!$I$2:$I$233,0)),"")</f>
        <v/>
      </c>
      <c r="AM402" t="str">
        <f ca="1">IF(AR402="","",IF(INDEX('Holidays Calc'!$I$2:$I$233,AR402+1)=A402,INDEX('Holidays Calc'!$J$2:$J$233,AR402+1),""))</f>
        <v/>
      </c>
      <c r="AN402" t="str">
        <f ca="1">IF(AR402="","",IF(INDEX('Holidays Calc'!$I$2:$I$233,AR402+2)=A402,INDEX('Holidays Calc'!$J$2:$J$233,AR402+2),""))</f>
        <v/>
      </c>
      <c r="AO402" t="str">
        <f ca="1">IF(AR402="","",IF(INDEX('Holidays Calc'!$I$2:$I$233,AR402+3)=A402,INDEX('Holidays Calc'!$J$2:$J$233,AR402+3),""))</f>
        <v/>
      </c>
      <c r="AP402" t="str">
        <f>IFERROR(IF($E402=E401,"",MATCH($E402,Festivals!$H$2:$H$160,0)),"")</f>
        <v/>
      </c>
      <c r="AQ402" t="str">
        <f>IF(AP402="","",COUNTIF(Festivals!$H$2:$H$160,$E402))</f>
        <v/>
      </c>
      <c r="AR402" t="str">
        <f ca="1">IFERROR(MATCH(A402,'Holidays Calc'!$I$2:$I$233,0),"")</f>
        <v/>
      </c>
      <c r="AS402" t="str">
        <f t="shared" si="46"/>
        <v/>
      </c>
      <c r="AT402" t="str">
        <f t="shared" si="45"/>
        <v/>
      </c>
      <c r="AU402" t="str">
        <f t="shared" ca="1" si="47"/>
        <v/>
      </c>
      <c r="AV402" t="str">
        <f t="shared" ca="1" si="48"/>
        <v/>
      </c>
    </row>
    <row r="403" spans="1:48" x14ac:dyDescent="0.25">
      <c r="A403" s="265">
        <f t="shared" si="44"/>
        <v>43829</v>
      </c>
      <c r="B403" s="265" t="str">
        <f t="shared" si="49"/>
        <v>30 Dec 2019</v>
      </c>
      <c r="C403" s="267">
        <f t="shared" si="50"/>
        <v>53</v>
      </c>
      <c r="D403">
        <f>MATCH(A403,GCalXMLT[daydate],0)</f>
        <v>402</v>
      </c>
      <c r="E403">
        <f>VALUE("1" &amp; Masacod(INDEX(GCalXMLT[gymasa],D403)) &amp; PaksaCod(INDEX(GCalXMLT[mpaksaid],D403)) &amp; TithiCod(INDEX(GCalXMLT[stithiname],D403)))</f>
        <v>110104</v>
      </c>
      <c r="F403" t="str">
        <f ca="1">INDEX(Parameters!$K$2:$K$16,MATCH(AV403,Parameters!$L$2:$L$16,0))</f>
        <v/>
      </c>
      <c r="G403">
        <f>INDEX(GCalXMLT[fastmark],$D403)</f>
        <v>0</v>
      </c>
      <c r="H403" t="str">
        <f ca="1">INDEX(Parameters!$J$2:$J$16,MATCH(AV403,Parameters!$L$2:$L$16,0))</f>
        <v/>
      </c>
      <c r="I403">
        <f>INDEX(GCalXMLT[dfestival1],$D403)</f>
        <v>0</v>
      </c>
      <c r="J403">
        <f>IF(INDEX(GCalXMLT[dfestival2],$D403)="(Fast today)",INDEX(Festivals!$R$2:$R$180,MATCH($I403,Festivals!$R$2:$R$180,0)+1),INDEX(GCalXMLT[dfestival2],$D403))</f>
        <v>0</v>
      </c>
      <c r="K403">
        <f>IF(I403="Nandotsava","(Fast till noon)",INDEX(GCalXMLT[dfestival3],$D403))</f>
        <v>0</v>
      </c>
      <c r="L403">
        <f>IF(I403="Nandotsava", INDEX(GCalXMLT[dfestival3],$D403),INDEX(GCalXMLT[dfestival4],$D403))</f>
        <v>0</v>
      </c>
      <c r="M403" t="str">
        <f>IFERROR(INDEX(Festivals!$S$2:$S$160,AP403),"")</f>
        <v/>
      </c>
      <c r="N403" t="str">
        <f>IFERROR(IF($AQ403&gt;1,INDEX(Festivals!$S$2:$S$160,$AP403+1),""),"")</f>
        <v/>
      </c>
      <c r="O403" t="str">
        <f>IFERROR(IF($AQ403&gt;2,INDEX(Festivals!$S$2:$S$160,$AP403+2),""),"")</f>
        <v/>
      </c>
      <c r="P403" t="str">
        <f>IFERROR(IF($AQ403&gt;3,INDEX(Festivals!$S$2:$S$160,$AP403+3),""),"")</f>
        <v/>
      </c>
      <c r="Q403" t="str">
        <f>IFERROR(IF($AQ403&gt;4,INDEX(Festivals!$S$2:$S$160,$AP403+4),""),"")</f>
        <v/>
      </c>
      <c r="R403" t="str">
        <f>IFERROR(IF($AQ403&gt;5,INDEX(Festivals!$S$2:$S$160,$AP403+5),""),"")</f>
        <v/>
      </c>
      <c r="S403" t="str">
        <f>IFERROR(IF($AQ403&gt;6,INDEX(Festivals!$S$2:$S$160,$AP403+6),""),"")</f>
        <v/>
      </c>
      <c r="T403">
        <f>INDEX(GCalXMLT[dcaturmasya1],$D403)</f>
        <v>0</v>
      </c>
      <c r="U403">
        <f>INDEX(GCalXMLT[dcaturmasya2],$D403)</f>
        <v>0</v>
      </c>
      <c r="V403" t="str">
        <f>INDEX(GCalXMLT[sankrantirasi],$D403) &amp; " " &amp; INDEX(GCalXMLT[sankrantitime],$D403)</f>
        <v xml:space="preserve"> </v>
      </c>
      <c r="W403" t="str">
        <f ca="1">IFERROR(INDEX('Holidays Calc'!$K$2:$K$233,AR403),"")</f>
        <v/>
      </c>
      <c r="X403" t="str">
        <f ca="1">IF(AR403="","",IF(INDEX('Holidays Calc'!$I$2:$I$233,AR403+1)=A403,INDEX('Holidays Calc'!$K$2:$K$233,AR403+1),""))</f>
        <v/>
      </c>
      <c r="Y403" t="str">
        <f ca="1">IF(AR403="","",IF(INDEX('Holidays Calc'!$I$2:$I$233,AR403+2)=A403,INDEX('Holidays Calc'!$K$2:$K$233,AR403+2),""))</f>
        <v/>
      </c>
      <c r="Z403" t="str">
        <f ca="1">IF(AR403="","",IF(INDEX('Holidays Calc'!$I$2:$I$233,AR403+3)=A403,INDEX('Holidays Calc'!$K$2:$K$2333,AR403+3),""))</f>
        <v/>
      </c>
      <c r="AA403" t="str">
        <f>IF(I403="Last day of Bhisma Pancaka","",IF(G403="*",-0.7,IF(ISBLANK(INDEX(GCalXMLT[dclass1],$D403)),"",INDEX(GCalXMLT[dclass1],$D403))))</f>
        <v/>
      </c>
      <c r="AB403" t="str">
        <f>IF(J403="First day of Bhisma Pancaka","",IF(AND(G403="*",NOT(ISERROR(SEARCH("ekadasi",J403)))),-0.7,IF(ISBLANK(INDEX(GCalXMLT[dclass2],$D403)),"",INDEX(GCalXMLT[dclass2],$D403))))</f>
        <v/>
      </c>
      <c r="AC403" t="str">
        <f>IF(I403="Nandotsava",-1,IF(ISBLANK(INDEX(GCalXMLT[dclass3],$D403)),"",INDEX(GCalXMLT[dclass3],$D403)))</f>
        <v/>
      </c>
      <c r="AD403" t="str">
        <f>IF(I403="Nandotsava",IF(ISBLANK(INDEX(GCalXMLT[dclass3],$D403)),"",INDEX(GCalXMLT[dclass3],$D403)),IF(ISBLANK(INDEX(GCalXMLT[dclass4],$D403)),"",INDEX(GCalXMLT[dclass4],$D403)))</f>
        <v/>
      </c>
      <c r="AE403" t="str">
        <f>IFERROR(INDEX(Festivals!$V$2:$V$160,AP403),"")</f>
        <v/>
      </c>
      <c r="AF403" t="str">
        <f>IFERROR(IF($AQ403&gt;1,INDEX(Festivals!$V$2:$V$160,$AP403+1),""),"")</f>
        <v/>
      </c>
      <c r="AG403" t="str">
        <f>IFERROR(IF($AQ403&gt;2,INDEX(Festivals!$V$2:$V$160,$AP403+2),""),"")</f>
        <v/>
      </c>
      <c r="AH403" t="str">
        <f>IFERROR(IF($AQ403&gt;3,INDEX(Festivals!$V$2:$V$160,$AP403+3),""),"")</f>
        <v/>
      </c>
      <c r="AI403" t="str">
        <f>IFERROR(IF($AQ403&gt;4,INDEX(Festivals!$V$2:$V$160,$AP403+4),""),"")</f>
        <v/>
      </c>
      <c r="AJ403" t="str">
        <f>IFERROR(IF($AQ403&gt;5,INDEX(Festivals!$V$2:$V$160,$AP403+5),""),"")</f>
        <v/>
      </c>
      <c r="AK403" t="str">
        <f>IFERROR(IF($AQ403&gt;6,INDEX(Festivals!$V$2:$V$160,$AP403+6),""),"")</f>
        <v/>
      </c>
      <c r="AL403" t="str">
        <f ca="1">IFERROR(INDEX('Holidays Calc'!$J$2:$J$233,MATCH(A403,'Holidays Calc'!$I$2:$I$233,0)),"")</f>
        <v/>
      </c>
      <c r="AM403" t="str">
        <f ca="1">IF(AR403="","",IF(INDEX('Holidays Calc'!$I$2:$I$233,AR403+1)=A403,INDEX('Holidays Calc'!$J$2:$J$233,AR403+1),""))</f>
        <v/>
      </c>
      <c r="AN403" t="str">
        <f ca="1">IF(AR403="","",IF(INDEX('Holidays Calc'!$I$2:$I$233,AR403+2)=A403,INDEX('Holidays Calc'!$J$2:$J$233,AR403+2),""))</f>
        <v/>
      </c>
      <c r="AO403" t="str">
        <f ca="1">IF(AR403="","",IF(INDEX('Holidays Calc'!$I$2:$I$233,AR403+3)=A403,INDEX('Holidays Calc'!$J$2:$J$233,AR403+3),""))</f>
        <v/>
      </c>
      <c r="AP403" t="str">
        <f>IFERROR(IF($E403=E402,"",MATCH($E403,Festivals!$H$2:$H$160,0)),"")</f>
        <v/>
      </c>
      <c r="AQ403" t="str">
        <f>IF(AP403="","",COUNTIF(Festivals!$H$2:$H$160,$E403))</f>
        <v/>
      </c>
      <c r="AR403" t="str">
        <f ca="1">IFERROR(MATCH(A403,'Holidays Calc'!$I$2:$I$233,0),"")</f>
        <v/>
      </c>
      <c r="AS403" t="str">
        <f t="shared" si="46"/>
        <v/>
      </c>
      <c r="AT403" t="str">
        <f t="shared" si="45"/>
        <v/>
      </c>
      <c r="AU403" t="str">
        <f t="shared" ca="1" si="47"/>
        <v/>
      </c>
      <c r="AV403" t="str">
        <f t="shared" ca="1" si="48"/>
        <v/>
      </c>
    </row>
    <row r="404" spans="1:48" x14ac:dyDescent="0.25">
      <c r="A404" s="265">
        <f t="shared" si="44"/>
        <v>43830</v>
      </c>
      <c r="B404" s="265" t="str">
        <f t="shared" si="49"/>
        <v>31 Dec 2019</v>
      </c>
      <c r="C404" s="267">
        <f t="shared" si="50"/>
        <v>53</v>
      </c>
      <c r="D404">
        <f>MATCH(A404,GCalXMLT[daydate],0)</f>
        <v>403</v>
      </c>
      <c r="E404">
        <f>VALUE("1" &amp; Masacod(INDEX(GCalXMLT[gymasa],D404)) &amp; PaksaCod(INDEX(GCalXMLT[mpaksaid],D404)) &amp; TithiCod(INDEX(GCalXMLT[stithiname],D404)))</f>
        <v>110105</v>
      </c>
      <c r="F404" t="str">
        <f ca="1">INDEX(Parameters!$K$2:$K$16,MATCH(AV404,Parameters!$L$2:$L$16,0))</f>
        <v/>
      </c>
      <c r="G404">
        <f>INDEX(GCalXMLT[fastmark],$D404)</f>
        <v>0</v>
      </c>
      <c r="H404" t="str">
        <f ca="1">INDEX(Parameters!$J$2:$J$16,MATCH(AV404,Parameters!$L$2:$L$16,0))</f>
        <v/>
      </c>
      <c r="I404">
        <f>INDEX(GCalXMLT[dfestival1],$D404)</f>
        <v>0</v>
      </c>
      <c r="J404">
        <f>IF(INDEX(GCalXMLT[dfestival2],$D404)="(Fast today)",INDEX(Festivals!$R$2:$R$180,MATCH($I404,Festivals!$R$2:$R$180,0)+1),INDEX(GCalXMLT[dfestival2],$D404))</f>
        <v>0</v>
      </c>
      <c r="K404">
        <f>IF(I404="Nandotsava","(Fast till noon)",INDEX(GCalXMLT[dfestival3],$D404))</f>
        <v>0</v>
      </c>
      <c r="L404">
        <f>IF(I404="Nandotsava", INDEX(GCalXMLT[dfestival3],$D404),INDEX(GCalXMLT[dfestival4],$D404))</f>
        <v>0</v>
      </c>
      <c r="M404" t="str">
        <f>IFERROR(INDEX(Festivals!$S$2:$S$160,AP404),"")</f>
        <v/>
      </c>
      <c r="N404" t="str">
        <f>IFERROR(IF($AQ404&gt;1,INDEX(Festivals!$S$2:$S$160,$AP404+1),""),"")</f>
        <v/>
      </c>
      <c r="O404" t="str">
        <f>IFERROR(IF($AQ404&gt;2,INDEX(Festivals!$S$2:$S$160,$AP404+2),""),"")</f>
        <v/>
      </c>
      <c r="P404" t="str">
        <f>IFERROR(IF($AQ404&gt;3,INDEX(Festivals!$S$2:$S$160,$AP404+3),""),"")</f>
        <v/>
      </c>
      <c r="Q404" t="str">
        <f>IFERROR(IF($AQ404&gt;4,INDEX(Festivals!$S$2:$S$160,$AP404+4),""),"")</f>
        <v/>
      </c>
      <c r="R404" t="str">
        <f>IFERROR(IF($AQ404&gt;5,INDEX(Festivals!$S$2:$S$160,$AP404+5),""),"")</f>
        <v/>
      </c>
      <c r="S404" t="str">
        <f>IFERROR(IF($AQ404&gt;6,INDEX(Festivals!$S$2:$S$160,$AP404+6),""),"")</f>
        <v/>
      </c>
      <c r="T404">
        <f>INDEX(GCalXMLT[dcaturmasya1],$D404)</f>
        <v>0</v>
      </c>
      <c r="U404">
        <f>INDEX(GCalXMLT[dcaturmasya2],$D404)</f>
        <v>0</v>
      </c>
      <c r="V404" t="str">
        <f>INDEX(GCalXMLT[sankrantirasi],$D404) &amp; " " &amp; INDEX(GCalXMLT[sankrantitime],$D404)</f>
        <v xml:space="preserve"> </v>
      </c>
      <c r="W404" t="str">
        <f ca="1">IFERROR(INDEX('Holidays Calc'!$K$2:$K$233,AR404),"")</f>
        <v/>
      </c>
      <c r="X404" t="str">
        <f ca="1">IF(AR404="","",IF(INDEX('Holidays Calc'!$I$2:$I$233,AR404+1)=A404,INDEX('Holidays Calc'!$K$2:$K$233,AR404+1),""))</f>
        <v/>
      </c>
      <c r="Y404" t="str">
        <f ca="1">IF(AR404="","",IF(INDEX('Holidays Calc'!$I$2:$I$233,AR404+2)=A404,INDEX('Holidays Calc'!$K$2:$K$233,AR404+2),""))</f>
        <v/>
      </c>
      <c r="Z404" t="str">
        <f ca="1">IF(AR404="","",IF(INDEX('Holidays Calc'!$I$2:$I$233,AR404+3)=A404,INDEX('Holidays Calc'!$K$2:$K$2333,AR404+3),""))</f>
        <v/>
      </c>
      <c r="AA404" t="str">
        <f>IF(I404="Last day of Bhisma Pancaka","",IF(G404="*",-0.7,IF(ISBLANK(INDEX(GCalXMLT[dclass1],$D404)),"",INDEX(GCalXMLT[dclass1],$D404))))</f>
        <v/>
      </c>
      <c r="AB404" t="str">
        <f>IF(J404="First day of Bhisma Pancaka","",IF(AND(G404="*",NOT(ISERROR(SEARCH("ekadasi",J404)))),-0.7,IF(ISBLANK(INDEX(GCalXMLT[dclass2],$D404)),"",INDEX(GCalXMLT[dclass2],$D404))))</f>
        <v/>
      </c>
      <c r="AC404" t="str">
        <f>IF(I404="Nandotsava",-1,IF(ISBLANK(INDEX(GCalXMLT[dclass3],$D404)),"",INDEX(GCalXMLT[dclass3],$D404)))</f>
        <v/>
      </c>
      <c r="AD404" t="str">
        <f>IF(I404="Nandotsava",IF(ISBLANK(INDEX(GCalXMLT[dclass3],$D404)),"",INDEX(GCalXMLT[dclass3],$D404)),IF(ISBLANK(INDEX(GCalXMLT[dclass4],$D404)),"",INDEX(GCalXMLT[dclass4],$D404)))</f>
        <v/>
      </c>
      <c r="AE404" t="str">
        <f>IFERROR(INDEX(Festivals!$V$2:$V$160,AP404),"")</f>
        <v/>
      </c>
      <c r="AF404" t="str">
        <f>IFERROR(IF($AQ404&gt;1,INDEX(Festivals!$V$2:$V$160,$AP404+1),""),"")</f>
        <v/>
      </c>
      <c r="AG404" t="str">
        <f>IFERROR(IF($AQ404&gt;2,INDEX(Festivals!$V$2:$V$160,$AP404+2),""),"")</f>
        <v/>
      </c>
      <c r="AH404" t="str">
        <f>IFERROR(IF($AQ404&gt;3,INDEX(Festivals!$V$2:$V$160,$AP404+3),""),"")</f>
        <v/>
      </c>
      <c r="AI404" t="str">
        <f>IFERROR(IF($AQ404&gt;4,INDEX(Festivals!$V$2:$V$160,$AP404+4),""),"")</f>
        <v/>
      </c>
      <c r="AJ404" t="str">
        <f>IFERROR(IF($AQ404&gt;5,INDEX(Festivals!$V$2:$V$160,$AP404+5),""),"")</f>
        <v/>
      </c>
      <c r="AK404" t="str">
        <f>IFERROR(IF($AQ404&gt;6,INDEX(Festivals!$V$2:$V$160,$AP404+6),""),"")</f>
        <v/>
      </c>
      <c r="AL404" t="str">
        <f ca="1">IFERROR(INDEX('Holidays Calc'!$J$2:$J$233,MATCH(A404,'Holidays Calc'!$I$2:$I$233,0)),"")</f>
        <v/>
      </c>
      <c r="AM404" t="str">
        <f ca="1">IF(AR404="","",IF(INDEX('Holidays Calc'!$I$2:$I$233,AR404+1)=A404,INDEX('Holidays Calc'!$J$2:$J$233,AR404+1),""))</f>
        <v/>
      </c>
      <c r="AN404" t="str">
        <f ca="1">IF(AR404="","",IF(INDEX('Holidays Calc'!$I$2:$I$233,AR404+2)=A404,INDEX('Holidays Calc'!$J$2:$J$233,AR404+2),""))</f>
        <v/>
      </c>
      <c r="AO404" t="str">
        <f ca="1">IF(AR404="","",IF(INDEX('Holidays Calc'!$I$2:$I$233,AR404+3)=A404,INDEX('Holidays Calc'!$J$2:$J$233,AR404+3),""))</f>
        <v/>
      </c>
      <c r="AP404" t="str">
        <f>IFERROR(IF($E404=E403,"",MATCH($E404,Festivals!$H$2:$H$160,0)),"")</f>
        <v/>
      </c>
      <c r="AQ404" t="str">
        <f>IF(AP404="","",COUNTIF(Festivals!$H$2:$H$160,$E404))</f>
        <v/>
      </c>
      <c r="AR404" t="str">
        <f ca="1">IFERROR(MATCH(A404,'Holidays Calc'!$I$2:$I$233,0),"")</f>
        <v/>
      </c>
      <c r="AS404" t="str">
        <f t="shared" si="46"/>
        <v/>
      </c>
      <c r="AT404" t="str">
        <f t="shared" si="45"/>
        <v/>
      </c>
      <c r="AU404" t="str">
        <f t="shared" ca="1" si="47"/>
        <v/>
      </c>
      <c r="AV404" t="str">
        <f t="shared" ca="1" si="48"/>
        <v/>
      </c>
    </row>
    <row r="405" spans="1:48" x14ac:dyDescent="0.25">
      <c r="A405" s="265">
        <f t="shared" si="44"/>
        <v>43831</v>
      </c>
      <c r="B405" s="265" t="str">
        <f t="shared" si="49"/>
        <v>1 Jan 2020</v>
      </c>
      <c r="C405" s="267">
        <f t="shared" si="50"/>
        <v>1</v>
      </c>
      <c r="D405">
        <f>MATCH(A405,GCalXMLT[daydate],0)</f>
        <v>404</v>
      </c>
      <c r="E405">
        <f>VALUE("1" &amp; Masacod(INDEX(GCalXMLT[gymasa],D405)) &amp; PaksaCod(INDEX(GCalXMLT[mpaksaid],D405)) &amp; TithiCod(INDEX(GCalXMLT[stithiname],D405)))</f>
        <v>110106</v>
      </c>
      <c r="F405" t="str">
        <f ca="1">INDEX(Parameters!$K$2:$K$16,MATCH(AV405,Parameters!$L$2:$L$16,0))</f>
        <v>H</v>
      </c>
      <c r="G405">
        <f>INDEX(GCalXMLT[fastmark],$D405)</f>
        <v>0</v>
      </c>
      <c r="H405" t="str">
        <f ca="1">INDEX(Parameters!$J$2:$J$16,MATCH(AV405,Parameters!$L$2:$L$16,0))</f>
        <v/>
      </c>
      <c r="I405">
        <f>INDEX(GCalXMLT[dfestival1],$D405)</f>
        <v>0</v>
      </c>
      <c r="J405">
        <f>IF(INDEX(GCalXMLT[dfestival2],$D405)="(Fast today)",INDEX(Festivals!$R$2:$R$180,MATCH($I405,Festivals!$R$2:$R$180,0)+1),INDEX(GCalXMLT[dfestival2],$D405))</f>
        <v>0</v>
      </c>
      <c r="K405">
        <f>IF(I405="Nandotsava","(Fast till noon)",INDEX(GCalXMLT[dfestival3],$D405))</f>
        <v>0</v>
      </c>
      <c r="L405">
        <f>IF(I405="Nandotsava", INDEX(GCalXMLT[dfestival3],$D405),INDEX(GCalXMLT[dfestival4],$D405))</f>
        <v>0</v>
      </c>
      <c r="M405" t="str">
        <f>IFERROR(INDEX(Festivals!$S$2:$S$160,AP405),"")</f>
        <v/>
      </c>
      <c r="N405" t="str">
        <f>IFERROR(IF($AQ405&gt;1,INDEX(Festivals!$S$2:$S$160,$AP405+1),""),"")</f>
        <v/>
      </c>
      <c r="O405" t="str">
        <f>IFERROR(IF($AQ405&gt;2,INDEX(Festivals!$S$2:$S$160,$AP405+2),""),"")</f>
        <v/>
      </c>
      <c r="P405" t="str">
        <f>IFERROR(IF($AQ405&gt;3,INDEX(Festivals!$S$2:$S$160,$AP405+3),""),"")</f>
        <v/>
      </c>
      <c r="Q405" t="str">
        <f>IFERROR(IF($AQ405&gt;4,INDEX(Festivals!$S$2:$S$160,$AP405+4),""),"")</f>
        <v/>
      </c>
      <c r="R405" t="str">
        <f>IFERROR(IF($AQ405&gt;5,INDEX(Festivals!$S$2:$S$160,$AP405+5),""),"")</f>
        <v/>
      </c>
      <c r="S405" t="str">
        <f>IFERROR(IF($AQ405&gt;6,INDEX(Festivals!$S$2:$S$160,$AP405+6),""),"")</f>
        <v/>
      </c>
      <c r="T405">
        <f>INDEX(GCalXMLT[dcaturmasya1],$D405)</f>
        <v>0</v>
      </c>
      <c r="U405">
        <f>INDEX(GCalXMLT[dcaturmasya2],$D405)</f>
        <v>0</v>
      </c>
      <c r="V405" t="str">
        <f>INDEX(GCalXMLT[sankrantirasi],$D405) &amp; " " &amp; INDEX(GCalXMLT[sankrantitime],$D405)</f>
        <v xml:space="preserve"> </v>
      </c>
      <c r="W405" t="str">
        <f ca="1">IFERROR(INDEX('Holidays Calc'!$K$2:$K$233,AR405),"")</f>
        <v>Confraternização Universal</v>
      </c>
      <c r="X405" t="str">
        <f ca="1">IF(AR405="","",IF(INDEX('Holidays Calc'!$I$2:$I$233,AR405+1)=A405,INDEX('Holidays Calc'!$K$2:$K$233,AR405+1),""))</f>
        <v/>
      </c>
      <c r="Y405" t="str">
        <f ca="1">IF(AR405="","",IF(INDEX('Holidays Calc'!$I$2:$I$233,AR405+2)=A405,INDEX('Holidays Calc'!$K$2:$K$233,AR405+2),""))</f>
        <v/>
      </c>
      <c r="Z405" t="str">
        <f ca="1">IF(AR405="","",IF(INDEX('Holidays Calc'!$I$2:$I$233,AR405+3)=A405,INDEX('Holidays Calc'!$K$2:$K$2333,AR405+3),""))</f>
        <v/>
      </c>
      <c r="AA405" t="str">
        <f>IF(I405="Last day of Bhisma Pancaka","",IF(G405="*",-0.7,IF(ISBLANK(INDEX(GCalXMLT[dclass1],$D405)),"",INDEX(GCalXMLT[dclass1],$D405))))</f>
        <v/>
      </c>
      <c r="AB405" t="str">
        <f>IF(J405="First day of Bhisma Pancaka","",IF(AND(G405="*",NOT(ISERROR(SEARCH("ekadasi",J405)))),-0.7,IF(ISBLANK(INDEX(GCalXMLT[dclass2],$D405)),"",INDEX(GCalXMLT[dclass2],$D405))))</f>
        <v/>
      </c>
      <c r="AC405" t="str">
        <f>IF(I405="Nandotsava",-1,IF(ISBLANK(INDEX(GCalXMLT[dclass3],$D405)),"",INDEX(GCalXMLT[dclass3],$D405)))</f>
        <v/>
      </c>
      <c r="AD405" t="str">
        <f>IF(I405="Nandotsava",IF(ISBLANK(INDEX(GCalXMLT[dclass3],$D405)),"",INDEX(GCalXMLT[dclass3],$D405)),IF(ISBLANK(INDEX(GCalXMLT[dclass4],$D405)),"",INDEX(GCalXMLT[dclass4],$D405)))</f>
        <v/>
      </c>
      <c r="AE405" t="str">
        <f>IFERROR(INDEX(Festivals!$V$2:$V$160,AP405),"")</f>
        <v/>
      </c>
      <c r="AF405" t="str">
        <f>IFERROR(IF($AQ405&gt;1,INDEX(Festivals!$V$2:$V$160,$AP405+1),""),"")</f>
        <v/>
      </c>
      <c r="AG405" t="str">
        <f>IFERROR(IF($AQ405&gt;2,INDEX(Festivals!$V$2:$V$160,$AP405+2),""),"")</f>
        <v/>
      </c>
      <c r="AH405" t="str">
        <f>IFERROR(IF($AQ405&gt;3,INDEX(Festivals!$V$2:$V$160,$AP405+3),""),"")</f>
        <v/>
      </c>
      <c r="AI405" t="str">
        <f>IFERROR(IF($AQ405&gt;4,INDEX(Festivals!$V$2:$V$160,$AP405+4),""),"")</f>
        <v/>
      </c>
      <c r="AJ405" t="str">
        <f>IFERROR(IF($AQ405&gt;5,INDEX(Festivals!$V$2:$V$160,$AP405+5),""),"")</f>
        <v/>
      </c>
      <c r="AK405" t="str">
        <f>IFERROR(IF($AQ405&gt;6,INDEX(Festivals!$V$2:$V$160,$AP405+6),""),"")</f>
        <v/>
      </c>
      <c r="AL405">
        <f ca="1">IFERROR(INDEX('Holidays Calc'!$J$2:$J$233,MATCH(A405,'Holidays Calc'!$I$2:$I$233,0)),"")</f>
        <v>-11</v>
      </c>
      <c r="AM405" t="str">
        <f ca="1">IF(AR405="","",IF(INDEX('Holidays Calc'!$I$2:$I$233,AR405+1)=A405,INDEX('Holidays Calc'!$J$2:$J$233,AR405+1),""))</f>
        <v/>
      </c>
      <c r="AN405" t="str">
        <f ca="1">IF(AR405="","",IF(INDEX('Holidays Calc'!$I$2:$I$233,AR405+2)=A405,INDEX('Holidays Calc'!$J$2:$J$233,AR405+2),""))</f>
        <v/>
      </c>
      <c r="AO405" t="str">
        <f ca="1">IF(AR405="","",IF(INDEX('Holidays Calc'!$I$2:$I$233,AR405+3)=A405,INDEX('Holidays Calc'!$J$2:$J$233,AR405+3),""))</f>
        <v/>
      </c>
      <c r="AP405" t="str">
        <f>IFERROR(IF($E405=E404,"",MATCH($E405,Festivals!$H$2:$H$160,0)),"")</f>
        <v/>
      </c>
      <c r="AQ405" t="str">
        <f>IF(AP405="","",COUNTIF(Festivals!$H$2:$H$160,$E405))</f>
        <v/>
      </c>
      <c r="AR405">
        <f ca="1">IFERROR(MATCH(A405,'Holidays Calc'!$I$2:$I$233,0),"")</f>
        <v>73</v>
      </c>
      <c r="AS405" t="str">
        <f t="shared" si="46"/>
        <v/>
      </c>
      <c r="AT405" t="str">
        <f t="shared" si="45"/>
        <v/>
      </c>
      <c r="AU405">
        <f t="shared" ca="1" si="47"/>
        <v>-11</v>
      </c>
      <c r="AV405">
        <f t="shared" ca="1" si="48"/>
        <v>-11</v>
      </c>
    </row>
    <row r="406" spans="1:48" x14ac:dyDescent="0.25">
      <c r="A406" s="265">
        <f t="shared" si="44"/>
        <v>43832</v>
      </c>
      <c r="B406" s="265" t="str">
        <f t="shared" si="49"/>
        <v>2 Jan 2020</v>
      </c>
      <c r="C406" s="267">
        <f t="shared" si="50"/>
        <v>1</v>
      </c>
      <c r="D406">
        <f>MATCH(A406,GCalXMLT[daydate],0)</f>
        <v>405</v>
      </c>
      <c r="E406">
        <f>VALUE("1" &amp; Masacod(INDEX(GCalXMLT[gymasa],D406)) &amp; PaksaCod(INDEX(GCalXMLT[mpaksaid],D406)) &amp; TithiCod(INDEX(GCalXMLT[stithiname],D406)))</f>
        <v>110107</v>
      </c>
      <c r="F406" t="str">
        <f ca="1">INDEX(Parameters!$K$2:$K$16,MATCH(AV406,Parameters!$L$2:$L$16,0))</f>
        <v/>
      </c>
      <c r="G406">
        <f>INDEX(GCalXMLT[fastmark],$D406)</f>
        <v>0</v>
      </c>
      <c r="H406" t="str">
        <f ca="1">INDEX(Parameters!$J$2:$J$16,MATCH(AV406,Parameters!$L$2:$L$16,0))</f>
        <v/>
      </c>
      <c r="I406">
        <f>INDEX(GCalXMLT[dfestival1],$D406)</f>
        <v>0</v>
      </c>
      <c r="J406">
        <f>IF(INDEX(GCalXMLT[dfestival2],$D406)="(Fast today)",INDEX(Festivals!$R$2:$R$180,MATCH($I406,Festivals!$R$2:$R$180,0)+1),INDEX(GCalXMLT[dfestival2],$D406))</f>
        <v>0</v>
      </c>
      <c r="K406">
        <f>IF(I406="Nandotsava","(Fast till noon)",INDEX(GCalXMLT[dfestival3],$D406))</f>
        <v>0</v>
      </c>
      <c r="L406">
        <f>IF(I406="Nandotsava", INDEX(GCalXMLT[dfestival3],$D406),INDEX(GCalXMLT[dfestival4],$D406))</f>
        <v>0</v>
      </c>
      <c r="M406" t="str">
        <f>IFERROR(INDEX(Festivals!$S$2:$S$160,AP406),"")</f>
        <v/>
      </c>
      <c r="N406" t="str">
        <f>IFERROR(IF($AQ406&gt;1,INDEX(Festivals!$S$2:$S$160,$AP406+1),""),"")</f>
        <v/>
      </c>
      <c r="O406" t="str">
        <f>IFERROR(IF($AQ406&gt;2,INDEX(Festivals!$S$2:$S$160,$AP406+2),""),"")</f>
        <v/>
      </c>
      <c r="P406" t="str">
        <f>IFERROR(IF($AQ406&gt;3,INDEX(Festivals!$S$2:$S$160,$AP406+3),""),"")</f>
        <v/>
      </c>
      <c r="Q406" t="str">
        <f>IFERROR(IF($AQ406&gt;4,INDEX(Festivals!$S$2:$S$160,$AP406+4),""),"")</f>
        <v/>
      </c>
      <c r="R406" t="str">
        <f>IFERROR(IF($AQ406&gt;5,INDEX(Festivals!$S$2:$S$160,$AP406+5),""),"")</f>
        <v/>
      </c>
      <c r="S406" t="str">
        <f>IFERROR(IF($AQ406&gt;6,INDEX(Festivals!$S$2:$S$160,$AP406+6),""),"")</f>
        <v/>
      </c>
      <c r="T406">
        <f>INDEX(GCalXMLT[dcaturmasya1],$D406)</f>
        <v>0</v>
      </c>
      <c r="U406">
        <f>INDEX(GCalXMLT[dcaturmasya2],$D406)</f>
        <v>0</v>
      </c>
      <c r="V406" t="str">
        <f>INDEX(GCalXMLT[sankrantirasi],$D406) &amp; " " &amp; INDEX(GCalXMLT[sankrantitime],$D406)</f>
        <v xml:space="preserve"> </v>
      </c>
      <c r="W406" t="str">
        <f ca="1">IFERROR(INDEX('Holidays Calc'!$K$2:$K$233,AR406),"")</f>
        <v/>
      </c>
      <c r="X406" t="str">
        <f ca="1">IF(AR406="","",IF(INDEX('Holidays Calc'!$I$2:$I$233,AR406+1)=A406,INDEX('Holidays Calc'!$K$2:$K$233,AR406+1),""))</f>
        <v/>
      </c>
      <c r="Y406" t="str">
        <f ca="1">IF(AR406="","",IF(INDEX('Holidays Calc'!$I$2:$I$233,AR406+2)=A406,INDEX('Holidays Calc'!$K$2:$K$233,AR406+2),""))</f>
        <v/>
      </c>
      <c r="Z406" t="str">
        <f ca="1">IF(AR406="","",IF(INDEX('Holidays Calc'!$I$2:$I$233,AR406+3)=A406,INDEX('Holidays Calc'!$K$2:$K$2333,AR406+3),""))</f>
        <v/>
      </c>
      <c r="AA406" t="str">
        <f>IF(I406="Last day of Bhisma Pancaka","",IF(G406="*",-0.7,IF(ISBLANK(INDEX(GCalXMLT[dclass1],$D406)),"",INDEX(GCalXMLT[dclass1],$D406))))</f>
        <v/>
      </c>
      <c r="AB406" t="str">
        <f>IF(J406="First day of Bhisma Pancaka","",IF(AND(G406="*",NOT(ISERROR(SEARCH("ekadasi",J406)))),-0.7,IF(ISBLANK(INDEX(GCalXMLT[dclass2],$D406)),"",INDEX(GCalXMLT[dclass2],$D406))))</f>
        <v/>
      </c>
      <c r="AC406" t="str">
        <f>IF(I406="Nandotsava",-1,IF(ISBLANK(INDEX(GCalXMLT[dclass3],$D406)),"",INDEX(GCalXMLT[dclass3],$D406)))</f>
        <v/>
      </c>
      <c r="AD406" t="str">
        <f>IF(I406="Nandotsava",IF(ISBLANK(INDEX(GCalXMLT[dclass3],$D406)),"",INDEX(GCalXMLT[dclass3],$D406)),IF(ISBLANK(INDEX(GCalXMLT[dclass4],$D406)),"",INDEX(GCalXMLT[dclass4],$D406)))</f>
        <v/>
      </c>
      <c r="AE406" t="str">
        <f>IFERROR(INDEX(Festivals!$V$2:$V$160,AP406),"")</f>
        <v/>
      </c>
      <c r="AF406" t="str">
        <f>IFERROR(IF($AQ406&gt;1,INDEX(Festivals!$V$2:$V$160,$AP406+1),""),"")</f>
        <v/>
      </c>
      <c r="AG406" t="str">
        <f>IFERROR(IF($AQ406&gt;2,INDEX(Festivals!$V$2:$V$160,$AP406+2),""),"")</f>
        <v/>
      </c>
      <c r="AH406" t="str">
        <f>IFERROR(IF($AQ406&gt;3,INDEX(Festivals!$V$2:$V$160,$AP406+3),""),"")</f>
        <v/>
      </c>
      <c r="AI406" t="str">
        <f>IFERROR(IF($AQ406&gt;4,INDEX(Festivals!$V$2:$V$160,$AP406+4),""),"")</f>
        <v/>
      </c>
      <c r="AJ406" t="str">
        <f>IFERROR(IF($AQ406&gt;5,INDEX(Festivals!$V$2:$V$160,$AP406+5),""),"")</f>
        <v/>
      </c>
      <c r="AK406" t="str">
        <f>IFERROR(IF($AQ406&gt;6,INDEX(Festivals!$V$2:$V$160,$AP406+6),""),"")</f>
        <v/>
      </c>
      <c r="AL406" t="str">
        <f ca="1">IFERROR(INDEX('Holidays Calc'!$J$2:$J$233,MATCH(A406,'Holidays Calc'!$I$2:$I$233,0)),"")</f>
        <v/>
      </c>
      <c r="AM406" t="str">
        <f ca="1">IF(AR406="","",IF(INDEX('Holidays Calc'!$I$2:$I$233,AR406+1)=A406,INDEX('Holidays Calc'!$J$2:$J$233,AR406+1),""))</f>
        <v/>
      </c>
      <c r="AN406" t="str">
        <f ca="1">IF(AR406="","",IF(INDEX('Holidays Calc'!$I$2:$I$233,AR406+2)=A406,INDEX('Holidays Calc'!$J$2:$J$233,AR406+2),""))</f>
        <v/>
      </c>
      <c r="AO406" t="str">
        <f ca="1">IF(AR406="","",IF(INDEX('Holidays Calc'!$I$2:$I$233,AR406+3)=A406,INDEX('Holidays Calc'!$J$2:$J$233,AR406+3),""))</f>
        <v/>
      </c>
      <c r="AP406" t="str">
        <f>IFERROR(IF($E406=E405,"",MATCH($E406,Festivals!$H$2:$H$160,0)),"")</f>
        <v/>
      </c>
      <c r="AQ406" t="str">
        <f>IF(AP406="","",COUNTIF(Festivals!$H$2:$H$160,$E406))</f>
        <v/>
      </c>
      <c r="AR406" t="str">
        <f ca="1">IFERROR(MATCH(A406,'Holidays Calc'!$I$2:$I$233,0),"")</f>
        <v/>
      </c>
      <c r="AS406" t="str">
        <f t="shared" si="46"/>
        <v/>
      </c>
      <c r="AT406" t="str">
        <f t="shared" si="45"/>
        <v/>
      </c>
      <c r="AU406" t="str">
        <f t="shared" ca="1" si="47"/>
        <v/>
      </c>
      <c r="AV406" t="str">
        <f t="shared" ca="1" si="48"/>
        <v/>
      </c>
    </row>
    <row r="407" spans="1:48" x14ac:dyDescent="0.25">
      <c r="A407" s="265">
        <f t="shared" si="44"/>
        <v>43833</v>
      </c>
      <c r="B407" s="265" t="str">
        <f t="shared" si="49"/>
        <v>3 Jan 2020</v>
      </c>
      <c r="C407" s="267">
        <f t="shared" si="50"/>
        <v>1</v>
      </c>
      <c r="D407">
        <f>MATCH(A407,GCalXMLT[daydate],0)</f>
        <v>406</v>
      </c>
      <c r="E407">
        <f>VALUE("1" &amp; Masacod(INDEX(GCalXMLT[gymasa],D407)) &amp; PaksaCod(INDEX(GCalXMLT[mpaksaid],D407)) &amp; TithiCod(INDEX(GCalXMLT[stithiname],D407)))</f>
        <v>110108</v>
      </c>
      <c r="F407" t="str">
        <f ca="1">INDEX(Parameters!$K$2:$K$16,MATCH(AV407,Parameters!$L$2:$L$16,0))</f>
        <v/>
      </c>
      <c r="G407">
        <f>INDEX(GCalXMLT[fastmark],$D407)</f>
        <v>0</v>
      </c>
      <c r="H407" t="str">
        <f ca="1">INDEX(Parameters!$J$2:$J$16,MATCH(AV407,Parameters!$L$2:$L$16,0))</f>
        <v/>
      </c>
      <c r="I407">
        <f>INDEX(GCalXMLT[dfestival1],$D407)</f>
        <v>0</v>
      </c>
      <c r="J407">
        <f>IF(INDEX(GCalXMLT[dfestival2],$D407)="(Fast today)",INDEX(Festivals!$R$2:$R$180,MATCH($I407,Festivals!$R$2:$R$180,0)+1),INDEX(GCalXMLT[dfestival2],$D407))</f>
        <v>0</v>
      </c>
      <c r="K407">
        <f>IF(I407="Nandotsava","(Fast till noon)",INDEX(GCalXMLT[dfestival3],$D407))</f>
        <v>0</v>
      </c>
      <c r="L407">
        <f>IF(I407="Nandotsava", INDEX(GCalXMLT[dfestival3],$D407),INDEX(GCalXMLT[dfestival4],$D407))</f>
        <v>0</v>
      </c>
      <c r="M407" t="str">
        <f>IFERROR(INDEX(Festivals!$S$2:$S$160,AP407),"")</f>
        <v/>
      </c>
      <c r="N407" t="str">
        <f>IFERROR(IF($AQ407&gt;1,INDEX(Festivals!$S$2:$S$160,$AP407+1),""),"")</f>
        <v/>
      </c>
      <c r="O407" t="str">
        <f>IFERROR(IF($AQ407&gt;2,INDEX(Festivals!$S$2:$S$160,$AP407+2),""),"")</f>
        <v/>
      </c>
      <c r="P407" t="str">
        <f>IFERROR(IF($AQ407&gt;3,INDEX(Festivals!$S$2:$S$160,$AP407+3),""),"")</f>
        <v/>
      </c>
      <c r="Q407" t="str">
        <f>IFERROR(IF($AQ407&gt;4,INDEX(Festivals!$S$2:$S$160,$AP407+4),""),"")</f>
        <v/>
      </c>
      <c r="R407" t="str">
        <f>IFERROR(IF($AQ407&gt;5,INDEX(Festivals!$S$2:$S$160,$AP407+5),""),"")</f>
        <v/>
      </c>
      <c r="S407" t="str">
        <f>IFERROR(IF($AQ407&gt;6,INDEX(Festivals!$S$2:$S$160,$AP407+6),""),"")</f>
        <v/>
      </c>
      <c r="T407">
        <f>INDEX(GCalXMLT[dcaturmasya1],$D407)</f>
        <v>0</v>
      </c>
      <c r="U407">
        <f>INDEX(GCalXMLT[dcaturmasya2],$D407)</f>
        <v>0</v>
      </c>
      <c r="V407" t="str">
        <f>INDEX(GCalXMLT[sankrantirasi],$D407) &amp; " " &amp; INDEX(GCalXMLT[sankrantitime],$D407)</f>
        <v xml:space="preserve"> </v>
      </c>
      <c r="W407" t="str">
        <f ca="1">IFERROR(INDEX('Holidays Calc'!$K$2:$K$233,AR407),"")</f>
        <v/>
      </c>
      <c r="X407" t="str">
        <f ca="1">IF(AR407="","",IF(INDEX('Holidays Calc'!$I$2:$I$233,AR407+1)=A407,INDEX('Holidays Calc'!$K$2:$K$233,AR407+1),""))</f>
        <v/>
      </c>
      <c r="Y407" t="str">
        <f ca="1">IF(AR407="","",IF(INDEX('Holidays Calc'!$I$2:$I$233,AR407+2)=A407,INDEX('Holidays Calc'!$K$2:$K$233,AR407+2),""))</f>
        <v/>
      </c>
      <c r="Z407" t="str">
        <f ca="1">IF(AR407="","",IF(INDEX('Holidays Calc'!$I$2:$I$233,AR407+3)=A407,INDEX('Holidays Calc'!$K$2:$K$2333,AR407+3),""))</f>
        <v/>
      </c>
      <c r="AA407" t="str">
        <f>IF(I407="Last day of Bhisma Pancaka","",IF(G407="*",-0.7,IF(ISBLANK(INDEX(GCalXMLT[dclass1],$D407)),"",INDEX(GCalXMLT[dclass1],$D407))))</f>
        <v/>
      </c>
      <c r="AB407" t="str">
        <f>IF(J407="First day of Bhisma Pancaka","",IF(AND(G407="*",NOT(ISERROR(SEARCH("ekadasi",J407)))),-0.7,IF(ISBLANK(INDEX(GCalXMLT[dclass2],$D407)),"",INDEX(GCalXMLT[dclass2],$D407))))</f>
        <v/>
      </c>
      <c r="AC407" t="str">
        <f>IF(I407="Nandotsava",-1,IF(ISBLANK(INDEX(GCalXMLT[dclass3],$D407)),"",INDEX(GCalXMLT[dclass3],$D407)))</f>
        <v/>
      </c>
      <c r="AD407" t="str">
        <f>IF(I407="Nandotsava",IF(ISBLANK(INDEX(GCalXMLT[dclass3],$D407)),"",INDEX(GCalXMLT[dclass3],$D407)),IF(ISBLANK(INDEX(GCalXMLT[dclass4],$D407)),"",INDEX(GCalXMLT[dclass4],$D407)))</f>
        <v/>
      </c>
      <c r="AE407" t="str">
        <f>IFERROR(INDEX(Festivals!$V$2:$V$160,AP407),"")</f>
        <v/>
      </c>
      <c r="AF407" t="str">
        <f>IFERROR(IF($AQ407&gt;1,INDEX(Festivals!$V$2:$V$160,$AP407+1),""),"")</f>
        <v/>
      </c>
      <c r="AG407" t="str">
        <f>IFERROR(IF($AQ407&gt;2,INDEX(Festivals!$V$2:$V$160,$AP407+2),""),"")</f>
        <v/>
      </c>
      <c r="AH407" t="str">
        <f>IFERROR(IF($AQ407&gt;3,INDEX(Festivals!$V$2:$V$160,$AP407+3),""),"")</f>
        <v/>
      </c>
      <c r="AI407" t="str">
        <f>IFERROR(IF($AQ407&gt;4,INDEX(Festivals!$V$2:$V$160,$AP407+4),""),"")</f>
        <v/>
      </c>
      <c r="AJ407" t="str">
        <f>IFERROR(IF($AQ407&gt;5,INDEX(Festivals!$V$2:$V$160,$AP407+5),""),"")</f>
        <v/>
      </c>
      <c r="AK407" t="str">
        <f>IFERROR(IF($AQ407&gt;6,INDEX(Festivals!$V$2:$V$160,$AP407+6),""),"")</f>
        <v/>
      </c>
      <c r="AL407" t="str">
        <f ca="1">IFERROR(INDEX('Holidays Calc'!$J$2:$J$233,MATCH(A407,'Holidays Calc'!$I$2:$I$233,0)),"")</f>
        <v/>
      </c>
      <c r="AM407" t="str">
        <f ca="1">IF(AR407="","",IF(INDEX('Holidays Calc'!$I$2:$I$233,AR407+1)=A407,INDEX('Holidays Calc'!$J$2:$J$233,AR407+1),""))</f>
        <v/>
      </c>
      <c r="AN407" t="str">
        <f ca="1">IF(AR407="","",IF(INDEX('Holidays Calc'!$I$2:$I$233,AR407+2)=A407,INDEX('Holidays Calc'!$J$2:$J$233,AR407+2),""))</f>
        <v/>
      </c>
      <c r="AO407" t="str">
        <f ca="1">IF(AR407="","",IF(INDEX('Holidays Calc'!$I$2:$I$233,AR407+3)=A407,INDEX('Holidays Calc'!$J$2:$J$233,AR407+3),""))</f>
        <v/>
      </c>
      <c r="AP407" t="str">
        <f>IFERROR(IF($E407=E406,"",MATCH($E407,Festivals!$H$2:$H$160,0)),"")</f>
        <v/>
      </c>
      <c r="AQ407" t="str">
        <f>IF(AP407="","",COUNTIF(Festivals!$H$2:$H$160,$E407))</f>
        <v/>
      </c>
      <c r="AR407" t="str">
        <f ca="1">IFERROR(MATCH(A407,'Holidays Calc'!$I$2:$I$233,0),"")</f>
        <v/>
      </c>
      <c r="AS407" t="str">
        <f t="shared" si="46"/>
        <v/>
      </c>
      <c r="AT407" t="str">
        <f t="shared" si="45"/>
        <v/>
      </c>
      <c r="AU407" t="str">
        <f t="shared" ca="1" si="47"/>
        <v/>
      </c>
      <c r="AV407" t="str">
        <f t="shared" ca="1" si="48"/>
        <v/>
      </c>
    </row>
    <row r="408" spans="1:48" x14ac:dyDescent="0.25">
      <c r="A408" s="265">
        <f t="shared" si="44"/>
        <v>43834</v>
      </c>
      <c r="B408" s="265" t="str">
        <f t="shared" si="49"/>
        <v>4 Jan 2020</v>
      </c>
      <c r="C408" s="267">
        <f t="shared" si="50"/>
        <v>1</v>
      </c>
      <c r="D408">
        <f>MATCH(A408,GCalXMLT[daydate],0)</f>
        <v>407</v>
      </c>
      <c r="E408">
        <f>VALUE("1" &amp; Masacod(INDEX(GCalXMLT[gymasa],D408)) &amp; PaksaCod(INDEX(GCalXMLT[mpaksaid],D408)) &amp; TithiCod(INDEX(GCalXMLT[stithiname],D408)))</f>
        <v>110109</v>
      </c>
      <c r="F408" t="str">
        <f ca="1">INDEX(Parameters!$K$2:$K$16,MATCH(AV408,Parameters!$L$2:$L$16,0))</f>
        <v/>
      </c>
      <c r="G408">
        <f>INDEX(GCalXMLT[fastmark],$D408)</f>
        <v>0</v>
      </c>
      <c r="H408" t="str">
        <f ca="1">INDEX(Parameters!$J$2:$J$16,MATCH(AV408,Parameters!$L$2:$L$16,0))</f>
        <v/>
      </c>
      <c r="I408">
        <f>INDEX(GCalXMLT[dfestival1],$D408)</f>
        <v>0</v>
      </c>
      <c r="J408">
        <f>IF(INDEX(GCalXMLT[dfestival2],$D408)="(Fast today)",INDEX(Festivals!$R$2:$R$180,MATCH($I408,Festivals!$R$2:$R$180,0)+1),INDEX(GCalXMLT[dfestival2],$D408))</f>
        <v>0</v>
      </c>
      <c r="K408">
        <f>IF(I408="Nandotsava","(Fast till noon)",INDEX(GCalXMLT[dfestival3],$D408))</f>
        <v>0</v>
      </c>
      <c r="L408">
        <f>IF(I408="Nandotsava", INDEX(GCalXMLT[dfestival3],$D408),INDEX(GCalXMLT[dfestival4],$D408))</f>
        <v>0</v>
      </c>
      <c r="M408" t="str">
        <f>IFERROR(INDEX(Festivals!$S$2:$S$160,AP408),"")</f>
        <v/>
      </c>
      <c r="N408" t="str">
        <f>IFERROR(IF($AQ408&gt;1,INDEX(Festivals!$S$2:$S$160,$AP408+1),""),"")</f>
        <v/>
      </c>
      <c r="O408" t="str">
        <f>IFERROR(IF($AQ408&gt;2,INDEX(Festivals!$S$2:$S$160,$AP408+2),""),"")</f>
        <v/>
      </c>
      <c r="P408" t="str">
        <f>IFERROR(IF($AQ408&gt;3,INDEX(Festivals!$S$2:$S$160,$AP408+3),""),"")</f>
        <v/>
      </c>
      <c r="Q408" t="str">
        <f>IFERROR(IF($AQ408&gt;4,INDEX(Festivals!$S$2:$S$160,$AP408+4),""),"")</f>
        <v/>
      </c>
      <c r="R408" t="str">
        <f>IFERROR(IF($AQ408&gt;5,INDEX(Festivals!$S$2:$S$160,$AP408+5),""),"")</f>
        <v/>
      </c>
      <c r="S408" t="str">
        <f>IFERROR(IF($AQ408&gt;6,INDEX(Festivals!$S$2:$S$160,$AP408+6),""),"")</f>
        <v/>
      </c>
      <c r="T408">
        <f>INDEX(GCalXMLT[dcaturmasya1],$D408)</f>
        <v>0</v>
      </c>
      <c r="U408">
        <f>INDEX(GCalXMLT[dcaturmasya2],$D408)</f>
        <v>0</v>
      </c>
      <c r="V408" t="str">
        <f>INDEX(GCalXMLT[sankrantirasi],$D408) &amp; " " &amp; INDEX(GCalXMLT[sankrantitime],$D408)</f>
        <v xml:space="preserve"> </v>
      </c>
      <c r="W408" t="str">
        <f ca="1">IFERROR(INDEX('Holidays Calc'!$K$2:$K$233,AR408),"")</f>
        <v/>
      </c>
      <c r="X408" t="str">
        <f ca="1">IF(AR408="","",IF(INDEX('Holidays Calc'!$I$2:$I$233,AR408+1)=A408,INDEX('Holidays Calc'!$K$2:$K$233,AR408+1),""))</f>
        <v/>
      </c>
      <c r="Y408" t="str">
        <f ca="1">IF(AR408="","",IF(INDEX('Holidays Calc'!$I$2:$I$233,AR408+2)=A408,INDEX('Holidays Calc'!$K$2:$K$233,AR408+2),""))</f>
        <v/>
      </c>
      <c r="Z408" t="str">
        <f ca="1">IF(AR408="","",IF(INDEX('Holidays Calc'!$I$2:$I$233,AR408+3)=A408,INDEX('Holidays Calc'!$K$2:$K$2333,AR408+3),""))</f>
        <v/>
      </c>
      <c r="AA408" t="str">
        <f>IF(I408="Last day of Bhisma Pancaka","",IF(G408="*",-0.7,IF(ISBLANK(INDEX(GCalXMLT[dclass1],$D408)),"",INDEX(GCalXMLT[dclass1],$D408))))</f>
        <v/>
      </c>
      <c r="AB408" t="str">
        <f>IF(J408="First day of Bhisma Pancaka","",IF(AND(G408="*",NOT(ISERROR(SEARCH("ekadasi",J408)))),-0.7,IF(ISBLANK(INDEX(GCalXMLT[dclass2],$D408)),"",INDEX(GCalXMLT[dclass2],$D408))))</f>
        <v/>
      </c>
      <c r="AC408" t="str">
        <f>IF(I408="Nandotsava",-1,IF(ISBLANK(INDEX(GCalXMLT[dclass3],$D408)),"",INDEX(GCalXMLT[dclass3],$D408)))</f>
        <v/>
      </c>
      <c r="AD408" t="str">
        <f>IF(I408="Nandotsava",IF(ISBLANK(INDEX(GCalXMLT[dclass3],$D408)),"",INDEX(GCalXMLT[dclass3],$D408)),IF(ISBLANK(INDEX(GCalXMLT[dclass4],$D408)),"",INDEX(GCalXMLT[dclass4],$D408)))</f>
        <v/>
      </c>
      <c r="AE408" t="str">
        <f>IFERROR(INDEX(Festivals!$V$2:$V$160,AP408),"")</f>
        <v/>
      </c>
      <c r="AF408" t="str">
        <f>IFERROR(IF($AQ408&gt;1,INDEX(Festivals!$V$2:$V$160,$AP408+1),""),"")</f>
        <v/>
      </c>
      <c r="AG408" t="str">
        <f>IFERROR(IF($AQ408&gt;2,INDEX(Festivals!$V$2:$V$160,$AP408+2),""),"")</f>
        <v/>
      </c>
      <c r="AH408" t="str">
        <f>IFERROR(IF($AQ408&gt;3,INDEX(Festivals!$V$2:$V$160,$AP408+3),""),"")</f>
        <v/>
      </c>
      <c r="AI408" t="str">
        <f>IFERROR(IF($AQ408&gt;4,INDEX(Festivals!$V$2:$V$160,$AP408+4),""),"")</f>
        <v/>
      </c>
      <c r="AJ408" t="str">
        <f>IFERROR(IF($AQ408&gt;5,INDEX(Festivals!$V$2:$V$160,$AP408+5),""),"")</f>
        <v/>
      </c>
      <c r="AK408" t="str">
        <f>IFERROR(IF($AQ408&gt;6,INDEX(Festivals!$V$2:$V$160,$AP408+6),""),"")</f>
        <v/>
      </c>
      <c r="AL408" t="str">
        <f ca="1">IFERROR(INDEX('Holidays Calc'!$J$2:$J$233,MATCH(A408,'Holidays Calc'!$I$2:$I$233,0)),"")</f>
        <v/>
      </c>
      <c r="AM408" t="str">
        <f ca="1">IF(AR408="","",IF(INDEX('Holidays Calc'!$I$2:$I$233,AR408+1)=A408,INDEX('Holidays Calc'!$J$2:$J$233,AR408+1),""))</f>
        <v/>
      </c>
      <c r="AN408" t="str">
        <f ca="1">IF(AR408="","",IF(INDEX('Holidays Calc'!$I$2:$I$233,AR408+2)=A408,INDEX('Holidays Calc'!$J$2:$J$233,AR408+2),""))</f>
        <v/>
      </c>
      <c r="AO408" t="str">
        <f ca="1">IF(AR408="","",IF(INDEX('Holidays Calc'!$I$2:$I$233,AR408+3)=A408,INDEX('Holidays Calc'!$J$2:$J$233,AR408+3),""))</f>
        <v/>
      </c>
      <c r="AP408" t="str">
        <f>IFERROR(IF($E408=E407,"",MATCH($E408,Festivals!$H$2:$H$160,0)),"")</f>
        <v/>
      </c>
      <c r="AQ408" t="str">
        <f>IF(AP408="","",COUNTIF(Festivals!$H$2:$H$160,$E408))</f>
        <v/>
      </c>
      <c r="AR408" t="str">
        <f ca="1">IFERROR(MATCH(A408,'Holidays Calc'!$I$2:$I$233,0),"")</f>
        <v/>
      </c>
      <c r="AS408" t="str">
        <f t="shared" si="46"/>
        <v/>
      </c>
      <c r="AT408" t="str">
        <f t="shared" si="45"/>
        <v/>
      </c>
      <c r="AU408" t="str">
        <f t="shared" ca="1" si="47"/>
        <v/>
      </c>
      <c r="AV408" t="str">
        <f t="shared" ca="1" si="48"/>
        <v/>
      </c>
    </row>
    <row r="409" spans="1:48" x14ac:dyDescent="0.25">
      <c r="A409" s="265">
        <f t="shared" si="44"/>
        <v>43835</v>
      </c>
      <c r="B409" s="265" t="str">
        <f t="shared" si="49"/>
        <v>5 Jan 2020</v>
      </c>
      <c r="C409" s="267">
        <f t="shared" si="50"/>
        <v>1</v>
      </c>
      <c r="D409">
        <f>MATCH(A409,GCalXMLT[daydate],0)</f>
        <v>408</v>
      </c>
      <c r="E409">
        <f>VALUE("1" &amp; Masacod(INDEX(GCalXMLT[gymasa],D409)) &amp; PaksaCod(INDEX(GCalXMLT[mpaksaid],D409)) &amp; TithiCod(INDEX(GCalXMLT[stithiname],D409)))</f>
        <v>110110</v>
      </c>
      <c r="F409" t="str">
        <f ca="1">INDEX(Parameters!$K$2:$K$16,MATCH(AV409,Parameters!$L$2:$L$16,0))</f>
        <v/>
      </c>
      <c r="G409">
        <f>INDEX(GCalXMLT[fastmark],$D409)</f>
        <v>0</v>
      </c>
      <c r="H409" t="str">
        <f ca="1">INDEX(Parameters!$J$2:$J$16,MATCH(AV409,Parameters!$L$2:$L$16,0))</f>
        <v/>
      </c>
      <c r="I409">
        <f>INDEX(GCalXMLT[dfestival1],$D409)</f>
        <v>0</v>
      </c>
      <c r="J409">
        <f>IF(INDEX(GCalXMLT[dfestival2],$D409)="(Fast today)",INDEX(Festivals!$R$2:$R$180,MATCH($I409,Festivals!$R$2:$R$180,0)+1),INDEX(GCalXMLT[dfestival2],$D409))</f>
        <v>0</v>
      </c>
      <c r="K409">
        <f>IF(I409="Nandotsava","(Fast till noon)",INDEX(GCalXMLT[dfestival3],$D409))</f>
        <v>0</v>
      </c>
      <c r="L409">
        <f>IF(I409="Nandotsava", INDEX(GCalXMLT[dfestival3],$D409),INDEX(GCalXMLT[dfestival4],$D409))</f>
        <v>0</v>
      </c>
      <c r="M409" t="str">
        <f>IFERROR(INDEX(Festivals!$S$2:$S$160,AP409),"")</f>
        <v/>
      </c>
      <c r="N409" t="str">
        <f>IFERROR(IF($AQ409&gt;1,INDEX(Festivals!$S$2:$S$160,$AP409+1),""),"")</f>
        <v/>
      </c>
      <c r="O409" t="str">
        <f>IFERROR(IF($AQ409&gt;2,INDEX(Festivals!$S$2:$S$160,$AP409+2),""),"")</f>
        <v/>
      </c>
      <c r="P409" t="str">
        <f>IFERROR(IF($AQ409&gt;3,INDEX(Festivals!$S$2:$S$160,$AP409+3),""),"")</f>
        <v/>
      </c>
      <c r="Q409" t="str">
        <f>IFERROR(IF($AQ409&gt;4,INDEX(Festivals!$S$2:$S$160,$AP409+4),""),"")</f>
        <v/>
      </c>
      <c r="R409" t="str">
        <f>IFERROR(IF($AQ409&gt;5,INDEX(Festivals!$S$2:$S$160,$AP409+5),""),"")</f>
        <v/>
      </c>
      <c r="S409" t="str">
        <f>IFERROR(IF($AQ409&gt;6,INDEX(Festivals!$S$2:$S$160,$AP409+6),""),"")</f>
        <v/>
      </c>
      <c r="T409">
        <f>INDEX(GCalXMLT[dcaturmasya1],$D409)</f>
        <v>0</v>
      </c>
      <c r="U409">
        <f>INDEX(GCalXMLT[dcaturmasya2],$D409)</f>
        <v>0</v>
      </c>
      <c r="V409" t="str">
        <f>INDEX(GCalXMLT[sankrantirasi],$D409) &amp; " " &amp; INDEX(GCalXMLT[sankrantitime],$D409)</f>
        <v xml:space="preserve"> </v>
      </c>
      <c r="W409" t="str">
        <f ca="1">IFERROR(INDEX('Holidays Calc'!$K$2:$K$233,AR409),"")</f>
        <v/>
      </c>
      <c r="X409" t="str">
        <f ca="1">IF(AR409="","",IF(INDEX('Holidays Calc'!$I$2:$I$233,AR409+1)=A409,INDEX('Holidays Calc'!$K$2:$K$233,AR409+1),""))</f>
        <v/>
      </c>
      <c r="Y409" t="str">
        <f ca="1">IF(AR409="","",IF(INDEX('Holidays Calc'!$I$2:$I$233,AR409+2)=A409,INDEX('Holidays Calc'!$K$2:$K$233,AR409+2),""))</f>
        <v/>
      </c>
      <c r="Z409" t="str">
        <f ca="1">IF(AR409="","",IF(INDEX('Holidays Calc'!$I$2:$I$233,AR409+3)=A409,INDEX('Holidays Calc'!$K$2:$K$2333,AR409+3),""))</f>
        <v/>
      </c>
      <c r="AA409" t="str">
        <f>IF(I409="Last day of Bhisma Pancaka","",IF(G409="*",-0.7,IF(ISBLANK(INDEX(GCalXMLT[dclass1],$D409)),"",INDEX(GCalXMLT[dclass1],$D409))))</f>
        <v/>
      </c>
      <c r="AB409" t="str">
        <f>IF(J409="First day of Bhisma Pancaka","",IF(AND(G409="*",NOT(ISERROR(SEARCH("ekadasi",J409)))),-0.7,IF(ISBLANK(INDEX(GCalXMLT[dclass2],$D409)),"",INDEX(GCalXMLT[dclass2],$D409))))</f>
        <v/>
      </c>
      <c r="AC409" t="str">
        <f>IF(I409="Nandotsava",-1,IF(ISBLANK(INDEX(GCalXMLT[dclass3],$D409)),"",INDEX(GCalXMLT[dclass3],$D409)))</f>
        <v/>
      </c>
      <c r="AD409" t="str">
        <f>IF(I409="Nandotsava",IF(ISBLANK(INDEX(GCalXMLT[dclass3],$D409)),"",INDEX(GCalXMLT[dclass3],$D409)),IF(ISBLANK(INDEX(GCalXMLT[dclass4],$D409)),"",INDEX(GCalXMLT[dclass4],$D409)))</f>
        <v/>
      </c>
      <c r="AE409" t="str">
        <f>IFERROR(INDEX(Festivals!$V$2:$V$160,AP409),"")</f>
        <v/>
      </c>
      <c r="AF409" t="str">
        <f>IFERROR(IF($AQ409&gt;1,INDEX(Festivals!$V$2:$V$160,$AP409+1),""),"")</f>
        <v/>
      </c>
      <c r="AG409" t="str">
        <f>IFERROR(IF($AQ409&gt;2,INDEX(Festivals!$V$2:$V$160,$AP409+2),""),"")</f>
        <v/>
      </c>
      <c r="AH409" t="str">
        <f>IFERROR(IF($AQ409&gt;3,INDEX(Festivals!$V$2:$V$160,$AP409+3),""),"")</f>
        <v/>
      </c>
      <c r="AI409" t="str">
        <f>IFERROR(IF($AQ409&gt;4,INDEX(Festivals!$V$2:$V$160,$AP409+4),""),"")</f>
        <v/>
      </c>
      <c r="AJ409" t="str">
        <f>IFERROR(IF($AQ409&gt;5,INDEX(Festivals!$V$2:$V$160,$AP409+5),""),"")</f>
        <v/>
      </c>
      <c r="AK409" t="str">
        <f>IFERROR(IF($AQ409&gt;6,INDEX(Festivals!$V$2:$V$160,$AP409+6),""),"")</f>
        <v/>
      </c>
      <c r="AL409" t="str">
        <f ca="1">IFERROR(INDEX('Holidays Calc'!$J$2:$J$233,MATCH(A409,'Holidays Calc'!$I$2:$I$233,0)),"")</f>
        <v/>
      </c>
      <c r="AM409" t="str">
        <f ca="1">IF(AR409="","",IF(INDEX('Holidays Calc'!$I$2:$I$233,AR409+1)=A409,INDEX('Holidays Calc'!$J$2:$J$233,AR409+1),""))</f>
        <v/>
      </c>
      <c r="AN409" t="str">
        <f ca="1">IF(AR409="","",IF(INDEX('Holidays Calc'!$I$2:$I$233,AR409+2)=A409,INDEX('Holidays Calc'!$J$2:$J$233,AR409+2),""))</f>
        <v/>
      </c>
      <c r="AO409" t="str">
        <f ca="1">IF(AR409="","",IF(INDEX('Holidays Calc'!$I$2:$I$233,AR409+3)=A409,INDEX('Holidays Calc'!$J$2:$J$233,AR409+3),""))</f>
        <v/>
      </c>
      <c r="AP409" t="str">
        <f>IFERROR(IF($E409=E408,"",MATCH($E409,Festivals!$H$2:$H$160,0)),"")</f>
        <v/>
      </c>
      <c r="AQ409" t="str">
        <f>IF(AP409="","",COUNTIF(Festivals!$H$2:$H$160,$E409))</f>
        <v/>
      </c>
      <c r="AR409" t="str">
        <f ca="1">IFERROR(MATCH(A409,'Holidays Calc'!$I$2:$I$233,0),"")</f>
        <v/>
      </c>
      <c r="AS409" t="str">
        <f t="shared" si="46"/>
        <v/>
      </c>
      <c r="AT409" t="str">
        <f t="shared" si="45"/>
        <v/>
      </c>
      <c r="AU409" t="str">
        <f t="shared" ca="1" si="47"/>
        <v/>
      </c>
      <c r="AV409" t="str">
        <f t="shared" ca="1" si="48"/>
        <v/>
      </c>
    </row>
    <row r="410" spans="1:48" x14ac:dyDescent="0.25">
      <c r="A410" s="265">
        <f t="shared" si="44"/>
        <v>43836</v>
      </c>
      <c r="B410" s="265" t="str">
        <f t="shared" si="49"/>
        <v>6 Jan 2020</v>
      </c>
      <c r="C410" s="267">
        <f t="shared" si="50"/>
        <v>2</v>
      </c>
      <c r="D410">
        <f>MATCH(A410,GCalXMLT[daydate],0)</f>
        <v>409</v>
      </c>
      <c r="E410">
        <f>VALUE("1" &amp; Masacod(INDEX(GCalXMLT[gymasa],D410)) &amp; PaksaCod(INDEX(GCalXMLT[mpaksaid],D410)) &amp; TithiCod(INDEX(GCalXMLT[stithiname],D410)))</f>
        <v>110111</v>
      </c>
      <c r="F410" t="str">
        <f ca="1">INDEX(Parameters!$K$2:$K$16,MATCH(AV410,Parameters!$L$2:$L$16,0))</f>
        <v>E</v>
      </c>
      <c r="G410" t="str">
        <f>INDEX(GCalXMLT[fastmark],$D410)</f>
        <v>*</v>
      </c>
      <c r="H410" t="str">
        <f ca="1">INDEX(Parameters!$J$2:$J$16,MATCH(AV410,Parameters!$L$2:$L$16,0))</f>
        <v>*</v>
      </c>
      <c r="I410" t="str">
        <f>INDEX(GCalXMLT[dfestival1],$D410)</f>
        <v>Fasting for Putrada Ekadasi</v>
      </c>
      <c r="J410">
        <f>IF(INDEX(GCalXMLT[dfestival2],$D410)="(Fast today)",INDEX(Festivals!$R$2:$R$180,MATCH($I410,Festivals!$R$2:$R$180,0)+1),INDEX(GCalXMLT[dfestival2],$D410))</f>
        <v>0</v>
      </c>
      <c r="K410">
        <f>IF(I410="Nandotsava","(Fast till noon)",INDEX(GCalXMLT[dfestival3],$D410))</f>
        <v>0</v>
      </c>
      <c r="L410">
        <f>IF(I410="Nandotsava", INDEX(GCalXMLT[dfestival3],$D410),INDEX(GCalXMLT[dfestival4],$D410))</f>
        <v>0</v>
      </c>
      <c r="M410" t="str">
        <f>IFERROR(INDEX(Festivals!$S$2:$S$160,AP410),"")</f>
        <v/>
      </c>
      <c r="N410" t="str">
        <f>IFERROR(IF($AQ410&gt;1,INDEX(Festivals!$S$2:$S$160,$AP410+1),""),"")</f>
        <v/>
      </c>
      <c r="O410" t="str">
        <f>IFERROR(IF($AQ410&gt;2,INDEX(Festivals!$S$2:$S$160,$AP410+2),""),"")</f>
        <v/>
      </c>
      <c r="P410" t="str">
        <f>IFERROR(IF($AQ410&gt;3,INDEX(Festivals!$S$2:$S$160,$AP410+3),""),"")</f>
        <v/>
      </c>
      <c r="Q410" t="str">
        <f>IFERROR(IF($AQ410&gt;4,INDEX(Festivals!$S$2:$S$160,$AP410+4),""),"")</f>
        <v/>
      </c>
      <c r="R410" t="str">
        <f>IFERROR(IF($AQ410&gt;5,INDEX(Festivals!$S$2:$S$160,$AP410+5),""),"")</f>
        <v/>
      </c>
      <c r="S410" t="str">
        <f>IFERROR(IF($AQ410&gt;6,INDEX(Festivals!$S$2:$S$160,$AP410+6),""),"")</f>
        <v/>
      </c>
      <c r="T410">
        <f>INDEX(GCalXMLT[dcaturmasya1],$D410)</f>
        <v>0</v>
      </c>
      <c r="U410">
        <f>INDEX(GCalXMLT[dcaturmasya2],$D410)</f>
        <v>0</v>
      </c>
      <c r="V410" t="str">
        <f>INDEX(GCalXMLT[sankrantirasi],$D410) &amp; " " &amp; INDEX(GCalXMLT[sankrantitime],$D410)</f>
        <v xml:space="preserve"> </v>
      </c>
      <c r="W410" t="str">
        <f ca="1">IFERROR(INDEX('Holidays Calc'!$K$2:$K$233,AR410),"")</f>
        <v/>
      </c>
      <c r="X410" t="str">
        <f ca="1">IF(AR410="","",IF(INDEX('Holidays Calc'!$I$2:$I$233,AR410+1)=A410,INDEX('Holidays Calc'!$K$2:$K$233,AR410+1),""))</f>
        <v/>
      </c>
      <c r="Y410" t="str">
        <f ca="1">IF(AR410="","",IF(INDEX('Holidays Calc'!$I$2:$I$233,AR410+2)=A410,INDEX('Holidays Calc'!$K$2:$K$233,AR410+2),""))</f>
        <v/>
      </c>
      <c r="Z410" t="str">
        <f ca="1">IF(AR410="","",IF(INDEX('Holidays Calc'!$I$2:$I$233,AR410+3)=A410,INDEX('Holidays Calc'!$K$2:$K$2333,AR410+3),""))</f>
        <v/>
      </c>
      <c r="AA410">
        <f>IF(I410="Last day of Bhisma Pancaka","",IF(G410="*",-0.7,IF(ISBLANK(INDEX(GCalXMLT[dclass1],$D410)),"",INDEX(GCalXMLT[dclass1],$D410))))</f>
        <v>-0.7</v>
      </c>
      <c r="AB410" t="str">
        <f>IF(J410="First day of Bhisma Pancaka","",IF(AND(G410="*",NOT(ISERROR(SEARCH("ekadasi",J410)))),-0.7,IF(ISBLANK(INDEX(GCalXMLT[dclass2],$D410)),"",INDEX(GCalXMLT[dclass2],$D410))))</f>
        <v/>
      </c>
      <c r="AC410" t="str">
        <f>IF(I410="Nandotsava",-1,IF(ISBLANK(INDEX(GCalXMLT[dclass3],$D410)),"",INDEX(GCalXMLT[dclass3],$D410)))</f>
        <v/>
      </c>
      <c r="AD410" t="str">
        <f>IF(I410="Nandotsava",IF(ISBLANK(INDEX(GCalXMLT[dclass3],$D410)),"",INDEX(GCalXMLT[dclass3],$D410)),IF(ISBLANK(INDEX(GCalXMLT[dclass4],$D410)),"",INDEX(GCalXMLT[dclass4],$D410)))</f>
        <v/>
      </c>
      <c r="AE410" t="str">
        <f>IFERROR(INDEX(Festivals!$V$2:$V$160,AP410),"")</f>
        <v/>
      </c>
      <c r="AF410" t="str">
        <f>IFERROR(IF($AQ410&gt;1,INDEX(Festivals!$V$2:$V$160,$AP410+1),""),"")</f>
        <v/>
      </c>
      <c r="AG410" t="str">
        <f>IFERROR(IF($AQ410&gt;2,INDEX(Festivals!$V$2:$V$160,$AP410+2),""),"")</f>
        <v/>
      </c>
      <c r="AH410" t="str">
        <f>IFERROR(IF($AQ410&gt;3,INDEX(Festivals!$V$2:$V$160,$AP410+3),""),"")</f>
        <v/>
      </c>
      <c r="AI410" t="str">
        <f>IFERROR(IF($AQ410&gt;4,INDEX(Festivals!$V$2:$V$160,$AP410+4),""),"")</f>
        <v/>
      </c>
      <c r="AJ410" t="str">
        <f>IFERROR(IF($AQ410&gt;5,INDEX(Festivals!$V$2:$V$160,$AP410+5),""),"")</f>
        <v/>
      </c>
      <c r="AK410" t="str">
        <f>IFERROR(IF($AQ410&gt;6,INDEX(Festivals!$V$2:$V$160,$AP410+6),""),"")</f>
        <v/>
      </c>
      <c r="AL410" t="str">
        <f ca="1">IFERROR(INDEX('Holidays Calc'!$J$2:$J$233,MATCH(A410,'Holidays Calc'!$I$2:$I$233,0)),"")</f>
        <v/>
      </c>
      <c r="AM410" t="str">
        <f ca="1">IF(AR410="","",IF(INDEX('Holidays Calc'!$I$2:$I$233,AR410+1)=A410,INDEX('Holidays Calc'!$J$2:$J$233,AR410+1),""))</f>
        <v/>
      </c>
      <c r="AN410" t="str">
        <f ca="1">IF(AR410="","",IF(INDEX('Holidays Calc'!$I$2:$I$233,AR410+2)=A410,INDEX('Holidays Calc'!$J$2:$J$233,AR410+2),""))</f>
        <v/>
      </c>
      <c r="AO410" t="str">
        <f ca="1">IF(AR410="","",IF(INDEX('Holidays Calc'!$I$2:$I$233,AR410+3)=A410,INDEX('Holidays Calc'!$J$2:$J$233,AR410+3),""))</f>
        <v/>
      </c>
      <c r="AP410" t="str">
        <f>IFERROR(IF($E410=E409,"",MATCH($E410,Festivals!$H$2:$H$160,0)),"")</f>
        <v/>
      </c>
      <c r="AQ410" t="str">
        <f>IF(AP410="","",COUNTIF(Festivals!$H$2:$H$160,$E410))</f>
        <v/>
      </c>
      <c r="AR410" t="str">
        <f ca="1">IFERROR(MATCH(A410,'Holidays Calc'!$I$2:$I$233,0),"")</f>
        <v/>
      </c>
      <c r="AS410">
        <f t="shared" si="46"/>
        <v>-0.7</v>
      </c>
      <c r="AT410">
        <f t="shared" si="45"/>
        <v>-0.7</v>
      </c>
      <c r="AU410" t="str">
        <f t="shared" ca="1" si="47"/>
        <v/>
      </c>
      <c r="AV410">
        <f t="shared" ca="1" si="48"/>
        <v>-0.7</v>
      </c>
    </row>
    <row r="411" spans="1:48" x14ac:dyDescent="0.25">
      <c r="A411" s="265">
        <f t="shared" si="44"/>
        <v>43837</v>
      </c>
      <c r="B411" s="265" t="str">
        <f t="shared" si="49"/>
        <v>7 Jan 2020</v>
      </c>
      <c r="C411" s="267">
        <f t="shared" si="50"/>
        <v>2</v>
      </c>
      <c r="D411">
        <f>MATCH(A411,GCalXMLT[daydate],0)</f>
        <v>410</v>
      </c>
      <c r="E411">
        <f>VALUE("1" &amp; Masacod(INDEX(GCalXMLT[gymasa],D411)) &amp; PaksaCod(INDEX(GCalXMLT[mpaksaid],D411)) &amp; TithiCod(INDEX(GCalXMLT[stithiname],D411)))</f>
        <v>110112</v>
      </c>
      <c r="F411" t="str">
        <f ca="1">INDEX(Parameters!$K$2:$K$16,MATCH(AV411,Parameters!$L$2:$L$16,0))</f>
        <v>C</v>
      </c>
      <c r="G411">
        <f>INDEX(GCalXMLT[fastmark],$D411)</f>
        <v>0</v>
      </c>
      <c r="H411" t="str">
        <f ca="1">INDEX(Parameters!$J$2:$J$16,MATCH(AV411,Parameters!$L$2:$L$16,0))</f>
        <v/>
      </c>
      <c r="I411">
        <f>INDEX(GCalXMLT[dfestival1],$D411)</f>
        <v>0</v>
      </c>
      <c r="J411">
        <f>IF(INDEX(GCalXMLT[dfestival2],$D411)="(Fast today)",INDEX(Festivals!$R$2:$R$180,MATCH($I411,Festivals!$R$2:$R$180,0)+1),INDEX(GCalXMLT[dfestival2],$D411))</f>
        <v>0</v>
      </c>
      <c r="K411">
        <f>IF(I411="Nandotsava","(Fast till noon)",INDEX(GCalXMLT[dfestival3],$D411))</f>
        <v>0</v>
      </c>
      <c r="L411">
        <f>IF(I411="Nandotsava", INDEX(GCalXMLT[dfestival3],$D411),INDEX(GCalXMLT[dfestival4],$D411))</f>
        <v>0</v>
      </c>
      <c r="M411" t="str">
        <f>IFERROR(INDEX(Festivals!$S$2:$S$160,AP411),"")</f>
        <v>Sri Jagadisa Pandita - Appearance</v>
      </c>
      <c r="N411" t="str">
        <f>IFERROR(IF($AQ411&gt;1,INDEX(Festivals!$S$2:$S$160,$AP411+1),""),"")</f>
        <v/>
      </c>
      <c r="O411" t="str">
        <f>IFERROR(IF($AQ411&gt;2,INDEX(Festivals!$S$2:$S$160,$AP411+2),""),"")</f>
        <v/>
      </c>
      <c r="P411" t="str">
        <f>IFERROR(IF($AQ411&gt;3,INDEX(Festivals!$S$2:$S$160,$AP411+3),""),"")</f>
        <v/>
      </c>
      <c r="Q411" t="str">
        <f>IFERROR(IF($AQ411&gt;4,INDEX(Festivals!$S$2:$S$160,$AP411+4),""),"")</f>
        <v/>
      </c>
      <c r="R411" t="str">
        <f>IFERROR(IF($AQ411&gt;5,INDEX(Festivals!$S$2:$S$160,$AP411+5),""),"")</f>
        <v/>
      </c>
      <c r="S411" t="str">
        <f>IFERROR(IF($AQ411&gt;6,INDEX(Festivals!$S$2:$S$160,$AP411+6),""),"")</f>
        <v/>
      </c>
      <c r="T411">
        <f>INDEX(GCalXMLT[dcaturmasya1],$D411)</f>
        <v>0</v>
      </c>
      <c r="U411">
        <f>INDEX(GCalXMLT[dcaturmasya2],$D411)</f>
        <v>0</v>
      </c>
      <c r="V411" t="str">
        <f>INDEX(GCalXMLT[sankrantirasi],$D411) &amp; " " &amp; INDEX(GCalXMLT[sankrantitime],$D411)</f>
        <v xml:space="preserve"> </v>
      </c>
      <c r="W411" t="str">
        <f ca="1">IFERROR(INDEX('Holidays Calc'!$K$2:$K$233,AR411),"")</f>
        <v/>
      </c>
      <c r="X411" t="str">
        <f ca="1">IF(AR411="","",IF(INDEX('Holidays Calc'!$I$2:$I$233,AR411+1)=A411,INDEX('Holidays Calc'!$K$2:$K$233,AR411+1),""))</f>
        <v/>
      </c>
      <c r="Y411" t="str">
        <f ca="1">IF(AR411="","",IF(INDEX('Holidays Calc'!$I$2:$I$233,AR411+2)=A411,INDEX('Holidays Calc'!$K$2:$K$233,AR411+2),""))</f>
        <v/>
      </c>
      <c r="Z411" t="str">
        <f ca="1">IF(AR411="","",IF(INDEX('Holidays Calc'!$I$2:$I$233,AR411+3)=A411,INDEX('Holidays Calc'!$K$2:$K$2333,AR411+3),""))</f>
        <v/>
      </c>
      <c r="AA411" t="str">
        <f>IF(I411="Last day of Bhisma Pancaka","",IF(G411="*",-0.7,IF(ISBLANK(INDEX(GCalXMLT[dclass1],$D411)),"",INDEX(GCalXMLT[dclass1],$D411))))</f>
        <v/>
      </c>
      <c r="AB411" t="str">
        <f>IF(J411="First day of Bhisma Pancaka","",IF(AND(G411="*",NOT(ISERROR(SEARCH("ekadasi",J411)))),-0.7,IF(ISBLANK(INDEX(GCalXMLT[dclass2],$D411)),"",INDEX(GCalXMLT[dclass2],$D411))))</f>
        <v/>
      </c>
      <c r="AC411" t="str">
        <f>IF(I411="Nandotsava",-1,IF(ISBLANK(INDEX(GCalXMLT[dclass3],$D411)),"",INDEX(GCalXMLT[dclass3],$D411)))</f>
        <v/>
      </c>
      <c r="AD411" t="str">
        <f>IF(I411="Nandotsava",IF(ISBLANK(INDEX(GCalXMLT[dclass3],$D411)),"",INDEX(GCalXMLT[dclass3],$D411)),IF(ISBLANK(INDEX(GCalXMLT[dclass4],$D411)),"",INDEX(GCalXMLT[dclass4],$D411)))</f>
        <v/>
      </c>
      <c r="AE411">
        <f>IFERROR(INDEX(Festivals!$V$2:$V$160,AP411),"")</f>
        <v>3</v>
      </c>
      <c r="AF411" t="str">
        <f>IFERROR(IF($AQ411&gt;1,INDEX(Festivals!$V$2:$V$160,$AP411+1),""),"")</f>
        <v/>
      </c>
      <c r="AG411" t="str">
        <f>IFERROR(IF($AQ411&gt;2,INDEX(Festivals!$V$2:$V$160,$AP411+2),""),"")</f>
        <v/>
      </c>
      <c r="AH411" t="str">
        <f>IFERROR(IF($AQ411&gt;3,INDEX(Festivals!$V$2:$V$160,$AP411+3),""),"")</f>
        <v/>
      </c>
      <c r="AI411" t="str">
        <f>IFERROR(IF($AQ411&gt;4,INDEX(Festivals!$V$2:$V$160,$AP411+4),""),"")</f>
        <v/>
      </c>
      <c r="AJ411" t="str">
        <f>IFERROR(IF($AQ411&gt;5,INDEX(Festivals!$V$2:$V$160,$AP411+5),""),"")</f>
        <v/>
      </c>
      <c r="AK411" t="str">
        <f>IFERROR(IF($AQ411&gt;6,INDEX(Festivals!$V$2:$V$160,$AP411+6),""),"")</f>
        <v/>
      </c>
      <c r="AL411" t="str">
        <f ca="1">IFERROR(INDEX('Holidays Calc'!$J$2:$J$233,MATCH(A411,'Holidays Calc'!$I$2:$I$233,0)),"")</f>
        <v/>
      </c>
      <c r="AM411" t="str">
        <f ca="1">IF(AR411="","",IF(INDEX('Holidays Calc'!$I$2:$I$233,AR411+1)=A411,INDEX('Holidays Calc'!$J$2:$J$233,AR411+1),""))</f>
        <v/>
      </c>
      <c r="AN411" t="str">
        <f ca="1">IF(AR411="","",IF(INDEX('Holidays Calc'!$I$2:$I$233,AR411+2)=A411,INDEX('Holidays Calc'!$J$2:$J$233,AR411+2),""))</f>
        <v/>
      </c>
      <c r="AO411" t="str">
        <f ca="1">IF(AR411="","",IF(INDEX('Holidays Calc'!$I$2:$I$233,AR411+3)=A411,INDEX('Holidays Calc'!$J$2:$J$233,AR411+3),""))</f>
        <v/>
      </c>
      <c r="AP411">
        <f>IFERROR(IF($E411=E410,"",MATCH($E411,Festivals!$H$2:$H$160,0)),"")</f>
        <v>123</v>
      </c>
      <c r="AQ411">
        <f>IF(AP411="","",COUNTIF(Festivals!$H$2:$H$160,$E411))</f>
        <v>1</v>
      </c>
      <c r="AR411" t="str">
        <f ca="1">IFERROR(MATCH(A411,'Holidays Calc'!$I$2:$I$233,0),"")</f>
        <v/>
      </c>
      <c r="AS411">
        <f t="shared" si="46"/>
        <v>3</v>
      </c>
      <c r="AT411">
        <f t="shared" si="45"/>
        <v>3</v>
      </c>
      <c r="AU411" t="str">
        <f t="shared" ca="1" si="47"/>
        <v/>
      </c>
      <c r="AV411">
        <f t="shared" ca="1" si="48"/>
        <v>3</v>
      </c>
    </row>
    <row r="412" spans="1:48" x14ac:dyDescent="0.25">
      <c r="A412" s="265">
        <f t="shared" si="44"/>
        <v>43838</v>
      </c>
      <c r="B412" s="265" t="str">
        <f t="shared" si="49"/>
        <v>8 Jan 2020</v>
      </c>
      <c r="C412" s="267">
        <f t="shared" si="50"/>
        <v>2</v>
      </c>
      <c r="D412">
        <f>MATCH(A412,GCalXMLT[daydate],0)</f>
        <v>411</v>
      </c>
      <c r="E412">
        <f>VALUE("1" &amp; Masacod(INDEX(GCalXMLT[gymasa],D412)) &amp; PaksaCod(INDEX(GCalXMLT[mpaksaid],D412)) &amp; TithiCod(INDEX(GCalXMLT[stithiname],D412)))</f>
        <v>110113</v>
      </c>
      <c r="F412" t="str">
        <f ca="1">INDEX(Parameters!$K$2:$K$16,MATCH(AV412,Parameters!$L$2:$L$16,0))</f>
        <v/>
      </c>
      <c r="G412">
        <f>INDEX(GCalXMLT[fastmark],$D412)</f>
        <v>0</v>
      </c>
      <c r="H412" t="str">
        <f ca="1">INDEX(Parameters!$J$2:$J$16,MATCH(AV412,Parameters!$L$2:$L$16,0))</f>
        <v/>
      </c>
      <c r="I412">
        <f>INDEX(GCalXMLT[dfestival1],$D412)</f>
        <v>0</v>
      </c>
      <c r="J412">
        <f>IF(INDEX(GCalXMLT[dfestival2],$D412)="(Fast today)",INDEX(Festivals!$R$2:$R$180,MATCH($I412,Festivals!$R$2:$R$180,0)+1),INDEX(GCalXMLT[dfestival2],$D412))</f>
        <v>0</v>
      </c>
      <c r="K412">
        <f>IF(I412="Nandotsava","(Fast till noon)",INDEX(GCalXMLT[dfestival3],$D412))</f>
        <v>0</v>
      </c>
      <c r="L412">
        <f>IF(I412="Nandotsava", INDEX(GCalXMLT[dfestival3],$D412),INDEX(GCalXMLT[dfestival4],$D412))</f>
        <v>0</v>
      </c>
      <c r="M412" t="str">
        <f>IFERROR(INDEX(Festivals!$S$2:$S$160,AP412),"")</f>
        <v/>
      </c>
      <c r="N412" t="str">
        <f>IFERROR(IF($AQ412&gt;1,INDEX(Festivals!$S$2:$S$160,$AP412+1),""),"")</f>
        <v/>
      </c>
      <c r="O412" t="str">
        <f>IFERROR(IF($AQ412&gt;2,INDEX(Festivals!$S$2:$S$160,$AP412+2),""),"")</f>
        <v/>
      </c>
      <c r="P412" t="str">
        <f>IFERROR(IF($AQ412&gt;3,INDEX(Festivals!$S$2:$S$160,$AP412+3),""),"")</f>
        <v/>
      </c>
      <c r="Q412" t="str">
        <f>IFERROR(IF($AQ412&gt;4,INDEX(Festivals!$S$2:$S$160,$AP412+4),""),"")</f>
        <v/>
      </c>
      <c r="R412" t="str">
        <f>IFERROR(IF($AQ412&gt;5,INDEX(Festivals!$S$2:$S$160,$AP412+5),""),"")</f>
        <v/>
      </c>
      <c r="S412" t="str">
        <f>IFERROR(IF($AQ412&gt;6,INDEX(Festivals!$S$2:$S$160,$AP412+6),""),"")</f>
        <v/>
      </c>
      <c r="T412">
        <f>INDEX(GCalXMLT[dcaturmasya1],$D412)</f>
        <v>0</v>
      </c>
      <c r="U412">
        <f>INDEX(GCalXMLT[dcaturmasya2],$D412)</f>
        <v>0</v>
      </c>
      <c r="V412" t="str">
        <f>INDEX(GCalXMLT[sankrantirasi],$D412) &amp; " " &amp; INDEX(GCalXMLT[sankrantitime],$D412)</f>
        <v xml:space="preserve"> </v>
      </c>
      <c r="W412" t="str">
        <f ca="1">IFERROR(INDEX('Holidays Calc'!$K$2:$K$233,AR412),"")</f>
        <v/>
      </c>
      <c r="X412" t="str">
        <f ca="1">IF(AR412="","",IF(INDEX('Holidays Calc'!$I$2:$I$233,AR412+1)=A412,INDEX('Holidays Calc'!$K$2:$K$233,AR412+1),""))</f>
        <v/>
      </c>
      <c r="Y412" t="str">
        <f ca="1">IF(AR412="","",IF(INDEX('Holidays Calc'!$I$2:$I$233,AR412+2)=A412,INDEX('Holidays Calc'!$K$2:$K$233,AR412+2),""))</f>
        <v/>
      </c>
      <c r="Z412" t="str">
        <f ca="1">IF(AR412="","",IF(INDEX('Holidays Calc'!$I$2:$I$233,AR412+3)=A412,INDEX('Holidays Calc'!$K$2:$K$2333,AR412+3),""))</f>
        <v/>
      </c>
      <c r="AA412" t="str">
        <f>IF(I412="Last day of Bhisma Pancaka","",IF(G412="*",-0.7,IF(ISBLANK(INDEX(GCalXMLT[dclass1],$D412)),"",INDEX(GCalXMLT[dclass1],$D412))))</f>
        <v/>
      </c>
      <c r="AB412" t="str">
        <f>IF(J412="First day of Bhisma Pancaka","",IF(AND(G412="*",NOT(ISERROR(SEARCH("ekadasi",J412)))),-0.7,IF(ISBLANK(INDEX(GCalXMLT[dclass2],$D412)),"",INDEX(GCalXMLT[dclass2],$D412))))</f>
        <v/>
      </c>
      <c r="AC412" t="str">
        <f>IF(I412="Nandotsava",-1,IF(ISBLANK(INDEX(GCalXMLT[dclass3],$D412)),"",INDEX(GCalXMLT[dclass3],$D412)))</f>
        <v/>
      </c>
      <c r="AD412" t="str">
        <f>IF(I412="Nandotsava",IF(ISBLANK(INDEX(GCalXMLT[dclass3],$D412)),"",INDEX(GCalXMLT[dclass3],$D412)),IF(ISBLANK(INDEX(GCalXMLT[dclass4],$D412)),"",INDEX(GCalXMLT[dclass4],$D412)))</f>
        <v/>
      </c>
      <c r="AE412" t="str">
        <f>IFERROR(INDEX(Festivals!$V$2:$V$160,AP412),"")</f>
        <v/>
      </c>
      <c r="AF412" t="str">
        <f>IFERROR(IF($AQ412&gt;1,INDEX(Festivals!$V$2:$V$160,$AP412+1),""),"")</f>
        <v/>
      </c>
      <c r="AG412" t="str">
        <f>IFERROR(IF($AQ412&gt;2,INDEX(Festivals!$V$2:$V$160,$AP412+2),""),"")</f>
        <v/>
      </c>
      <c r="AH412" t="str">
        <f>IFERROR(IF($AQ412&gt;3,INDEX(Festivals!$V$2:$V$160,$AP412+3),""),"")</f>
        <v/>
      </c>
      <c r="AI412" t="str">
        <f>IFERROR(IF($AQ412&gt;4,INDEX(Festivals!$V$2:$V$160,$AP412+4),""),"")</f>
        <v/>
      </c>
      <c r="AJ412" t="str">
        <f>IFERROR(IF($AQ412&gt;5,INDEX(Festivals!$V$2:$V$160,$AP412+5),""),"")</f>
        <v/>
      </c>
      <c r="AK412" t="str">
        <f>IFERROR(IF($AQ412&gt;6,INDEX(Festivals!$V$2:$V$160,$AP412+6),""),"")</f>
        <v/>
      </c>
      <c r="AL412" t="str">
        <f ca="1">IFERROR(INDEX('Holidays Calc'!$J$2:$J$233,MATCH(A412,'Holidays Calc'!$I$2:$I$233,0)),"")</f>
        <v/>
      </c>
      <c r="AM412" t="str">
        <f ca="1">IF(AR412="","",IF(INDEX('Holidays Calc'!$I$2:$I$233,AR412+1)=A412,INDEX('Holidays Calc'!$J$2:$J$233,AR412+1),""))</f>
        <v/>
      </c>
      <c r="AN412" t="str">
        <f ca="1">IF(AR412="","",IF(INDEX('Holidays Calc'!$I$2:$I$233,AR412+2)=A412,INDEX('Holidays Calc'!$J$2:$J$233,AR412+2),""))</f>
        <v/>
      </c>
      <c r="AO412" t="str">
        <f ca="1">IF(AR412="","",IF(INDEX('Holidays Calc'!$I$2:$I$233,AR412+3)=A412,INDEX('Holidays Calc'!$J$2:$J$233,AR412+3),""))</f>
        <v/>
      </c>
      <c r="AP412" t="str">
        <f>IFERROR(IF($E412=E411,"",MATCH($E412,Festivals!$H$2:$H$160,0)),"")</f>
        <v/>
      </c>
      <c r="AQ412" t="str">
        <f>IF(AP412="","",COUNTIF(Festivals!$H$2:$H$160,$E412))</f>
        <v/>
      </c>
      <c r="AR412" t="str">
        <f ca="1">IFERROR(MATCH(A412,'Holidays Calc'!$I$2:$I$233,0),"")</f>
        <v/>
      </c>
      <c r="AS412" t="str">
        <f t="shared" si="46"/>
        <v/>
      </c>
      <c r="AT412" t="str">
        <f t="shared" si="45"/>
        <v/>
      </c>
      <c r="AU412" t="str">
        <f t="shared" ca="1" si="47"/>
        <v/>
      </c>
      <c r="AV412" t="str">
        <f t="shared" ca="1" si="48"/>
        <v/>
      </c>
    </row>
    <row r="413" spans="1:48" x14ac:dyDescent="0.25">
      <c r="A413" s="265">
        <f t="shared" si="44"/>
        <v>43839</v>
      </c>
      <c r="B413" s="265" t="str">
        <f t="shared" si="49"/>
        <v>9 Jan 2020</v>
      </c>
      <c r="C413" s="267">
        <f t="shared" si="50"/>
        <v>2</v>
      </c>
      <c r="D413">
        <f>MATCH(A413,GCalXMLT[daydate],0)</f>
        <v>412</v>
      </c>
      <c r="E413">
        <f>VALUE("1" &amp; Masacod(INDEX(GCalXMLT[gymasa],D413)) &amp; PaksaCod(INDEX(GCalXMLT[mpaksaid],D413)) &amp; TithiCod(INDEX(GCalXMLT[stithiname],D413)))</f>
        <v>110114</v>
      </c>
      <c r="F413" t="str">
        <f ca="1">INDEX(Parameters!$K$2:$K$16,MATCH(AV413,Parameters!$L$2:$L$16,0))</f>
        <v/>
      </c>
      <c r="G413">
        <f>INDEX(GCalXMLT[fastmark],$D413)</f>
        <v>0</v>
      </c>
      <c r="H413" t="str">
        <f ca="1">INDEX(Parameters!$J$2:$J$16,MATCH(AV413,Parameters!$L$2:$L$16,0))</f>
        <v/>
      </c>
      <c r="I413">
        <f>INDEX(GCalXMLT[dfestival1],$D413)</f>
        <v>0</v>
      </c>
      <c r="J413">
        <f>IF(INDEX(GCalXMLT[dfestival2],$D413)="(Fast today)",INDEX(Festivals!$R$2:$R$180,MATCH($I413,Festivals!$R$2:$R$180,0)+1),INDEX(GCalXMLT[dfestival2],$D413))</f>
        <v>0</v>
      </c>
      <c r="K413">
        <f>IF(I413="Nandotsava","(Fast till noon)",INDEX(GCalXMLT[dfestival3],$D413))</f>
        <v>0</v>
      </c>
      <c r="L413">
        <f>IF(I413="Nandotsava", INDEX(GCalXMLT[dfestival3],$D413),INDEX(GCalXMLT[dfestival4],$D413))</f>
        <v>0</v>
      </c>
      <c r="M413" t="str">
        <f>IFERROR(INDEX(Festivals!$S$2:$S$160,AP413),"")</f>
        <v/>
      </c>
      <c r="N413" t="str">
        <f>IFERROR(IF($AQ413&gt;1,INDEX(Festivals!$S$2:$S$160,$AP413+1),""),"")</f>
        <v/>
      </c>
      <c r="O413" t="str">
        <f>IFERROR(IF($AQ413&gt;2,INDEX(Festivals!$S$2:$S$160,$AP413+2),""),"")</f>
        <v/>
      </c>
      <c r="P413" t="str">
        <f>IFERROR(IF($AQ413&gt;3,INDEX(Festivals!$S$2:$S$160,$AP413+3),""),"")</f>
        <v/>
      </c>
      <c r="Q413" t="str">
        <f>IFERROR(IF($AQ413&gt;4,INDEX(Festivals!$S$2:$S$160,$AP413+4),""),"")</f>
        <v/>
      </c>
      <c r="R413" t="str">
        <f>IFERROR(IF($AQ413&gt;5,INDEX(Festivals!$S$2:$S$160,$AP413+5),""),"")</f>
        <v/>
      </c>
      <c r="S413" t="str">
        <f>IFERROR(IF($AQ413&gt;6,INDEX(Festivals!$S$2:$S$160,$AP413+6),""),"")</f>
        <v/>
      </c>
      <c r="T413">
        <f>INDEX(GCalXMLT[dcaturmasya1],$D413)</f>
        <v>0</v>
      </c>
      <c r="U413">
        <f>INDEX(GCalXMLT[dcaturmasya2],$D413)</f>
        <v>0</v>
      </c>
      <c r="V413" t="str">
        <f>INDEX(GCalXMLT[sankrantirasi],$D413) &amp; " " &amp; INDEX(GCalXMLT[sankrantitime],$D413)</f>
        <v xml:space="preserve"> </v>
      </c>
      <c r="W413" t="str">
        <f ca="1">IFERROR(INDEX('Holidays Calc'!$K$2:$K$233,AR413),"")</f>
        <v/>
      </c>
      <c r="X413" t="str">
        <f ca="1">IF(AR413="","",IF(INDEX('Holidays Calc'!$I$2:$I$233,AR413+1)=A413,INDEX('Holidays Calc'!$K$2:$K$233,AR413+1),""))</f>
        <v/>
      </c>
      <c r="Y413" t="str">
        <f ca="1">IF(AR413="","",IF(INDEX('Holidays Calc'!$I$2:$I$233,AR413+2)=A413,INDEX('Holidays Calc'!$K$2:$K$233,AR413+2),""))</f>
        <v/>
      </c>
      <c r="Z413" t="str">
        <f ca="1">IF(AR413="","",IF(INDEX('Holidays Calc'!$I$2:$I$233,AR413+3)=A413,INDEX('Holidays Calc'!$K$2:$K$2333,AR413+3),""))</f>
        <v/>
      </c>
      <c r="AA413" t="str">
        <f>IF(I413="Last day of Bhisma Pancaka","",IF(G413="*",-0.7,IF(ISBLANK(INDEX(GCalXMLT[dclass1],$D413)),"",INDEX(GCalXMLT[dclass1],$D413))))</f>
        <v/>
      </c>
      <c r="AB413" t="str">
        <f>IF(J413="First day of Bhisma Pancaka","",IF(AND(G413="*",NOT(ISERROR(SEARCH("ekadasi",J413)))),-0.7,IF(ISBLANK(INDEX(GCalXMLT[dclass2],$D413)),"",INDEX(GCalXMLT[dclass2],$D413))))</f>
        <v/>
      </c>
      <c r="AC413" t="str">
        <f>IF(I413="Nandotsava",-1,IF(ISBLANK(INDEX(GCalXMLT[dclass3],$D413)),"",INDEX(GCalXMLT[dclass3],$D413)))</f>
        <v/>
      </c>
      <c r="AD413" t="str">
        <f>IF(I413="Nandotsava",IF(ISBLANK(INDEX(GCalXMLT[dclass3],$D413)),"",INDEX(GCalXMLT[dclass3],$D413)),IF(ISBLANK(INDEX(GCalXMLT[dclass4],$D413)),"",INDEX(GCalXMLT[dclass4],$D413)))</f>
        <v/>
      </c>
      <c r="AE413" t="str">
        <f>IFERROR(INDEX(Festivals!$V$2:$V$160,AP413),"")</f>
        <v/>
      </c>
      <c r="AF413" t="str">
        <f>IFERROR(IF($AQ413&gt;1,INDEX(Festivals!$V$2:$V$160,$AP413+1),""),"")</f>
        <v/>
      </c>
      <c r="AG413" t="str">
        <f>IFERROR(IF($AQ413&gt;2,INDEX(Festivals!$V$2:$V$160,$AP413+2),""),"")</f>
        <v/>
      </c>
      <c r="AH413" t="str">
        <f>IFERROR(IF($AQ413&gt;3,INDEX(Festivals!$V$2:$V$160,$AP413+3),""),"")</f>
        <v/>
      </c>
      <c r="AI413" t="str">
        <f>IFERROR(IF($AQ413&gt;4,INDEX(Festivals!$V$2:$V$160,$AP413+4),""),"")</f>
        <v/>
      </c>
      <c r="AJ413" t="str">
        <f>IFERROR(IF($AQ413&gt;5,INDEX(Festivals!$V$2:$V$160,$AP413+5),""),"")</f>
        <v/>
      </c>
      <c r="AK413" t="str">
        <f>IFERROR(IF($AQ413&gt;6,INDEX(Festivals!$V$2:$V$160,$AP413+6),""),"")</f>
        <v/>
      </c>
      <c r="AL413" t="str">
        <f ca="1">IFERROR(INDEX('Holidays Calc'!$J$2:$J$233,MATCH(A413,'Holidays Calc'!$I$2:$I$233,0)),"")</f>
        <v/>
      </c>
      <c r="AM413" t="str">
        <f ca="1">IF(AR413="","",IF(INDEX('Holidays Calc'!$I$2:$I$233,AR413+1)=A413,INDEX('Holidays Calc'!$J$2:$J$233,AR413+1),""))</f>
        <v/>
      </c>
      <c r="AN413" t="str">
        <f ca="1">IF(AR413="","",IF(INDEX('Holidays Calc'!$I$2:$I$233,AR413+2)=A413,INDEX('Holidays Calc'!$J$2:$J$233,AR413+2),""))</f>
        <v/>
      </c>
      <c r="AO413" t="str">
        <f ca="1">IF(AR413="","",IF(INDEX('Holidays Calc'!$I$2:$I$233,AR413+3)=A413,INDEX('Holidays Calc'!$J$2:$J$233,AR413+3),""))</f>
        <v/>
      </c>
      <c r="AP413" t="str">
        <f>IFERROR(IF($E413=E412,"",MATCH($E413,Festivals!$H$2:$H$160,0)),"")</f>
        <v/>
      </c>
      <c r="AQ413" t="str">
        <f>IF(AP413="","",COUNTIF(Festivals!$H$2:$H$160,$E413))</f>
        <v/>
      </c>
      <c r="AR413" t="str">
        <f ca="1">IFERROR(MATCH(A413,'Holidays Calc'!$I$2:$I$233,0),"")</f>
        <v/>
      </c>
      <c r="AS413" t="str">
        <f t="shared" si="46"/>
        <v/>
      </c>
      <c r="AT413" t="str">
        <f t="shared" si="45"/>
        <v/>
      </c>
      <c r="AU413" t="str">
        <f t="shared" ca="1" si="47"/>
        <v/>
      </c>
      <c r="AV413" t="str">
        <f t="shared" ca="1" si="48"/>
        <v/>
      </c>
    </row>
    <row r="414" spans="1:48" x14ac:dyDescent="0.25">
      <c r="A414" s="265">
        <f t="shared" si="44"/>
        <v>43840</v>
      </c>
      <c r="B414" s="265" t="str">
        <f t="shared" si="49"/>
        <v>10 Jan 2020</v>
      </c>
      <c r="C414" s="267">
        <f t="shared" si="50"/>
        <v>2</v>
      </c>
      <c r="D414">
        <f>MATCH(A414,GCalXMLT[daydate],0)</f>
        <v>413</v>
      </c>
      <c r="E414">
        <f>VALUE("1" &amp; Masacod(INDEX(GCalXMLT[gymasa],D414)) &amp; PaksaCod(INDEX(GCalXMLT[mpaksaid],D414)) &amp; TithiCod(INDEX(GCalXMLT[stithiname],D414)))</f>
        <v>110115</v>
      </c>
      <c r="F414" t="str">
        <f ca="1">INDEX(Parameters!$K$2:$K$16,MATCH(AV414,Parameters!$L$2:$L$16,0))</f>
        <v>C</v>
      </c>
      <c r="G414">
        <f>INDEX(GCalXMLT[fastmark],$D414)</f>
        <v>0</v>
      </c>
      <c r="H414" t="str">
        <f ca="1">INDEX(Parameters!$J$2:$J$16,MATCH(AV414,Parameters!$L$2:$L$16,0))</f>
        <v/>
      </c>
      <c r="I414">
        <f>INDEX(GCalXMLT[dfestival1],$D414)</f>
        <v>0</v>
      </c>
      <c r="J414">
        <f>IF(INDEX(GCalXMLT[dfestival2],$D414)="(Fast today)",INDEX(Festivals!$R$2:$R$180,MATCH($I414,Festivals!$R$2:$R$180,0)+1),INDEX(GCalXMLT[dfestival2],$D414))</f>
        <v>0</v>
      </c>
      <c r="K414">
        <f>IF(I414="Nandotsava","(Fast till noon)",INDEX(GCalXMLT[dfestival3],$D414))</f>
        <v>0</v>
      </c>
      <c r="L414">
        <f>IF(I414="Nandotsava", INDEX(GCalXMLT[dfestival3],$D414),INDEX(GCalXMLT[dfestival4],$D414))</f>
        <v>0</v>
      </c>
      <c r="M414" t="str">
        <f>IFERROR(INDEX(Festivals!$S$2:$S$160,AP414),"")</f>
        <v>Sri Krsna Pusya Abhiseka</v>
      </c>
      <c r="N414" t="str">
        <f>IFERROR(IF($AQ414&gt;1,INDEX(Festivals!$S$2:$S$160,$AP414+1),""),"")</f>
        <v/>
      </c>
      <c r="O414" t="str">
        <f>IFERROR(IF($AQ414&gt;2,INDEX(Festivals!$S$2:$S$160,$AP414+2),""),"")</f>
        <v/>
      </c>
      <c r="P414" t="str">
        <f>IFERROR(IF($AQ414&gt;3,INDEX(Festivals!$S$2:$S$160,$AP414+3),""),"")</f>
        <v/>
      </c>
      <c r="Q414" t="str">
        <f>IFERROR(IF($AQ414&gt;4,INDEX(Festivals!$S$2:$S$160,$AP414+4),""),"")</f>
        <v/>
      </c>
      <c r="R414" t="str">
        <f>IFERROR(IF($AQ414&gt;5,INDEX(Festivals!$S$2:$S$160,$AP414+5),""),"")</f>
        <v/>
      </c>
      <c r="S414" t="str">
        <f>IFERROR(IF($AQ414&gt;6,INDEX(Festivals!$S$2:$S$160,$AP414+6),""),"")</f>
        <v/>
      </c>
      <c r="T414">
        <f>INDEX(GCalXMLT[dcaturmasya1],$D414)</f>
        <v>0</v>
      </c>
      <c r="U414">
        <f>INDEX(GCalXMLT[dcaturmasya2],$D414)</f>
        <v>0</v>
      </c>
      <c r="V414" t="str">
        <f>INDEX(GCalXMLT[sankrantirasi],$D414) &amp; " " &amp; INDEX(GCalXMLT[sankrantitime],$D414)</f>
        <v xml:space="preserve"> </v>
      </c>
      <c r="W414" t="str">
        <f ca="1">IFERROR(INDEX('Holidays Calc'!$K$2:$K$233,AR414),"")</f>
        <v/>
      </c>
      <c r="X414" t="str">
        <f ca="1">IF(AR414="","",IF(INDEX('Holidays Calc'!$I$2:$I$233,AR414+1)=A414,INDEX('Holidays Calc'!$K$2:$K$233,AR414+1),""))</f>
        <v/>
      </c>
      <c r="Y414" t="str">
        <f ca="1">IF(AR414="","",IF(INDEX('Holidays Calc'!$I$2:$I$233,AR414+2)=A414,INDEX('Holidays Calc'!$K$2:$K$233,AR414+2),""))</f>
        <v/>
      </c>
      <c r="Z414" t="str">
        <f ca="1">IF(AR414="","",IF(INDEX('Holidays Calc'!$I$2:$I$233,AR414+3)=A414,INDEX('Holidays Calc'!$K$2:$K$2333,AR414+3),""))</f>
        <v/>
      </c>
      <c r="AA414" t="str">
        <f>IF(I414="Last day of Bhisma Pancaka","",IF(G414="*",-0.7,IF(ISBLANK(INDEX(GCalXMLT[dclass1],$D414)),"",INDEX(GCalXMLT[dclass1],$D414))))</f>
        <v/>
      </c>
      <c r="AB414" t="str">
        <f>IF(J414="First day of Bhisma Pancaka","",IF(AND(G414="*",NOT(ISERROR(SEARCH("ekadasi",J414)))),-0.7,IF(ISBLANK(INDEX(GCalXMLT[dclass2],$D414)),"",INDEX(GCalXMLT[dclass2],$D414))))</f>
        <v/>
      </c>
      <c r="AC414" t="str">
        <f>IF(I414="Nandotsava",-1,IF(ISBLANK(INDEX(GCalXMLT[dclass3],$D414)),"",INDEX(GCalXMLT[dclass3],$D414)))</f>
        <v/>
      </c>
      <c r="AD414" t="str">
        <f>IF(I414="Nandotsava",IF(ISBLANK(INDEX(GCalXMLT[dclass3],$D414)),"",INDEX(GCalXMLT[dclass3],$D414)),IF(ISBLANK(INDEX(GCalXMLT[dclass4],$D414)),"",INDEX(GCalXMLT[dclass4],$D414)))</f>
        <v/>
      </c>
      <c r="AE414">
        <f>IFERROR(INDEX(Festivals!$V$2:$V$160,AP414),"")</f>
        <v>1</v>
      </c>
      <c r="AF414" t="str">
        <f>IFERROR(IF($AQ414&gt;1,INDEX(Festivals!$V$2:$V$160,$AP414+1),""),"")</f>
        <v/>
      </c>
      <c r="AG414" t="str">
        <f>IFERROR(IF($AQ414&gt;2,INDEX(Festivals!$V$2:$V$160,$AP414+2),""),"")</f>
        <v/>
      </c>
      <c r="AH414" t="str">
        <f>IFERROR(IF($AQ414&gt;3,INDEX(Festivals!$V$2:$V$160,$AP414+3),""),"")</f>
        <v/>
      </c>
      <c r="AI414" t="str">
        <f>IFERROR(IF($AQ414&gt;4,INDEX(Festivals!$V$2:$V$160,$AP414+4),""),"")</f>
        <v/>
      </c>
      <c r="AJ414" t="str">
        <f>IFERROR(IF($AQ414&gt;5,INDEX(Festivals!$V$2:$V$160,$AP414+5),""),"")</f>
        <v/>
      </c>
      <c r="AK414" t="str">
        <f>IFERROR(IF($AQ414&gt;6,INDEX(Festivals!$V$2:$V$160,$AP414+6),""),"")</f>
        <v/>
      </c>
      <c r="AL414" t="str">
        <f ca="1">IFERROR(INDEX('Holidays Calc'!$J$2:$J$233,MATCH(A414,'Holidays Calc'!$I$2:$I$233,0)),"")</f>
        <v/>
      </c>
      <c r="AM414" t="str">
        <f ca="1">IF(AR414="","",IF(INDEX('Holidays Calc'!$I$2:$I$233,AR414+1)=A414,INDEX('Holidays Calc'!$J$2:$J$233,AR414+1),""))</f>
        <v/>
      </c>
      <c r="AN414" t="str">
        <f ca="1">IF(AR414="","",IF(INDEX('Holidays Calc'!$I$2:$I$233,AR414+2)=A414,INDEX('Holidays Calc'!$J$2:$J$233,AR414+2),""))</f>
        <v/>
      </c>
      <c r="AO414" t="str">
        <f ca="1">IF(AR414="","",IF(INDEX('Holidays Calc'!$I$2:$I$233,AR414+3)=A414,INDEX('Holidays Calc'!$J$2:$J$233,AR414+3),""))</f>
        <v/>
      </c>
      <c r="AP414">
        <f>IFERROR(IF($E414=E413,"",MATCH($E414,Festivals!$H$2:$H$160,0)),"")</f>
        <v>124</v>
      </c>
      <c r="AQ414">
        <f>IF(AP414="","",COUNTIF(Festivals!$H$2:$H$160,$E414))</f>
        <v>1</v>
      </c>
      <c r="AR414" t="str">
        <f ca="1">IFERROR(MATCH(A414,'Holidays Calc'!$I$2:$I$233,0),"")</f>
        <v/>
      </c>
      <c r="AS414">
        <f t="shared" si="46"/>
        <v>1</v>
      </c>
      <c r="AT414">
        <f t="shared" si="45"/>
        <v>1</v>
      </c>
      <c r="AU414" t="str">
        <f t="shared" ca="1" si="47"/>
        <v/>
      </c>
      <c r="AV414">
        <f t="shared" ca="1" si="48"/>
        <v>1</v>
      </c>
    </row>
    <row r="415" spans="1:48" x14ac:dyDescent="0.25">
      <c r="A415" s="265">
        <f t="shared" si="44"/>
        <v>43841</v>
      </c>
      <c r="B415" s="265" t="str">
        <f t="shared" si="49"/>
        <v>11 Jan 2020</v>
      </c>
      <c r="C415" s="267">
        <f t="shared" si="50"/>
        <v>2</v>
      </c>
      <c r="D415">
        <f>MATCH(A415,GCalXMLT[daydate],0)</f>
        <v>414</v>
      </c>
      <c r="E415">
        <f>VALUE("1" &amp; Masacod(INDEX(GCalXMLT[gymasa],D415)) &amp; PaksaCod(INDEX(GCalXMLT[mpaksaid],D415)) &amp; TithiCod(INDEX(GCalXMLT[stithiname],D415)))</f>
        <v>111001</v>
      </c>
      <c r="F415" t="str">
        <f ca="1">INDEX(Parameters!$K$2:$K$16,MATCH(AV415,Parameters!$L$2:$L$16,0))</f>
        <v/>
      </c>
      <c r="G415">
        <f>INDEX(GCalXMLT[fastmark],$D415)</f>
        <v>0</v>
      </c>
      <c r="H415" t="str">
        <f ca="1">INDEX(Parameters!$J$2:$J$16,MATCH(AV415,Parameters!$L$2:$L$16,0))</f>
        <v/>
      </c>
      <c r="I415">
        <f>INDEX(GCalXMLT[dfestival1],$D415)</f>
        <v>0</v>
      </c>
      <c r="J415">
        <f>IF(INDEX(GCalXMLT[dfestival2],$D415)="(Fast today)",INDEX(Festivals!$R$2:$R$180,MATCH($I415,Festivals!$R$2:$R$180,0)+1),INDEX(GCalXMLT[dfestival2],$D415))</f>
        <v>0</v>
      </c>
      <c r="K415">
        <f>IF(I415="Nandotsava","(Fast till noon)",INDEX(GCalXMLT[dfestival3],$D415))</f>
        <v>0</v>
      </c>
      <c r="L415">
        <f>IF(I415="Nandotsava", INDEX(GCalXMLT[dfestival3],$D415),INDEX(GCalXMLT[dfestival4],$D415))</f>
        <v>0</v>
      </c>
      <c r="M415" t="str">
        <f>IFERROR(INDEX(Festivals!$S$2:$S$160,AP415),"")</f>
        <v/>
      </c>
      <c r="N415" t="str">
        <f>IFERROR(IF($AQ415&gt;1,INDEX(Festivals!$S$2:$S$160,$AP415+1),""),"")</f>
        <v/>
      </c>
      <c r="O415" t="str">
        <f>IFERROR(IF($AQ415&gt;2,INDEX(Festivals!$S$2:$S$160,$AP415+2),""),"")</f>
        <v/>
      </c>
      <c r="P415" t="str">
        <f>IFERROR(IF($AQ415&gt;3,INDEX(Festivals!$S$2:$S$160,$AP415+3),""),"")</f>
        <v/>
      </c>
      <c r="Q415" t="str">
        <f>IFERROR(IF($AQ415&gt;4,INDEX(Festivals!$S$2:$S$160,$AP415+4),""),"")</f>
        <v/>
      </c>
      <c r="R415" t="str">
        <f>IFERROR(IF($AQ415&gt;5,INDEX(Festivals!$S$2:$S$160,$AP415+5),""),"")</f>
        <v/>
      </c>
      <c r="S415" t="str">
        <f>IFERROR(IF($AQ415&gt;6,INDEX(Festivals!$S$2:$S$160,$AP415+6),""),"")</f>
        <v/>
      </c>
      <c r="T415">
        <f>INDEX(GCalXMLT[dcaturmasya1],$D415)</f>
        <v>0</v>
      </c>
      <c r="U415">
        <f>INDEX(GCalXMLT[dcaturmasya2],$D415)</f>
        <v>0</v>
      </c>
      <c r="V415" t="str">
        <f>INDEX(GCalXMLT[sankrantirasi],$D415) &amp; " " &amp; INDEX(GCalXMLT[sankrantitime],$D415)</f>
        <v xml:space="preserve"> </v>
      </c>
      <c r="W415" t="str">
        <f ca="1">IFERROR(INDEX('Holidays Calc'!$K$2:$K$233,AR415),"")</f>
        <v/>
      </c>
      <c r="X415" t="str">
        <f ca="1">IF(AR415="","",IF(INDEX('Holidays Calc'!$I$2:$I$233,AR415+1)=A415,INDEX('Holidays Calc'!$K$2:$K$233,AR415+1),""))</f>
        <v/>
      </c>
      <c r="Y415" t="str">
        <f ca="1">IF(AR415="","",IF(INDEX('Holidays Calc'!$I$2:$I$233,AR415+2)=A415,INDEX('Holidays Calc'!$K$2:$K$233,AR415+2),""))</f>
        <v/>
      </c>
      <c r="Z415" t="str">
        <f ca="1">IF(AR415="","",IF(INDEX('Holidays Calc'!$I$2:$I$233,AR415+3)=A415,INDEX('Holidays Calc'!$K$2:$K$2333,AR415+3),""))</f>
        <v/>
      </c>
      <c r="AA415" t="str">
        <f>IF(I415="Last day of Bhisma Pancaka","",IF(G415="*",-0.7,IF(ISBLANK(INDEX(GCalXMLT[dclass1],$D415)),"",INDEX(GCalXMLT[dclass1],$D415))))</f>
        <v/>
      </c>
      <c r="AB415" t="str">
        <f>IF(J415="First day of Bhisma Pancaka","",IF(AND(G415="*",NOT(ISERROR(SEARCH("ekadasi",J415)))),-0.7,IF(ISBLANK(INDEX(GCalXMLT[dclass2],$D415)),"",INDEX(GCalXMLT[dclass2],$D415))))</f>
        <v/>
      </c>
      <c r="AC415" t="str">
        <f>IF(I415="Nandotsava",-1,IF(ISBLANK(INDEX(GCalXMLT[dclass3],$D415)),"",INDEX(GCalXMLT[dclass3],$D415)))</f>
        <v/>
      </c>
      <c r="AD415" t="str">
        <f>IF(I415="Nandotsava",IF(ISBLANK(INDEX(GCalXMLT[dclass3],$D415)),"",INDEX(GCalXMLT[dclass3],$D415)),IF(ISBLANK(INDEX(GCalXMLT[dclass4],$D415)),"",INDEX(GCalXMLT[dclass4],$D415)))</f>
        <v/>
      </c>
      <c r="AE415" t="str">
        <f>IFERROR(INDEX(Festivals!$V$2:$V$160,AP415),"")</f>
        <v/>
      </c>
      <c r="AF415" t="str">
        <f>IFERROR(IF($AQ415&gt;1,INDEX(Festivals!$V$2:$V$160,$AP415+1),""),"")</f>
        <v/>
      </c>
      <c r="AG415" t="str">
        <f>IFERROR(IF($AQ415&gt;2,INDEX(Festivals!$V$2:$V$160,$AP415+2),""),"")</f>
        <v/>
      </c>
      <c r="AH415" t="str">
        <f>IFERROR(IF($AQ415&gt;3,INDEX(Festivals!$V$2:$V$160,$AP415+3),""),"")</f>
        <v/>
      </c>
      <c r="AI415" t="str">
        <f>IFERROR(IF($AQ415&gt;4,INDEX(Festivals!$V$2:$V$160,$AP415+4),""),"")</f>
        <v/>
      </c>
      <c r="AJ415" t="str">
        <f>IFERROR(IF($AQ415&gt;5,INDEX(Festivals!$V$2:$V$160,$AP415+5),""),"")</f>
        <v/>
      </c>
      <c r="AK415" t="str">
        <f>IFERROR(IF($AQ415&gt;6,INDEX(Festivals!$V$2:$V$160,$AP415+6),""),"")</f>
        <v/>
      </c>
      <c r="AL415" t="str">
        <f ca="1">IFERROR(INDEX('Holidays Calc'!$J$2:$J$233,MATCH(A415,'Holidays Calc'!$I$2:$I$233,0)),"")</f>
        <v/>
      </c>
      <c r="AM415" t="str">
        <f ca="1">IF(AR415="","",IF(INDEX('Holidays Calc'!$I$2:$I$233,AR415+1)=A415,INDEX('Holidays Calc'!$J$2:$J$233,AR415+1),""))</f>
        <v/>
      </c>
      <c r="AN415" t="str">
        <f ca="1">IF(AR415="","",IF(INDEX('Holidays Calc'!$I$2:$I$233,AR415+2)=A415,INDEX('Holidays Calc'!$J$2:$J$233,AR415+2),""))</f>
        <v/>
      </c>
      <c r="AO415" t="str">
        <f ca="1">IF(AR415="","",IF(INDEX('Holidays Calc'!$I$2:$I$233,AR415+3)=A415,INDEX('Holidays Calc'!$J$2:$J$233,AR415+3),""))</f>
        <v/>
      </c>
      <c r="AP415" t="str">
        <f>IFERROR(IF($E415=E414,"",MATCH($E415,Festivals!$H$2:$H$160,0)),"")</f>
        <v/>
      </c>
      <c r="AQ415" t="str">
        <f>IF(AP415="","",COUNTIF(Festivals!$H$2:$H$160,$E415))</f>
        <v/>
      </c>
      <c r="AR415" t="str">
        <f ca="1">IFERROR(MATCH(A415,'Holidays Calc'!$I$2:$I$233,0),"")</f>
        <v/>
      </c>
      <c r="AS415" t="str">
        <f t="shared" si="46"/>
        <v/>
      </c>
      <c r="AT415" t="str">
        <f t="shared" si="45"/>
        <v/>
      </c>
      <c r="AU415" t="str">
        <f t="shared" ca="1" si="47"/>
        <v/>
      </c>
      <c r="AV415" t="str">
        <f t="shared" ca="1" si="48"/>
        <v/>
      </c>
    </row>
    <row r="416" spans="1:48" x14ac:dyDescent="0.25">
      <c r="A416" s="265">
        <f t="shared" si="44"/>
        <v>43842</v>
      </c>
      <c r="B416" s="265" t="str">
        <f t="shared" si="49"/>
        <v>12 Jan 2020</v>
      </c>
      <c r="C416" s="267">
        <f t="shared" si="50"/>
        <v>2</v>
      </c>
      <c r="D416">
        <f>MATCH(A416,GCalXMLT[daydate],0)</f>
        <v>415</v>
      </c>
      <c r="E416">
        <f>VALUE("1" &amp; Masacod(INDEX(GCalXMLT[gymasa],D416)) &amp; PaksaCod(INDEX(GCalXMLT[mpaksaid],D416)) &amp; TithiCod(INDEX(GCalXMLT[stithiname],D416)))</f>
        <v>111002</v>
      </c>
      <c r="F416" t="str">
        <f ca="1">INDEX(Parameters!$K$2:$K$16,MATCH(AV416,Parameters!$L$2:$L$16,0))</f>
        <v/>
      </c>
      <c r="G416">
        <f>INDEX(GCalXMLT[fastmark],$D416)</f>
        <v>0</v>
      </c>
      <c r="H416" t="str">
        <f ca="1">INDEX(Parameters!$J$2:$J$16,MATCH(AV416,Parameters!$L$2:$L$16,0))</f>
        <v/>
      </c>
      <c r="I416">
        <f>INDEX(GCalXMLT[dfestival1],$D416)</f>
        <v>0</v>
      </c>
      <c r="J416">
        <f>IF(INDEX(GCalXMLT[dfestival2],$D416)="(Fast today)",INDEX(Festivals!$R$2:$R$180,MATCH($I416,Festivals!$R$2:$R$180,0)+1),INDEX(GCalXMLT[dfestival2],$D416))</f>
        <v>0</v>
      </c>
      <c r="K416">
        <f>IF(I416="Nandotsava","(Fast till noon)",INDEX(GCalXMLT[dfestival3],$D416))</f>
        <v>0</v>
      </c>
      <c r="L416">
        <f>IF(I416="Nandotsava", INDEX(GCalXMLT[dfestival3],$D416),INDEX(GCalXMLT[dfestival4],$D416))</f>
        <v>0</v>
      </c>
      <c r="M416" t="str">
        <f>IFERROR(INDEX(Festivals!$S$2:$S$160,AP416),"")</f>
        <v/>
      </c>
      <c r="N416" t="str">
        <f>IFERROR(IF($AQ416&gt;1,INDEX(Festivals!$S$2:$S$160,$AP416+1),""),"")</f>
        <v/>
      </c>
      <c r="O416" t="str">
        <f>IFERROR(IF($AQ416&gt;2,INDEX(Festivals!$S$2:$S$160,$AP416+2),""),"")</f>
        <v/>
      </c>
      <c r="P416" t="str">
        <f>IFERROR(IF($AQ416&gt;3,INDEX(Festivals!$S$2:$S$160,$AP416+3),""),"")</f>
        <v/>
      </c>
      <c r="Q416" t="str">
        <f>IFERROR(IF($AQ416&gt;4,INDEX(Festivals!$S$2:$S$160,$AP416+4),""),"")</f>
        <v/>
      </c>
      <c r="R416" t="str">
        <f>IFERROR(IF($AQ416&gt;5,INDEX(Festivals!$S$2:$S$160,$AP416+5),""),"")</f>
        <v/>
      </c>
      <c r="S416" t="str">
        <f>IFERROR(IF($AQ416&gt;6,INDEX(Festivals!$S$2:$S$160,$AP416+6),""),"")</f>
        <v/>
      </c>
      <c r="T416">
        <f>INDEX(GCalXMLT[dcaturmasya1],$D416)</f>
        <v>0</v>
      </c>
      <c r="U416">
        <f>INDEX(GCalXMLT[dcaturmasya2],$D416)</f>
        <v>0</v>
      </c>
      <c r="V416" t="str">
        <f>INDEX(GCalXMLT[sankrantirasi],$D416) &amp; " " &amp; INDEX(GCalXMLT[sankrantitime],$D416)</f>
        <v xml:space="preserve"> </v>
      </c>
      <c r="W416" t="str">
        <f ca="1">IFERROR(INDEX('Holidays Calc'!$K$2:$K$233,AR416),"")</f>
        <v/>
      </c>
      <c r="X416" t="str">
        <f ca="1">IF(AR416="","",IF(INDEX('Holidays Calc'!$I$2:$I$233,AR416+1)=A416,INDEX('Holidays Calc'!$K$2:$K$233,AR416+1),""))</f>
        <v/>
      </c>
      <c r="Y416" t="str">
        <f ca="1">IF(AR416="","",IF(INDEX('Holidays Calc'!$I$2:$I$233,AR416+2)=A416,INDEX('Holidays Calc'!$K$2:$K$233,AR416+2),""))</f>
        <v/>
      </c>
      <c r="Z416" t="str">
        <f ca="1">IF(AR416="","",IF(INDEX('Holidays Calc'!$I$2:$I$233,AR416+3)=A416,INDEX('Holidays Calc'!$K$2:$K$2333,AR416+3),""))</f>
        <v/>
      </c>
      <c r="AA416" t="str">
        <f>IF(I416="Last day of Bhisma Pancaka","",IF(G416="*",-0.7,IF(ISBLANK(INDEX(GCalXMLT[dclass1],$D416)),"",INDEX(GCalXMLT[dclass1],$D416))))</f>
        <v/>
      </c>
      <c r="AB416" t="str">
        <f>IF(J416="First day of Bhisma Pancaka","",IF(AND(G416="*",NOT(ISERROR(SEARCH("ekadasi",J416)))),-0.7,IF(ISBLANK(INDEX(GCalXMLT[dclass2],$D416)),"",INDEX(GCalXMLT[dclass2],$D416))))</f>
        <v/>
      </c>
      <c r="AC416" t="str">
        <f>IF(I416="Nandotsava",-1,IF(ISBLANK(INDEX(GCalXMLT[dclass3],$D416)),"",INDEX(GCalXMLT[dclass3],$D416)))</f>
        <v/>
      </c>
      <c r="AD416" t="str">
        <f>IF(I416="Nandotsava",IF(ISBLANK(INDEX(GCalXMLT[dclass3],$D416)),"",INDEX(GCalXMLT[dclass3],$D416)),IF(ISBLANK(INDEX(GCalXMLT[dclass4],$D416)),"",INDEX(GCalXMLT[dclass4],$D416)))</f>
        <v/>
      </c>
      <c r="AE416" t="str">
        <f>IFERROR(INDEX(Festivals!$V$2:$V$160,AP416),"")</f>
        <v/>
      </c>
      <c r="AF416" t="str">
        <f>IFERROR(IF($AQ416&gt;1,INDEX(Festivals!$V$2:$V$160,$AP416+1),""),"")</f>
        <v/>
      </c>
      <c r="AG416" t="str">
        <f>IFERROR(IF($AQ416&gt;2,INDEX(Festivals!$V$2:$V$160,$AP416+2),""),"")</f>
        <v/>
      </c>
      <c r="AH416" t="str">
        <f>IFERROR(IF($AQ416&gt;3,INDEX(Festivals!$V$2:$V$160,$AP416+3),""),"")</f>
        <v/>
      </c>
      <c r="AI416" t="str">
        <f>IFERROR(IF($AQ416&gt;4,INDEX(Festivals!$V$2:$V$160,$AP416+4),""),"")</f>
        <v/>
      </c>
      <c r="AJ416" t="str">
        <f>IFERROR(IF($AQ416&gt;5,INDEX(Festivals!$V$2:$V$160,$AP416+5),""),"")</f>
        <v/>
      </c>
      <c r="AK416" t="str">
        <f>IFERROR(IF($AQ416&gt;6,INDEX(Festivals!$V$2:$V$160,$AP416+6),""),"")</f>
        <v/>
      </c>
      <c r="AL416" t="str">
        <f ca="1">IFERROR(INDEX('Holidays Calc'!$J$2:$J$233,MATCH(A416,'Holidays Calc'!$I$2:$I$233,0)),"")</f>
        <v/>
      </c>
      <c r="AM416" t="str">
        <f ca="1">IF(AR416="","",IF(INDEX('Holidays Calc'!$I$2:$I$233,AR416+1)=A416,INDEX('Holidays Calc'!$J$2:$J$233,AR416+1),""))</f>
        <v/>
      </c>
      <c r="AN416" t="str">
        <f ca="1">IF(AR416="","",IF(INDEX('Holidays Calc'!$I$2:$I$233,AR416+2)=A416,INDEX('Holidays Calc'!$J$2:$J$233,AR416+2),""))</f>
        <v/>
      </c>
      <c r="AO416" t="str">
        <f ca="1">IF(AR416="","",IF(INDEX('Holidays Calc'!$I$2:$I$233,AR416+3)=A416,INDEX('Holidays Calc'!$J$2:$J$233,AR416+3),""))</f>
        <v/>
      </c>
      <c r="AP416" t="str">
        <f>IFERROR(IF($E416=E415,"",MATCH($E416,Festivals!$H$2:$H$160,0)),"")</f>
        <v/>
      </c>
      <c r="AQ416" t="str">
        <f>IF(AP416="","",COUNTIF(Festivals!$H$2:$H$160,$E416))</f>
        <v/>
      </c>
      <c r="AR416" t="str">
        <f ca="1">IFERROR(MATCH(A416,'Holidays Calc'!$I$2:$I$233,0),"")</f>
        <v/>
      </c>
      <c r="AS416" t="str">
        <f t="shared" si="46"/>
        <v/>
      </c>
      <c r="AT416" t="str">
        <f t="shared" si="45"/>
        <v/>
      </c>
      <c r="AU416" t="str">
        <f t="shared" ca="1" si="47"/>
        <v/>
      </c>
      <c r="AV416" t="str">
        <f t="shared" ca="1" si="48"/>
        <v/>
      </c>
    </row>
    <row r="417" spans="1:48" x14ac:dyDescent="0.25">
      <c r="A417" s="265">
        <f t="shared" si="44"/>
        <v>43843</v>
      </c>
      <c r="B417" s="265" t="str">
        <f t="shared" si="49"/>
        <v>13 Jan 2020</v>
      </c>
      <c r="C417" s="267">
        <f t="shared" si="50"/>
        <v>3</v>
      </c>
      <c r="D417">
        <f>MATCH(A417,GCalXMLT[daydate],0)</f>
        <v>416</v>
      </c>
      <c r="E417">
        <f>VALUE("1" &amp; Masacod(INDEX(GCalXMLT[gymasa],D417)) &amp; PaksaCod(INDEX(GCalXMLT[mpaksaid],D417)) &amp; TithiCod(INDEX(GCalXMLT[stithiname],D417)))</f>
        <v>111003</v>
      </c>
      <c r="F417" t="str">
        <f ca="1">INDEX(Parameters!$K$2:$K$16,MATCH(AV417,Parameters!$L$2:$L$16,0))</f>
        <v/>
      </c>
      <c r="G417">
        <f>INDEX(GCalXMLT[fastmark],$D417)</f>
        <v>0</v>
      </c>
      <c r="H417" t="str">
        <f ca="1">INDEX(Parameters!$J$2:$J$16,MATCH(AV417,Parameters!$L$2:$L$16,0))</f>
        <v/>
      </c>
      <c r="I417">
        <f>INDEX(GCalXMLT[dfestival1],$D417)</f>
        <v>0</v>
      </c>
      <c r="J417">
        <f>IF(INDEX(GCalXMLT[dfestival2],$D417)="(Fast today)",INDEX(Festivals!$R$2:$R$180,MATCH($I417,Festivals!$R$2:$R$180,0)+1),INDEX(GCalXMLT[dfestival2],$D417))</f>
        <v>0</v>
      </c>
      <c r="K417">
        <f>IF(I417="Nandotsava","(Fast till noon)",INDEX(GCalXMLT[dfestival3],$D417))</f>
        <v>0</v>
      </c>
      <c r="L417">
        <f>IF(I417="Nandotsava", INDEX(GCalXMLT[dfestival3],$D417),INDEX(GCalXMLT[dfestival4],$D417))</f>
        <v>0</v>
      </c>
      <c r="M417" t="str">
        <f>IFERROR(INDEX(Festivals!$S$2:$S$160,AP417),"")</f>
        <v/>
      </c>
      <c r="N417" t="str">
        <f>IFERROR(IF($AQ417&gt;1,INDEX(Festivals!$S$2:$S$160,$AP417+1),""),"")</f>
        <v/>
      </c>
      <c r="O417" t="str">
        <f>IFERROR(IF($AQ417&gt;2,INDEX(Festivals!$S$2:$S$160,$AP417+2),""),"")</f>
        <v/>
      </c>
      <c r="P417" t="str">
        <f>IFERROR(IF($AQ417&gt;3,INDEX(Festivals!$S$2:$S$160,$AP417+3),""),"")</f>
        <v/>
      </c>
      <c r="Q417" t="str">
        <f>IFERROR(IF($AQ417&gt;4,INDEX(Festivals!$S$2:$S$160,$AP417+4),""),"")</f>
        <v/>
      </c>
      <c r="R417" t="str">
        <f>IFERROR(IF($AQ417&gt;5,INDEX(Festivals!$S$2:$S$160,$AP417+5),""),"")</f>
        <v/>
      </c>
      <c r="S417" t="str">
        <f>IFERROR(IF($AQ417&gt;6,INDEX(Festivals!$S$2:$S$160,$AP417+6),""),"")</f>
        <v/>
      </c>
      <c r="T417">
        <f>INDEX(GCalXMLT[dcaturmasya1],$D417)</f>
        <v>0</v>
      </c>
      <c r="U417">
        <f>INDEX(GCalXMLT[dcaturmasya2],$D417)</f>
        <v>0</v>
      </c>
      <c r="V417" t="str">
        <f>INDEX(GCalXMLT[sankrantirasi],$D417) &amp; " " &amp; INDEX(GCalXMLT[sankrantitime],$D417)</f>
        <v xml:space="preserve"> </v>
      </c>
      <c r="W417" t="str">
        <f ca="1">IFERROR(INDEX('Holidays Calc'!$K$2:$K$233,AR417),"")</f>
        <v/>
      </c>
      <c r="X417" t="str">
        <f ca="1">IF(AR417="","",IF(INDEX('Holidays Calc'!$I$2:$I$233,AR417+1)=A417,INDEX('Holidays Calc'!$K$2:$K$233,AR417+1),""))</f>
        <v/>
      </c>
      <c r="Y417" t="str">
        <f ca="1">IF(AR417="","",IF(INDEX('Holidays Calc'!$I$2:$I$233,AR417+2)=A417,INDEX('Holidays Calc'!$K$2:$K$233,AR417+2),""))</f>
        <v/>
      </c>
      <c r="Z417" t="str">
        <f ca="1">IF(AR417="","",IF(INDEX('Holidays Calc'!$I$2:$I$233,AR417+3)=A417,INDEX('Holidays Calc'!$K$2:$K$2333,AR417+3),""))</f>
        <v/>
      </c>
      <c r="AA417" t="str">
        <f>IF(I417="Last day of Bhisma Pancaka","",IF(G417="*",-0.7,IF(ISBLANK(INDEX(GCalXMLT[dclass1],$D417)),"",INDEX(GCalXMLT[dclass1],$D417))))</f>
        <v/>
      </c>
      <c r="AB417" t="str">
        <f>IF(J417="First day of Bhisma Pancaka","",IF(AND(G417="*",NOT(ISERROR(SEARCH("ekadasi",J417)))),-0.7,IF(ISBLANK(INDEX(GCalXMLT[dclass2],$D417)),"",INDEX(GCalXMLT[dclass2],$D417))))</f>
        <v/>
      </c>
      <c r="AC417" t="str">
        <f>IF(I417="Nandotsava",-1,IF(ISBLANK(INDEX(GCalXMLT[dclass3],$D417)),"",INDEX(GCalXMLT[dclass3],$D417)))</f>
        <v/>
      </c>
      <c r="AD417" t="str">
        <f>IF(I417="Nandotsava",IF(ISBLANK(INDEX(GCalXMLT[dclass3],$D417)),"",INDEX(GCalXMLT[dclass3],$D417)),IF(ISBLANK(INDEX(GCalXMLT[dclass4],$D417)),"",INDEX(GCalXMLT[dclass4],$D417)))</f>
        <v/>
      </c>
      <c r="AE417" t="str">
        <f>IFERROR(INDEX(Festivals!$V$2:$V$160,AP417),"")</f>
        <v/>
      </c>
      <c r="AF417" t="str">
        <f>IFERROR(IF($AQ417&gt;1,INDEX(Festivals!$V$2:$V$160,$AP417+1),""),"")</f>
        <v/>
      </c>
      <c r="AG417" t="str">
        <f>IFERROR(IF($AQ417&gt;2,INDEX(Festivals!$V$2:$V$160,$AP417+2),""),"")</f>
        <v/>
      </c>
      <c r="AH417" t="str">
        <f>IFERROR(IF($AQ417&gt;3,INDEX(Festivals!$V$2:$V$160,$AP417+3),""),"")</f>
        <v/>
      </c>
      <c r="AI417" t="str">
        <f>IFERROR(IF($AQ417&gt;4,INDEX(Festivals!$V$2:$V$160,$AP417+4),""),"")</f>
        <v/>
      </c>
      <c r="AJ417" t="str">
        <f>IFERROR(IF($AQ417&gt;5,INDEX(Festivals!$V$2:$V$160,$AP417+5),""),"")</f>
        <v/>
      </c>
      <c r="AK417" t="str">
        <f>IFERROR(IF($AQ417&gt;6,INDEX(Festivals!$V$2:$V$160,$AP417+6),""),"")</f>
        <v/>
      </c>
      <c r="AL417" t="str">
        <f ca="1">IFERROR(INDEX('Holidays Calc'!$J$2:$J$233,MATCH(A417,'Holidays Calc'!$I$2:$I$233,0)),"")</f>
        <v/>
      </c>
      <c r="AM417" t="str">
        <f ca="1">IF(AR417="","",IF(INDEX('Holidays Calc'!$I$2:$I$233,AR417+1)=A417,INDEX('Holidays Calc'!$J$2:$J$233,AR417+1),""))</f>
        <v/>
      </c>
      <c r="AN417" t="str">
        <f ca="1">IF(AR417="","",IF(INDEX('Holidays Calc'!$I$2:$I$233,AR417+2)=A417,INDEX('Holidays Calc'!$J$2:$J$233,AR417+2),""))</f>
        <v/>
      </c>
      <c r="AO417" t="str">
        <f ca="1">IF(AR417="","",IF(INDEX('Holidays Calc'!$I$2:$I$233,AR417+3)=A417,INDEX('Holidays Calc'!$J$2:$J$233,AR417+3),""))</f>
        <v/>
      </c>
      <c r="AP417" t="str">
        <f>IFERROR(IF($E417=E416,"",MATCH($E417,Festivals!$H$2:$H$160,0)),"")</f>
        <v/>
      </c>
      <c r="AQ417" t="str">
        <f>IF(AP417="","",COUNTIF(Festivals!$H$2:$H$160,$E417))</f>
        <v/>
      </c>
      <c r="AR417" t="str">
        <f ca="1">IFERROR(MATCH(A417,'Holidays Calc'!$I$2:$I$233,0),"")</f>
        <v/>
      </c>
      <c r="AS417" t="str">
        <f t="shared" si="46"/>
        <v/>
      </c>
      <c r="AT417" t="str">
        <f t="shared" si="45"/>
        <v/>
      </c>
      <c r="AU417" t="str">
        <f t="shared" ca="1" si="47"/>
        <v/>
      </c>
      <c r="AV417" t="str">
        <f t="shared" ca="1" si="48"/>
        <v/>
      </c>
    </row>
    <row r="418" spans="1:48" x14ac:dyDescent="0.25">
      <c r="A418" s="265">
        <f t="shared" si="44"/>
        <v>43844</v>
      </c>
      <c r="B418" s="265" t="str">
        <f t="shared" si="49"/>
        <v>14 Jan 2020</v>
      </c>
      <c r="C418" s="267">
        <f t="shared" si="50"/>
        <v>3</v>
      </c>
      <c r="D418">
        <f>MATCH(A418,GCalXMLT[daydate],0)</f>
        <v>417</v>
      </c>
      <c r="E418">
        <f>VALUE("1" &amp; Masacod(INDEX(GCalXMLT[gymasa],D418)) &amp; PaksaCod(INDEX(GCalXMLT[mpaksaid],D418)) &amp; TithiCod(INDEX(GCalXMLT[stithiname],D418)))</f>
        <v>111004</v>
      </c>
      <c r="F418" t="str">
        <f ca="1">INDEX(Parameters!$K$2:$K$16,MATCH(AV418,Parameters!$L$2:$L$16,0))</f>
        <v/>
      </c>
      <c r="G418">
        <f>INDEX(GCalXMLT[fastmark],$D418)</f>
        <v>0</v>
      </c>
      <c r="H418" t="str">
        <f ca="1">INDEX(Parameters!$J$2:$J$16,MATCH(AV418,Parameters!$L$2:$L$16,0))</f>
        <v/>
      </c>
      <c r="I418">
        <f>INDEX(GCalXMLT[dfestival1],$D418)</f>
        <v>0</v>
      </c>
      <c r="J418">
        <f>IF(INDEX(GCalXMLT[dfestival2],$D418)="(Fast today)",INDEX(Festivals!$R$2:$R$180,MATCH($I418,Festivals!$R$2:$R$180,0)+1),INDEX(GCalXMLT[dfestival2],$D418))</f>
        <v>0</v>
      </c>
      <c r="K418">
        <f>IF(I418="Nandotsava","(Fast till noon)",INDEX(GCalXMLT[dfestival3],$D418))</f>
        <v>0</v>
      </c>
      <c r="L418">
        <f>IF(I418="Nandotsava", INDEX(GCalXMLT[dfestival3],$D418),INDEX(GCalXMLT[dfestival4],$D418))</f>
        <v>0</v>
      </c>
      <c r="M418" t="str">
        <f>IFERROR(INDEX(Festivals!$S$2:$S$160,AP418),"")</f>
        <v/>
      </c>
      <c r="N418" t="str">
        <f>IFERROR(IF($AQ418&gt;1,INDEX(Festivals!$S$2:$S$160,$AP418+1),""),"")</f>
        <v/>
      </c>
      <c r="O418" t="str">
        <f>IFERROR(IF($AQ418&gt;2,INDEX(Festivals!$S$2:$S$160,$AP418+2),""),"")</f>
        <v/>
      </c>
      <c r="P418" t="str">
        <f>IFERROR(IF($AQ418&gt;3,INDEX(Festivals!$S$2:$S$160,$AP418+3),""),"")</f>
        <v/>
      </c>
      <c r="Q418" t="str">
        <f>IFERROR(IF($AQ418&gt;4,INDEX(Festivals!$S$2:$S$160,$AP418+4),""),"")</f>
        <v/>
      </c>
      <c r="R418" t="str">
        <f>IFERROR(IF($AQ418&gt;5,INDEX(Festivals!$S$2:$S$160,$AP418+5),""),"")</f>
        <v/>
      </c>
      <c r="S418" t="str">
        <f>IFERROR(IF($AQ418&gt;6,INDEX(Festivals!$S$2:$S$160,$AP418+6),""),"")</f>
        <v/>
      </c>
      <c r="T418">
        <f>INDEX(GCalXMLT[dcaturmasya1],$D418)</f>
        <v>0</v>
      </c>
      <c r="U418">
        <f>INDEX(GCalXMLT[dcaturmasya2],$D418)</f>
        <v>0</v>
      </c>
      <c r="V418" t="str">
        <f>INDEX(GCalXMLT[sankrantirasi],$D418) &amp; " " &amp; INDEX(GCalXMLT[sankrantitime],$D418)</f>
        <v xml:space="preserve"> </v>
      </c>
      <c r="W418" t="str">
        <f ca="1">IFERROR(INDEX('Holidays Calc'!$K$2:$K$233,AR418),"")</f>
        <v/>
      </c>
      <c r="X418" t="str">
        <f ca="1">IF(AR418="","",IF(INDEX('Holidays Calc'!$I$2:$I$233,AR418+1)=A418,INDEX('Holidays Calc'!$K$2:$K$233,AR418+1),""))</f>
        <v/>
      </c>
      <c r="Y418" t="str">
        <f ca="1">IF(AR418="","",IF(INDEX('Holidays Calc'!$I$2:$I$233,AR418+2)=A418,INDEX('Holidays Calc'!$K$2:$K$233,AR418+2),""))</f>
        <v/>
      </c>
      <c r="Z418" t="str">
        <f ca="1">IF(AR418="","",IF(INDEX('Holidays Calc'!$I$2:$I$233,AR418+3)=A418,INDEX('Holidays Calc'!$K$2:$K$2333,AR418+3),""))</f>
        <v/>
      </c>
      <c r="AA418" t="str">
        <f>IF(I418="Last day of Bhisma Pancaka","",IF(G418="*",-0.7,IF(ISBLANK(INDEX(GCalXMLT[dclass1],$D418)),"",INDEX(GCalXMLT[dclass1],$D418))))</f>
        <v/>
      </c>
      <c r="AB418" t="str">
        <f>IF(J418="First day of Bhisma Pancaka","",IF(AND(G418="*",NOT(ISERROR(SEARCH("ekadasi",J418)))),-0.7,IF(ISBLANK(INDEX(GCalXMLT[dclass2],$D418)),"",INDEX(GCalXMLT[dclass2],$D418))))</f>
        <v/>
      </c>
      <c r="AC418" t="str">
        <f>IF(I418="Nandotsava",-1,IF(ISBLANK(INDEX(GCalXMLT[dclass3],$D418)),"",INDEX(GCalXMLT[dclass3],$D418)))</f>
        <v/>
      </c>
      <c r="AD418" t="str">
        <f>IF(I418="Nandotsava",IF(ISBLANK(INDEX(GCalXMLT[dclass3],$D418)),"",INDEX(GCalXMLT[dclass3],$D418)),IF(ISBLANK(INDEX(GCalXMLT[dclass4],$D418)),"",INDEX(GCalXMLT[dclass4],$D418)))</f>
        <v/>
      </c>
      <c r="AE418" t="str">
        <f>IFERROR(INDEX(Festivals!$V$2:$V$160,AP418),"")</f>
        <v/>
      </c>
      <c r="AF418" t="str">
        <f>IFERROR(IF($AQ418&gt;1,INDEX(Festivals!$V$2:$V$160,$AP418+1),""),"")</f>
        <v/>
      </c>
      <c r="AG418" t="str">
        <f>IFERROR(IF($AQ418&gt;2,INDEX(Festivals!$V$2:$V$160,$AP418+2),""),"")</f>
        <v/>
      </c>
      <c r="AH418" t="str">
        <f>IFERROR(IF($AQ418&gt;3,INDEX(Festivals!$V$2:$V$160,$AP418+3),""),"")</f>
        <v/>
      </c>
      <c r="AI418" t="str">
        <f>IFERROR(IF($AQ418&gt;4,INDEX(Festivals!$V$2:$V$160,$AP418+4),""),"")</f>
        <v/>
      </c>
      <c r="AJ418" t="str">
        <f>IFERROR(IF($AQ418&gt;5,INDEX(Festivals!$V$2:$V$160,$AP418+5),""),"")</f>
        <v/>
      </c>
      <c r="AK418" t="str">
        <f>IFERROR(IF($AQ418&gt;6,INDEX(Festivals!$V$2:$V$160,$AP418+6),""),"")</f>
        <v/>
      </c>
      <c r="AL418" t="str">
        <f ca="1">IFERROR(INDEX('Holidays Calc'!$J$2:$J$233,MATCH(A418,'Holidays Calc'!$I$2:$I$233,0)),"")</f>
        <v/>
      </c>
      <c r="AM418" t="str">
        <f ca="1">IF(AR418="","",IF(INDEX('Holidays Calc'!$I$2:$I$233,AR418+1)=A418,INDEX('Holidays Calc'!$J$2:$J$233,AR418+1),""))</f>
        <v/>
      </c>
      <c r="AN418" t="str">
        <f ca="1">IF(AR418="","",IF(INDEX('Holidays Calc'!$I$2:$I$233,AR418+2)=A418,INDEX('Holidays Calc'!$J$2:$J$233,AR418+2),""))</f>
        <v/>
      </c>
      <c r="AO418" t="str">
        <f ca="1">IF(AR418="","",IF(INDEX('Holidays Calc'!$I$2:$I$233,AR418+3)=A418,INDEX('Holidays Calc'!$J$2:$J$233,AR418+3),""))</f>
        <v/>
      </c>
      <c r="AP418" t="str">
        <f>IFERROR(IF($E418=E417,"",MATCH($E418,Festivals!$H$2:$H$160,0)),"")</f>
        <v/>
      </c>
      <c r="AQ418" t="str">
        <f>IF(AP418="","",COUNTIF(Festivals!$H$2:$H$160,$E418))</f>
        <v/>
      </c>
      <c r="AR418" t="str">
        <f ca="1">IFERROR(MATCH(A418,'Holidays Calc'!$I$2:$I$233,0),"")</f>
        <v/>
      </c>
      <c r="AS418" t="str">
        <f t="shared" si="46"/>
        <v/>
      </c>
      <c r="AT418" t="str">
        <f t="shared" si="45"/>
        <v/>
      </c>
      <c r="AU418" t="str">
        <f t="shared" ca="1" si="47"/>
        <v/>
      </c>
      <c r="AV418" t="str">
        <f t="shared" ca="1" si="48"/>
        <v/>
      </c>
    </row>
    <row r="419" spans="1:48" x14ac:dyDescent="0.25">
      <c r="A419" s="265">
        <f t="shared" si="44"/>
        <v>43845</v>
      </c>
      <c r="B419" s="265" t="str">
        <f t="shared" si="49"/>
        <v>15 Jan 2020</v>
      </c>
      <c r="C419" s="267">
        <f t="shared" si="50"/>
        <v>3</v>
      </c>
      <c r="D419">
        <f>MATCH(A419,GCalXMLT[daydate],0)</f>
        <v>418</v>
      </c>
      <c r="E419">
        <f>VALUE("1" &amp; Masacod(INDEX(GCalXMLT[gymasa],D419)) &amp; PaksaCod(INDEX(GCalXMLT[mpaksaid],D419)) &amp; TithiCod(INDEX(GCalXMLT[stithiname],D419)))</f>
        <v>111006</v>
      </c>
      <c r="F419" t="str">
        <f ca="1">INDEX(Parameters!$K$2:$K$16,MATCH(AV419,Parameters!$L$2:$L$16,0))</f>
        <v>C</v>
      </c>
      <c r="G419">
        <f>INDEX(GCalXMLT[fastmark],$D419)</f>
        <v>0</v>
      </c>
      <c r="H419" t="str">
        <f ca="1">INDEX(Parameters!$J$2:$J$16,MATCH(AV419,Parameters!$L$2:$L$16,0))</f>
        <v/>
      </c>
      <c r="I419" t="str">
        <f>INDEX(GCalXMLT[dfestival1],$D419)</f>
        <v>Ganga Sagara Mela</v>
      </c>
      <c r="J419">
        <f>IF(INDEX(GCalXMLT[dfestival2],$D419)="(Fast today)",INDEX(Festivals!$R$2:$R$180,MATCH($I419,Festivals!$R$2:$R$180,0)+1),INDEX(GCalXMLT[dfestival2],$D419))</f>
        <v>0</v>
      </c>
      <c r="K419">
        <f>IF(I419="Nandotsava","(Fast till noon)",INDEX(GCalXMLT[dfestival3],$D419))</f>
        <v>0</v>
      </c>
      <c r="L419">
        <f>IF(I419="Nandotsava", INDEX(GCalXMLT[dfestival3],$D419),INDEX(GCalXMLT[dfestival4],$D419))</f>
        <v>0</v>
      </c>
      <c r="M419" t="str">
        <f>IFERROR(INDEX(Festivals!$S$2:$S$160,AP419),"")</f>
        <v>Sri Jayadeva Gosvami - Disappearance</v>
      </c>
      <c r="N419" t="str">
        <f>IFERROR(IF($AQ419&gt;1,INDEX(Festivals!$S$2:$S$160,$AP419+1),""),"")</f>
        <v/>
      </c>
      <c r="O419" t="str">
        <f>IFERROR(IF($AQ419&gt;2,INDEX(Festivals!$S$2:$S$160,$AP419+2),""),"")</f>
        <v/>
      </c>
      <c r="P419" t="str">
        <f>IFERROR(IF($AQ419&gt;3,INDEX(Festivals!$S$2:$S$160,$AP419+3),""),"")</f>
        <v/>
      </c>
      <c r="Q419" t="str">
        <f>IFERROR(IF($AQ419&gt;4,INDEX(Festivals!$S$2:$S$160,$AP419+4),""),"")</f>
        <v/>
      </c>
      <c r="R419" t="str">
        <f>IFERROR(IF($AQ419&gt;5,INDEX(Festivals!$S$2:$S$160,$AP419+5),""),"")</f>
        <v/>
      </c>
      <c r="S419" t="str">
        <f>IFERROR(IF($AQ419&gt;6,INDEX(Festivals!$S$2:$S$160,$AP419+6),""),"")</f>
        <v/>
      </c>
      <c r="T419">
        <f>INDEX(GCalXMLT[dcaturmasya1],$D419)</f>
        <v>0</v>
      </c>
      <c r="U419">
        <f>INDEX(GCalXMLT[dcaturmasya2],$D419)</f>
        <v>0</v>
      </c>
      <c r="V419" t="str">
        <f>INDEX(GCalXMLT[sankrantirasi],$D419) &amp; " " &amp; INDEX(GCalXMLT[sankrantitime],$D419)</f>
        <v>Makara 0,727615740740741</v>
      </c>
      <c r="W419" t="str">
        <f ca="1">IFERROR(INDEX('Holidays Calc'!$K$2:$K$233,AR419),"")</f>
        <v/>
      </c>
      <c r="X419" t="str">
        <f ca="1">IF(AR419="","",IF(INDEX('Holidays Calc'!$I$2:$I$233,AR419+1)=A419,INDEX('Holidays Calc'!$K$2:$K$233,AR419+1),""))</f>
        <v/>
      </c>
      <c r="Y419" t="str">
        <f ca="1">IF(AR419="","",IF(INDEX('Holidays Calc'!$I$2:$I$233,AR419+2)=A419,INDEX('Holidays Calc'!$K$2:$K$233,AR419+2),""))</f>
        <v/>
      </c>
      <c r="Z419" t="str">
        <f ca="1">IF(AR419="","",IF(INDEX('Holidays Calc'!$I$2:$I$233,AR419+3)=A419,INDEX('Holidays Calc'!$K$2:$K$2333,AR419+3),""))</f>
        <v/>
      </c>
      <c r="AA419">
        <f>IF(I419="Last day of Bhisma Pancaka","",IF(G419="*",-0.7,IF(ISBLANK(INDEX(GCalXMLT[dclass1],$D419)),"",INDEX(GCalXMLT[dclass1],$D419))))</f>
        <v>5</v>
      </c>
      <c r="AB419" t="str">
        <f>IF(J419="First day of Bhisma Pancaka","",IF(AND(G419="*",NOT(ISERROR(SEARCH("ekadasi",J419)))),-0.7,IF(ISBLANK(INDEX(GCalXMLT[dclass2],$D419)),"",INDEX(GCalXMLT[dclass2],$D419))))</f>
        <v/>
      </c>
      <c r="AC419" t="str">
        <f>IF(I419="Nandotsava",-1,IF(ISBLANK(INDEX(GCalXMLT[dclass3],$D419)),"",INDEX(GCalXMLT[dclass3],$D419)))</f>
        <v/>
      </c>
      <c r="AD419" t="str">
        <f>IF(I419="Nandotsava",IF(ISBLANK(INDEX(GCalXMLT[dclass3],$D419)),"",INDEX(GCalXMLT[dclass3],$D419)),IF(ISBLANK(INDEX(GCalXMLT[dclass4],$D419)),"",INDEX(GCalXMLT[dclass4],$D419)))</f>
        <v/>
      </c>
      <c r="AE419">
        <f>IFERROR(INDEX(Festivals!$V$2:$V$160,AP419),"")</f>
        <v>3</v>
      </c>
      <c r="AF419" t="str">
        <f>IFERROR(IF($AQ419&gt;1,INDEX(Festivals!$V$2:$V$160,$AP419+1),""),"")</f>
        <v/>
      </c>
      <c r="AG419" t="str">
        <f>IFERROR(IF($AQ419&gt;2,INDEX(Festivals!$V$2:$V$160,$AP419+2),""),"")</f>
        <v/>
      </c>
      <c r="AH419" t="str">
        <f>IFERROR(IF($AQ419&gt;3,INDEX(Festivals!$V$2:$V$160,$AP419+3),""),"")</f>
        <v/>
      </c>
      <c r="AI419" t="str">
        <f>IFERROR(IF($AQ419&gt;4,INDEX(Festivals!$V$2:$V$160,$AP419+4),""),"")</f>
        <v/>
      </c>
      <c r="AJ419" t="str">
        <f>IFERROR(IF($AQ419&gt;5,INDEX(Festivals!$V$2:$V$160,$AP419+5),""),"")</f>
        <v/>
      </c>
      <c r="AK419" t="str">
        <f>IFERROR(IF($AQ419&gt;6,INDEX(Festivals!$V$2:$V$160,$AP419+6),""),"")</f>
        <v/>
      </c>
      <c r="AL419" t="str">
        <f ca="1">IFERROR(INDEX('Holidays Calc'!$J$2:$J$233,MATCH(A419,'Holidays Calc'!$I$2:$I$233,0)),"")</f>
        <v/>
      </c>
      <c r="AM419" t="str">
        <f ca="1">IF(AR419="","",IF(INDEX('Holidays Calc'!$I$2:$I$233,AR419+1)=A419,INDEX('Holidays Calc'!$J$2:$J$233,AR419+1),""))</f>
        <v/>
      </c>
      <c r="AN419" t="str">
        <f ca="1">IF(AR419="","",IF(INDEX('Holidays Calc'!$I$2:$I$233,AR419+2)=A419,INDEX('Holidays Calc'!$J$2:$J$233,AR419+2),""))</f>
        <v/>
      </c>
      <c r="AO419" t="str">
        <f ca="1">IF(AR419="","",IF(INDEX('Holidays Calc'!$I$2:$I$233,AR419+3)=A419,INDEX('Holidays Calc'!$J$2:$J$233,AR419+3),""))</f>
        <v/>
      </c>
      <c r="AP419">
        <f>IFERROR(IF($E419=E418,"",MATCH($E419,Festivals!$H$2:$H$160,0)),"")</f>
        <v>127</v>
      </c>
      <c r="AQ419">
        <f>IF(AP419="","",COUNTIF(Festivals!$H$2:$H$160,$E419))</f>
        <v>1</v>
      </c>
      <c r="AR419" t="str">
        <f ca="1">IFERROR(MATCH(A419,'Holidays Calc'!$I$2:$I$233,0),"")</f>
        <v/>
      </c>
      <c r="AS419">
        <f t="shared" si="46"/>
        <v>3</v>
      </c>
      <c r="AT419">
        <f t="shared" si="45"/>
        <v>3</v>
      </c>
      <c r="AU419" t="str">
        <f t="shared" ca="1" si="47"/>
        <v/>
      </c>
      <c r="AV419">
        <f t="shared" ca="1" si="48"/>
        <v>3</v>
      </c>
    </row>
    <row r="420" spans="1:48" x14ac:dyDescent="0.25">
      <c r="A420" s="265">
        <f t="shared" si="44"/>
        <v>43846</v>
      </c>
      <c r="B420" s="265" t="str">
        <f t="shared" si="49"/>
        <v>16 Jan 2020</v>
      </c>
      <c r="C420" s="267">
        <f t="shared" si="50"/>
        <v>3</v>
      </c>
      <c r="D420">
        <f>MATCH(A420,GCalXMLT[daydate],0)</f>
        <v>419</v>
      </c>
      <c r="E420">
        <f>VALUE("1" &amp; Masacod(INDEX(GCalXMLT[gymasa],D420)) &amp; PaksaCod(INDEX(GCalXMLT[mpaksaid],D420)) &amp; TithiCod(INDEX(GCalXMLT[stithiname],D420)))</f>
        <v>111007</v>
      </c>
      <c r="F420" t="str">
        <f ca="1">INDEX(Parameters!$K$2:$K$16,MATCH(AV420,Parameters!$L$2:$L$16,0))</f>
        <v>C</v>
      </c>
      <c r="G420">
        <f>INDEX(GCalXMLT[fastmark],$D420)</f>
        <v>0</v>
      </c>
      <c r="H420" t="str">
        <f ca="1">INDEX(Parameters!$J$2:$J$16,MATCH(AV420,Parameters!$L$2:$L$16,0))</f>
        <v/>
      </c>
      <c r="I420">
        <f>INDEX(GCalXMLT[dfestival1],$D420)</f>
        <v>0</v>
      </c>
      <c r="J420">
        <f>IF(INDEX(GCalXMLT[dfestival2],$D420)="(Fast today)",INDEX(Festivals!$R$2:$R$180,MATCH($I420,Festivals!$R$2:$R$180,0)+1),INDEX(GCalXMLT[dfestival2],$D420))</f>
        <v>0</v>
      </c>
      <c r="K420">
        <f>IF(I420="Nandotsava","(Fast till noon)",INDEX(GCalXMLT[dfestival3],$D420))</f>
        <v>0</v>
      </c>
      <c r="L420">
        <f>IF(I420="Nandotsava", INDEX(GCalXMLT[dfestival3],$D420),INDEX(GCalXMLT[dfestival4],$D420))</f>
        <v>0</v>
      </c>
      <c r="M420" t="str">
        <f>IFERROR(INDEX(Festivals!$S$2:$S$160,AP420),"")</f>
        <v>Sri Locana Dasa Thakura - Disappearance</v>
      </c>
      <c r="N420" t="str">
        <f>IFERROR(IF($AQ420&gt;1,INDEX(Festivals!$S$2:$S$160,$AP420+1),""),"")</f>
        <v/>
      </c>
      <c r="O420" t="str">
        <f>IFERROR(IF($AQ420&gt;2,INDEX(Festivals!$S$2:$S$160,$AP420+2),""),"")</f>
        <v/>
      </c>
      <c r="P420" t="str">
        <f>IFERROR(IF($AQ420&gt;3,INDEX(Festivals!$S$2:$S$160,$AP420+3),""),"")</f>
        <v/>
      </c>
      <c r="Q420" t="str">
        <f>IFERROR(IF($AQ420&gt;4,INDEX(Festivals!$S$2:$S$160,$AP420+4),""),"")</f>
        <v/>
      </c>
      <c r="R420" t="str">
        <f>IFERROR(IF($AQ420&gt;5,INDEX(Festivals!$S$2:$S$160,$AP420+5),""),"")</f>
        <v/>
      </c>
      <c r="S420" t="str">
        <f>IFERROR(IF($AQ420&gt;6,INDEX(Festivals!$S$2:$S$160,$AP420+6),""),"")</f>
        <v/>
      </c>
      <c r="T420">
        <f>INDEX(GCalXMLT[dcaturmasya1],$D420)</f>
        <v>0</v>
      </c>
      <c r="U420">
        <f>INDEX(GCalXMLT[dcaturmasya2],$D420)</f>
        <v>0</v>
      </c>
      <c r="V420" t="str">
        <f>INDEX(GCalXMLT[sankrantirasi],$D420) &amp; " " &amp; INDEX(GCalXMLT[sankrantitime],$D420)</f>
        <v xml:space="preserve"> </v>
      </c>
      <c r="W420" t="str">
        <f ca="1">IFERROR(INDEX('Holidays Calc'!$K$2:$K$233,AR420),"")</f>
        <v/>
      </c>
      <c r="X420" t="str">
        <f ca="1">IF(AR420="","",IF(INDEX('Holidays Calc'!$I$2:$I$233,AR420+1)=A420,INDEX('Holidays Calc'!$K$2:$K$233,AR420+1),""))</f>
        <v/>
      </c>
      <c r="Y420" t="str">
        <f ca="1">IF(AR420="","",IF(INDEX('Holidays Calc'!$I$2:$I$233,AR420+2)=A420,INDEX('Holidays Calc'!$K$2:$K$233,AR420+2),""))</f>
        <v/>
      </c>
      <c r="Z420" t="str">
        <f ca="1">IF(AR420="","",IF(INDEX('Holidays Calc'!$I$2:$I$233,AR420+3)=A420,INDEX('Holidays Calc'!$K$2:$K$2333,AR420+3),""))</f>
        <v/>
      </c>
      <c r="AA420" t="str">
        <f>IF(I420="Last day of Bhisma Pancaka","",IF(G420="*",-0.7,IF(ISBLANK(INDEX(GCalXMLT[dclass1],$D420)),"",INDEX(GCalXMLT[dclass1],$D420))))</f>
        <v/>
      </c>
      <c r="AB420" t="str">
        <f>IF(J420="First day of Bhisma Pancaka","",IF(AND(G420="*",NOT(ISERROR(SEARCH("ekadasi",J420)))),-0.7,IF(ISBLANK(INDEX(GCalXMLT[dclass2],$D420)),"",INDEX(GCalXMLT[dclass2],$D420))))</f>
        <v/>
      </c>
      <c r="AC420" t="str">
        <f>IF(I420="Nandotsava",-1,IF(ISBLANK(INDEX(GCalXMLT[dclass3],$D420)),"",INDEX(GCalXMLT[dclass3],$D420)))</f>
        <v/>
      </c>
      <c r="AD420" t="str">
        <f>IF(I420="Nandotsava",IF(ISBLANK(INDEX(GCalXMLT[dclass3],$D420)),"",INDEX(GCalXMLT[dclass3],$D420)),IF(ISBLANK(INDEX(GCalXMLT[dclass4],$D420)),"",INDEX(GCalXMLT[dclass4],$D420)))</f>
        <v/>
      </c>
      <c r="AE420">
        <f>IFERROR(INDEX(Festivals!$V$2:$V$160,AP420),"")</f>
        <v>3</v>
      </c>
      <c r="AF420" t="str">
        <f>IFERROR(IF($AQ420&gt;1,INDEX(Festivals!$V$2:$V$160,$AP420+1),""),"")</f>
        <v/>
      </c>
      <c r="AG420" t="str">
        <f>IFERROR(IF($AQ420&gt;2,INDEX(Festivals!$V$2:$V$160,$AP420+2),""),"")</f>
        <v/>
      </c>
      <c r="AH420" t="str">
        <f>IFERROR(IF($AQ420&gt;3,INDEX(Festivals!$V$2:$V$160,$AP420+3),""),"")</f>
        <v/>
      </c>
      <c r="AI420" t="str">
        <f>IFERROR(IF($AQ420&gt;4,INDEX(Festivals!$V$2:$V$160,$AP420+4),""),"")</f>
        <v/>
      </c>
      <c r="AJ420" t="str">
        <f>IFERROR(IF($AQ420&gt;5,INDEX(Festivals!$V$2:$V$160,$AP420+5),""),"")</f>
        <v/>
      </c>
      <c r="AK420" t="str">
        <f>IFERROR(IF($AQ420&gt;6,INDEX(Festivals!$V$2:$V$160,$AP420+6),""),"")</f>
        <v/>
      </c>
      <c r="AL420" t="str">
        <f ca="1">IFERROR(INDEX('Holidays Calc'!$J$2:$J$233,MATCH(A420,'Holidays Calc'!$I$2:$I$233,0)),"")</f>
        <v/>
      </c>
      <c r="AM420" t="str">
        <f ca="1">IF(AR420="","",IF(INDEX('Holidays Calc'!$I$2:$I$233,AR420+1)=A420,INDEX('Holidays Calc'!$J$2:$J$233,AR420+1),""))</f>
        <v/>
      </c>
      <c r="AN420" t="str">
        <f ca="1">IF(AR420="","",IF(INDEX('Holidays Calc'!$I$2:$I$233,AR420+2)=A420,INDEX('Holidays Calc'!$J$2:$J$233,AR420+2),""))</f>
        <v/>
      </c>
      <c r="AO420" t="str">
        <f ca="1">IF(AR420="","",IF(INDEX('Holidays Calc'!$I$2:$I$233,AR420+3)=A420,INDEX('Holidays Calc'!$J$2:$J$233,AR420+3),""))</f>
        <v/>
      </c>
      <c r="AP420">
        <f>IFERROR(IF($E420=E419,"",MATCH($E420,Festivals!$H$2:$H$160,0)),"")</f>
        <v>128</v>
      </c>
      <c r="AQ420">
        <f>IF(AP420="","",COUNTIF(Festivals!$H$2:$H$160,$E420))</f>
        <v>1</v>
      </c>
      <c r="AR420" t="str">
        <f ca="1">IFERROR(MATCH(A420,'Holidays Calc'!$I$2:$I$233,0),"")</f>
        <v/>
      </c>
      <c r="AS420">
        <f t="shared" si="46"/>
        <v>3</v>
      </c>
      <c r="AT420">
        <f t="shared" si="45"/>
        <v>3</v>
      </c>
      <c r="AU420" t="str">
        <f t="shared" ca="1" si="47"/>
        <v/>
      </c>
      <c r="AV420">
        <f t="shared" ca="1" si="48"/>
        <v>3</v>
      </c>
    </row>
    <row r="421" spans="1:48" x14ac:dyDescent="0.25">
      <c r="A421" s="265">
        <f t="shared" si="44"/>
        <v>43847</v>
      </c>
      <c r="B421" s="265" t="str">
        <f t="shared" si="49"/>
        <v>17 Jan 2020</v>
      </c>
      <c r="C421" s="267">
        <f t="shared" si="50"/>
        <v>3</v>
      </c>
      <c r="D421">
        <f>MATCH(A421,GCalXMLT[daydate],0)</f>
        <v>420</v>
      </c>
      <c r="E421">
        <f>VALUE("1" &amp; Masacod(INDEX(GCalXMLT[gymasa],D421)) &amp; PaksaCod(INDEX(GCalXMLT[mpaksaid],D421)) &amp; TithiCod(INDEX(GCalXMLT[stithiname],D421)))</f>
        <v>111008</v>
      </c>
      <c r="F421" t="str">
        <f ca="1">INDEX(Parameters!$K$2:$K$16,MATCH(AV421,Parameters!$L$2:$L$16,0))</f>
        <v/>
      </c>
      <c r="G421">
        <f>INDEX(GCalXMLT[fastmark],$D421)</f>
        <v>0</v>
      </c>
      <c r="H421" t="str">
        <f ca="1">INDEX(Parameters!$J$2:$J$16,MATCH(AV421,Parameters!$L$2:$L$16,0))</f>
        <v/>
      </c>
      <c r="I421">
        <f>INDEX(GCalXMLT[dfestival1],$D421)</f>
        <v>0</v>
      </c>
      <c r="J421">
        <f>IF(INDEX(GCalXMLT[dfestival2],$D421)="(Fast today)",INDEX(Festivals!$R$2:$R$180,MATCH($I421,Festivals!$R$2:$R$180,0)+1),INDEX(GCalXMLT[dfestival2],$D421))</f>
        <v>0</v>
      </c>
      <c r="K421">
        <f>IF(I421="Nandotsava","(Fast till noon)",INDEX(GCalXMLT[dfestival3],$D421))</f>
        <v>0</v>
      </c>
      <c r="L421">
        <f>IF(I421="Nandotsava", INDEX(GCalXMLT[dfestival3],$D421),INDEX(GCalXMLT[dfestival4],$D421))</f>
        <v>0</v>
      </c>
      <c r="M421" t="str">
        <f>IFERROR(INDEX(Festivals!$S$2:$S$160,AP421),"")</f>
        <v/>
      </c>
      <c r="N421" t="str">
        <f>IFERROR(IF($AQ421&gt;1,INDEX(Festivals!$S$2:$S$160,$AP421+1),""),"")</f>
        <v/>
      </c>
      <c r="O421" t="str">
        <f>IFERROR(IF($AQ421&gt;2,INDEX(Festivals!$S$2:$S$160,$AP421+2),""),"")</f>
        <v/>
      </c>
      <c r="P421" t="str">
        <f>IFERROR(IF($AQ421&gt;3,INDEX(Festivals!$S$2:$S$160,$AP421+3),""),"")</f>
        <v/>
      </c>
      <c r="Q421" t="str">
        <f>IFERROR(IF($AQ421&gt;4,INDEX(Festivals!$S$2:$S$160,$AP421+4),""),"")</f>
        <v/>
      </c>
      <c r="R421" t="str">
        <f>IFERROR(IF($AQ421&gt;5,INDEX(Festivals!$S$2:$S$160,$AP421+5),""),"")</f>
        <v/>
      </c>
      <c r="S421" t="str">
        <f>IFERROR(IF($AQ421&gt;6,INDEX(Festivals!$S$2:$S$160,$AP421+6),""),"")</f>
        <v/>
      </c>
      <c r="T421">
        <f>INDEX(GCalXMLT[dcaturmasya1],$D421)</f>
        <v>0</v>
      </c>
      <c r="U421">
        <f>INDEX(GCalXMLT[dcaturmasya2],$D421)</f>
        <v>0</v>
      </c>
      <c r="V421" t="str">
        <f>INDEX(GCalXMLT[sankrantirasi],$D421) &amp; " " &amp; INDEX(GCalXMLT[sankrantitime],$D421)</f>
        <v xml:space="preserve"> </v>
      </c>
      <c r="W421" t="str">
        <f ca="1">IFERROR(INDEX('Holidays Calc'!$K$2:$K$233,AR421),"")</f>
        <v/>
      </c>
      <c r="X421" t="str">
        <f ca="1">IF(AR421="","",IF(INDEX('Holidays Calc'!$I$2:$I$233,AR421+1)=A421,INDEX('Holidays Calc'!$K$2:$K$233,AR421+1),""))</f>
        <v/>
      </c>
      <c r="Y421" t="str">
        <f ca="1">IF(AR421="","",IF(INDEX('Holidays Calc'!$I$2:$I$233,AR421+2)=A421,INDEX('Holidays Calc'!$K$2:$K$233,AR421+2),""))</f>
        <v/>
      </c>
      <c r="Z421" t="str">
        <f ca="1">IF(AR421="","",IF(INDEX('Holidays Calc'!$I$2:$I$233,AR421+3)=A421,INDEX('Holidays Calc'!$K$2:$K$2333,AR421+3),""))</f>
        <v/>
      </c>
      <c r="AA421" t="str">
        <f>IF(I421="Last day of Bhisma Pancaka","",IF(G421="*",-0.7,IF(ISBLANK(INDEX(GCalXMLT[dclass1],$D421)),"",INDEX(GCalXMLT[dclass1],$D421))))</f>
        <v/>
      </c>
      <c r="AB421" t="str">
        <f>IF(J421="First day of Bhisma Pancaka","",IF(AND(G421="*",NOT(ISERROR(SEARCH("ekadasi",J421)))),-0.7,IF(ISBLANK(INDEX(GCalXMLT[dclass2],$D421)),"",INDEX(GCalXMLT[dclass2],$D421))))</f>
        <v/>
      </c>
      <c r="AC421" t="str">
        <f>IF(I421="Nandotsava",-1,IF(ISBLANK(INDEX(GCalXMLT[dclass3],$D421)),"",INDEX(GCalXMLT[dclass3],$D421)))</f>
        <v/>
      </c>
      <c r="AD421" t="str">
        <f>IF(I421="Nandotsava",IF(ISBLANK(INDEX(GCalXMLT[dclass3],$D421)),"",INDEX(GCalXMLT[dclass3],$D421)),IF(ISBLANK(INDEX(GCalXMLT[dclass4],$D421)),"",INDEX(GCalXMLT[dclass4],$D421)))</f>
        <v/>
      </c>
      <c r="AE421" t="str">
        <f>IFERROR(INDEX(Festivals!$V$2:$V$160,AP421),"")</f>
        <v/>
      </c>
      <c r="AF421" t="str">
        <f>IFERROR(IF($AQ421&gt;1,INDEX(Festivals!$V$2:$V$160,$AP421+1),""),"")</f>
        <v/>
      </c>
      <c r="AG421" t="str">
        <f>IFERROR(IF($AQ421&gt;2,INDEX(Festivals!$V$2:$V$160,$AP421+2),""),"")</f>
        <v/>
      </c>
      <c r="AH421" t="str">
        <f>IFERROR(IF($AQ421&gt;3,INDEX(Festivals!$V$2:$V$160,$AP421+3),""),"")</f>
        <v/>
      </c>
      <c r="AI421" t="str">
        <f>IFERROR(IF($AQ421&gt;4,INDEX(Festivals!$V$2:$V$160,$AP421+4),""),"")</f>
        <v/>
      </c>
      <c r="AJ421" t="str">
        <f>IFERROR(IF($AQ421&gt;5,INDEX(Festivals!$V$2:$V$160,$AP421+5),""),"")</f>
        <v/>
      </c>
      <c r="AK421" t="str">
        <f>IFERROR(IF($AQ421&gt;6,INDEX(Festivals!$V$2:$V$160,$AP421+6),""),"")</f>
        <v/>
      </c>
      <c r="AL421" t="str">
        <f ca="1">IFERROR(INDEX('Holidays Calc'!$J$2:$J$233,MATCH(A421,'Holidays Calc'!$I$2:$I$233,0)),"")</f>
        <v/>
      </c>
      <c r="AM421" t="str">
        <f ca="1">IF(AR421="","",IF(INDEX('Holidays Calc'!$I$2:$I$233,AR421+1)=A421,INDEX('Holidays Calc'!$J$2:$J$233,AR421+1),""))</f>
        <v/>
      </c>
      <c r="AN421" t="str">
        <f ca="1">IF(AR421="","",IF(INDEX('Holidays Calc'!$I$2:$I$233,AR421+2)=A421,INDEX('Holidays Calc'!$J$2:$J$233,AR421+2),""))</f>
        <v/>
      </c>
      <c r="AO421" t="str">
        <f ca="1">IF(AR421="","",IF(INDEX('Holidays Calc'!$I$2:$I$233,AR421+3)=A421,INDEX('Holidays Calc'!$J$2:$J$233,AR421+3),""))</f>
        <v/>
      </c>
      <c r="AP421" t="str">
        <f>IFERROR(IF($E421=E420,"",MATCH($E421,Festivals!$H$2:$H$160,0)),"")</f>
        <v/>
      </c>
      <c r="AQ421" t="str">
        <f>IF(AP421="","",COUNTIF(Festivals!$H$2:$H$160,$E421))</f>
        <v/>
      </c>
      <c r="AR421" t="str">
        <f ca="1">IFERROR(MATCH(A421,'Holidays Calc'!$I$2:$I$233,0),"")</f>
        <v/>
      </c>
      <c r="AS421" t="str">
        <f t="shared" si="46"/>
        <v/>
      </c>
      <c r="AT421" t="str">
        <f t="shared" si="45"/>
        <v/>
      </c>
      <c r="AU421" t="str">
        <f t="shared" ca="1" si="47"/>
        <v/>
      </c>
      <c r="AV421" t="str">
        <f t="shared" ca="1" si="48"/>
        <v/>
      </c>
    </row>
    <row r="422" spans="1:48" x14ac:dyDescent="0.25">
      <c r="A422" s="265">
        <f t="shared" si="44"/>
        <v>43848</v>
      </c>
      <c r="B422" s="265" t="str">
        <f t="shared" si="49"/>
        <v>18 Jan 2020</v>
      </c>
      <c r="C422" s="267">
        <f t="shared" si="50"/>
        <v>3</v>
      </c>
      <c r="D422">
        <f>MATCH(A422,GCalXMLT[daydate],0)</f>
        <v>421</v>
      </c>
      <c r="E422">
        <f>VALUE("1" &amp; Masacod(INDEX(GCalXMLT[gymasa],D422)) &amp; PaksaCod(INDEX(GCalXMLT[mpaksaid],D422)) &amp; TithiCod(INDEX(GCalXMLT[stithiname],D422)))</f>
        <v>111009</v>
      </c>
      <c r="F422" t="str">
        <f ca="1">INDEX(Parameters!$K$2:$K$16,MATCH(AV422,Parameters!$L$2:$L$16,0))</f>
        <v/>
      </c>
      <c r="G422">
        <f>INDEX(GCalXMLT[fastmark],$D422)</f>
        <v>0</v>
      </c>
      <c r="H422" t="str">
        <f ca="1">INDEX(Parameters!$J$2:$J$16,MATCH(AV422,Parameters!$L$2:$L$16,0))</f>
        <v/>
      </c>
      <c r="I422">
        <f>INDEX(GCalXMLT[dfestival1],$D422)</f>
        <v>0</v>
      </c>
      <c r="J422">
        <f>IF(INDEX(GCalXMLT[dfestival2],$D422)="(Fast today)",INDEX(Festivals!$R$2:$R$180,MATCH($I422,Festivals!$R$2:$R$180,0)+1),INDEX(GCalXMLT[dfestival2],$D422))</f>
        <v>0</v>
      </c>
      <c r="K422">
        <f>IF(I422="Nandotsava","(Fast till noon)",INDEX(GCalXMLT[dfestival3],$D422))</f>
        <v>0</v>
      </c>
      <c r="L422">
        <f>IF(I422="Nandotsava", INDEX(GCalXMLT[dfestival3],$D422),INDEX(GCalXMLT[dfestival4],$D422))</f>
        <v>0</v>
      </c>
      <c r="M422" t="str">
        <f>IFERROR(INDEX(Festivals!$S$2:$S$160,AP422),"")</f>
        <v/>
      </c>
      <c r="N422" t="str">
        <f>IFERROR(IF($AQ422&gt;1,INDEX(Festivals!$S$2:$S$160,$AP422+1),""),"")</f>
        <v/>
      </c>
      <c r="O422" t="str">
        <f>IFERROR(IF($AQ422&gt;2,INDEX(Festivals!$S$2:$S$160,$AP422+2),""),"")</f>
        <v/>
      </c>
      <c r="P422" t="str">
        <f>IFERROR(IF($AQ422&gt;3,INDEX(Festivals!$S$2:$S$160,$AP422+3),""),"")</f>
        <v/>
      </c>
      <c r="Q422" t="str">
        <f>IFERROR(IF($AQ422&gt;4,INDEX(Festivals!$S$2:$S$160,$AP422+4),""),"")</f>
        <v/>
      </c>
      <c r="R422" t="str">
        <f>IFERROR(IF($AQ422&gt;5,INDEX(Festivals!$S$2:$S$160,$AP422+5),""),"")</f>
        <v/>
      </c>
      <c r="S422" t="str">
        <f>IFERROR(IF($AQ422&gt;6,INDEX(Festivals!$S$2:$S$160,$AP422+6),""),"")</f>
        <v/>
      </c>
      <c r="T422">
        <f>INDEX(GCalXMLT[dcaturmasya1],$D422)</f>
        <v>0</v>
      </c>
      <c r="U422">
        <f>INDEX(GCalXMLT[dcaturmasya2],$D422)</f>
        <v>0</v>
      </c>
      <c r="V422" t="str">
        <f>INDEX(GCalXMLT[sankrantirasi],$D422) &amp; " " &amp; INDEX(GCalXMLT[sankrantitime],$D422)</f>
        <v xml:space="preserve"> </v>
      </c>
      <c r="W422" t="str">
        <f ca="1">IFERROR(INDEX('Holidays Calc'!$K$2:$K$233,AR422),"")</f>
        <v/>
      </c>
      <c r="X422" t="str">
        <f ca="1">IF(AR422="","",IF(INDEX('Holidays Calc'!$I$2:$I$233,AR422+1)=A422,INDEX('Holidays Calc'!$K$2:$K$233,AR422+1),""))</f>
        <v/>
      </c>
      <c r="Y422" t="str">
        <f ca="1">IF(AR422="","",IF(INDEX('Holidays Calc'!$I$2:$I$233,AR422+2)=A422,INDEX('Holidays Calc'!$K$2:$K$233,AR422+2),""))</f>
        <v/>
      </c>
      <c r="Z422" t="str">
        <f ca="1">IF(AR422="","",IF(INDEX('Holidays Calc'!$I$2:$I$233,AR422+3)=A422,INDEX('Holidays Calc'!$K$2:$K$2333,AR422+3),""))</f>
        <v/>
      </c>
      <c r="AA422" t="str">
        <f>IF(I422="Last day of Bhisma Pancaka","",IF(G422="*",-0.7,IF(ISBLANK(INDEX(GCalXMLT[dclass1],$D422)),"",INDEX(GCalXMLT[dclass1],$D422))))</f>
        <v/>
      </c>
      <c r="AB422" t="str">
        <f>IF(J422="First day of Bhisma Pancaka","",IF(AND(G422="*",NOT(ISERROR(SEARCH("ekadasi",J422)))),-0.7,IF(ISBLANK(INDEX(GCalXMLT[dclass2],$D422)),"",INDEX(GCalXMLT[dclass2],$D422))))</f>
        <v/>
      </c>
      <c r="AC422" t="str">
        <f>IF(I422="Nandotsava",-1,IF(ISBLANK(INDEX(GCalXMLT[dclass3],$D422)),"",INDEX(GCalXMLT[dclass3],$D422)))</f>
        <v/>
      </c>
      <c r="AD422" t="str">
        <f>IF(I422="Nandotsava",IF(ISBLANK(INDEX(GCalXMLT[dclass3],$D422)),"",INDEX(GCalXMLT[dclass3],$D422)),IF(ISBLANK(INDEX(GCalXMLT[dclass4],$D422)),"",INDEX(GCalXMLT[dclass4],$D422)))</f>
        <v/>
      </c>
      <c r="AE422" t="str">
        <f>IFERROR(INDEX(Festivals!$V$2:$V$160,AP422),"")</f>
        <v/>
      </c>
      <c r="AF422" t="str">
        <f>IFERROR(IF($AQ422&gt;1,INDEX(Festivals!$V$2:$V$160,$AP422+1),""),"")</f>
        <v/>
      </c>
      <c r="AG422" t="str">
        <f>IFERROR(IF($AQ422&gt;2,INDEX(Festivals!$V$2:$V$160,$AP422+2),""),"")</f>
        <v/>
      </c>
      <c r="AH422" t="str">
        <f>IFERROR(IF($AQ422&gt;3,INDEX(Festivals!$V$2:$V$160,$AP422+3),""),"")</f>
        <v/>
      </c>
      <c r="AI422" t="str">
        <f>IFERROR(IF($AQ422&gt;4,INDEX(Festivals!$V$2:$V$160,$AP422+4),""),"")</f>
        <v/>
      </c>
      <c r="AJ422" t="str">
        <f>IFERROR(IF($AQ422&gt;5,INDEX(Festivals!$V$2:$V$160,$AP422+5),""),"")</f>
        <v/>
      </c>
      <c r="AK422" t="str">
        <f>IFERROR(IF($AQ422&gt;6,INDEX(Festivals!$V$2:$V$160,$AP422+6),""),"")</f>
        <v/>
      </c>
      <c r="AL422" t="str">
        <f ca="1">IFERROR(INDEX('Holidays Calc'!$J$2:$J$233,MATCH(A422,'Holidays Calc'!$I$2:$I$233,0)),"")</f>
        <v/>
      </c>
      <c r="AM422" t="str">
        <f ca="1">IF(AR422="","",IF(INDEX('Holidays Calc'!$I$2:$I$233,AR422+1)=A422,INDEX('Holidays Calc'!$J$2:$J$233,AR422+1),""))</f>
        <v/>
      </c>
      <c r="AN422" t="str">
        <f ca="1">IF(AR422="","",IF(INDEX('Holidays Calc'!$I$2:$I$233,AR422+2)=A422,INDEX('Holidays Calc'!$J$2:$J$233,AR422+2),""))</f>
        <v/>
      </c>
      <c r="AO422" t="str">
        <f ca="1">IF(AR422="","",IF(INDEX('Holidays Calc'!$I$2:$I$233,AR422+3)=A422,INDEX('Holidays Calc'!$J$2:$J$233,AR422+3),""))</f>
        <v/>
      </c>
      <c r="AP422" t="str">
        <f>IFERROR(IF($E422=E421,"",MATCH($E422,Festivals!$H$2:$H$160,0)),"")</f>
        <v/>
      </c>
      <c r="AQ422" t="str">
        <f>IF(AP422="","",COUNTIF(Festivals!$H$2:$H$160,$E422))</f>
        <v/>
      </c>
      <c r="AR422" t="str">
        <f ca="1">IFERROR(MATCH(A422,'Holidays Calc'!$I$2:$I$233,0),"")</f>
        <v/>
      </c>
      <c r="AS422" t="str">
        <f t="shared" si="46"/>
        <v/>
      </c>
      <c r="AT422" t="str">
        <f t="shared" si="45"/>
        <v/>
      </c>
      <c r="AU422" t="str">
        <f t="shared" ca="1" si="47"/>
        <v/>
      </c>
      <c r="AV422" t="str">
        <f t="shared" ca="1" si="48"/>
        <v/>
      </c>
    </row>
    <row r="423" spans="1:48" x14ac:dyDescent="0.25">
      <c r="A423" s="265">
        <f t="shared" si="44"/>
        <v>43849</v>
      </c>
      <c r="B423" s="265" t="str">
        <f t="shared" si="49"/>
        <v>19 Jan 2020</v>
      </c>
      <c r="C423" s="267">
        <f t="shared" si="50"/>
        <v>3</v>
      </c>
      <c r="D423">
        <f>MATCH(A423,GCalXMLT[daydate],0)</f>
        <v>422</v>
      </c>
      <c r="E423">
        <f>VALUE("1" &amp; Masacod(INDEX(GCalXMLT[gymasa],D423)) &amp; PaksaCod(INDEX(GCalXMLT[mpaksaid],D423)) &amp; TithiCod(INDEX(GCalXMLT[stithiname],D423)))</f>
        <v>111010</v>
      </c>
      <c r="F423" t="str">
        <f ca="1">INDEX(Parameters!$K$2:$K$16,MATCH(AV423,Parameters!$L$2:$L$16,0))</f>
        <v/>
      </c>
      <c r="G423">
        <f>INDEX(GCalXMLT[fastmark],$D423)</f>
        <v>0</v>
      </c>
      <c r="H423" t="str">
        <f ca="1">INDEX(Parameters!$J$2:$J$16,MATCH(AV423,Parameters!$L$2:$L$16,0))</f>
        <v/>
      </c>
      <c r="I423">
        <f>INDEX(GCalXMLT[dfestival1],$D423)</f>
        <v>0</v>
      </c>
      <c r="J423">
        <f>IF(INDEX(GCalXMLT[dfestival2],$D423)="(Fast today)",INDEX(Festivals!$R$2:$R$180,MATCH($I423,Festivals!$R$2:$R$180,0)+1),INDEX(GCalXMLT[dfestival2],$D423))</f>
        <v>0</v>
      </c>
      <c r="K423">
        <f>IF(I423="Nandotsava","(Fast till noon)",INDEX(GCalXMLT[dfestival3],$D423))</f>
        <v>0</v>
      </c>
      <c r="L423">
        <f>IF(I423="Nandotsava", INDEX(GCalXMLT[dfestival3],$D423),INDEX(GCalXMLT[dfestival4],$D423))</f>
        <v>0</v>
      </c>
      <c r="M423" t="str">
        <f>IFERROR(INDEX(Festivals!$S$2:$S$160,AP423),"")</f>
        <v/>
      </c>
      <c r="N423" t="str">
        <f>IFERROR(IF($AQ423&gt;1,INDEX(Festivals!$S$2:$S$160,$AP423+1),""),"")</f>
        <v/>
      </c>
      <c r="O423" t="str">
        <f>IFERROR(IF($AQ423&gt;2,INDEX(Festivals!$S$2:$S$160,$AP423+2),""),"")</f>
        <v/>
      </c>
      <c r="P423" t="str">
        <f>IFERROR(IF($AQ423&gt;3,INDEX(Festivals!$S$2:$S$160,$AP423+3),""),"")</f>
        <v/>
      </c>
      <c r="Q423" t="str">
        <f>IFERROR(IF($AQ423&gt;4,INDEX(Festivals!$S$2:$S$160,$AP423+4),""),"")</f>
        <v/>
      </c>
      <c r="R423" t="str">
        <f>IFERROR(IF($AQ423&gt;5,INDEX(Festivals!$S$2:$S$160,$AP423+5),""),"")</f>
        <v/>
      </c>
      <c r="S423" t="str">
        <f>IFERROR(IF($AQ423&gt;6,INDEX(Festivals!$S$2:$S$160,$AP423+6),""),"")</f>
        <v/>
      </c>
      <c r="T423">
        <f>INDEX(GCalXMLT[dcaturmasya1],$D423)</f>
        <v>0</v>
      </c>
      <c r="U423">
        <f>INDEX(GCalXMLT[dcaturmasya2],$D423)</f>
        <v>0</v>
      </c>
      <c r="V423" t="str">
        <f>INDEX(GCalXMLT[sankrantirasi],$D423) &amp; " " &amp; INDEX(GCalXMLT[sankrantitime],$D423)</f>
        <v xml:space="preserve"> </v>
      </c>
      <c r="W423" t="str">
        <f ca="1">IFERROR(INDEX('Holidays Calc'!$K$2:$K$233,AR423),"")</f>
        <v/>
      </c>
      <c r="X423" t="str">
        <f ca="1">IF(AR423="","",IF(INDEX('Holidays Calc'!$I$2:$I$233,AR423+1)=A423,INDEX('Holidays Calc'!$K$2:$K$233,AR423+1),""))</f>
        <v/>
      </c>
      <c r="Y423" t="str">
        <f ca="1">IF(AR423="","",IF(INDEX('Holidays Calc'!$I$2:$I$233,AR423+2)=A423,INDEX('Holidays Calc'!$K$2:$K$233,AR423+2),""))</f>
        <v/>
      </c>
      <c r="Z423" t="str">
        <f ca="1">IF(AR423="","",IF(INDEX('Holidays Calc'!$I$2:$I$233,AR423+3)=A423,INDEX('Holidays Calc'!$K$2:$K$2333,AR423+3),""))</f>
        <v/>
      </c>
      <c r="AA423" t="str">
        <f>IF(I423="Last day of Bhisma Pancaka","",IF(G423="*",-0.7,IF(ISBLANK(INDEX(GCalXMLT[dclass1],$D423)),"",INDEX(GCalXMLT[dclass1],$D423))))</f>
        <v/>
      </c>
      <c r="AB423" t="str">
        <f>IF(J423="First day of Bhisma Pancaka","",IF(AND(G423="*",NOT(ISERROR(SEARCH("ekadasi",J423)))),-0.7,IF(ISBLANK(INDEX(GCalXMLT[dclass2],$D423)),"",INDEX(GCalXMLT[dclass2],$D423))))</f>
        <v/>
      </c>
      <c r="AC423" t="str">
        <f>IF(I423="Nandotsava",-1,IF(ISBLANK(INDEX(GCalXMLT[dclass3],$D423)),"",INDEX(GCalXMLT[dclass3],$D423)))</f>
        <v/>
      </c>
      <c r="AD423" t="str">
        <f>IF(I423="Nandotsava",IF(ISBLANK(INDEX(GCalXMLT[dclass3],$D423)),"",INDEX(GCalXMLT[dclass3],$D423)),IF(ISBLANK(INDEX(GCalXMLT[dclass4],$D423)),"",INDEX(GCalXMLT[dclass4],$D423)))</f>
        <v/>
      </c>
      <c r="AE423" t="str">
        <f>IFERROR(INDEX(Festivals!$V$2:$V$160,AP423),"")</f>
        <v/>
      </c>
      <c r="AF423" t="str">
        <f>IFERROR(IF($AQ423&gt;1,INDEX(Festivals!$V$2:$V$160,$AP423+1),""),"")</f>
        <v/>
      </c>
      <c r="AG423" t="str">
        <f>IFERROR(IF($AQ423&gt;2,INDEX(Festivals!$V$2:$V$160,$AP423+2),""),"")</f>
        <v/>
      </c>
      <c r="AH423" t="str">
        <f>IFERROR(IF($AQ423&gt;3,INDEX(Festivals!$V$2:$V$160,$AP423+3),""),"")</f>
        <v/>
      </c>
      <c r="AI423" t="str">
        <f>IFERROR(IF($AQ423&gt;4,INDEX(Festivals!$V$2:$V$160,$AP423+4),""),"")</f>
        <v/>
      </c>
      <c r="AJ423" t="str">
        <f>IFERROR(IF($AQ423&gt;5,INDEX(Festivals!$V$2:$V$160,$AP423+5),""),"")</f>
        <v/>
      </c>
      <c r="AK423" t="str">
        <f>IFERROR(IF($AQ423&gt;6,INDEX(Festivals!$V$2:$V$160,$AP423+6),""),"")</f>
        <v/>
      </c>
      <c r="AL423" t="str">
        <f ca="1">IFERROR(INDEX('Holidays Calc'!$J$2:$J$233,MATCH(A423,'Holidays Calc'!$I$2:$I$233,0)),"")</f>
        <v/>
      </c>
      <c r="AM423" t="str">
        <f ca="1">IF(AR423="","",IF(INDEX('Holidays Calc'!$I$2:$I$233,AR423+1)=A423,INDEX('Holidays Calc'!$J$2:$J$233,AR423+1),""))</f>
        <v/>
      </c>
      <c r="AN423" t="str">
        <f ca="1">IF(AR423="","",IF(INDEX('Holidays Calc'!$I$2:$I$233,AR423+2)=A423,INDEX('Holidays Calc'!$J$2:$J$233,AR423+2),""))</f>
        <v/>
      </c>
      <c r="AO423" t="str">
        <f ca="1">IF(AR423="","",IF(INDEX('Holidays Calc'!$I$2:$I$233,AR423+3)=A423,INDEX('Holidays Calc'!$J$2:$J$233,AR423+3),""))</f>
        <v/>
      </c>
      <c r="AP423" t="str">
        <f>IFERROR(IF($E423=E422,"",MATCH($E423,Festivals!$H$2:$H$160,0)),"")</f>
        <v/>
      </c>
      <c r="AQ423" t="str">
        <f>IF(AP423="","",COUNTIF(Festivals!$H$2:$H$160,$E423))</f>
        <v/>
      </c>
      <c r="AR423" t="str">
        <f ca="1">IFERROR(MATCH(A423,'Holidays Calc'!$I$2:$I$233,0),"")</f>
        <v/>
      </c>
      <c r="AS423" t="str">
        <f t="shared" si="46"/>
        <v/>
      </c>
      <c r="AT423" t="str">
        <f t="shared" si="45"/>
        <v/>
      </c>
      <c r="AU423" t="str">
        <f t="shared" ca="1" si="47"/>
        <v/>
      </c>
      <c r="AV423" t="str">
        <f t="shared" ca="1" si="48"/>
        <v/>
      </c>
    </row>
    <row r="424" spans="1:48" x14ac:dyDescent="0.25">
      <c r="A424" s="265">
        <f t="shared" si="44"/>
        <v>43850</v>
      </c>
      <c r="B424" s="265" t="str">
        <f t="shared" si="49"/>
        <v>20 Jan 2020</v>
      </c>
      <c r="C424" s="267">
        <f t="shared" si="50"/>
        <v>4</v>
      </c>
      <c r="D424">
        <f>MATCH(A424,GCalXMLT[daydate],0)</f>
        <v>423</v>
      </c>
      <c r="E424">
        <f>VALUE("1" &amp; Masacod(INDEX(GCalXMLT[gymasa],D424)) &amp; PaksaCod(INDEX(GCalXMLT[mpaksaid],D424)) &amp; TithiCod(INDEX(GCalXMLT[stithiname],D424)))</f>
        <v>111011</v>
      </c>
      <c r="F424" t="str">
        <f ca="1">INDEX(Parameters!$K$2:$K$16,MATCH(AV424,Parameters!$L$2:$L$16,0))</f>
        <v>E</v>
      </c>
      <c r="G424" t="str">
        <f>INDEX(GCalXMLT[fastmark],$D424)</f>
        <v>*</v>
      </c>
      <c r="H424" t="str">
        <f ca="1">INDEX(Parameters!$J$2:$J$16,MATCH(AV424,Parameters!$L$2:$L$16,0))</f>
        <v>*</v>
      </c>
      <c r="I424" t="str">
        <f>INDEX(GCalXMLT[dfestival1],$D424)</f>
        <v>Fasting for Sat-tila Ekadasi</v>
      </c>
      <c r="J424">
        <f>IF(INDEX(GCalXMLT[dfestival2],$D424)="(Fast today)",INDEX(Festivals!$R$2:$R$180,MATCH($I424,Festivals!$R$2:$R$180,0)+1),INDEX(GCalXMLT[dfestival2],$D424))</f>
        <v>0</v>
      </c>
      <c r="K424">
        <f>IF(I424="Nandotsava","(Fast till noon)",INDEX(GCalXMLT[dfestival3],$D424))</f>
        <v>0</v>
      </c>
      <c r="L424">
        <f>IF(I424="Nandotsava", INDEX(GCalXMLT[dfestival3],$D424),INDEX(GCalXMLT[dfestival4],$D424))</f>
        <v>0</v>
      </c>
      <c r="M424" t="str">
        <f>IFERROR(INDEX(Festivals!$S$2:$S$160,AP424),"")</f>
        <v/>
      </c>
      <c r="N424" t="str">
        <f>IFERROR(IF($AQ424&gt;1,INDEX(Festivals!$S$2:$S$160,$AP424+1),""),"")</f>
        <v/>
      </c>
      <c r="O424" t="str">
        <f>IFERROR(IF($AQ424&gt;2,INDEX(Festivals!$S$2:$S$160,$AP424+2),""),"")</f>
        <v/>
      </c>
      <c r="P424" t="str">
        <f>IFERROR(IF($AQ424&gt;3,INDEX(Festivals!$S$2:$S$160,$AP424+3),""),"")</f>
        <v/>
      </c>
      <c r="Q424" t="str">
        <f>IFERROR(IF($AQ424&gt;4,INDEX(Festivals!$S$2:$S$160,$AP424+4),""),"")</f>
        <v/>
      </c>
      <c r="R424" t="str">
        <f>IFERROR(IF($AQ424&gt;5,INDEX(Festivals!$S$2:$S$160,$AP424+5),""),"")</f>
        <v/>
      </c>
      <c r="S424" t="str">
        <f>IFERROR(IF($AQ424&gt;6,INDEX(Festivals!$S$2:$S$160,$AP424+6),""),"")</f>
        <v/>
      </c>
      <c r="T424">
        <f>INDEX(GCalXMLT[dcaturmasya1],$D424)</f>
        <v>0</v>
      </c>
      <c r="U424">
        <f>INDEX(GCalXMLT[dcaturmasya2],$D424)</f>
        <v>0</v>
      </c>
      <c r="V424" t="str">
        <f>INDEX(GCalXMLT[sankrantirasi],$D424) &amp; " " &amp; INDEX(GCalXMLT[sankrantitime],$D424)</f>
        <v xml:space="preserve"> </v>
      </c>
      <c r="W424" t="str">
        <f ca="1">IFERROR(INDEX('Holidays Calc'!$K$2:$K$233,AR424),"")</f>
        <v/>
      </c>
      <c r="X424" t="str">
        <f ca="1">IF(AR424="","",IF(INDEX('Holidays Calc'!$I$2:$I$233,AR424+1)=A424,INDEX('Holidays Calc'!$K$2:$K$233,AR424+1),""))</f>
        <v/>
      </c>
      <c r="Y424" t="str">
        <f ca="1">IF(AR424="","",IF(INDEX('Holidays Calc'!$I$2:$I$233,AR424+2)=A424,INDEX('Holidays Calc'!$K$2:$K$233,AR424+2),""))</f>
        <v/>
      </c>
      <c r="Z424" t="str">
        <f ca="1">IF(AR424="","",IF(INDEX('Holidays Calc'!$I$2:$I$233,AR424+3)=A424,INDEX('Holidays Calc'!$K$2:$K$2333,AR424+3),""))</f>
        <v/>
      </c>
      <c r="AA424">
        <f>IF(I424="Last day of Bhisma Pancaka","",IF(G424="*",-0.7,IF(ISBLANK(INDEX(GCalXMLT[dclass1],$D424)),"",INDEX(GCalXMLT[dclass1],$D424))))</f>
        <v>-0.7</v>
      </c>
      <c r="AB424" t="str">
        <f>IF(J424="First day of Bhisma Pancaka","",IF(AND(G424="*",NOT(ISERROR(SEARCH("ekadasi",J424)))),-0.7,IF(ISBLANK(INDEX(GCalXMLT[dclass2],$D424)),"",INDEX(GCalXMLT[dclass2],$D424))))</f>
        <v/>
      </c>
      <c r="AC424" t="str">
        <f>IF(I424="Nandotsava",-1,IF(ISBLANK(INDEX(GCalXMLT[dclass3],$D424)),"",INDEX(GCalXMLT[dclass3],$D424)))</f>
        <v/>
      </c>
      <c r="AD424" t="str">
        <f>IF(I424="Nandotsava",IF(ISBLANK(INDEX(GCalXMLT[dclass3],$D424)),"",INDEX(GCalXMLT[dclass3],$D424)),IF(ISBLANK(INDEX(GCalXMLT[dclass4],$D424)),"",INDEX(GCalXMLT[dclass4],$D424)))</f>
        <v/>
      </c>
      <c r="AE424" t="str">
        <f>IFERROR(INDEX(Festivals!$V$2:$V$160,AP424),"")</f>
        <v/>
      </c>
      <c r="AF424" t="str">
        <f>IFERROR(IF($AQ424&gt;1,INDEX(Festivals!$V$2:$V$160,$AP424+1),""),"")</f>
        <v/>
      </c>
      <c r="AG424" t="str">
        <f>IFERROR(IF($AQ424&gt;2,INDEX(Festivals!$V$2:$V$160,$AP424+2),""),"")</f>
        <v/>
      </c>
      <c r="AH424" t="str">
        <f>IFERROR(IF($AQ424&gt;3,INDEX(Festivals!$V$2:$V$160,$AP424+3),""),"")</f>
        <v/>
      </c>
      <c r="AI424" t="str">
        <f>IFERROR(IF($AQ424&gt;4,INDEX(Festivals!$V$2:$V$160,$AP424+4),""),"")</f>
        <v/>
      </c>
      <c r="AJ424" t="str">
        <f>IFERROR(IF($AQ424&gt;5,INDEX(Festivals!$V$2:$V$160,$AP424+5),""),"")</f>
        <v/>
      </c>
      <c r="AK424" t="str">
        <f>IFERROR(IF($AQ424&gt;6,INDEX(Festivals!$V$2:$V$160,$AP424+6),""),"")</f>
        <v/>
      </c>
      <c r="AL424" t="str">
        <f ca="1">IFERROR(INDEX('Holidays Calc'!$J$2:$J$233,MATCH(A424,'Holidays Calc'!$I$2:$I$233,0)),"")</f>
        <v/>
      </c>
      <c r="AM424" t="str">
        <f ca="1">IF(AR424="","",IF(INDEX('Holidays Calc'!$I$2:$I$233,AR424+1)=A424,INDEX('Holidays Calc'!$J$2:$J$233,AR424+1),""))</f>
        <v/>
      </c>
      <c r="AN424" t="str">
        <f ca="1">IF(AR424="","",IF(INDEX('Holidays Calc'!$I$2:$I$233,AR424+2)=A424,INDEX('Holidays Calc'!$J$2:$J$233,AR424+2),""))</f>
        <v/>
      </c>
      <c r="AO424" t="str">
        <f ca="1">IF(AR424="","",IF(INDEX('Holidays Calc'!$I$2:$I$233,AR424+3)=A424,INDEX('Holidays Calc'!$J$2:$J$233,AR424+3),""))</f>
        <v/>
      </c>
      <c r="AP424" t="str">
        <f>IFERROR(IF($E424=E423,"",MATCH($E424,Festivals!$H$2:$H$160,0)),"")</f>
        <v/>
      </c>
      <c r="AQ424" t="str">
        <f>IF(AP424="","",COUNTIF(Festivals!$H$2:$H$160,$E424))</f>
        <v/>
      </c>
      <c r="AR424" t="str">
        <f ca="1">IFERROR(MATCH(A424,'Holidays Calc'!$I$2:$I$233,0),"")</f>
        <v/>
      </c>
      <c r="AS424">
        <f t="shared" si="46"/>
        <v>-0.7</v>
      </c>
      <c r="AT424">
        <f t="shared" si="45"/>
        <v>-0.7</v>
      </c>
      <c r="AU424" t="str">
        <f t="shared" ca="1" si="47"/>
        <v/>
      </c>
      <c r="AV424">
        <f t="shared" ca="1" si="48"/>
        <v>-0.7</v>
      </c>
    </row>
    <row r="425" spans="1:48" x14ac:dyDescent="0.25">
      <c r="A425" s="265">
        <f t="shared" si="44"/>
        <v>43851</v>
      </c>
      <c r="B425" s="265" t="str">
        <f t="shared" si="49"/>
        <v>21 Jan 2020</v>
      </c>
      <c r="C425" s="267">
        <f t="shared" si="50"/>
        <v>4</v>
      </c>
      <c r="D425">
        <f>MATCH(A425,GCalXMLT[daydate],0)</f>
        <v>424</v>
      </c>
      <c r="E425">
        <f>VALUE("1" &amp; Masacod(INDEX(GCalXMLT[gymasa],D425)) &amp; PaksaCod(INDEX(GCalXMLT[mpaksaid],D425)) &amp; TithiCod(INDEX(GCalXMLT[stithiname],D425)))</f>
        <v>111012</v>
      </c>
      <c r="F425" t="str">
        <f ca="1">INDEX(Parameters!$K$2:$K$16,MATCH(AV425,Parameters!$L$2:$L$16,0))</f>
        <v/>
      </c>
      <c r="G425">
        <f>INDEX(GCalXMLT[fastmark],$D425)</f>
        <v>0</v>
      </c>
      <c r="H425" t="str">
        <f ca="1">INDEX(Parameters!$J$2:$J$16,MATCH(AV425,Parameters!$L$2:$L$16,0))</f>
        <v/>
      </c>
      <c r="I425">
        <f>INDEX(GCalXMLT[dfestival1],$D425)</f>
        <v>0</v>
      </c>
      <c r="J425">
        <f>IF(INDEX(GCalXMLT[dfestival2],$D425)="(Fast today)",INDEX(Festivals!$R$2:$R$180,MATCH($I425,Festivals!$R$2:$R$180,0)+1),INDEX(GCalXMLT[dfestival2],$D425))</f>
        <v>0</v>
      </c>
      <c r="K425">
        <f>IF(I425="Nandotsava","(Fast till noon)",INDEX(GCalXMLT[dfestival3],$D425))</f>
        <v>0</v>
      </c>
      <c r="L425">
        <f>IF(I425="Nandotsava", INDEX(GCalXMLT[dfestival3],$D425),INDEX(GCalXMLT[dfestival4],$D425))</f>
        <v>0</v>
      </c>
      <c r="M425" t="str">
        <f>IFERROR(INDEX(Festivals!$S$2:$S$160,AP425),"")</f>
        <v/>
      </c>
      <c r="N425" t="str">
        <f>IFERROR(IF($AQ425&gt;1,INDEX(Festivals!$S$2:$S$160,$AP425+1),""),"")</f>
        <v/>
      </c>
      <c r="O425" t="str">
        <f>IFERROR(IF($AQ425&gt;2,INDEX(Festivals!$S$2:$S$160,$AP425+2),""),"")</f>
        <v/>
      </c>
      <c r="P425" t="str">
        <f>IFERROR(IF($AQ425&gt;3,INDEX(Festivals!$S$2:$S$160,$AP425+3),""),"")</f>
        <v/>
      </c>
      <c r="Q425" t="str">
        <f>IFERROR(IF($AQ425&gt;4,INDEX(Festivals!$S$2:$S$160,$AP425+4),""),"")</f>
        <v/>
      </c>
      <c r="R425" t="str">
        <f>IFERROR(IF($AQ425&gt;5,INDEX(Festivals!$S$2:$S$160,$AP425+5),""),"")</f>
        <v/>
      </c>
      <c r="S425" t="str">
        <f>IFERROR(IF($AQ425&gt;6,INDEX(Festivals!$S$2:$S$160,$AP425+6),""),"")</f>
        <v/>
      </c>
      <c r="T425">
        <f>INDEX(GCalXMLT[dcaturmasya1],$D425)</f>
        <v>0</v>
      </c>
      <c r="U425">
        <f>INDEX(GCalXMLT[dcaturmasya2],$D425)</f>
        <v>0</v>
      </c>
      <c r="V425" t="str">
        <f>INDEX(GCalXMLT[sankrantirasi],$D425) &amp; " " &amp; INDEX(GCalXMLT[sankrantitime],$D425)</f>
        <v xml:space="preserve"> </v>
      </c>
      <c r="W425" t="str">
        <f ca="1">IFERROR(INDEX('Holidays Calc'!$K$2:$K$233,AR425),"")</f>
        <v/>
      </c>
      <c r="X425" t="str">
        <f ca="1">IF(AR425="","",IF(INDEX('Holidays Calc'!$I$2:$I$233,AR425+1)=A425,INDEX('Holidays Calc'!$K$2:$K$233,AR425+1),""))</f>
        <v/>
      </c>
      <c r="Y425" t="str">
        <f ca="1">IF(AR425="","",IF(INDEX('Holidays Calc'!$I$2:$I$233,AR425+2)=A425,INDEX('Holidays Calc'!$K$2:$K$233,AR425+2),""))</f>
        <v/>
      </c>
      <c r="Z425" t="str">
        <f ca="1">IF(AR425="","",IF(INDEX('Holidays Calc'!$I$2:$I$233,AR425+3)=A425,INDEX('Holidays Calc'!$K$2:$K$2333,AR425+3),""))</f>
        <v/>
      </c>
      <c r="AA425" t="str">
        <f>IF(I425="Last day of Bhisma Pancaka","",IF(G425="*",-0.7,IF(ISBLANK(INDEX(GCalXMLT[dclass1],$D425)),"",INDEX(GCalXMLT[dclass1],$D425))))</f>
        <v/>
      </c>
      <c r="AB425" t="str">
        <f>IF(J425="First day of Bhisma Pancaka","",IF(AND(G425="*",NOT(ISERROR(SEARCH("ekadasi",J425)))),-0.7,IF(ISBLANK(INDEX(GCalXMLT[dclass2],$D425)),"",INDEX(GCalXMLT[dclass2],$D425))))</f>
        <v/>
      </c>
      <c r="AC425" t="str">
        <f>IF(I425="Nandotsava",-1,IF(ISBLANK(INDEX(GCalXMLT[dclass3],$D425)),"",INDEX(GCalXMLT[dclass3],$D425)))</f>
        <v/>
      </c>
      <c r="AD425" t="str">
        <f>IF(I425="Nandotsava",IF(ISBLANK(INDEX(GCalXMLT[dclass3],$D425)),"",INDEX(GCalXMLT[dclass3],$D425)),IF(ISBLANK(INDEX(GCalXMLT[dclass4],$D425)),"",INDEX(GCalXMLT[dclass4],$D425)))</f>
        <v/>
      </c>
      <c r="AE425" t="str">
        <f>IFERROR(INDEX(Festivals!$V$2:$V$160,AP425),"")</f>
        <v/>
      </c>
      <c r="AF425" t="str">
        <f>IFERROR(IF($AQ425&gt;1,INDEX(Festivals!$V$2:$V$160,$AP425+1),""),"")</f>
        <v/>
      </c>
      <c r="AG425" t="str">
        <f>IFERROR(IF($AQ425&gt;2,INDEX(Festivals!$V$2:$V$160,$AP425+2),""),"")</f>
        <v/>
      </c>
      <c r="AH425" t="str">
        <f>IFERROR(IF($AQ425&gt;3,INDEX(Festivals!$V$2:$V$160,$AP425+3),""),"")</f>
        <v/>
      </c>
      <c r="AI425" t="str">
        <f>IFERROR(IF($AQ425&gt;4,INDEX(Festivals!$V$2:$V$160,$AP425+4),""),"")</f>
        <v/>
      </c>
      <c r="AJ425" t="str">
        <f>IFERROR(IF($AQ425&gt;5,INDEX(Festivals!$V$2:$V$160,$AP425+5),""),"")</f>
        <v/>
      </c>
      <c r="AK425" t="str">
        <f>IFERROR(IF($AQ425&gt;6,INDEX(Festivals!$V$2:$V$160,$AP425+6),""),"")</f>
        <v/>
      </c>
      <c r="AL425" t="str">
        <f ca="1">IFERROR(INDEX('Holidays Calc'!$J$2:$J$233,MATCH(A425,'Holidays Calc'!$I$2:$I$233,0)),"")</f>
        <v/>
      </c>
      <c r="AM425" t="str">
        <f ca="1">IF(AR425="","",IF(INDEX('Holidays Calc'!$I$2:$I$233,AR425+1)=A425,INDEX('Holidays Calc'!$J$2:$J$233,AR425+1),""))</f>
        <v/>
      </c>
      <c r="AN425" t="str">
        <f ca="1">IF(AR425="","",IF(INDEX('Holidays Calc'!$I$2:$I$233,AR425+2)=A425,INDEX('Holidays Calc'!$J$2:$J$233,AR425+2),""))</f>
        <v/>
      </c>
      <c r="AO425" t="str">
        <f ca="1">IF(AR425="","",IF(INDEX('Holidays Calc'!$I$2:$I$233,AR425+3)=A425,INDEX('Holidays Calc'!$J$2:$J$233,AR425+3),""))</f>
        <v/>
      </c>
      <c r="AP425" t="str">
        <f>IFERROR(IF($E425=E424,"",MATCH($E425,Festivals!$H$2:$H$160,0)),"")</f>
        <v/>
      </c>
      <c r="AQ425" t="str">
        <f>IF(AP425="","",COUNTIF(Festivals!$H$2:$H$160,$E425))</f>
        <v/>
      </c>
      <c r="AR425" t="str">
        <f ca="1">IFERROR(MATCH(A425,'Holidays Calc'!$I$2:$I$233,0),"")</f>
        <v/>
      </c>
      <c r="AS425" t="str">
        <f t="shared" si="46"/>
        <v/>
      </c>
      <c r="AT425" t="str">
        <f t="shared" si="45"/>
        <v/>
      </c>
      <c r="AU425" t="str">
        <f t="shared" ca="1" si="47"/>
        <v/>
      </c>
      <c r="AV425" t="str">
        <f t="shared" ca="1" si="48"/>
        <v/>
      </c>
    </row>
    <row r="426" spans="1:48" x14ac:dyDescent="0.25">
      <c r="A426" s="265">
        <f t="shared" si="44"/>
        <v>43852</v>
      </c>
      <c r="B426" s="265" t="str">
        <f t="shared" si="49"/>
        <v>22 Jan 2020</v>
      </c>
      <c r="C426" s="267">
        <f t="shared" si="50"/>
        <v>4</v>
      </c>
      <c r="D426">
        <f>MATCH(A426,GCalXMLT[daydate],0)</f>
        <v>425</v>
      </c>
      <c r="E426">
        <f>VALUE("1" &amp; Masacod(INDEX(GCalXMLT[gymasa],D426)) &amp; PaksaCod(INDEX(GCalXMLT[mpaksaid],D426)) &amp; TithiCod(INDEX(GCalXMLT[stithiname],D426)))</f>
        <v>111013</v>
      </c>
      <c r="F426" t="str">
        <f ca="1">INDEX(Parameters!$K$2:$K$16,MATCH(AV426,Parameters!$L$2:$L$16,0))</f>
        <v/>
      </c>
      <c r="G426">
        <f>INDEX(GCalXMLT[fastmark],$D426)</f>
        <v>0</v>
      </c>
      <c r="H426" t="str">
        <f ca="1">INDEX(Parameters!$J$2:$J$16,MATCH(AV426,Parameters!$L$2:$L$16,0))</f>
        <v/>
      </c>
      <c r="I426">
        <f>INDEX(GCalXMLT[dfestival1],$D426)</f>
        <v>0</v>
      </c>
      <c r="J426">
        <f>IF(INDEX(GCalXMLT[dfestival2],$D426)="(Fast today)",INDEX(Festivals!$R$2:$R$180,MATCH($I426,Festivals!$R$2:$R$180,0)+1),INDEX(GCalXMLT[dfestival2],$D426))</f>
        <v>0</v>
      </c>
      <c r="K426">
        <f>IF(I426="Nandotsava","(Fast till noon)",INDEX(GCalXMLT[dfestival3],$D426))</f>
        <v>0</v>
      </c>
      <c r="L426">
        <f>IF(I426="Nandotsava", INDEX(GCalXMLT[dfestival3],$D426),INDEX(GCalXMLT[dfestival4],$D426))</f>
        <v>0</v>
      </c>
      <c r="M426" t="str">
        <f>IFERROR(INDEX(Festivals!$S$2:$S$160,AP426),"")</f>
        <v/>
      </c>
      <c r="N426" t="str">
        <f>IFERROR(IF($AQ426&gt;1,INDEX(Festivals!$S$2:$S$160,$AP426+1),""),"")</f>
        <v/>
      </c>
      <c r="O426" t="str">
        <f>IFERROR(IF($AQ426&gt;2,INDEX(Festivals!$S$2:$S$160,$AP426+2),""),"")</f>
        <v/>
      </c>
      <c r="P426" t="str">
        <f>IFERROR(IF($AQ426&gt;3,INDEX(Festivals!$S$2:$S$160,$AP426+3),""),"")</f>
        <v/>
      </c>
      <c r="Q426" t="str">
        <f>IFERROR(IF($AQ426&gt;4,INDEX(Festivals!$S$2:$S$160,$AP426+4),""),"")</f>
        <v/>
      </c>
      <c r="R426" t="str">
        <f>IFERROR(IF($AQ426&gt;5,INDEX(Festivals!$S$2:$S$160,$AP426+5),""),"")</f>
        <v/>
      </c>
      <c r="S426" t="str">
        <f>IFERROR(IF($AQ426&gt;6,INDEX(Festivals!$S$2:$S$160,$AP426+6),""),"")</f>
        <v/>
      </c>
      <c r="T426">
        <f>INDEX(GCalXMLT[dcaturmasya1],$D426)</f>
        <v>0</v>
      </c>
      <c r="U426">
        <f>INDEX(GCalXMLT[dcaturmasya2],$D426)</f>
        <v>0</v>
      </c>
      <c r="V426" t="str">
        <f>INDEX(GCalXMLT[sankrantirasi],$D426) &amp; " " &amp; INDEX(GCalXMLT[sankrantitime],$D426)</f>
        <v xml:space="preserve"> </v>
      </c>
      <c r="W426" t="str">
        <f ca="1">IFERROR(INDEX('Holidays Calc'!$K$2:$K$233,AR426),"")</f>
        <v/>
      </c>
      <c r="X426" t="str">
        <f ca="1">IF(AR426="","",IF(INDEX('Holidays Calc'!$I$2:$I$233,AR426+1)=A426,INDEX('Holidays Calc'!$K$2:$K$233,AR426+1),""))</f>
        <v/>
      </c>
      <c r="Y426" t="str">
        <f ca="1">IF(AR426="","",IF(INDEX('Holidays Calc'!$I$2:$I$233,AR426+2)=A426,INDEX('Holidays Calc'!$K$2:$K$233,AR426+2),""))</f>
        <v/>
      </c>
      <c r="Z426" t="str">
        <f ca="1">IF(AR426="","",IF(INDEX('Holidays Calc'!$I$2:$I$233,AR426+3)=A426,INDEX('Holidays Calc'!$K$2:$K$2333,AR426+3),""))</f>
        <v/>
      </c>
      <c r="AA426" t="str">
        <f>IF(I426="Last day of Bhisma Pancaka","",IF(G426="*",-0.7,IF(ISBLANK(INDEX(GCalXMLT[dclass1],$D426)),"",INDEX(GCalXMLT[dclass1],$D426))))</f>
        <v/>
      </c>
      <c r="AB426" t="str">
        <f>IF(J426="First day of Bhisma Pancaka","",IF(AND(G426="*",NOT(ISERROR(SEARCH("ekadasi",J426)))),-0.7,IF(ISBLANK(INDEX(GCalXMLT[dclass2],$D426)),"",INDEX(GCalXMLT[dclass2],$D426))))</f>
        <v/>
      </c>
      <c r="AC426" t="str">
        <f>IF(I426="Nandotsava",-1,IF(ISBLANK(INDEX(GCalXMLT[dclass3],$D426)),"",INDEX(GCalXMLT[dclass3],$D426)))</f>
        <v/>
      </c>
      <c r="AD426" t="str">
        <f>IF(I426="Nandotsava",IF(ISBLANK(INDEX(GCalXMLT[dclass3],$D426)),"",INDEX(GCalXMLT[dclass3],$D426)),IF(ISBLANK(INDEX(GCalXMLT[dclass4],$D426)),"",INDEX(GCalXMLT[dclass4],$D426)))</f>
        <v/>
      </c>
      <c r="AE426" t="str">
        <f>IFERROR(INDEX(Festivals!$V$2:$V$160,AP426),"")</f>
        <v/>
      </c>
      <c r="AF426" t="str">
        <f>IFERROR(IF($AQ426&gt;1,INDEX(Festivals!$V$2:$V$160,$AP426+1),""),"")</f>
        <v/>
      </c>
      <c r="AG426" t="str">
        <f>IFERROR(IF($AQ426&gt;2,INDEX(Festivals!$V$2:$V$160,$AP426+2),""),"")</f>
        <v/>
      </c>
      <c r="AH426" t="str">
        <f>IFERROR(IF($AQ426&gt;3,INDEX(Festivals!$V$2:$V$160,$AP426+3),""),"")</f>
        <v/>
      </c>
      <c r="AI426" t="str">
        <f>IFERROR(IF($AQ426&gt;4,INDEX(Festivals!$V$2:$V$160,$AP426+4),""),"")</f>
        <v/>
      </c>
      <c r="AJ426" t="str">
        <f>IFERROR(IF($AQ426&gt;5,INDEX(Festivals!$V$2:$V$160,$AP426+5),""),"")</f>
        <v/>
      </c>
      <c r="AK426" t="str">
        <f>IFERROR(IF($AQ426&gt;6,INDEX(Festivals!$V$2:$V$160,$AP426+6),""),"")</f>
        <v/>
      </c>
      <c r="AL426" t="str">
        <f ca="1">IFERROR(INDEX('Holidays Calc'!$J$2:$J$233,MATCH(A426,'Holidays Calc'!$I$2:$I$233,0)),"")</f>
        <v/>
      </c>
      <c r="AM426" t="str">
        <f ca="1">IF(AR426="","",IF(INDEX('Holidays Calc'!$I$2:$I$233,AR426+1)=A426,INDEX('Holidays Calc'!$J$2:$J$233,AR426+1),""))</f>
        <v/>
      </c>
      <c r="AN426" t="str">
        <f ca="1">IF(AR426="","",IF(INDEX('Holidays Calc'!$I$2:$I$233,AR426+2)=A426,INDEX('Holidays Calc'!$J$2:$J$233,AR426+2),""))</f>
        <v/>
      </c>
      <c r="AO426" t="str">
        <f ca="1">IF(AR426="","",IF(INDEX('Holidays Calc'!$I$2:$I$233,AR426+3)=A426,INDEX('Holidays Calc'!$J$2:$J$233,AR426+3),""))</f>
        <v/>
      </c>
      <c r="AP426" t="str">
        <f>IFERROR(IF($E426=E425,"",MATCH($E426,Festivals!$H$2:$H$160,0)),"")</f>
        <v/>
      </c>
      <c r="AQ426" t="str">
        <f>IF(AP426="","",COUNTIF(Festivals!$H$2:$H$160,$E426))</f>
        <v/>
      </c>
      <c r="AR426" t="str">
        <f ca="1">IFERROR(MATCH(A426,'Holidays Calc'!$I$2:$I$233,0),"")</f>
        <v/>
      </c>
      <c r="AS426" t="str">
        <f t="shared" si="46"/>
        <v/>
      </c>
      <c r="AT426" t="str">
        <f t="shared" si="45"/>
        <v/>
      </c>
      <c r="AU426" t="str">
        <f t="shared" ca="1" si="47"/>
        <v/>
      </c>
      <c r="AV426" t="str">
        <f t="shared" ca="1" si="48"/>
        <v/>
      </c>
    </row>
    <row r="427" spans="1:48" x14ac:dyDescent="0.25">
      <c r="A427" s="265">
        <f t="shared" si="44"/>
        <v>43853</v>
      </c>
      <c r="B427" s="265" t="str">
        <f t="shared" si="49"/>
        <v>23 Jan 2020</v>
      </c>
      <c r="C427" s="267">
        <f t="shared" si="50"/>
        <v>4</v>
      </c>
      <c r="D427">
        <f>MATCH(A427,GCalXMLT[daydate],0)</f>
        <v>426</v>
      </c>
      <c r="E427">
        <f>VALUE("1" &amp; Masacod(INDEX(GCalXMLT[gymasa],D427)) &amp; PaksaCod(INDEX(GCalXMLT[mpaksaid],D427)) &amp; TithiCod(INDEX(GCalXMLT[stithiname],D427)))</f>
        <v>111014</v>
      </c>
      <c r="F427" t="str">
        <f ca="1">INDEX(Parameters!$K$2:$K$16,MATCH(AV427,Parameters!$L$2:$L$16,0))</f>
        <v/>
      </c>
      <c r="G427">
        <f>INDEX(GCalXMLT[fastmark],$D427)</f>
        <v>0</v>
      </c>
      <c r="H427" t="str">
        <f ca="1">INDEX(Parameters!$J$2:$J$16,MATCH(AV427,Parameters!$L$2:$L$16,0))</f>
        <v/>
      </c>
      <c r="I427">
        <f>INDEX(GCalXMLT[dfestival1],$D427)</f>
        <v>0</v>
      </c>
      <c r="J427">
        <f>IF(INDEX(GCalXMLT[dfestival2],$D427)="(Fast today)",INDEX(Festivals!$R$2:$R$180,MATCH($I427,Festivals!$R$2:$R$180,0)+1),INDEX(GCalXMLT[dfestival2],$D427))</f>
        <v>0</v>
      </c>
      <c r="K427">
        <f>IF(I427="Nandotsava","(Fast till noon)",INDEX(GCalXMLT[dfestival3],$D427))</f>
        <v>0</v>
      </c>
      <c r="L427">
        <f>IF(I427="Nandotsava", INDEX(GCalXMLT[dfestival3],$D427),INDEX(GCalXMLT[dfestival4],$D427))</f>
        <v>0</v>
      </c>
      <c r="M427" t="str">
        <f>IFERROR(INDEX(Festivals!$S$2:$S$160,AP427),"")</f>
        <v/>
      </c>
      <c r="N427" t="str">
        <f>IFERROR(IF($AQ427&gt;1,INDEX(Festivals!$S$2:$S$160,$AP427+1),""),"")</f>
        <v/>
      </c>
      <c r="O427" t="str">
        <f>IFERROR(IF($AQ427&gt;2,INDEX(Festivals!$S$2:$S$160,$AP427+2),""),"")</f>
        <v/>
      </c>
      <c r="P427" t="str">
        <f>IFERROR(IF($AQ427&gt;3,INDEX(Festivals!$S$2:$S$160,$AP427+3),""),"")</f>
        <v/>
      </c>
      <c r="Q427" t="str">
        <f>IFERROR(IF($AQ427&gt;4,INDEX(Festivals!$S$2:$S$160,$AP427+4),""),"")</f>
        <v/>
      </c>
      <c r="R427" t="str">
        <f>IFERROR(IF($AQ427&gt;5,INDEX(Festivals!$S$2:$S$160,$AP427+5),""),"")</f>
        <v/>
      </c>
      <c r="S427" t="str">
        <f>IFERROR(IF($AQ427&gt;6,INDEX(Festivals!$S$2:$S$160,$AP427+6),""),"")</f>
        <v/>
      </c>
      <c r="T427">
        <f>INDEX(GCalXMLT[dcaturmasya1],$D427)</f>
        <v>0</v>
      </c>
      <c r="U427">
        <f>INDEX(GCalXMLT[dcaturmasya2],$D427)</f>
        <v>0</v>
      </c>
      <c r="V427" t="str">
        <f>INDEX(GCalXMLT[sankrantirasi],$D427) &amp; " " &amp; INDEX(GCalXMLT[sankrantitime],$D427)</f>
        <v xml:space="preserve"> </v>
      </c>
      <c r="W427" t="str">
        <f ca="1">IFERROR(INDEX('Holidays Calc'!$K$2:$K$233,AR427),"")</f>
        <v/>
      </c>
      <c r="X427" t="str">
        <f ca="1">IF(AR427="","",IF(INDEX('Holidays Calc'!$I$2:$I$233,AR427+1)=A427,INDEX('Holidays Calc'!$K$2:$K$233,AR427+1),""))</f>
        <v/>
      </c>
      <c r="Y427" t="str">
        <f ca="1">IF(AR427="","",IF(INDEX('Holidays Calc'!$I$2:$I$233,AR427+2)=A427,INDEX('Holidays Calc'!$K$2:$K$233,AR427+2),""))</f>
        <v/>
      </c>
      <c r="Z427" t="str">
        <f ca="1">IF(AR427="","",IF(INDEX('Holidays Calc'!$I$2:$I$233,AR427+3)=A427,INDEX('Holidays Calc'!$K$2:$K$2333,AR427+3),""))</f>
        <v/>
      </c>
      <c r="AA427" t="str">
        <f>IF(I427="Last day of Bhisma Pancaka","",IF(G427="*",-0.7,IF(ISBLANK(INDEX(GCalXMLT[dclass1],$D427)),"",INDEX(GCalXMLT[dclass1],$D427))))</f>
        <v/>
      </c>
      <c r="AB427" t="str">
        <f>IF(J427="First day of Bhisma Pancaka","",IF(AND(G427="*",NOT(ISERROR(SEARCH("ekadasi",J427)))),-0.7,IF(ISBLANK(INDEX(GCalXMLT[dclass2],$D427)),"",INDEX(GCalXMLT[dclass2],$D427))))</f>
        <v/>
      </c>
      <c r="AC427" t="str">
        <f>IF(I427="Nandotsava",-1,IF(ISBLANK(INDEX(GCalXMLT[dclass3],$D427)),"",INDEX(GCalXMLT[dclass3],$D427)))</f>
        <v/>
      </c>
      <c r="AD427" t="str">
        <f>IF(I427="Nandotsava",IF(ISBLANK(INDEX(GCalXMLT[dclass3],$D427)),"",INDEX(GCalXMLT[dclass3],$D427)),IF(ISBLANK(INDEX(GCalXMLT[dclass4],$D427)),"",INDEX(GCalXMLT[dclass4],$D427)))</f>
        <v/>
      </c>
      <c r="AE427" t="str">
        <f>IFERROR(INDEX(Festivals!$V$2:$V$160,AP427),"")</f>
        <v/>
      </c>
      <c r="AF427" t="str">
        <f>IFERROR(IF($AQ427&gt;1,INDEX(Festivals!$V$2:$V$160,$AP427+1),""),"")</f>
        <v/>
      </c>
      <c r="AG427" t="str">
        <f>IFERROR(IF($AQ427&gt;2,INDEX(Festivals!$V$2:$V$160,$AP427+2),""),"")</f>
        <v/>
      </c>
      <c r="AH427" t="str">
        <f>IFERROR(IF($AQ427&gt;3,INDEX(Festivals!$V$2:$V$160,$AP427+3),""),"")</f>
        <v/>
      </c>
      <c r="AI427" t="str">
        <f>IFERROR(IF($AQ427&gt;4,INDEX(Festivals!$V$2:$V$160,$AP427+4),""),"")</f>
        <v/>
      </c>
      <c r="AJ427" t="str">
        <f>IFERROR(IF($AQ427&gt;5,INDEX(Festivals!$V$2:$V$160,$AP427+5),""),"")</f>
        <v/>
      </c>
      <c r="AK427" t="str">
        <f>IFERROR(IF($AQ427&gt;6,INDEX(Festivals!$V$2:$V$160,$AP427+6),""),"")</f>
        <v/>
      </c>
      <c r="AL427" t="str">
        <f ca="1">IFERROR(INDEX('Holidays Calc'!$J$2:$J$233,MATCH(A427,'Holidays Calc'!$I$2:$I$233,0)),"")</f>
        <v/>
      </c>
      <c r="AM427" t="str">
        <f ca="1">IF(AR427="","",IF(INDEX('Holidays Calc'!$I$2:$I$233,AR427+1)=A427,INDEX('Holidays Calc'!$J$2:$J$233,AR427+1),""))</f>
        <v/>
      </c>
      <c r="AN427" t="str">
        <f ca="1">IF(AR427="","",IF(INDEX('Holidays Calc'!$I$2:$I$233,AR427+2)=A427,INDEX('Holidays Calc'!$J$2:$J$233,AR427+2),""))</f>
        <v/>
      </c>
      <c r="AO427" t="str">
        <f ca="1">IF(AR427="","",IF(INDEX('Holidays Calc'!$I$2:$I$233,AR427+3)=A427,INDEX('Holidays Calc'!$J$2:$J$233,AR427+3),""))</f>
        <v/>
      </c>
      <c r="AP427" t="str">
        <f>IFERROR(IF($E427=E426,"",MATCH($E427,Festivals!$H$2:$H$160,0)),"")</f>
        <v/>
      </c>
      <c r="AQ427" t="str">
        <f>IF(AP427="","",COUNTIF(Festivals!$H$2:$H$160,$E427))</f>
        <v/>
      </c>
      <c r="AR427" t="str">
        <f ca="1">IFERROR(MATCH(A427,'Holidays Calc'!$I$2:$I$233,0),"")</f>
        <v/>
      </c>
      <c r="AS427" t="str">
        <f t="shared" si="46"/>
        <v/>
      </c>
      <c r="AT427" t="str">
        <f t="shared" si="45"/>
        <v/>
      </c>
      <c r="AU427" t="str">
        <f t="shared" ca="1" si="47"/>
        <v/>
      </c>
      <c r="AV427" t="str">
        <f t="shared" ca="1" si="48"/>
        <v/>
      </c>
    </row>
    <row r="428" spans="1:48" x14ac:dyDescent="0.25">
      <c r="A428" s="265">
        <f t="shared" si="44"/>
        <v>43854</v>
      </c>
      <c r="B428" s="265" t="str">
        <f t="shared" si="49"/>
        <v>24 Jan 2020</v>
      </c>
      <c r="C428" s="267">
        <f t="shared" si="50"/>
        <v>4</v>
      </c>
      <c r="D428">
        <f>MATCH(A428,GCalXMLT[daydate],0)</f>
        <v>427</v>
      </c>
      <c r="E428">
        <f>VALUE("1" &amp; Masacod(INDEX(GCalXMLT[gymasa],D428)) &amp; PaksaCod(INDEX(GCalXMLT[mpaksaid],D428)) &amp; TithiCod(INDEX(GCalXMLT[stithiname],D428)))</f>
        <v>111015</v>
      </c>
      <c r="F428" t="str">
        <f ca="1">INDEX(Parameters!$K$2:$K$16,MATCH(AV428,Parameters!$L$2:$L$16,0))</f>
        <v/>
      </c>
      <c r="G428">
        <f>INDEX(GCalXMLT[fastmark],$D428)</f>
        <v>0</v>
      </c>
      <c r="H428" t="str">
        <f ca="1">INDEX(Parameters!$J$2:$J$16,MATCH(AV428,Parameters!$L$2:$L$16,0))</f>
        <v/>
      </c>
      <c r="I428">
        <f>INDEX(GCalXMLT[dfestival1],$D428)</f>
        <v>0</v>
      </c>
      <c r="J428">
        <f>IF(INDEX(GCalXMLT[dfestival2],$D428)="(Fast today)",INDEX(Festivals!$R$2:$R$180,MATCH($I428,Festivals!$R$2:$R$180,0)+1),INDEX(GCalXMLT[dfestival2],$D428))</f>
        <v>0</v>
      </c>
      <c r="K428">
        <f>IF(I428="Nandotsava","(Fast till noon)",INDEX(GCalXMLT[dfestival3],$D428))</f>
        <v>0</v>
      </c>
      <c r="L428">
        <f>IF(I428="Nandotsava", INDEX(GCalXMLT[dfestival3],$D428),INDEX(GCalXMLT[dfestival4],$D428))</f>
        <v>0</v>
      </c>
      <c r="M428" t="str">
        <f>IFERROR(INDEX(Festivals!$S$2:$S$160,AP428),"")</f>
        <v/>
      </c>
      <c r="N428" t="str">
        <f>IFERROR(IF($AQ428&gt;1,INDEX(Festivals!$S$2:$S$160,$AP428+1),""),"")</f>
        <v/>
      </c>
      <c r="O428" t="str">
        <f>IFERROR(IF($AQ428&gt;2,INDEX(Festivals!$S$2:$S$160,$AP428+2),""),"")</f>
        <v/>
      </c>
      <c r="P428" t="str">
        <f>IFERROR(IF($AQ428&gt;3,INDEX(Festivals!$S$2:$S$160,$AP428+3),""),"")</f>
        <v/>
      </c>
      <c r="Q428" t="str">
        <f>IFERROR(IF($AQ428&gt;4,INDEX(Festivals!$S$2:$S$160,$AP428+4),""),"")</f>
        <v/>
      </c>
      <c r="R428" t="str">
        <f>IFERROR(IF($AQ428&gt;5,INDEX(Festivals!$S$2:$S$160,$AP428+5),""),"")</f>
        <v/>
      </c>
      <c r="S428" t="str">
        <f>IFERROR(IF($AQ428&gt;6,INDEX(Festivals!$S$2:$S$160,$AP428+6),""),"")</f>
        <v/>
      </c>
      <c r="T428">
        <f>INDEX(GCalXMLT[dcaturmasya1],$D428)</f>
        <v>0</v>
      </c>
      <c r="U428">
        <f>INDEX(GCalXMLT[dcaturmasya2],$D428)</f>
        <v>0</v>
      </c>
      <c r="V428" t="str">
        <f>INDEX(GCalXMLT[sankrantirasi],$D428) &amp; " " &amp; INDEX(GCalXMLT[sankrantitime],$D428)</f>
        <v xml:space="preserve"> </v>
      </c>
      <c r="W428" t="str">
        <f ca="1">IFERROR(INDEX('Holidays Calc'!$K$2:$K$233,AR428),"")</f>
        <v/>
      </c>
      <c r="X428" t="str">
        <f ca="1">IF(AR428="","",IF(INDEX('Holidays Calc'!$I$2:$I$233,AR428+1)=A428,INDEX('Holidays Calc'!$K$2:$K$233,AR428+1),""))</f>
        <v/>
      </c>
      <c r="Y428" t="str">
        <f ca="1">IF(AR428="","",IF(INDEX('Holidays Calc'!$I$2:$I$233,AR428+2)=A428,INDEX('Holidays Calc'!$K$2:$K$233,AR428+2),""))</f>
        <v/>
      </c>
      <c r="Z428" t="str">
        <f ca="1">IF(AR428="","",IF(INDEX('Holidays Calc'!$I$2:$I$233,AR428+3)=A428,INDEX('Holidays Calc'!$K$2:$K$2333,AR428+3),""))</f>
        <v/>
      </c>
      <c r="AA428" t="str">
        <f>IF(I428="Last day of Bhisma Pancaka","",IF(G428="*",-0.7,IF(ISBLANK(INDEX(GCalXMLT[dclass1],$D428)),"",INDEX(GCalXMLT[dclass1],$D428))))</f>
        <v/>
      </c>
      <c r="AB428" t="str">
        <f>IF(J428="First day of Bhisma Pancaka","",IF(AND(G428="*",NOT(ISERROR(SEARCH("ekadasi",J428)))),-0.7,IF(ISBLANK(INDEX(GCalXMLT[dclass2],$D428)),"",INDEX(GCalXMLT[dclass2],$D428))))</f>
        <v/>
      </c>
      <c r="AC428" t="str">
        <f>IF(I428="Nandotsava",-1,IF(ISBLANK(INDEX(GCalXMLT[dclass3],$D428)),"",INDEX(GCalXMLT[dclass3],$D428)))</f>
        <v/>
      </c>
      <c r="AD428" t="str">
        <f>IF(I428="Nandotsava",IF(ISBLANK(INDEX(GCalXMLT[dclass3],$D428)),"",INDEX(GCalXMLT[dclass3],$D428)),IF(ISBLANK(INDEX(GCalXMLT[dclass4],$D428)),"",INDEX(GCalXMLT[dclass4],$D428)))</f>
        <v/>
      </c>
      <c r="AE428" t="str">
        <f>IFERROR(INDEX(Festivals!$V$2:$V$160,AP428),"")</f>
        <v/>
      </c>
      <c r="AF428" t="str">
        <f>IFERROR(IF($AQ428&gt;1,INDEX(Festivals!$V$2:$V$160,$AP428+1),""),"")</f>
        <v/>
      </c>
      <c r="AG428" t="str">
        <f>IFERROR(IF($AQ428&gt;2,INDEX(Festivals!$V$2:$V$160,$AP428+2),""),"")</f>
        <v/>
      </c>
      <c r="AH428" t="str">
        <f>IFERROR(IF($AQ428&gt;3,INDEX(Festivals!$V$2:$V$160,$AP428+3),""),"")</f>
        <v/>
      </c>
      <c r="AI428" t="str">
        <f>IFERROR(IF($AQ428&gt;4,INDEX(Festivals!$V$2:$V$160,$AP428+4),""),"")</f>
        <v/>
      </c>
      <c r="AJ428" t="str">
        <f>IFERROR(IF($AQ428&gt;5,INDEX(Festivals!$V$2:$V$160,$AP428+5),""),"")</f>
        <v/>
      </c>
      <c r="AK428" t="str">
        <f>IFERROR(IF($AQ428&gt;6,INDEX(Festivals!$V$2:$V$160,$AP428+6),""),"")</f>
        <v/>
      </c>
      <c r="AL428" t="str">
        <f ca="1">IFERROR(INDEX('Holidays Calc'!$J$2:$J$233,MATCH(A428,'Holidays Calc'!$I$2:$I$233,0)),"")</f>
        <v/>
      </c>
      <c r="AM428" t="str">
        <f ca="1">IF(AR428="","",IF(INDEX('Holidays Calc'!$I$2:$I$233,AR428+1)=A428,INDEX('Holidays Calc'!$J$2:$J$233,AR428+1),""))</f>
        <v/>
      </c>
      <c r="AN428" t="str">
        <f ca="1">IF(AR428="","",IF(INDEX('Holidays Calc'!$I$2:$I$233,AR428+2)=A428,INDEX('Holidays Calc'!$J$2:$J$233,AR428+2),""))</f>
        <v/>
      </c>
      <c r="AO428" t="str">
        <f ca="1">IF(AR428="","",IF(INDEX('Holidays Calc'!$I$2:$I$233,AR428+3)=A428,INDEX('Holidays Calc'!$J$2:$J$233,AR428+3),""))</f>
        <v/>
      </c>
      <c r="AP428" t="str">
        <f>IFERROR(IF($E428=E427,"",MATCH($E428,Festivals!$H$2:$H$160,0)),"")</f>
        <v/>
      </c>
      <c r="AQ428" t="str">
        <f>IF(AP428="","",COUNTIF(Festivals!$H$2:$H$160,$E428))</f>
        <v/>
      </c>
      <c r="AR428" t="str">
        <f ca="1">IFERROR(MATCH(A428,'Holidays Calc'!$I$2:$I$233,0),"")</f>
        <v/>
      </c>
      <c r="AS428" t="str">
        <f t="shared" si="46"/>
        <v/>
      </c>
      <c r="AT428" t="str">
        <f t="shared" si="45"/>
        <v/>
      </c>
      <c r="AU428" t="str">
        <f t="shared" ca="1" si="47"/>
        <v/>
      </c>
      <c r="AV428" t="str">
        <f t="shared" ca="1" si="48"/>
        <v/>
      </c>
    </row>
    <row r="429" spans="1:48" x14ac:dyDescent="0.25">
      <c r="A429" s="265">
        <f t="shared" si="44"/>
        <v>43855</v>
      </c>
      <c r="B429" s="265" t="str">
        <f t="shared" si="49"/>
        <v>25 Jan 2020</v>
      </c>
      <c r="C429" s="267">
        <f t="shared" si="50"/>
        <v>4</v>
      </c>
      <c r="D429">
        <f>MATCH(A429,GCalXMLT[daydate],0)</f>
        <v>428</v>
      </c>
      <c r="E429">
        <f>VALUE("1" &amp; Masacod(INDEX(GCalXMLT[gymasa],D429)) &amp; PaksaCod(INDEX(GCalXMLT[mpaksaid],D429)) &amp; TithiCod(INDEX(GCalXMLT[stithiname],D429)))</f>
        <v>111101</v>
      </c>
      <c r="F429" t="str">
        <f ca="1">INDEX(Parameters!$K$2:$K$16,MATCH(AV429,Parameters!$L$2:$L$16,0))</f>
        <v/>
      </c>
      <c r="G429">
        <f>INDEX(GCalXMLT[fastmark],$D429)</f>
        <v>0</v>
      </c>
      <c r="H429" t="str">
        <f ca="1">INDEX(Parameters!$J$2:$J$16,MATCH(AV429,Parameters!$L$2:$L$16,0))</f>
        <v/>
      </c>
      <c r="I429">
        <f>INDEX(GCalXMLT[dfestival1],$D429)</f>
        <v>0</v>
      </c>
      <c r="J429">
        <f>IF(INDEX(GCalXMLT[dfestival2],$D429)="(Fast today)",INDEX(Festivals!$R$2:$R$180,MATCH($I429,Festivals!$R$2:$R$180,0)+1),INDEX(GCalXMLT[dfestival2],$D429))</f>
        <v>0</v>
      </c>
      <c r="K429">
        <f>IF(I429="Nandotsava","(Fast till noon)",INDEX(GCalXMLT[dfestival3],$D429))</f>
        <v>0</v>
      </c>
      <c r="L429">
        <f>IF(I429="Nandotsava", INDEX(GCalXMLT[dfestival3],$D429),INDEX(GCalXMLT[dfestival4],$D429))</f>
        <v>0</v>
      </c>
      <c r="M429" t="str">
        <f>IFERROR(INDEX(Festivals!$S$2:$S$160,AP429),"")</f>
        <v/>
      </c>
      <c r="N429" t="str">
        <f>IFERROR(IF($AQ429&gt;1,INDEX(Festivals!$S$2:$S$160,$AP429+1),""),"")</f>
        <v/>
      </c>
      <c r="O429" t="str">
        <f>IFERROR(IF($AQ429&gt;2,INDEX(Festivals!$S$2:$S$160,$AP429+2),""),"")</f>
        <v/>
      </c>
      <c r="P429" t="str">
        <f>IFERROR(IF($AQ429&gt;3,INDEX(Festivals!$S$2:$S$160,$AP429+3),""),"")</f>
        <v/>
      </c>
      <c r="Q429" t="str">
        <f>IFERROR(IF($AQ429&gt;4,INDEX(Festivals!$S$2:$S$160,$AP429+4),""),"")</f>
        <v/>
      </c>
      <c r="R429" t="str">
        <f>IFERROR(IF($AQ429&gt;5,INDEX(Festivals!$S$2:$S$160,$AP429+5),""),"")</f>
        <v/>
      </c>
      <c r="S429" t="str">
        <f>IFERROR(IF($AQ429&gt;6,INDEX(Festivals!$S$2:$S$160,$AP429+6),""),"")</f>
        <v/>
      </c>
      <c r="T429">
        <f>INDEX(GCalXMLT[dcaturmasya1],$D429)</f>
        <v>0</v>
      </c>
      <c r="U429">
        <f>INDEX(GCalXMLT[dcaturmasya2],$D429)</f>
        <v>0</v>
      </c>
      <c r="V429" t="str">
        <f>INDEX(GCalXMLT[sankrantirasi],$D429) &amp; " " &amp; INDEX(GCalXMLT[sankrantitime],$D429)</f>
        <v xml:space="preserve"> </v>
      </c>
      <c r="W429" t="str">
        <f ca="1">IFERROR(INDEX('Holidays Calc'!$K$2:$K$233,AR429),"")</f>
        <v/>
      </c>
      <c r="X429" t="str">
        <f ca="1">IF(AR429="","",IF(INDEX('Holidays Calc'!$I$2:$I$233,AR429+1)=A429,INDEX('Holidays Calc'!$K$2:$K$233,AR429+1),""))</f>
        <v/>
      </c>
      <c r="Y429" t="str">
        <f ca="1">IF(AR429="","",IF(INDEX('Holidays Calc'!$I$2:$I$233,AR429+2)=A429,INDEX('Holidays Calc'!$K$2:$K$233,AR429+2),""))</f>
        <v/>
      </c>
      <c r="Z429" t="str">
        <f ca="1">IF(AR429="","",IF(INDEX('Holidays Calc'!$I$2:$I$233,AR429+3)=A429,INDEX('Holidays Calc'!$K$2:$K$2333,AR429+3),""))</f>
        <v/>
      </c>
      <c r="AA429" t="str">
        <f>IF(I429="Last day of Bhisma Pancaka","",IF(G429="*",-0.7,IF(ISBLANK(INDEX(GCalXMLT[dclass1],$D429)),"",INDEX(GCalXMLT[dclass1],$D429))))</f>
        <v/>
      </c>
      <c r="AB429" t="str">
        <f>IF(J429="First day of Bhisma Pancaka","",IF(AND(G429="*",NOT(ISERROR(SEARCH("ekadasi",J429)))),-0.7,IF(ISBLANK(INDEX(GCalXMLT[dclass2],$D429)),"",INDEX(GCalXMLT[dclass2],$D429))))</f>
        <v/>
      </c>
      <c r="AC429" t="str">
        <f>IF(I429="Nandotsava",-1,IF(ISBLANK(INDEX(GCalXMLT[dclass3],$D429)),"",INDEX(GCalXMLT[dclass3],$D429)))</f>
        <v/>
      </c>
      <c r="AD429" t="str">
        <f>IF(I429="Nandotsava",IF(ISBLANK(INDEX(GCalXMLT[dclass3],$D429)),"",INDEX(GCalXMLT[dclass3],$D429)),IF(ISBLANK(INDEX(GCalXMLT[dclass4],$D429)),"",INDEX(GCalXMLT[dclass4],$D429)))</f>
        <v/>
      </c>
      <c r="AE429" t="str">
        <f>IFERROR(INDEX(Festivals!$V$2:$V$160,AP429),"")</f>
        <v/>
      </c>
      <c r="AF429" t="str">
        <f>IFERROR(IF($AQ429&gt;1,INDEX(Festivals!$V$2:$V$160,$AP429+1),""),"")</f>
        <v/>
      </c>
      <c r="AG429" t="str">
        <f>IFERROR(IF($AQ429&gt;2,INDEX(Festivals!$V$2:$V$160,$AP429+2),""),"")</f>
        <v/>
      </c>
      <c r="AH429" t="str">
        <f>IFERROR(IF($AQ429&gt;3,INDEX(Festivals!$V$2:$V$160,$AP429+3),""),"")</f>
        <v/>
      </c>
      <c r="AI429" t="str">
        <f>IFERROR(IF($AQ429&gt;4,INDEX(Festivals!$V$2:$V$160,$AP429+4),""),"")</f>
        <v/>
      </c>
      <c r="AJ429" t="str">
        <f>IFERROR(IF($AQ429&gt;5,INDEX(Festivals!$V$2:$V$160,$AP429+5),""),"")</f>
        <v/>
      </c>
      <c r="AK429" t="str">
        <f>IFERROR(IF($AQ429&gt;6,INDEX(Festivals!$V$2:$V$160,$AP429+6),""),"")</f>
        <v/>
      </c>
      <c r="AL429" t="str">
        <f ca="1">IFERROR(INDEX('Holidays Calc'!$J$2:$J$233,MATCH(A429,'Holidays Calc'!$I$2:$I$233,0)),"")</f>
        <v/>
      </c>
      <c r="AM429" t="str">
        <f ca="1">IF(AR429="","",IF(INDEX('Holidays Calc'!$I$2:$I$233,AR429+1)=A429,INDEX('Holidays Calc'!$J$2:$J$233,AR429+1),""))</f>
        <v/>
      </c>
      <c r="AN429" t="str">
        <f ca="1">IF(AR429="","",IF(INDEX('Holidays Calc'!$I$2:$I$233,AR429+2)=A429,INDEX('Holidays Calc'!$J$2:$J$233,AR429+2),""))</f>
        <v/>
      </c>
      <c r="AO429" t="str">
        <f ca="1">IF(AR429="","",IF(INDEX('Holidays Calc'!$I$2:$I$233,AR429+3)=A429,INDEX('Holidays Calc'!$J$2:$J$233,AR429+3),""))</f>
        <v/>
      </c>
      <c r="AP429" t="str">
        <f>IFERROR(IF($E429=E428,"",MATCH($E429,Festivals!$H$2:$H$160,0)),"")</f>
        <v/>
      </c>
      <c r="AQ429" t="str">
        <f>IF(AP429="","",COUNTIF(Festivals!$H$2:$H$160,$E429))</f>
        <v/>
      </c>
      <c r="AR429" t="str">
        <f ca="1">IFERROR(MATCH(A429,'Holidays Calc'!$I$2:$I$233,0),"")</f>
        <v/>
      </c>
      <c r="AS429" t="str">
        <f t="shared" si="46"/>
        <v/>
      </c>
      <c r="AT429" t="str">
        <f t="shared" si="45"/>
        <v/>
      </c>
      <c r="AU429" t="str">
        <f t="shared" ca="1" si="47"/>
        <v/>
      </c>
      <c r="AV429" t="str">
        <f t="shared" ca="1" si="48"/>
        <v/>
      </c>
    </row>
    <row r="430" spans="1:48" x14ac:dyDescent="0.25">
      <c r="A430" s="265">
        <f t="shared" si="44"/>
        <v>43856</v>
      </c>
      <c r="B430" s="265" t="str">
        <f t="shared" si="49"/>
        <v>26 Jan 2020</v>
      </c>
      <c r="C430" s="267">
        <f t="shared" si="50"/>
        <v>4</v>
      </c>
      <c r="D430">
        <f>MATCH(A430,GCalXMLT[daydate],0)</f>
        <v>429</v>
      </c>
      <c r="E430">
        <f>VALUE("1" &amp; Masacod(INDEX(GCalXMLT[gymasa],D430)) &amp; PaksaCod(INDEX(GCalXMLT[mpaksaid],D430)) &amp; TithiCod(INDEX(GCalXMLT[stithiname],D430)))</f>
        <v>111102</v>
      </c>
      <c r="F430" t="str">
        <f ca="1">INDEX(Parameters!$K$2:$K$16,MATCH(AV430,Parameters!$L$2:$L$16,0))</f>
        <v/>
      </c>
      <c r="G430">
        <f>INDEX(GCalXMLT[fastmark],$D430)</f>
        <v>0</v>
      </c>
      <c r="H430" t="str">
        <f ca="1">INDEX(Parameters!$J$2:$J$16,MATCH(AV430,Parameters!$L$2:$L$16,0))</f>
        <v/>
      </c>
      <c r="I430">
        <f>INDEX(GCalXMLT[dfestival1],$D430)</f>
        <v>0</v>
      </c>
      <c r="J430">
        <f>IF(INDEX(GCalXMLT[dfestival2],$D430)="(Fast today)",INDEX(Festivals!$R$2:$R$180,MATCH($I430,Festivals!$R$2:$R$180,0)+1),INDEX(GCalXMLT[dfestival2],$D430))</f>
        <v>0</v>
      </c>
      <c r="K430">
        <f>IF(I430="Nandotsava","(Fast till noon)",INDEX(GCalXMLT[dfestival3],$D430))</f>
        <v>0</v>
      </c>
      <c r="L430">
        <f>IF(I430="Nandotsava", INDEX(GCalXMLT[dfestival3],$D430),INDEX(GCalXMLT[dfestival4],$D430))</f>
        <v>0</v>
      </c>
      <c r="M430" t="str">
        <f>IFERROR(INDEX(Festivals!$S$2:$S$160,AP430),"")</f>
        <v/>
      </c>
      <c r="N430" t="str">
        <f>IFERROR(IF($AQ430&gt;1,INDEX(Festivals!$S$2:$S$160,$AP430+1),""),"")</f>
        <v/>
      </c>
      <c r="O430" t="str">
        <f>IFERROR(IF($AQ430&gt;2,INDEX(Festivals!$S$2:$S$160,$AP430+2),""),"")</f>
        <v/>
      </c>
      <c r="P430" t="str">
        <f>IFERROR(IF($AQ430&gt;3,INDEX(Festivals!$S$2:$S$160,$AP430+3),""),"")</f>
        <v/>
      </c>
      <c r="Q430" t="str">
        <f>IFERROR(IF($AQ430&gt;4,INDEX(Festivals!$S$2:$S$160,$AP430+4),""),"")</f>
        <v/>
      </c>
      <c r="R430" t="str">
        <f>IFERROR(IF($AQ430&gt;5,INDEX(Festivals!$S$2:$S$160,$AP430+5),""),"")</f>
        <v/>
      </c>
      <c r="S430" t="str">
        <f>IFERROR(IF($AQ430&gt;6,INDEX(Festivals!$S$2:$S$160,$AP430+6),""),"")</f>
        <v/>
      </c>
      <c r="T430">
        <f>INDEX(GCalXMLT[dcaturmasya1],$D430)</f>
        <v>0</v>
      </c>
      <c r="U430">
        <f>INDEX(GCalXMLT[dcaturmasya2],$D430)</f>
        <v>0</v>
      </c>
      <c r="V430" t="str">
        <f>INDEX(GCalXMLT[sankrantirasi],$D430) &amp; " " &amp; INDEX(GCalXMLT[sankrantitime],$D430)</f>
        <v xml:space="preserve"> </v>
      </c>
      <c r="W430" t="str">
        <f ca="1">IFERROR(INDEX('Holidays Calc'!$K$2:$K$233,AR430),"")</f>
        <v/>
      </c>
      <c r="X430" t="str">
        <f ca="1">IF(AR430="","",IF(INDEX('Holidays Calc'!$I$2:$I$233,AR430+1)=A430,INDEX('Holidays Calc'!$K$2:$K$233,AR430+1),""))</f>
        <v/>
      </c>
      <c r="Y430" t="str">
        <f ca="1">IF(AR430="","",IF(INDEX('Holidays Calc'!$I$2:$I$233,AR430+2)=A430,INDEX('Holidays Calc'!$K$2:$K$233,AR430+2),""))</f>
        <v/>
      </c>
      <c r="Z430" t="str">
        <f ca="1">IF(AR430="","",IF(INDEX('Holidays Calc'!$I$2:$I$233,AR430+3)=A430,INDEX('Holidays Calc'!$K$2:$K$2333,AR430+3),""))</f>
        <v/>
      </c>
      <c r="AA430" t="str">
        <f>IF(I430="Last day of Bhisma Pancaka","",IF(G430="*",-0.7,IF(ISBLANK(INDEX(GCalXMLT[dclass1],$D430)),"",INDEX(GCalXMLT[dclass1],$D430))))</f>
        <v/>
      </c>
      <c r="AB430" t="str">
        <f>IF(J430="First day of Bhisma Pancaka","",IF(AND(G430="*",NOT(ISERROR(SEARCH("ekadasi",J430)))),-0.7,IF(ISBLANK(INDEX(GCalXMLT[dclass2],$D430)),"",INDEX(GCalXMLT[dclass2],$D430))))</f>
        <v/>
      </c>
      <c r="AC430" t="str">
        <f>IF(I430="Nandotsava",-1,IF(ISBLANK(INDEX(GCalXMLT[dclass3],$D430)),"",INDEX(GCalXMLT[dclass3],$D430)))</f>
        <v/>
      </c>
      <c r="AD430" t="str">
        <f>IF(I430="Nandotsava",IF(ISBLANK(INDEX(GCalXMLT[dclass3],$D430)),"",INDEX(GCalXMLT[dclass3],$D430)),IF(ISBLANK(INDEX(GCalXMLT[dclass4],$D430)),"",INDEX(GCalXMLT[dclass4],$D430)))</f>
        <v/>
      </c>
      <c r="AE430" t="str">
        <f>IFERROR(INDEX(Festivals!$V$2:$V$160,AP430),"")</f>
        <v/>
      </c>
      <c r="AF430" t="str">
        <f>IFERROR(IF($AQ430&gt;1,INDEX(Festivals!$V$2:$V$160,$AP430+1),""),"")</f>
        <v/>
      </c>
      <c r="AG430" t="str">
        <f>IFERROR(IF($AQ430&gt;2,INDEX(Festivals!$V$2:$V$160,$AP430+2),""),"")</f>
        <v/>
      </c>
      <c r="AH430" t="str">
        <f>IFERROR(IF($AQ430&gt;3,INDEX(Festivals!$V$2:$V$160,$AP430+3),""),"")</f>
        <v/>
      </c>
      <c r="AI430" t="str">
        <f>IFERROR(IF($AQ430&gt;4,INDEX(Festivals!$V$2:$V$160,$AP430+4),""),"")</f>
        <v/>
      </c>
      <c r="AJ430" t="str">
        <f>IFERROR(IF($AQ430&gt;5,INDEX(Festivals!$V$2:$V$160,$AP430+5),""),"")</f>
        <v/>
      </c>
      <c r="AK430" t="str">
        <f>IFERROR(IF($AQ430&gt;6,INDEX(Festivals!$V$2:$V$160,$AP430+6),""),"")</f>
        <v/>
      </c>
      <c r="AL430" t="str">
        <f ca="1">IFERROR(INDEX('Holidays Calc'!$J$2:$J$233,MATCH(A430,'Holidays Calc'!$I$2:$I$233,0)),"")</f>
        <v/>
      </c>
      <c r="AM430" t="str">
        <f ca="1">IF(AR430="","",IF(INDEX('Holidays Calc'!$I$2:$I$233,AR430+1)=A430,INDEX('Holidays Calc'!$J$2:$J$233,AR430+1),""))</f>
        <v/>
      </c>
      <c r="AN430" t="str">
        <f ca="1">IF(AR430="","",IF(INDEX('Holidays Calc'!$I$2:$I$233,AR430+2)=A430,INDEX('Holidays Calc'!$J$2:$J$233,AR430+2),""))</f>
        <v/>
      </c>
      <c r="AO430" t="str">
        <f ca="1">IF(AR430="","",IF(INDEX('Holidays Calc'!$I$2:$I$233,AR430+3)=A430,INDEX('Holidays Calc'!$J$2:$J$233,AR430+3),""))</f>
        <v/>
      </c>
      <c r="AP430" t="str">
        <f>IFERROR(IF($E430=E429,"",MATCH($E430,Festivals!$H$2:$H$160,0)),"")</f>
        <v/>
      </c>
      <c r="AQ430" t="str">
        <f>IF(AP430="","",COUNTIF(Festivals!$H$2:$H$160,$E430))</f>
        <v/>
      </c>
      <c r="AR430" t="str">
        <f ca="1">IFERROR(MATCH(A430,'Holidays Calc'!$I$2:$I$233,0),"")</f>
        <v/>
      </c>
      <c r="AS430" t="str">
        <f t="shared" si="46"/>
        <v/>
      </c>
      <c r="AT430" t="str">
        <f t="shared" si="45"/>
        <v/>
      </c>
      <c r="AU430" t="str">
        <f t="shared" ca="1" si="47"/>
        <v/>
      </c>
      <c r="AV430" t="str">
        <f t="shared" ca="1" si="48"/>
        <v/>
      </c>
    </row>
    <row r="431" spans="1:48" x14ac:dyDescent="0.25">
      <c r="A431" s="265">
        <f t="shared" si="44"/>
        <v>43857</v>
      </c>
      <c r="B431" s="265" t="str">
        <f t="shared" si="49"/>
        <v>27 Jan 2020</v>
      </c>
      <c r="C431" s="267">
        <f t="shared" si="50"/>
        <v>5</v>
      </c>
      <c r="D431">
        <f>MATCH(A431,GCalXMLT[daydate],0)</f>
        <v>430</v>
      </c>
      <c r="E431">
        <f>VALUE("1" &amp; Masacod(INDEX(GCalXMLT[gymasa],D431)) &amp; PaksaCod(INDEX(GCalXMLT[mpaksaid],D431)) &amp; TithiCod(INDEX(GCalXMLT[stithiname],D431)))</f>
        <v>111103</v>
      </c>
      <c r="F431" t="str">
        <f ca="1">INDEX(Parameters!$K$2:$K$16,MATCH(AV431,Parameters!$L$2:$L$16,0))</f>
        <v/>
      </c>
      <c r="G431">
        <f>INDEX(GCalXMLT[fastmark],$D431)</f>
        <v>0</v>
      </c>
      <c r="H431" t="str">
        <f ca="1">INDEX(Parameters!$J$2:$J$16,MATCH(AV431,Parameters!$L$2:$L$16,0))</f>
        <v/>
      </c>
      <c r="I431">
        <f>INDEX(GCalXMLT[dfestival1],$D431)</f>
        <v>0</v>
      </c>
      <c r="J431">
        <f>IF(INDEX(GCalXMLT[dfestival2],$D431)="(Fast today)",INDEX(Festivals!$R$2:$R$180,MATCH($I431,Festivals!$R$2:$R$180,0)+1),INDEX(GCalXMLT[dfestival2],$D431))</f>
        <v>0</v>
      </c>
      <c r="K431">
        <f>IF(I431="Nandotsava","(Fast till noon)",INDEX(GCalXMLT[dfestival3],$D431))</f>
        <v>0</v>
      </c>
      <c r="L431">
        <f>IF(I431="Nandotsava", INDEX(GCalXMLT[dfestival3],$D431),INDEX(GCalXMLT[dfestival4],$D431))</f>
        <v>0</v>
      </c>
      <c r="M431" t="str">
        <f>IFERROR(INDEX(Festivals!$S$2:$S$160,AP431),"")</f>
        <v/>
      </c>
      <c r="N431" t="str">
        <f>IFERROR(IF($AQ431&gt;1,INDEX(Festivals!$S$2:$S$160,$AP431+1),""),"")</f>
        <v/>
      </c>
      <c r="O431" t="str">
        <f>IFERROR(IF($AQ431&gt;2,INDEX(Festivals!$S$2:$S$160,$AP431+2),""),"")</f>
        <v/>
      </c>
      <c r="P431" t="str">
        <f>IFERROR(IF($AQ431&gt;3,INDEX(Festivals!$S$2:$S$160,$AP431+3),""),"")</f>
        <v/>
      </c>
      <c r="Q431" t="str">
        <f>IFERROR(IF($AQ431&gt;4,INDEX(Festivals!$S$2:$S$160,$AP431+4),""),"")</f>
        <v/>
      </c>
      <c r="R431" t="str">
        <f>IFERROR(IF($AQ431&gt;5,INDEX(Festivals!$S$2:$S$160,$AP431+5),""),"")</f>
        <v/>
      </c>
      <c r="S431" t="str">
        <f>IFERROR(IF($AQ431&gt;6,INDEX(Festivals!$S$2:$S$160,$AP431+6),""),"")</f>
        <v/>
      </c>
      <c r="T431">
        <f>INDEX(GCalXMLT[dcaturmasya1],$D431)</f>
        <v>0</v>
      </c>
      <c r="U431">
        <f>INDEX(GCalXMLT[dcaturmasya2],$D431)</f>
        <v>0</v>
      </c>
      <c r="V431" t="str">
        <f>INDEX(GCalXMLT[sankrantirasi],$D431) &amp; " " &amp; INDEX(GCalXMLT[sankrantitime],$D431)</f>
        <v xml:space="preserve"> </v>
      </c>
      <c r="W431" t="str">
        <f ca="1">IFERROR(INDEX('Holidays Calc'!$K$2:$K$233,AR431),"")</f>
        <v/>
      </c>
      <c r="X431" t="str">
        <f ca="1">IF(AR431="","",IF(INDEX('Holidays Calc'!$I$2:$I$233,AR431+1)=A431,INDEX('Holidays Calc'!$K$2:$K$233,AR431+1),""))</f>
        <v/>
      </c>
      <c r="Y431" t="str">
        <f ca="1">IF(AR431="","",IF(INDEX('Holidays Calc'!$I$2:$I$233,AR431+2)=A431,INDEX('Holidays Calc'!$K$2:$K$233,AR431+2),""))</f>
        <v/>
      </c>
      <c r="Z431" t="str">
        <f ca="1">IF(AR431="","",IF(INDEX('Holidays Calc'!$I$2:$I$233,AR431+3)=A431,INDEX('Holidays Calc'!$K$2:$K$2333,AR431+3),""))</f>
        <v/>
      </c>
      <c r="AA431" t="str">
        <f>IF(I431="Last day of Bhisma Pancaka","",IF(G431="*",-0.7,IF(ISBLANK(INDEX(GCalXMLT[dclass1],$D431)),"",INDEX(GCalXMLT[dclass1],$D431))))</f>
        <v/>
      </c>
      <c r="AB431" t="str">
        <f>IF(J431="First day of Bhisma Pancaka","",IF(AND(G431="*",NOT(ISERROR(SEARCH("ekadasi",J431)))),-0.7,IF(ISBLANK(INDEX(GCalXMLT[dclass2],$D431)),"",INDEX(GCalXMLT[dclass2],$D431))))</f>
        <v/>
      </c>
      <c r="AC431" t="str">
        <f>IF(I431="Nandotsava",-1,IF(ISBLANK(INDEX(GCalXMLT[dclass3],$D431)),"",INDEX(GCalXMLT[dclass3],$D431)))</f>
        <v/>
      </c>
      <c r="AD431" t="str">
        <f>IF(I431="Nandotsava",IF(ISBLANK(INDEX(GCalXMLT[dclass3],$D431)),"",INDEX(GCalXMLT[dclass3],$D431)),IF(ISBLANK(INDEX(GCalXMLT[dclass4],$D431)),"",INDEX(GCalXMLT[dclass4],$D431)))</f>
        <v/>
      </c>
      <c r="AE431" t="str">
        <f>IFERROR(INDEX(Festivals!$V$2:$V$160,AP431),"")</f>
        <v/>
      </c>
      <c r="AF431" t="str">
        <f>IFERROR(IF($AQ431&gt;1,INDEX(Festivals!$V$2:$V$160,$AP431+1),""),"")</f>
        <v/>
      </c>
      <c r="AG431" t="str">
        <f>IFERROR(IF($AQ431&gt;2,INDEX(Festivals!$V$2:$V$160,$AP431+2),""),"")</f>
        <v/>
      </c>
      <c r="AH431" t="str">
        <f>IFERROR(IF($AQ431&gt;3,INDEX(Festivals!$V$2:$V$160,$AP431+3),""),"")</f>
        <v/>
      </c>
      <c r="AI431" t="str">
        <f>IFERROR(IF($AQ431&gt;4,INDEX(Festivals!$V$2:$V$160,$AP431+4),""),"")</f>
        <v/>
      </c>
      <c r="AJ431" t="str">
        <f>IFERROR(IF($AQ431&gt;5,INDEX(Festivals!$V$2:$V$160,$AP431+5),""),"")</f>
        <v/>
      </c>
      <c r="AK431" t="str">
        <f>IFERROR(IF($AQ431&gt;6,INDEX(Festivals!$V$2:$V$160,$AP431+6),""),"")</f>
        <v/>
      </c>
      <c r="AL431" t="str">
        <f ca="1">IFERROR(INDEX('Holidays Calc'!$J$2:$J$233,MATCH(A431,'Holidays Calc'!$I$2:$I$233,0)),"")</f>
        <v/>
      </c>
      <c r="AM431" t="str">
        <f ca="1">IF(AR431="","",IF(INDEX('Holidays Calc'!$I$2:$I$233,AR431+1)=A431,INDEX('Holidays Calc'!$J$2:$J$233,AR431+1),""))</f>
        <v/>
      </c>
      <c r="AN431" t="str">
        <f ca="1">IF(AR431="","",IF(INDEX('Holidays Calc'!$I$2:$I$233,AR431+2)=A431,INDEX('Holidays Calc'!$J$2:$J$233,AR431+2),""))</f>
        <v/>
      </c>
      <c r="AO431" t="str">
        <f ca="1">IF(AR431="","",IF(INDEX('Holidays Calc'!$I$2:$I$233,AR431+3)=A431,INDEX('Holidays Calc'!$J$2:$J$233,AR431+3),""))</f>
        <v/>
      </c>
      <c r="AP431" t="str">
        <f>IFERROR(IF($E431=E430,"",MATCH($E431,Festivals!$H$2:$H$160,0)),"")</f>
        <v/>
      </c>
      <c r="AQ431" t="str">
        <f>IF(AP431="","",COUNTIF(Festivals!$H$2:$H$160,$E431))</f>
        <v/>
      </c>
      <c r="AR431" t="str">
        <f ca="1">IFERROR(MATCH(A431,'Holidays Calc'!$I$2:$I$233,0),"")</f>
        <v/>
      </c>
      <c r="AS431" t="str">
        <f t="shared" si="46"/>
        <v/>
      </c>
      <c r="AT431" t="str">
        <f t="shared" si="45"/>
        <v/>
      </c>
      <c r="AU431" t="str">
        <f t="shared" ca="1" si="47"/>
        <v/>
      </c>
      <c r="AV431" t="str">
        <f t="shared" ca="1" si="48"/>
        <v/>
      </c>
    </row>
    <row r="432" spans="1:48" x14ac:dyDescent="0.25">
      <c r="A432" s="265">
        <f t="shared" si="44"/>
        <v>43858</v>
      </c>
      <c r="B432" s="265" t="str">
        <f t="shared" si="49"/>
        <v>28 Jan 2020</v>
      </c>
      <c r="C432" s="267">
        <f t="shared" si="50"/>
        <v>5</v>
      </c>
      <c r="D432">
        <f>MATCH(A432,GCalXMLT[daydate],0)</f>
        <v>431</v>
      </c>
      <c r="E432">
        <f>VALUE("1" &amp; Masacod(INDEX(GCalXMLT[gymasa],D432)) &amp; PaksaCod(INDEX(GCalXMLT[mpaksaid],D432)) &amp; TithiCod(INDEX(GCalXMLT[stithiname],D432)))</f>
        <v>111104</v>
      </c>
      <c r="F432" t="str">
        <f ca="1">INDEX(Parameters!$K$2:$K$16,MATCH(AV432,Parameters!$L$2:$L$16,0))</f>
        <v/>
      </c>
      <c r="G432">
        <f>INDEX(GCalXMLT[fastmark],$D432)</f>
        <v>0</v>
      </c>
      <c r="H432" t="str">
        <f ca="1">INDEX(Parameters!$J$2:$J$16,MATCH(AV432,Parameters!$L$2:$L$16,0))</f>
        <v/>
      </c>
      <c r="I432">
        <f>INDEX(GCalXMLT[dfestival1],$D432)</f>
        <v>0</v>
      </c>
      <c r="J432">
        <f>IF(INDEX(GCalXMLT[dfestival2],$D432)="(Fast today)",INDEX(Festivals!$R$2:$R$180,MATCH($I432,Festivals!$R$2:$R$180,0)+1),INDEX(GCalXMLT[dfestival2],$D432))</f>
        <v>0</v>
      </c>
      <c r="K432">
        <f>IF(I432="Nandotsava","(Fast till noon)",INDEX(GCalXMLT[dfestival3],$D432))</f>
        <v>0</v>
      </c>
      <c r="L432">
        <f>IF(I432="Nandotsava", INDEX(GCalXMLT[dfestival3],$D432),INDEX(GCalXMLT[dfestival4],$D432))</f>
        <v>0</v>
      </c>
      <c r="M432" t="str">
        <f>IFERROR(INDEX(Festivals!$S$2:$S$160,AP432),"")</f>
        <v/>
      </c>
      <c r="N432" t="str">
        <f>IFERROR(IF($AQ432&gt;1,INDEX(Festivals!$S$2:$S$160,$AP432+1),""),"")</f>
        <v/>
      </c>
      <c r="O432" t="str">
        <f>IFERROR(IF($AQ432&gt;2,INDEX(Festivals!$S$2:$S$160,$AP432+2),""),"")</f>
        <v/>
      </c>
      <c r="P432" t="str">
        <f>IFERROR(IF($AQ432&gt;3,INDEX(Festivals!$S$2:$S$160,$AP432+3),""),"")</f>
        <v/>
      </c>
      <c r="Q432" t="str">
        <f>IFERROR(IF($AQ432&gt;4,INDEX(Festivals!$S$2:$S$160,$AP432+4),""),"")</f>
        <v/>
      </c>
      <c r="R432" t="str">
        <f>IFERROR(IF($AQ432&gt;5,INDEX(Festivals!$S$2:$S$160,$AP432+5),""),"")</f>
        <v/>
      </c>
      <c r="S432" t="str">
        <f>IFERROR(IF($AQ432&gt;6,INDEX(Festivals!$S$2:$S$160,$AP432+6),""),"")</f>
        <v/>
      </c>
      <c r="T432">
        <f>INDEX(GCalXMLT[dcaturmasya1],$D432)</f>
        <v>0</v>
      </c>
      <c r="U432">
        <f>INDEX(GCalXMLT[dcaturmasya2],$D432)</f>
        <v>0</v>
      </c>
      <c r="V432" t="str">
        <f>INDEX(GCalXMLT[sankrantirasi],$D432) &amp; " " &amp; INDEX(GCalXMLT[sankrantitime],$D432)</f>
        <v xml:space="preserve"> </v>
      </c>
      <c r="W432" t="str">
        <f ca="1">IFERROR(INDEX('Holidays Calc'!$K$2:$K$233,AR432),"")</f>
        <v/>
      </c>
      <c r="X432" t="str">
        <f ca="1">IF(AR432="","",IF(INDEX('Holidays Calc'!$I$2:$I$233,AR432+1)=A432,INDEX('Holidays Calc'!$K$2:$K$233,AR432+1),""))</f>
        <v/>
      </c>
      <c r="Y432" t="str">
        <f ca="1">IF(AR432="","",IF(INDEX('Holidays Calc'!$I$2:$I$233,AR432+2)=A432,INDEX('Holidays Calc'!$K$2:$K$233,AR432+2),""))</f>
        <v/>
      </c>
      <c r="Z432" t="str">
        <f ca="1">IF(AR432="","",IF(INDEX('Holidays Calc'!$I$2:$I$233,AR432+3)=A432,INDEX('Holidays Calc'!$K$2:$K$2333,AR432+3),""))</f>
        <v/>
      </c>
      <c r="AA432" t="str">
        <f>IF(I432="Last day of Bhisma Pancaka","",IF(G432="*",-0.7,IF(ISBLANK(INDEX(GCalXMLT[dclass1],$D432)),"",INDEX(GCalXMLT[dclass1],$D432))))</f>
        <v/>
      </c>
      <c r="AB432" t="str">
        <f>IF(J432="First day of Bhisma Pancaka","",IF(AND(G432="*",NOT(ISERROR(SEARCH("ekadasi",J432)))),-0.7,IF(ISBLANK(INDEX(GCalXMLT[dclass2],$D432)),"",INDEX(GCalXMLT[dclass2],$D432))))</f>
        <v/>
      </c>
      <c r="AC432" t="str">
        <f>IF(I432="Nandotsava",-1,IF(ISBLANK(INDEX(GCalXMLT[dclass3],$D432)),"",INDEX(GCalXMLT[dclass3],$D432)))</f>
        <v/>
      </c>
      <c r="AD432" t="str">
        <f>IF(I432="Nandotsava",IF(ISBLANK(INDEX(GCalXMLT[dclass3],$D432)),"",INDEX(GCalXMLT[dclass3],$D432)),IF(ISBLANK(INDEX(GCalXMLT[dclass4],$D432)),"",INDEX(GCalXMLT[dclass4],$D432)))</f>
        <v/>
      </c>
      <c r="AE432" t="str">
        <f>IFERROR(INDEX(Festivals!$V$2:$V$160,AP432),"")</f>
        <v/>
      </c>
      <c r="AF432" t="str">
        <f>IFERROR(IF($AQ432&gt;1,INDEX(Festivals!$V$2:$V$160,$AP432+1),""),"")</f>
        <v/>
      </c>
      <c r="AG432" t="str">
        <f>IFERROR(IF($AQ432&gt;2,INDEX(Festivals!$V$2:$V$160,$AP432+2),""),"")</f>
        <v/>
      </c>
      <c r="AH432" t="str">
        <f>IFERROR(IF($AQ432&gt;3,INDEX(Festivals!$V$2:$V$160,$AP432+3),""),"")</f>
        <v/>
      </c>
      <c r="AI432" t="str">
        <f>IFERROR(IF($AQ432&gt;4,INDEX(Festivals!$V$2:$V$160,$AP432+4),""),"")</f>
        <v/>
      </c>
      <c r="AJ432" t="str">
        <f>IFERROR(IF($AQ432&gt;5,INDEX(Festivals!$V$2:$V$160,$AP432+5),""),"")</f>
        <v/>
      </c>
      <c r="AK432" t="str">
        <f>IFERROR(IF($AQ432&gt;6,INDEX(Festivals!$V$2:$V$160,$AP432+6),""),"")</f>
        <v/>
      </c>
      <c r="AL432" t="str">
        <f ca="1">IFERROR(INDEX('Holidays Calc'!$J$2:$J$233,MATCH(A432,'Holidays Calc'!$I$2:$I$233,0)),"")</f>
        <v/>
      </c>
      <c r="AM432" t="str">
        <f ca="1">IF(AR432="","",IF(INDEX('Holidays Calc'!$I$2:$I$233,AR432+1)=A432,INDEX('Holidays Calc'!$J$2:$J$233,AR432+1),""))</f>
        <v/>
      </c>
      <c r="AN432" t="str">
        <f ca="1">IF(AR432="","",IF(INDEX('Holidays Calc'!$I$2:$I$233,AR432+2)=A432,INDEX('Holidays Calc'!$J$2:$J$233,AR432+2),""))</f>
        <v/>
      </c>
      <c r="AO432" t="str">
        <f ca="1">IF(AR432="","",IF(INDEX('Holidays Calc'!$I$2:$I$233,AR432+3)=A432,INDEX('Holidays Calc'!$J$2:$J$233,AR432+3),""))</f>
        <v/>
      </c>
      <c r="AP432" t="str">
        <f>IFERROR(IF($E432=E431,"",MATCH($E432,Festivals!$H$2:$H$160,0)),"")</f>
        <v/>
      </c>
      <c r="AQ432" t="str">
        <f>IF(AP432="","",COUNTIF(Festivals!$H$2:$H$160,$E432))</f>
        <v/>
      </c>
      <c r="AR432" t="str">
        <f ca="1">IFERROR(MATCH(A432,'Holidays Calc'!$I$2:$I$233,0),"")</f>
        <v/>
      </c>
      <c r="AS432" t="str">
        <f t="shared" si="46"/>
        <v/>
      </c>
      <c r="AT432" t="str">
        <f t="shared" si="45"/>
        <v/>
      </c>
      <c r="AU432" t="str">
        <f t="shared" ca="1" si="47"/>
        <v/>
      </c>
      <c r="AV432" t="str">
        <f t="shared" ca="1" si="48"/>
        <v/>
      </c>
    </row>
    <row r="433" spans="1:48" x14ac:dyDescent="0.25">
      <c r="A433" s="265">
        <f t="shared" si="44"/>
        <v>43859</v>
      </c>
      <c r="B433" s="265" t="str">
        <f t="shared" si="49"/>
        <v>29 Jan 2020</v>
      </c>
      <c r="C433" s="267">
        <f t="shared" si="50"/>
        <v>5</v>
      </c>
      <c r="D433">
        <f>MATCH(A433,GCalXMLT[daydate],0)</f>
        <v>432</v>
      </c>
      <c r="E433">
        <f>VALUE("1" &amp; Masacod(INDEX(GCalXMLT[gymasa],D433)) &amp; PaksaCod(INDEX(GCalXMLT[mpaksaid],D433)) &amp; TithiCod(INDEX(GCalXMLT[stithiname],D433)))</f>
        <v>111105</v>
      </c>
      <c r="F433" t="str">
        <f ca="1">INDEX(Parameters!$K$2:$K$16,MATCH(AV433,Parameters!$L$2:$L$16,0))</f>
        <v>C</v>
      </c>
      <c r="G433">
        <f>INDEX(GCalXMLT[fastmark],$D433)</f>
        <v>0</v>
      </c>
      <c r="H433" t="str">
        <f ca="1">INDEX(Parameters!$J$2:$J$16,MATCH(AV433,Parameters!$L$2:$L$16,0))</f>
        <v/>
      </c>
      <c r="I433">
        <f>INDEX(GCalXMLT[dfestival1],$D433)</f>
        <v>0</v>
      </c>
      <c r="J433">
        <f>IF(INDEX(GCalXMLT[dfestival2],$D433)="(Fast today)",INDEX(Festivals!$R$2:$R$180,MATCH($I433,Festivals!$R$2:$R$180,0)+1),INDEX(GCalXMLT[dfestival2],$D433))</f>
        <v>0</v>
      </c>
      <c r="K433">
        <f>IF(I433="Nandotsava","(Fast till noon)",INDEX(GCalXMLT[dfestival3],$D433))</f>
        <v>0</v>
      </c>
      <c r="L433">
        <f>IF(I433="Nandotsava", INDEX(GCalXMLT[dfestival3],$D433),INDEX(GCalXMLT[dfestival4],$D433))</f>
        <v>0</v>
      </c>
      <c r="M433" t="str">
        <f>IFERROR(INDEX(Festivals!$S$2:$S$160,AP433),"")</f>
        <v>Vasanta Pancami</v>
      </c>
      <c r="N433" t="str">
        <f>IFERROR(IF($AQ433&gt;1,INDEX(Festivals!$S$2:$S$160,$AP433+1),""),"")</f>
        <v>Srimati Visnupriya Devi - Appearance</v>
      </c>
      <c r="O433" t="str">
        <f>IFERROR(IF($AQ433&gt;2,INDEX(Festivals!$S$2:$S$160,$AP433+2),""),"")</f>
        <v>Sarasvati Puja</v>
      </c>
      <c r="P433" t="str">
        <f>IFERROR(IF($AQ433&gt;3,INDEX(Festivals!$S$2:$S$160,$AP433+3),""),"")</f>
        <v>Srila Visvanatha Cakravarti Thakura - Disappearance</v>
      </c>
      <c r="Q433" t="str">
        <f>IFERROR(IF($AQ433&gt;4,INDEX(Festivals!$S$2:$S$160,$AP433+4),""),"")</f>
        <v>Sri Pundarika Vidyanidhi - Appearance</v>
      </c>
      <c r="R433" t="str">
        <f>IFERROR(IF($AQ433&gt;5,INDEX(Festivals!$S$2:$S$160,$AP433+5),""),"")</f>
        <v>Sri Raghunandana Thakura - Appearance</v>
      </c>
      <c r="S433" t="str">
        <f>IFERROR(IF($AQ433&gt;6,INDEX(Festivals!$S$2:$S$160,$AP433+6),""),"")</f>
        <v>Srila Raghunatha Dasa Gosvami - Appearance</v>
      </c>
      <c r="T433">
        <f>INDEX(GCalXMLT[dcaturmasya1],$D433)</f>
        <v>0</v>
      </c>
      <c r="U433">
        <f>INDEX(GCalXMLT[dcaturmasya2],$D433)</f>
        <v>0</v>
      </c>
      <c r="V433" t="str">
        <f>INDEX(GCalXMLT[sankrantirasi],$D433) &amp; " " &amp; INDEX(GCalXMLT[sankrantitime],$D433)</f>
        <v xml:space="preserve"> </v>
      </c>
      <c r="W433" t="str">
        <f ca="1">IFERROR(INDEX('Holidays Calc'!$K$2:$K$233,AR433),"")</f>
        <v/>
      </c>
      <c r="X433" t="str">
        <f ca="1">IF(AR433="","",IF(INDEX('Holidays Calc'!$I$2:$I$233,AR433+1)=A433,INDEX('Holidays Calc'!$K$2:$K$233,AR433+1),""))</f>
        <v/>
      </c>
      <c r="Y433" t="str">
        <f ca="1">IF(AR433="","",IF(INDEX('Holidays Calc'!$I$2:$I$233,AR433+2)=A433,INDEX('Holidays Calc'!$K$2:$K$233,AR433+2),""))</f>
        <v/>
      </c>
      <c r="Z433" t="str">
        <f ca="1">IF(AR433="","",IF(INDEX('Holidays Calc'!$I$2:$I$233,AR433+3)=A433,INDEX('Holidays Calc'!$K$2:$K$2333,AR433+3),""))</f>
        <v/>
      </c>
      <c r="AA433" t="str">
        <f>IF(I433="Last day of Bhisma Pancaka","",IF(G433="*",-0.7,IF(ISBLANK(INDEX(GCalXMLT[dclass1],$D433)),"",INDEX(GCalXMLT[dclass1],$D433))))</f>
        <v/>
      </c>
      <c r="AB433" t="str">
        <f>IF(J433="First day of Bhisma Pancaka","",IF(AND(G433="*",NOT(ISERROR(SEARCH("ekadasi",J433)))),-0.7,IF(ISBLANK(INDEX(GCalXMLT[dclass2],$D433)),"",INDEX(GCalXMLT[dclass2],$D433))))</f>
        <v/>
      </c>
      <c r="AC433" t="str">
        <f>IF(I433="Nandotsava",-1,IF(ISBLANK(INDEX(GCalXMLT[dclass3],$D433)),"",INDEX(GCalXMLT[dclass3],$D433)))</f>
        <v/>
      </c>
      <c r="AD433" t="str">
        <f>IF(I433="Nandotsava",IF(ISBLANK(INDEX(GCalXMLT[dclass3],$D433)),"",INDEX(GCalXMLT[dclass3],$D433)),IF(ISBLANK(INDEX(GCalXMLT[dclass4],$D433)),"",INDEX(GCalXMLT[dclass4],$D433)))</f>
        <v/>
      </c>
      <c r="AE433">
        <f>IFERROR(INDEX(Festivals!$V$2:$V$160,AP433),"")</f>
        <v>1</v>
      </c>
      <c r="AF433">
        <f>IFERROR(IF($AQ433&gt;1,INDEX(Festivals!$V$2:$V$160,$AP433+1),""),"")</f>
        <v>3</v>
      </c>
      <c r="AG433">
        <f>IFERROR(IF($AQ433&gt;2,INDEX(Festivals!$V$2:$V$160,$AP433+2),""),"")</f>
        <v>5</v>
      </c>
      <c r="AH433">
        <f>IFERROR(IF($AQ433&gt;3,INDEX(Festivals!$V$2:$V$160,$AP433+3),""),"")</f>
        <v>3</v>
      </c>
      <c r="AI433">
        <f>IFERROR(IF($AQ433&gt;4,INDEX(Festivals!$V$2:$V$160,$AP433+4),""),"")</f>
        <v>3</v>
      </c>
      <c r="AJ433">
        <f>IFERROR(IF($AQ433&gt;5,INDEX(Festivals!$V$2:$V$160,$AP433+5),""),"")</f>
        <v>3</v>
      </c>
      <c r="AK433">
        <f>IFERROR(IF($AQ433&gt;6,INDEX(Festivals!$V$2:$V$160,$AP433+6),""),"")</f>
        <v>3</v>
      </c>
      <c r="AL433" t="str">
        <f ca="1">IFERROR(INDEX('Holidays Calc'!$J$2:$J$233,MATCH(A433,'Holidays Calc'!$I$2:$I$233,0)),"")</f>
        <v/>
      </c>
      <c r="AM433" t="str">
        <f ca="1">IF(AR433="","",IF(INDEX('Holidays Calc'!$I$2:$I$233,AR433+1)=A433,INDEX('Holidays Calc'!$J$2:$J$233,AR433+1),""))</f>
        <v/>
      </c>
      <c r="AN433" t="str">
        <f ca="1">IF(AR433="","",IF(INDEX('Holidays Calc'!$I$2:$I$233,AR433+2)=A433,INDEX('Holidays Calc'!$J$2:$J$233,AR433+2),""))</f>
        <v/>
      </c>
      <c r="AO433" t="str">
        <f ca="1">IF(AR433="","",IF(INDEX('Holidays Calc'!$I$2:$I$233,AR433+3)=A433,INDEX('Holidays Calc'!$J$2:$J$233,AR433+3),""))</f>
        <v/>
      </c>
      <c r="AP433">
        <f>IFERROR(IF($E433=E432,"",MATCH($E433,Festivals!$H$2:$H$160,0)),"")</f>
        <v>129</v>
      </c>
      <c r="AQ433">
        <f>IF(AP433="","",COUNTIF(Festivals!$H$2:$H$160,$E433))</f>
        <v>7</v>
      </c>
      <c r="AR433" t="str">
        <f ca="1">IFERROR(MATCH(A433,'Holidays Calc'!$I$2:$I$233,0),"")</f>
        <v/>
      </c>
      <c r="AS433">
        <f t="shared" si="46"/>
        <v>1</v>
      </c>
      <c r="AT433">
        <f t="shared" si="45"/>
        <v>1</v>
      </c>
      <c r="AU433" t="str">
        <f t="shared" ca="1" si="47"/>
        <v/>
      </c>
      <c r="AV433">
        <f t="shared" ca="1" si="48"/>
        <v>1</v>
      </c>
    </row>
    <row r="434" spans="1:48" x14ac:dyDescent="0.25">
      <c r="A434" s="265">
        <f t="shared" si="44"/>
        <v>43860</v>
      </c>
      <c r="B434" s="265" t="str">
        <f t="shared" si="49"/>
        <v>30 Jan 2020</v>
      </c>
      <c r="C434" s="267">
        <f t="shared" si="50"/>
        <v>5</v>
      </c>
      <c r="D434">
        <f>MATCH(A434,GCalXMLT[daydate],0)</f>
        <v>433</v>
      </c>
      <c r="E434">
        <f>VALUE("1" &amp; Masacod(INDEX(GCalXMLT[gymasa],D434)) &amp; PaksaCod(INDEX(GCalXMLT[mpaksaid],D434)) &amp; TithiCod(INDEX(GCalXMLT[stithiname],D434)))</f>
        <v>111106</v>
      </c>
      <c r="F434" t="str">
        <f ca="1">INDEX(Parameters!$K$2:$K$16,MATCH(AV434,Parameters!$L$2:$L$16,0))</f>
        <v/>
      </c>
      <c r="G434">
        <f>INDEX(GCalXMLT[fastmark],$D434)</f>
        <v>0</v>
      </c>
      <c r="H434" t="str">
        <f ca="1">INDEX(Parameters!$J$2:$J$16,MATCH(AV434,Parameters!$L$2:$L$16,0))</f>
        <v/>
      </c>
      <c r="I434">
        <f>INDEX(GCalXMLT[dfestival1],$D434)</f>
        <v>0</v>
      </c>
      <c r="J434">
        <f>IF(INDEX(GCalXMLT[dfestival2],$D434)="(Fast today)",INDEX(Festivals!$R$2:$R$180,MATCH($I434,Festivals!$R$2:$R$180,0)+1),INDEX(GCalXMLT[dfestival2],$D434))</f>
        <v>0</v>
      </c>
      <c r="K434">
        <f>IF(I434="Nandotsava","(Fast till noon)",INDEX(GCalXMLT[dfestival3],$D434))</f>
        <v>0</v>
      </c>
      <c r="L434">
        <f>IF(I434="Nandotsava", INDEX(GCalXMLT[dfestival3],$D434),INDEX(GCalXMLT[dfestival4],$D434))</f>
        <v>0</v>
      </c>
      <c r="M434" t="str">
        <f>IFERROR(INDEX(Festivals!$S$2:$S$160,AP434),"")</f>
        <v/>
      </c>
      <c r="N434" t="str">
        <f>IFERROR(IF($AQ434&gt;1,INDEX(Festivals!$S$2:$S$160,$AP434+1),""),"")</f>
        <v/>
      </c>
      <c r="O434" t="str">
        <f>IFERROR(IF($AQ434&gt;2,INDEX(Festivals!$S$2:$S$160,$AP434+2),""),"")</f>
        <v/>
      </c>
      <c r="P434" t="str">
        <f>IFERROR(IF($AQ434&gt;3,INDEX(Festivals!$S$2:$S$160,$AP434+3),""),"")</f>
        <v/>
      </c>
      <c r="Q434" t="str">
        <f>IFERROR(IF($AQ434&gt;4,INDEX(Festivals!$S$2:$S$160,$AP434+4),""),"")</f>
        <v/>
      </c>
      <c r="R434" t="str">
        <f>IFERROR(IF($AQ434&gt;5,INDEX(Festivals!$S$2:$S$160,$AP434+5),""),"")</f>
        <v/>
      </c>
      <c r="S434" t="str">
        <f>IFERROR(IF($AQ434&gt;6,INDEX(Festivals!$S$2:$S$160,$AP434+6),""),"")</f>
        <v/>
      </c>
      <c r="T434">
        <f>INDEX(GCalXMLT[dcaturmasya1],$D434)</f>
        <v>0</v>
      </c>
      <c r="U434">
        <f>INDEX(GCalXMLT[dcaturmasya2],$D434)</f>
        <v>0</v>
      </c>
      <c r="V434" t="str">
        <f>INDEX(GCalXMLT[sankrantirasi],$D434) &amp; " " &amp; INDEX(GCalXMLT[sankrantitime],$D434)</f>
        <v xml:space="preserve"> </v>
      </c>
      <c r="W434" t="str">
        <f ca="1">IFERROR(INDEX('Holidays Calc'!$K$2:$K$233,AR434),"")</f>
        <v/>
      </c>
      <c r="X434" t="str">
        <f ca="1">IF(AR434="","",IF(INDEX('Holidays Calc'!$I$2:$I$233,AR434+1)=A434,INDEX('Holidays Calc'!$K$2:$K$233,AR434+1),""))</f>
        <v/>
      </c>
      <c r="Y434" t="str">
        <f ca="1">IF(AR434="","",IF(INDEX('Holidays Calc'!$I$2:$I$233,AR434+2)=A434,INDEX('Holidays Calc'!$K$2:$K$233,AR434+2),""))</f>
        <v/>
      </c>
      <c r="Z434" t="str">
        <f ca="1">IF(AR434="","",IF(INDEX('Holidays Calc'!$I$2:$I$233,AR434+3)=A434,INDEX('Holidays Calc'!$K$2:$K$2333,AR434+3),""))</f>
        <v/>
      </c>
      <c r="AA434" t="str">
        <f>IF(I434="Last day of Bhisma Pancaka","",IF(G434="*",-0.7,IF(ISBLANK(INDEX(GCalXMLT[dclass1],$D434)),"",INDEX(GCalXMLT[dclass1],$D434))))</f>
        <v/>
      </c>
      <c r="AB434" t="str">
        <f>IF(J434="First day of Bhisma Pancaka","",IF(AND(G434="*",NOT(ISERROR(SEARCH("ekadasi",J434)))),-0.7,IF(ISBLANK(INDEX(GCalXMLT[dclass2],$D434)),"",INDEX(GCalXMLT[dclass2],$D434))))</f>
        <v/>
      </c>
      <c r="AC434" t="str">
        <f>IF(I434="Nandotsava",-1,IF(ISBLANK(INDEX(GCalXMLT[dclass3],$D434)),"",INDEX(GCalXMLT[dclass3],$D434)))</f>
        <v/>
      </c>
      <c r="AD434" t="str">
        <f>IF(I434="Nandotsava",IF(ISBLANK(INDEX(GCalXMLT[dclass3],$D434)),"",INDEX(GCalXMLT[dclass3],$D434)),IF(ISBLANK(INDEX(GCalXMLT[dclass4],$D434)),"",INDEX(GCalXMLT[dclass4],$D434)))</f>
        <v/>
      </c>
      <c r="AE434" t="str">
        <f>IFERROR(INDEX(Festivals!$V$2:$V$160,AP434),"")</f>
        <v/>
      </c>
      <c r="AF434" t="str">
        <f>IFERROR(IF($AQ434&gt;1,INDEX(Festivals!$V$2:$V$160,$AP434+1),""),"")</f>
        <v/>
      </c>
      <c r="AG434" t="str">
        <f>IFERROR(IF($AQ434&gt;2,INDEX(Festivals!$V$2:$V$160,$AP434+2),""),"")</f>
        <v/>
      </c>
      <c r="AH434" t="str">
        <f>IFERROR(IF($AQ434&gt;3,INDEX(Festivals!$V$2:$V$160,$AP434+3),""),"")</f>
        <v/>
      </c>
      <c r="AI434" t="str">
        <f>IFERROR(IF($AQ434&gt;4,INDEX(Festivals!$V$2:$V$160,$AP434+4),""),"")</f>
        <v/>
      </c>
      <c r="AJ434" t="str">
        <f>IFERROR(IF($AQ434&gt;5,INDEX(Festivals!$V$2:$V$160,$AP434+5),""),"")</f>
        <v/>
      </c>
      <c r="AK434" t="str">
        <f>IFERROR(IF($AQ434&gt;6,INDEX(Festivals!$V$2:$V$160,$AP434+6),""),"")</f>
        <v/>
      </c>
      <c r="AL434" t="str">
        <f ca="1">IFERROR(INDEX('Holidays Calc'!$J$2:$J$233,MATCH(A434,'Holidays Calc'!$I$2:$I$233,0)),"")</f>
        <v/>
      </c>
      <c r="AM434" t="str">
        <f ca="1">IF(AR434="","",IF(INDEX('Holidays Calc'!$I$2:$I$233,AR434+1)=A434,INDEX('Holidays Calc'!$J$2:$J$233,AR434+1),""))</f>
        <v/>
      </c>
      <c r="AN434" t="str">
        <f ca="1">IF(AR434="","",IF(INDEX('Holidays Calc'!$I$2:$I$233,AR434+2)=A434,INDEX('Holidays Calc'!$J$2:$J$233,AR434+2),""))</f>
        <v/>
      </c>
      <c r="AO434" t="str">
        <f ca="1">IF(AR434="","",IF(INDEX('Holidays Calc'!$I$2:$I$233,AR434+3)=A434,INDEX('Holidays Calc'!$J$2:$J$233,AR434+3),""))</f>
        <v/>
      </c>
      <c r="AP434" t="str">
        <f>IFERROR(IF($E434=E433,"",MATCH($E434,Festivals!$H$2:$H$160,0)),"")</f>
        <v/>
      </c>
      <c r="AQ434" t="str">
        <f>IF(AP434="","",COUNTIF(Festivals!$H$2:$H$160,$E434))</f>
        <v/>
      </c>
      <c r="AR434" t="str">
        <f ca="1">IFERROR(MATCH(A434,'Holidays Calc'!$I$2:$I$233,0),"")</f>
        <v/>
      </c>
      <c r="AS434" t="str">
        <f t="shared" si="46"/>
        <v/>
      </c>
      <c r="AT434" t="str">
        <f t="shared" si="45"/>
        <v/>
      </c>
      <c r="AU434" t="str">
        <f t="shared" ca="1" si="47"/>
        <v/>
      </c>
      <c r="AV434" t="str">
        <f t="shared" ca="1" si="48"/>
        <v/>
      </c>
    </row>
    <row r="435" spans="1:48" x14ac:dyDescent="0.25">
      <c r="A435" s="265">
        <f t="shared" si="44"/>
        <v>43861</v>
      </c>
      <c r="B435" s="265" t="str">
        <f t="shared" si="49"/>
        <v>31 Jan 2020</v>
      </c>
      <c r="C435" s="267">
        <f t="shared" si="50"/>
        <v>5</v>
      </c>
      <c r="D435">
        <f>MATCH(A435,GCalXMLT[daydate],0)</f>
        <v>434</v>
      </c>
      <c r="E435">
        <f>VALUE("1" &amp; Masacod(INDEX(GCalXMLT[gymasa],D435)) &amp; PaksaCod(INDEX(GCalXMLT[mpaksaid],D435)) &amp; TithiCod(INDEX(GCalXMLT[stithiname],D435)))</f>
        <v>111106</v>
      </c>
      <c r="F435" t="str">
        <f ca="1">INDEX(Parameters!$K$2:$K$16,MATCH(AV435,Parameters!$L$2:$L$16,0))</f>
        <v/>
      </c>
      <c r="G435">
        <f>INDEX(GCalXMLT[fastmark],$D435)</f>
        <v>0</v>
      </c>
      <c r="H435" t="str">
        <f ca="1">INDEX(Parameters!$J$2:$J$16,MATCH(AV435,Parameters!$L$2:$L$16,0))</f>
        <v/>
      </c>
      <c r="I435">
        <f>INDEX(GCalXMLT[dfestival1],$D435)</f>
        <v>0</v>
      </c>
      <c r="J435">
        <f>IF(INDEX(GCalXMLT[dfestival2],$D435)="(Fast today)",INDEX(Festivals!$R$2:$R$180,MATCH($I435,Festivals!$R$2:$R$180,0)+1),INDEX(GCalXMLT[dfestival2],$D435))</f>
        <v>0</v>
      </c>
      <c r="K435">
        <f>IF(I435="Nandotsava","(Fast till noon)",INDEX(GCalXMLT[dfestival3],$D435))</f>
        <v>0</v>
      </c>
      <c r="L435">
        <f>IF(I435="Nandotsava", INDEX(GCalXMLT[dfestival3],$D435),INDEX(GCalXMLT[dfestival4],$D435))</f>
        <v>0</v>
      </c>
      <c r="M435" t="str">
        <f>IFERROR(INDEX(Festivals!$S$2:$S$160,AP435),"")</f>
        <v/>
      </c>
      <c r="N435" t="str">
        <f>IFERROR(IF($AQ435&gt;1,INDEX(Festivals!$S$2:$S$160,$AP435+1),""),"")</f>
        <v/>
      </c>
      <c r="O435" t="str">
        <f>IFERROR(IF($AQ435&gt;2,INDEX(Festivals!$S$2:$S$160,$AP435+2),""),"")</f>
        <v/>
      </c>
      <c r="P435" t="str">
        <f>IFERROR(IF($AQ435&gt;3,INDEX(Festivals!$S$2:$S$160,$AP435+3),""),"")</f>
        <v/>
      </c>
      <c r="Q435" t="str">
        <f>IFERROR(IF($AQ435&gt;4,INDEX(Festivals!$S$2:$S$160,$AP435+4),""),"")</f>
        <v/>
      </c>
      <c r="R435" t="str">
        <f>IFERROR(IF($AQ435&gt;5,INDEX(Festivals!$S$2:$S$160,$AP435+5),""),"")</f>
        <v/>
      </c>
      <c r="S435" t="str">
        <f>IFERROR(IF($AQ435&gt;6,INDEX(Festivals!$S$2:$S$160,$AP435+6),""),"")</f>
        <v/>
      </c>
      <c r="T435">
        <f>INDEX(GCalXMLT[dcaturmasya1],$D435)</f>
        <v>0</v>
      </c>
      <c r="U435">
        <f>INDEX(GCalXMLT[dcaturmasya2],$D435)</f>
        <v>0</v>
      </c>
      <c r="V435" t="str">
        <f>INDEX(GCalXMLT[sankrantirasi],$D435) &amp; " " &amp; INDEX(GCalXMLT[sankrantitime],$D435)</f>
        <v xml:space="preserve"> </v>
      </c>
      <c r="W435" t="str">
        <f ca="1">IFERROR(INDEX('Holidays Calc'!$K$2:$K$233,AR435),"")</f>
        <v/>
      </c>
      <c r="X435" t="str">
        <f ca="1">IF(AR435="","",IF(INDEX('Holidays Calc'!$I$2:$I$233,AR435+1)=A435,INDEX('Holidays Calc'!$K$2:$K$233,AR435+1),""))</f>
        <v/>
      </c>
      <c r="Y435" t="str">
        <f ca="1">IF(AR435="","",IF(INDEX('Holidays Calc'!$I$2:$I$233,AR435+2)=A435,INDEX('Holidays Calc'!$K$2:$K$233,AR435+2),""))</f>
        <v/>
      </c>
      <c r="Z435" t="str">
        <f ca="1">IF(AR435="","",IF(INDEX('Holidays Calc'!$I$2:$I$233,AR435+3)=A435,INDEX('Holidays Calc'!$K$2:$K$2333,AR435+3),""))</f>
        <v/>
      </c>
      <c r="AA435" t="str">
        <f>IF(I435="Last day of Bhisma Pancaka","",IF(G435="*",-0.7,IF(ISBLANK(INDEX(GCalXMLT[dclass1],$D435)),"",INDEX(GCalXMLT[dclass1],$D435))))</f>
        <v/>
      </c>
      <c r="AB435" t="str">
        <f>IF(J435="First day of Bhisma Pancaka","",IF(AND(G435="*",NOT(ISERROR(SEARCH("ekadasi",J435)))),-0.7,IF(ISBLANK(INDEX(GCalXMLT[dclass2],$D435)),"",INDEX(GCalXMLT[dclass2],$D435))))</f>
        <v/>
      </c>
      <c r="AC435" t="str">
        <f>IF(I435="Nandotsava",-1,IF(ISBLANK(INDEX(GCalXMLT[dclass3],$D435)),"",INDEX(GCalXMLT[dclass3],$D435)))</f>
        <v/>
      </c>
      <c r="AD435" t="str">
        <f>IF(I435="Nandotsava",IF(ISBLANK(INDEX(GCalXMLT[dclass3],$D435)),"",INDEX(GCalXMLT[dclass3],$D435)),IF(ISBLANK(INDEX(GCalXMLT[dclass4],$D435)),"",INDEX(GCalXMLT[dclass4],$D435)))</f>
        <v/>
      </c>
      <c r="AE435" t="str">
        <f>IFERROR(INDEX(Festivals!$V$2:$V$160,AP435),"")</f>
        <v/>
      </c>
      <c r="AF435" t="str">
        <f>IFERROR(IF($AQ435&gt;1,INDEX(Festivals!$V$2:$V$160,$AP435+1),""),"")</f>
        <v/>
      </c>
      <c r="AG435" t="str">
        <f>IFERROR(IF($AQ435&gt;2,INDEX(Festivals!$V$2:$V$160,$AP435+2),""),"")</f>
        <v/>
      </c>
      <c r="AH435" t="str">
        <f>IFERROR(IF($AQ435&gt;3,INDEX(Festivals!$V$2:$V$160,$AP435+3),""),"")</f>
        <v/>
      </c>
      <c r="AI435" t="str">
        <f>IFERROR(IF($AQ435&gt;4,INDEX(Festivals!$V$2:$V$160,$AP435+4),""),"")</f>
        <v/>
      </c>
      <c r="AJ435" t="str">
        <f>IFERROR(IF($AQ435&gt;5,INDEX(Festivals!$V$2:$V$160,$AP435+5),""),"")</f>
        <v/>
      </c>
      <c r="AK435" t="str">
        <f>IFERROR(IF($AQ435&gt;6,INDEX(Festivals!$V$2:$V$160,$AP435+6),""),"")</f>
        <v/>
      </c>
      <c r="AL435" t="str">
        <f ca="1">IFERROR(INDEX('Holidays Calc'!$J$2:$J$233,MATCH(A435,'Holidays Calc'!$I$2:$I$233,0)),"")</f>
        <v/>
      </c>
      <c r="AM435" t="str">
        <f ca="1">IF(AR435="","",IF(INDEX('Holidays Calc'!$I$2:$I$233,AR435+1)=A435,INDEX('Holidays Calc'!$J$2:$J$233,AR435+1),""))</f>
        <v/>
      </c>
      <c r="AN435" t="str">
        <f ca="1">IF(AR435="","",IF(INDEX('Holidays Calc'!$I$2:$I$233,AR435+2)=A435,INDEX('Holidays Calc'!$J$2:$J$233,AR435+2),""))</f>
        <v/>
      </c>
      <c r="AO435" t="str">
        <f ca="1">IF(AR435="","",IF(INDEX('Holidays Calc'!$I$2:$I$233,AR435+3)=A435,INDEX('Holidays Calc'!$J$2:$J$233,AR435+3),""))</f>
        <v/>
      </c>
      <c r="AP435" t="str">
        <f>IFERROR(IF($E435=E434,"",MATCH($E435,Festivals!$H$2:$H$160,0)),"")</f>
        <v/>
      </c>
      <c r="AQ435" t="str">
        <f>IF(AP435="","",COUNTIF(Festivals!$H$2:$H$160,$E435))</f>
        <v/>
      </c>
      <c r="AR435" t="str">
        <f ca="1">IFERROR(MATCH(A435,'Holidays Calc'!$I$2:$I$233,0),"")</f>
        <v/>
      </c>
      <c r="AS435" t="str">
        <f t="shared" si="46"/>
        <v/>
      </c>
      <c r="AT435" t="str">
        <f t="shared" si="45"/>
        <v/>
      </c>
      <c r="AU435" t="str">
        <f t="shared" ca="1" si="47"/>
        <v/>
      </c>
      <c r="AV435" t="str">
        <f t="shared" ca="1" si="48"/>
        <v/>
      </c>
    </row>
  </sheetData>
  <pageMargins left="0.511811024" right="0.511811024" top="0.78740157499999996" bottom="0.78740157499999996" header="0.31496062000000002" footer="0.3149606200000000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wksGCalMonth"/>
  <dimension ref="A1:AS141"/>
  <sheetViews>
    <sheetView workbookViewId="0">
      <pane xSplit="2" ySplit="1" topLeftCell="C2" activePane="bottomRight" state="frozen"/>
      <selection pane="topRight" activeCell="C1" sqref="C1"/>
      <selection pane="bottomLeft" activeCell="A2" sqref="A2"/>
      <selection pane="bottomRight"/>
    </sheetView>
  </sheetViews>
  <sheetFormatPr defaultRowHeight="15" x14ac:dyDescent="0.25"/>
  <cols>
    <col min="1" max="1" width="10.7109375" customWidth="1"/>
    <col min="2" max="2" width="12.42578125" customWidth="1"/>
    <col min="3" max="3" width="10.7109375" customWidth="1"/>
    <col min="4" max="16" width="9.140625" customWidth="1"/>
    <col min="23" max="23" width="9.140625" customWidth="1"/>
    <col min="24" max="24" width="5" customWidth="1"/>
    <col min="25" max="25" width="4" bestFit="1" customWidth="1"/>
    <col min="26" max="26" width="9" bestFit="1" customWidth="1"/>
    <col min="27" max="27" width="6.42578125" customWidth="1"/>
    <col min="28" max="28" width="8" bestFit="1" customWidth="1"/>
    <col min="29" max="29" width="6.42578125" customWidth="1"/>
    <col min="30" max="30" width="4.28515625" customWidth="1"/>
    <col min="34" max="35" width="9.140625" customWidth="1"/>
    <col min="36" max="40" width="8.5703125" customWidth="1"/>
    <col min="43" max="44" width="10.7109375" bestFit="1" customWidth="1"/>
  </cols>
  <sheetData>
    <row r="1" spans="1:45" x14ac:dyDescent="0.25">
      <c r="A1" s="432" t="s">
        <v>1240</v>
      </c>
      <c r="B1" s="320" t="s">
        <v>7581</v>
      </c>
      <c r="C1" s="420" t="s">
        <v>1763</v>
      </c>
      <c r="D1" s="327" t="s">
        <v>7499</v>
      </c>
      <c r="E1" s="305" t="s">
        <v>7596</v>
      </c>
      <c r="F1" s="327" t="s">
        <v>7500</v>
      </c>
      <c r="G1" s="327" t="s">
        <v>7501</v>
      </c>
      <c r="H1" s="327" t="s">
        <v>7502</v>
      </c>
      <c r="I1" s="274" t="s">
        <v>7502</v>
      </c>
      <c r="J1" s="274" t="s">
        <v>7503</v>
      </c>
      <c r="K1" s="274" t="s">
        <v>7504</v>
      </c>
      <c r="L1" s="274" t="s">
        <v>7505</v>
      </c>
      <c r="M1" s="274" t="s">
        <v>7516</v>
      </c>
      <c r="N1" s="274" t="s">
        <v>7518</v>
      </c>
      <c r="O1" s="274" t="s">
        <v>7520</v>
      </c>
      <c r="P1" s="419" t="s">
        <v>7506</v>
      </c>
      <c r="Q1" s="419" t="s">
        <v>9660</v>
      </c>
      <c r="R1" s="419" t="s">
        <v>7575</v>
      </c>
      <c r="S1" s="320" t="s">
        <v>7494</v>
      </c>
      <c r="T1" s="303" t="s">
        <v>7544</v>
      </c>
      <c r="U1" s="303" t="s">
        <v>7545</v>
      </c>
      <c r="V1" s="303" t="s">
        <v>7546</v>
      </c>
      <c r="W1" s="303" t="s">
        <v>7547</v>
      </c>
      <c r="X1" t="s">
        <v>7539</v>
      </c>
      <c r="Y1" t="s">
        <v>7245</v>
      </c>
      <c r="Z1" s="303" t="s">
        <v>9515</v>
      </c>
      <c r="AA1" t="s">
        <v>7580</v>
      </c>
      <c r="AB1" t="s">
        <v>7239</v>
      </c>
      <c r="AC1" s="305" t="s">
        <v>7551</v>
      </c>
      <c r="AD1" s="305" t="s">
        <v>7242</v>
      </c>
      <c r="AE1" s="420" t="s">
        <v>7570</v>
      </c>
      <c r="AF1" s="420" t="s">
        <v>7571</v>
      </c>
      <c r="AG1" s="327" t="s">
        <v>7499</v>
      </c>
      <c r="AH1" s="327" t="s">
        <v>7500</v>
      </c>
      <c r="AI1" s="327" t="s">
        <v>7501</v>
      </c>
      <c r="AJ1" s="327" t="s">
        <v>7502</v>
      </c>
      <c r="AK1" s="419" t="s">
        <v>7574</v>
      </c>
      <c r="AL1" s="419" t="s">
        <v>7572</v>
      </c>
      <c r="AM1" s="419" t="s">
        <v>9661</v>
      </c>
      <c r="AN1" s="419" t="s">
        <v>7576</v>
      </c>
      <c r="AO1" s="419" t="s">
        <v>7573</v>
      </c>
      <c r="AP1" s="320" t="s">
        <v>7577</v>
      </c>
      <c r="AQ1" s="320" t="s">
        <v>7578</v>
      </c>
      <c r="AR1" s="320" t="s">
        <v>7579</v>
      </c>
      <c r="AS1" s="326" t="s">
        <v>7490</v>
      </c>
    </row>
    <row r="2" spans="1:45" x14ac:dyDescent="0.25">
      <c r="A2" s="265">
        <f t="shared" ref="A2:A7" si="0">A3-1</f>
        <v>43464</v>
      </c>
      <c r="B2" s="267" t="str">
        <f ca="1">IFERROR(SUBSTITUTE(SUBSTITUTE(RIGHT(AA2,LEN(AA2)-SEARCH(" (",AA2)),'GCal-Translations'!$B$194,'GCal-Translations'!$C$194,1),'GCal-Translations'!$B$195,'GCal-Translations'!$C$195,1),"")</f>
        <v/>
      </c>
      <c r="C2" s="418" t="str">
        <f>IF(AND(AE2&lt;&gt;"",AF2&lt;&gt;""),SUBSTITUTE(SUBSTITUTE('GCal-Translations'!$C$200,"#start_hour#",AE2),"#end_hour#",AF2),IF(AE2&lt;&gt;"",SUBSTITUTE('GCal-Translations'!$C$199,"#hh:mm#",AE2),""))</f>
        <v/>
      </c>
      <c r="D2" t="str">
        <f t="shared" ref="D2:D45" si="1">AG2</f>
        <v/>
      </c>
      <c r="E2" s="267" t="str">
        <f ca="1">IF(AD2="*",'GCal-Translations'!$C$197 &amp; " " &amp; TEXT(AB2,"hh:mm"),"")</f>
        <v/>
      </c>
      <c r="F2" t="str">
        <f t="shared" ref="F2:F45" si="2">AH2</f>
        <v/>
      </c>
      <c r="G2" t="str">
        <f t="shared" ref="G2:G17" si="3">AI2</f>
        <v/>
      </c>
      <c r="H2" t="str">
        <f ca="1">IF(AJ2="",IF(AS2&lt;&gt;AS1,AS2 &amp; " Masa",AJ2),AJ2)</f>
        <v>Nārāyaṇa (Pauṣa) Masa</v>
      </c>
      <c r="I2" s="267" t="str">
        <f>GcalTranscode(INDEX('GCal-Year'!M$2:M$435,$X2))</f>
        <v/>
      </c>
      <c r="J2" s="267" t="str">
        <f>GcalTranscode(INDEX('GCal-Year'!N$2:N$435,$X2))</f>
        <v/>
      </c>
      <c r="K2" s="267" t="str">
        <f>GcalTranscode(INDEX('GCal-Year'!O$2:O$435,$X2))</f>
        <v/>
      </c>
      <c r="L2" s="267" t="str">
        <f>GcalTranscode(INDEX('GCal-Year'!P$2:P$435,$X2))</f>
        <v/>
      </c>
      <c r="M2" s="267" t="str">
        <f>GcalTranscode(INDEX('GCal-Year'!Q$2:Q$435,$X2))</f>
        <v/>
      </c>
      <c r="N2" s="267" t="str">
        <f>GcalTranscode(INDEX('GCal-Year'!R$2:R$435,$X2))</f>
        <v/>
      </c>
      <c r="O2" s="267" t="str">
        <f>GcalTranscode(INDEX('GCal-Year'!S$2:S$435,$X2))</f>
        <v/>
      </c>
      <c r="P2" s="267" t="str">
        <f t="shared" ref="P2:P45" si="4">GcalTranscode(AK2) &amp; " " &amp; GcalTranscode(AL2)</f>
        <v xml:space="preserve"> </v>
      </c>
      <c r="Q2" s="267" t="str">
        <f>GcalTranscode(AM2)</f>
        <v/>
      </c>
      <c r="R2" s="267" t="str">
        <f t="shared" ref="R2:R45" si="5">GcalTranscode(AN2) &amp; " " &amp; GcalTranscode(AO2)</f>
        <v xml:space="preserve"> </v>
      </c>
      <c r="S2" s="267" t="str">
        <f t="shared" ref="S2:S8" si="6">SUBSTITUTE(SUBSTITUTE(AP2,"#dd mm#",TEXT(AR2,"dd mmm"),1),"#hh:mm#",TEXT(AQ2,"hh:mm"),1)</f>
        <v/>
      </c>
      <c r="T2" s="267" t="str">
        <f ca="1">INDEX('GCal-Year'!W$2:W$435,$X2)</f>
        <v/>
      </c>
      <c r="U2" s="267" t="str">
        <f ca="1">INDEX('GCal-Year'!X$2:X$435,$X2)</f>
        <v/>
      </c>
      <c r="V2" s="267" t="str">
        <f ca="1">INDEX('GCal-Year'!Y$2:Y$435,$X2)</f>
        <v/>
      </c>
      <c r="W2" s="267" t="str">
        <f ca="1">INDEX('GCal-Year'!Z$2:Z$435,$X2)</f>
        <v/>
      </c>
      <c r="X2">
        <f>X3-1</f>
        <v>37</v>
      </c>
      <c r="Y2" s="267">
        <f>INDEX('GCal-Year'!D$2:D$435,$X2)</f>
        <v>37</v>
      </c>
      <c r="Z2" s="839">
        <f>INDEX(GCalXMLT[dstoffset],Y2) * TIMEVALUE("01:00:00")</f>
        <v>0</v>
      </c>
      <c r="AA2" s="267" t="str">
        <f>INDEX(GCalXMLT[stithiname],Y2)</f>
        <v>Navami</v>
      </c>
      <c r="AB2" s="839">
        <f>INDEX(GCalXMLT[dsunrisetime],$Y2)-Z2</f>
        <v>0.21137731481481481</v>
      </c>
      <c r="AC2" s="267" t="str">
        <f ca="1">INDEX('GCal-Year'!F$2:F$435,$X2)</f>
        <v/>
      </c>
      <c r="AD2" s="267" t="str">
        <f ca="1">INDEX('GCal-Year'!H$2:H$435,$X2)</f>
        <v/>
      </c>
      <c r="AE2" s="267" t="str">
        <f>IF(INDEX(GCalXMLT[paranafrom],$Y2)=0,"",TEXT(INDEX(GCalXMLT[paranafrom],$Y2)-$Z2,"hh:mm"))</f>
        <v/>
      </c>
      <c r="AF2" s="267" t="str">
        <f>IF(INDEX(GCalXMLT[paranato],$Y2)=0,"",TEXT(INDEX(GCalXMLT[paranato],$Y2)-$Z2,"hh:mm"))</f>
        <v/>
      </c>
      <c r="AG2" s="267" t="str">
        <f>GcalTranscode(INDEX('GCal-Year'!I$2:I$435,$X2))</f>
        <v/>
      </c>
      <c r="AH2" s="267" t="str">
        <f>GcalTranscode(INDEX('GCal-Year'!J$2:J$435,$X2))</f>
        <v/>
      </c>
      <c r="AI2" s="267" t="str">
        <f>GcalTranscode(INDEX('GCal-Year'!K$2:K$435,$X2))</f>
        <v/>
      </c>
      <c r="AJ2" s="267" t="str">
        <f>GcalTranscode(INDEX('GCal-Year'!L$2:L$435,$X2))</f>
        <v/>
      </c>
      <c r="AK2" s="267" t="str">
        <f>LEFT(INDEX(GCalXMLT[dcaturmasya1],$Y2),6)</f>
        <v/>
      </c>
      <c r="AL2" s="267" t="str">
        <f>RIGHT(INDEX(GCalXMLT[dcaturmasya1],$Y2),8)</f>
        <v/>
      </c>
      <c r="AM2" s="267" t="str">
        <f>IF(MID(AK2,2,5)="first",LEFT(AK2,1) &amp; "fast_","")</f>
        <v/>
      </c>
      <c r="AN2" s="267" t="str">
        <f>LEFT(INDEX(GCalXMLT[dcaturmasya2],$Y2),6)</f>
        <v/>
      </c>
      <c r="AO2" s="267" t="str">
        <f>RIGHT(INDEX(GCalXMLT[dcaturmasya2],$Y2),8)</f>
        <v/>
      </c>
      <c r="AP2" s="267" t="str">
        <f>GcalTranscode(INDEX(GCalXMLT[sankrantirasi],$Y2))</f>
        <v/>
      </c>
      <c r="AQ2" s="294" t="str">
        <f>IF(INDEX(GCalXMLT[sankrantitime],$Y2)=0,"",INDEX(GCalXMLT[sankrantitime],$Y2)-Z2)</f>
        <v/>
      </c>
      <c r="AR2" s="265">
        <f>IF(AQ2&gt;0.5,A2-1,A2)</f>
        <v>43463</v>
      </c>
      <c r="AS2" t="str">
        <f ca="1">GcalTranscode(INDEX(GCalXMLT[gymasa],$Y2))</f>
        <v>Nārāyaṇa (Pauṣa)</v>
      </c>
    </row>
    <row r="3" spans="1:45" x14ac:dyDescent="0.25">
      <c r="A3" s="265">
        <f t="shared" si="0"/>
        <v>43465</v>
      </c>
      <c r="B3" s="267" t="str">
        <f ca="1">IFERROR(SUBSTITUTE(SUBSTITUTE(RIGHT(AA3,LEN(AA3)-SEARCH(" (",AA3)),'GCal-Translations'!$B$194,'GCal-Translations'!$C$194,1),'GCal-Translations'!$B$195,'GCal-Translations'!$C$195,1),"")</f>
        <v/>
      </c>
      <c r="C3" s="418" t="str">
        <f>IF(AND(AE3&lt;&gt;"",AF3&lt;&gt;""),SUBSTITUTE(SUBSTITUTE('GCal-Translations'!$C$200,"#start_hour#",AE3),"#end_hour#",AF3),IF(AE3&lt;&gt;"",SUBSTITUTE('GCal-Translations'!$C$199,"#hh:mm#",AE3),""))</f>
        <v/>
      </c>
      <c r="D3" t="str">
        <f t="shared" si="1"/>
        <v/>
      </c>
      <c r="E3" s="267" t="str">
        <f ca="1">IF(AD3="*",'GCal-Translations'!$C$197 &amp; " " &amp; TEXT(AB3,"hh:mm"),"")</f>
        <v/>
      </c>
      <c r="F3" t="str">
        <f t="shared" si="2"/>
        <v/>
      </c>
      <c r="G3" t="str">
        <f t="shared" si="3"/>
        <v/>
      </c>
      <c r="H3" t="str">
        <f t="shared" ref="H3:H45" ca="1" si="7">IF(AJ3="",IF(AS3&lt;&gt;AS2,AS3 &amp; " Masa",AJ3),AJ3)</f>
        <v/>
      </c>
      <c r="I3" s="267" t="str">
        <f>GcalTranscode(INDEX('GCal-Year'!M$2:M$435,$X3))</f>
        <v/>
      </c>
      <c r="J3" s="267" t="str">
        <f>GcalTranscode(INDEX('GCal-Year'!N$2:N$435,$X3))</f>
        <v/>
      </c>
      <c r="K3" s="267" t="str">
        <f>GcalTranscode(INDEX('GCal-Year'!O$2:O$435,$X3))</f>
        <v/>
      </c>
      <c r="L3" s="267" t="str">
        <f>GcalTranscode(INDEX('GCal-Year'!P$2:P$435,$X3))</f>
        <v/>
      </c>
      <c r="M3" s="267" t="str">
        <f>GcalTranscode(INDEX('GCal-Year'!Q$2:Q$435,$X3))</f>
        <v/>
      </c>
      <c r="N3" s="267" t="str">
        <f>GcalTranscode(INDEX('GCal-Year'!R$2:R$435,$X3))</f>
        <v/>
      </c>
      <c r="O3" s="267" t="str">
        <f>GcalTranscode(INDEX('GCal-Year'!S$2:S$435,$X3))</f>
        <v/>
      </c>
      <c r="P3" s="267" t="str">
        <f t="shared" si="4"/>
        <v xml:space="preserve"> </v>
      </c>
      <c r="Q3" s="267" t="str">
        <f t="shared" ref="Q3:Q45" si="8">GcalTranscode(AM3)</f>
        <v/>
      </c>
      <c r="R3" s="267" t="str">
        <f t="shared" si="5"/>
        <v xml:space="preserve"> </v>
      </c>
      <c r="S3" s="267" t="str">
        <f t="shared" si="6"/>
        <v/>
      </c>
      <c r="T3" s="267" t="str">
        <f ca="1">INDEX('GCal-Year'!W$2:W$435,$X3)</f>
        <v/>
      </c>
      <c r="U3" s="267" t="str">
        <f ca="1">INDEX('GCal-Year'!X$2:X$435,$X3)</f>
        <v/>
      </c>
      <c r="V3" s="267" t="str">
        <f ca="1">INDEX('GCal-Year'!Y$2:Y$435,$X3)</f>
        <v/>
      </c>
      <c r="W3" s="267" t="str">
        <f ca="1">INDEX('GCal-Year'!Z$2:Z$435,$X3)</f>
        <v/>
      </c>
      <c r="X3">
        <f t="shared" ref="X3:X8" si="9">X4-1</f>
        <v>38</v>
      </c>
      <c r="Y3" s="267">
        <f>INDEX('GCal-Year'!D$2:D$435,$X3)</f>
        <v>38</v>
      </c>
      <c r="Z3" s="839">
        <f>INDEX(GCalXMLT[dstoffset],Y3) * TIMEVALUE("01:00:00")</f>
        <v>0</v>
      </c>
      <c r="AA3" s="267" t="str">
        <f>INDEX(GCalXMLT[stithiname],Y3)</f>
        <v>Dasami</v>
      </c>
      <c r="AB3" s="839">
        <f>INDEX(GCalXMLT[dsunrisetime],$Y3)-Z3</f>
        <v>0.21173611111111112</v>
      </c>
      <c r="AC3" s="267" t="str">
        <f ca="1">INDEX('GCal-Year'!F$2:F$435,$X3)</f>
        <v/>
      </c>
      <c r="AD3" s="267" t="str">
        <f ca="1">INDEX('GCal-Year'!H$2:H$435,$X3)</f>
        <v/>
      </c>
      <c r="AE3" s="267" t="str">
        <f>IF(INDEX(GCalXMLT[paranafrom],$Y3)=0,"",TEXT(INDEX(GCalXMLT[paranafrom],$Y3)-$Z3,"hh:mm"))</f>
        <v/>
      </c>
      <c r="AF3" s="267" t="str">
        <f>IF(INDEX(GCalXMLT[paranato],$Y3)=0,"",TEXT(INDEX(GCalXMLT[paranato],$Y3)-$Z3,"hh:mm"))</f>
        <v/>
      </c>
      <c r="AG3" s="267" t="str">
        <f>GcalTranscode(INDEX('GCal-Year'!I$2:I$435,$X3))</f>
        <v/>
      </c>
      <c r="AH3" s="267" t="str">
        <f>GcalTranscode(INDEX('GCal-Year'!J$2:J$435,$X3))</f>
        <v/>
      </c>
      <c r="AI3" s="267" t="str">
        <f>GcalTranscode(INDEX('GCal-Year'!K$2:K$435,$X3))</f>
        <v/>
      </c>
      <c r="AJ3" s="267" t="str">
        <f>GcalTranscode(INDEX('GCal-Year'!L$2:L$435,$X3))</f>
        <v/>
      </c>
      <c r="AK3" s="267" t="str">
        <f>LEFT(INDEX(GCalXMLT[dcaturmasya1],$Y3),6)</f>
        <v/>
      </c>
      <c r="AL3" s="267" t="str">
        <f>RIGHT(INDEX(GCalXMLT[dcaturmasya1],$Y3),8)</f>
        <v/>
      </c>
      <c r="AM3" s="267" t="str">
        <f t="shared" ref="AM3:AM45" si="10">IF(MID(AK3,2,5)="first",LEFT(AK3,1) &amp; "fast_","")</f>
        <v/>
      </c>
      <c r="AN3" s="267" t="str">
        <f>LEFT(INDEX(GCalXMLT[dcaturmasya2],$Y3),6)</f>
        <v/>
      </c>
      <c r="AO3" s="267" t="str">
        <f>RIGHT(INDEX(GCalXMLT[dcaturmasya2],$Y3),8)</f>
        <v/>
      </c>
      <c r="AP3" s="267" t="str">
        <f>GcalTranscode(INDEX(GCalXMLT[sankrantirasi],$Y3))</f>
        <v/>
      </c>
      <c r="AQ3" s="294" t="str">
        <f>IF(INDEX(GCalXMLT[sankrantitime],$Y3)=0,"",INDEX(GCalXMLT[sankrantitime],$Y3)-Z3)</f>
        <v/>
      </c>
      <c r="AR3" s="265">
        <f t="shared" ref="AR3:AR45" si="11">IF(AQ3&gt;0.5,A3-1,A3)</f>
        <v>43464</v>
      </c>
      <c r="AS3" t="str">
        <f ca="1">GcalTranscode(INDEX(GCalXMLT[gymasa],$Y3))</f>
        <v>Nārāyaṇa (Pauṣa)</v>
      </c>
    </row>
    <row r="4" spans="1:45" x14ac:dyDescent="0.25">
      <c r="A4" s="265">
        <f t="shared" si="0"/>
        <v>43466</v>
      </c>
      <c r="B4" s="267" t="str">
        <f ca="1">IFERROR(SUBSTITUTE(SUBSTITUTE(RIGHT(AA4,LEN(AA4)-SEARCH(" (",AA4)),'GCal-Translations'!$B$194,'GCal-Translations'!$C$194,1),'GCal-Translations'!$B$195,'GCal-Translations'!$C$195,1),"")</f>
        <v>(adequado para jejum)</v>
      </c>
      <c r="C4" s="418" t="str">
        <f>IF(AND(AE4&lt;&gt;"",AF4&lt;&gt;""),SUBSTITUTE(SUBSTITUTE('GCal-Translations'!$C$200,"#start_hour#",AE4),"#end_hour#",AF4),IF(AE4&lt;&gt;"",SUBSTITUTE('GCal-Translations'!$C$199,"#hh:mm#",AE4),""))</f>
        <v/>
      </c>
      <c r="D4" t="str">
        <f t="shared" ca="1" si="1"/>
        <v>Jejum por Saphala Ekadasi</v>
      </c>
      <c r="E4" s="267" t="str">
        <f ca="1">IF(AD4="*",'GCal-Translations'!$C$197 &amp; " " &amp; TEXT(AB4,"hh:mm"),"")</f>
        <v>Jejum começa às 05:05</v>
      </c>
      <c r="F4" t="str">
        <f t="shared" si="2"/>
        <v/>
      </c>
      <c r="G4" t="str">
        <f t="shared" si="3"/>
        <v/>
      </c>
      <c r="H4" t="str">
        <f t="shared" ca="1" si="7"/>
        <v/>
      </c>
      <c r="I4" s="267" t="str">
        <f ca="1">GcalTranscode(INDEX('GCal-Year'!M$2:M$435,$X4))</f>
        <v>Sri Devananda Pandita - Desaparecimento</v>
      </c>
      <c r="J4" s="267" t="str">
        <f>GcalTranscode(INDEX('GCal-Year'!N$2:N$435,$X4))</f>
        <v/>
      </c>
      <c r="K4" s="267" t="str">
        <f>GcalTranscode(INDEX('GCal-Year'!O$2:O$435,$X4))</f>
        <v/>
      </c>
      <c r="L4" s="267" t="str">
        <f>GcalTranscode(INDEX('GCal-Year'!P$2:P$435,$X4))</f>
        <v/>
      </c>
      <c r="M4" s="267" t="str">
        <f>GcalTranscode(INDEX('GCal-Year'!Q$2:Q$435,$X4))</f>
        <v/>
      </c>
      <c r="N4" s="267" t="str">
        <f>GcalTranscode(INDEX('GCal-Year'!R$2:R$435,$X4))</f>
        <v/>
      </c>
      <c r="O4" s="267" t="str">
        <f>GcalTranscode(INDEX('GCal-Year'!S$2:S$435,$X4))</f>
        <v/>
      </c>
      <c r="P4" s="267" t="str">
        <f t="shared" si="4"/>
        <v xml:space="preserve"> </v>
      </c>
      <c r="Q4" s="267" t="str">
        <f t="shared" si="8"/>
        <v/>
      </c>
      <c r="R4" s="267" t="str">
        <f t="shared" si="5"/>
        <v xml:space="preserve"> </v>
      </c>
      <c r="S4" s="267" t="str">
        <f t="shared" si="6"/>
        <v/>
      </c>
      <c r="T4" s="267" t="str">
        <f ca="1">INDEX('GCal-Year'!W$2:W$435,$X4)</f>
        <v>Confraternização Universal</v>
      </c>
      <c r="U4" s="267" t="str">
        <f ca="1">INDEX('GCal-Year'!X$2:X$435,$X4)</f>
        <v/>
      </c>
      <c r="V4" s="267" t="str">
        <f ca="1">INDEX('GCal-Year'!Y$2:Y$435,$X4)</f>
        <v/>
      </c>
      <c r="W4" s="267" t="str">
        <f ca="1">INDEX('GCal-Year'!Z$2:Z$435,$X4)</f>
        <v/>
      </c>
      <c r="X4">
        <f t="shared" si="9"/>
        <v>39</v>
      </c>
      <c r="Y4" s="267">
        <f>INDEX('GCal-Year'!D$2:D$435,$X4)</f>
        <v>39</v>
      </c>
      <c r="Z4" s="839">
        <f>INDEX(GCalXMLT[dstoffset],Y4) * TIMEVALUE("01:00:00")</f>
        <v>0</v>
      </c>
      <c r="AA4" s="267" t="str">
        <f>INDEX(GCalXMLT[stithiname],Y4)</f>
        <v>Ekadasi (suitable for fasting)</v>
      </c>
      <c r="AB4" s="839">
        <f>INDEX(GCalXMLT[dsunrisetime],$Y4)-Z4</f>
        <v>0.21210648148148148</v>
      </c>
      <c r="AC4" s="267" t="str">
        <f ca="1">INDEX('GCal-Year'!F$2:F$435,$X4)</f>
        <v>S</v>
      </c>
      <c r="AD4" s="267" t="str">
        <f ca="1">INDEX('GCal-Year'!H$2:H$435,$X4)</f>
        <v>*</v>
      </c>
      <c r="AE4" s="267" t="str">
        <f>IF(INDEX(GCalXMLT[paranafrom],$Y4)=0,"",TEXT(INDEX(GCalXMLT[paranafrom],$Y4)-$Z4,"hh:mm"))</f>
        <v/>
      </c>
      <c r="AF4" s="267" t="str">
        <f>IF(INDEX(GCalXMLT[paranato],$Y4)=0,"",TEXT(INDEX(GCalXMLT[paranato],$Y4)-$Z4,"hh:mm"))</f>
        <v/>
      </c>
      <c r="AG4" s="267" t="str">
        <f ca="1">GcalTranscode(INDEX('GCal-Year'!I$2:I$435,$X4))</f>
        <v>Jejum por Saphala Ekadasi</v>
      </c>
      <c r="AH4" s="267" t="str">
        <f>GcalTranscode(INDEX('GCal-Year'!J$2:J$435,$X4))</f>
        <v/>
      </c>
      <c r="AI4" s="267" t="str">
        <f>GcalTranscode(INDEX('GCal-Year'!K$2:K$435,$X4))</f>
        <v/>
      </c>
      <c r="AJ4" s="267" t="str">
        <f>GcalTranscode(INDEX('GCal-Year'!L$2:L$435,$X4))</f>
        <v/>
      </c>
      <c r="AK4" s="267" t="str">
        <f>LEFT(INDEX(GCalXMLT[dcaturmasya1],$Y4),6)</f>
        <v/>
      </c>
      <c r="AL4" s="267" t="str">
        <f>RIGHT(INDEX(GCalXMLT[dcaturmasya1],$Y4),8)</f>
        <v/>
      </c>
      <c r="AM4" s="267" t="str">
        <f t="shared" si="10"/>
        <v/>
      </c>
      <c r="AN4" s="267" t="str">
        <f>LEFT(INDEX(GCalXMLT[dcaturmasya2],$Y4),6)</f>
        <v/>
      </c>
      <c r="AO4" s="267" t="str">
        <f>RIGHT(INDEX(GCalXMLT[dcaturmasya2],$Y4),8)</f>
        <v/>
      </c>
      <c r="AP4" s="267" t="str">
        <f>GcalTranscode(INDEX(GCalXMLT[sankrantirasi],$Y4))</f>
        <v/>
      </c>
      <c r="AQ4" s="294" t="str">
        <f>IF(INDEX(GCalXMLT[sankrantitime],$Y4)=0,"",INDEX(GCalXMLT[sankrantitime],$Y4)-Z4)</f>
        <v/>
      </c>
      <c r="AR4" s="265">
        <f t="shared" si="11"/>
        <v>43465</v>
      </c>
      <c r="AS4" t="str">
        <f ca="1">GcalTranscode(INDEX(GCalXMLT[gymasa],$Y4))</f>
        <v>Nārāyaṇa (Pauṣa)</v>
      </c>
    </row>
    <row r="5" spans="1:45" x14ac:dyDescent="0.25">
      <c r="A5" s="265">
        <f t="shared" si="0"/>
        <v>43467</v>
      </c>
      <c r="B5" s="267" t="str">
        <f ca="1">IFERROR(SUBSTITUTE(SUBSTITUTE(RIGHT(AA5,LEN(AA5)-SEARCH(" (",AA5)),'GCal-Translations'!$B$194,'GCal-Translations'!$C$194,1),'GCal-Translations'!$B$195,'GCal-Translations'!$C$195,1),"")</f>
        <v/>
      </c>
      <c r="C5" s="418" t="str">
        <f ca="1">IF(AND(AE5&lt;&gt;"",AF5&lt;&gt;""),SUBSTITUTE(SUBSTITUTE('GCal-Translations'!$C$200,"#start_hour#",AE5),"#end_hour#",AF5),IF(AE5&lt;&gt;"",SUBSTITUTE('GCal-Translations'!$C$199,"#hh:mm#",AE5),""))</f>
        <v>Quebra de jejum 05:05 - 09:17 (hora local)</v>
      </c>
      <c r="D5" t="str">
        <f t="shared" si="1"/>
        <v/>
      </c>
      <c r="E5" s="267" t="str">
        <f ca="1">IF(AD5="*",'GCal-Translations'!$C$197 &amp; " " &amp; TEXT(AB5,"hh:mm"),"")</f>
        <v/>
      </c>
      <c r="F5" t="str">
        <f t="shared" si="2"/>
        <v/>
      </c>
      <c r="G5" t="str">
        <f t="shared" si="3"/>
        <v/>
      </c>
      <c r="H5" t="str">
        <f t="shared" ca="1" si="7"/>
        <v/>
      </c>
      <c r="I5" s="267" t="str">
        <f>GcalTranscode(INDEX('GCal-Year'!M$2:M$435,$X5))</f>
        <v/>
      </c>
      <c r="J5" s="267" t="str">
        <f>GcalTranscode(INDEX('GCal-Year'!N$2:N$435,$X5))</f>
        <v/>
      </c>
      <c r="K5" s="267" t="str">
        <f>GcalTranscode(INDEX('GCal-Year'!O$2:O$435,$X5))</f>
        <v/>
      </c>
      <c r="L5" s="267" t="str">
        <f>GcalTranscode(INDEX('GCal-Year'!P$2:P$435,$X5))</f>
        <v/>
      </c>
      <c r="M5" s="267" t="str">
        <f>GcalTranscode(INDEX('GCal-Year'!Q$2:Q$435,$X5))</f>
        <v/>
      </c>
      <c r="N5" s="267" t="str">
        <f>GcalTranscode(INDEX('GCal-Year'!R$2:R$435,$X5))</f>
        <v/>
      </c>
      <c r="O5" s="267" t="str">
        <f>GcalTranscode(INDEX('GCal-Year'!S$2:S$435,$X5))</f>
        <v/>
      </c>
      <c r="P5" s="267" t="str">
        <f t="shared" si="4"/>
        <v xml:space="preserve"> </v>
      </c>
      <c r="Q5" s="267" t="str">
        <f t="shared" si="8"/>
        <v/>
      </c>
      <c r="R5" s="267" t="str">
        <f t="shared" si="5"/>
        <v xml:space="preserve"> </v>
      </c>
      <c r="S5" s="267" t="str">
        <f t="shared" si="6"/>
        <v/>
      </c>
      <c r="T5" s="267" t="str">
        <f ca="1">INDEX('GCal-Year'!W$2:W$435,$X5)</f>
        <v/>
      </c>
      <c r="U5" s="267" t="str">
        <f ca="1">INDEX('GCal-Year'!X$2:X$435,$X5)</f>
        <v/>
      </c>
      <c r="V5" s="267" t="str">
        <f ca="1">INDEX('GCal-Year'!Y$2:Y$435,$X5)</f>
        <v/>
      </c>
      <c r="W5" s="267" t="str">
        <f ca="1">INDEX('GCal-Year'!Z$2:Z$435,$X5)</f>
        <v/>
      </c>
      <c r="X5">
        <f t="shared" si="9"/>
        <v>40</v>
      </c>
      <c r="Y5" s="267">
        <f>INDEX('GCal-Year'!D$2:D$435,$X5)</f>
        <v>40</v>
      </c>
      <c r="Z5" s="839">
        <f>INDEX(GCalXMLT[dstoffset],Y5) * TIMEVALUE("01:00:00")</f>
        <v>0</v>
      </c>
      <c r="AA5" s="267" t="str">
        <f>INDEX(GCalXMLT[stithiname],Y5)</f>
        <v>Dvadasi</v>
      </c>
      <c r="AB5" s="839">
        <f>INDEX(GCalXMLT[dsunrisetime],$Y5)-Z5</f>
        <v>0.21247685185185183</v>
      </c>
      <c r="AC5" s="267" t="str">
        <f ca="1">INDEX('GCal-Year'!F$2:F$435,$X5)</f>
        <v/>
      </c>
      <c r="AD5" s="267" t="str">
        <f ca="1">INDEX('GCal-Year'!H$2:H$435,$X5)</f>
        <v/>
      </c>
      <c r="AE5" s="267" t="str">
        <f>IF(INDEX(GCalXMLT[paranafrom],$Y5)=0,"",TEXT(INDEX(GCalXMLT[paranafrom],$Y5)-$Z5,"hh:mm"))</f>
        <v>05:05</v>
      </c>
      <c r="AF5" s="267" t="str">
        <f>IF(INDEX(GCalXMLT[paranato],$Y5)=0,"",TEXT(INDEX(GCalXMLT[paranato],$Y5)-$Z5,"hh:mm"))</f>
        <v>09:17</v>
      </c>
      <c r="AG5" s="267" t="str">
        <f>GcalTranscode(INDEX('GCal-Year'!I$2:I$435,$X5))</f>
        <v/>
      </c>
      <c r="AH5" s="267" t="str">
        <f>GcalTranscode(INDEX('GCal-Year'!J$2:J$435,$X5))</f>
        <v/>
      </c>
      <c r="AI5" s="267" t="str">
        <f>GcalTranscode(INDEX('GCal-Year'!K$2:K$435,$X5))</f>
        <v/>
      </c>
      <c r="AJ5" s="267" t="str">
        <f>GcalTranscode(INDEX('GCal-Year'!L$2:L$435,$X5))</f>
        <v/>
      </c>
      <c r="AK5" s="267" t="str">
        <f>LEFT(INDEX(GCalXMLT[dcaturmasya1],$Y5),6)</f>
        <v/>
      </c>
      <c r="AL5" s="267" t="str">
        <f>RIGHT(INDEX(GCalXMLT[dcaturmasya1],$Y5),8)</f>
        <v/>
      </c>
      <c r="AM5" s="267" t="str">
        <f t="shared" si="10"/>
        <v/>
      </c>
      <c r="AN5" s="267" t="str">
        <f>LEFT(INDEX(GCalXMLT[dcaturmasya2],$Y5),6)</f>
        <v/>
      </c>
      <c r="AO5" s="267" t="str">
        <f>RIGHT(INDEX(GCalXMLT[dcaturmasya2],$Y5),8)</f>
        <v/>
      </c>
      <c r="AP5" s="267" t="str">
        <f>GcalTranscode(INDEX(GCalXMLT[sankrantirasi],$Y5))</f>
        <v/>
      </c>
      <c r="AQ5" s="294" t="str">
        <f>IF(INDEX(GCalXMLT[sankrantitime],$Y5)=0,"",INDEX(GCalXMLT[sankrantitime],$Y5)-Z5)</f>
        <v/>
      </c>
      <c r="AR5" s="265">
        <f t="shared" si="11"/>
        <v>43466</v>
      </c>
      <c r="AS5" t="str">
        <f ca="1">GcalTranscode(INDEX(GCalXMLT[gymasa],$Y5))</f>
        <v>Nārāyaṇa (Pauṣa)</v>
      </c>
    </row>
    <row r="6" spans="1:45" x14ac:dyDescent="0.25">
      <c r="A6" s="265">
        <f t="shared" si="0"/>
        <v>43468</v>
      </c>
      <c r="B6" s="267" t="str">
        <f ca="1">IFERROR(SUBSTITUTE(SUBSTITUTE(RIGHT(AA6,LEN(AA6)-SEARCH(" (",AA6)),'GCal-Translations'!$B$194,'GCal-Translations'!$C$194,1),'GCal-Translations'!$B$195,'GCal-Translations'!$C$195,1),"")</f>
        <v/>
      </c>
      <c r="C6" s="418" t="str">
        <f>IF(AND(AE6&lt;&gt;"",AF6&lt;&gt;""),SUBSTITUTE(SUBSTITUTE('GCal-Translations'!$C$200,"#start_hour#",AE6),"#end_hour#",AF6),IF(AE6&lt;&gt;"",SUBSTITUTE('GCal-Translations'!$C$199,"#hh:mm#",AE6),""))</f>
        <v/>
      </c>
      <c r="D6" t="str">
        <f t="shared" si="1"/>
        <v/>
      </c>
      <c r="E6" s="267" t="str">
        <f ca="1">IF(AD6="*",'GCal-Translations'!$C$197 &amp; " " &amp; TEXT(AB6,"hh:mm"),"")</f>
        <v/>
      </c>
      <c r="F6" t="str">
        <f t="shared" si="2"/>
        <v/>
      </c>
      <c r="G6" t="str">
        <f t="shared" si="3"/>
        <v/>
      </c>
      <c r="H6" t="str">
        <f t="shared" ca="1" si="7"/>
        <v/>
      </c>
      <c r="I6" s="267" t="str">
        <f ca="1">GcalTranscode(INDEX('GCal-Year'!M$2:M$435,$X6))</f>
        <v>Sri Mahesa Pandita - Desaparecimento</v>
      </c>
      <c r="J6" s="267" t="str">
        <f ca="1">GcalTranscode(INDEX('GCal-Year'!N$2:N$435,$X6))</f>
        <v>Sri Uddharana Datta Thakura - Desaparecimento</v>
      </c>
      <c r="K6" s="267" t="str">
        <f>GcalTranscode(INDEX('GCal-Year'!O$2:O$435,$X6))</f>
        <v/>
      </c>
      <c r="L6" s="267" t="str">
        <f>GcalTranscode(INDEX('GCal-Year'!P$2:P$435,$X6))</f>
        <v/>
      </c>
      <c r="M6" s="267" t="str">
        <f>GcalTranscode(INDEX('GCal-Year'!Q$2:Q$435,$X6))</f>
        <v/>
      </c>
      <c r="N6" s="267" t="str">
        <f>GcalTranscode(INDEX('GCal-Year'!R$2:R$435,$X6))</f>
        <v/>
      </c>
      <c r="O6" s="267" t="str">
        <f>GcalTranscode(INDEX('GCal-Year'!S$2:S$435,$X6))</f>
        <v/>
      </c>
      <c r="P6" s="267" t="str">
        <f t="shared" si="4"/>
        <v xml:space="preserve"> </v>
      </c>
      <c r="Q6" s="267" t="str">
        <f t="shared" si="8"/>
        <v/>
      </c>
      <c r="R6" s="267" t="str">
        <f t="shared" si="5"/>
        <v xml:space="preserve"> </v>
      </c>
      <c r="S6" s="267" t="str">
        <f t="shared" si="6"/>
        <v/>
      </c>
      <c r="T6" s="267" t="str">
        <f ca="1">INDEX('GCal-Year'!W$2:W$435,$X6)</f>
        <v/>
      </c>
      <c r="U6" s="267" t="str">
        <f ca="1">INDEX('GCal-Year'!X$2:X$435,$X6)</f>
        <v/>
      </c>
      <c r="V6" s="267" t="str">
        <f ca="1">INDEX('GCal-Year'!Y$2:Y$435,$X6)</f>
        <v/>
      </c>
      <c r="W6" s="267" t="str">
        <f ca="1">INDEX('GCal-Year'!Z$2:Z$435,$X6)</f>
        <v/>
      </c>
      <c r="X6">
        <f t="shared" si="9"/>
        <v>41</v>
      </c>
      <c r="Y6" s="267">
        <f>INDEX('GCal-Year'!D$2:D$435,$X6)</f>
        <v>41</v>
      </c>
      <c r="Z6" s="839">
        <f>INDEX(GCalXMLT[dstoffset],Y6) * TIMEVALUE("01:00:00")</f>
        <v>0</v>
      </c>
      <c r="AA6" s="267" t="str">
        <f>INDEX(GCalXMLT[stithiname],Y6)</f>
        <v>Trayodasi</v>
      </c>
      <c r="AB6" s="839">
        <f>INDEX(GCalXMLT[dsunrisetime],$Y6)-Z6</f>
        <v>0.21284722222222222</v>
      </c>
      <c r="AC6" s="267" t="str">
        <f ca="1">INDEX('GCal-Year'!F$2:F$435,$X6)</f>
        <v>C</v>
      </c>
      <c r="AD6" s="267" t="str">
        <f ca="1">INDEX('GCal-Year'!H$2:H$435,$X6)</f>
        <v/>
      </c>
      <c r="AE6" s="267" t="str">
        <f>IF(INDEX(GCalXMLT[paranafrom],$Y6)=0,"",TEXT(INDEX(GCalXMLT[paranafrom],$Y6)-$Z6,"hh:mm"))</f>
        <v/>
      </c>
      <c r="AF6" s="267" t="str">
        <f>IF(INDEX(GCalXMLT[paranato],$Y6)=0,"",TEXT(INDEX(GCalXMLT[paranato],$Y6)-$Z6,"hh:mm"))</f>
        <v/>
      </c>
      <c r="AG6" s="267" t="str">
        <f>GcalTranscode(INDEX('GCal-Year'!I$2:I$435,$X6))</f>
        <v/>
      </c>
      <c r="AH6" s="267" t="str">
        <f>GcalTranscode(INDEX('GCal-Year'!J$2:J$435,$X6))</f>
        <v/>
      </c>
      <c r="AI6" s="267" t="str">
        <f>GcalTranscode(INDEX('GCal-Year'!K$2:K$435,$X6))</f>
        <v/>
      </c>
      <c r="AJ6" s="267" t="str">
        <f>GcalTranscode(INDEX('GCal-Year'!L$2:L$435,$X6))</f>
        <v/>
      </c>
      <c r="AK6" s="267" t="str">
        <f>LEFT(INDEX(GCalXMLT[dcaturmasya1],$Y6),6)</f>
        <v/>
      </c>
      <c r="AL6" s="267" t="str">
        <f>RIGHT(INDEX(GCalXMLT[dcaturmasya1],$Y6),8)</f>
        <v/>
      </c>
      <c r="AM6" s="267" t="str">
        <f t="shared" si="10"/>
        <v/>
      </c>
      <c r="AN6" s="267" t="str">
        <f>LEFT(INDEX(GCalXMLT[dcaturmasya2],$Y6),6)</f>
        <v/>
      </c>
      <c r="AO6" s="267" t="str">
        <f>RIGHT(INDEX(GCalXMLT[dcaturmasya2],$Y6),8)</f>
        <v/>
      </c>
      <c r="AP6" s="267" t="str">
        <f>GcalTranscode(INDEX(GCalXMLT[sankrantirasi],$Y6))</f>
        <v/>
      </c>
      <c r="AQ6" s="294" t="str">
        <f>IF(INDEX(GCalXMLT[sankrantitime],$Y6)=0,"",INDEX(GCalXMLT[sankrantitime],$Y6)-Z6)</f>
        <v/>
      </c>
      <c r="AR6" s="265">
        <f t="shared" si="11"/>
        <v>43467</v>
      </c>
      <c r="AS6" t="str">
        <f ca="1">GcalTranscode(INDEX(GCalXMLT[gymasa],$Y6))</f>
        <v>Nārāyaṇa (Pauṣa)</v>
      </c>
    </row>
    <row r="7" spans="1:45" x14ac:dyDescent="0.25">
      <c r="A7" s="265">
        <f t="shared" si="0"/>
        <v>43469</v>
      </c>
      <c r="B7" s="267" t="str">
        <f ca="1">IFERROR(SUBSTITUTE(SUBSTITUTE(RIGHT(AA7,LEN(AA7)-SEARCH(" (",AA7)),'GCal-Translations'!$B$194,'GCal-Translations'!$C$194,1),'GCal-Translations'!$B$195,'GCal-Translations'!$C$195,1),"")</f>
        <v/>
      </c>
      <c r="C7" s="418" t="str">
        <f>IF(AND(AE7&lt;&gt;"",AF7&lt;&gt;""),SUBSTITUTE(SUBSTITUTE('GCal-Translations'!$C$200,"#start_hour#",AE7),"#end_hour#",AF7),IF(AE7&lt;&gt;"",SUBSTITUTE('GCal-Translations'!$C$199,"#hh:mm#",AE7),""))</f>
        <v/>
      </c>
      <c r="D7" t="str">
        <f t="shared" si="1"/>
        <v/>
      </c>
      <c r="E7" s="267" t="str">
        <f ca="1">IF(AD7="*",'GCal-Translations'!$C$197 &amp; " " &amp; TEXT(AB7,"hh:mm"),"")</f>
        <v/>
      </c>
      <c r="F7" t="str">
        <f t="shared" si="2"/>
        <v/>
      </c>
      <c r="G7" t="str">
        <f t="shared" si="3"/>
        <v/>
      </c>
      <c r="H7" t="str">
        <f t="shared" ca="1" si="7"/>
        <v/>
      </c>
      <c r="I7" s="267" t="str">
        <f>GcalTranscode(INDEX('GCal-Year'!M$2:M$435,$X7))</f>
        <v/>
      </c>
      <c r="J7" s="267" t="str">
        <f>GcalTranscode(INDEX('GCal-Year'!N$2:N$435,$X7))</f>
        <v/>
      </c>
      <c r="K7" s="267" t="str">
        <f>GcalTranscode(INDEX('GCal-Year'!O$2:O$435,$X7))</f>
        <v/>
      </c>
      <c r="L7" s="267" t="str">
        <f>GcalTranscode(INDEX('GCal-Year'!P$2:P$435,$X7))</f>
        <v/>
      </c>
      <c r="M7" s="267" t="str">
        <f>GcalTranscode(INDEX('GCal-Year'!Q$2:Q$435,$X7))</f>
        <v/>
      </c>
      <c r="N7" s="267" t="str">
        <f>GcalTranscode(INDEX('GCal-Year'!R$2:R$435,$X7))</f>
        <v/>
      </c>
      <c r="O7" s="267" t="str">
        <f>GcalTranscode(INDEX('GCal-Year'!S$2:S$435,$X7))</f>
        <v/>
      </c>
      <c r="P7" s="267" t="str">
        <f t="shared" si="4"/>
        <v xml:space="preserve"> </v>
      </c>
      <c r="Q7" s="267" t="str">
        <f t="shared" si="8"/>
        <v/>
      </c>
      <c r="R7" s="267" t="str">
        <f t="shared" si="5"/>
        <v xml:space="preserve"> </v>
      </c>
      <c r="S7" s="267" t="str">
        <f t="shared" si="6"/>
        <v/>
      </c>
      <c r="T7" s="267" t="str">
        <f ca="1">INDEX('GCal-Year'!W$2:W$435,$X7)</f>
        <v/>
      </c>
      <c r="U7" s="267" t="str">
        <f ca="1">INDEX('GCal-Year'!X$2:X$435,$X7)</f>
        <v/>
      </c>
      <c r="V7" s="267" t="str">
        <f ca="1">INDEX('GCal-Year'!Y$2:Y$435,$X7)</f>
        <v/>
      </c>
      <c r="W7" s="267" t="str">
        <f ca="1">INDEX('GCal-Year'!Z$2:Z$435,$X7)</f>
        <v/>
      </c>
      <c r="X7">
        <f t="shared" si="9"/>
        <v>42</v>
      </c>
      <c r="Y7" s="267">
        <f>INDEX('GCal-Year'!D$2:D$435,$X7)</f>
        <v>42</v>
      </c>
      <c r="Z7" s="839">
        <f>INDEX(GCalXMLT[dstoffset],Y7) * TIMEVALUE("01:00:00")</f>
        <v>0</v>
      </c>
      <c r="AA7" s="267" t="str">
        <f>INDEX(GCalXMLT[stithiname],Y7)</f>
        <v>Caturdasi</v>
      </c>
      <c r="AB7" s="839">
        <f>INDEX(GCalXMLT[dsunrisetime],$Y7)-Z7</f>
        <v>0.2132060185185185</v>
      </c>
      <c r="AC7" s="267" t="str">
        <f ca="1">INDEX('GCal-Year'!F$2:F$435,$X7)</f>
        <v/>
      </c>
      <c r="AD7" s="267" t="str">
        <f ca="1">INDEX('GCal-Year'!H$2:H$435,$X7)</f>
        <v/>
      </c>
      <c r="AE7" s="267" t="str">
        <f>IF(INDEX(GCalXMLT[paranafrom],$Y7)=0,"",TEXT(INDEX(GCalXMLT[paranafrom],$Y7)-$Z7,"hh:mm"))</f>
        <v/>
      </c>
      <c r="AF7" s="267" t="str">
        <f>IF(INDEX(GCalXMLT[paranato],$Y7)=0,"",TEXT(INDEX(GCalXMLT[paranato],$Y7)-$Z7,"hh:mm"))</f>
        <v/>
      </c>
      <c r="AG7" s="267" t="str">
        <f>GcalTranscode(INDEX('GCal-Year'!I$2:I$435,$X7))</f>
        <v/>
      </c>
      <c r="AH7" s="267" t="str">
        <f>GcalTranscode(INDEX('GCal-Year'!J$2:J$435,$X7))</f>
        <v/>
      </c>
      <c r="AI7" s="267" t="str">
        <f>GcalTranscode(INDEX('GCal-Year'!K$2:K$435,$X7))</f>
        <v/>
      </c>
      <c r="AJ7" s="267" t="str">
        <f>GcalTranscode(INDEX('GCal-Year'!L$2:L$435,$X7))</f>
        <v/>
      </c>
      <c r="AK7" s="267" t="str">
        <f>LEFT(INDEX(GCalXMLT[dcaturmasya1],$Y7),6)</f>
        <v/>
      </c>
      <c r="AL7" s="267" t="str">
        <f>RIGHT(INDEX(GCalXMLT[dcaturmasya1],$Y7),8)</f>
        <v/>
      </c>
      <c r="AM7" s="267" t="str">
        <f t="shared" si="10"/>
        <v/>
      </c>
      <c r="AN7" s="267" t="str">
        <f>LEFT(INDEX(GCalXMLT[dcaturmasya2],$Y7),6)</f>
        <v/>
      </c>
      <c r="AO7" s="267" t="str">
        <f>RIGHT(INDEX(GCalXMLT[dcaturmasya2],$Y7),8)</f>
        <v/>
      </c>
      <c r="AP7" s="267" t="str">
        <f>GcalTranscode(INDEX(GCalXMLT[sankrantirasi],$Y7))</f>
        <v/>
      </c>
      <c r="AQ7" s="294" t="str">
        <f>IF(INDEX(GCalXMLT[sankrantitime],$Y7)=0,"",INDEX(GCalXMLT[sankrantitime],$Y7)-Z7)</f>
        <v/>
      </c>
      <c r="AR7" s="265">
        <f t="shared" si="11"/>
        <v>43468</v>
      </c>
      <c r="AS7" t="str">
        <f ca="1">GcalTranscode(INDEX(GCalXMLT[gymasa],$Y7))</f>
        <v>Nārāyaṇa (Pauṣa)</v>
      </c>
    </row>
    <row r="8" spans="1:45" x14ac:dyDescent="0.25">
      <c r="A8" s="265">
        <f>A9-1</f>
        <v>43470</v>
      </c>
      <c r="B8" s="267" t="str">
        <f ca="1">IFERROR(SUBSTITUTE(SUBSTITUTE(RIGHT(AA8,LEN(AA8)-SEARCH(" (",AA8)),'GCal-Translations'!$B$194,'GCal-Translations'!$C$194,1),'GCal-Translations'!$B$195,'GCal-Translations'!$C$195,1),"")</f>
        <v/>
      </c>
      <c r="C8" s="418" t="str">
        <f>IF(AND(AE8&lt;&gt;"",AF8&lt;&gt;""),SUBSTITUTE(SUBSTITUTE('GCal-Translations'!$C$200,"#start_hour#",AE8),"#end_hour#",AF8),IF(AE8&lt;&gt;"",SUBSTITUTE('GCal-Translations'!$C$199,"#hh:mm#",AE8),""))</f>
        <v/>
      </c>
      <c r="D8" t="str">
        <f t="shared" si="1"/>
        <v/>
      </c>
      <c r="E8" s="267" t="str">
        <f ca="1">IF(AD8="*",'GCal-Translations'!$C$197 &amp; " " &amp; TEXT(AB8,"hh:mm"),"")</f>
        <v/>
      </c>
      <c r="F8" t="str">
        <f t="shared" si="2"/>
        <v/>
      </c>
      <c r="G8" t="str">
        <f t="shared" si="3"/>
        <v/>
      </c>
      <c r="H8" t="str">
        <f t="shared" ca="1" si="7"/>
        <v/>
      </c>
      <c r="I8" s="267" t="str">
        <f>GcalTranscode(INDEX('GCal-Year'!M$2:M$435,$X8))</f>
        <v/>
      </c>
      <c r="J8" s="267" t="str">
        <f>GcalTranscode(INDEX('GCal-Year'!N$2:N$435,$X8))</f>
        <v/>
      </c>
      <c r="K8" s="267" t="str">
        <f>GcalTranscode(INDEX('GCal-Year'!O$2:O$435,$X8))</f>
        <v/>
      </c>
      <c r="L8" s="267" t="str">
        <f>GcalTranscode(INDEX('GCal-Year'!P$2:P$435,$X8))</f>
        <v/>
      </c>
      <c r="M8" s="267" t="str">
        <f>GcalTranscode(INDEX('GCal-Year'!Q$2:Q$435,$X8))</f>
        <v/>
      </c>
      <c r="N8" s="267" t="str">
        <f>GcalTranscode(INDEX('GCal-Year'!R$2:R$435,$X8))</f>
        <v/>
      </c>
      <c r="O8" s="267" t="str">
        <f>GcalTranscode(INDEX('GCal-Year'!S$2:S$435,$X8))</f>
        <v/>
      </c>
      <c r="P8" s="267" t="str">
        <f t="shared" si="4"/>
        <v xml:space="preserve"> </v>
      </c>
      <c r="Q8" s="267" t="str">
        <f t="shared" si="8"/>
        <v/>
      </c>
      <c r="R8" s="267" t="str">
        <f t="shared" si="5"/>
        <v xml:space="preserve"> </v>
      </c>
      <c r="S8" s="267" t="str">
        <f t="shared" si="6"/>
        <v/>
      </c>
      <c r="T8" s="267" t="str">
        <f ca="1">INDEX('GCal-Year'!W$2:W$435,$X8)</f>
        <v/>
      </c>
      <c r="U8" s="267" t="str">
        <f ca="1">INDEX('GCal-Year'!X$2:X$435,$X8)</f>
        <v/>
      </c>
      <c r="V8" s="267" t="str">
        <f ca="1">INDEX('GCal-Year'!Y$2:Y$435,$X8)</f>
        <v/>
      </c>
      <c r="W8" s="267" t="str">
        <f ca="1">INDEX('GCal-Year'!Z$2:Z$435,$X8)</f>
        <v/>
      </c>
      <c r="X8">
        <f t="shared" si="9"/>
        <v>43</v>
      </c>
      <c r="Y8" s="267">
        <f>INDEX('GCal-Year'!D$2:D$435,$X8)</f>
        <v>43</v>
      </c>
      <c r="Z8" s="839">
        <f>INDEX(GCalXMLT[dstoffset],Y8) * TIMEVALUE("01:00:00")</f>
        <v>0</v>
      </c>
      <c r="AA8" s="267" t="str">
        <f>INDEX(GCalXMLT[stithiname],Y8)</f>
        <v>Amavasya</v>
      </c>
      <c r="AB8" s="839">
        <f>INDEX(GCalXMLT[dsunrisetime],$Y8)-Z8</f>
        <v>0.21357638888888889</v>
      </c>
      <c r="AC8" s="267" t="str">
        <f ca="1">INDEX('GCal-Year'!F$2:F$435,$X8)</f>
        <v/>
      </c>
      <c r="AD8" s="267" t="str">
        <f ca="1">INDEX('GCal-Year'!H$2:H$435,$X8)</f>
        <v/>
      </c>
      <c r="AE8" s="267" t="str">
        <f>IF(INDEX(GCalXMLT[paranafrom],$Y8)=0,"",TEXT(INDEX(GCalXMLT[paranafrom],$Y8)-$Z8,"hh:mm"))</f>
        <v/>
      </c>
      <c r="AF8" s="267" t="str">
        <f>IF(INDEX(GCalXMLT[paranato],$Y8)=0,"",TEXT(INDEX(GCalXMLT[paranato],$Y8)-$Z8,"hh:mm"))</f>
        <v/>
      </c>
      <c r="AG8" s="267" t="str">
        <f>GcalTranscode(INDEX('GCal-Year'!I$2:I$435,$X8))</f>
        <v/>
      </c>
      <c r="AH8" s="267" t="str">
        <f>GcalTranscode(INDEX('GCal-Year'!J$2:J$435,$X8))</f>
        <v/>
      </c>
      <c r="AI8" s="267" t="str">
        <f>GcalTranscode(INDEX('GCal-Year'!K$2:K$435,$X8))</f>
        <v/>
      </c>
      <c r="AJ8" s="267" t="str">
        <f>GcalTranscode(INDEX('GCal-Year'!L$2:L$435,$X8))</f>
        <v/>
      </c>
      <c r="AK8" s="267" t="str">
        <f>LEFT(INDEX(GCalXMLT[dcaturmasya1],$Y8),6)</f>
        <v/>
      </c>
      <c r="AL8" s="267" t="str">
        <f>RIGHT(INDEX(GCalXMLT[dcaturmasya1],$Y8),8)</f>
        <v/>
      </c>
      <c r="AM8" s="267" t="str">
        <f t="shared" si="10"/>
        <v/>
      </c>
      <c r="AN8" s="267" t="str">
        <f>LEFT(INDEX(GCalXMLT[dcaturmasya2],$Y8),6)</f>
        <v/>
      </c>
      <c r="AO8" s="267" t="str">
        <f>RIGHT(INDEX(GCalXMLT[dcaturmasya2],$Y8),8)</f>
        <v/>
      </c>
      <c r="AP8" s="267" t="str">
        <f>GcalTranscode(INDEX(GCalXMLT[sankrantirasi],$Y8))</f>
        <v/>
      </c>
      <c r="AQ8" s="294" t="str">
        <f>IF(INDEX(GCalXMLT[sankrantitime],$Y8)=0,"",INDEX(GCalXMLT[sankrantitime],$Y8)-Z8)</f>
        <v/>
      </c>
      <c r="AR8" s="265">
        <f t="shared" si="11"/>
        <v>43469</v>
      </c>
      <c r="AS8" t="str">
        <f ca="1">GcalTranscode(INDEX(GCalXMLT[gymasa],$Y8))</f>
        <v>Nārāyaṇa (Pauṣa)</v>
      </c>
    </row>
    <row r="9" spans="1:45" x14ac:dyDescent="0.25">
      <c r="A9" s="710">
        <f>Parameters!F19</f>
        <v>43471</v>
      </c>
      <c r="B9" s="267" t="str">
        <f ca="1">IFERROR(SUBSTITUTE(SUBSTITUTE(RIGHT(AA9,LEN(AA9)-SEARCH(" (",AA9)),'GCal-Translations'!$B$194,'GCal-Translations'!$C$194,1),'GCal-Translations'!$B$195,'GCal-Translations'!$C$195,1),"")</f>
        <v/>
      </c>
      <c r="C9" s="418" t="str">
        <f>IF(AND(AE9&lt;&gt;"",AF9&lt;&gt;""),SUBSTITUTE(SUBSTITUTE('GCal-Translations'!$C$200,"#start_hour#",AE9),"#end_hour#",AF9),IF(AE9&lt;&gt;"",SUBSTITUTE('GCal-Translations'!$C$199,"#hh:mm#",AE9),""))</f>
        <v/>
      </c>
      <c r="D9" t="str">
        <f t="shared" si="1"/>
        <v/>
      </c>
      <c r="E9" s="267" t="str">
        <f ca="1">IF(AD9="*",'GCal-Translations'!$C$197 &amp; " " &amp; TEXT(AB9,"hh:mm"),"")</f>
        <v/>
      </c>
      <c r="F9" t="str">
        <f t="shared" si="2"/>
        <v/>
      </c>
      <c r="G9" t="str">
        <f t="shared" si="3"/>
        <v/>
      </c>
      <c r="H9" t="str">
        <f t="shared" ca="1" si="7"/>
        <v/>
      </c>
      <c r="I9" s="267" t="str">
        <f ca="1">GcalTranscode(INDEX('GCal-Year'!M$2:M$435,$X9))</f>
        <v>Sri Locana Dasa Thakura - Aparecimento</v>
      </c>
      <c r="J9" s="267" t="str">
        <f>GcalTranscode(INDEX('GCal-Year'!N$2:N$435,$X9))</f>
        <v/>
      </c>
      <c r="K9" s="267" t="str">
        <f>GcalTranscode(INDEX('GCal-Year'!O$2:O$435,$X9))</f>
        <v/>
      </c>
      <c r="L9" s="267" t="str">
        <f>GcalTranscode(INDEX('GCal-Year'!P$2:P$435,$X9))</f>
        <v/>
      </c>
      <c r="M9" s="267" t="str">
        <f>GcalTranscode(INDEX('GCal-Year'!Q$2:Q$435,$X9))</f>
        <v/>
      </c>
      <c r="N9" s="267" t="str">
        <f>GcalTranscode(INDEX('GCal-Year'!R$2:R$435,$X9))</f>
        <v/>
      </c>
      <c r="O9" s="267" t="str">
        <f>GcalTranscode(INDEX('GCal-Year'!S$2:S$435,$X9))</f>
        <v/>
      </c>
      <c r="P9" s="267" t="str">
        <f t="shared" si="4"/>
        <v xml:space="preserve"> </v>
      </c>
      <c r="Q9" s="267" t="str">
        <f t="shared" si="8"/>
        <v/>
      </c>
      <c r="R9" s="267" t="str">
        <f t="shared" si="5"/>
        <v xml:space="preserve"> </v>
      </c>
      <c r="S9" s="267" t="str">
        <f t="shared" ref="S9:S37" si="12">SUBSTITUTE(SUBSTITUTE(AP9,"#dd mm#",TEXT(AR9,"dd mmm"),1),"#hh:mm#",TEXT(AQ9,"hh:mm"),1)</f>
        <v/>
      </c>
      <c r="T9" s="267" t="str">
        <f ca="1">INDEX('GCal-Year'!W$2:W$435,$X9)</f>
        <v/>
      </c>
      <c r="U9" s="267" t="str">
        <f ca="1">INDEX('GCal-Year'!X$2:X$435,$X9)</f>
        <v/>
      </c>
      <c r="V9" s="267" t="str">
        <f ca="1">INDEX('GCal-Year'!Y$2:Y$435,$X9)</f>
        <v/>
      </c>
      <c r="W9" s="267" t="str">
        <f ca="1">INDEX('GCal-Year'!Z$2:Z$435,$X9)</f>
        <v/>
      </c>
      <c r="X9" s="823">
        <f>MATCH(A9,'GCal-Year'!$A$2:$A$435,0)</f>
        <v>44</v>
      </c>
      <c r="Y9" s="267">
        <f>INDEX('GCal-Year'!D$2:D$435,$X9)</f>
        <v>44</v>
      </c>
      <c r="Z9" s="839">
        <f>INDEX(GCalXMLT[dstoffset],Y9) * TIMEVALUE("01:00:00")</f>
        <v>0</v>
      </c>
      <c r="AA9" s="267" t="str">
        <f>INDEX(GCalXMLT[stithiname],Y9)</f>
        <v>Pratipat</v>
      </c>
      <c r="AB9" s="839">
        <f>INDEX(GCalXMLT[dsunrisetime],$Y9)-Z9</f>
        <v>0.21393518518518517</v>
      </c>
      <c r="AC9" s="267" t="str">
        <f ca="1">INDEX('GCal-Year'!F$2:F$435,$X9)</f>
        <v>C</v>
      </c>
      <c r="AD9" s="267" t="str">
        <f ca="1">INDEX('GCal-Year'!H$2:H$435,$X9)</f>
        <v/>
      </c>
      <c r="AE9" s="267" t="str">
        <f>IF(INDEX(GCalXMLT[paranafrom],$Y9)=0,"",TEXT(INDEX(GCalXMLT[paranafrom],$Y9)-$Z9,"hh:mm"))</f>
        <v/>
      </c>
      <c r="AF9" s="267" t="str">
        <f>IF(INDEX(GCalXMLT[paranato],$Y9)=0,"",TEXT(INDEX(GCalXMLT[paranato],$Y9)-$Z9,"hh:mm"))</f>
        <v/>
      </c>
      <c r="AG9" s="267" t="str">
        <f>GcalTranscode(INDEX('GCal-Year'!I$2:I$435,$X9))</f>
        <v/>
      </c>
      <c r="AH9" s="267" t="str">
        <f>GcalTranscode(INDEX('GCal-Year'!J$2:J$435,$X9))</f>
        <v/>
      </c>
      <c r="AI9" s="267" t="str">
        <f>GcalTranscode(INDEX('GCal-Year'!K$2:K$435,$X9))</f>
        <v/>
      </c>
      <c r="AJ9" s="267" t="str">
        <f>GcalTranscode(INDEX('GCal-Year'!L$2:L$435,$X9))</f>
        <v/>
      </c>
      <c r="AK9" s="267" t="str">
        <f>LEFT(INDEX(GCalXMLT[dcaturmasya1],$Y9),6)</f>
        <v/>
      </c>
      <c r="AL9" s="267" t="str">
        <f>RIGHT(INDEX(GCalXMLT[dcaturmasya1],$Y9),8)</f>
        <v/>
      </c>
      <c r="AM9" s="267" t="str">
        <f t="shared" si="10"/>
        <v/>
      </c>
      <c r="AN9" s="267" t="str">
        <f>LEFT(INDEX(GCalXMLT[dcaturmasya2],$Y9),6)</f>
        <v/>
      </c>
      <c r="AO9" s="267" t="str">
        <f>RIGHT(INDEX(GCalXMLT[dcaturmasya2],$Y9),8)</f>
        <v/>
      </c>
      <c r="AP9" s="267" t="str">
        <f>GcalTranscode(INDEX(GCalXMLT[sankrantirasi],$Y9))</f>
        <v/>
      </c>
      <c r="AQ9" s="294" t="str">
        <f>IF(INDEX(GCalXMLT[sankrantitime],$Y9)=0,"",INDEX(GCalXMLT[sankrantitime],$Y9)-Z9)</f>
        <v/>
      </c>
      <c r="AR9" s="265">
        <f t="shared" si="11"/>
        <v>43470</v>
      </c>
      <c r="AS9" t="str">
        <f ca="1">GcalTranscode(INDEX(GCalXMLT[gymasa],$Y9))</f>
        <v>Nārāyaṇa (Pauṣa)</v>
      </c>
    </row>
    <row r="10" spans="1:45" x14ac:dyDescent="0.25">
      <c r="A10" s="265">
        <f t="shared" ref="A10:A45" si="13">A9+1</f>
        <v>43472</v>
      </c>
      <c r="B10" s="267" t="str">
        <f ca="1">IFERROR(SUBSTITUTE(SUBSTITUTE(RIGHT(AA10,LEN(AA10)-SEARCH(" (",AA10)),'GCal-Translations'!$B$194,'GCal-Translations'!$C$194,1),'GCal-Translations'!$B$195,'GCal-Translations'!$C$195,1),"")</f>
        <v/>
      </c>
      <c r="C10" s="418" t="str">
        <f>IF(AND(AE10&lt;&gt;"",AF10&lt;&gt;""),SUBSTITUTE(SUBSTITUTE('GCal-Translations'!$C$200,"#start_hour#",AE10),"#end_hour#",AF10),IF(AE10&lt;&gt;"",SUBSTITUTE('GCal-Translations'!$C$199,"#hh:mm#",AE10),""))</f>
        <v/>
      </c>
      <c r="D10" t="str">
        <f t="shared" si="1"/>
        <v/>
      </c>
      <c r="E10" s="267" t="str">
        <f ca="1">IF(AD10="*",'GCal-Translations'!$C$197 &amp; " " &amp; TEXT(AB10,"hh:mm"),"")</f>
        <v/>
      </c>
      <c r="F10" t="str">
        <f t="shared" si="2"/>
        <v/>
      </c>
      <c r="G10" t="str">
        <f t="shared" si="3"/>
        <v/>
      </c>
      <c r="H10" t="str">
        <f t="shared" ca="1" si="7"/>
        <v/>
      </c>
      <c r="I10" s="267" t="str">
        <f>GcalTranscode(INDEX('GCal-Year'!M$2:M$435,$X10))</f>
        <v/>
      </c>
      <c r="J10" s="267" t="str">
        <f>GcalTranscode(INDEX('GCal-Year'!N$2:N$435,$X10))</f>
        <v/>
      </c>
      <c r="K10" s="267" t="str">
        <f>GcalTranscode(INDEX('GCal-Year'!O$2:O$435,$X10))</f>
        <v/>
      </c>
      <c r="L10" s="267" t="str">
        <f>GcalTranscode(INDEX('GCal-Year'!P$2:P$435,$X10))</f>
        <v/>
      </c>
      <c r="M10" s="267" t="str">
        <f>GcalTranscode(INDEX('GCal-Year'!Q$2:Q$435,$X10))</f>
        <v/>
      </c>
      <c r="N10" s="267" t="str">
        <f>GcalTranscode(INDEX('GCal-Year'!R$2:R$435,$X10))</f>
        <v/>
      </c>
      <c r="O10" s="267" t="str">
        <f>GcalTranscode(INDEX('GCal-Year'!S$2:S$435,$X10))</f>
        <v/>
      </c>
      <c r="P10" s="267" t="str">
        <f t="shared" si="4"/>
        <v xml:space="preserve"> </v>
      </c>
      <c r="Q10" s="267" t="str">
        <f t="shared" si="8"/>
        <v/>
      </c>
      <c r="R10" s="267" t="str">
        <f t="shared" si="5"/>
        <v xml:space="preserve"> </v>
      </c>
      <c r="S10" s="267" t="str">
        <f t="shared" si="12"/>
        <v/>
      </c>
      <c r="T10" s="267" t="str">
        <f ca="1">INDEX('GCal-Year'!W$2:W$435,$X10)</f>
        <v/>
      </c>
      <c r="U10" s="267" t="str">
        <f ca="1">INDEX('GCal-Year'!X$2:X$435,$X10)</f>
        <v/>
      </c>
      <c r="V10" s="267" t="str">
        <f ca="1">INDEX('GCal-Year'!Y$2:Y$435,$X10)</f>
        <v/>
      </c>
      <c r="W10" s="267" t="str">
        <f ca="1">INDEX('GCal-Year'!Z$2:Z$435,$X10)</f>
        <v/>
      </c>
      <c r="X10">
        <f t="shared" ref="X10:X45" si="14">X9+1</f>
        <v>45</v>
      </c>
      <c r="Y10" s="267">
        <f>INDEX('GCal-Year'!D$2:D$435,$X10)</f>
        <v>45</v>
      </c>
      <c r="Z10" s="839">
        <f>INDEX(GCalXMLT[dstoffset],Y10) * TIMEVALUE("01:00:00")</f>
        <v>0</v>
      </c>
      <c r="AA10" s="267" t="str">
        <f>INDEX(GCalXMLT[stithiname],Y10)</f>
        <v>Dvitiya</v>
      </c>
      <c r="AB10" s="839">
        <f>INDEX(GCalXMLT[dsunrisetime],$Y10)-Z10</f>
        <v>0.21430555555555555</v>
      </c>
      <c r="AC10" s="267" t="str">
        <f ca="1">INDEX('GCal-Year'!F$2:F$435,$X10)</f>
        <v/>
      </c>
      <c r="AD10" s="267" t="str">
        <f ca="1">INDEX('GCal-Year'!H$2:H$435,$X10)</f>
        <v/>
      </c>
      <c r="AE10" s="267" t="str">
        <f>IF(INDEX(GCalXMLT[paranafrom],$Y10)=0,"",TEXT(INDEX(GCalXMLT[paranafrom],$Y10)-$Z10,"hh:mm"))</f>
        <v/>
      </c>
      <c r="AF10" s="267" t="str">
        <f>IF(INDEX(GCalXMLT[paranato],$Y10)=0,"",TEXT(INDEX(GCalXMLT[paranato],$Y10)-$Z10,"hh:mm"))</f>
        <v/>
      </c>
      <c r="AG10" s="267" t="str">
        <f>GcalTranscode(INDEX('GCal-Year'!I$2:I$435,$X10))</f>
        <v/>
      </c>
      <c r="AH10" s="267" t="str">
        <f>GcalTranscode(INDEX('GCal-Year'!J$2:J$435,$X10))</f>
        <v/>
      </c>
      <c r="AI10" s="267" t="str">
        <f>GcalTranscode(INDEX('GCal-Year'!K$2:K$435,$X10))</f>
        <v/>
      </c>
      <c r="AJ10" s="267" t="str">
        <f>GcalTranscode(INDEX('GCal-Year'!L$2:L$435,$X10))</f>
        <v/>
      </c>
      <c r="AK10" s="267" t="str">
        <f>LEFT(INDEX(GCalXMLT[dcaturmasya1],$Y10),6)</f>
        <v/>
      </c>
      <c r="AL10" s="267" t="str">
        <f>RIGHT(INDEX(GCalXMLT[dcaturmasya1],$Y10),8)</f>
        <v/>
      </c>
      <c r="AM10" s="267" t="str">
        <f t="shared" si="10"/>
        <v/>
      </c>
      <c r="AN10" s="267" t="str">
        <f>LEFT(INDEX(GCalXMLT[dcaturmasya2],$Y10),6)</f>
        <v/>
      </c>
      <c r="AO10" s="267" t="str">
        <f>RIGHT(INDEX(GCalXMLT[dcaturmasya2],$Y10),8)</f>
        <v/>
      </c>
      <c r="AP10" s="267" t="str">
        <f>GcalTranscode(INDEX(GCalXMLT[sankrantirasi],$Y10))</f>
        <v/>
      </c>
      <c r="AQ10" s="294" t="str">
        <f>IF(INDEX(GCalXMLT[sankrantitime],$Y10)=0,"",INDEX(GCalXMLT[sankrantitime],$Y10)-Z10)</f>
        <v/>
      </c>
      <c r="AR10" s="265">
        <f t="shared" si="11"/>
        <v>43471</v>
      </c>
      <c r="AS10" t="str">
        <f ca="1">GcalTranscode(INDEX(GCalXMLT[gymasa],$Y10))</f>
        <v>Nārāyaṇa (Pauṣa)</v>
      </c>
    </row>
    <row r="11" spans="1:45" x14ac:dyDescent="0.25">
      <c r="A11" s="265">
        <f t="shared" si="13"/>
        <v>43473</v>
      </c>
      <c r="B11" s="267" t="str">
        <f ca="1">IFERROR(SUBSTITUTE(SUBSTITUTE(RIGHT(AA11,LEN(AA11)-SEARCH(" (",AA11)),'GCal-Translations'!$B$194,'GCal-Translations'!$C$194,1),'GCal-Translations'!$B$195,'GCal-Translations'!$C$195,1),"")</f>
        <v/>
      </c>
      <c r="C11" s="418" t="str">
        <f>IF(AND(AE11&lt;&gt;"",AF11&lt;&gt;""),SUBSTITUTE(SUBSTITUTE('GCal-Translations'!$C$200,"#start_hour#",AE11),"#end_hour#",AF11),IF(AE11&lt;&gt;"",SUBSTITUTE('GCal-Translations'!$C$199,"#hh:mm#",AE11),""))</f>
        <v/>
      </c>
      <c r="D11" t="str">
        <f t="shared" si="1"/>
        <v/>
      </c>
      <c r="E11" s="267" t="str">
        <f ca="1">IF(AD11="*",'GCal-Translations'!$C$197 &amp; " " &amp; TEXT(AB11,"hh:mm"),"")</f>
        <v/>
      </c>
      <c r="F11" t="str">
        <f t="shared" si="2"/>
        <v/>
      </c>
      <c r="G11" t="str">
        <f t="shared" si="3"/>
        <v/>
      </c>
      <c r="H11" t="str">
        <f t="shared" ca="1" si="7"/>
        <v/>
      </c>
      <c r="I11" s="267" t="str">
        <f ca="1">GcalTranscode(INDEX('GCal-Year'!M$2:M$435,$X11))</f>
        <v>Srila Jiva Gosvami - Desaparecimento</v>
      </c>
      <c r="J11" s="267" t="str">
        <f ca="1">GcalTranscode(INDEX('GCal-Year'!N$2:N$435,$X11))</f>
        <v>Sri Jagadisa Pandita - Desaparecimento</v>
      </c>
      <c r="K11" s="267" t="str">
        <f>GcalTranscode(INDEX('GCal-Year'!O$2:O$435,$X11))</f>
        <v/>
      </c>
      <c r="L11" s="267" t="str">
        <f>GcalTranscode(INDEX('GCal-Year'!P$2:P$435,$X11))</f>
        <v/>
      </c>
      <c r="M11" s="267" t="str">
        <f>GcalTranscode(INDEX('GCal-Year'!Q$2:Q$435,$X11))</f>
        <v/>
      </c>
      <c r="N11" s="267" t="str">
        <f>GcalTranscode(INDEX('GCal-Year'!R$2:R$435,$X11))</f>
        <v/>
      </c>
      <c r="O11" s="267" t="str">
        <f>GcalTranscode(INDEX('GCal-Year'!S$2:S$435,$X11))</f>
        <v/>
      </c>
      <c r="P11" s="267" t="str">
        <f t="shared" si="4"/>
        <v xml:space="preserve"> </v>
      </c>
      <c r="Q11" s="267" t="str">
        <f t="shared" si="8"/>
        <v/>
      </c>
      <c r="R11" s="267" t="str">
        <f t="shared" si="5"/>
        <v xml:space="preserve"> </v>
      </c>
      <c r="S11" s="267" t="str">
        <f t="shared" si="12"/>
        <v/>
      </c>
      <c r="T11" s="267" t="str">
        <f ca="1">INDEX('GCal-Year'!W$2:W$435,$X11)</f>
        <v/>
      </c>
      <c r="U11" s="267" t="str">
        <f ca="1">INDEX('GCal-Year'!X$2:X$435,$X11)</f>
        <v/>
      </c>
      <c r="V11" s="267" t="str">
        <f ca="1">INDEX('GCal-Year'!Y$2:Y$435,$X11)</f>
        <v/>
      </c>
      <c r="W11" s="267" t="str">
        <f ca="1">INDEX('GCal-Year'!Z$2:Z$435,$X11)</f>
        <v/>
      </c>
      <c r="X11">
        <f t="shared" si="14"/>
        <v>46</v>
      </c>
      <c r="Y11" s="267">
        <f>INDEX('GCal-Year'!D$2:D$435,$X11)</f>
        <v>46</v>
      </c>
      <c r="Z11" s="839">
        <f>INDEX(GCalXMLT[dstoffset],Y11) * TIMEVALUE("01:00:00")</f>
        <v>0</v>
      </c>
      <c r="AA11" s="267" t="str">
        <f>INDEX(GCalXMLT[stithiname],Y11)</f>
        <v>Tritiya</v>
      </c>
      <c r="AB11" s="839">
        <f>INDEX(GCalXMLT[dsunrisetime],$Y11)-Z11</f>
        <v>0.21466435185185184</v>
      </c>
      <c r="AC11" s="267" t="str">
        <f ca="1">INDEX('GCal-Year'!F$2:F$435,$X11)</f>
        <v>C</v>
      </c>
      <c r="AD11" s="267" t="str">
        <f ca="1">INDEX('GCal-Year'!H$2:H$435,$X11)</f>
        <v/>
      </c>
      <c r="AE11" s="267" t="str">
        <f>IF(INDEX(GCalXMLT[paranafrom],$Y11)=0,"",TEXT(INDEX(GCalXMLT[paranafrom],$Y11)-$Z11,"hh:mm"))</f>
        <v/>
      </c>
      <c r="AF11" s="267" t="str">
        <f>IF(INDEX(GCalXMLT[paranato],$Y11)=0,"",TEXT(INDEX(GCalXMLT[paranato],$Y11)-$Z11,"hh:mm"))</f>
        <v/>
      </c>
      <c r="AG11" s="267" t="str">
        <f>GcalTranscode(INDEX('GCal-Year'!I$2:I$435,$X11))</f>
        <v/>
      </c>
      <c r="AH11" s="267" t="str">
        <f>GcalTranscode(INDEX('GCal-Year'!J$2:J$435,$X11))</f>
        <v/>
      </c>
      <c r="AI11" s="267" t="str">
        <f>GcalTranscode(INDEX('GCal-Year'!K$2:K$435,$X11))</f>
        <v/>
      </c>
      <c r="AJ11" s="267" t="str">
        <f>GcalTranscode(INDEX('GCal-Year'!L$2:L$435,$X11))</f>
        <v/>
      </c>
      <c r="AK11" s="267" t="str">
        <f>LEFT(INDEX(GCalXMLT[dcaturmasya1],$Y11),6)</f>
        <v/>
      </c>
      <c r="AL11" s="267" t="str">
        <f>RIGHT(INDEX(GCalXMLT[dcaturmasya1],$Y11),8)</f>
        <v/>
      </c>
      <c r="AM11" s="267" t="str">
        <f t="shared" si="10"/>
        <v/>
      </c>
      <c r="AN11" s="267" t="str">
        <f>LEFT(INDEX(GCalXMLT[dcaturmasya2],$Y11),6)</f>
        <v/>
      </c>
      <c r="AO11" s="267" t="str">
        <f>RIGHT(INDEX(GCalXMLT[dcaturmasya2],$Y11),8)</f>
        <v/>
      </c>
      <c r="AP11" s="267" t="str">
        <f>GcalTranscode(INDEX(GCalXMLT[sankrantirasi],$Y11))</f>
        <v/>
      </c>
      <c r="AQ11" s="294" t="str">
        <f>IF(INDEX(GCalXMLT[sankrantitime],$Y11)=0,"",INDEX(GCalXMLT[sankrantitime],$Y11)-Z11)</f>
        <v/>
      </c>
      <c r="AR11" s="265">
        <f t="shared" si="11"/>
        <v>43472</v>
      </c>
      <c r="AS11" t="str">
        <f ca="1">GcalTranscode(INDEX(GCalXMLT[gymasa],$Y11))</f>
        <v>Nārāyaṇa (Pauṣa)</v>
      </c>
    </row>
    <row r="12" spans="1:45" x14ac:dyDescent="0.25">
      <c r="A12" s="265">
        <f t="shared" si="13"/>
        <v>43474</v>
      </c>
      <c r="B12" s="267" t="str">
        <f ca="1">IFERROR(SUBSTITUTE(SUBSTITUTE(RIGHT(AA12,LEN(AA12)-SEARCH(" (",AA12)),'GCal-Translations'!$B$194,'GCal-Translations'!$C$194,1),'GCal-Translations'!$B$195,'GCal-Translations'!$C$195,1),"")</f>
        <v/>
      </c>
      <c r="C12" s="418" t="str">
        <f>IF(AND(AE12&lt;&gt;"",AF12&lt;&gt;""),SUBSTITUTE(SUBSTITUTE('GCal-Translations'!$C$200,"#start_hour#",AE12),"#end_hour#",AF12),IF(AE12&lt;&gt;"",SUBSTITUTE('GCal-Translations'!$C$199,"#hh:mm#",AE12),""))</f>
        <v/>
      </c>
      <c r="D12" t="str">
        <f t="shared" si="1"/>
        <v/>
      </c>
      <c r="E12" s="267" t="str">
        <f ca="1">IF(AD12="*",'GCal-Translations'!$C$197 &amp; " " &amp; TEXT(AB12,"hh:mm"),"")</f>
        <v/>
      </c>
      <c r="F12" t="str">
        <f t="shared" si="2"/>
        <v/>
      </c>
      <c r="G12" t="str">
        <f t="shared" si="3"/>
        <v/>
      </c>
      <c r="H12" t="str">
        <f t="shared" ca="1" si="7"/>
        <v/>
      </c>
      <c r="I12" s="267" t="str">
        <f>GcalTranscode(INDEX('GCal-Year'!M$2:M$435,$X12))</f>
        <v/>
      </c>
      <c r="J12" s="267" t="str">
        <f>GcalTranscode(INDEX('GCal-Year'!N$2:N$435,$X12))</f>
        <v/>
      </c>
      <c r="K12" s="267" t="str">
        <f>GcalTranscode(INDEX('GCal-Year'!O$2:O$435,$X12))</f>
        <v/>
      </c>
      <c r="L12" s="267" t="str">
        <f>GcalTranscode(INDEX('GCal-Year'!P$2:P$435,$X12))</f>
        <v/>
      </c>
      <c r="M12" s="267" t="str">
        <f>GcalTranscode(INDEX('GCal-Year'!Q$2:Q$435,$X12))</f>
        <v/>
      </c>
      <c r="N12" s="267" t="str">
        <f>GcalTranscode(INDEX('GCal-Year'!R$2:R$435,$X12))</f>
        <v/>
      </c>
      <c r="O12" s="267" t="str">
        <f>GcalTranscode(INDEX('GCal-Year'!S$2:S$435,$X12))</f>
        <v/>
      </c>
      <c r="P12" s="267" t="str">
        <f t="shared" si="4"/>
        <v xml:space="preserve"> </v>
      </c>
      <c r="Q12" s="267" t="str">
        <f t="shared" si="8"/>
        <v/>
      </c>
      <c r="R12" s="267" t="str">
        <f t="shared" si="5"/>
        <v xml:space="preserve"> </v>
      </c>
      <c r="S12" s="267" t="str">
        <f t="shared" si="12"/>
        <v/>
      </c>
      <c r="T12" s="267" t="str">
        <f ca="1">INDEX('GCal-Year'!W$2:W$435,$X12)</f>
        <v/>
      </c>
      <c r="U12" s="267" t="str">
        <f ca="1">INDEX('GCal-Year'!X$2:X$435,$X12)</f>
        <v/>
      </c>
      <c r="V12" s="267" t="str">
        <f ca="1">INDEX('GCal-Year'!Y$2:Y$435,$X12)</f>
        <v/>
      </c>
      <c r="W12" s="267" t="str">
        <f ca="1">INDEX('GCal-Year'!Z$2:Z$435,$X12)</f>
        <v/>
      </c>
      <c r="X12">
        <f t="shared" si="14"/>
        <v>47</v>
      </c>
      <c r="Y12" s="267">
        <f>INDEX('GCal-Year'!D$2:D$435,$X12)</f>
        <v>47</v>
      </c>
      <c r="Z12" s="839">
        <f>INDEX(GCalXMLT[dstoffset],Y12) * TIMEVALUE("01:00:00")</f>
        <v>0</v>
      </c>
      <c r="AA12" s="267" t="str">
        <f>INDEX(GCalXMLT[stithiname],Y12)</f>
        <v>Tritiya</v>
      </c>
      <c r="AB12" s="839">
        <f>INDEX(GCalXMLT[dsunrisetime],$Y12)-Z12</f>
        <v>0.21502314814814816</v>
      </c>
      <c r="AC12" s="267" t="str">
        <f ca="1">INDEX('GCal-Year'!F$2:F$435,$X12)</f>
        <v/>
      </c>
      <c r="AD12" s="267" t="str">
        <f ca="1">INDEX('GCal-Year'!H$2:H$435,$X12)</f>
        <v/>
      </c>
      <c r="AE12" s="267" t="str">
        <f>IF(INDEX(GCalXMLT[paranafrom],$Y12)=0,"",TEXT(INDEX(GCalXMLT[paranafrom],$Y12)-$Z12,"hh:mm"))</f>
        <v/>
      </c>
      <c r="AF12" s="267" t="str">
        <f>IF(INDEX(GCalXMLT[paranato],$Y12)=0,"",TEXT(INDEX(GCalXMLT[paranato],$Y12)-$Z12,"hh:mm"))</f>
        <v/>
      </c>
      <c r="AG12" s="267" t="str">
        <f>GcalTranscode(INDEX('GCal-Year'!I$2:I$435,$X12))</f>
        <v/>
      </c>
      <c r="AH12" s="267" t="str">
        <f>GcalTranscode(INDEX('GCal-Year'!J$2:J$435,$X12))</f>
        <v/>
      </c>
      <c r="AI12" s="267" t="str">
        <f>GcalTranscode(INDEX('GCal-Year'!K$2:K$435,$X12))</f>
        <v/>
      </c>
      <c r="AJ12" s="267" t="str">
        <f>GcalTranscode(INDEX('GCal-Year'!L$2:L$435,$X12))</f>
        <v/>
      </c>
      <c r="AK12" s="267" t="str">
        <f>LEFT(INDEX(GCalXMLT[dcaturmasya1],$Y12),6)</f>
        <v/>
      </c>
      <c r="AL12" s="267" t="str">
        <f>RIGHT(INDEX(GCalXMLT[dcaturmasya1],$Y12),8)</f>
        <v/>
      </c>
      <c r="AM12" s="267" t="str">
        <f t="shared" si="10"/>
        <v/>
      </c>
      <c r="AN12" s="267" t="str">
        <f>LEFT(INDEX(GCalXMLT[dcaturmasya2],$Y12),6)</f>
        <v/>
      </c>
      <c r="AO12" s="267" t="str">
        <f>RIGHT(INDEX(GCalXMLT[dcaturmasya2],$Y12),8)</f>
        <v/>
      </c>
      <c r="AP12" s="267" t="str">
        <f>GcalTranscode(INDEX(GCalXMLT[sankrantirasi],$Y12))</f>
        <v/>
      </c>
      <c r="AQ12" s="294" t="str">
        <f>IF(INDEX(GCalXMLT[sankrantitime],$Y12)=0,"",INDEX(GCalXMLT[sankrantitime],$Y12)-Z12)</f>
        <v/>
      </c>
      <c r="AR12" s="265">
        <f t="shared" si="11"/>
        <v>43473</v>
      </c>
      <c r="AS12" t="str">
        <f ca="1">GcalTranscode(INDEX(GCalXMLT[gymasa],$Y12))</f>
        <v>Nārāyaṇa (Pauṣa)</v>
      </c>
    </row>
    <row r="13" spans="1:45" x14ac:dyDescent="0.25">
      <c r="A13" s="265">
        <f t="shared" si="13"/>
        <v>43475</v>
      </c>
      <c r="B13" s="267" t="str">
        <f ca="1">IFERROR(SUBSTITUTE(SUBSTITUTE(RIGHT(AA13,LEN(AA13)-SEARCH(" (",AA13)),'GCal-Translations'!$B$194,'GCal-Translations'!$C$194,1),'GCal-Translations'!$B$195,'GCal-Translations'!$C$195,1),"")</f>
        <v/>
      </c>
      <c r="C13" s="418" t="str">
        <f>IF(AND(AE13&lt;&gt;"",AF13&lt;&gt;""),SUBSTITUTE(SUBSTITUTE('GCal-Translations'!$C$200,"#start_hour#",AE13),"#end_hour#",AF13),IF(AE13&lt;&gt;"",SUBSTITUTE('GCal-Translations'!$C$199,"#hh:mm#",AE13),""))</f>
        <v/>
      </c>
      <c r="D13" t="str">
        <f t="shared" si="1"/>
        <v/>
      </c>
      <c r="E13" s="267" t="str">
        <f ca="1">IF(AD13="*",'GCal-Translations'!$C$197 &amp; " " &amp; TEXT(AB13,"hh:mm"),"")</f>
        <v/>
      </c>
      <c r="F13" t="str">
        <f t="shared" si="2"/>
        <v/>
      </c>
      <c r="G13" t="str">
        <f t="shared" si="3"/>
        <v/>
      </c>
      <c r="H13" t="str">
        <f t="shared" ca="1" si="7"/>
        <v/>
      </c>
      <c r="I13" s="267" t="str">
        <f>GcalTranscode(INDEX('GCal-Year'!M$2:M$435,$X13))</f>
        <v/>
      </c>
      <c r="J13" s="267" t="str">
        <f>GcalTranscode(INDEX('GCal-Year'!N$2:N$435,$X13))</f>
        <v/>
      </c>
      <c r="K13" s="267" t="str">
        <f>GcalTranscode(INDEX('GCal-Year'!O$2:O$435,$X13))</f>
        <v/>
      </c>
      <c r="L13" s="267" t="str">
        <f>GcalTranscode(INDEX('GCal-Year'!P$2:P$435,$X13))</f>
        <v/>
      </c>
      <c r="M13" s="267" t="str">
        <f>GcalTranscode(INDEX('GCal-Year'!Q$2:Q$435,$X13))</f>
        <v/>
      </c>
      <c r="N13" s="267" t="str">
        <f>GcalTranscode(INDEX('GCal-Year'!R$2:R$435,$X13))</f>
        <v/>
      </c>
      <c r="O13" s="267" t="str">
        <f>GcalTranscode(INDEX('GCal-Year'!S$2:S$435,$X13))</f>
        <v/>
      </c>
      <c r="P13" s="267" t="str">
        <f t="shared" si="4"/>
        <v xml:space="preserve"> </v>
      </c>
      <c r="Q13" s="267" t="str">
        <f t="shared" si="8"/>
        <v/>
      </c>
      <c r="R13" s="267" t="str">
        <f t="shared" si="5"/>
        <v xml:space="preserve"> </v>
      </c>
      <c r="S13" s="267" t="str">
        <f t="shared" si="12"/>
        <v/>
      </c>
      <c r="T13" s="267" t="str">
        <f ca="1">INDEX('GCal-Year'!W$2:W$435,$X13)</f>
        <v/>
      </c>
      <c r="U13" s="267" t="str">
        <f ca="1">INDEX('GCal-Year'!X$2:X$435,$X13)</f>
        <v/>
      </c>
      <c r="V13" s="267" t="str">
        <f ca="1">INDEX('GCal-Year'!Y$2:Y$435,$X13)</f>
        <v/>
      </c>
      <c r="W13" s="267" t="str">
        <f ca="1">INDEX('GCal-Year'!Z$2:Z$435,$X13)</f>
        <v/>
      </c>
      <c r="X13">
        <f t="shared" si="14"/>
        <v>48</v>
      </c>
      <c r="Y13" s="267">
        <f>INDEX('GCal-Year'!D$2:D$435,$X13)</f>
        <v>48</v>
      </c>
      <c r="Z13" s="839">
        <f>INDEX(GCalXMLT[dstoffset],Y13) * TIMEVALUE("01:00:00")</f>
        <v>0</v>
      </c>
      <c r="AA13" s="267" t="str">
        <f>INDEX(GCalXMLT[stithiname],Y13)</f>
        <v>Caturthi</v>
      </c>
      <c r="AB13" s="839">
        <f>INDEX(GCalXMLT[dsunrisetime],$Y13)-Z13</f>
        <v>0.21537037037037035</v>
      </c>
      <c r="AC13" s="267" t="str">
        <f ca="1">INDEX('GCal-Year'!F$2:F$435,$X13)</f>
        <v/>
      </c>
      <c r="AD13" s="267" t="str">
        <f ca="1">INDEX('GCal-Year'!H$2:H$435,$X13)</f>
        <v/>
      </c>
      <c r="AE13" s="267" t="str">
        <f>IF(INDEX(GCalXMLT[paranafrom],$Y13)=0,"",TEXT(INDEX(GCalXMLT[paranafrom],$Y13)-$Z13,"hh:mm"))</f>
        <v/>
      </c>
      <c r="AF13" s="267" t="str">
        <f>IF(INDEX(GCalXMLT[paranato],$Y13)=0,"",TEXT(INDEX(GCalXMLT[paranato],$Y13)-$Z13,"hh:mm"))</f>
        <v/>
      </c>
      <c r="AG13" s="267" t="str">
        <f>GcalTranscode(INDEX('GCal-Year'!I$2:I$435,$X13))</f>
        <v/>
      </c>
      <c r="AH13" s="267" t="str">
        <f>GcalTranscode(INDEX('GCal-Year'!J$2:J$435,$X13))</f>
        <v/>
      </c>
      <c r="AI13" s="267" t="str">
        <f>GcalTranscode(INDEX('GCal-Year'!K$2:K$435,$X13))</f>
        <v/>
      </c>
      <c r="AJ13" s="267" t="str">
        <f>GcalTranscode(INDEX('GCal-Year'!L$2:L$435,$X13))</f>
        <v/>
      </c>
      <c r="AK13" s="267" t="str">
        <f>LEFT(INDEX(GCalXMLT[dcaturmasya1],$Y13),6)</f>
        <v/>
      </c>
      <c r="AL13" s="267" t="str">
        <f>RIGHT(INDEX(GCalXMLT[dcaturmasya1],$Y13),8)</f>
        <v/>
      </c>
      <c r="AM13" s="267" t="str">
        <f t="shared" si="10"/>
        <v/>
      </c>
      <c r="AN13" s="267" t="str">
        <f>LEFT(INDEX(GCalXMLT[dcaturmasya2],$Y13),6)</f>
        <v/>
      </c>
      <c r="AO13" s="267" t="str">
        <f>RIGHT(INDEX(GCalXMLT[dcaturmasya2],$Y13),8)</f>
        <v/>
      </c>
      <c r="AP13" s="267" t="str">
        <f>GcalTranscode(INDEX(GCalXMLT[sankrantirasi],$Y13))</f>
        <v/>
      </c>
      <c r="AQ13" s="294" t="str">
        <f>IF(INDEX(GCalXMLT[sankrantitime],$Y13)=0,"",INDEX(GCalXMLT[sankrantitime],$Y13)-Z13)</f>
        <v/>
      </c>
      <c r="AR13" s="265">
        <f t="shared" si="11"/>
        <v>43474</v>
      </c>
      <c r="AS13" t="str">
        <f ca="1">GcalTranscode(INDEX(GCalXMLT[gymasa],$Y13))</f>
        <v>Nārāyaṇa (Pauṣa)</v>
      </c>
    </row>
    <row r="14" spans="1:45" x14ac:dyDescent="0.25">
      <c r="A14" s="265">
        <f t="shared" si="13"/>
        <v>43476</v>
      </c>
      <c r="B14" s="267" t="str">
        <f ca="1">IFERROR(SUBSTITUTE(SUBSTITUTE(RIGHT(AA14,LEN(AA14)-SEARCH(" (",AA14)),'GCal-Translations'!$B$194,'GCal-Translations'!$C$194,1),'GCal-Translations'!$B$195,'GCal-Translations'!$C$195,1),"")</f>
        <v/>
      </c>
      <c r="C14" s="418" t="str">
        <f>IF(AND(AE14&lt;&gt;"",AF14&lt;&gt;""),SUBSTITUTE(SUBSTITUTE('GCal-Translations'!$C$200,"#start_hour#",AE14),"#end_hour#",AF14),IF(AE14&lt;&gt;"",SUBSTITUTE('GCal-Translations'!$C$199,"#hh:mm#",AE14),""))</f>
        <v/>
      </c>
      <c r="D14" t="str">
        <f t="shared" si="1"/>
        <v/>
      </c>
      <c r="E14" s="267" t="str">
        <f ca="1">IF(AD14="*",'GCal-Translations'!$C$197 &amp; " " &amp; TEXT(AB14,"hh:mm"),"")</f>
        <v/>
      </c>
      <c r="F14" t="str">
        <f t="shared" si="2"/>
        <v/>
      </c>
      <c r="G14" t="str">
        <f t="shared" si="3"/>
        <v/>
      </c>
      <c r="H14" t="str">
        <f t="shared" ca="1" si="7"/>
        <v/>
      </c>
      <c r="I14" s="267" t="str">
        <f>GcalTranscode(INDEX('GCal-Year'!M$2:M$435,$X14))</f>
        <v/>
      </c>
      <c r="J14" s="267" t="str">
        <f>GcalTranscode(INDEX('GCal-Year'!N$2:N$435,$X14))</f>
        <v/>
      </c>
      <c r="K14" s="267" t="str">
        <f>GcalTranscode(INDEX('GCal-Year'!O$2:O$435,$X14))</f>
        <v/>
      </c>
      <c r="L14" s="267" t="str">
        <f>GcalTranscode(INDEX('GCal-Year'!P$2:P$435,$X14))</f>
        <v/>
      </c>
      <c r="M14" s="267" t="str">
        <f>GcalTranscode(INDEX('GCal-Year'!Q$2:Q$435,$X14))</f>
        <v/>
      </c>
      <c r="N14" s="267" t="str">
        <f>GcalTranscode(INDEX('GCal-Year'!R$2:R$435,$X14))</f>
        <v/>
      </c>
      <c r="O14" s="267" t="str">
        <f>GcalTranscode(INDEX('GCal-Year'!S$2:S$435,$X14))</f>
        <v/>
      </c>
      <c r="P14" s="267" t="str">
        <f t="shared" si="4"/>
        <v xml:space="preserve"> </v>
      </c>
      <c r="Q14" s="267" t="str">
        <f t="shared" si="8"/>
        <v/>
      </c>
      <c r="R14" s="267" t="str">
        <f t="shared" si="5"/>
        <v xml:space="preserve"> </v>
      </c>
      <c r="S14" s="267" t="str">
        <f t="shared" si="12"/>
        <v/>
      </c>
      <c r="T14" s="267" t="str">
        <f ca="1">INDEX('GCal-Year'!W$2:W$435,$X14)</f>
        <v/>
      </c>
      <c r="U14" s="267" t="str">
        <f ca="1">INDEX('GCal-Year'!X$2:X$435,$X14)</f>
        <v/>
      </c>
      <c r="V14" s="267" t="str">
        <f ca="1">INDEX('GCal-Year'!Y$2:Y$435,$X14)</f>
        <v/>
      </c>
      <c r="W14" s="267" t="str">
        <f ca="1">INDEX('GCal-Year'!Z$2:Z$435,$X14)</f>
        <v/>
      </c>
      <c r="X14">
        <f t="shared" si="14"/>
        <v>49</v>
      </c>
      <c r="Y14" s="267">
        <f>INDEX('GCal-Year'!D$2:D$435,$X14)</f>
        <v>49</v>
      </c>
      <c r="Z14" s="839">
        <f>INDEX(GCalXMLT[dstoffset],Y14) * TIMEVALUE("01:00:00")</f>
        <v>0</v>
      </c>
      <c r="AA14" s="267" t="str">
        <f>INDEX(GCalXMLT[stithiname],Y14)</f>
        <v>Pancami</v>
      </c>
      <c r="AB14" s="839">
        <f>INDEX(GCalXMLT[dsunrisetime],$Y14)-Z14</f>
        <v>0.21572916666666667</v>
      </c>
      <c r="AC14" s="267" t="str">
        <f ca="1">INDEX('GCal-Year'!F$2:F$435,$X14)</f>
        <v/>
      </c>
      <c r="AD14" s="267" t="str">
        <f ca="1">INDEX('GCal-Year'!H$2:H$435,$X14)</f>
        <v/>
      </c>
      <c r="AE14" s="267" t="str">
        <f>IF(INDEX(GCalXMLT[paranafrom],$Y14)=0,"",TEXT(INDEX(GCalXMLT[paranafrom],$Y14)-$Z14,"hh:mm"))</f>
        <v/>
      </c>
      <c r="AF14" s="267" t="str">
        <f>IF(INDEX(GCalXMLT[paranato],$Y14)=0,"",TEXT(INDEX(GCalXMLT[paranato],$Y14)-$Z14,"hh:mm"))</f>
        <v/>
      </c>
      <c r="AG14" s="267" t="str">
        <f>GcalTranscode(INDEX('GCal-Year'!I$2:I$435,$X14))</f>
        <v/>
      </c>
      <c r="AH14" s="267" t="str">
        <f>GcalTranscode(INDEX('GCal-Year'!J$2:J$435,$X14))</f>
        <v/>
      </c>
      <c r="AI14" s="267" t="str">
        <f>GcalTranscode(INDEX('GCal-Year'!K$2:K$435,$X14))</f>
        <v/>
      </c>
      <c r="AJ14" s="267" t="str">
        <f>GcalTranscode(INDEX('GCal-Year'!L$2:L$435,$X14))</f>
        <v/>
      </c>
      <c r="AK14" s="267" t="str">
        <f>LEFT(INDEX(GCalXMLT[dcaturmasya1],$Y14),6)</f>
        <v/>
      </c>
      <c r="AL14" s="267" t="str">
        <f>RIGHT(INDEX(GCalXMLT[dcaturmasya1],$Y14),8)</f>
        <v/>
      </c>
      <c r="AM14" s="267" t="str">
        <f t="shared" si="10"/>
        <v/>
      </c>
      <c r="AN14" s="267" t="str">
        <f>LEFT(INDEX(GCalXMLT[dcaturmasya2],$Y14),6)</f>
        <v/>
      </c>
      <c r="AO14" s="267" t="str">
        <f>RIGHT(INDEX(GCalXMLT[dcaturmasya2],$Y14),8)</f>
        <v/>
      </c>
      <c r="AP14" s="267" t="str">
        <f>GcalTranscode(INDEX(GCalXMLT[sankrantirasi],$Y14))</f>
        <v/>
      </c>
      <c r="AQ14" s="294" t="str">
        <f>IF(INDEX(GCalXMLT[sankrantitime],$Y14)=0,"",INDEX(GCalXMLT[sankrantitime],$Y14)-Z14)</f>
        <v/>
      </c>
      <c r="AR14" s="265">
        <f t="shared" si="11"/>
        <v>43475</v>
      </c>
      <c r="AS14" t="str">
        <f ca="1">GcalTranscode(INDEX(GCalXMLT[gymasa],$Y14))</f>
        <v>Nārāyaṇa (Pauṣa)</v>
      </c>
    </row>
    <row r="15" spans="1:45" x14ac:dyDescent="0.25">
      <c r="A15" s="265">
        <f t="shared" si="13"/>
        <v>43477</v>
      </c>
      <c r="B15" s="267" t="str">
        <f ca="1">IFERROR(SUBSTITUTE(SUBSTITUTE(RIGHT(AA15,LEN(AA15)-SEARCH(" (",AA15)),'GCal-Translations'!$B$194,'GCal-Translations'!$C$194,1),'GCal-Translations'!$B$195,'GCal-Translations'!$C$195,1),"")</f>
        <v/>
      </c>
      <c r="C15" s="418" t="str">
        <f>IF(AND(AE15&lt;&gt;"",AF15&lt;&gt;""),SUBSTITUTE(SUBSTITUTE('GCal-Translations'!$C$200,"#start_hour#",AE15),"#end_hour#",AF15),IF(AE15&lt;&gt;"",SUBSTITUTE('GCal-Translations'!$C$199,"#hh:mm#",AE15),""))</f>
        <v/>
      </c>
      <c r="D15" t="str">
        <f t="shared" si="1"/>
        <v/>
      </c>
      <c r="E15" s="267" t="str">
        <f ca="1">IF(AD15="*",'GCal-Translations'!$C$197 &amp; " " &amp; TEXT(AB15,"hh:mm"),"")</f>
        <v/>
      </c>
      <c r="F15" t="str">
        <f t="shared" si="2"/>
        <v/>
      </c>
      <c r="G15" t="str">
        <f t="shared" si="3"/>
        <v/>
      </c>
      <c r="H15" t="str">
        <f t="shared" ca="1" si="7"/>
        <v/>
      </c>
      <c r="I15" s="267" t="str">
        <f>GcalTranscode(INDEX('GCal-Year'!M$2:M$435,$X15))</f>
        <v/>
      </c>
      <c r="J15" s="267" t="str">
        <f>GcalTranscode(INDEX('GCal-Year'!N$2:N$435,$X15))</f>
        <v/>
      </c>
      <c r="K15" s="267" t="str">
        <f>GcalTranscode(INDEX('GCal-Year'!O$2:O$435,$X15))</f>
        <v/>
      </c>
      <c r="L15" s="267" t="str">
        <f>GcalTranscode(INDEX('GCal-Year'!P$2:P$435,$X15))</f>
        <v/>
      </c>
      <c r="M15" s="267" t="str">
        <f>GcalTranscode(INDEX('GCal-Year'!Q$2:Q$435,$X15))</f>
        <v/>
      </c>
      <c r="N15" s="267" t="str">
        <f>GcalTranscode(INDEX('GCal-Year'!R$2:R$435,$X15))</f>
        <v/>
      </c>
      <c r="O15" s="267" t="str">
        <f>GcalTranscode(INDEX('GCal-Year'!S$2:S$435,$X15))</f>
        <v/>
      </c>
      <c r="P15" s="267" t="str">
        <f t="shared" si="4"/>
        <v xml:space="preserve"> </v>
      </c>
      <c r="Q15" s="267" t="str">
        <f t="shared" si="8"/>
        <v/>
      </c>
      <c r="R15" s="267" t="str">
        <f t="shared" si="5"/>
        <v xml:space="preserve"> </v>
      </c>
      <c r="S15" s="267" t="str">
        <f t="shared" si="12"/>
        <v/>
      </c>
      <c r="T15" s="267" t="str">
        <f ca="1">INDEX('GCal-Year'!W$2:W$435,$X15)</f>
        <v/>
      </c>
      <c r="U15" s="267" t="str">
        <f ca="1">INDEX('GCal-Year'!X$2:X$435,$X15)</f>
        <v/>
      </c>
      <c r="V15" s="267" t="str">
        <f ca="1">INDEX('GCal-Year'!Y$2:Y$435,$X15)</f>
        <v/>
      </c>
      <c r="W15" s="267" t="str">
        <f ca="1">INDEX('GCal-Year'!Z$2:Z$435,$X15)</f>
        <v/>
      </c>
      <c r="X15">
        <f t="shared" si="14"/>
        <v>50</v>
      </c>
      <c r="Y15" s="267">
        <f>INDEX('GCal-Year'!D$2:D$435,$X15)</f>
        <v>50</v>
      </c>
      <c r="Z15" s="839">
        <f>INDEX(GCalXMLT[dstoffset],Y15) * TIMEVALUE("01:00:00")</f>
        <v>0</v>
      </c>
      <c r="AA15" s="267" t="str">
        <f>INDEX(GCalXMLT[stithiname],Y15)</f>
        <v>Sasti</v>
      </c>
      <c r="AB15" s="839">
        <f>INDEX(GCalXMLT[dsunrisetime],$Y15)-Z15</f>
        <v>0.21607638888888889</v>
      </c>
      <c r="AC15" s="267" t="str">
        <f ca="1">INDEX('GCal-Year'!F$2:F$435,$X15)</f>
        <v/>
      </c>
      <c r="AD15" s="267" t="str">
        <f ca="1">INDEX('GCal-Year'!H$2:H$435,$X15)</f>
        <v/>
      </c>
      <c r="AE15" s="267" t="str">
        <f>IF(INDEX(GCalXMLT[paranafrom],$Y15)=0,"",TEXT(INDEX(GCalXMLT[paranafrom],$Y15)-$Z15,"hh:mm"))</f>
        <v/>
      </c>
      <c r="AF15" s="267" t="str">
        <f>IF(INDEX(GCalXMLT[paranato],$Y15)=0,"",TEXT(INDEX(GCalXMLT[paranato],$Y15)-$Z15,"hh:mm"))</f>
        <v/>
      </c>
      <c r="AG15" s="267" t="str">
        <f>GcalTranscode(INDEX('GCal-Year'!I$2:I$435,$X15))</f>
        <v/>
      </c>
      <c r="AH15" s="267" t="str">
        <f>GcalTranscode(INDEX('GCal-Year'!J$2:J$435,$X15))</f>
        <v/>
      </c>
      <c r="AI15" s="267" t="str">
        <f>GcalTranscode(INDEX('GCal-Year'!K$2:K$435,$X15))</f>
        <v/>
      </c>
      <c r="AJ15" s="267" t="str">
        <f>GcalTranscode(INDEX('GCal-Year'!L$2:L$435,$X15))</f>
        <v/>
      </c>
      <c r="AK15" s="267" t="str">
        <f>LEFT(INDEX(GCalXMLT[dcaturmasya1],$Y15),6)</f>
        <v/>
      </c>
      <c r="AL15" s="267" t="str">
        <f>RIGHT(INDEX(GCalXMLT[dcaturmasya1],$Y15),8)</f>
        <v/>
      </c>
      <c r="AM15" s="267" t="str">
        <f t="shared" si="10"/>
        <v/>
      </c>
      <c r="AN15" s="267" t="str">
        <f>LEFT(INDEX(GCalXMLT[dcaturmasya2],$Y15),6)</f>
        <v/>
      </c>
      <c r="AO15" s="267" t="str">
        <f>RIGHT(INDEX(GCalXMLT[dcaturmasya2],$Y15),8)</f>
        <v/>
      </c>
      <c r="AP15" s="267" t="str">
        <f>GcalTranscode(INDEX(GCalXMLT[sankrantirasi],$Y15))</f>
        <v/>
      </c>
      <c r="AQ15" s="294" t="str">
        <f>IF(INDEX(GCalXMLT[sankrantitime],$Y15)=0,"",INDEX(GCalXMLT[sankrantitime],$Y15)-Z15)</f>
        <v/>
      </c>
      <c r="AR15" s="265">
        <f t="shared" si="11"/>
        <v>43476</v>
      </c>
      <c r="AS15" t="str">
        <f ca="1">GcalTranscode(INDEX(GCalXMLT[gymasa],$Y15))</f>
        <v>Nārāyaṇa (Pauṣa)</v>
      </c>
    </row>
    <row r="16" spans="1:45" x14ac:dyDescent="0.25">
      <c r="A16" s="265">
        <f t="shared" si="13"/>
        <v>43478</v>
      </c>
      <c r="B16" s="267" t="str">
        <f ca="1">IFERROR(SUBSTITUTE(SUBSTITUTE(RIGHT(AA16,LEN(AA16)-SEARCH(" (",AA16)),'GCal-Translations'!$B$194,'GCal-Translations'!$C$194,1),'GCal-Translations'!$B$195,'GCal-Translations'!$C$195,1),"")</f>
        <v/>
      </c>
      <c r="C16" s="418" t="str">
        <f>IF(AND(AE16&lt;&gt;"",AF16&lt;&gt;""),SUBSTITUTE(SUBSTITUTE('GCal-Translations'!$C$200,"#start_hour#",AE16),"#end_hour#",AF16),IF(AE16&lt;&gt;"",SUBSTITUTE('GCal-Translations'!$C$199,"#hh:mm#",AE16),""))</f>
        <v/>
      </c>
      <c r="D16" t="str">
        <f t="shared" si="1"/>
        <v/>
      </c>
      <c r="E16" s="267" t="str">
        <f ca="1">IF(AD16="*",'GCal-Translations'!$C$197 &amp; " " &amp; TEXT(AB16,"hh:mm"),"")</f>
        <v/>
      </c>
      <c r="F16" t="str">
        <f t="shared" si="2"/>
        <v/>
      </c>
      <c r="G16" t="str">
        <f t="shared" si="3"/>
        <v/>
      </c>
      <c r="H16" t="str">
        <f t="shared" ca="1" si="7"/>
        <v/>
      </c>
      <c r="I16" s="267" t="str">
        <f>GcalTranscode(INDEX('GCal-Year'!M$2:M$435,$X16))</f>
        <v/>
      </c>
      <c r="J16" s="267" t="str">
        <f>GcalTranscode(INDEX('GCal-Year'!N$2:N$435,$X16))</f>
        <v/>
      </c>
      <c r="K16" s="267" t="str">
        <f>GcalTranscode(INDEX('GCal-Year'!O$2:O$435,$X16))</f>
        <v/>
      </c>
      <c r="L16" s="267" t="str">
        <f>GcalTranscode(INDEX('GCal-Year'!P$2:P$435,$X16))</f>
        <v/>
      </c>
      <c r="M16" s="267" t="str">
        <f>GcalTranscode(INDEX('GCal-Year'!Q$2:Q$435,$X16))</f>
        <v/>
      </c>
      <c r="N16" s="267" t="str">
        <f>GcalTranscode(INDEX('GCal-Year'!R$2:R$435,$X16))</f>
        <v/>
      </c>
      <c r="O16" s="267" t="str">
        <f>GcalTranscode(INDEX('GCal-Year'!S$2:S$435,$X16))</f>
        <v/>
      </c>
      <c r="P16" s="267" t="str">
        <f t="shared" si="4"/>
        <v xml:space="preserve"> </v>
      </c>
      <c r="Q16" s="267" t="str">
        <f t="shared" si="8"/>
        <v/>
      </c>
      <c r="R16" s="267" t="str">
        <f t="shared" si="5"/>
        <v xml:space="preserve"> </v>
      </c>
      <c r="S16" s="267" t="str">
        <f t="shared" si="12"/>
        <v/>
      </c>
      <c r="T16" s="267" t="str">
        <f ca="1">INDEX('GCal-Year'!W$2:W$435,$X16)</f>
        <v/>
      </c>
      <c r="U16" s="267" t="str">
        <f ca="1">INDEX('GCal-Year'!X$2:X$435,$X16)</f>
        <v/>
      </c>
      <c r="V16" s="267" t="str">
        <f ca="1">INDEX('GCal-Year'!Y$2:Y$435,$X16)</f>
        <v/>
      </c>
      <c r="W16" s="267" t="str">
        <f ca="1">INDEX('GCal-Year'!Z$2:Z$435,$X16)</f>
        <v/>
      </c>
      <c r="X16">
        <f t="shared" si="14"/>
        <v>51</v>
      </c>
      <c r="Y16" s="267">
        <f>INDEX('GCal-Year'!D$2:D$435,$X16)</f>
        <v>51</v>
      </c>
      <c r="Z16" s="839">
        <f>INDEX(GCalXMLT[dstoffset],Y16) * TIMEVALUE("01:00:00")</f>
        <v>0</v>
      </c>
      <c r="AA16" s="267" t="str">
        <f>INDEX(GCalXMLT[stithiname],Y16)</f>
        <v>Saptami</v>
      </c>
      <c r="AB16" s="839">
        <f>INDEX(GCalXMLT[dsunrisetime],$Y16)-Z16</f>
        <v>0.21641203703703704</v>
      </c>
      <c r="AC16" s="267" t="str">
        <f ca="1">INDEX('GCal-Year'!F$2:F$435,$X16)</f>
        <v/>
      </c>
      <c r="AD16" s="267" t="str">
        <f ca="1">INDEX('GCal-Year'!H$2:H$435,$X16)</f>
        <v/>
      </c>
      <c r="AE16" s="267" t="str">
        <f>IF(INDEX(GCalXMLT[paranafrom],$Y16)=0,"",TEXT(INDEX(GCalXMLT[paranafrom],$Y16)-$Z16,"hh:mm"))</f>
        <v/>
      </c>
      <c r="AF16" s="267" t="str">
        <f>IF(INDEX(GCalXMLT[paranato],$Y16)=0,"",TEXT(INDEX(GCalXMLT[paranato],$Y16)-$Z16,"hh:mm"))</f>
        <v/>
      </c>
      <c r="AG16" s="267" t="str">
        <f>GcalTranscode(INDEX('GCal-Year'!I$2:I$435,$X16))</f>
        <v/>
      </c>
      <c r="AH16" s="267" t="str">
        <f>GcalTranscode(INDEX('GCal-Year'!J$2:J$435,$X16))</f>
        <v/>
      </c>
      <c r="AI16" s="267" t="str">
        <f>GcalTranscode(INDEX('GCal-Year'!K$2:K$435,$X16))</f>
        <v/>
      </c>
      <c r="AJ16" s="267" t="str">
        <f>GcalTranscode(INDEX('GCal-Year'!L$2:L$435,$X16))</f>
        <v/>
      </c>
      <c r="AK16" s="267" t="str">
        <f>LEFT(INDEX(GCalXMLT[dcaturmasya1],$Y16),6)</f>
        <v/>
      </c>
      <c r="AL16" s="267" t="str">
        <f>RIGHT(INDEX(GCalXMLT[dcaturmasya1],$Y16),8)</f>
        <v/>
      </c>
      <c r="AM16" s="267" t="str">
        <f t="shared" si="10"/>
        <v/>
      </c>
      <c r="AN16" s="267" t="str">
        <f>LEFT(INDEX(GCalXMLT[dcaturmasya2],$Y16),6)</f>
        <v/>
      </c>
      <c r="AO16" s="267" t="str">
        <f>RIGHT(INDEX(GCalXMLT[dcaturmasya2],$Y16),8)</f>
        <v/>
      </c>
      <c r="AP16" s="267" t="str">
        <f>GcalTranscode(INDEX(GCalXMLT[sankrantirasi],$Y16))</f>
        <v/>
      </c>
      <c r="AQ16" s="294" t="str">
        <f>IF(INDEX(GCalXMLT[sankrantitime],$Y16)=0,"",INDEX(GCalXMLT[sankrantitime],$Y16)-Z16)</f>
        <v/>
      </c>
      <c r="AR16" s="265">
        <f t="shared" si="11"/>
        <v>43477</v>
      </c>
      <c r="AS16" t="str">
        <f ca="1">GcalTranscode(INDEX(GCalXMLT[gymasa],$Y16))</f>
        <v>Nārāyaṇa (Pauṣa)</v>
      </c>
    </row>
    <row r="17" spans="1:45" x14ac:dyDescent="0.25">
      <c r="A17" s="265">
        <f t="shared" si="13"/>
        <v>43479</v>
      </c>
      <c r="B17" s="267" t="str">
        <f ca="1">IFERROR(SUBSTITUTE(SUBSTITUTE(RIGHT(AA17,LEN(AA17)-SEARCH(" (",AA17)),'GCal-Translations'!$B$194,'GCal-Translations'!$C$194,1),'GCal-Translations'!$B$195,'GCal-Translations'!$C$195,1),"")</f>
        <v/>
      </c>
      <c r="C17" s="418" t="str">
        <f>IF(AND(AE17&lt;&gt;"",AF17&lt;&gt;""),SUBSTITUTE(SUBSTITUTE('GCal-Translations'!$C$200,"#start_hour#",AE17),"#end_hour#",AF17),IF(AE17&lt;&gt;"",SUBSTITUTE('GCal-Translations'!$C$199,"#hh:mm#",AE17),""))</f>
        <v/>
      </c>
      <c r="D17" t="str">
        <f t="shared" ca="1" si="1"/>
        <v>Ganga Sagara Mela</v>
      </c>
      <c r="E17" s="267" t="str">
        <f ca="1">IF(AD17="*",'GCal-Translations'!$C$197 &amp; " " &amp; TEXT(AB17,"hh:mm"),"")</f>
        <v/>
      </c>
      <c r="F17" t="str">
        <f t="shared" si="2"/>
        <v/>
      </c>
      <c r="G17" t="str">
        <f t="shared" si="3"/>
        <v/>
      </c>
      <c r="H17" t="str">
        <f t="shared" ca="1" si="7"/>
        <v/>
      </c>
      <c r="I17" s="267" t="str">
        <f>GcalTranscode(INDEX('GCal-Year'!M$2:M$435,$X17))</f>
        <v/>
      </c>
      <c r="J17" s="267" t="str">
        <f>GcalTranscode(INDEX('GCal-Year'!N$2:N$435,$X17))</f>
        <v/>
      </c>
      <c r="K17" s="267" t="str">
        <f>GcalTranscode(INDEX('GCal-Year'!O$2:O$435,$X17))</f>
        <v/>
      </c>
      <c r="L17" s="267" t="str">
        <f>GcalTranscode(INDEX('GCal-Year'!P$2:P$435,$X17))</f>
        <v/>
      </c>
      <c r="M17" s="267" t="str">
        <f>GcalTranscode(INDEX('GCal-Year'!Q$2:Q$435,$X17))</f>
        <v/>
      </c>
      <c r="N17" s="267" t="str">
        <f>GcalTranscode(INDEX('GCal-Year'!R$2:R$435,$X17))</f>
        <v/>
      </c>
      <c r="O17" s="267" t="str">
        <f>GcalTranscode(INDEX('GCal-Year'!S$2:S$435,$X17))</f>
        <v/>
      </c>
      <c r="P17" s="267" t="str">
        <f t="shared" si="4"/>
        <v xml:space="preserve"> </v>
      </c>
      <c r="Q17" s="267" t="str">
        <f t="shared" si="8"/>
        <v/>
      </c>
      <c r="R17" s="267" t="str">
        <f t="shared" si="5"/>
        <v xml:space="preserve"> </v>
      </c>
      <c r="S17" s="267" t="str">
        <f t="shared" ca="1" si="12"/>
        <v>Makara Sankranti (Sol entra em Capricórnio 14 jan, às 11:17 hora local)</v>
      </c>
      <c r="T17" s="267" t="str">
        <f ca="1">INDEX('GCal-Year'!W$2:W$435,$X17)</f>
        <v/>
      </c>
      <c r="U17" s="267" t="str">
        <f ca="1">INDEX('GCal-Year'!X$2:X$435,$X17)</f>
        <v/>
      </c>
      <c r="V17" s="267" t="str">
        <f ca="1">INDEX('GCal-Year'!Y$2:Y$435,$X17)</f>
        <v/>
      </c>
      <c r="W17" s="267" t="str">
        <f ca="1">INDEX('GCal-Year'!Z$2:Z$435,$X17)</f>
        <v/>
      </c>
      <c r="X17">
        <f t="shared" si="14"/>
        <v>52</v>
      </c>
      <c r="Y17" s="267">
        <f>INDEX('GCal-Year'!D$2:D$435,$X17)</f>
        <v>52</v>
      </c>
      <c r="Z17" s="839">
        <f>INDEX(GCalXMLT[dstoffset],Y17) * TIMEVALUE("01:00:00")</f>
        <v>0</v>
      </c>
      <c r="AA17" s="267" t="str">
        <f>INDEX(GCalXMLT[stithiname],Y17)</f>
        <v>Astami</v>
      </c>
      <c r="AB17" s="839">
        <f>INDEX(GCalXMLT[dsunrisetime],$Y17)-Z17</f>
        <v>0.21675925925925923</v>
      </c>
      <c r="AC17" s="267" t="str">
        <f ca="1">INDEX('GCal-Year'!F$2:F$435,$X17)</f>
        <v>C</v>
      </c>
      <c r="AD17" s="267" t="str">
        <f ca="1">INDEX('GCal-Year'!H$2:H$435,$X17)</f>
        <v/>
      </c>
      <c r="AE17" s="267" t="str">
        <f>IF(INDEX(GCalXMLT[paranafrom],$Y17)=0,"",TEXT(INDEX(GCalXMLT[paranafrom],$Y17)-$Z17,"hh:mm"))</f>
        <v/>
      </c>
      <c r="AF17" s="267" t="str">
        <f>IF(INDEX(GCalXMLT[paranato],$Y17)=0,"",TEXT(INDEX(GCalXMLT[paranato],$Y17)-$Z17,"hh:mm"))</f>
        <v/>
      </c>
      <c r="AG17" s="267" t="str">
        <f ca="1">GcalTranscode(INDEX('GCal-Year'!I$2:I$435,$X17))</f>
        <v>Ganga Sagara Mela</v>
      </c>
      <c r="AH17" s="267" t="str">
        <f>GcalTranscode(INDEX('GCal-Year'!J$2:J$435,$X17))</f>
        <v/>
      </c>
      <c r="AI17" s="267" t="str">
        <f>GcalTranscode(INDEX('GCal-Year'!K$2:K$435,$X17))</f>
        <v/>
      </c>
      <c r="AJ17" s="267" t="str">
        <f>GcalTranscode(INDEX('GCal-Year'!L$2:L$435,$X17))</f>
        <v/>
      </c>
      <c r="AK17" s="267" t="str">
        <f>LEFT(INDEX(GCalXMLT[dcaturmasya1],$Y17),6)</f>
        <v/>
      </c>
      <c r="AL17" s="267" t="str">
        <f>RIGHT(INDEX(GCalXMLT[dcaturmasya1],$Y17),8)</f>
        <v/>
      </c>
      <c r="AM17" s="267" t="str">
        <f t="shared" si="10"/>
        <v/>
      </c>
      <c r="AN17" s="267" t="str">
        <f>LEFT(INDEX(GCalXMLT[dcaturmasya2],$Y17),6)</f>
        <v/>
      </c>
      <c r="AO17" s="267" t="str">
        <f>RIGHT(INDEX(GCalXMLT[dcaturmasya2],$Y17),8)</f>
        <v/>
      </c>
      <c r="AP17" s="267" t="str">
        <f ca="1">GcalTranscode(INDEX(GCalXMLT[sankrantirasi],$Y17))</f>
        <v>Makara Sankranti (Sol entra em Capricórnio #dd mm#, às #hh:mm# hora local)</v>
      </c>
      <c r="AQ17" s="294">
        <f>IF(INDEX(GCalXMLT[sankrantitime],$Y17)=0,"",INDEX(GCalXMLT[sankrantitime],$Y17)-Z17)</f>
        <v>0.47076388888888893</v>
      </c>
      <c r="AR17" s="265">
        <f t="shared" si="11"/>
        <v>43479</v>
      </c>
      <c r="AS17" t="str">
        <f ca="1">GcalTranscode(INDEX(GCalXMLT[gymasa],$Y17))</f>
        <v>Nārāyaṇa (Pauṣa)</v>
      </c>
    </row>
    <row r="18" spans="1:45" x14ac:dyDescent="0.25">
      <c r="A18" s="265">
        <f t="shared" si="13"/>
        <v>43480</v>
      </c>
      <c r="B18" s="267" t="str">
        <f ca="1">IFERROR(SUBSTITUTE(SUBSTITUTE(RIGHT(AA18,LEN(AA18)-SEARCH(" (",AA18)),'GCal-Translations'!$B$194,'GCal-Translations'!$C$194,1),'GCal-Translations'!$B$195,'GCal-Translations'!$C$195,1),"")</f>
        <v/>
      </c>
      <c r="C18" s="418" t="str">
        <f>IF(AND(AE18&lt;&gt;"",AF18&lt;&gt;""),SUBSTITUTE(SUBSTITUTE('GCal-Translations'!$C$200,"#start_hour#",AE18),"#end_hour#",AF18),IF(AE18&lt;&gt;"",SUBSTITUTE('GCal-Translations'!$C$199,"#hh:mm#",AE18),""))</f>
        <v/>
      </c>
      <c r="D18" t="str">
        <f t="shared" si="1"/>
        <v/>
      </c>
      <c r="E18" s="267" t="str">
        <f ca="1">IF(AD18="*",'GCal-Translations'!$C$197 &amp; " " &amp; TEXT(AB18,"hh:mm"),"")</f>
        <v/>
      </c>
      <c r="F18" t="str">
        <f t="shared" si="2"/>
        <v/>
      </c>
      <c r="G18" t="str">
        <f t="shared" ref="G18:G45" si="15">AI18</f>
        <v/>
      </c>
      <c r="H18" t="str">
        <f t="shared" ca="1" si="7"/>
        <v/>
      </c>
      <c r="I18" s="267" t="str">
        <f>GcalTranscode(INDEX('GCal-Year'!M$2:M$435,$X18))</f>
        <v/>
      </c>
      <c r="J18" s="267" t="str">
        <f>GcalTranscode(INDEX('GCal-Year'!N$2:N$435,$X18))</f>
        <v/>
      </c>
      <c r="K18" s="267" t="str">
        <f>GcalTranscode(INDEX('GCal-Year'!O$2:O$435,$X18))</f>
        <v/>
      </c>
      <c r="L18" s="267" t="str">
        <f>GcalTranscode(INDEX('GCal-Year'!P$2:P$435,$X18))</f>
        <v/>
      </c>
      <c r="M18" s="267" t="str">
        <f>GcalTranscode(INDEX('GCal-Year'!Q$2:Q$435,$X18))</f>
        <v/>
      </c>
      <c r="N18" s="267" t="str">
        <f>GcalTranscode(INDEX('GCal-Year'!R$2:R$435,$X18))</f>
        <v/>
      </c>
      <c r="O18" s="267" t="str">
        <f>GcalTranscode(INDEX('GCal-Year'!S$2:S$435,$X18))</f>
        <v/>
      </c>
      <c r="P18" s="267" t="str">
        <f t="shared" si="4"/>
        <v xml:space="preserve"> </v>
      </c>
      <c r="Q18" s="267" t="str">
        <f t="shared" si="8"/>
        <v/>
      </c>
      <c r="R18" s="267" t="str">
        <f t="shared" si="5"/>
        <v xml:space="preserve"> </v>
      </c>
      <c r="S18" s="267" t="str">
        <f t="shared" si="12"/>
        <v/>
      </c>
      <c r="T18" s="267" t="str">
        <f ca="1">INDEX('GCal-Year'!W$2:W$435,$X18)</f>
        <v/>
      </c>
      <c r="U18" s="267" t="str">
        <f ca="1">INDEX('GCal-Year'!X$2:X$435,$X18)</f>
        <v/>
      </c>
      <c r="V18" s="267" t="str">
        <f ca="1">INDEX('GCal-Year'!Y$2:Y$435,$X18)</f>
        <v/>
      </c>
      <c r="W18" s="267" t="str">
        <f ca="1">INDEX('GCal-Year'!Z$2:Z$435,$X18)</f>
        <v/>
      </c>
      <c r="X18">
        <f t="shared" si="14"/>
        <v>53</v>
      </c>
      <c r="Y18" s="267">
        <f>INDEX('GCal-Year'!D$2:D$435,$X18)</f>
        <v>53</v>
      </c>
      <c r="Z18" s="839">
        <f>INDEX(GCalXMLT[dstoffset],Y18) * TIMEVALUE("01:00:00")</f>
        <v>0</v>
      </c>
      <c r="AA18" s="267" t="str">
        <f>INDEX(GCalXMLT[stithiname],Y18)</f>
        <v>Navami</v>
      </c>
      <c r="AB18" s="839">
        <f>INDEX(GCalXMLT[dsunrisetime],$Y18)-Z18</f>
        <v>0.21709490740740742</v>
      </c>
      <c r="AC18" s="267" t="str">
        <f ca="1">INDEX('GCal-Year'!F$2:F$435,$X18)</f>
        <v/>
      </c>
      <c r="AD18" s="267" t="str">
        <f ca="1">INDEX('GCal-Year'!H$2:H$435,$X18)</f>
        <v/>
      </c>
      <c r="AE18" s="267" t="str">
        <f>IF(INDEX(GCalXMLT[paranafrom],$Y18)=0,"",TEXT(INDEX(GCalXMLT[paranafrom],$Y18)-$Z18,"hh:mm"))</f>
        <v/>
      </c>
      <c r="AF18" s="267" t="str">
        <f>IF(INDEX(GCalXMLT[paranato],$Y18)=0,"",TEXT(INDEX(GCalXMLT[paranato],$Y18)-$Z18,"hh:mm"))</f>
        <v/>
      </c>
      <c r="AG18" s="267" t="str">
        <f>GcalTranscode(INDEX('GCal-Year'!I$2:I$435,$X18))</f>
        <v/>
      </c>
      <c r="AH18" s="267" t="str">
        <f>GcalTranscode(INDEX('GCal-Year'!J$2:J$435,$X18))</f>
        <v/>
      </c>
      <c r="AI18" s="267" t="str">
        <f>GcalTranscode(INDEX('GCal-Year'!K$2:K$435,$X18))</f>
        <v/>
      </c>
      <c r="AJ18" s="267" t="str">
        <f>GcalTranscode(INDEX('GCal-Year'!L$2:L$435,$X18))</f>
        <v/>
      </c>
      <c r="AK18" s="267" t="str">
        <f>LEFT(INDEX(GCalXMLT[dcaturmasya1],$Y18),6)</f>
        <v/>
      </c>
      <c r="AL18" s="267" t="str">
        <f>RIGHT(INDEX(GCalXMLT[dcaturmasya1],$Y18),8)</f>
        <v/>
      </c>
      <c r="AM18" s="267" t="str">
        <f t="shared" si="10"/>
        <v/>
      </c>
      <c r="AN18" s="267" t="str">
        <f>LEFT(INDEX(GCalXMLT[dcaturmasya2],$Y18),6)</f>
        <v/>
      </c>
      <c r="AO18" s="267" t="str">
        <f>RIGHT(INDEX(GCalXMLT[dcaturmasya2],$Y18),8)</f>
        <v/>
      </c>
      <c r="AP18" s="267" t="str">
        <f>GcalTranscode(INDEX(GCalXMLT[sankrantirasi],$Y18))</f>
        <v/>
      </c>
      <c r="AQ18" s="294" t="str">
        <f>IF(INDEX(GCalXMLT[sankrantitime],$Y18)=0,"",INDEX(GCalXMLT[sankrantitime],$Y18)-Z18)</f>
        <v/>
      </c>
      <c r="AR18" s="265">
        <f t="shared" si="11"/>
        <v>43479</v>
      </c>
      <c r="AS18" t="str">
        <f ca="1">GcalTranscode(INDEX(GCalXMLT[gymasa],$Y18))</f>
        <v>Nārāyaṇa (Pauṣa)</v>
      </c>
    </row>
    <row r="19" spans="1:45" x14ac:dyDescent="0.25">
      <c r="A19" s="265">
        <f t="shared" si="13"/>
        <v>43481</v>
      </c>
      <c r="B19" s="267" t="str">
        <f ca="1">IFERROR(SUBSTITUTE(SUBSTITUTE(RIGHT(AA19,LEN(AA19)-SEARCH(" (",AA19)),'GCal-Translations'!$B$194,'GCal-Translations'!$C$194,1),'GCal-Translations'!$B$195,'GCal-Translations'!$C$195,1),"")</f>
        <v/>
      </c>
      <c r="C19" s="418" t="str">
        <f>IF(AND(AE19&lt;&gt;"",AF19&lt;&gt;""),SUBSTITUTE(SUBSTITUTE('GCal-Translations'!$C$200,"#start_hour#",AE19),"#end_hour#",AF19),IF(AE19&lt;&gt;"",SUBSTITUTE('GCal-Translations'!$C$199,"#hh:mm#",AE19),""))</f>
        <v/>
      </c>
      <c r="D19" t="str">
        <f t="shared" si="1"/>
        <v/>
      </c>
      <c r="E19" s="267" t="str">
        <f ca="1">IF(AD19="*",'GCal-Translations'!$C$197 &amp; " " &amp; TEXT(AB19,"hh:mm"),"")</f>
        <v/>
      </c>
      <c r="F19" t="str">
        <f t="shared" si="2"/>
        <v/>
      </c>
      <c r="G19" t="str">
        <f t="shared" si="15"/>
        <v/>
      </c>
      <c r="H19" t="str">
        <f t="shared" ca="1" si="7"/>
        <v/>
      </c>
      <c r="I19" s="267" t="str">
        <f>GcalTranscode(INDEX('GCal-Year'!M$2:M$435,$X19))</f>
        <v/>
      </c>
      <c r="J19" s="267" t="str">
        <f>GcalTranscode(INDEX('GCal-Year'!N$2:N$435,$X19))</f>
        <v/>
      </c>
      <c r="K19" s="267" t="str">
        <f>GcalTranscode(INDEX('GCal-Year'!O$2:O$435,$X19))</f>
        <v/>
      </c>
      <c r="L19" s="267" t="str">
        <f>GcalTranscode(INDEX('GCal-Year'!P$2:P$435,$X19))</f>
        <v/>
      </c>
      <c r="M19" s="267" t="str">
        <f>GcalTranscode(INDEX('GCal-Year'!Q$2:Q$435,$X19))</f>
        <v/>
      </c>
      <c r="N19" s="267" t="str">
        <f>GcalTranscode(INDEX('GCal-Year'!R$2:R$435,$X19))</f>
        <v/>
      </c>
      <c r="O19" s="267" t="str">
        <f>GcalTranscode(INDEX('GCal-Year'!S$2:S$435,$X19))</f>
        <v/>
      </c>
      <c r="P19" s="267" t="str">
        <f t="shared" si="4"/>
        <v xml:space="preserve"> </v>
      </c>
      <c r="Q19" s="267" t="str">
        <f t="shared" si="8"/>
        <v/>
      </c>
      <c r="R19" s="267" t="str">
        <f t="shared" si="5"/>
        <v xml:space="preserve"> </v>
      </c>
      <c r="S19" s="267" t="str">
        <f t="shared" si="12"/>
        <v/>
      </c>
      <c r="T19" s="267" t="str">
        <f ca="1">INDEX('GCal-Year'!W$2:W$435,$X19)</f>
        <v/>
      </c>
      <c r="U19" s="267" t="str">
        <f ca="1">INDEX('GCal-Year'!X$2:X$435,$X19)</f>
        <v/>
      </c>
      <c r="V19" s="267" t="str">
        <f ca="1">INDEX('GCal-Year'!Y$2:Y$435,$X19)</f>
        <v/>
      </c>
      <c r="W19" s="267" t="str">
        <f ca="1">INDEX('GCal-Year'!Z$2:Z$435,$X19)</f>
        <v/>
      </c>
      <c r="X19">
        <f t="shared" si="14"/>
        <v>54</v>
      </c>
      <c r="Y19" s="267">
        <f>INDEX('GCal-Year'!D$2:D$435,$X19)</f>
        <v>54</v>
      </c>
      <c r="Z19" s="839">
        <f>INDEX(GCalXMLT[dstoffset],Y19) * TIMEVALUE("01:00:00")</f>
        <v>0</v>
      </c>
      <c r="AA19" s="267" t="str">
        <f>INDEX(GCalXMLT[stithiname],Y19)</f>
        <v>Dasami</v>
      </c>
      <c r="AB19" s="839">
        <f>INDEX(GCalXMLT[dsunrisetime],$Y19)-Z19</f>
        <v>0.2174189814814815</v>
      </c>
      <c r="AC19" s="267" t="str">
        <f ca="1">INDEX('GCal-Year'!F$2:F$435,$X19)</f>
        <v/>
      </c>
      <c r="AD19" s="267" t="str">
        <f ca="1">INDEX('GCal-Year'!H$2:H$435,$X19)</f>
        <v/>
      </c>
      <c r="AE19" s="267" t="str">
        <f>IF(INDEX(GCalXMLT[paranafrom],$Y19)=0,"",TEXT(INDEX(GCalXMLT[paranafrom],$Y19)-$Z19,"hh:mm"))</f>
        <v/>
      </c>
      <c r="AF19" s="267" t="str">
        <f>IF(INDEX(GCalXMLT[paranato],$Y19)=0,"",TEXT(INDEX(GCalXMLT[paranato],$Y19)-$Z19,"hh:mm"))</f>
        <v/>
      </c>
      <c r="AG19" s="267" t="str">
        <f>GcalTranscode(INDEX('GCal-Year'!I$2:I$435,$X19))</f>
        <v/>
      </c>
      <c r="AH19" s="267" t="str">
        <f>GcalTranscode(INDEX('GCal-Year'!J$2:J$435,$X19))</f>
        <v/>
      </c>
      <c r="AI19" s="267" t="str">
        <f>GcalTranscode(INDEX('GCal-Year'!K$2:K$435,$X19))</f>
        <v/>
      </c>
      <c r="AJ19" s="267" t="str">
        <f>GcalTranscode(INDEX('GCal-Year'!L$2:L$435,$X19))</f>
        <v/>
      </c>
      <c r="AK19" s="267" t="str">
        <f>LEFT(INDEX(GCalXMLT[dcaturmasya1],$Y19),6)</f>
        <v/>
      </c>
      <c r="AL19" s="267" t="str">
        <f>RIGHT(INDEX(GCalXMLT[dcaturmasya1],$Y19),8)</f>
        <v/>
      </c>
      <c r="AM19" s="267" t="str">
        <f t="shared" si="10"/>
        <v/>
      </c>
      <c r="AN19" s="267" t="str">
        <f>LEFT(INDEX(GCalXMLT[dcaturmasya2],$Y19),6)</f>
        <v/>
      </c>
      <c r="AO19" s="267" t="str">
        <f>RIGHT(INDEX(GCalXMLT[dcaturmasya2],$Y19),8)</f>
        <v/>
      </c>
      <c r="AP19" s="267" t="str">
        <f>GcalTranscode(INDEX(GCalXMLT[sankrantirasi],$Y19))</f>
        <v/>
      </c>
      <c r="AQ19" s="294" t="str">
        <f>IF(INDEX(GCalXMLT[sankrantitime],$Y19)=0,"",INDEX(GCalXMLT[sankrantitime],$Y19)-Z19)</f>
        <v/>
      </c>
      <c r="AR19" s="265">
        <f t="shared" si="11"/>
        <v>43480</v>
      </c>
      <c r="AS19" t="str">
        <f ca="1">GcalTranscode(INDEX(GCalXMLT[gymasa],$Y19))</f>
        <v>Nārāyaṇa (Pauṣa)</v>
      </c>
    </row>
    <row r="20" spans="1:45" x14ac:dyDescent="0.25">
      <c r="A20" s="265">
        <f t="shared" si="13"/>
        <v>43482</v>
      </c>
      <c r="B20" s="267" t="str">
        <f ca="1">IFERROR(SUBSTITUTE(SUBSTITUTE(RIGHT(AA20,LEN(AA20)-SEARCH(" (",AA20)),'GCal-Translations'!$B$194,'GCal-Translations'!$C$194,1),'GCal-Translations'!$B$195,'GCal-Translations'!$C$195,1),"")</f>
        <v>(adequado para jejum)</v>
      </c>
      <c r="C20" s="418" t="str">
        <f>IF(AND(AE20&lt;&gt;"",AF20&lt;&gt;""),SUBSTITUTE(SUBSTITUTE('GCal-Translations'!$C$200,"#start_hour#",AE20),"#end_hour#",AF20),IF(AE20&lt;&gt;"",SUBSTITUTE('GCal-Translations'!$C$199,"#hh:mm#",AE20),""))</f>
        <v/>
      </c>
      <c r="D20" t="str">
        <f t="shared" ca="1" si="1"/>
        <v>Jejum por Putrada Ekadasi</v>
      </c>
      <c r="E20" s="267" t="str">
        <f ca="1">IF(AD20="*",'GCal-Translations'!$C$197 &amp; " " &amp; TEXT(AB20,"hh:mm"),"")</f>
        <v>Jejum começa às 05:13</v>
      </c>
      <c r="F20" t="str">
        <f t="shared" si="2"/>
        <v/>
      </c>
      <c r="G20" t="str">
        <f t="shared" si="15"/>
        <v/>
      </c>
      <c r="H20" t="str">
        <f t="shared" ca="1" si="7"/>
        <v/>
      </c>
      <c r="I20" s="267" t="str">
        <f>GcalTranscode(INDEX('GCal-Year'!M$2:M$435,$X20))</f>
        <v/>
      </c>
      <c r="J20" s="267" t="str">
        <f>GcalTranscode(INDEX('GCal-Year'!N$2:N$435,$X20))</f>
        <v/>
      </c>
      <c r="K20" s="267" t="str">
        <f>GcalTranscode(INDEX('GCal-Year'!O$2:O$435,$X20))</f>
        <v/>
      </c>
      <c r="L20" s="267" t="str">
        <f>GcalTranscode(INDEX('GCal-Year'!P$2:P$435,$X20))</f>
        <v/>
      </c>
      <c r="M20" s="267" t="str">
        <f>GcalTranscode(INDEX('GCal-Year'!Q$2:Q$435,$X20))</f>
        <v/>
      </c>
      <c r="N20" s="267" t="str">
        <f>GcalTranscode(INDEX('GCal-Year'!R$2:R$435,$X20))</f>
        <v/>
      </c>
      <c r="O20" s="267" t="str">
        <f>GcalTranscode(INDEX('GCal-Year'!S$2:S$435,$X20))</f>
        <v/>
      </c>
      <c r="P20" s="267" t="str">
        <f t="shared" si="4"/>
        <v xml:space="preserve"> </v>
      </c>
      <c r="Q20" s="267" t="str">
        <f t="shared" si="8"/>
        <v/>
      </c>
      <c r="R20" s="267" t="str">
        <f t="shared" si="5"/>
        <v xml:space="preserve"> </v>
      </c>
      <c r="S20" s="267" t="str">
        <f t="shared" si="12"/>
        <v/>
      </c>
      <c r="T20" s="267" t="str">
        <f ca="1">INDEX('GCal-Year'!W$2:W$435,$X20)</f>
        <v/>
      </c>
      <c r="U20" s="267" t="str">
        <f ca="1">INDEX('GCal-Year'!X$2:X$435,$X20)</f>
        <v/>
      </c>
      <c r="V20" s="267" t="str">
        <f ca="1">INDEX('GCal-Year'!Y$2:Y$435,$X20)</f>
        <v/>
      </c>
      <c r="W20" s="267" t="str">
        <f ca="1">INDEX('GCal-Year'!Z$2:Z$435,$X20)</f>
        <v/>
      </c>
      <c r="X20">
        <f t="shared" si="14"/>
        <v>55</v>
      </c>
      <c r="Y20" s="267">
        <f>INDEX('GCal-Year'!D$2:D$435,$X20)</f>
        <v>55</v>
      </c>
      <c r="Z20" s="839">
        <f>INDEX(GCalXMLT[dstoffset],Y20) * TIMEVALUE("01:00:00")</f>
        <v>0</v>
      </c>
      <c r="AA20" s="267" t="str">
        <f>INDEX(GCalXMLT[stithiname],Y20)</f>
        <v>Ekadasi (suitable for fasting)</v>
      </c>
      <c r="AB20" s="839">
        <f>INDEX(GCalXMLT[dsunrisetime],$Y20)-Z20</f>
        <v>0.21774305555555554</v>
      </c>
      <c r="AC20" s="267" t="str">
        <f ca="1">INDEX('GCal-Year'!F$2:F$435,$X20)</f>
        <v>E</v>
      </c>
      <c r="AD20" s="267" t="str">
        <f ca="1">INDEX('GCal-Year'!H$2:H$435,$X20)</f>
        <v>*</v>
      </c>
      <c r="AE20" s="267" t="str">
        <f>IF(INDEX(GCalXMLT[paranafrom],$Y20)=0,"",TEXT(INDEX(GCalXMLT[paranafrom],$Y20)-$Z20,"hh:mm"))</f>
        <v/>
      </c>
      <c r="AF20" s="267" t="str">
        <f>IF(INDEX(GCalXMLT[paranato],$Y20)=0,"",TEXT(INDEX(GCalXMLT[paranato],$Y20)-$Z20,"hh:mm"))</f>
        <v/>
      </c>
      <c r="AG20" s="267" t="str">
        <f ca="1">GcalTranscode(INDEX('GCal-Year'!I$2:I$435,$X20))</f>
        <v>Jejum por Putrada Ekadasi</v>
      </c>
      <c r="AH20" s="267" t="str">
        <f>GcalTranscode(INDEX('GCal-Year'!J$2:J$435,$X20))</f>
        <v/>
      </c>
      <c r="AI20" s="267" t="str">
        <f>GcalTranscode(INDEX('GCal-Year'!K$2:K$435,$X20))</f>
        <v/>
      </c>
      <c r="AJ20" s="267" t="str">
        <f>GcalTranscode(INDEX('GCal-Year'!L$2:L$435,$X20))</f>
        <v/>
      </c>
      <c r="AK20" s="267" t="str">
        <f>LEFT(INDEX(GCalXMLT[dcaturmasya1],$Y20),6)</f>
        <v/>
      </c>
      <c r="AL20" s="267" t="str">
        <f>RIGHT(INDEX(GCalXMLT[dcaturmasya1],$Y20),8)</f>
        <v/>
      </c>
      <c r="AM20" s="267" t="str">
        <f t="shared" si="10"/>
        <v/>
      </c>
      <c r="AN20" s="267" t="str">
        <f>LEFT(INDEX(GCalXMLT[dcaturmasya2],$Y20),6)</f>
        <v/>
      </c>
      <c r="AO20" s="267" t="str">
        <f>RIGHT(INDEX(GCalXMLT[dcaturmasya2],$Y20),8)</f>
        <v/>
      </c>
      <c r="AP20" s="267" t="str">
        <f>GcalTranscode(INDEX(GCalXMLT[sankrantirasi],$Y20))</f>
        <v/>
      </c>
      <c r="AQ20" s="294" t="str">
        <f>IF(INDEX(GCalXMLT[sankrantitime],$Y20)=0,"",INDEX(GCalXMLT[sankrantitime],$Y20)-Z20)</f>
        <v/>
      </c>
      <c r="AR20" s="265">
        <f t="shared" si="11"/>
        <v>43481</v>
      </c>
      <c r="AS20" t="str">
        <f ca="1">GcalTranscode(INDEX(GCalXMLT[gymasa],$Y20))</f>
        <v>Nārāyaṇa (Pauṣa)</v>
      </c>
    </row>
    <row r="21" spans="1:45" x14ac:dyDescent="0.25">
      <c r="A21" s="265">
        <f t="shared" si="13"/>
        <v>43483</v>
      </c>
      <c r="B21" s="267" t="str">
        <f ca="1">IFERROR(SUBSTITUTE(SUBSTITUTE(RIGHT(AA21,LEN(AA21)-SEARCH(" (",AA21)),'GCal-Translations'!$B$194,'GCal-Translations'!$C$194,1),'GCal-Translations'!$B$195,'GCal-Translations'!$C$195,1),"")</f>
        <v/>
      </c>
      <c r="C21" s="418" t="str">
        <f ca="1">IF(AND(AE21&lt;&gt;"",AF21&lt;&gt;""),SUBSTITUTE(SUBSTITUTE('GCal-Translations'!$C$200,"#start_hour#",AE21),"#end_hour#",AF21),IF(AE21&lt;&gt;"",SUBSTITUTE('GCal-Translations'!$C$199,"#hh:mm#",AE21),""))</f>
        <v>Quebra de jejum 05:14 - 09:24 (hora local)</v>
      </c>
      <c r="D21" t="str">
        <f t="shared" si="1"/>
        <v/>
      </c>
      <c r="E21" s="267" t="str">
        <f ca="1">IF(AD21="*",'GCal-Translations'!$C$197 &amp; " " &amp; TEXT(AB21,"hh:mm"),"")</f>
        <v/>
      </c>
      <c r="F21" t="str">
        <f t="shared" si="2"/>
        <v/>
      </c>
      <c r="G21" t="str">
        <f t="shared" si="15"/>
        <v/>
      </c>
      <c r="H21" t="str">
        <f t="shared" ca="1" si="7"/>
        <v/>
      </c>
      <c r="I21" s="267" t="str">
        <f ca="1">GcalTranscode(INDEX('GCal-Year'!M$2:M$435,$X21))</f>
        <v>Sri Jagadisa Pandita - Aparecimento</v>
      </c>
      <c r="J21" s="267" t="str">
        <f>GcalTranscode(INDEX('GCal-Year'!N$2:N$435,$X21))</f>
        <v/>
      </c>
      <c r="K21" s="267" t="str">
        <f>GcalTranscode(INDEX('GCal-Year'!O$2:O$435,$X21))</f>
        <v/>
      </c>
      <c r="L21" s="267" t="str">
        <f>GcalTranscode(INDEX('GCal-Year'!P$2:P$435,$X21))</f>
        <v/>
      </c>
      <c r="M21" s="267" t="str">
        <f>GcalTranscode(INDEX('GCal-Year'!Q$2:Q$435,$X21))</f>
        <v/>
      </c>
      <c r="N21" s="267" t="str">
        <f>GcalTranscode(INDEX('GCal-Year'!R$2:R$435,$X21))</f>
        <v/>
      </c>
      <c r="O21" s="267" t="str">
        <f>GcalTranscode(INDEX('GCal-Year'!S$2:S$435,$X21))</f>
        <v/>
      </c>
      <c r="P21" s="267" t="str">
        <f t="shared" si="4"/>
        <v xml:space="preserve"> </v>
      </c>
      <c r="Q21" s="267" t="str">
        <f t="shared" si="8"/>
        <v/>
      </c>
      <c r="R21" s="267" t="str">
        <f t="shared" si="5"/>
        <v xml:space="preserve"> </v>
      </c>
      <c r="S21" s="267" t="str">
        <f t="shared" si="12"/>
        <v/>
      </c>
      <c r="T21" s="267" t="str">
        <f ca="1">INDEX('GCal-Year'!W$2:W$435,$X21)</f>
        <v/>
      </c>
      <c r="U21" s="267" t="str">
        <f ca="1">INDEX('GCal-Year'!X$2:X$435,$X21)</f>
        <v/>
      </c>
      <c r="V21" s="267" t="str">
        <f ca="1">INDEX('GCal-Year'!Y$2:Y$435,$X21)</f>
        <v/>
      </c>
      <c r="W21" s="267" t="str">
        <f ca="1">INDEX('GCal-Year'!Z$2:Z$435,$X21)</f>
        <v/>
      </c>
      <c r="X21">
        <f t="shared" si="14"/>
        <v>56</v>
      </c>
      <c r="Y21" s="267">
        <f>INDEX('GCal-Year'!D$2:D$435,$X21)</f>
        <v>56</v>
      </c>
      <c r="Z21" s="839">
        <f>INDEX(GCalXMLT[dstoffset],Y21) * TIMEVALUE("01:00:00")</f>
        <v>0</v>
      </c>
      <c r="AA21" s="267" t="str">
        <f>INDEX(GCalXMLT[stithiname],Y21)</f>
        <v>Dvadasi</v>
      </c>
      <c r="AB21" s="839">
        <f>INDEX(GCalXMLT[dsunrisetime],$Y21)-Z21</f>
        <v>0.21806712962962962</v>
      </c>
      <c r="AC21" s="267" t="str">
        <f ca="1">INDEX('GCal-Year'!F$2:F$435,$X21)</f>
        <v>C</v>
      </c>
      <c r="AD21" s="267" t="str">
        <f ca="1">INDEX('GCal-Year'!H$2:H$435,$X21)</f>
        <v/>
      </c>
      <c r="AE21" s="267" t="str">
        <f>IF(INDEX(GCalXMLT[paranafrom],$Y21)=0,"",TEXT(INDEX(GCalXMLT[paranafrom],$Y21)-$Z21,"hh:mm"))</f>
        <v>05:14</v>
      </c>
      <c r="AF21" s="267" t="str">
        <f>IF(INDEX(GCalXMLT[paranato],$Y21)=0,"",TEXT(INDEX(GCalXMLT[paranato],$Y21)-$Z21,"hh:mm"))</f>
        <v>09:24</v>
      </c>
      <c r="AG21" s="267" t="str">
        <f>GcalTranscode(INDEX('GCal-Year'!I$2:I$435,$X21))</f>
        <v/>
      </c>
      <c r="AH21" s="267" t="str">
        <f>GcalTranscode(INDEX('GCal-Year'!J$2:J$435,$X21))</f>
        <v/>
      </c>
      <c r="AI21" s="267" t="str">
        <f>GcalTranscode(INDEX('GCal-Year'!K$2:K$435,$X21))</f>
        <v/>
      </c>
      <c r="AJ21" s="267" t="str">
        <f>GcalTranscode(INDEX('GCal-Year'!L$2:L$435,$X21))</f>
        <v/>
      </c>
      <c r="AK21" s="267" t="str">
        <f>LEFT(INDEX(GCalXMLT[dcaturmasya1],$Y21),6)</f>
        <v/>
      </c>
      <c r="AL21" s="267" t="str">
        <f>RIGHT(INDEX(GCalXMLT[dcaturmasya1],$Y21),8)</f>
        <v/>
      </c>
      <c r="AM21" s="267" t="str">
        <f t="shared" si="10"/>
        <v/>
      </c>
      <c r="AN21" s="267" t="str">
        <f>LEFT(INDEX(GCalXMLT[dcaturmasya2],$Y21),6)</f>
        <v/>
      </c>
      <c r="AO21" s="267" t="str">
        <f>RIGHT(INDEX(GCalXMLT[dcaturmasya2],$Y21),8)</f>
        <v/>
      </c>
      <c r="AP21" s="267" t="str">
        <f>GcalTranscode(INDEX(GCalXMLT[sankrantirasi],$Y21))</f>
        <v/>
      </c>
      <c r="AQ21" s="294" t="str">
        <f>IF(INDEX(GCalXMLT[sankrantitime],$Y21)=0,"",INDEX(GCalXMLT[sankrantitime],$Y21)-Z21)</f>
        <v/>
      </c>
      <c r="AR21" s="265">
        <f t="shared" si="11"/>
        <v>43482</v>
      </c>
      <c r="AS21" t="str">
        <f ca="1">GcalTranscode(INDEX(GCalXMLT[gymasa],$Y21))</f>
        <v>Nārāyaṇa (Pauṣa)</v>
      </c>
    </row>
    <row r="22" spans="1:45" x14ac:dyDescent="0.25">
      <c r="A22" s="265">
        <f t="shared" si="13"/>
        <v>43484</v>
      </c>
      <c r="B22" s="267" t="str">
        <f ca="1">IFERROR(SUBSTITUTE(SUBSTITUTE(RIGHT(AA22,LEN(AA22)-SEARCH(" (",AA22)),'GCal-Translations'!$B$194,'GCal-Translations'!$C$194,1),'GCal-Translations'!$B$195,'GCal-Translations'!$C$195,1),"")</f>
        <v/>
      </c>
      <c r="C22" s="418" t="str">
        <f>IF(AND(AE22&lt;&gt;"",AF22&lt;&gt;""),SUBSTITUTE(SUBSTITUTE('GCal-Translations'!$C$200,"#start_hour#",AE22),"#end_hour#",AF22),IF(AE22&lt;&gt;"",SUBSTITUTE('GCal-Translations'!$C$199,"#hh:mm#",AE22),""))</f>
        <v/>
      </c>
      <c r="D22" t="str">
        <f t="shared" si="1"/>
        <v/>
      </c>
      <c r="E22" s="267" t="str">
        <f ca="1">IF(AD22="*",'GCal-Translations'!$C$197 &amp; " " &amp; TEXT(AB22,"hh:mm"),"")</f>
        <v/>
      </c>
      <c r="F22" t="str">
        <f t="shared" si="2"/>
        <v/>
      </c>
      <c r="G22" t="str">
        <f t="shared" si="15"/>
        <v/>
      </c>
      <c r="H22" t="str">
        <f t="shared" ca="1" si="7"/>
        <v/>
      </c>
      <c r="I22" s="267" t="str">
        <f>GcalTranscode(INDEX('GCal-Year'!M$2:M$435,$X22))</f>
        <v/>
      </c>
      <c r="J22" s="267" t="str">
        <f>GcalTranscode(INDEX('GCal-Year'!N$2:N$435,$X22))</f>
        <v/>
      </c>
      <c r="K22" s="267" t="str">
        <f>GcalTranscode(INDEX('GCal-Year'!O$2:O$435,$X22))</f>
        <v/>
      </c>
      <c r="L22" s="267" t="str">
        <f>GcalTranscode(INDEX('GCal-Year'!P$2:P$435,$X22))</f>
        <v/>
      </c>
      <c r="M22" s="267" t="str">
        <f>GcalTranscode(INDEX('GCal-Year'!Q$2:Q$435,$X22))</f>
        <v/>
      </c>
      <c r="N22" s="267" t="str">
        <f>GcalTranscode(INDEX('GCal-Year'!R$2:R$435,$X22))</f>
        <v/>
      </c>
      <c r="O22" s="267" t="str">
        <f>GcalTranscode(INDEX('GCal-Year'!S$2:S$435,$X22))</f>
        <v/>
      </c>
      <c r="P22" s="267" t="str">
        <f t="shared" si="4"/>
        <v xml:space="preserve"> </v>
      </c>
      <c r="Q22" s="267" t="str">
        <f t="shared" si="8"/>
        <v/>
      </c>
      <c r="R22" s="267" t="str">
        <f t="shared" si="5"/>
        <v xml:space="preserve"> </v>
      </c>
      <c r="S22" s="267" t="str">
        <f t="shared" si="12"/>
        <v/>
      </c>
      <c r="T22" s="267" t="str">
        <f ca="1">INDEX('GCal-Year'!W$2:W$435,$X22)</f>
        <v/>
      </c>
      <c r="U22" s="267" t="str">
        <f ca="1">INDEX('GCal-Year'!X$2:X$435,$X22)</f>
        <v/>
      </c>
      <c r="V22" s="267" t="str">
        <f ca="1">INDEX('GCal-Year'!Y$2:Y$435,$X22)</f>
        <v/>
      </c>
      <c r="W22" s="267" t="str">
        <f ca="1">INDEX('GCal-Year'!Z$2:Z$435,$X22)</f>
        <v/>
      </c>
      <c r="X22">
        <f t="shared" si="14"/>
        <v>57</v>
      </c>
      <c r="Y22" s="267">
        <f>INDEX('GCal-Year'!D$2:D$435,$X22)</f>
        <v>57</v>
      </c>
      <c r="Z22" s="839">
        <f>INDEX(GCalXMLT[dstoffset],Y22) * TIMEVALUE("01:00:00")</f>
        <v>0</v>
      </c>
      <c r="AA22" s="267" t="str">
        <f>INDEX(GCalXMLT[stithiname],Y22)</f>
        <v>Trayodasi</v>
      </c>
      <c r="AB22" s="839">
        <f>INDEX(GCalXMLT[dsunrisetime],$Y22)-Z22</f>
        <v>0.21837962962962965</v>
      </c>
      <c r="AC22" s="267" t="str">
        <f ca="1">INDEX('GCal-Year'!F$2:F$435,$X22)</f>
        <v/>
      </c>
      <c r="AD22" s="267" t="str">
        <f ca="1">INDEX('GCal-Year'!H$2:H$435,$X22)</f>
        <v/>
      </c>
      <c r="AE22" s="267" t="str">
        <f>IF(INDEX(GCalXMLT[paranafrom],$Y22)=0,"",TEXT(INDEX(GCalXMLT[paranafrom],$Y22)-$Z22,"hh:mm"))</f>
        <v/>
      </c>
      <c r="AF22" s="267" t="str">
        <f>IF(INDEX(GCalXMLT[paranato],$Y22)=0,"",TEXT(INDEX(GCalXMLT[paranato],$Y22)-$Z22,"hh:mm"))</f>
        <v/>
      </c>
      <c r="AG22" s="267" t="str">
        <f>GcalTranscode(INDEX('GCal-Year'!I$2:I$435,$X22))</f>
        <v/>
      </c>
      <c r="AH22" s="267" t="str">
        <f>GcalTranscode(INDEX('GCal-Year'!J$2:J$435,$X22))</f>
        <v/>
      </c>
      <c r="AI22" s="267" t="str">
        <f>GcalTranscode(INDEX('GCal-Year'!K$2:K$435,$X22))</f>
        <v/>
      </c>
      <c r="AJ22" s="267" t="str">
        <f>GcalTranscode(INDEX('GCal-Year'!L$2:L$435,$X22))</f>
        <v/>
      </c>
      <c r="AK22" s="267" t="str">
        <f>LEFT(INDEX(GCalXMLT[dcaturmasya1],$Y22),6)</f>
        <v/>
      </c>
      <c r="AL22" s="267" t="str">
        <f>RIGHT(INDEX(GCalXMLT[dcaturmasya1],$Y22),8)</f>
        <v/>
      </c>
      <c r="AM22" s="267" t="str">
        <f t="shared" si="10"/>
        <v/>
      </c>
      <c r="AN22" s="267" t="str">
        <f>LEFT(INDEX(GCalXMLT[dcaturmasya2],$Y22),6)</f>
        <v/>
      </c>
      <c r="AO22" s="267" t="str">
        <f>RIGHT(INDEX(GCalXMLT[dcaturmasya2],$Y22),8)</f>
        <v/>
      </c>
      <c r="AP22" s="267" t="str">
        <f>GcalTranscode(INDEX(GCalXMLT[sankrantirasi],$Y22))</f>
        <v/>
      </c>
      <c r="AQ22" s="294" t="str">
        <f>IF(INDEX(GCalXMLT[sankrantitime],$Y22)=0,"",INDEX(GCalXMLT[sankrantitime],$Y22)-Z22)</f>
        <v/>
      </c>
      <c r="AR22" s="265">
        <f t="shared" si="11"/>
        <v>43483</v>
      </c>
      <c r="AS22" t="str">
        <f ca="1">GcalTranscode(INDEX(GCalXMLT[gymasa],$Y22))</f>
        <v>Nārāyaṇa (Pauṣa)</v>
      </c>
    </row>
    <row r="23" spans="1:45" x14ac:dyDescent="0.25">
      <c r="A23" s="265">
        <f t="shared" si="13"/>
        <v>43485</v>
      </c>
      <c r="B23" s="267" t="str">
        <f ca="1">IFERROR(SUBSTITUTE(SUBSTITUTE(RIGHT(AA23,LEN(AA23)-SEARCH(" (",AA23)),'GCal-Translations'!$B$194,'GCal-Translations'!$C$194,1),'GCal-Translations'!$B$195,'GCal-Translations'!$C$195,1),"")</f>
        <v/>
      </c>
      <c r="C23" s="418" t="str">
        <f>IF(AND(AE23&lt;&gt;"",AF23&lt;&gt;""),SUBSTITUTE(SUBSTITUTE('GCal-Translations'!$C$200,"#start_hour#",AE23),"#end_hour#",AF23),IF(AE23&lt;&gt;"",SUBSTITUTE('GCal-Translations'!$C$199,"#hh:mm#",AE23),""))</f>
        <v/>
      </c>
      <c r="D23" t="str">
        <f t="shared" si="1"/>
        <v/>
      </c>
      <c r="E23" s="267" t="str">
        <f ca="1">IF(AD23="*",'GCal-Translations'!$C$197 &amp; " " &amp; TEXT(AB23,"hh:mm"),"")</f>
        <v/>
      </c>
      <c r="F23" t="str">
        <f t="shared" si="2"/>
        <v/>
      </c>
      <c r="G23" t="str">
        <f t="shared" si="15"/>
        <v/>
      </c>
      <c r="H23" t="str">
        <f t="shared" ca="1" si="7"/>
        <v/>
      </c>
      <c r="I23" s="267" t="str">
        <f>GcalTranscode(INDEX('GCal-Year'!M$2:M$435,$X23))</f>
        <v/>
      </c>
      <c r="J23" s="267" t="str">
        <f>GcalTranscode(INDEX('GCal-Year'!N$2:N$435,$X23))</f>
        <v/>
      </c>
      <c r="K23" s="267" t="str">
        <f>GcalTranscode(INDEX('GCal-Year'!O$2:O$435,$X23))</f>
        <v/>
      </c>
      <c r="L23" s="267" t="str">
        <f>GcalTranscode(INDEX('GCal-Year'!P$2:P$435,$X23))</f>
        <v/>
      </c>
      <c r="M23" s="267" t="str">
        <f>GcalTranscode(INDEX('GCal-Year'!Q$2:Q$435,$X23))</f>
        <v/>
      </c>
      <c r="N23" s="267" t="str">
        <f>GcalTranscode(INDEX('GCal-Year'!R$2:R$435,$X23))</f>
        <v/>
      </c>
      <c r="O23" s="267" t="str">
        <f>GcalTranscode(INDEX('GCal-Year'!S$2:S$435,$X23))</f>
        <v/>
      </c>
      <c r="P23" s="267" t="str">
        <f t="shared" si="4"/>
        <v xml:space="preserve"> </v>
      </c>
      <c r="Q23" s="267" t="str">
        <f t="shared" si="8"/>
        <v/>
      </c>
      <c r="R23" s="267" t="str">
        <f t="shared" si="5"/>
        <v xml:space="preserve"> </v>
      </c>
      <c r="S23" s="267" t="str">
        <f t="shared" si="12"/>
        <v/>
      </c>
      <c r="T23" s="267" t="str">
        <f ca="1">INDEX('GCal-Year'!W$2:W$435,$X23)</f>
        <v/>
      </c>
      <c r="U23" s="267" t="str">
        <f ca="1">INDEX('GCal-Year'!X$2:X$435,$X23)</f>
        <v/>
      </c>
      <c r="V23" s="267" t="str">
        <f ca="1">INDEX('GCal-Year'!Y$2:Y$435,$X23)</f>
        <v/>
      </c>
      <c r="W23" s="267" t="str">
        <f ca="1">INDEX('GCal-Year'!Z$2:Z$435,$X23)</f>
        <v/>
      </c>
      <c r="X23">
        <f t="shared" si="14"/>
        <v>58</v>
      </c>
      <c r="Y23" s="267">
        <f>INDEX('GCal-Year'!D$2:D$435,$X23)</f>
        <v>58</v>
      </c>
      <c r="Z23" s="839">
        <f>INDEX(GCalXMLT[dstoffset],Y23) * TIMEVALUE("01:00:00")</f>
        <v>0</v>
      </c>
      <c r="AA23" s="267" t="str">
        <f>INDEX(GCalXMLT[stithiname],Y23)</f>
        <v>Caturdasi</v>
      </c>
      <c r="AB23" s="839">
        <f>INDEX(GCalXMLT[dsunrisetime],$Y23)-Z23</f>
        <v>0.21869212962962961</v>
      </c>
      <c r="AC23" s="267" t="str">
        <f ca="1">INDEX('GCal-Year'!F$2:F$435,$X23)</f>
        <v/>
      </c>
      <c r="AD23" s="267" t="str">
        <f ca="1">INDEX('GCal-Year'!H$2:H$435,$X23)</f>
        <v/>
      </c>
      <c r="AE23" s="267" t="str">
        <f>IF(INDEX(GCalXMLT[paranafrom],$Y23)=0,"",TEXT(INDEX(GCalXMLT[paranafrom],$Y23)-$Z23,"hh:mm"))</f>
        <v/>
      </c>
      <c r="AF23" s="267" t="str">
        <f>IF(INDEX(GCalXMLT[paranato],$Y23)=0,"",TEXT(INDEX(GCalXMLT[paranato],$Y23)-$Z23,"hh:mm"))</f>
        <v/>
      </c>
      <c r="AG23" s="267" t="str">
        <f>GcalTranscode(INDEX('GCal-Year'!I$2:I$435,$X23))</f>
        <v/>
      </c>
      <c r="AH23" s="267" t="str">
        <f>GcalTranscode(INDEX('GCal-Year'!J$2:J$435,$X23))</f>
        <v/>
      </c>
      <c r="AI23" s="267" t="str">
        <f>GcalTranscode(INDEX('GCal-Year'!K$2:K$435,$X23))</f>
        <v/>
      </c>
      <c r="AJ23" s="267" t="str">
        <f>GcalTranscode(INDEX('GCal-Year'!L$2:L$435,$X23))</f>
        <v/>
      </c>
      <c r="AK23" s="267" t="str">
        <f>LEFT(INDEX(GCalXMLT[dcaturmasya1],$Y23),6)</f>
        <v/>
      </c>
      <c r="AL23" s="267" t="str">
        <f>RIGHT(INDEX(GCalXMLT[dcaturmasya1],$Y23),8)</f>
        <v/>
      </c>
      <c r="AM23" s="267" t="str">
        <f t="shared" si="10"/>
        <v/>
      </c>
      <c r="AN23" s="267" t="str">
        <f>LEFT(INDEX(GCalXMLT[dcaturmasya2],$Y23),6)</f>
        <v/>
      </c>
      <c r="AO23" s="267" t="str">
        <f>RIGHT(INDEX(GCalXMLT[dcaturmasya2],$Y23),8)</f>
        <v/>
      </c>
      <c r="AP23" s="267" t="str">
        <f>GcalTranscode(INDEX(GCalXMLT[sankrantirasi],$Y23))</f>
        <v/>
      </c>
      <c r="AQ23" s="294" t="str">
        <f>IF(INDEX(GCalXMLT[sankrantitime],$Y23)=0,"",INDEX(GCalXMLT[sankrantitime],$Y23)-Z23)</f>
        <v/>
      </c>
      <c r="AR23" s="265">
        <f t="shared" si="11"/>
        <v>43484</v>
      </c>
      <c r="AS23" t="str">
        <f ca="1">GcalTranscode(INDEX(GCalXMLT[gymasa],$Y23))</f>
        <v>Nārāyaṇa (Pauṣa)</v>
      </c>
    </row>
    <row r="24" spans="1:45" x14ac:dyDescent="0.25">
      <c r="A24" s="265">
        <f t="shared" si="13"/>
        <v>43486</v>
      </c>
      <c r="B24" s="267" t="str">
        <f ca="1">IFERROR(SUBSTITUTE(SUBSTITUTE(RIGHT(AA24,LEN(AA24)-SEARCH(" (",AA24)),'GCal-Translations'!$B$194,'GCal-Translations'!$C$194,1),'GCal-Translations'!$B$195,'GCal-Translations'!$C$195,1),"")</f>
        <v/>
      </c>
      <c r="C24" s="418" t="str">
        <f>IF(AND(AE24&lt;&gt;"",AF24&lt;&gt;""),SUBSTITUTE(SUBSTITUTE('GCal-Translations'!$C$200,"#start_hour#",AE24),"#end_hour#",AF24),IF(AE24&lt;&gt;"",SUBSTITUTE('GCal-Translations'!$C$199,"#hh:mm#",AE24),""))</f>
        <v/>
      </c>
      <c r="D24" t="str">
        <f t="shared" si="1"/>
        <v/>
      </c>
      <c r="E24" s="267" t="str">
        <f ca="1">IF(AD24="*",'GCal-Translations'!$C$197 &amp; " " &amp; TEXT(AB24,"hh:mm"),"")</f>
        <v/>
      </c>
      <c r="F24" t="str">
        <f t="shared" si="2"/>
        <v/>
      </c>
      <c r="G24" t="str">
        <f t="shared" si="15"/>
        <v/>
      </c>
      <c r="H24" t="str">
        <f t="shared" ca="1" si="7"/>
        <v>Mādhāva (Māgha) Masa</v>
      </c>
      <c r="I24" s="267" t="str">
        <f>GcalTranscode(INDEX('GCal-Year'!M$2:M$435,$X24))</f>
        <v/>
      </c>
      <c r="J24" s="267" t="str">
        <f>GcalTranscode(INDEX('GCal-Year'!N$2:N$435,$X24))</f>
        <v/>
      </c>
      <c r="K24" s="267" t="str">
        <f>GcalTranscode(INDEX('GCal-Year'!O$2:O$435,$X24))</f>
        <v/>
      </c>
      <c r="L24" s="267" t="str">
        <f>GcalTranscode(INDEX('GCal-Year'!P$2:P$435,$X24))</f>
        <v/>
      </c>
      <c r="M24" s="267" t="str">
        <f>GcalTranscode(INDEX('GCal-Year'!Q$2:Q$435,$X24))</f>
        <v/>
      </c>
      <c r="N24" s="267" t="str">
        <f>GcalTranscode(INDEX('GCal-Year'!R$2:R$435,$X24))</f>
        <v/>
      </c>
      <c r="O24" s="267" t="str">
        <f>GcalTranscode(INDEX('GCal-Year'!S$2:S$435,$X24))</f>
        <v/>
      </c>
      <c r="P24" s="267" t="str">
        <f t="shared" si="4"/>
        <v xml:space="preserve"> </v>
      </c>
      <c r="Q24" s="267" t="str">
        <f t="shared" si="8"/>
        <v/>
      </c>
      <c r="R24" s="267" t="str">
        <f t="shared" si="5"/>
        <v xml:space="preserve"> </v>
      </c>
      <c r="S24" s="267" t="str">
        <f t="shared" si="12"/>
        <v/>
      </c>
      <c r="T24" s="267" t="str">
        <f ca="1">INDEX('GCal-Year'!W$2:W$435,$X24)</f>
        <v/>
      </c>
      <c r="U24" s="267" t="str">
        <f ca="1">INDEX('GCal-Year'!X$2:X$435,$X24)</f>
        <v/>
      </c>
      <c r="V24" s="267" t="str">
        <f ca="1">INDEX('GCal-Year'!Y$2:Y$435,$X24)</f>
        <v/>
      </c>
      <c r="W24" s="267" t="str">
        <f ca="1">INDEX('GCal-Year'!Z$2:Z$435,$X24)</f>
        <v/>
      </c>
      <c r="X24">
        <f t="shared" si="14"/>
        <v>59</v>
      </c>
      <c r="Y24" s="267">
        <f>INDEX('GCal-Year'!D$2:D$435,$X24)</f>
        <v>59</v>
      </c>
      <c r="Z24" s="839">
        <f>INDEX(GCalXMLT[dstoffset],Y24) * TIMEVALUE("01:00:00")</f>
        <v>0</v>
      </c>
      <c r="AA24" s="267" t="str">
        <f>INDEX(GCalXMLT[stithiname],Y24)</f>
        <v>Pratipat</v>
      </c>
      <c r="AB24" s="839">
        <f>INDEX(GCalXMLT[dsunrisetime],$Y24)-Z24</f>
        <v>0.21899305555555557</v>
      </c>
      <c r="AC24" s="267" t="str">
        <f ca="1">INDEX('GCal-Year'!F$2:F$435,$X24)</f>
        <v/>
      </c>
      <c r="AD24" s="267" t="str">
        <f ca="1">INDEX('GCal-Year'!H$2:H$435,$X24)</f>
        <v/>
      </c>
      <c r="AE24" s="267" t="str">
        <f>IF(INDEX(GCalXMLT[paranafrom],$Y24)=0,"",TEXT(INDEX(GCalXMLT[paranafrom],$Y24)-$Z24,"hh:mm"))</f>
        <v/>
      </c>
      <c r="AF24" s="267" t="str">
        <f>IF(INDEX(GCalXMLT[paranato],$Y24)=0,"",TEXT(INDEX(GCalXMLT[paranato],$Y24)-$Z24,"hh:mm"))</f>
        <v/>
      </c>
      <c r="AG24" s="267" t="str">
        <f>GcalTranscode(INDEX('GCal-Year'!I$2:I$435,$X24))</f>
        <v/>
      </c>
      <c r="AH24" s="267" t="str">
        <f>GcalTranscode(INDEX('GCal-Year'!J$2:J$435,$X24))</f>
        <v/>
      </c>
      <c r="AI24" s="267" t="str">
        <f>GcalTranscode(INDEX('GCal-Year'!K$2:K$435,$X24))</f>
        <v/>
      </c>
      <c r="AJ24" s="267" t="str">
        <f>GcalTranscode(INDEX('GCal-Year'!L$2:L$435,$X24))</f>
        <v/>
      </c>
      <c r="AK24" s="267" t="str">
        <f>LEFT(INDEX(GCalXMLT[dcaturmasya1],$Y24),6)</f>
        <v/>
      </c>
      <c r="AL24" s="267" t="str">
        <f>RIGHT(INDEX(GCalXMLT[dcaturmasya1],$Y24),8)</f>
        <v/>
      </c>
      <c r="AM24" s="267" t="str">
        <f t="shared" si="10"/>
        <v/>
      </c>
      <c r="AN24" s="267" t="str">
        <f>LEFT(INDEX(GCalXMLT[dcaturmasya2],$Y24),6)</f>
        <v/>
      </c>
      <c r="AO24" s="267" t="str">
        <f>RIGHT(INDEX(GCalXMLT[dcaturmasya2],$Y24),8)</f>
        <v/>
      </c>
      <c r="AP24" s="267" t="str">
        <f>GcalTranscode(INDEX(GCalXMLT[sankrantirasi],$Y24))</f>
        <v/>
      </c>
      <c r="AQ24" s="294" t="str">
        <f>IF(INDEX(GCalXMLT[sankrantitime],$Y24)=0,"",INDEX(GCalXMLT[sankrantitime],$Y24)-Z24)</f>
        <v/>
      </c>
      <c r="AR24" s="265">
        <f t="shared" si="11"/>
        <v>43485</v>
      </c>
      <c r="AS24" t="str">
        <f ca="1">GcalTranscode(INDEX(GCalXMLT[gymasa],$Y24))</f>
        <v>Mādhāva (Māgha)</v>
      </c>
    </row>
    <row r="25" spans="1:45" x14ac:dyDescent="0.25">
      <c r="A25" s="265">
        <f t="shared" si="13"/>
        <v>43487</v>
      </c>
      <c r="B25" s="267" t="str">
        <f ca="1">IFERROR(SUBSTITUTE(SUBSTITUTE(RIGHT(AA25,LEN(AA25)-SEARCH(" (",AA25)),'GCal-Translations'!$B$194,'GCal-Translations'!$C$194,1),'GCal-Translations'!$B$195,'GCal-Translations'!$C$195,1),"")</f>
        <v/>
      </c>
      <c r="C25" s="418" t="str">
        <f>IF(AND(AE25&lt;&gt;"",AF25&lt;&gt;""),SUBSTITUTE(SUBSTITUTE('GCal-Translations'!$C$200,"#start_hour#",AE25),"#end_hour#",AF25),IF(AE25&lt;&gt;"",SUBSTITUTE('GCal-Translations'!$C$199,"#hh:mm#",AE25),""))</f>
        <v/>
      </c>
      <c r="D25" t="str">
        <f t="shared" si="1"/>
        <v/>
      </c>
      <c r="E25" s="267" t="str">
        <f ca="1">IF(AD25="*",'GCal-Translations'!$C$197 &amp; " " &amp; TEXT(AB25,"hh:mm"),"")</f>
        <v/>
      </c>
      <c r="F25" t="str">
        <f t="shared" si="2"/>
        <v/>
      </c>
      <c r="G25" t="str">
        <f t="shared" si="15"/>
        <v/>
      </c>
      <c r="H25" t="str">
        <f t="shared" ca="1" si="7"/>
        <v/>
      </c>
      <c r="I25" s="267" t="str">
        <f>GcalTranscode(INDEX('GCal-Year'!M$2:M$435,$X25))</f>
        <v/>
      </c>
      <c r="J25" s="267" t="str">
        <f>GcalTranscode(INDEX('GCal-Year'!N$2:N$435,$X25))</f>
        <v/>
      </c>
      <c r="K25" s="267" t="str">
        <f>GcalTranscode(INDEX('GCal-Year'!O$2:O$435,$X25))</f>
        <v/>
      </c>
      <c r="L25" s="267" t="str">
        <f>GcalTranscode(INDEX('GCal-Year'!P$2:P$435,$X25))</f>
        <v/>
      </c>
      <c r="M25" s="267" t="str">
        <f>GcalTranscode(INDEX('GCal-Year'!Q$2:Q$435,$X25))</f>
        <v/>
      </c>
      <c r="N25" s="267" t="str">
        <f>GcalTranscode(INDEX('GCal-Year'!R$2:R$435,$X25))</f>
        <v/>
      </c>
      <c r="O25" s="267" t="str">
        <f>GcalTranscode(INDEX('GCal-Year'!S$2:S$435,$X25))</f>
        <v/>
      </c>
      <c r="P25" s="267" t="str">
        <f t="shared" si="4"/>
        <v xml:space="preserve"> </v>
      </c>
      <c r="Q25" s="267" t="str">
        <f t="shared" si="8"/>
        <v/>
      </c>
      <c r="R25" s="267" t="str">
        <f t="shared" si="5"/>
        <v xml:space="preserve"> </v>
      </c>
      <c r="S25" s="267" t="str">
        <f t="shared" si="12"/>
        <v/>
      </c>
      <c r="T25" s="267" t="str">
        <f ca="1">INDEX('GCal-Year'!W$2:W$435,$X25)</f>
        <v/>
      </c>
      <c r="U25" s="267" t="str">
        <f ca="1">INDEX('GCal-Year'!X$2:X$435,$X25)</f>
        <v/>
      </c>
      <c r="V25" s="267" t="str">
        <f ca="1">INDEX('GCal-Year'!Y$2:Y$435,$X25)</f>
        <v/>
      </c>
      <c r="W25" s="267" t="str">
        <f ca="1">INDEX('GCal-Year'!Z$2:Z$435,$X25)</f>
        <v/>
      </c>
      <c r="X25">
        <f t="shared" si="14"/>
        <v>60</v>
      </c>
      <c r="Y25" s="267">
        <f>INDEX('GCal-Year'!D$2:D$435,$X25)</f>
        <v>60</v>
      </c>
      <c r="Z25" s="839">
        <f>INDEX(GCalXMLT[dstoffset],Y25) * TIMEVALUE("01:00:00")</f>
        <v>0</v>
      </c>
      <c r="AA25" s="267" t="str">
        <f>INDEX(GCalXMLT[stithiname],Y25)</f>
        <v>Dvitiya</v>
      </c>
      <c r="AB25" s="839">
        <f>INDEX(GCalXMLT[dsunrisetime],$Y25)-Z25</f>
        <v>0.21929398148148149</v>
      </c>
      <c r="AC25" s="267" t="str">
        <f ca="1">INDEX('GCal-Year'!F$2:F$435,$X25)</f>
        <v/>
      </c>
      <c r="AD25" s="267" t="str">
        <f ca="1">INDEX('GCal-Year'!H$2:H$435,$X25)</f>
        <v/>
      </c>
      <c r="AE25" s="267" t="str">
        <f>IF(INDEX(GCalXMLT[paranafrom],$Y25)=0,"",TEXT(INDEX(GCalXMLT[paranafrom],$Y25)-$Z25,"hh:mm"))</f>
        <v/>
      </c>
      <c r="AF25" s="267" t="str">
        <f>IF(INDEX(GCalXMLT[paranato],$Y25)=0,"",TEXT(INDEX(GCalXMLT[paranato],$Y25)-$Z25,"hh:mm"))</f>
        <v/>
      </c>
      <c r="AG25" s="267" t="str">
        <f>GcalTranscode(INDEX('GCal-Year'!I$2:I$435,$X25))</f>
        <v/>
      </c>
      <c r="AH25" s="267" t="str">
        <f>GcalTranscode(INDEX('GCal-Year'!J$2:J$435,$X25))</f>
        <v/>
      </c>
      <c r="AI25" s="267" t="str">
        <f>GcalTranscode(INDEX('GCal-Year'!K$2:K$435,$X25))</f>
        <v/>
      </c>
      <c r="AJ25" s="267" t="str">
        <f>GcalTranscode(INDEX('GCal-Year'!L$2:L$435,$X25))</f>
        <v/>
      </c>
      <c r="AK25" s="267" t="str">
        <f>LEFT(INDEX(GCalXMLT[dcaturmasya1],$Y25),6)</f>
        <v/>
      </c>
      <c r="AL25" s="267" t="str">
        <f>RIGHT(INDEX(GCalXMLT[dcaturmasya1],$Y25),8)</f>
        <v/>
      </c>
      <c r="AM25" s="267" t="str">
        <f t="shared" si="10"/>
        <v/>
      </c>
      <c r="AN25" s="267" t="str">
        <f>LEFT(INDEX(GCalXMLT[dcaturmasya2],$Y25),6)</f>
        <v/>
      </c>
      <c r="AO25" s="267" t="str">
        <f>RIGHT(INDEX(GCalXMLT[dcaturmasya2],$Y25),8)</f>
        <v/>
      </c>
      <c r="AP25" s="267" t="str">
        <f>GcalTranscode(INDEX(GCalXMLT[sankrantirasi],$Y25))</f>
        <v/>
      </c>
      <c r="AQ25" s="294" t="str">
        <f>IF(INDEX(GCalXMLT[sankrantitime],$Y25)=0,"",INDEX(GCalXMLT[sankrantitime],$Y25)-Z25)</f>
        <v/>
      </c>
      <c r="AR25" s="265">
        <f t="shared" si="11"/>
        <v>43486</v>
      </c>
      <c r="AS25" t="str">
        <f ca="1">GcalTranscode(INDEX(GCalXMLT[gymasa],$Y25))</f>
        <v>Mādhāva (Māgha)</v>
      </c>
    </row>
    <row r="26" spans="1:45" x14ac:dyDescent="0.25">
      <c r="A26" s="265">
        <f t="shared" si="13"/>
        <v>43488</v>
      </c>
      <c r="B26" s="267" t="str">
        <f ca="1">IFERROR(SUBSTITUTE(SUBSTITUTE(RIGHT(AA26,LEN(AA26)-SEARCH(" (",AA26)),'GCal-Translations'!$B$194,'GCal-Translations'!$C$194,1),'GCal-Translations'!$B$195,'GCal-Translations'!$C$195,1),"")</f>
        <v/>
      </c>
      <c r="C26" s="418" t="str">
        <f>IF(AND(AE26&lt;&gt;"",AF26&lt;&gt;""),SUBSTITUTE(SUBSTITUTE('GCal-Translations'!$C$200,"#start_hour#",AE26),"#end_hour#",AF26),IF(AE26&lt;&gt;"",SUBSTITUTE('GCal-Translations'!$C$199,"#hh:mm#",AE26),""))</f>
        <v/>
      </c>
      <c r="D26" t="str">
        <f t="shared" si="1"/>
        <v/>
      </c>
      <c r="E26" s="267" t="str">
        <f ca="1">IF(AD26="*",'GCal-Translations'!$C$197 &amp; " " &amp; TEXT(AB26,"hh:mm"),"")</f>
        <v/>
      </c>
      <c r="F26" t="str">
        <f t="shared" si="2"/>
        <v/>
      </c>
      <c r="G26" t="str">
        <f t="shared" si="15"/>
        <v/>
      </c>
      <c r="H26" t="str">
        <f t="shared" ca="1" si="7"/>
        <v/>
      </c>
      <c r="I26" s="267" t="str">
        <f>GcalTranscode(INDEX('GCal-Year'!M$2:M$435,$X26))</f>
        <v/>
      </c>
      <c r="J26" s="267" t="str">
        <f>GcalTranscode(INDEX('GCal-Year'!N$2:N$435,$X26))</f>
        <v/>
      </c>
      <c r="K26" s="267" t="str">
        <f>GcalTranscode(INDEX('GCal-Year'!O$2:O$435,$X26))</f>
        <v/>
      </c>
      <c r="L26" s="267" t="str">
        <f>GcalTranscode(INDEX('GCal-Year'!P$2:P$435,$X26))</f>
        <v/>
      </c>
      <c r="M26" s="267" t="str">
        <f>GcalTranscode(INDEX('GCal-Year'!Q$2:Q$435,$X26))</f>
        <v/>
      </c>
      <c r="N26" s="267" t="str">
        <f>GcalTranscode(INDEX('GCal-Year'!R$2:R$435,$X26))</f>
        <v/>
      </c>
      <c r="O26" s="267" t="str">
        <f>GcalTranscode(INDEX('GCal-Year'!S$2:S$435,$X26))</f>
        <v/>
      </c>
      <c r="P26" s="267" t="str">
        <f t="shared" si="4"/>
        <v xml:space="preserve"> </v>
      </c>
      <c r="Q26" s="267" t="str">
        <f t="shared" si="8"/>
        <v/>
      </c>
      <c r="R26" s="267" t="str">
        <f t="shared" si="5"/>
        <v xml:space="preserve"> </v>
      </c>
      <c r="S26" s="267" t="str">
        <f t="shared" si="12"/>
        <v/>
      </c>
      <c r="T26" s="267" t="str">
        <f ca="1">INDEX('GCal-Year'!W$2:W$435,$X26)</f>
        <v/>
      </c>
      <c r="U26" s="267" t="str">
        <f ca="1">INDEX('GCal-Year'!X$2:X$435,$X26)</f>
        <v/>
      </c>
      <c r="V26" s="267" t="str">
        <f ca="1">INDEX('GCal-Year'!Y$2:Y$435,$X26)</f>
        <v/>
      </c>
      <c r="W26" s="267" t="str">
        <f ca="1">INDEX('GCal-Year'!Z$2:Z$435,$X26)</f>
        <v/>
      </c>
      <c r="X26">
        <f t="shared" si="14"/>
        <v>61</v>
      </c>
      <c r="Y26" s="267">
        <f>INDEX('GCal-Year'!D$2:D$435,$X26)</f>
        <v>61</v>
      </c>
      <c r="Z26" s="839">
        <f>INDEX(GCalXMLT[dstoffset],Y26) * TIMEVALUE("01:00:00")</f>
        <v>0</v>
      </c>
      <c r="AA26" s="267" t="str">
        <f>INDEX(GCalXMLT[stithiname],Y26)</f>
        <v>Tritiya</v>
      </c>
      <c r="AB26" s="839">
        <f>INDEX(GCalXMLT[dsunrisetime],$Y26)-Z26</f>
        <v>0.21958333333333332</v>
      </c>
      <c r="AC26" s="267" t="str">
        <f ca="1">INDEX('GCal-Year'!F$2:F$435,$X26)</f>
        <v/>
      </c>
      <c r="AD26" s="267" t="str">
        <f ca="1">INDEX('GCal-Year'!H$2:H$435,$X26)</f>
        <v/>
      </c>
      <c r="AE26" s="267" t="str">
        <f>IF(INDEX(GCalXMLT[paranafrom],$Y26)=0,"",TEXT(INDEX(GCalXMLT[paranafrom],$Y26)-$Z26,"hh:mm"))</f>
        <v/>
      </c>
      <c r="AF26" s="267" t="str">
        <f>IF(INDEX(GCalXMLT[paranato],$Y26)=0,"",TEXT(INDEX(GCalXMLT[paranato],$Y26)-$Z26,"hh:mm"))</f>
        <v/>
      </c>
      <c r="AG26" s="267" t="str">
        <f>GcalTranscode(INDEX('GCal-Year'!I$2:I$435,$X26))</f>
        <v/>
      </c>
      <c r="AH26" s="267" t="str">
        <f>GcalTranscode(INDEX('GCal-Year'!J$2:J$435,$X26))</f>
        <v/>
      </c>
      <c r="AI26" s="267" t="str">
        <f>GcalTranscode(INDEX('GCal-Year'!K$2:K$435,$X26))</f>
        <v/>
      </c>
      <c r="AJ26" s="267" t="str">
        <f>GcalTranscode(INDEX('GCal-Year'!L$2:L$435,$X26))</f>
        <v/>
      </c>
      <c r="AK26" s="267" t="str">
        <f>LEFT(INDEX(GCalXMLT[dcaturmasya1],$Y26),6)</f>
        <v/>
      </c>
      <c r="AL26" s="267" t="str">
        <f>RIGHT(INDEX(GCalXMLT[dcaturmasya1],$Y26),8)</f>
        <v/>
      </c>
      <c r="AM26" s="267" t="str">
        <f t="shared" si="10"/>
        <v/>
      </c>
      <c r="AN26" s="267" t="str">
        <f>LEFT(INDEX(GCalXMLT[dcaturmasya2],$Y26),6)</f>
        <v/>
      </c>
      <c r="AO26" s="267" t="str">
        <f>RIGHT(INDEX(GCalXMLT[dcaturmasya2],$Y26),8)</f>
        <v/>
      </c>
      <c r="AP26" s="267" t="str">
        <f>GcalTranscode(INDEX(GCalXMLT[sankrantirasi],$Y26))</f>
        <v/>
      </c>
      <c r="AQ26" s="294" t="str">
        <f>IF(INDEX(GCalXMLT[sankrantitime],$Y26)=0,"",INDEX(GCalXMLT[sankrantitime],$Y26)-Z26)</f>
        <v/>
      </c>
      <c r="AR26" s="265">
        <f t="shared" si="11"/>
        <v>43487</v>
      </c>
      <c r="AS26" t="str">
        <f ca="1">GcalTranscode(INDEX(GCalXMLT[gymasa],$Y26))</f>
        <v>Mādhāva (Māgha)</v>
      </c>
    </row>
    <row r="27" spans="1:45" x14ac:dyDescent="0.25">
      <c r="A27" s="265">
        <f t="shared" si="13"/>
        <v>43489</v>
      </c>
      <c r="B27" s="267" t="str">
        <f ca="1">IFERROR(SUBSTITUTE(SUBSTITUTE(RIGHT(AA27,LEN(AA27)-SEARCH(" (",AA27)),'GCal-Translations'!$B$194,'GCal-Translations'!$C$194,1),'GCal-Translations'!$B$195,'GCal-Translations'!$C$195,1),"")</f>
        <v/>
      </c>
      <c r="C27" s="418" t="str">
        <f>IF(AND(AE27&lt;&gt;"",AF27&lt;&gt;""),SUBSTITUTE(SUBSTITUTE('GCal-Translations'!$C$200,"#start_hour#",AE27),"#end_hour#",AF27),IF(AE27&lt;&gt;"",SUBSTITUTE('GCal-Translations'!$C$199,"#hh:mm#",AE27),""))</f>
        <v/>
      </c>
      <c r="D27" t="str">
        <f t="shared" si="1"/>
        <v/>
      </c>
      <c r="E27" s="267" t="str">
        <f ca="1">IF(AD27="*",'GCal-Translations'!$C$197 &amp; " " &amp; TEXT(AB27,"hh:mm"),"")</f>
        <v/>
      </c>
      <c r="F27" t="str">
        <f t="shared" si="2"/>
        <v/>
      </c>
      <c r="G27" t="str">
        <f t="shared" si="15"/>
        <v/>
      </c>
      <c r="H27" t="str">
        <f t="shared" ca="1" si="7"/>
        <v/>
      </c>
      <c r="I27" s="267" t="str">
        <f>GcalTranscode(INDEX('GCal-Year'!M$2:M$435,$X27))</f>
        <v/>
      </c>
      <c r="J27" s="267" t="str">
        <f>GcalTranscode(INDEX('GCal-Year'!N$2:N$435,$X27))</f>
        <v/>
      </c>
      <c r="K27" s="267" t="str">
        <f>GcalTranscode(INDEX('GCal-Year'!O$2:O$435,$X27))</f>
        <v/>
      </c>
      <c r="L27" s="267" t="str">
        <f>GcalTranscode(INDEX('GCal-Year'!P$2:P$435,$X27))</f>
        <v/>
      </c>
      <c r="M27" s="267" t="str">
        <f>GcalTranscode(INDEX('GCal-Year'!Q$2:Q$435,$X27))</f>
        <v/>
      </c>
      <c r="N27" s="267" t="str">
        <f>GcalTranscode(INDEX('GCal-Year'!R$2:R$435,$X27))</f>
        <v/>
      </c>
      <c r="O27" s="267" t="str">
        <f>GcalTranscode(INDEX('GCal-Year'!S$2:S$435,$X27))</f>
        <v/>
      </c>
      <c r="P27" s="267" t="str">
        <f t="shared" si="4"/>
        <v xml:space="preserve"> </v>
      </c>
      <c r="Q27" s="267" t="str">
        <f t="shared" si="8"/>
        <v/>
      </c>
      <c r="R27" s="267" t="str">
        <f t="shared" si="5"/>
        <v xml:space="preserve"> </v>
      </c>
      <c r="S27" s="267" t="str">
        <f t="shared" si="12"/>
        <v/>
      </c>
      <c r="T27" s="267" t="str">
        <f ca="1">INDEX('GCal-Year'!W$2:W$435,$X27)</f>
        <v/>
      </c>
      <c r="U27" s="267" t="str">
        <f ca="1">INDEX('GCal-Year'!X$2:X$435,$X27)</f>
        <v/>
      </c>
      <c r="V27" s="267" t="str">
        <f ca="1">INDEX('GCal-Year'!Y$2:Y$435,$X27)</f>
        <v/>
      </c>
      <c r="W27" s="267" t="str">
        <f ca="1">INDEX('GCal-Year'!Z$2:Z$435,$X27)</f>
        <v/>
      </c>
      <c r="X27">
        <f t="shared" si="14"/>
        <v>62</v>
      </c>
      <c r="Y27" s="267">
        <f>INDEX('GCal-Year'!D$2:D$435,$X27)</f>
        <v>62</v>
      </c>
      <c r="Z27" s="839">
        <f>INDEX(GCalXMLT[dstoffset],Y27) * TIMEVALUE("01:00:00")</f>
        <v>0</v>
      </c>
      <c r="AA27" s="267" t="str">
        <f>INDEX(GCalXMLT[stithiname],Y27)</f>
        <v>Caturthi</v>
      </c>
      <c r="AB27" s="839">
        <f>INDEX(GCalXMLT[dsunrisetime],$Y27)-Z27</f>
        <v>0.21986111111111109</v>
      </c>
      <c r="AC27" s="267" t="str">
        <f ca="1">INDEX('GCal-Year'!F$2:F$435,$X27)</f>
        <v/>
      </c>
      <c r="AD27" s="267" t="str">
        <f ca="1">INDEX('GCal-Year'!H$2:H$435,$X27)</f>
        <v/>
      </c>
      <c r="AE27" s="267" t="str">
        <f>IF(INDEX(GCalXMLT[paranafrom],$Y27)=0,"",TEXT(INDEX(GCalXMLT[paranafrom],$Y27)-$Z27,"hh:mm"))</f>
        <v/>
      </c>
      <c r="AF27" s="267" t="str">
        <f>IF(INDEX(GCalXMLT[paranato],$Y27)=0,"",TEXT(INDEX(GCalXMLT[paranato],$Y27)-$Z27,"hh:mm"))</f>
        <v/>
      </c>
      <c r="AG27" s="267" t="str">
        <f>GcalTranscode(INDEX('GCal-Year'!I$2:I$435,$X27))</f>
        <v/>
      </c>
      <c r="AH27" s="267" t="str">
        <f>GcalTranscode(INDEX('GCal-Year'!J$2:J$435,$X27))</f>
        <v/>
      </c>
      <c r="AI27" s="267" t="str">
        <f>GcalTranscode(INDEX('GCal-Year'!K$2:K$435,$X27))</f>
        <v/>
      </c>
      <c r="AJ27" s="267" t="str">
        <f>GcalTranscode(INDEX('GCal-Year'!L$2:L$435,$X27))</f>
        <v/>
      </c>
      <c r="AK27" s="267" t="str">
        <f>LEFT(INDEX(GCalXMLT[dcaturmasya1],$Y27),6)</f>
        <v/>
      </c>
      <c r="AL27" s="267" t="str">
        <f>RIGHT(INDEX(GCalXMLT[dcaturmasya1],$Y27),8)</f>
        <v/>
      </c>
      <c r="AM27" s="267" t="str">
        <f t="shared" si="10"/>
        <v/>
      </c>
      <c r="AN27" s="267" t="str">
        <f>LEFT(INDEX(GCalXMLT[dcaturmasya2],$Y27),6)</f>
        <v/>
      </c>
      <c r="AO27" s="267" t="str">
        <f>RIGHT(INDEX(GCalXMLT[dcaturmasya2],$Y27),8)</f>
        <v/>
      </c>
      <c r="AP27" s="267" t="str">
        <f>GcalTranscode(INDEX(GCalXMLT[sankrantirasi],$Y27))</f>
        <v/>
      </c>
      <c r="AQ27" s="294" t="str">
        <f>IF(INDEX(GCalXMLT[sankrantitime],$Y27)=0,"",INDEX(GCalXMLT[sankrantitime],$Y27)-Z27)</f>
        <v/>
      </c>
      <c r="AR27" s="265">
        <f t="shared" si="11"/>
        <v>43488</v>
      </c>
      <c r="AS27" t="str">
        <f ca="1">GcalTranscode(INDEX(GCalXMLT[gymasa],$Y27))</f>
        <v>Mādhāva (Māgha)</v>
      </c>
    </row>
    <row r="28" spans="1:45" x14ac:dyDescent="0.25">
      <c r="A28" s="265">
        <f t="shared" si="13"/>
        <v>43490</v>
      </c>
      <c r="B28" s="267" t="str">
        <f ca="1">IFERROR(SUBSTITUTE(SUBSTITUTE(RIGHT(AA28,LEN(AA28)-SEARCH(" (",AA28)),'GCal-Translations'!$B$194,'GCal-Translations'!$C$194,1),'GCal-Translations'!$B$195,'GCal-Translations'!$C$195,1),"")</f>
        <v/>
      </c>
      <c r="C28" s="418" t="str">
        <f>IF(AND(AE28&lt;&gt;"",AF28&lt;&gt;""),SUBSTITUTE(SUBSTITUTE('GCal-Translations'!$C$200,"#start_hour#",AE28),"#end_hour#",AF28),IF(AE28&lt;&gt;"",SUBSTITUTE('GCal-Translations'!$C$199,"#hh:mm#",AE28),""))</f>
        <v/>
      </c>
      <c r="D28" t="str">
        <f t="shared" si="1"/>
        <v/>
      </c>
      <c r="E28" s="267" t="str">
        <f ca="1">IF(AD28="*",'GCal-Translations'!$C$197 &amp; " " &amp; TEXT(AB28,"hh:mm"),"")</f>
        <v/>
      </c>
      <c r="F28" t="str">
        <f t="shared" si="2"/>
        <v/>
      </c>
      <c r="G28" t="str">
        <f t="shared" si="15"/>
        <v/>
      </c>
      <c r="H28" t="str">
        <f t="shared" ca="1" si="7"/>
        <v/>
      </c>
      <c r="I28" s="267" t="str">
        <f ca="1">GcalTranscode(INDEX('GCal-Year'!M$2:M$435,$X28))</f>
        <v>Sri Ramacandra Kaviraja - Desaparecimento</v>
      </c>
      <c r="J28" s="267" t="str">
        <f ca="1">GcalTranscode(INDEX('GCal-Year'!N$2:N$435,$X28))</f>
        <v>Srila Gopala Bhatta Gosvami - Aparecimento</v>
      </c>
      <c r="K28" s="267" t="str">
        <f>GcalTranscode(INDEX('GCal-Year'!O$2:O$435,$X28))</f>
        <v/>
      </c>
      <c r="L28" s="267" t="str">
        <f>GcalTranscode(INDEX('GCal-Year'!P$2:P$435,$X28))</f>
        <v/>
      </c>
      <c r="M28" s="267" t="str">
        <f>GcalTranscode(INDEX('GCal-Year'!Q$2:Q$435,$X28))</f>
        <v/>
      </c>
      <c r="N28" s="267" t="str">
        <f>GcalTranscode(INDEX('GCal-Year'!R$2:R$435,$X28))</f>
        <v/>
      </c>
      <c r="O28" s="267" t="str">
        <f>GcalTranscode(INDEX('GCal-Year'!S$2:S$435,$X28))</f>
        <v/>
      </c>
      <c r="P28" s="267" t="str">
        <f t="shared" si="4"/>
        <v xml:space="preserve"> </v>
      </c>
      <c r="Q28" s="267" t="str">
        <f t="shared" si="8"/>
        <v/>
      </c>
      <c r="R28" s="267" t="str">
        <f t="shared" si="5"/>
        <v xml:space="preserve"> </v>
      </c>
      <c r="S28" s="267" t="str">
        <f t="shared" si="12"/>
        <v/>
      </c>
      <c r="T28" s="267" t="str">
        <f ca="1">INDEX('GCal-Year'!W$2:W$435,$X28)</f>
        <v/>
      </c>
      <c r="U28" s="267" t="str">
        <f ca="1">INDEX('GCal-Year'!X$2:X$435,$X28)</f>
        <v/>
      </c>
      <c r="V28" s="267" t="str">
        <f ca="1">INDEX('GCal-Year'!Y$2:Y$435,$X28)</f>
        <v/>
      </c>
      <c r="W28" s="267" t="str">
        <f ca="1">INDEX('GCal-Year'!Z$2:Z$435,$X28)</f>
        <v/>
      </c>
      <c r="X28">
        <f t="shared" si="14"/>
        <v>63</v>
      </c>
      <c r="Y28" s="267">
        <f>INDEX('GCal-Year'!D$2:D$435,$X28)</f>
        <v>63</v>
      </c>
      <c r="Z28" s="839">
        <f>INDEX(GCalXMLT[dstoffset],Y28) * TIMEVALUE("01:00:00")</f>
        <v>0</v>
      </c>
      <c r="AA28" s="267" t="str">
        <f>INDEX(GCalXMLT[stithiname],Y28)</f>
        <v>Pancami</v>
      </c>
      <c r="AB28" s="839">
        <f>INDEX(GCalXMLT[dsunrisetime],$Y28)-Z28</f>
        <v>0.22013888888888888</v>
      </c>
      <c r="AC28" s="267" t="str">
        <f ca="1">INDEX('GCal-Year'!F$2:F$435,$X28)</f>
        <v>C</v>
      </c>
      <c r="AD28" s="267" t="str">
        <f ca="1">INDEX('GCal-Year'!H$2:H$435,$X28)</f>
        <v/>
      </c>
      <c r="AE28" s="267" t="str">
        <f>IF(INDEX(GCalXMLT[paranafrom],$Y28)=0,"",TEXT(INDEX(GCalXMLT[paranafrom],$Y28)-$Z28,"hh:mm"))</f>
        <v/>
      </c>
      <c r="AF28" s="267" t="str">
        <f>IF(INDEX(GCalXMLT[paranato],$Y28)=0,"",TEXT(INDEX(GCalXMLT[paranato],$Y28)-$Z28,"hh:mm"))</f>
        <v/>
      </c>
      <c r="AG28" s="267" t="str">
        <f>GcalTranscode(INDEX('GCal-Year'!I$2:I$435,$X28))</f>
        <v/>
      </c>
      <c r="AH28" s="267" t="str">
        <f>GcalTranscode(INDEX('GCal-Year'!J$2:J$435,$X28))</f>
        <v/>
      </c>
      <c r="AI28" s="267" t="str">
        <f>GcalTranscode(INDEX('GCal-Year'!K$2:K$435,$X28))</f>
        <v/>
      </c>
      <c r="AJ28" s="267" t="str">
        <f>GcalTranscode(INDEX('GCal-Year'!L$2:L$435,$X28))</f>
        <v/>
      </c>
      <c r="AK28" s="267" t="str">
        <f>LEFT(INDEX(GCalXMLT[dcaturmasya1],$Y28),6)</f>
        <v/>
      </c>
      <c r="AL28" s="267" t="str">
        <f>RIGHT(INDEX(GCalXMLT[dcaturmasya1],$Y28),8)</f>
        <v/>
      </c>
      <c r="AM28" s="267" t="str">
        <f t="shared" si="10"/>
        <v/>
      </c>
      <c r="AN28" s="267" t="str">
        <f>LEFT(INDEX(GCalXMLT[dcaturmasya2],$Y28),6)</f>
        <v/>
      </c>
      <c r="AO28" s="267" t="str">
        <f>RIGHT(INDEX(GCalXMLT[dcaturmasya2],$Y28),8)</f>
        <v/>
      </c>
      <c r="AP28" s="267" t="str">
        <f>GcalTranscode(INDEX(GCalXMLT[sankrantirasi],$Y28))</f>
        <v/>
      </c>
      <c r="AQ28" s="294" t="str">
        <f>IF(INDEX(GCalXMLT[sankrantitime],$Y28)=0,"",INDEX(GCalXMLT[sankrantitime],$Y28)-Z28)</f>
        <v/>
      </c>
      <c r="AR28" s="265">
        <f t="shared" si="11"/>
        <v>43489</v>
      </c>
      <c r="AS28" t="str">
        <f ca="1">GcalTranscode(INDEX(GCalXMLT[gymasa],$Y28))</f>
        <v>Mādhāva (Māgha)</v>
      </c>
    </row>
    <row r="29" spans="1:45" x14ac:dyDescent="0.25">
      <c r="A29" s="265">
        <f t="shared" si="13"/>
        <v>43491</v>
      </c>
      <c r="B29" s="267" t="str">
        <f ca="1">IFERROR(SUBSTITUTE(SUBSTITUTE(RIGHT(AA29,LEN(AA29)-SEARCH(" (",AA29)),'GCal-Translations'!$B$194,'GCal-Translations'!$C$194,1),'GCal-Translations'!$B$195,'GCal-Translations'!$C$195,1),"")</f>
        <v/>
      </c>
      <c r="C29" s="418" t="str">
        <f>IF(AND(AE29&lt;&gt;"",AF29&lt;&gt;""),SUBSTITUTE(SUBSTITUTE('GCal-Translations'!$C$200,"#start_hour#",AE29),"#end_hour#",AF29),IF(AE29&lt;&gt;"",SUBSTITUTE('GCal-Translations'!$C$199,"#hh:mm#",AE29),""))</f>
        <v/>
      </c>
      <c r="D29" t="str">
        <f t="shared" si="1"/>
        <v/>
      </c>
      <c r="E29" s="267" t="str">
        <f ca="1">IF(AD29="*",'GCal-Translations'!$C$197 &amp; " " &amp; TEXT(AB29,"hh:mm"),"")</f>
        <v/>
      </c>
      <c r="F29" t="str">
        <f t="shared" si="2"/>
        <v/>
      </c>
      <c r="G29" t="str">
        <f t="shared" si="15"/>
        <v/>
      </c>
      <c r="H29" t="str">
        <f t="shared" ca="1" si="7"/>
        <v/>
      </c>
      <c r="I29" s="267" t="str">
        <f ca="1">GcalTranscode(INDEX('GCal-Year'!M$2:M$435,$X29))</f>
        <v>Sri Jayadeva Gosvami - Desaparecimento</v>
      </c>
      <c r="J29" s="267" t="str">
        <f>GcalTranscode(INDEX('GCal-Year'!N$2:N$435,$X29))</f>
        <v/>
      </c>
      <c r="K29" s="267" t="str">
        <f>GcalTranscode(INDEX('GCal-Year'!O$2:O$435,$X29))</f>
        <v/>
      </c>
      <c r="L29" s="267" t="str">
        <f>GcalTranscode(INDEX('GCal-Year'!P$2:P$435,$X29))</f>
        <v/>
      </c>
      <c r="M29" s="267" t="str">
        <f>GcalTranscode(INDEX('GCal-Year'!Q$2:Q$435,$X29))</f>
        <v/>
      </c>
      <c r="N29" s="267" t="str">
        <f>GcalTranscode(INDEX('GCal-Year'!R$2:R$435,$X29))</f>
        <v/>
      </c>
      <c r="O29" s="267" t="str">
        <f>GcalTranscode(INDEX('GCal-Year'!S$2:S$435,$X29))</f>
        <v/>
      </c>
      <c r="P29" s="267" t="str">
        <f t="shared" si="4"/>
        <v xml:space="preserve"> </v>
      </c>
      <c r="Q29" s="267" t="str">
        <f t="shared" si="8"/>
        <v/>
      </c>
      <c r="R29" s="267" t="str">
        <f t="shared" si="5"/>
        <v xml:space="preserve"> </v>
      </c>
      <c r="S29" s="267" t="str">
        <f t="shared" si="12"/>
        <v/>
      </c>
      <c r="T29" s="267" t="str">
        <f ca="1">INDEX('GCal-Year'!W$2:W$435,$X29)</f>
        <v/>
      </c>
      <c r="U29" s="267" t="str">
        <f ca="1">INDEX('GCal-Year'!X$2:X$435,$X29)</f>
        <v/>
      </c>
      <c r="V29" s="267" t="str">
        <f ca="1">INDEX('GCal-Year'!Y$2:Y$435,$X29)</f>
        <v/>
      </c>
      <c r="W29" s="267" t="str">
        <f ca="1">INDEX('GCal-Year'!Z$2:Z$435,$X29)</f>
        <v/>
      </c>
      <c r="X29">
        <f t="shared" si="14"/>
        <v>64</v>
      </c>
      <c r="Y29" s="267">
        <f>INDEX('GCal-Year'!D$2:D$435,$X29)</f>
        <v>64</v>
      </c>
      <c r="Z29" s="839">
        <f>INDEX(GCalXMLT[dstoffset],Y29) * TIMEVALUE("01:00:00")</f>
        <v>0</v>
      </c>
      <c r="AA29" s="267" t="str">
        <f>INDEX(GCalXMLT[stithiname],Y29)</f>
        <v>Sasti</v>
      </c>
      <c r="AB29" s="839">
        <f>INDEX(GCalXMLT[dsunrisetime],$Y29)-Z29</f>
        <v>0.22040509259259258</v>
      </c>
      <c r="AC29" s="267" t="str">
        <f ca="1">INDEX('GCal-Year'!F$2:F$435,$X29)</f>
        <v>C</v>
      </c>
      <c r="AD29" s="267" t="str">
        <f ca="1">INDEX('GCal-Year'!H$2:H$435,$X29)</f>
        <v/>
      </c>
      <c r="AE29" s="267" t="str">
        <f>IF(INDEX(GCalXMLT[paranafrom],$Y29)=0,"",TEXT(INDEX(GCalXMLT[paranafrom],$Y29)-$Z29,"hh:mm"))</f>
        <v/>
      </c>
      <c r="AF29" s="267" t="str">
        <f>IF(INDEX(GCalXMLT[paranato],$Y29)=0,"",TEXT(INDEX(GCalXMLT[paranato],$Y29)-$Z29,"hh:mm"))</f>
        <v/>
      </c>
      <c r="AG29" s="267" t="str">
        <f>GcalTranscode(INDEX('GCal-Year'!I$2:I$435,$X29))</f>
        <v/>
      </c>
      <c r="AH29" s="267" t="str">
        <f>GcalTranscode(INDEX('GCal-Year'!J$2:J$435,$X29))</f>
        <v/>
      </c>
      <c r="AI29" s="267" t="str">
        <f>GcalTranscode(INDEX('GCal-Year'!K$2:K$435,$X29))</f>
        <v/>
      </c>
      <c r="AJ29" s="267" t="str">
        <f>GcalTranscode(INDEX('GCal-Year'!L$2:L$435,$X29))</f>
        <v/>
      </c>
      <c r="AK29" s="267" t="str">
        <f>LEFT(INDEX(GCalXMLT[dcaturmasya1],$Y29),6)</f>
        <v/>
      </c>
      <c r="AL29" s="267" t="str">
        <f>RIGHT(INDEX(GCalXMLT[dcaturmasya1],$Y29),8)</f>
        <v/>
      </c>
      <c r="AM29" s="267" t="str">
        <f t="shared" si="10"/>
        <v/>
      </c>
      <c r="AN29" s="267" t="str">
        <f>LEFT(INDEX(GCalXMLT[dcaturmasya2],$Y29),6)</f>
        <v/>
      </c>
      <c r="AO29" s="267" t="str">
        <f>RIGHT(INDEX(GCalXMLT[dcaturmasya2],$Y29),8)</f>
        <v/>
      </c>
      <c r="AP29" s="267" t="str">
        <f>GcalTranscode(INDEX(GCalXMLT[sankrantirasi],$Y29))</f>
        <v/>
      </c>
      <c r="AQ29" s="294" t="str">
        <f>IF(INDEX(GCalXMLT[sankrantitime],$Y29)=0,"",INDEX(GCalXMLT[sankrantitime],$Y29)-Z29)</f>
        <v/>
      </c>
      <c r="AR29" s="265">
        <f t="shared" si="11"/>
        <v>43490</v>
      </c>
      <c r="AS29" t="str">
        <f ca="1">GcalTranscode(INDEX(GCalXMLT[gymasa],$Y29))</f>
        <v>Mādhāva (Māgha)</v>
      </c>
    </row>
    <row r="30" spans="1:45" x14ac:dyDescent="0.25">
      <c r="A30" s="265">
        <f t="shared" si="13"/>
        <v>43492</v>
      </c>
      <c r="B30" s="267" t="str">
        <f ca="1">IFERROR(SUBSTITUTE(SUBSTITUTE(RIGHT(AA30,LEN(AA30)-SEARCH(" (",AA30)),'GCal-Translations'!$B$194,'GCal-Translations'!$C$194,1),'GCal-Translations'!$B$195,'GCal-Translations'!$C$195,1),"")</f>
        <v/>
      </c>
      <c r="C30" s="418" t="str">
        <f>IF(AND(AE30&lt;&gt;"",AF30&lt;&gt;""),SUBSTITUTE(SUBSTITUTE('GCal-Translations'!$C$200,"#start_hour#",AE30),"#end_hour#",AF30),IF(AE30&lt;&gt;"",SUBSTITUTE('GCal-Translations'!$C$199,"#hh:mm#",AE30),""))</f>
        <v/>
      </c>
      <c r="D30" t="str">
        <f t="shared" si="1"/>
        <v/>
      </c>
      <c r="E30" s="267" t="str">
        <f ca="1">IF(AD30="*",'GCal-Translations'!$C$197 &amp; " " &amp; TEXT(AB30,"hh:mm"),"")</f>
        <v/>
      </c>
      <c r="F30" t="str">
        <f t="shared" si="2"/>
        <v/>
      </c>
      <c r="G30" t="str">
        <f t="shared" si="15"/>
        <v/>
      </c>
      <c r="H30" t="str">
        <f t="shared" ca="1" si="7"/>
        <v/>
      </c>
      <c r="I30" s="267" t="str">
        <f ca="1">GcalTranscode(INDEX('GCal-Year'!M$2:M$435,$X30))</f>
        <v>Sri Locana Dasa Thakura - Desaparecimento</v>
      </c>
      <c r="J30" s="267" t="str">
        <f>GcalTranscode(INDEX('GCal-Year'!N$2:N$435,$X30))</f>
        <v/>
      </c>
      <c r="K30" s="267" t="str">
        <f>GcalTranscode(INDEX('GCal-Year'!O$2:O$435,$X30))</f>
        <v/>
      </c>
      <c r="L30" s="267" t="str">
        <f>GcalTranscode(INDEX('GCal-Year'!P$2:P$435,$X30))</f>
        <v/>
      </c>
      <c r="M30" s="267" t="str">
        <f>GcalTranscode(INDEX('GCal-Year'!Q$2:Q$435,$X30))</f>
        <v/>
      </c>
      <c r="N30" s="267" t="str">
        <f>GcalTranscode(INDEX('GCal-Year'!R$2:R$435,$X30))</f>
        <v/>
      </c>
      <c r="O30" s="267" t="str">
        <f>GcalTranscode(INDEX('GCal-Year'!S$2:S$435,$X30))</f>
        <v/>
      </c>
      <c r="P30" s="267" t="str">
        <f t="shared" si="4"/>
        <v xml:space="preserve"> </v>
      </c>
      <c r="Q30" s="267" t="str">
        <f t="shared" si="8"/>
        <v/>
      </c>
      <c r="R30" s="267" t="str">
        <f t="shared" si="5"/>
        <v xml:space="preserve"> </v>
      </c>
      <c r="S30" s="267" t="str">
        <f t="shared" si="12"/>
        <v/>
      </c>
      <c r="T30" s="267" t="str">
        <f ca="1">INDEX('GCal-Year'!W$2:W$435,$X30)</f>
        <v/>
      </c>
      <c r="U30" s="267" t="str">
        <f ca="1">INDEX('GCal-Year'!X$2:X$435,$X30)</f>
        <v/>
      </c>
      <c r="V30" s="267" t="str">
        <f ca="1">INDEX('GCal-Year'!Y$2:Y$435,$X30)</f>
        <v/>
      </c>
      <c r="W30" s="267" t="str">
        <f ca="1">INDEX('GCal-Year'!Z$2:Z$435,$X30)</f>
        <v/>
      </c>
      <c r="X30">
        <f t="shared" si="14"/>
        <v>65</v>
      </c>
      <c r="Y30" s="267">
        <f>INDEX('GCal-Year'!D$2:D$435,$X30)</f>
        <v>65</v>
      </c>
      <c r="Z30" s="839">
        <f>INDEX(GCalXMLT[dstoffset],Y30) * TIMEVALUE("01:00:00")</f>
        <v>0</v>
      </c>
      <c r="AA30" s="267" t="str">
        <f>INDEX(GCalXMLT[stithiname],Y30)</f>
        <v>Saptami</v>
      </c>
      <c r="AB30" s="839">
        <f>INDEX(GCalXMLT[dsunrisetime],$Y30)-Z30</f>
        <v>0.22067129629629631</v>
      </c>
      <c r="AC30" s="267" t="str">
        <f ca="1">INDEX('GCal-Year'!F$2:F$435,$X30)</f>
        <v>C</v>
      </c>
      <c r="AD30" s="267" t="str">
        <f ca="1">INDEX('GCal-Year'!H$2:H$435,$X30)</f>
        <v/>
      </c>
      <c r="AE30" s="267" t="str">
        <f>IF(INDEX(GCalXMLT[paranafrom],$Y30)=0,"",TEXT(INDEX(GCalXMLT[paranafrom],$Y30)-$Z30,"hh:mm"))</f>
        <v/>
      </c>
      <c r="AF30" s="267" t="str">
        <f>IF(INDEX(GCalXMLT[paranato],$Y30)=0,"",TEXT(INDEX(GCalXMLT[paranato],$Y30)-$Z30,"hh:mm"))</f>
        <v/>
      </c>
      <c r="AG30" s="267" t="str">
        <f>GcalTranscode(INDEX('GCal-Year'!I$2:I$435,$X30))</f>
        <v/>
      </c>
      <c r="AH30" s="267" t="str">
        <f>GcalTranscode(INDEX('GCal-Year'!J$2:J$435,$X30))</f>
        <v/>
      </c>
      <c r="AI30" s="267" t="str">
        <f>GcalTranscode(INDEX('GCal-Year'!K$2:K$435,$X30))</f>
        <v/>
      </c>
      <c r="AJ30" s="267" t="str">
        <f>GcalTranscode(INDEX('GCal-Year'!L$2:L$435,$X30))</f>
        <v/>
      </c>
      <c r="AK30" s="267" t="str">
        <f>LEFT(INDEX(GCalXMLT[dcaturmasya1],$Y30),6)</f>
        <v/>
      </c>
      <c r="AL30" s="267" t="str">
        <f>RIGHT(INDEX(GCalXMLT[dcaturmasya1],$Y30),8)</f>
        <v/>
      </c>
      <c r="AM30" s="267" t="str">
        <f t="shared" si="10"/>
        <v/>
      </c>
      <c r="AN30" s="267" t="str">
        <f>LEFT(INDEX(GCalXMLT[dcaturmasya2],$Y30),6)</f>
        <v/>
      </c>
      <c r="AO30" s="267" t="str">
        <f>RIGHT(INDEX(GCalXMLT[dcaturmasya2],$Y30),8)</f>
        <v/>
      </c>
      <c r="AP30" s="267" t="str">
        <f>GcalTranscode(INDEX(GCalXMLT[sankrantirasi],$Y30))</f>
        <v/>
      </c>
      <c r="AQ30" s="294" t="str">
        <f>IF(INDEX(GCalXMLT[sankrantitime],$Y30)=0,"",INDEX(GCalXMLT[sankrantitime],$Y30)-Z30)</f>
        <v/>
      </c>
      <c r="AR30" s="265">
        <f t="shared" si="11"/>
        <v>43491</v>
      </c>
      <c r="AS30" t="str">
        <f ca="1">GcalTranscode(INDEX(GCalXMLT[gymasa],$Y30))</f>
        <v>Mādhāva (Māgha)</v>
      </c>
    </row>
    <row r="31" spans="1:45" x14ac:dyDescent="0.25">
      <c r="A31" s="265">
        <f t="shared" si="13"/>
        <v>43493</v>
      </c>
      <c r="B31" s="267" t="str">
        <f ca="1">IFERROR(SUBSTITUTE(SUBSTITUTE(RIGHT(AA31,LEN(AA31)-SEARCH(" (",AA31)),'GCal-Translations'!$B$194,'GCal-Translations'!$C$194,1),'GCal-Translations'!$B$195,'GCal-Translations'!$C$195,1),"")</f>
        <v/>
      </c>
      <c r="C31" s="418" t="str">
        <f>IF(AND(AE31&lt;&gt;"",AF31&lt;&gt;""),SUBSTITUTE(SUBSTITUTE('GCal-Translations'!$C$200,"#start_hour#",AE31),"#end_hour#",AF31),IF(AE31&lt;&gt;"",SUBSTITUTE('GCal-Translations'!$C$199,"#hh:mm#",AE31),""))</f>
        <v/>
      </c>
      <c r="D31" t="str">
        <f t="shared" si="1"/>
        <v/>
      </c>
      <c r="E31" s="267" t="str">
        <f ca="1">IF(AD31="*",'GCal-Translations'!$C$197 &amp; " " &amp; TEXT(AB31,"hh:mm"),"")</f>
        <v/>
      </c>
      <c r="F31" t="str">
        <f t="shared" si="2"/>
        <v/>
      </c>
      <c r="G31" t="str">
        <f t="shared" si="15"/>
        <v/>
      </c>
      <c r="H31" t="str">
        <f t="shared" ca="1" si="7"/>
        <v/>
      </c>
      <c r="I31" s="267" t="str">
        <f>GcalTranscode(INDEX('GCal-Year'!M$2:M$435,$X31))</f>
        <v/>
      </c>
      <c r="J31" s="267" t="str">
        <f>GcalTranscode(INDEX('GCal-Year'!N$2:N$435,$X31))</f>
        <v/>
      </c>
      <c r="K31" s="267" t="str">
        <f>GcalTranscode(INDEX('GCal-Year'!O$2:O$435,$X31))</f>
        <v/>
      </c>
      <c r="L31" s="267" t="str">
        <f>GcalTranscode(INDEX('GCal-Year'!P$2:P$435,$X31))</f>
        <v/>
      </c>
      <c r="M31" s="267" t="str">
        <f>GcalTranscode(INDEX('GCal-Year'!Q$2:Q$435,$X31))</f>
        <v/>
      </c>
      <c r="N31" s="267" t="str">
        <f>GcalTranscode(INDEX('GCal-Year'!R$2:R$435,$X31))</f>
        <v/>
      </c>
      <c r="O31" s="267" t="str">
        <f>GcalTranscode(INDEX('GCal-Year'!S$2:S$435,$X31))</f>
        <v/>
      </c>
      <c r="P31" s="267" t="str">
        <f t="shared" si="4"/>
        <v xml:space="preserve"> </v>
      </c>
      <c r="Q31" s="267" t="str">
        <f t="shared" si="8"/>
        <v/>
      </c>
      <c r="R31" s="267" t="str">
        <f t="shared" si="5"/>
        <v xml:space="preserve"> </v>
      </c>
      <c r="S31" s="267" t="str">
        <f t="shared" si="12"/>
        <v/>
      </c>
      <c r="T31" s="267" t="str">
        <f ca="1">INDEX('GCal-Year'!W$2:W$435,$X31)</f>
        <v/>
      </c>
      <c r="U31" s="267" t="str">
        <f ca="1">INDEX('GCal-Year'!X$2:X$435,$X31)</f>
        <v/>
      </c>
      <c r="V31" s="267" t="str">
        <f ca="1">INDEX('GCal-Year'!Y$2:Y$435,$X31)</f>
        <v/>
      </c>
      <c r="W31" s="267" t="str">
        <f ca="1">INDEX('GCal-Year'!Z$2:Z$435,$X31)</f>
        <v/>
      </c>
      <c r="X31">
        <f t="shared" si="14"/>
        <v>66</v>
      </c>
      <c r="Y31" s="267">
        <f>INDEX('GCal-Year'!D$2:D$435,$X31)</f>
        <v>66</v>
      </c>
      <c r="Z31" s="839">
        <f>INDEX(GCalXMLT[dstoffset],Y31) * TIMEVALUE("01:00:00")</f>
        <v>0</v>
      </c>
      <c r="AA31" s="267" t="str">
        <f>INDEX(GCalXMLT[stithiname],Y31)</f>
        <v>Astami</v>
      </c>
      <c r="AB31" s="839">
        <f>INDEX(GCalXMLT[dsunrisetime],$Y31)-Z31</f>
        <v>0.22092592592592594</v>
      </c>
      <c r="AC31" s="267" t="str">
        <f ca="1">INDEX('GCal-Year'!F$2:F$435,$X31)</f>
        <v/>
      </c>
      <c r="AD31" s="267" t="str">
        <f ca="1">INDEX('GCal-Year'!H$2:H$435,$X31)</f>
        <v/>
      </c>
      <c r="AE31" s="267" t="str">
        <f>IF(INDEX(GCalXMLT[paranafrom],$Y31)=0,"",TEXT(INDEX(GCalXMLT[paranafrom],$Y31)-$Z31,"hh:mm"))</f>
        <v/>
      </c>
      <c r="AF31" s="267" t="str">
        <f>IF(INDEX(GCalXMLT[paranato],$Y31)=0,"",TEXT(INDEX(GCalXMLT[paranato],$Y31)-$Z31,"hh:mm"))</f>
        <v/>
      </c>
      <c r="AG31" s="267" t="str">
        <f>GcalTranscode(INDEX('GCal-Year'!I$2:I$435,$X31))</f>
        <v/>
      </c>
      <c r="AH31" s="267" t="str">
        <f>GcalTranscode(INDEX('GCal-Year'!J$2:J$435,$X31))</f>
        <v/>
      </c>
      <c r="AI31" s="267" t="str">
        <f>GcalTranscode(INDEX('GCal-Year'!K$2:K$435,$X31))</f>
        <v/>
      </c>
      <c r="AJ31" s="267" t="str">
        <f>GcalTranscode(INDEX('GCal-Year'!L$2:L$435,$X31))</f>
        <v/>
      </c>
      <c r="AK31" s="267" t="str">
        <f>LEFT(INDEX(GCalXMLT[dcaturmasya1],$Y31),6)</f>
        <v/>
      </c>
      <c r="AL31" s="267" t="str">
        <f>RIGHT(INDEX(GCalXMLT[dcaturmasya1],$Y31),8)</f>
        <v/>
      </c>
      <c r="AM31" s="267" t="str">
        <f t="shared" si="10"/>
        <v/>
      </c>
      <c r="AN31" s="267" t="str">
        <f>LEFT(INDEX(GCalXMLT[dcaturmasya2],$Y31),6)</f>
        <v/>
      </c>
      <c r="AO31" s="267" t="str">
        <f>RIGHT(INDEX(GCalXMLT[dcaturmasya2],$Y31),8)</f>
        <v/>
      </c>
      <c r="AP31" s="267" t="str">
        <f>GcalTranscode(INDEX(GCalXMLT[sankrantirasi],$Y31))</f>
        <v/>
      </c>
      <c r="AQ31" s="294" t="str">
        <f>IF(INDEX(GCalXMLT[sankrantitime],$Y31)=0,"",INDEX(GCalXMLT[sankrantitime],$Y31)-Z31)</f>
        <v/>
      </c>
      <c r="AR31" s="265">
        <f t="shared" si="11"/>
        <v>43492</v>
      </c>
      <c r="AS31" t="str">
        <f ca="1">GcalTranscode(INDEX(GCalXMLT[gymasa],$Y31))</f>
        <v>Mādhāva (Māgha)</v>
      </c>
    </row>
    <row r="32" spans="1:45" x14ac:dyDescent="0.25">
      <c r="A32" s="265">
        <f t="shared" si="13"/>
        <v>43494</v>
      </c>
      <c r="B32" s="267" t="str">
        <f ca="1">IFERROR(SUBSTITUTE(SUBSTITUTE(RIGHT(AA32,LEN(AA32)-SEARCH(" (",AA32)),'GCal-Translations'!$B$194,'GCal-Translations'!$C$194,1),'GCal-Translations'!$B$195,'GCal-Translations'!$C$195,1),"")</f>
        <v/>
      </c>
      <c r="C32" s="418" t="str">
        <f>IF(AND(AE32&lt;&gt;"",AF32&lt;&gt;""),SUBSTITUTE(SUBSTITUTE('GCal-Translations'!$C$200,"#start_hour#",AE32),"#end_hour#",AF32),IF(AE32&lt;&gt;"",SUBSTITUTE('GCal-Translations'!$C$199,"#hh:mm#",AE32),""))</f>
        <v/>
      </c>
      <c r="D32" t="str">
        <f t="shared" si="1"/>
        <v/>
      </c>
      <c r="E32" s="267" t="str">
        <f ca="1">IF(AD32="*",'GCal-Translations'!$C$197 &amp; " " &amp; TEXT(AB32,"hh:mm"),"")</f>
        <v/>
      </c>
      <c r="F32" t="str">
        <f t="shared" si="2"/>
        <v/>
      </c>
      <c r="G32" t="str">
        <f t="shared" si="15"/>
        <v/>
      </c>
      <c r="H32" t="str">
        <f t="shared" ca="1" si="7"/>
        <v/>
      </c>
      <c r="I32" s="267" t="str">
        <f>GcalTranscode(INDEX('GCal-Year'!M$2:M$435,$X32))</f>
        <v/>
      </c>
      <c r="J32" s="267" t="str">
        <f>GcalTranscode(INDEX('GCal-Year'!N$2:N$435,$X32))</f>
        <v/>
      </c>
      <c r="K32" s="267" t="str">
        <f>GcalTranscode(INDEX('GCal-Year'!O$2:O$435,$X32))</f>
        <v/>
      </c>
      <c r="L32" s="267" t="str">
        <f>GcalTranscode(INDEX('GCal-Year'!P$2:P$435,$X32))</f>
        <v/>
      </c>
      <c r="M32" s="267" t="str">
        <f>GcalTranscode(INDEX('GCal-Year'!Q$2:Q$435,$X32))</f>
        <v/>
      </c>
      <c r="N32" s="267" t="str">
        <f>GcalTranscode(INDEX('GCal-Year'!R$2:R$435,$X32))</f>
        <v/>
      </c>
      <c r="O32" s="267" t="str">
        <f>GcalTranscode(INDEX('GCal-Year'!S$2:S$435,$X32))</f>
        <v/>
      </c>
      <c r="P32" s="267" t="str">
        <f t="shared" si="4"/>
        <v xml:space="preserve"> </v>
      </c>
      <c r="Q32" s="267" t="str">
        <f t="shared" si="8"/>
        <v/>
      </c>
      <c r="R32" s="267" t="str">
        <f t="shared" si="5"/>
        <v xml:space="preserve"> </v>
      </c>
      <c r="S32" s="267" t="str">
        <f t="shared" si="12"/>
        <v/>
      </c>
      <c r="T32" s="267" t="str">
        <f ca="1">INDEX('GCal-Year'!W$2:W$435,$X32)</f>
        <v/>
      </c>
      <c r="U32" s="267" t="str">
        <f ca="1">INDEX('GCal-Year'!X$2:X$435,$X32)</f>
        <v/>
      </c>
      <c r="V32" s="267" t="str">
        <f ca="1">INDEX('GCal-Year'!Y$2:Y$435,$X32)</f>
        <v/>
      </c>
      <c r="W32" s="267" t="str">
        <f ca="1">INDEX('GCal-Year'!Z$2:Z$435,$X32)</f>
        <v/>
      </c>
      <c r="X32">
        <f t="shared" si="14"/>
        <v>67</v>
      </c>
      <c r="Y32" s="267">
        <f>INDEX('GCal-Year'!D$2:D$435,$X32)</f>
        <v>67</v>
      </c>
      <c r="Z32" s="839">
        <f>INDEX(GCalXMLT[dstoffset],Y32) * TIMEVALUE("01:00:00")</f>
        <v>0</v>
      </c>
      <c r="AA32" s="267" t="str">
        <f>INDEX(GCalXMLT[stithiname],Y32)</f>
        <v>Navami</v>
      </c>
      <c r="AB32" s="839">
        <f>INDEX(GCalXMLT[dsunrisetime],$Y32)-Z32</f>
        <v>0.22116898148148148</v>
      </c>
      <c r="AC32" s="267" t="str">
        <f ca="1">INDEX('GCal-Year'!F$2:F$435,$X32)</f>
        <v/>
      </c>
      <c r="AD32" s="267" t="str">
        <f ca="1">INDEX('GCal-Year'!H$2:H$435,$X32)</f>
        <v/>
      </c>
      <c r="AE32" s="267" t="str">
        <f>IF(INDEX(GCalXMLT[paranafrom],$Y32)=0,"",TEXT(INDEX(GCalXMLT[paranafrom],$Y32)-$Z32,"hh:mm"))</f>
        <v/>
      </c>
      <c r="AF32" s="267" t="str">
        <f>IF(INDEX(GCalXMLT[paranato],$Y32)=0,"",TEXT(INDEX(GCalXMLT[paranato],$Y32)-$Z32,"hh:mm"))</f>
        <v/>
      </c>
      <c r="AG32" s="267" t="str">
        <f>GcalTranscode(INDEX('GCal-Year'!I$2:I$435,$X32))</f>
        <v/>
      </c>
      <c r="AH32" s="267" t="str">
        <f>GcalTranscode(INDEX('GCal-Year'!J$2:J$435,$X32))</f>
        <v/>
      </c>
      <c r="AI32" s="267" t="str">
        <f>GcalTranscode(INDEX('GCal-Year'!K$2:K$435,$X32))</f>
        <v/>
      </c>
      <c r="AJ32" s="267" t="str">
        <f>GcalTranscode(INDEX('GCal-Year'!L$2:L$435,$X32))</f>
        <v/>
      </c>
      <c r="AK32" s="267" t="str">
        <f>LEFT(INDEX(GCalXMLT[dcaturmasya1],$Y32),6)</f>
        <v/>
      </c>
      <c r="AL32" s="267" t="str">
        <f>RIGHT(INDEX(GCalXMLT[dcaturmasya1],$Y32),8)</f>
        <v/>
      </c>
      <c r="AM32" s="267" t="str">
        <f t="shared" si="10"/>
        <v/>
      </c>
      <c r="AN32" s="267" t="str">
        <f>LEFT(INDEX(GCalXMLT[dcaturmasya2],$Y32),6)</f>
        <v/>
      </c>
      <c r="AO32" s="267" t="str">
        <f>RIGHT(INDEX(GCalXMLT[dcaturmasya2],$Y32),8)</f>
        <v/>
      </c>
      <c r="AP32" s="267" t="str">
        <f>GcalTranscode(INDEX(GCalXMLT[sankrantirasi],$Y32))</f>
        <v/>
      </c>
      <c r="AQ32" s="294" t="str">
        <f>IF(INDEX(GCalXMLT[sankrantitime],$Y32)=0,"",INDEX(GCalXMLT[sankrantitime],$Y32)-Z32)</f>
        <v/>
      </c>
      <c r="AR32" s="265">
        <f t="shared" si="11"/>
        <v>43493</v>
      </c>
      <c r="AS32" t="str">
        <f ca="1">GcalTranscode(INDEX(GCalXMLT[gymasa],$Y32))</f>
        <v>Mādhāva (Māgha)</v>
      </c>
    </row>
    <row r="33" spans="1:45" x14ac:dyDescent="0.25">
      <c r="A33" s="265">
        <f t="shared" si="13"/>
        <v>43495</v>
      </c>
      <c r="B33" s="267" t="str">
        <f ca="1">IFERROR(SUBSTITUTE(SUBSTITUTE(RIGHT(AA33,LEN(AA33)-SEARCH(" (",AA33)),'GCal-Translations'!$B$194,'GCal-Translations'!$C$194,1),'GCal-Translations'!$B$195,'GCal-Translations'!$C$195,1),"")</f>
        <v/>
      </c>
      <c r="C33" s="418" t="str">
        <f>IF(AND(AE33&lt;&gt;"",AF33&lt;&gt;""),SUBSTITUTE(SUBSTITUTE('GCal-Translations'!$C$200,"#start_hour#",AE33),"#end_hour#",AF33),IF(AE33&lt;&gt;"",SUBSTITUTE('GCal-Translations'!$C$199,"#hh:mm#",AE33),""))</f>
        <v/>
      </c>
      <c r="D33" t="str">
        <f t="shared" si="1"/>
        <v/>
      </c>
      <c r="E33" s="267" t="str">
        <f ca="1">IF(AD33="*",'GCal-Translations'!$C$197 &amp; " " &amp; TEXT(AB33,"hh:mm"),"")</f>
        <v/>
      </c>
      <c r="F33" t="str">
        <f t="shared" si="2"/>
        <v/>
      </c>
      <c r="G33" t="str">
        <f t="shared" si="15"/>
        <v/>
      </c>
      <c r="H33" t="str">
        <f t="shared" ca="1" si="7"/>
        <v/>
      </c>
      <c r="I33" s="267" t="str">
        <f>GcalTranscode(INDEX('GCal-Year'!M$2:M$435,$X33))</f>
        <v/>
      </c>
      <c r="J33" s="267" t="str">
        <f>GcalTranscode(INDEX('GCal-Year'!N$2:N$435,$X33))</f>
        <v/>
      </c>
      <c r="K33" s="267" t="str">
        <f>GcalTranscode(INDEX('GCal-Year'!O$2:O$435,$X33))</f>
        <v/>
      </c>
      <c r="L33" s="267" t="str">
        <f>GcalTranscode(INDEX('GCal-Year'!P$2:P$435,$X33))</f>
        <v/>
      </c>
      <c r="M33" s="267" t="str">
        <f>GcalTranscode(INDEX('GCal-Year'!Q$2:Q$435,$X33))</f>
        <v/>
      </c>
      <c r="N33" s="267" t="str">
        <f>GcalTranscode(INDEX('GCal-Year'!R$2:R$435,$X33))</f>
        <v/>
      </c>
      <c r="O33" s="267" t="str">
        <f>GcalTranscode(INDEX('GCal-Year'!S$2:S$435,$X33))</f>
        <v/>
      </c>
      <c r="P33" s="267" t="str">
        <f t="shared" si="4"/>
        <v xml:space="preserve"> </v>
      </c>
      <c r="Q33" s="267" t="str">
        <f t="shared" si="8"/>
        <v/>
      </c>
      <c r="R33" s="267" t="str">
        <f t="shared" si="5"/>
        <v xml:space="preserve"> </v>
      </c>
      <c r="S33" s="267" t="str">
        <f t="shared" si="12"/>
        <v/>
      </c>
      <c r="T33" s="267" t="str">
        <f ca="1">INDEX('GCal-Year'!W$2:W$435,$X33)</f>
        <v/>
      </c>
      <c r="U33" s="267" t="str">
        <f ca="1">INDEX('GCal-Year'!X$2:X$435,$X33)</f>
        <v/>
      </c>
      <c r="V33" s="267" t="str">
        <f ca="1">INDEX('GCal-Year'!Y$2:Y$435,$X33)</f>
        <v/>
      </c>
      <c r="W33" s="267" t="str">
        <f ca="1">INDEX('GCal-Year'!Z$2:Z$435,$X33)</f>
        <v/>
      </c>
      <c r="X33">
        <f t="shared" si="14"/>
        <v>68</v>
      </c>
      <c r="Y33" s="267">
        <f>INDEX('GCal-Year'!D$2:D$435,$X33)</f>
        <v>68</v>
      </c>
      <c r="Z33" s="839">
        <f>INDEX(GCalXMLT[dstoffset],Y33) * TIMEVALUE("01:00:00")</f>
        <v>0</v>
      </c>
      <c r="AA33" s="267" t="str">
        <f>INDEX(GCalXMLT[stithiname],Y33)</f>
        <v>Dasami</v>
      </c>
      <c r="AB33" s="839">
        <f>INDEX(GCalXMLT[dsunrisetime],$Y33)-Z33</f>
        <v>0.22141203703703705</v>
      </c>
      <c r="AC33" s="267" t="str">
        <f ca="1">INDEX('GCal-Year'!F$2:F$435,$X33)</f>
        <v/>
      </c>
      <c r="AD33" s="267" t="str">
        <f ca="1">INDEX('GCal-Year'!H$2:H$435,$X33)</f>
        <v/>
      </c>
      <c r="AE33" s="267" t="str">
        <f>IF(INDEX(GCalXMLT[paranafrom],$Y33)=0,"",TEXT(INDEX(GCalXMLT[paranafrom],$Y33)-$Z33,"hh:mm"))</f>
        <v/>
      </c>
      <c r="AF33" s="267" t="str">
        <f>IF(INDEX(GCalXMLT[paranato],$Y33)=0,"",TEXT(INDEX(GCalXMLT[paranato],$Y33)-$Z33,"hh:mm"))</f>
        <v/>
      </c>
      <c r="AG33" s="267" t="str">
        <f>GcalTranscode(INDEX('GCal-Year'!I$2:I$435,$X33))</f>
        <v/>
      </c>
      <c r="AH33" s="267" t="str">
        <f>GcalTranscode(INDEX('GCal-Year'!J$2:J$435,$X33))</f>
        <v/>
      </c>
      <c r="AI33" s="267" t="str">
        <f>GcalTranscode(INDEX('GCal-Year'!K$2:K$435,$X33))</f>
        <v/>
      </c>
      <c r="AJ33" s="267" t="str">
        <f>GcalTranscode(INDEX('GCal-Year'!L$2:L$435,$X33))</f>
        <v/>
      </c>
      <c r="AK33" s="267" t="str">
        <f>LEFT(INDEX(GCalXMLT[dcaturmasya1],$Y33),6)</f>
        <v/>
      </c>
      <c r="AL33" s="267" t="str">
        <f>RIGHT(INDEX(GCalXMLT[dcaturmasya1],$Y33),8)</f>
        <v/>
      </c>
      <c r="AM33" s="267" t="str">
        <f t="shared" si="10"/>
        <v/>
      </c>
      <c r="AN33" s="267" t="str">
        <f>LEFT(INDEX(GCalXMLT[dcaturmasya2],$Y33),6)</f>
        <v/>
      </c>
      <c r="AO33" s="267" t="str">
        <f>RIGHT(INDEX(GCalXMLT[dcaturmasya2],$Y33),8)</f>
        <v/>
      </c>
      <c r="AP33" s="267" t="str">
        <f>GcalTranscode(INDEX(GCalXMLT[sankrantirasi],$Y33))</f>
        <v/>
      </c>
      <c r="AQ33" s="294" t="str">
        <f>IF(INDEX(GCalXMLT[sankrantitime],$Y33)=0,"",INDEX(GCalXMLT[sankrantitime],$Y33)-Z33)</f>
        <v/>
      </c>
      <c r="AR33" s="265">
        <f t="shared" si="11"/>
        <v>43494</v>
      </c>
      <c r="AS33" t="str">
        <f ca="1">GcalTranscode(INDEX(GCalXMLT[gymasa],$Y33))</f>
        <v>Mādhāva (Māgha)</v>
      </c>
    </row>
    <row r="34" spans="1:45" x14ac:dyDescent="0.25">
      <c r="A34" s="265">
        <f t="shared" si="13"/>
        <v>43496</v>
      </c>
      <c r="B34" s="267" t="str">
        <f ca="1">IFERROR(SUBSTITUTE(SUBSTITUTE(RIGHT(AA34,LEN(AA34)-SEARCH(" (",AA34)),'GCal-Translations'!$B$194,'GCal-Translations'!$C$194,1),'GCal-Translations'!$B$195,'GCal-Translations'!$C$195,1),"")</f>
        <v>(adequado para jejum)</v>
      </c>
      <c r="C34" s="418" t="str">
        <f>IF(AND(AE34&lt;&gt;"",AF34&lt;&gt;""),SUBSTITUTE(SUBSTITUTE('GCal-Translations'!$C$200,"#start_hour#",AE34),"#end_hour#",AF34),IF(AE34&lt;&gt;"",SUBSTITUTE('GCal-Translations'!$C$199,"#hh:mm#",AE34),""))</f>
        <v/>
      </c>
      <c r="D34" t="str">
        <f t="shared" ca="1" si="1"/>
        <v>Jejum por Sat-tila Ekadasi</v>
      </c>
      <c r="E34" s="267" t="str">
        <f ca="1">IF(AD34="*",'GCal-Translations'!$C$197 &amp; " " &amp; TEXT(AB34,"hh:mm"),"")</f>
        <v>Jejum começa às 05:19</v>
      </c>
      <c r="F34" t="str">
        <f t="shared" si="2"/>
        <v/>
      </c>
      <c r="G34" t="str">
        <f t="shared" si="15"/>
        <v/>
      </c>
      <c r="H34" t="str">
        <f t="shared" ca="1" si="7"/>
        <v/>
      </c>
      <c r="I34" s="267" t="str">
        <f>GcalTranscode(INDEX('GCal-Year'!M$2:M$435,$X34))</f>
        <v/>
      </c>
      <c r="J34" s="267" t="str">
        <f>GcalTranscode(INDEX('GCal-Year'!N$2:N$435,$X34))</f>
        <v/>
      </c>
      <c r="K34" s="267" t="str">
        <f>GcalTranscode(INDEX('GCal-Year'!O$2:O$435,$X34))</f>
        <v/>
      </c>
      <c r="L34" s="267" t="str">
        <f>GcalTranscode(INDEX('GCal-Year'!P$2:P$435,$X34))</f>
        <v/>
      </c>
      <c r="M34" s="267" t="str">
        <f>GcalTranscode(INDEX('GCal-Year'!Q$2:Q$435,$X34))</f>
        <v/>
      </c>
      <c r="N34" s="267" t="str">
        <f>GcalTranscode(INDEX('GCal-Year'!R$2:R$435,$X34))</f>
        <v/>
      </c>
      <c r="O34" s="267" t="str">
        <f>GcalTranscode(INDEX('GCal-Year'!S$2:S$435,$X34))</f>
        <v/>
      </c>
      <c r="P34" s="267" t="str">
        <f t="shared" si="4"/>
        <v xml:space="preserve"> </v>
      </c>
      <c r="Q34" s="267" t="str">
        <f t="shared" si="8"/>
        <v/>
      </c>
      <c r="R34" s="267" t="str">
        <f t="shared" si="5"/>
        <v xml:space="preserve"> </v>
      </c>
      <c r="S34" s="267" t="str">
        <f t="shared" si="12"/>
        <v/>
      </c>
      <c r="T34" s="267" t="str">
        <f ca="1">INDEX('GCal-Year'!W$2:W$435,$X34)</f>
        <v/>
      </c>
      <c r="U34" s="267" t="str">
        <f ca="1">INDEX('GCal-Year'!X$2:X$435,$X34)</f>
        <v/>
      </c>
      <c r="V34" s="267" t="str">
        <f ca="1">INDEX('GCal-Year'!Y$2:Y$435,$X34)</f>
        <v/>
      </c>
      <c r="W34" s="267" t="str">
        <f ca="1">INDEX('GCal-Year'!Z$2:Z$435,$X34)</f>
        <v/>
      </c>
      <c r="X34">
        <f t="shared" si="14"/>
        <v>69</v>
      </c>
      <c r="Y34" s="267">
        <f>INDEX('GCal-Year'!D$2:D$435,$X34)</f>
        <v>69</v>
      </c>
      <c r="Z34" s="839">
        <f>INDEX(GCalXMLT[dstoffset],Y34) * TIMEVALUE("01:00:00")</f>
        <v>0</v>
      </c>
      <c r="AA34" s="267" t="str">
        <f>INDEX(GCalXMLT[stithiname],Y34)</f>
        <v>Ekadasi (suitable for fasting)</v>
      </c>
      <c r="AB34" s="839">
        <f>INDEX(GCalXMLT[dsunrisetime],$Y34)-Z34</f>
        <v>0.22164351851851852</v>
      </c>
      <c r="AC34" s="267" t="str">
        <f ca="1">INDEX('GCal-Year'!F$2:F$435,$X34)</f>
        <v>E</v>
      </c>
      <c r="AD34" s="267" t="str">
        <f ca="1">INDEX('GCal-Year'!H$2:H$435,$X34)</f>
        <v>*</v>
      </c>
      <c r="AE34" s="267" t="str">
        <f>IF(INDEX(GCalXMLT[paranafrom],$Y34)=0,"",TEXT(INDEX(GCalXMLT[paranafrom],$Y34)-$Z34,"hh:mm"))</f>
        <v/>
      </c>
      <c r="AF34" s="267" t="str">
        <f>IF(INDEX(GCalXMLT[paranato],$Y34)=0,"",TEXT(INDEX(GCalXMLT[paranato],$Y34)-$Z34,"hh:mm"))</f>
        <v/>
      </c>
      <c r="AG34" s="267" t="str">
        <f ca="1">GcalTranscode(INDEX('GCal-Year'!I$2:I$435,$X34))</f>
        <v>Jejum por Sat-tila Ekadasi</v>
      </c>
      <c r="AH34" s="267" t="str">
        <f>GcalTranscode(INDEX('GCal-Year'!J$2:J$435,$X34))</f>
        <v/>
      </c>
      <c r="AI34" s="267" t="str">
        <f>GcalTranscode(INDEX('GCal-Year'!K$2:K$435,$X34))</f>
        <v/>
      </c>
      <c r="AJ34" s="267" t="str">
        <f>GcalTranscode(INDEX('GCal-Year'!L$2:L$435,$X34))</f>
        <v/>
      </c>
      <c r="AK34" s="267" t="str">
        <f>LEFT(INDEX(GCalXMLT[dcaturmasya1],$Y34),6)</f>
        <v/>
      </c>
      <c r="AL34" s="267" t="str">
        <f>RIGHT(INDEX(GCalXMLT[dcaturmasya1],$Y34),8)</f>
        <v/>
      </c>
      <c r="AM34" s="267" t="str">
        <f t="shared" si="10"/>
        <v/>
      </c>
      <c r="AN34" s="267" t="str">
        <f>LEFT(INDEX(GCalXMLT[dcaturmasya2],$Y34),6)</f>
        <v/>
      </c>
      <c r="AO34" s="267" t="str">
        <f>RIGHT(INDEX(GCalXMLT[dcaturmasya2],$Y34),8)</f>
        <v/>
      </c>
      <c r="AP34" s="267" t="str">
        <f>GcalTranscode(INDEX(GCalXMLT[sankrantirasi],$Y34))</f>
        <v/>
      </c>
      <c r="AQ34" s="294" t="str">
        <f>IF(INDEX(GCalXMLT[sankrantitime],$Y34)=0,"",INDEX(GCalXMLT[sankrantitime],$Y34)-Z34)</f>
        <v/>
      </c>
      <c r="AR34" s="265">
        <f t="shared" si="11"/>
        <v>43495</v>
      </c>
      <c r="AS34" t="str">
        <f ca="1">GcalTranscode(INDEX(GCalXMLT[gymasa],$Y34))</f>
        <v>Mādhāva (Māgha)</v>
      </c>
    </row>
    <row r="35" spans="1:45" x14ac:dyDescent="0.25">
      <c r="A35" s="265">
        <f t="shared" si="13"/>
        <v>43497</v>
      </c>
      <c r="B35" s="267" t="str">
        <f ca="1">IFERROR(SUBSTITUTE(SUBSTITUTE(RIGHT(AA35,LEN(AA35)-SEARCH(" (",AA35)),'GCal-Translations'!$B$194,'GCal-Translations'!$C$194,1),'GCal-Translations'!$B$195,'GCal-Translations'!$C$195,1),"")</f>
        <v/>
      </c>
      <c r="C35" s="418" t="str">
        <f ca="1">IF(AND(AE35&lt;&gt;"",AF35&lt;&gt;""),SUBSTITUTE(SUBSTITUTE('GCal-Translations'!$C$200,"#start_hour#",AE35),"#end_hour#",AF35),IF(AE35&lt;&gt;"",SUBSTITUTE('GCal-Translations'!$C$199,"#hh:mm#",AE35),""))</f>
        <v>Quebra de jejum 05:19 - 09:28 (hora local)</v>
      </c>
      <c r="D35" t="str">
        <f t="shared" si="1"/>
        <v/>
      </c>
      <c r="E35" s="267" t="str">
        <f ca="1">IF(AD35="*",'GCal-Translations'!$C$197 &amp; " " &amp; TEXT(AB35,"hh:mm"),"")</f>
        <v/>
      </c>
      <c r="F35" t="str">
        <f t="shared" si="2"/>
        <v/>
      </c>
      <c r="G35" t="str">
        <f t="shared" si="15"/>
        <v/>
      </c>
      <c r="H35" t="str">
        <f t="shared" ca="1" si="7"/>
        <v/>
      </c>
      <c r="I35" s="267" t="str">
        <f>GcalTranscode(INDEX('GCal-Year'!M$2:M$435,$X35))</f>
        <v/>
      </c>
      <c r="J35" s="267" t="str">
        <f>GcalTranscode(INDEX('GCal-Year'!N$2:N$435,$X35))</f>
        <v/>
      </c>
      <c r="K35" s="267" t="str">
        <f>GcalTranscode(INDEX('GCal-Year'!O$2:O$435,$X35))</f>
        <v/>
      </c>
      <c r="L35" s="267" t="str">
        <f>GcalTranscode(INDEX('GCal-Year'!P$2:P$435,$X35))</f>
        <v/>
      </c>
      <c r="M35" s="267" t="str">
        <f>GcalTranscode(INDEX('GCal-Year'!Q$2:Q$435,$X35))</f>
        <v/>
      </c>
      <c r="N35" s="267" t="str">
        <f>GcalTranscode(INDEX('GCal-Year'!R$2:R$435,$X35))</f>
        <v/>
      </c>
      <c r="O35" s="267" t="str">
        <f>GcalTranscode(INDEX('GCal-Year'!S$2:S$435,$X35))</f>
        <v/>
      </c>
      <c r="P35" s="267" t="str">
        <f t="shared" si="4"/>
        <v xml:space="preserve"> </v>
      </c>
      <c r="Q35" s="267" t="str">
        <f t="shared" si="8"/>
        <v/>
      </c>
      <c r="R35" s="267" t="str">
        <f t="shared" si="5"/>
        <v xml:space="preserve"> </v>
      </c>
      <c r="S35" s="267" t="str">
        <f t="shared" si="12"/>
        <v/>
      </c>
      <c r="T35" s="267" t="str">
        <f ca="1">INDEX('GCal-Year'!W$2:W$435,$X35)</f>
        <v/>
      </c>
      <c r="U35" s="267" t="str">
        <f ca="1">INDEX('GCal-Year'!X$2:X$435,$X35)</f>
        <v/>
      </c>
      <c r="V35" s="267" t="str">
        <f ca="1">INDEX('GCal-Year'!Y$2:Y$435,$X35)</f>
        <v/>
      </c>
      <c r="W35" s="267" t="str">
        <f ca="1">INDEX('GCal-Year'!Z$2:Z$435,$X35)</f>
        <v/>
      </c>
      <c r="X35">
        <f t="shared" si="14"/>
        <v>70</v>
      </c>
      <c r="Y35" s="267">
        <f>INDEX('GCal-Year'!D$2:D$435,$X35)</f>
        <v>70</v>
      </c>
      <c r="Z35" s="839">
        <f>INDEX(GCalXMLT[dstoffset],Y35) * TIMEVALUE("01:00:00")</f>
        <v>0</v>
      </c>
      <c r="AA35" s="267" t="str">
        <f>INDEX(GCalXMLT[stithiname],Y35)</f>
        <v>Dvadasi</v>
      </c>
      <c r="AB35" s="839">
        <f>INDEX(GCalXMLT[dsunrisetime],$Y35)-Z35</f>
        <v>0.22187500000000002</v>
      </c>
      <c r="AC35" s="267" t="str">
        <f ca="1">INDEX('GCal-Year'!F$2:F$435,$X35)</f>
        <v/>
      </c>
      <c r="AD35" s="267" t="str">
        <f ca="1">INDEX('GCal-Year'!H$2:H$435,$X35)</f>
        <v/>
      </c>
      <c r="AE35" s="267" t="str">
        <f>IF(INDEX(GCalXMLT[paranafrom],$Y35)=0,"",TEXT(INDEX(GCalXMLT[paranafrom],$Y35)-$Z35,"hh:mm"))</f>
        <v>05:19</v>
      </c>
      <c r="AF35" s="267" t="str">
        <f>IF(INDEX(GCalXMLT[paranato],$Y35)=0,"",TEXT(INDEX(GCalXMLT[paranato],$Y35)-$Z35,"hh:mm"))</f>
        <v>09:28</v>
      </c>
      <c r="AG35" s="267" t="str">
        <f>GcalTranscode(INDEX('GCal-Year'!I$2:I$435,$X35))</f>
        <v/>
      </c>
      <c r="AH35" s="267" t="str">
        <f>GcalTranscode(INDEX('GCal-Year'!J$2:J$435,$X35))</f>
        <v/>
      </c>
      <c r="AI35" s="267" t="str">
        <f>GcalTranscode(INDEX('GCal-Year'!K$2:K$435,$X35))</f>
        <v/>
      </c>
      <c r="AJ35" s="267" t="str">
        <f>GcalTranscode(INDEX('GCal-Year'!L$2:L$435,$X35))</f>
        <v/>
      </c>
      <c r="AK35" s="267" t="str">
        <f>LEFT(INDEX(GCalXMLT[dcaturmasya1],$Y35),6)</f>
        <v/>
      </c>
      <c r="AL35" s="267" t="str">
        <f>RIGHT(INDEX(GCalXMLT[dcaturmasya1],$Y35),8)</f>
        <v/>
      </c>
      <c r="AM35" s="267" t="str">
        <f t="shared" si="10"/>
        <v/>
      </c>
      <c r="AN35" s="267" t="str">
        <f>LEFT(INDEX(GCalXMLT[dcaturmasya2],$Y35),6)</f>
        <v/>
      </c>
      <c r="AO35" s="267" t="str">
        <f>RIGHT(INDEX(GCalXMLT[dcaturmasya2],$Y35),8)</f>
        <v/>
      </c>
      <c r="AP35" s="267" t="str">
        <f>GcalTranscode(INDEX(GCalXMLT[sankrantirasi],$Y35))</f>
        <v/>
      </c>
      <c r="AQ35" s="294" t="str">
        <f>IF(INDEX(GCalXMLT[sankrantitime],$Y35)=0,"",INDEX(GCalXMLT[sankrantitime],$Y35)-Z35)</f>
        <v/>
      </c>
      <c r="AR35" s="265">
        <f t="shared" si="11"/>
        <v>43496</v>
      </c>
      <c r="AS35" t="str">
        <f ca="1">GcalTranscode(INDEX(GCalXMLT[gymasa],$Y35))</f>
        <v>Mādhāva (Māgha)</v>
      </c>
    </row>
    <row r="36" spans="1:45" x14ac:dyDescent="0.25">
      <c r="A36" s="265">
        <f t="shared" si="13"/>
        <v>43498</v>
      </c>
      <c r="B36" s="267" t="str">
        <f ca="1">IFERROR(SUBSTITUTE(SUBSTITUTE(RIGHT(AA36,LEN(AA36)-SEARCH(" (",AA36)),'GCal-Translations'!$B$194,'GCal-Translations'!$C$194,1),'GCal-Translations'!$B$195,'GCal-Translations'!$C$195,1),"")</f>
        <v/>
      </c>
      <c r="C36" s="418" t="str">
        <f>IF(AND(AE36&lt;&gt;"",AF36&lt;&gt;""),SUBSTITUTE(SUBSTITUTE('GCal-Translations'!$C$200,"#start_hour#",AE36),"#end_hour#",AF36),IF(AE36&lt;&gt;"",SUBSTITUTE('GCal-Translations'!$C$199,"#hh:mm#",AE36),""))</f>
        <v/>
      </c>
      <c r="D36" t="str">
        <f t="shared" si="1"/>
        <v/>
      </c>
      <c r="E36" s="267" t="str">
        <f ca="1">IF(AD36="*",'GCal-Translations'!$C$197 &amp; " " &amp; TEXT(AB36,"hh:mm"),"")</f>
        <v/>
      </c>
      <c r="F36" t="str">
        <f t="shared" si="2"/>
        <v/>
      </c>
      <c r="G36" t="str">
        <f t="shared" si="15"/>
        <v/>
      </c>
      <c r="H36" t="str">
        <f t="shared" ca="1" si="7"/>
        <v/>
      </c>
      <c r="I36" s="267" t="str">
        <f>GcalTranscode(INDEX('GCal-Year'!M$2:M$435,$X36))</f>
        <v/>
      </c>
      <c r="J36" s="267" t="str">
        <f>GcalTranscode(INDEX('GCal-Year'!N$2:N$435,$X36))</f>
        <v/>
      </c>
      <c r="K36" s="267" t="str">
        <f>GcalTranscode(INDEX('GCal-Year'!O$2:O$435,$X36))</f>
        <v/>
      </c>
      <c r="L36" s="267" t="str">
        <f>GcalTranscode(INDEX('GCal-Year'!P$2:P$435,$X36))</f>
        <v/>
      </c>
      <c r="M36" s="267" t="str">
        <f>GcalTranscode(INDEX('GCal-Year'!Q$2:Q$435,$X36))</f>
        <v/>
      </c>
      <c r="N36" s="267" t="str">
        <f>GcalTranscode(INDEX('GCal-Year'!R$2:R$435,$X36))</f>
        <v/>
      </c>
      <c r="O36" s="267" t="str">
        <f>GcalTranscode(INDEX('GCal-Year'!S$2:S$435,$X36))</f>
        <v/>
      </c>
      <c r="P36" s="267" t="str">
        <f t="shared" si="4"/>
        <v xml:space="preserve"> </v>
      </c>
      <c r="Q36" s="267" t="str">
        <f t="shared" si="8"/>
        <v/>
      </c>
      <c r="R36" s="267" t="str">
        <f t="shared" si="5"/>
        <v xml:space="preserve"> </v>
      </c>
      <c r="S36" s="267" t="str">
        <f t="shared" si="12"/>
        <v/>
      </c>
      <c r="T36" s="267" t="str">
        <f ca="1">INDEX('GCal-Year'!W$2:W$435,$X36)</f>
        <v/>
      </c>
      <c r="U36" s="267" t="str">
        <f ca="1">INDEX('GCal-Year'!X$2:X$435,$X36)</f>
        <v/>
      </c>
      <c r="V36" s="267" t="str">
        <f ca="1">INDEX('GCal-Year'!Y$2:Y$435,$X36)</f>
        <v/>
      </c>
      <c r="W36" s="267" t="str">
        <f ca="1">INDEX('GCal-Year'!Z$2:Z$435,$X36)</f>
        <v/>
      </c>
      <c r="X36">
        <f t="shared" si="14"/>
        <v>71</v>
      </c>
      <c r="Y36" s="267">
        <f>INDEX('GCal-Year'!D$2:D$435,$X36)</f>
        <v>71</v>
      </c>
      <c r="Z36" s="839">
        <f>INDEX(GCalXMLT[dstoffset],Y36) * TIMEVALUE("01:00:00")</f>
        <v>0</v>
      </c>
      <c r="AA36" s="267" t="str">
        <f>INDEX(GCalXMLT[stithiname],Y36)</f>
        <v>Trayodasi</v>
      </c>
      <c r="AB36" s="839">
        <f>INDEX(GCalXMLT[dsunrisetime],$Y36)-Z36</f>
        <v>0.22209490740740742</v>
      </c>
      <c r="AC36" s="267" t="str">
        <f ca="1">INDEX('GCal-Year'!F$2:F$435,$X36)</f>
        <v/>
      </c>
      <c r="AD36" s="267" t="str">
        <f ca="1">INDEX('GCal-Year'!H$2:H$435,$X36)</f>
        <v/>
      </c>
      <c r="AE36" s="267" t="str">
        <f>IF(INDEX(GCalXMLT[paranafrom],$Y36)=0,"",TEXT(INDEX(GCalXMLT[paranafrom],$Y36)-$Z36,"hh:mm"))</f>
        <v/>
      </c>
      <c r="AF36" s="267" t="str">
        <f>IF(INDEX(GCalXMLT[paranato],$Y36)=0,"",TEXT(INDEX(GCalXMLT[paranato],$Y36)-$Z36,"hh:mm"))</f>
        <v/>
      </c>
      <c r="AG36" s="267" t="str">
        <f>GcalTranscode(INDEX('GCal-Year'!I$2:I$435,$X36))</f>
        <v/>
      </c>
      <c r="AH36" s="267" t="str">
        <f>GcalTranscode(INDEX('GCal-Year'!J$2:J$435,$X36))</f>
        <v/>
      </c>
      <c r="AI36" s="267" t="str">
        <f>GcalTranscode(INDEX('GCal-Year'!K$2:K$435,$X36))</f>
        <v/>
      </c>
      <c r="AJ36" s="267" t="str">
        <f>GcalTranscode(INDEX('GCal-Year'!L$2:L$435,$X36))</f>
        <v/>
      </c>
      <c r="AK36" s="267" t="str">
        <f>LEFT(INDEX(GCalXMLT[dcaturmasya1],$Y36),6)</f>
        <v/>
      </c>
      <c r="AL36" s="267" t="str">
        <f>RIGHT(INDEX(GCalXMLT[dcaturmasya1],$Y36),8)</f>
        <v/>
      </c>
      <c r="AM36" s="267" t="str">
        <f t="shared" si="10"/>
        <v/>
      </c>
      <c r="AN36" s="267" t="str">
        <f>LEFT(INDEX(GCalXMLT[dcaturmasya2],$Y36),6)</f>
        <v/>
      </c>
      <c r="AO36" s="267" t="str">
        <f>RIGHT(INDEX(GCalXMLT[dcaturmasya2],$Y36),8)</f>
        <v/>
      </c>
      <c r="AP36" s="267" t="str">
        <f>GcalTranscode(INDEX(GCalXMLT[sankrantirasi],$Y36))</f>
        <v/>
      </c>
      <c r="AQ36" s="294" t="str">
        <f>IF(INDEX(GCalXMLT[sankrantitime],$Y36)=0,"",INDEX(GCalXMLT[sankrantitime],$Y36)-Z36)</f>
        <v/>
      </c>
      <c r="AR36" s="265">
        <f t="shared" si="11"/>
        <v>43497</v>
      </c>
      <c r="AS36" t="str">
        <f ca="1">GcalTranscode(INDEX(GCalXMLT[gymasa],$Y36))</f>
        <v>Mādhāva (Māgha)</v>
      </c>
    </row>
    <row r="37" spans="1:45" x14ac:dyDescent="0.25">
      <c r="A37" s="265">
        <f t="shared" si="13"/>
        <v>43499</v>
      </c>
      <c r="B37" s="267" t="str">
        <f ca="1">IFERROR(SUBSTITUTE(SUBSTITUTE(RIGHT(AA37,LEN(AA37)-SEARCH(" (",AA37)),'GCal-Translations'!$B$194,'GCal-Translations'!$C$194,1),'GCal-Translations'!$B$195,'GCal-Translations'!$C$195,1),"")</f>
        <v/>
      </c>
      <c r="C37" s="418" t="str">
        <f>IF(AND(AE37&lt;&gt;"",AF37&lt;&gt;""),SUBSTITUTE(SUBSTITUTE('GCal-Translations'!$C$200,"#start_hour#",AE37),"#end_hour#",AF37),IF(AE37&lt;&gt;"",SUBSTITUTE('GCal-Translations'!$C$199,"#hh:mm#",AE37),""))</f>
        <v/>
      </c>
      <c r="D37" t="str">
        <f t="shared" si="1"/>
        <v/>
      </c>
      <c r="E37" s="267" t="str">
        <f ca="1">IF(AD37="*",'GCal-Translations'!$C$197 &amp; " " &amp; TEXT(AB37,"hh:mm"),"")</f>
        <v/>
      </c>
      <c r="F37" t="str">
        <f t="shared" si="2"/>
        <v/>
      </c>
      <c r="G37" t="str">
        <f t="shared" si="15"/>
        <v/>
      </c>
      <c r="H37" t="str">
        <f t="shared" ca="1" si="7"/>
        <v/>
      </c>
      <c r="I37" s="267" t="str">
        <f>GcalTranscode(INDEX('GCal-Year'!M$2:M$435,$X37))</f>
        <v/>
      </c>
      <c r="J37" s="267" t="str">
        <f>GcalTranscode(INDEX('GCal-Year'!N$2:N$435,$X37))</f>
        <v/>
      </c>
      <c r="K37" s="267" t="str">
        <f>GcalTranscode(INDEX('GCal-Year'!O$2:O$435,$X37))</f>
        <v/>
      </c>
      <c r="L37" s="267" t="str">
        <f>GcalTranscode(INDEX('GCal-Year'!P$2:P$435,$X37))</f>
        <v/>
      </c>
      <c r="M37" s="267" t="str">
        <f>GcalTranscode(INDEX('GCal-Year'!Q$2:Q$435,$X37))</f>
        <v/>
      </c>
      <c r="N37" s="267" t="str">
        <f>GcalTranscode(INDEX('GCal-Year'!R$2:R$435,$X37))</f>
        <v/>
      </c>
      <c r="O37" s="267" t="str">
        <f>GcalTranscode(INDEX('GCal-Year'!S$2:S$435,$X37))</f>
        <v/>
      </c>
      <c r="P37" s="267" t="str">
        <f t="shared" si="4"/>
        <v xml:space="preserve"> </v>
      </c>
      <c r="Q37" s="267" t="str">
        <f t="shared" si="8"/>
        <v/>
      </c>
      <c r="R37" s="267" t="str">
        <f t="shared" si="5"/>
        <v xml:space="preserve"> </v>
      </c>
      <c r="S37" s="267" t="str">
        <f t="shared" si="12"/>
        <v/>
      </c>
      <c r="T37" s="267" t="str">
        <f ca="1">INDEX('GCal-Year'!W$2:W$435,$X37)</f>
        <v/>
      </c>
      <c r="U37" s="267" t="str">
        <f ca="1">INDEX('GCal-Year'!X$2:X$435,$X37)</f>
        <v/>
      </c>
      <c r="V37" s="267" t="str">
        <f ca="1">INDEX('GCal-Year'!Y$2:Y$435,$X37)</f>
        <v/>
      </c>
      <c r="W37" s="267" t="str">
        <f ca="1">INDEX('GCal-Year'!Z$2:Z$435,$X37)</f>
        <v/>
      </c>
      <c r="X37">
        <f t="shared" si="14"/>
        <v>72</v>
      </c>
      <c r="Y37" s="267">
        <f>INDEX('GCal-Year'!D$2:D$435,$X37)</f>
        <v>72</v>
      </c>
      <c r="Z37" s="839">
        <f>INDEX(GCalXMLT[dstoffset],Y37) * TIMEVALUE("01:00:00")</f>
        <v>0</v>
      </c>
      <c r="AA37" s="267" t="str">
        <f>INDEX(GCalXMLT[stithiname],Y37)</f>
        <v>Caturdasi</v>
      </c>
      <c r="AB37" s="839">
        <f>INDEX(GCalXMLT[dsunrisetime],$Y37)-Z37</f>
        <v>0.22230324074074073</v>
      </c>
      <c r="AC37" s="267" t="str">
        <f ca="1">INDEX('GCal-Year'!F$2:F$435,$X37)</f>
        <v/>
      </c>
      <c r="AD37" s="267" t="str">
        <f ca="1">INDEX('GCal-Year'!H$2:H$435,$X37)</f>
        <v/>
      </c>
      <c r="AE37" s="267" t="str">
        <f>IF(INDEX(GCalXMLT[paranafrom],$Y37)=0,"",TEXT(INDEX(GCalXMLT[paranafrom],$Y37)-$Z37,"hh:mm"))</f>
        <v/>
      </c>
      <c r="AF37" s="267" t="str">
        <f>IF(INDEX(GCalXMLT[paranato],$Y37)=0,"",TEXT(INDEX(GCalXMLT[paranato],$Y37)-$Z37,"hh:mm"))</f>
        <v/>
      </c>
      <c r="AG37" s="267" t="str">
        <f>GcalTranscode(INDEX('GCal-Year'!I$2:I$435,$X37))</f>
        <v/>
      </c>
      <c r="AH37" s="267" t="str">
        <f>GcalTranscode(INDEX('GCal-Year'!J$2:J$435,$X37))</f>
        <v/>
      </c>
      <c r="AI37" s="267" t="str">
        <f>GcalTranscode(INDEX('GCal-Year'!K$2:K$435,$X37))</f>
        <v/>
      </c>
      <c r="AJ37" s="267" t="str">
        <f>GcalTranscode(INDEX('GCal-Year'!L$2:L$435,$X37))</f>
        <v/>
      </c>
      <c r="AK37" s="267" t="str">
        <f>LEFT(INDEX(GCalXMLT[dcaturmasya1],$Y37),6)</f>
        <v/>
      </c>
      <c r="AL37" s="267" t="str">
        <f>RIGHT(INDEX(GCalXMLT[dcaturmasya1],$Y37),8)</f>
        <v/>
      </c>
      <c r="AM37" s="267" t="str">
        <f t="shared" si="10"/>
        <v/>
      </c>
      <c r="AN37" s="267" t="str">
        <f>LEFT(INDEX(GCalXMLT[dcaturmasya2],$Y37),6)</f>
        <v/>
      </c>
      <c r="AO37" s="267" t="str">
        <f>RIGHT(INDEX(GCalXMLT[dcaturmasya2],$Y37),8)</f>
        <v/>
      </c>
      <c r="AP37" s="267" t="str">
        <f>GcalTranscode(INDEX(GCalXMLT[sankrantirasi],$Y37))</f>
        <v/>
      </c>
      <c r="AQ37" s="294" t="str">
        <f>IF(INDEX(GCalXMLT[sankrantitime],$Y37)=0,"",INDEX(GCalXMLT[sankrantitime],$Y37)-Z37)</f>
        <v/>
      </c>
      <c r="AR37" s="265">
        <f t="shared" si="11"/>
        <v>43498</v>
      </c>
      <c r="AS37" t="str">
        <f ca="1">GcalTranscode(INDEX(GCalXMLT[gymasa],$Y37))</f>
        <v>Mādhāva (Māgha)</v>
      </c>
    </row>
    <row r="38" spans="1:45" x14ac:dyDescent="0.25">
      <c r="A38" s="265">
        <f t="shared" si="13"/>
        <v>43500</v>
      </c>
      <c r="B38" s="267" t="str">
        <f ca="1">IFERROR(SUBSTITUTE(SUBSTITUTE(RIGHT(AA38,LEN(AA38)-SEARCH(" (",AA38)),'GCal-Translations'!$B$194,'GCal-Translations'!$C$194,1),'GCal-Translations'!$B$195,'GCal-Translations'!$C$195,1),"")</f>
        <v/>
      </c>
      <c r="C38" s="418" t="str">
        <f>IF(AND(AE38&lt;&gt;"",AF38&lt;&gt;""),SUBSTITUTE(SUBSTITUTE('GCal-Translations'!$C$200,"#start_hour#",AE38),"#end_hour#",AF38),IF(AE38&lt;&gt;"",SUBSTITUTE('GCal-Translations'!$C$199,"#hh:mm#",AE38),""))</f>
        <v/>
      </c>
      <c r="D38" t="str">
        <f t="shared" si="1"/>
        <v/>
      </c>
      <c r="E38" s="267" t="str">
        <f ca="1">IF(AD38="*",'GCal-Translations'!$C$197 &amp; " " &amp; TEXT(AB38,"hh:mm"),"")</f>
        <v/>
      </c>
      <c r="F38" t="str">
        <f t="shared" si="2"/>
        <v/>
      </c>
      <c r="G38" t="str">
        <f t="shared" si="15"/>
        <v/>
      </c>
      <c r="H38" t="str">
        <f t="shared" ca="1" si="7"/>
        <v/>
      </c>
      <c r="I38" s="267" t="str">
        <f>GcalTranscode(INDEX('GCal-Year'!M$2:M$435,$X38))</f>
        <v/>
      </c>
      <c r="J38" s="267" t="str">
        <f>GcalTranscode(INDEX('GCal-Year'!N$2:N$435,$X38))</f>
        <v/>
      </c>
      <c r="K38" s="267" t="str">
        <f>GcalTranscode(INDEX('GCal-Year'!O$2:O$435,$X38))</f>
        <v/>
      </c>
      <c r="L38" s="267" t="str">
        <f>GcalTranscode(INDEX('GCal-Year'!P$2:P$435,$X38))</f>
        <v/>
      </c>
      <c r="M38" s="267" t="str">
        <f>GcalTranscode(INDEX('GCal-Year'!Q$2:Q$435,$X38))</f>
        <v/>
      </c>
      <c r="N38" s="267" t="str">
        <f>GcalTranscode(INDEX('GCal-Year'!R$2:R$435,$X38))</f>
        <v/>
      </c>
      <c r="O38" s="267" t="str">
        <f>GcalTranscode(INDEX('GCal-Year'!S$2:S$435,$X38))</f>
        <v/>
      </c>
      <c r="P38" s="267" t="str">
        <f t="shared" si="4"/>
        <v xml:space="preserve"> </v>
      </c>
      <c r="Q38" s="267" t="str">
        <f t="shared" si="8"/>
        <v/>
      </c>
      <c r="R38" s="267" t="str">
        <f t="shared" si="5"/>
        <v xml:space="preserve"> </v>
      </c>
      <c r="S38" s="267" t="str">
        <f t="shared" ref="S38:S45" si="16">SUBSTITUTE(SUBSTITUTE(AP38,"#dd mm#",TEXT(AR38,"dd mmm"),1),"#hh:mm#",TEXT(AQ38,"hh:mm"),1)</f>
        <v/>
      </c>
      <c r="T38" s="267" t="str">
        <f ca="1">INDEX('GCal-Year'!W$2:W$435,$X38)</f>
        <v/>
      </c>
      <c r="U38" s="267" t="str">
        <f ca="1">INDEX('GCal-Year'!X$2:X$435,$X38)</f>
        <v/>
      </c>
      <c r="V38" s="267" t="str">
        <f ca="1">INDEX('GCal-Year'!Y$2:Y$435,$X38)</f>
        <v/>
      </c>
      <c r="W38" s="267" t="str">
        <f ca="1">INDEX('GCal-Year'!Z$2:Z$435,$X38)</f>
        <v/>
      </c>
      <c r="X38">
        <f t="shared" si="14"/>
        <v>73</v>
      </c>
      <c r="Y38" s="267">
        <f>INDEX('GCal-Year'!D$2:D$435,$X38)</f>
        <v>73</v>
      </c>
      <c r="Z38" s="839">
        <f>INDEX(GCalXMLT[dstoffset],Y38) * TIMEVALUE("01:00:00")</f>
        <v>0</v>
      </c>
      <c r="AA38" s="267" t="str">
        <f>INDEX(GCalXMLT[stithiname],Y38)</f>
        <v>Amavasya</v>
      </c>
      <c r="AB38" s="839">
        <f>INDEX(GCalXMLT[dsunrisetime],$Y38)-Z38</f>
        <v>0.2225</v>
      </c>
      <c r="AC38" s="267" t="str">
        <f ca="1">INDEX('GCal-Year'!F$2:F$435,$X38)</f>
        <v/>
      </c>
      <c r="AD38" s="267" t="str">
        <f ca="1">INDEX('GCal-Year'!H$2:H$435,$X38)</f>
        <v/>
      </c>
      <c r="AE38" s="267" t="str">
        <f>IF(INDEX(GCalXMLT[paranafrom],$Y38)=0,"",TEXT(INDEX(GCalXMLT[paranafrom],$Y38)-$Z38,"hh:mm"))</f>
        <v/>
      </c>
      <c r="AF38" s="267" t="str">
        <f>IF(INDEX(GCalXMLT[paranato],$Y38)=0,"",TEXT(INDEX(GCalXMLT[paranato],$Y38)-$Z38,"hh:mm"))</f>
        <v/>
      </c>
      <c r="AG38" s="267" t="str">
        <f>GcalTranscode(INDEX('GCal-Year'!I$2:I$435,$X38))</f>
        <v/>
      </c>
      <c r="AH38" s="267" t="str">
        <f>GcalTranscode(INDEX('GCal-Year'!J$2:J$435,$X38))</f>
        <v/>
      </c>
      <c r="AI38" s="267" t="str">
        <f>GcalTranscode(INDEX('GCal-Year'!K$2:K$435,$X38))</f>
        <v/>
      </c>
      <c r="AJ38" s="267" t="str">
        <f>GcalTranscode(INDEX('GCal-Year'!L$2:L$435,$X38))</f>
        <v/>
      </c>
      <c r="AK38" s="267" t="str">
        <f>LEFT(INDEX(GCalXMLT[dcaturmasya1],$Y38),6)</f>
        <v/>
      </c>
      <c r="AL38" s="267" t="str">
        <f>RIGHT(INDEX(GCalXMLT[dcaturmasya1],$Y38),8)</f>
        <v/>
      </c>
      <c r="AM38" s="267" t="str">
        <f t="shared" si="10"/>
        <v/>
      </c>
      <c r="AN38" s="267" t="str">
        <f>LEFT(INDEX(GCalXMLT[dcaturmasya2],$Y38),6)</f>
        <v/>
      </c>
      <c r="AO38" s="267" t="str">
        <f>RIGHT(INDEX(GCalXMLT[dcaturmasya2],$Y38),8)</f>
        <v/>
      </c>
      <c r="AP38" s="267" t="str">
        <f>GcalTranscode(INDEX(GCalXMLT[sankrantirasi],$Y38))</f>
        <v/>
      </c>
      <c r="AQ38" s="294" t="str">
        <f>IF(INDEX(GCalXMLT[sankrantitime],$Y38)=0,"",INDEX(GCalXMLT[sankrantitime],$Y38)-Z38)</f>
        <v/>
      </c>
      <c r="AR38" s="265">
        <f t="shared" si="11"/>
        <v>43499</v>
      </c>
      <c r="AS38" t="str">
        <f ca="1">GcalTranscode(INDEX(GCalXMLT[gymasa],$Y38))</f>
        <v>Mādhāva (Māgha)</v>
      </c>
    </row>
    <row r="39" spans="1:45" x14ac:dyDescent="0.25">
      <c r="A39" s="265">
        <f t="shared" si="13"/>
        <v>43501</v>
      </c>
      <c r="B39" s="267" t="str">
        <f ca="1">IFERROR(SUBSTITUTE(SUBSTITUTE(RIGHT(AA39,LEN(AA39)-SEARCH(" (",AA39)),'GCal-Translations'!$B$194,'GCal-Translations'!$C$194,1),'GCal-Translations'!$B$195,'GCal-Translations'!$C$195,1),"")</f>
        <v/>
      </c>
      <c r="C39" s="418" t="str">
        <f>IF(AND(AE39&lt;&gt;"",AF39&lt;&gt;""),SUBSTITUTE(SUBSTITUTE('GCal-Translations'!$C$200,"#start_hour#",AE39),"#end_hour#",AF39),IF(AE39&lt;&gt;"",SUBSTITUTE('GCal-Translations'!$C$199,"#hh:mm#",AE39),""))</f>
        <v/>
      </c>
      <c r="D39" t="str">
        <f t="shared" si="1"/>
        <v/>
      </c>
      <c r="E39" s="267" t="str">
        <f ca="1">IF(AD39="*",'GCal-Translations'!$C$197 &amp; " " &amp; TEXT(AB39,"hh:mm"),"")</f>
        <v/>
      </c>
      <c r="F39" t="str">
        <f t="shared" si="2"/>
        <v/>
      </c>
      <c r="G39" t="str">
        <f t="shared" si="15"/>
        <v/>
      </c>
      <c r="H39" t="str">
        <f t="shared" ca="1" si="7"/>
        <v/>
      </c>
      <c r="I39" s="267" t="str">
        <f>GcalTranscode(INDEX('GCal-Year'!M$2:M$435,$X39))</f>
        <v/>
      </c>
      <c r="J39" s="267" t="str">
        <f>GcalTranscode(INDEX('GCal-Year'!N$2:N$435,$X39))</f>
        <v/>
      </c>
      <c r="K39" s="267" t="str">
        <f>GcalTranscode(INDEX('GCal-Year'!O$2:O$435,$X39))</f>
        <v/>
      </c>
      <c r="L39" s="267" t="str">
        <f>GcalTranscode(INDEX('GCal-Year'!P$2:P$435,$X39))</f>
        <v/>
      </c>
      <c r="M39" s="267" t="str">
        <f>GcalTranscode(INDEX('GCal-Year'!Q$2:Q$435,$X39))</f>
        <v/>
      </c>
      <c r="N39" s="267" t="str">
        <f>GcalTranscode(INDEX('GCal-Year'!R$2:R$435,$X39))</f>
        <v/>
      </c>
      <c r="O39" s="267" t="str">
        <f>GcalTranscode(INDEX('GCal-Year'!S$2:S$435,$X39))</f>
        <v/>
      </c>
      <c r="P39" s="267" t="str">
        <f t="shared" si="4"/>
        <v xml:space="preserve"> </v>
      </c>
      <c r="Q39" s="267" t="str">
        <f t="shared" si="8"/>
        <v/>
      </c>
      <c r="R39" s="267" t="str">
        <f t="shared" si="5"/>
        <v xml:space="preserve"> </v>
      </c>
      <c r="S39" s="267" t="str">
        <f t="shared" si="16"/>
        <v/>
      </c>
      <c r="T39" s="267" t="str">
        <f ca="1">INDEX('GCal-Year'!W$2:W$435,$X39)</f>
        <v/>
      </c>
      <c r="U39" s="267" t="str">
        <f ca="1">INDEX('GCal-Year'!X$2:X$435,$X39)</f>
        <v/>
      </c>
      <c r="V39" s="267" t="str">
        <f ca="1">INDEX('GCal-Year'!Y$2:Y$435,$X39)</f>
        <v/>
      </c>
      <c r="W39" s="267" t="str">
        <f ca="1">INDEX('GCal-Year'!Z$2:Z$435,$X39)</f>
        <v/>
      </c>
      <c r="X39">
        <f t="shared" si="14"/>
        <v>74</v>
      </c>
      <c r="Y39" s="267">
        <f>INDEX('GCal-Year'!D$2:D$435,$X39)</f>
        <v>74</v>
      </c>
      <c r="Z39" s="839">
        <f>INDEX(GCalXMLT[dstoffset],Y39) * TIMEVALUE("01:00:00")</f>
        <v>0</v>
      </c>
      <c r="AA39" s="267" t="str">
        <f>INDEX(GCalXMLT[stithiname],Y39)</f>
        <v>Pratipat</v>
      </c>
      <c r="AB39" s="839">
        <f>INDEX(GCalXMLT[dsunrisetime],$Y39)-Z39</f>
        <v>0.22269675925925925</v>
      </c>
      <c r="AC39" s="267" t="str">
        <f ca="1">INDEX('GCal-Year'!F$2:F$435,$X39)</f>
        <v/>
      </c>
      <c r="AD39" s="267" t="str">
        <f ca="1">INDEX('GCal-Year'!H$2:H$435,$X39)</f>
        <v/>
      </c>
      <c r="AE39" s="267" t="str">
        <f>IF(INDEX(GCalXMLT[paranafrom],$Y39)=0,"",TEXT(INDEX(GCalXMLT[paranafrom],$Y39)-$Z39,"hh:mm"))</f>
        <v/>
      </c>
      <c r="AF39" s="267" t="str">
        <f>IF(INDEX(GCalXMLT[paranato],$Y39)=0,"",TEXT(INDEX(GCalXMLT[paranato],$Y39)-$Z39,"hh:mm"))</f>
        <v/>
      </c>
      <c r="AG39" s="267" t="str">
        <f>GcalTranscode(INDEX('GCal-Year'!I$2:I$435,$X39))</f>
        <v/>
      </c>
      <c r="AH39" s="267" t="str">
        <f>GcalTranscode(INDEX('GCal-Year'!J$2:J$435,$X39))</f>
        <v/>
      </c>
      <c r="AI39" s="267" t="str">
        <f>GcalTranscode(INDEX('GCal-Year'!K$2:K$435,$X39))</f>
        <v/>
      </c>
      <c r="AJ39" s="267" t="str">
        <f>GcalTranscode(INDEX('GCal-Year'!L$2:L$435,$X39))</f>
        <v/>
      </c>
      <c r="AK39" s="267" t="str">
        <f>LEFT(INDEX(GCalXMLT[dcaturmasya1],$Y39),6)</f>
        <v/>
      </c>
      <c r="AL39" s="267" t="str">
        <f>RIGHT(INDEX(GCalXMLT[dcaturmasya1],$Y39),8)</f>
        <v/>
      </c>
      <c r="AM39" s="267" t="str">
        <f t="shared" si="10"/>
        <v/>
      </c>
      <c r="AN39" s="267" t="str">
        <f>LEFT(INDEX(GCalXMLT[dcaturmasya2],$Y39),6)</f>
        <v/>
      </c>
      <c r="AO39" s="267" t="str">
        <f>RIGHT(INDEX(GCalXMLT[dcaturmasya2],$Y39),8)</f>
        <v/>
      </c>
      <c r="AP39" s="267" t="str">
        <f>GcalTranscode(INDEX(GCalXMLT[sankrantirasi],$Y39))</f>
        <v/>
      </c>
      <c r="AQ39" s="294" t="str">
        <f>IF(INDEX(GCalXMLT[sankrantitime],$Y39)=0,"",INDEX(GCalXMLT[sankrantitime],$Y39)-Z39)</f>
        <v/>
      </c>
      <c r="AR39" s="265">
        <f t="shared" si="11"/>
        <v>43500</v>
      </c>
      <c r="AS39" t="str">
        <f ca="1">GcalTranscode(INDEX(GCalXMLT[gymasa],$Y39))</f>
        <v>Mādhāva (Māgha)</v>
      </c>
    </row>
    <row r="40" spans="1:45" x14ac:dyDescent="0.25">
      <c r="A40" s="265">
        <f t="shared" si="13"/>
        <v>43502</v>
      </c>
      <c r="B40" s="267" t="str">
        <f ca="1">IFERROR(SUBSTITUTE(SUBSTITUTE(RIGHT(AA40,LEN(AA40)-SEARCH(" (",AA40)),'GCal-Translations'!$B$194,'GCal-Translations'!$C$194,1),'GCal-Translations'!$B$195,'GCal-Translations'!$C$195,1),"")</f>
        <v/>
      </c>
      <c r="C40" s="418" t="str">
        <f>IF(AND(AE40&lt;&gt;"",AF40&lt;&gt;""),SUBSTITUTE(SUBSTITUTE('GCal-Translations'!$C$200,"#start_hour#",AE40),"#end_hour#",AF40),IF(AE40&lt;&gt;"",SUBSTITUTE('GCal-Translations'!$C$199,"#hh:mm#",AE40),""))</f>
        <v/>
      </c>
      <c r="D40" t="str">
        <f t="shared" si="1"/>
        <v/>
      </c>
      <c r="E40" s="267" t="str">
        <f ca="1">IF(AD40="*",'GCal-Translations'!$C$197 &amp; " " &amp; TEXT(AB40,"hh:mm"),"")</f>
        <v/>
      </c>
      <c r="F40" t="str">
        <f t="shared" si="2"/>
        <v/>
      </c>
      <c r="G40" t="str">
        <f t="shared" si="15"/>
        <v/>
      </c>
      <c r="H40" t="str">
        <f t="shared" ca="1" si="7"/>
        <v/>
      </c>
      <c r="I40" s="267" t="str">
        <f>GcalTranscode(INDEX('GCal-Year'!M$2:M$435,$X40))</f>
        <v/>
      </c>
      <c r="J40" s="267" t="str">
        <f>GcalTranscode(INDEX('GCal-Year'!N$2:N$435,$X40))</f>
        <v/>
      </c>
      <c r="K40" s="267" t="str">
        <f>GcalTranscode(INDEX('GCal-Year'!O$2:O$435,$X40))</f>
        <v/>
      </c>
      <c r="L40" s="267" t="str">
        <f>GcalTranscode(INDEX('GCal-Year'!P$2:P$435,$X40))</f>
        <v/>
      </c>
      <c r="M40" s="267" t="str">
        <f>GcalTranscode(INDEX('GCal-Year'!Q$2:Q$435,$X40))</f>
        <v/>
      </c>
      <c r="N40" s="267" t="str">
        <f>GcalTranscode(INDEX('GCal-Year'!R$2:R$435,$X40))</f>
        <v/>
      </c>
      <c r="O40" s="267" t="str">
        <f>GcalTranscode(INDEX('GCal-Year'!S$2:S$435,$X40))</f>
        <v/>
      </c>
      <c r="P40" s="267" t="str">
        <f t="shared" si="4"/>
        <v xml:space="preserve"> </v>
      </c>
      <c r="Q40" s="267" t="str">
        <f t="shared" si="8"/>
        <v/>
      </c>
      <c r="R40" s="267" t="str">
        <f t="shared" si="5"/>
        <v xml:space="preserve"> </v>
      </c>
      <c r="S40" s="267" t="str">
        <f t="shared" si="16"/>
        <v/>
      </c>
      <c r="T40" s="267" t="str">
        <f ca="1">INDEX('GCal-Year'!W$2:W$435,$X40)</f>
        <v/>
      </c>
      <c r="U40" s="267" t="str">
        <f ca="1">INDEX('GCal-Year'!X$2:X$435,$X40)</f>
        <v/>
      </c>
      <c r="V40" s="267" t="str">
        <f ca="1">INDEX('GCal-Year'!Y$2:Y$435,$X40)</f>
        <v/>
      </c>
      <c r="W40" s="267" t="str">
        <f ca="1">INDEX('GCal-Year'!Z$2:Z$435,$X40)</f>
        <v/>
      </c>
      <c r="X40">
        <f t="shared" si="14"/>
        <v>75</v>
      </c>
      <c r="Y40" s="267">
        <f>INDEX('GCal-Year'!D$2:D$435,$X40)</f>
        <v>75</v>
      </c>
      <c r="Z40" s="839">
        <f>INDEX(GCalXMLT[dstoffset],Y40) * TIMEVALUE("01:00:00")</f>
        <v>0</v>
      </c>
      <c r="AA40" s="267" t="str">
        <f>INDEX(GCalXMLT[stithiname],Y40)</f>
        <v>Dvitiya</v>
      </c>
      <c r="AB40" s="839">
        <f>INDEX(GCalXMLT[dsunrisetime],$Y40)-Z40</f>
        <v>0.22288194444444445</v>
      </c>
      <c r="AC40" s="267" t="str">
        <f ca="1">INDEX('GCal-Year'!F$2:F$435,$X40)</f>
        <v/>
      </c>
      <c r="AD40" s="267" t="str">
        <f ca="1">INDEX('GCal-Year'!H$2:H$435,$X40)</f>
        <v/>
      </c>
      <c r="AE40" s="267" t="str">
        <f>IF(INDEX(GCalXMLT[paranafrom],$Y40)=0,"",TEXT(INDEX(GCalXMLT[paranafrom],$Y40)-$Z40,"hh:mm"))</f>
        <v/>
      </c>
      <c r="AF40" s="267" t="str">
        <f>IF(INDEX(GCalXMLT[paranato],$Y40)=0,"",TEXT(INDEX(GCalXMLT[paranato],$Y40)-$Z40,"hh:mm"))</f>
        <v/>
      </c>
      <c r="AG40" s="267" t="str">
        <f>GcalTranscode(INDEX('GCal-Year'!I$2:I$435,$X40))</f>
        <v/>
      </c>
      <c r="AH40" s="267" t="str">
        <f>GcalTranscode(INDEX('GCal-Year'!J$2:J$435,$X40))</f>
        <v/>
      </c>
      <c r="AI40" s="267" t="str">
        <f>GcalTranscode(INDEX('GCal-Year'!K$2:K$435,$X40))</f>
        <v/>
      </c>
      <c r="AJ40" s="267" t="str">
        <f>GcalTranscode(INDEX('GCal-Year'!L$2:L$435,$X40))</f>
        <v/>
      </c>
      <c r="AK40" s="267" t="str">
        <f>LEFT(INDEX(GCalXMLT[dcaturmasya1],$Y40),6)</f>
        <v/>
      </c>
      <c r="AL40" s="267" t="str">
        <f>RIGHT(INDEX(GCalXMLT[dcaturmasya1],$Y40),8)</f>
        <v/>
      </c>
      <c r="AM40" s="267" t="str">
        <f t="shared" si="10"/>
        <v/>
      </c>
      <c r="AN40" s="267" t="str">
        <f>LEFT(INDEX(GCalXMLT[dcaturmasya2],$Y40),6)</f>
        <v/>
      </c>
      <c r="AO40" s="267" t="str">
        <f>RIGHT(INDEX(GCalXMLT[dcaturmasya2],$Y40),8)</f>
        <v/>
      </c>
      <c r="AP40" s="267" t="str">
        <f>GcalTranscode(INDEX(GCalXMLT[sankrantirasi],$Y40))</f>
        <v/>
      </c>
      <c r="AQ40" s="294" t="str">
        <f>IF(INDEX(GCalXMLT[sankrantitime],$Y40)=0,"",INDEX(GCalXMLT[sankrantitime],$Y40)-Z40)</f>
        <v/>
      </c>
      <c r="AR40" s="265">
        <f t="shared" si="11"/>
        <v>43501</v>
      </c>
      <c r="AS40" t="str">
        <f ca="1">GcalTranscode(INDEX(GCalXMLT[gymasa],$Y40))</f>
        <v>Mādhāva (Māgha)</v>
      </c>
    </row>
    <row r="41" spans="1:45" x14ac:dyDescent="0.25">
      <c r="A41" s="265">
        <f t="shared" si="13"/>
        <v>43503</v>
      </c>
      <c r="B41" s="267" t="str">
        <f ca="1">IFERROR(SUBSTITUTE(SUBSTITUTE(RIGHT(AA41,LEN(AA41)-SEARCH(" (",AA41)),'GCal-Translations'!$B$194,'GCal-Translations'!$C$194,1),'GCal-Translations'!$B$195,'GCal-Translations'!$C$195,1),"")</f>
        <v/>
      </c>
      <c r="C41" s="418" t="str">
        <f>IF(AND(AE41&lt;&gt;"",AF41&lt;&gt;""),SUBSTITUTE(SUBSTITUTE('GCal-Translations'!$C$200,"#start_hour#",AE41),"#end_hour#",AF41),IF(AE41&lt;&gt;"",SUBSTITUTE('GCal-Translations'!$C$199,"#hh:mm#",AE41),""))</f>
        <v/>
      </c>
      <c r="D41" t="str">
        <f t="shared" si="1"/>
        <v/>
      </c>
      <c r="E41" s="267" t="str">
        <f ca="1">IF(AD41="*",'GCal-Translations'!$C$197 &amp; " " &amp; TEXT(AB41,"hh:mm"),"")</f>
        <v/>
      </c>
      <c r="F41" t="str">
        <f t="shared" si="2"/>
        <v/>
      </c>
      <c r="G41" t="str">
        <f t="shared" si="15"/>
        <v/>
      </c>
      <c r="H41" t="str">
        <f t="shared" ca="1" si="7"/>
        <v/>
      </c>
      <c r="I41" s="267" t="str">
        <f>GcalTranscode(INDEX('GCal-Year'!M$2:M$435,$X41))</f>
        <v/>
      </c>
      <c r="J41" s="267" t="str">
        <f>GcalTranscode(INDEX('GCal-Year'!N$2:N$435,$X41))</f>
        <v/>
      </c>
      <c r="K41" s="267" t="str">
        <f>GcalTranscode(INDEX('GCal-Year'!O$2:O$435,$X41))</f>
        <v/>
      </c>
      <c r="L41" s="267" t="str">
        <f>GcalTranscode(INDEX('GCal-Year'!P$2:P$435,$X41))</f>
        <v/>
      </c>
      <c r="M41" s="267" t="str">
        <f>GcalTranscode(INDEX('GCal-Year'!Q$2:Q$435,$X41))</f>
        <v/>
      </c>
      <c r="N41" s="267" t="str">
        <f>GcalTranscode(INDEX('GCal-Year'!R$2:R$435,$X41))</f>
        <v/>
      </c>
      <c r="O41" s="267" t="str">
        <f>GcalTranscode(INDEX('GCal-Year'!S$2:S$435,$X41))</f>
        <v/>
      </c>
      <c r="P41" s="267" t="str">
        <f t="shared" si="4"/>
        <v xml:space="preserve"> </v>
      </c>
      <c r="Q41" s="267" t="str">
        <f t="shared" si="8"/>
        <v/>
      </c>
      <c r="R41" s="267" t="str">
        <f t="shared" si="5"/>
        <v xml:space="preserve"> </v>
      </c>
      <c r="S41" s="267" t="str">
        <f t="shared" si="16"/>
        <v/>
      </c>
      <c r="T41" s="267" t="str">
        <f ca="1">INDEX('GCal-Year'!W$2:W$435,$X41)</f>
        <v/>
      </c>
      <c r="U41" s="267" t="str">
        <f ca="1">INDEX('GCal-Year'!X$2:X$435,$X41)</f>
        <v/>
      </c>
      <c r="V41" s="267" t="str">
        <f ca="1">INDEX('GCal-Year'!Y$2:Y$435,$X41)</f>
        <v/>
      </c>
      <c r="W41" s="267" t="str">
        <f ca="1">INDEX('GCal-Year'!Z$2:Z$435,$X41)</f>
        <v/>
      </c>
      <c r="X41">
        <f t="shared" si="14"/>
        <v>76</v>
      </c>
      <c r="Y41" s="267">
        <f>INDEX('GCal-Year'!D$2:D$435,$X41)</f>
        <v>76</v>
      </c>
      <c r="Z41" s="839">
        <f>INDEX(GCalXMLT[dstoffset],Y41) * TIMEVALUE("01:00:00")</f>
        <v>0</v>
      </c>
      <c r="AA41" s="267" t="str">
        <f>INDEX(GCalXMLT[stithiname],Y41)</f>
        <v>Tritiya</v>
      </c>
      <c r="AB41" s="839">
        <f>INDEX(GCalXMLT[dsunrisetime],$Y41)-Z41</f>
        <v>0.22306712962962963</v>
      </c>
      <c r="AC41" s="267" t="str">
        <f ca="1">INDEX('GCal-Year'!F$2:F$435,$X41)</f>
        <v/>
      </c>
      <c r="AD41" s="267" t="str">
        <f ca="1">INDEX('GCal-Year'!H$2:H$435,$X41)</f>
        <v/>
      </c>
      <c r="AE41" s="267" t="str">
        <f>IF(INDEX(GCalXMLT[paranafrom],$Y41)=0,"",TEXT(INDEX(GCalXMLT[paranafrom],$Y41)-$Z41,"hh:mm"))</f>
        <v/>
      </c>
      <c r="AF41" s="267" t="str">
        <f>IF(INDEX(GCalXMLT[paranato],$Y41)=0,"",TEXT(INDEX(GCalXMLT[paranato],$Y41)-$Z41,"hh:mm"))</f>
        <v/>
      </c>
      <c r="AG41" s="267" t="str">
        <f>GcalTranscode(INDEX('GCal-Year'!I$2:I$435,$X41))</f>
        <v/>
      </c>
      <c r="AH41" s="267" t="str">
        <f>GcalTranscode(INDEX('GCal-Year'!J$2:J$435,$X41))</f>
        <v/>
      </c>
      <c r="AI41" s="267" t="str">
        <f>GcalTranscode(INDEX('GCal-Year'!K$2:K$435,$X41))</f>
        <v/>
      </c>
      <c r="AJ41" s="267" t="str">
        <f>GcalTranscode(INDEX('GCal-Year'!L$2:L$435,$X41))</f>
        <v/>
      </c>
      <c r="AK41" s="267" t="str">
        <f>LEFT(INDEX(GCalXMLT[dcaturmasya1],$Y41),6)</f>
        <v/>
      </c>
      <c r="AL41" s="267" t="str">
        <f>RIGHT(INDEX(GCalXMLT[dcaturmasya1],$Y41),8)</f>
        <v/>
      </c>
      <c r="AM41" s="267" t="str">
        <f t="shared" si="10"/>
        <v/>
      </c>
      <c r="AN41" s="267" t="str">
        <f>LEFT(INDEX(GCalXMLT[dcaturmasya2],$Y41),6)</f>
        <v/>
      </c>
      <c r="AO41" s="267" t="str">
        <f>RIGHT(INDEX(GCalXMLT[dcaturmasya2],$Y41),8)</f>
        <v/>
      </c>
      <c r="AP41" s="267" t="str">
        <f>GcalTranscode(INDEX(GCalXMLT[sankrantirasi],$Y41))</f>
        <v/>
      </c>
      <c r="AQ41" s="294" t="str">
        <f>IF(INDEX(GCalXMLT[sankrantitime],$Y41)=0,"",INDEX(GCalXMLT[sankrantitime],$Y41)-Z41)</f>
        <v/>
      </c>
      <c r="AR41" s="265">
        <f t="shared" si="11"/>
        <v>43502</v>
      </c>
      <c r="AS41" t="str">
        <f ca="1">GcalTranscode(INDEX(GCalXMLT[gymasa],$Y41))</f>
        <v>Mādhāva (Māgha)</v>
      </c>
    </row>
    <row r="42" spans="1:45" x14ac:dyDescent="0.25">
      <c r="A42" s="265">
        <f t="shared" si="13"/>
        <v>43504</v>
      </c>
      <c r="B42" s="267" t="str">
        <f ca="1">IFERROR(SUBSTITUTE(SUBSTITUTE(RIGHT(AA42,LEN(AA42)-SEARCH(" (",AA42)),'GCal-Translations'!$B$194,'GCal-Translations'!$C$194,1),'GCal-Translations'!$B$195,'GCal-Translations'!$C$195,1),"")</f>
        <v/>
      </c>
      <c r="C42" s="418" t="str">
        <f>IF(AND(AE42&lt;&gt;"",AF42&lt;&gt;""),SUBSTITUTE(SUBSTITUTE('GCal-Translations'!$C$200,"#start_hour#",AE42),"#end_hour#",AF42),IF(AE42&lt;&gt;"",SUBSTITUTE('GCal-Translations'!$C$199,"#hh:mm#",AE42),""))</f>
        <v/>
      </c>
      <c r="D42" t="str">
        <f t="shared" si="1"/>
        <v/>
      </c>
      <c r="E42" s="267" t="str">
        <f ca="1">IF(AD42="*",'GCal-Translations'!$C$197 &amp; " " &amp; TEXT(AB42,"hh:mm"),"")</f>
        <v/>
      </c>
      <c r="F42" t="str">
        <f t="shared" si="2"/>
        <v/>
      </c>
      <c r="G42" t="str">
        <f t="shared" si="15"/>
        <v/>
      </c>
      <c r="H42" t="str">
        <f t="shared" ca="1" si="7"/>
        <v/>
      </c>
      <c r="I42" s="267" t="str">
        <f>GcalTranscode(INDEX('GCal-Year'!M$2:M$435,$X42))</f>
        <v/>
      </c>
      <c r="J42" s="267" t="str">
        <f>GcalTranscode(INDEX('GCal-Year'!N$2:N$435,$X42))</f>
        <v/>
      </c>
      <c r="K42" s="267" t="str">
        <f>GcalTranscode(INDEX('GCal-Year'!O$2:O$435,$X42))</f>
        <v/>
      </c>
      <c r="L42" s="267" t="str">
        <f>GcalTranscode(INDEX('GCal-Year'!P$2:P$435,$X42))</f>
        <v/>
      </c>
      <c r="M42" s="267" t="str">
        <f>GcalTranscode(INDEX('GCal-Year'!Q$2:Q$435,$X42))</f>
        <v/>
      </c>
      <c r="N42" s="267" t="str">
        <f>GcalTranscode(INDEX('GCal-Year'!R$2:R$435,$X42))</f>
        <v/>
      </c>
      <c r="O42" s="267" t="str">
        <f>GcalTranscode(INDEX('GCal-Year'!S$2:S$435,$X42))</f>
        <v/>
      </c>
      <c r="P42" s="267" t="str">
        <f t="shared" si="4"/>
        <v xml:space="preserve"> </v>
      </c>
      <c r="Q42" s="267" t="str">
        <f t="shared" si="8"/>
        <v/>
      </c>
      <c r="R42" s="267" t="str">
        <f t="shared" si="5"/>
        <v xml:space="preserve"> </v>
      </c>
      <c r="S42" s="267" t="str">
        <f t="shared" si="16"/>
        <v/>
      </c>
      <c r="T42" s="267" t="str">
        <f ca="1">INDEX('GCal-Year'!W$2:W$435,$X42)</f>
        <v/>
      </c>
      <c r="U42" s="267" t="str">
        <f ca="1">INDEX('GCal-Year'!X$2:X$435,$X42)</f>
        <v/>
      </c>
      <c r="V42" s="267" t="str">
        <f ca="1">INDEX('GCal-Year'!Y$2:Y$435,$X42)</f>
        <v/>
      </c>
      <c r="W42" s="267" t="str">
        <f ca="1">INDEX('GCal-Year'!Z$2:Z$435,$X42)</f>
        <v/>
      </c>
      <c r="X42">
        <f t="shared" si="14"/>
        <v>77</v>
      </c>
      <c r="Y42" s="267">
        <f>INDEX('GCal-Year'!D$2:D$435,$X42)</f>
        <v>77</v>
      </c>
      <c r="Z42" s="839">
        <f>INDEX(GCalXMLT[dstoffset],Y42) * TIMEVALUE("01:00:00")</f>
        <v>0</v>
      </c>
      <c r="AA42" s="267" t="str">
        <f>INDEX(GCalXMLT[stithiname],Y42)</f>
        <v>Caturthi</v>
      </c>
      <c r="AB42" s="839">
        <f>INDEX(GCalXMLT[dsunrisetime],$Y42)-Z42</f>
        <v>0.22322916666666667</v>
      </c>
      <c r="AC42" s="267" t="str">
        <f ca="1">INDEX('GCal-Year'!F$2:F$435,$X42)</f>
        <v/>
      </c>
      <c r="AD42" s="267" t="str">
        <f ca="1">INDEX('GCal-Year'!H$2:H$435,$X42)</f>
        <v/>
      </c>
      <c r="AE42" s="267" t="str">
        <f>IF(INDEX(GCalXMLT[paranafrom],$Y42)=0,"",TEXT(INDEX(GCalXMLT[paranafrom],$Y42)-$Z42,"hh:mm"))</f>
        <v/>
      </c>
      <c r="AF42" s="267" t="str">
        <f>IF(INDEX(GCalXMLT[paranato],$Y42)=0,"",TEXT(INDEX(GCalXMLT[paranato],$Y42)-$Z42,"hh:mm"))</f>
        <v/>
      </c>
      <c r="AG42" s="267" t="str">
        <f>GcalTranscode(INDEX('GCal-Year'!I$2:I$435,$X42))</f>
        <v/>
      </c>
      <c r="AH42" s="267" t="str">
        <f>GcalTranscode(INDEX('GCal-Year'!J$2:J$435,$X42))</f>
        <v/>
      </c>
      <c r="AI42" s="267" t="str">
        <f>GcalTranscode(INDEX('GCal-Year'!K$2:K$435,$X42))</f>
        <v/>
      </c>
      <c r="AJ42" s="267" t="str">
        <f>GcalTranscode(INDEX('GCal-Year'!L$2:L$435,$X42))</f>
        <v/>
      </c>
      <c r="AK42" s="267" t="str">
        <f>LEFT(INDEX(GCalXMLT[dcaturmasya1],$Y42),6)</f>
        <v/>
      </c>
      <c r="AL42" s="267" t="str">
        <f>RIGHT(INDEX(GCalXMLT[dcaturmasya1],$Y42),8)</f>
        <v/>
      </c>
      <c r="AM42" s="267" t="str">
        <f t="shared" si="10"/>
        <v/>
      </c>
      <c r="AN42" s="267" t="str">
        <f>LEFT(INDEX(GCalXMLT[dcaturmasya2],$Y42),6)</f>
        <v/>
      </c>
      <c r="AO42" s="267" t="str">
        <f>RIGHT(INDEX(GCalXMLT[dcaturmasya2],$Y42),8)</f>
        <v/>
      </c>
      <c r="AP42" s="267" t="str">
        <f>GcalTranscode(INDEX(GCalXMLT[sankrantirasi],$Y42))</f>
        <v/>
      </c>
      <c r="AQ42" s="294" t="str">
        <f>IF(INDEX(GCalXMLT[sankrantitime],$Y42)=0,"",INDEX(GCalXMLT[sankrantitime],$Y42)-Z42)</f>
        <v/>
      </c>
      <c r="AR42" s="265">
        <f t="shared" si="11"/>
        <v>43503</v>
      </c>
      <c r="AS42" t="str">
        <f ca="1">GcalTranscode(INDEX(GCalXMLT[gymasa],$Y42))</f>
        <v>Mādhāva (Māgha)</v>
      </c>
    </row>
    <row r="43" spans="1:45" x14ac:dyDescent="0.25">
      <c r="A43" s="265">
        <f t="shared" si="13"/>
        <v>43505</v>
      </c>
      <c r="B43" s="267" t="str">
        <f ca="1">IFERROR(SUBSTITUTE(SUBSTITUTE(RIGHT(AA43,LEN(AA43)-SEARCH(" (",AA43)),'GCal-Translations'!$B$194,'GCal-Translations'!$C$194,1),'GCal-Translations'!$B$195,'GCal-Translations'!$C$195,1),"")</f>
        <v/>
      </c>
      <c r="C43" s="418" t="str">
        <f>IF(AND(AE43&lt;&gt;"",AF43&lt;&gt;""),SUBSTITUTE(SUBSTITUTE('GCal-Translations'!$C$200,"#start_hour#",AE43),"#end_hour#",AF43),IF(AE43&lt;&gt;"",SUBSTITUTE('GCal-Translations'!$C$199,"#hh:mm#",AE43),""))</f>
        <v/>
      </c>
      <c r="D43" t="str">
        <f t="shared" si="1"/>
        <v/>
      </c>
      <c r="E43" s="267" t="str">
        <f ca="1">IF(AD43="*",'GCal-Translations'!$C$197 &amp; " " &amp; TEXT(AB43,"hh:mm"),"")</f>
        <v/>
      </c>
      <c r="F43" t="str">
        <f t="shared" si="2"/>
        <v/>
      </c>
      <c r="G43" t="str">
        <f t="shared" si="15"/>
        <v/>
      </c>
      <c r="H43" t="str">
        <f t="shared" ca="1" si="7"/>
        <v/>
      </c>
      <c r="I43" s="267" t="str">
        <f ca="1">GcalTranscode(INDEX('GCal-Year'!M$2:M$435,$X43))</f>
        <v>Vasanta Pancami</v>
      </c>
      <c r="J43" s="267" t="str">
        <f ca="1">GcalTranscode(INDEX('GCal-Year'!N$2:N$435,$X43))</f>
        <v>Srimati Visnupriya Devi - Aparecimento</v>
      </c>
      <c r="K43" s="267" t="str">
        <f ca="1">GcalTranscode(INDEX('GCal-Year'!O$2:O$435,$X43))</f>
        <v>Sarasvati Puja</v>
      </c>
      <c r="L43" s="267" t="str">
        <f ca="1">GcalTranscode(INDEX('GCal-Year'!P$2:P$435,$X43))</f>
        <v>Srila Visvanatha Cakravarti Thakura - Desaparecimento</v>
      </c>
      <c r="M43" s="267" t="str">
        <f ca="1">GcalTranscode(INDEX('GCal-Year'!Q$2:Q$435,$X43))</f>
        <v>Sri Pundarika Vidyanidhi - Aparecimento</v>
      </c>
      <c r="N43" s="267" t="str">
        <f ca="1">GcalTranscode(INDEX('GCal-Year'!R$2:R$435,$X43))</f>
        <v>Sri Raghunandana Thakura - Aparecimento</v>
      </c>
      <c r="O43" s="267" t="str">
        <f ca="1">GcalTranscode(INDEX('GCal-Year'!S$2:S$435,$X43))</f>
        <v>Srila Raghunatha Dasa Gosvami - Aparecimento</v>
      </c>
      <c r="P43" s="267" t="str">
        <f t="shared" si="4"/>
        <v xml:space="preserve"> </v>
      </c>
      <c r="Q43" s="267" t="str">
        <f t="shared" si="8"/>
        <v/>
      </c>
      <c r="R43" s="267" t="str">
        <f t="shared" si="5"/>
        <v xml:space="preserve"> </v>
      </c>
      <c r="S43" s="267" t="str">
        <f t="shared" si="16"/>
        <v/>
      </c>
      <c r="T43" s="267" t="str">
        <f ca="1">INDEX('GCal-Year'!W$2:W$435,$X43)</f>
        <v/>
      </c>
      <c r="U43" s="267" t="str">
        <f ca="1">INDEX('GCal-Year'!X$2:X$435,$X43)</f>
        <v/>
      </c>
      <c r="V43" s="267" t="str">
        <f ca="1">INDEX('GCal-Year'!Y$2:Y$435,$X43)</f>
        <v/>
      </c>
      <c r="W43" s="267" t="str">
        <f ca="1">INDEX('GCal-Year'!Z$2:Z$435,$X43)</f>
        <v/>
      </c>
      <c r="X43">
        <f t="shared" si="14"/>
        <v>78</v>
      </c>
      <c r="Y43" s="267">
        <f>INDEX('GCal-Year'!D$2:D$435,$X43)</f>
        <v>78</v>
      </c>
      <c r="Z43" s="839">
        <f>INDEX(GCalXMLT[dstoffset],Y43) * TIMEVALUE("01:00:00")</f>
        <v>0</v>
      </c>
      <c r="AA43" s="267" t="str">
        <f>INDEX(GCalXMLT[stithiname],Y43)</f>
        <v>Pancami</v>
      </c>
      <c r="AB43" s="839">
        <f>INDEX(GCalXMLT[dsunrisetime],$Y43)-Z43</f>
        <v>0.22339120370370369</v>
      </c>
      <c r="AC43" s="267" t="str">
        <f ca="1">INDEX('GCal-Year'!F$2:F$435,$X43)</f>
        <v>C</v>
      </c>
      <c r="AD43" s="267" t="str">
        <f ca="1">INDEX('GCal-Year'!H$2:H$435,$X43)</f>
        <v/>
      </c>
      <c r="AE43" s="267" t="str">
        <f>IF(INDEX(GCalXMLT[paranafrom],$Y43)=0,"",TEXT(INDEX(GCalXMLT[paranafrom],$Y43)-$Z43,"hh:mm"))</f>
        <v/>
      </c>
      <c r="AF43" s="267" t="str">
        <f>IF(INDEX(GCalXMLT[paranato],$Y43)=0,"",TEXT(INDEX(GCalXMLT[paranato],$Y43)-$Z43,"hh:mm"))</f>
        <v/>
      </c>
      <c r="AG43" s="267" t="str">
        <f>GcalTranscode(INDEX('GCal-Year'!I$2:I$435,$X43))</f>
        <v/>
      </c>
      <c r="AH43" s="267" t="str">
        <f>GcalTranscode(INDEX('GCal-Year'!J$2:J$435,$X43))</f>
        <v/>
      </c>
      <c r="AI43" s="267" t="str">
        <f>GcalTranscode(INDEX('GCal-Year'!K$2:K$435,$X43))</f>
        <v/>
      </c>
      <c r="AJ43" s="267" t="str">
        <f>GcalTranscode(INDEX('GCal-Year'!L$2:L$435,$X43))</f>
        <v/>
      </c>
      <c r="AK43" s="267" t="str">
        <f>LEFT(INDEX(GCalXMLT[dcaturmasya1],$Y43),6)</f>
        <v/>
      </c>
      <c r="AL43" s="267" t="str">
        <f>RIGHT(INDEX(GCalXMLT[dcaturmasya1],$Y43),8)</f>
        <v/>
      </c>
      <c r="AM43" s="267" t="str">
        <f t="shared" si="10"/>
        <v/>
      </c>
      <c r="AN43" s="267" t="str">
        <f>LEFT(INDEX(GCalXMLT[dcaturmasya2],$Y43),6)</f>
        <v/>
      </c>
      <c r="AO43" s="267" t="str">
        <f>RIGHT(INDEX(GCalXMLT[dcaturmasya2],$Y43),8)</f>
        <v/>
      </c>
      <c r="AP43" s="267" t="str">
        <f>GcalTranscode(INDEX(GCalXMLT[sankrantirasi],$Y43))</f>
        <v/>
      </c>
      <c r="AQ43" s="294" t="str">
        <f>IF(INDEX(GCalXMLT[sankrantitime],$Y43)=0,"",INDEX(GCalXMLT[sankrantitime],$Y43)-Z43)</f>
        <v/>
      </c>
      <c r="AR43" s="265">
        <f t="shared" si="11"/>
        <v>43504</v>
      </c>
      <c r="AS43" t="str">
        <f ca="1">GcalTranscode(INDEX(GCalXMLT[gymasa],$Y43))</f>
        <v>Mādhāva (Māgha)</v>
      </c>
    </row>
    <row r="44" spans="1:45" x14ac:dyDescent="0.25">
      <c r="A44" s="265">
        <f t="shared" si="13"/>
        <v>43506</v>
      </c>
      <c r="B44" s="267" t="str">
        <f ca="1">IFERROR(SUBSTITUTE(SUBSTITUTE(RIGHT(AA44,LEN(AA44)-SEARCH(" (",AA44)),'GCal-Translations'!$B$194,'GCal-Translations'!$C$194,1),'GCal-Translations'!$B$195,'GCal-Translations'!$C$195,1),"")</f>
        <v/>
      </c>
      <c r="C44" s="418" t="str">
        <f>IF(AND(AE44&lt;&gt;"",AF44&lt;&gt;""),SUBSTITUTE(SUBSTITUTE('GCal-Translations'!$C$200,"#start_hour#",AE44),"#end_hour#",AF44),IF(AE44&lt;&gt;"",SUBSTITUTE('GCal-Translations'!$C$199,"#hh:mm#",AE44),""))</f>
        <v/>
      </c>
      <c r="D44" t="str">
        <f t="shared" si="1"/>
        <v/>
      </c>
      <c r="E44" s="267" t="str">
        <f ca="1">IF(AD44="*",'GCal-Translations'!$C$197 &amp; " " &amp; TEXT(AB44,"hh:mm"),"")</f>
        <v/>
      </c>
      <c r="F44" t="str">
        <f t="shared" si="2"/>
        <v/>
      </c>
      <c r="G44" t="str">
        <f t="shared" si="15"/>
        <v/>
      </c>
      <c r="H44" t="str">
        <f t="shared" ca="1" si="7"/>
        <v/>
      </c>
      <c r="I44" s="267" t="str">
        <f>GcalTranscode(INDEX('GCal-Year'!M$2:M$435,$X44))</f>
        <v/>
      </c>
      <c r="J44" s="267" t="str">
        <f>GcalTranscode(INDEX('GCal-Year'!N$2:N$435,$X44))</f>
        <v/>
      </c>
      <c r="K44" s="267" t="str">
        <f>GcalTranscode(INDEX('GCal-Year'!O$2:O$435,$X44))</f>
        <v/>
      </c>
      <c r="L44" s="267" t="str">
        <f>GcalTranscode(INDEX('GCal-Year'!P$2:P$435,$X44))</f>
        <v/>
      </c>
      <c r="M44" s="267" t="str">
        <f>GcalTranscode(INDEX('GCal-Year'!Q$2:Q$435,$X44))</f>
        <v/>
      </c>
      <c r="N44" s="267" t="str">
        <f>GcalTranscode(INDEX('GCal-Year'!R$2:R$435,$X44))</f>
        <v/>
      </c>
      <c r="O44" s="267" t="str">
        <f>GcalTranscode(INDEX('GCal-Year'!S$2:S$435,$X44))</f>
        <v/>
      </c>
      <c r="P44" s="267" t="str">
        <f t="shared" si="4"/>
        <v xml:space="preserve"> </v>
      </c>
      <c r="Q44" s="267" t="str">
        <f t="shared" si="8"/>
        <v/>
      </c>
      <c r="R44" s="267" t="str">
        <f t="shared" si="5"/>
        <v xml:space="preserve"> </v>
      </c>
      <c r="S44" s="267" t="str">
        <f t="shared" si="16"/>
        <v/>
      </c>
      <c r="T44" s="267" t="str">
        <f ca="1">INDEX('GCal-Year'!W$2:W$435,$X44)</f>
        <v/>
      </c>
      <c r="U44" s="267" t="str">
        <f ca="1">INDEX('GCal-Year'!X$2:X$435,$X44)</f>
        <v/>
      </c>
      <c r="V44" s="267" t="str">
        <f ca="1">INDEX('GCal-Year'!Y$2:Y$435,$X44)</f>
        <v/>
      </c>
      <c r="W44" s="267" t="str">
        <f ca="1">INDEX('GCal-Year'!Z$2:Z$435,$X44)</f>
        <v/>
      </c>
      <c r="X44">
        <f t="shared" si="14"/>
        <v>79</v>
      </c>
      <c r="Y44" s="267">
        <f>INDEX('GCal-Year'!D$2:D$435,$X44)</f>
        <v>79</v>
      </c>
      <c r="Z44" s="839">
        <f>INDEX(GCalXMLT[dstoffset],Y44) * TIMEVALUE("01:00:00")</f>
        <v>0</v>
      </c>
      <c r="AA44" s="267" t="str">
        <f>INDEX(GCalXMLT[stithiname],Y44)</f>
        <v>Pancami</v>
      </c>
      <c r="AB44" s="839">
        <f>INDEX(GCalXMLT[dsunrisetime],$Y44)-Z44</f>
        <v>0.22355324074074076</v>
      </c>
      <c r="AC44" s="267" t="str">
        <f ca="1">INDEX('GCal-Year'!F$2:F$435,$X44)</f>
        <v/>
      </c>
      <c r="AD44" s="267" t="str">
        <f ca="1">INDEX('GCal-Year'!H$2:H$435,$X44)</f>
        <v/>
      </c>
      <c r="AE44" s="267" t="str">
        <f>IF(INDEX(GCalXMLT[paranafrom],$Y44)=0,"",TEXT(INDEX(GCalXMLT[paranafrom],$Y44)-$Z44,"hh:mm"))</f>
        <v/>
      </c>
      <c r="AF44" s="267" t="str">
        <f>IF(INDEX(GCalXMLT[paranato],$Y44)=0,"",TEXT(INDEX(GCalXMLT[paranato],$Y44)-$Z44,"hh:mm"))</f>
        <v/>
      </c>
      <c r="AG44" s="267" t="str">
        <f>GcalTranscode(INDEX('GCal-Year'!I$2:I$435,$X44))</f>
        <v/>
      </c>
      <c r="AH44" s="267" t="str">
        <f>GcalTranscode(INDEX('GCal-Year'!J$2:J$435,$X44))</f>
        <v/>
      </c>
      <c r="AI44" s="267" t="str">
        <f>GcalTranscode(INDEX('GCal-Year'!K$2:K$435,$X44))</f>
        <v/>
      </c>
      <c r="AJ44" s="267" t="str">
        <f>GcalTranscode(INDEX('GCal-Year'!L$2:L$435,$X44))</f>
        <v/>
      </c>
      <c r="AK44" s="267" t="str">
        <f>LEFT(INDEX(GCalXMLT[dcaturmasya1],$Y44),6)</f>
        <v/>
      </c>
      <c r="AL44" s="267" t="str">
        <f>RIGHT(INDEX(GCalXMLT[dcaturmasya1],$Y44),8)</f>
        <v/>
      </c>
      <c r="AM44" s="267" t="str">
        <f t="shared" si="10"/>
        <v/>
      </c>
      <c r="AN44" s="267" t="str">
        <f>LEFT(INDEX(GCalXMLT[dcaturmasya2],$Y44),6)</f>
        <v/>
      </c>
      <c r="AO44" s="267" t="str">
        <f>RIGHT(INDEX(GCalXMLT[dcaturmasya2],$Y44),8)</f>
        <v/>
      </c>
      <c r="AP44" s="267" t="str">
        <f>GcalTranscode(INDEX(GCalXMLT[sankrantirasi],$Y44))</f>
        <v/>
      </c>
      <c r="AQ44" s="294" t="str">
        <f>IF(INDEX(GCalXMLT[sankrantitime],$Y44)=0,"",INDEX(GCalXMLT[sankrantitime],$Y44)-Z44)</f>
        <v/>
      </c>
      <c r="AR44" s="265">
        <f t="shared" si="11"/>
        <v>43505</v>
      </c>
      <c r="AS44" t="str">
        <f ca="1">GcalTranscode(INDEX(GCalXMLT[gymasa],$Y44))</f>
        <v>Mādhāva (Māgha)</v>
      </c>
    </row>
    <row r="45" spans="1:45" x14ac:dyDescent="0.25">
      <c r="A45" s="265">
        <f t="shared" si="13"/>
        <v>43507</v>
      </c>
      <c r="B45" s="267" t="str">
        <f ca="1">IFERROR(SUBSTITUTE(SUBSTITUTE(RIGHT(AA45,LEN(AA45)-SEARCH(" (",AA45)),'GCal-Translations'!$B$194,'GCal-Translations'!$C$194,1),'GCal-Translations'!$B$195,'GCal-Translations'!$C$195,1),"")</f>
        <v/>
      </c>
      <c r="C45" s="418" t="str">
        <f>IF(AND(AE45&lt;&gt;"",AF45&lt;&gt;""),SUBSTITUTE(SUBSTITUTE('GCal-Translations'!$C$200,"#start_hour#",AE45),"#end_hour#",AF45),IF(AE45&lt;&gt;"",SUBSTITUTE('GCal-Translations'!$C$199,"#hh:mm#",AE45),""))</f>
        <v/>
      </c>
      <c r="D45" t="str">
        <f t="shared" si="1"/>
        <v/>
      </c>
      <c r="E45" s="267" t="str">
        <f ca="1">IF(AD45="*",'GCal-Translations'!$C$197 &amp; " " &amp; TEXT(AB45,"hh:mm"),"")</f>
        <v/>
      </c>
      <c r="F45" t="str">
        <f t="shared" si="2"/>
        <v/>
      </c>
      <c r="G45" t="str">
        <f t="shared" si="15"/>
        <v/>
      </c>
      <c r="H45" t="str">
        <f t="shared" ca="1" si="7"/>
        <v/>
      </c>
      <c r="I45" s="267" t="str">
        <f>GcalTranscode(INDEX('GCal-Year'!M$2:M$435,$X45))</f>
        <v/>
      </c>
      <c r="J45" s="267" t="str">
        <f>GcalTranscode(INDEX('GCal-Year'!N$2:N$435,$X45))</f>
        <v/>
      </c>
      <c r="K45" s="267" t="str">
        <f>GcalTranscode(INDEX('GCal-Year'!O$2:O$435,$X45))</f>
        <v/>
      </c>
      <c r="L45" s="267" t="str">
        <f>GcalTranscode(INDEX('GCal-Year'!P$2:P$435,$X45))</f>
        <v/>
      </c>
      <c r="M45" s="267" t="str">
        <f>GcalTranscode(INDEX('GCal-Year'!Q$2:Q$435,$X45))</f>
        <v/>
      </c>
      <c r="N45" s="267" t="str">
        <f>GcalTranscode(INDEX('GCal-Year'!R$2:R$435,$X45))</f>
        <v/>
      </c>
      <c r="O45" s="267" t="str">
        <f>GcalTranscode(INDEX('GCal-Year'!S$2:S$435,$X45))</f>
        <v/>
      </c>
      <c r="P45" s="267" t="str">
        <f t="shared" si="4"/>
        <v xml:space="preserve"> </v>
      </c>
      <c r="Q45" s="267" t="str">
        <f t="shared" si="8"/>
        <v/>
      </c>
      <c r="R45" s="267" t="str">
        <f t="shared" si="5"/>
        <v xml:space="preserve"> </v>
      </c>
      <c r="S45" s="267" t="str">
        <f t="shared" si="16"/>
        <v/>
      </c>
      <c r="T45" s="267" t="str">
        <f ca="1">INDEX('GCal-Year'!W$2:W$435,$X45)</f>
        <v/>
      </c>
      <c r="U45" s="267" t="str">
        <f ca="1">INDEX('GCal-Year'!X$2:X$435,$X45)</f>
        <v/>
      </c>
      <c r="V45" s="267" t="str">
        <f ca="1">INDEX('GCal-Year'!Y$2:Y$435,$X45)</f>
        <v/>
      </c>
      <c r="W45" s="267" t="str">
        <f ca="1">INDEX('GCal-Year'!Z$2:Z$435,$X45)</f>
        <v/>
      </c>
      <c r="X45">
        <f t="shared" si="14"/>
        <v>80</v>
      </c>
      <c r="Y45" s="267">
        <f>INDEX('GCal-Year'!D$2:D$435,$X45)</f>
        <v>80</v>
      </c>
      <c r="Z45" s="839">
        <f>INDEX(GCalXMLT[dstoffset],Y45) * TIMEVALUE("01:00:00")</f>
        <v>0</v>
      </c>
      <c r="AA45" s="267" t="str">
        <f>INDEX(GCalXMLT[stithiname],Y45)</f>
        <v>Sasti</v>
      </c>
      <c r="AB45" s="839">
        <f>INDEX(GCalXMLT[dsunrisetime],$Y45)-Z45</f>
        <v>0.22370370370370371</v>
      </c>
      <c r="AC45" s="267" t="str">
        <f ca="1">INDEX('GCal-Year'!F$2:F$435,$X45)</f>
        <v/>
      </c>
      <c r="AD45" s="267" t="str">
        <f ca="1">INDEX('GCal-Year'!H$2:H$435,$X45)</f>
        <v/>
      </c>
      <c r="AE45" s="267" t="str">
        <f>IF(INDEX(GCalXMLT[paranafrom],$Y45)=0,"",TEXT(INDEX(GCalXMLT[paranafrom],$Y45)-$Z45,"hh:mm"))</f>
        <v/>
      </c>
      <c r="AF45" s="267" t="str">
        <f>IF(INDEX(GCalXMLT[paranato],$Y45)=0,"",TEXT(INDEX(GCalXMLT[paranato],$Y45)-$Z45,"hh:mm"))</f>
        <v/>
      </c>
      <c r="AG45" s="267" t="str">
        <f>GcalTranscode(INDEX('GCal-Year'!I$2:I$435,$X45))</f>
        <v/>
      </c>
      <c r="AH45" s="267" t="str">
        <f>GcalTranscode(INDEX('GCal-Year'!J$2:J$435,$X45))</f>
        <v/>
      </c>
      <c r="AI45" s="267" t="str">
        <f>GcalTranscode(INDEX('GCal-Year'!K$2:K$435,$X45))</f>
        <v/>
      </c>
      <c r="AJ45" s="267" t="str">
        <f>GcalTranscode(INDEX('GCal-Year'!L$2:L$435,$X45))</f>
        <v/>
      </c>
      <c r="AK45" s="267" t="str">
        <f>LEFT(INDEX(GCalXMLT[dcaturmasya1],$Y45),6)</f>
        <v/>
      </c>
      <c r="AL45" s="267" t="str">
        <f>RIGHT(INDEX(GCalXMLT[dcaturmasya1],$Y45),8)</f>
        <v/>
      </c>
      <c r="AM45" s="267" t="str">
        <f t="shared" si="10"/>
        <v/>
      </c>
      <c r="AN45" s="267" t="str">
        <f>LEFT(INDEX(GCalXMLT[dcaturmasya2],$Y45),6)</f>
        <v/>
      </c>
      <c r="AO45" s="267" t="str">
        <f>RIGHT(INDEX(GCalXMLT[dcaturmasya2],$Y45),8)</f>
        <v/>
      </c>
      <c r="AP45" s="267" t="str">
        <f>GcalTranscode(INDEX(GCalXMLT[sankrantirasi],$Y45))</f>
        <v/>
      </c>
      <c r="AQ45" s="294" t="str">
        <f>IF(INDEX(GCalXMLT[sankrantitime],$Y45)=0,"",INDEX(GCalXMLT[sankrantitime],$Y45)-Z45)</f>
        <v/>
      </c>
      <c r="AR45" s="265">
        <f t="shared" si="11"/>
        <v>43506</v>
      </c>
      <c r="AS45" t="str">
        <f ca="1">GcalTranscode(INDEX(GCalXMLT[gymasa],$Y45))</f>
        <v>Mādhāva (Māgha)</v>
      </c>
    </row>
    <row r="47" spans="1:45" x14ac:dyDescent="0.25">
      <c r="P47" t="s">
        <v>126</v>
      </c>
    </row>
    <row r="48" spans="1:45" x14ac:dyDescent="0.25">
      <c r="B48" s="443">
        <v>1</v>
      </c>
      <c r="C48" s="443">
        <v>2</v>
      </c>
      <c r="D48" s="443">
        <v>3</v>
      </c>
      <c r="E48" s="443">
        <v>4</v>
      </c>
      <c r="F48" s="443">
        <v>5</v>
      </c>
      <c r="G48" s="443"/>
      <c r="H48" s="443">
        <v>6</v>
      </c>
      <c r="I48" s="443">
        <v>7</v>
      </c>
      <c r="J48" s="443">
        <v>8</v>
      </c>
      <c r="K48" s="443">
        <v>9</v>
      </c>
      <c r="L48" s="443">
        <v>10</v>
      </c>
      <c r="M48" s="443">
        <v>11</v>
      </c>
      <c r="N48" s="443">
        <v>12</v>
      </c>
      <c r="O48" s="443">
        <v>13</v>
      </c>
      <c r="P48" s="443">
        <v>14</v>
      </c>
      <c r="Q48" s="443"/>
      <c r="R48" s="443">
        <v>15</v>
      </c>
      <c r="S48" s="443">
        <v>16</v>
      </c>
      <c r="T48" s="443">
        <v>17</v>
      </c>
      <c r="U48" s="443">
        <v>18</v>
      </c>
      <c r="V48" s="443">
        <v>19</v>
      </c>
      <c r="W48" s="443">
        <v>20</v>
      </c>
      <c r="AG48" s="443"/>
      <c r="AH48" s="443"/>
      <c r="AI48" s="443"/>
      <c r="AJ48" s="443"/>
    </row>
    <row r="49" spans="1:36" x14ac:dyDescent="0.25">
      <c r="A49" t="s">
        <v>1240</v>
      </c>
      <c r="B49" s="320" t="s">
        <v>7581</v>
      </c>
      <c r="C49" s="420" t="s">
        <v>1763</v>
      </c>
      <c r="D49" s="327" t="s">
        <v>7499</v>
      </c>
      <c r="E49" s="305" t="s">
        <v>7596</v>
      </c>
      <c r="F49" s="327" t="s">
        <v>7500</v>
      </c>
      <c r="G49" s="327" t="s">
        <v>7501</v>
      </c>
      <c r="H49" s="327" t="s">
        <v>7502</v>
      </c>
      <c r="I49" s="274" t="s">
        <v>7502</v>
      </c>
      <c r="J49" s="274" t="s">
        <v>7503</v>
      </c>
      <c r="K49" s="274" t="s">
        <v>7504</v>
      </c>
      <c r="L49" s="274" t="s">
        <v>7505</v>
      </c>
      <c r="M49" s="274" t="s">
        <v>7516</v>
      </c>
      <c r="N49" s="274" t="s">
        <v>7518</v>
      </c>
      <c r="O49" s="274" t="s">
        <v>7520</v>
      </c>
      <c r="P49" s="419" t="s">
        <v>7506</v>
      </c>
      <c r="Q49" s="419" t="s">
        <v>9660</v>
      </c>
      <c r="R49" s="419" t="s">
        <v>7575</v>
      </c>
      <c r="S49" s="320" t="s">
        <v>7494</v>
      </c>
      <c r="T49" s="303" t="s">
        <v>7544</v>
      </c>
      <c r="U49" s="303" t="s">
        <v>7545</v>
      </c>
      <c r="V49" s="303" t="s">
        <v>7546</v>
      </c>
      <c r="W49" s="303" t="s">
        <v>7547</v>
      </c>
      <c r="X49" s="416" t="s">
        <v>7609</v>
      </c>
      <c r="AG49" s="443"/>
      <c r="AH49" s="443"/>
      <c r="AI49" s="443"/>
      <c r="AJ49" s="443"/>
    </row>
    <row r="50" spans="1:36" x14ac:dyDescent="0.25">
      <c r="A50" s="265">
        <f t="shared" ref="A50:A85" si="17">A2</f>
        <v>43464</v>
      </c>
      <c r="B50">
        <f t="shared" ref="B50:B85" ca="1" si="18">IF(B2&lt;&gt;"",1,0)</f>
        <v>0</v>
      </c>
      <c r="C50">
        <f>IF(C2&lt;&gt;"",MAX($B50:B50,0)+1,0)</f>
        <v>0</v>
      </c>
      <c r="D50">
        <f>IF(D2&lt;&gt;"",MAX($B50:C50,0)+1,0)</f>
        <v>0</v>
      </c>
      <c r="E50">
        <f ca="1">IF(E2&lt;&gt;"",MAX($B50:D50,0)+1,0)</f>
        <v>0</v>
      </c>
      <c r="F50">
        <f>IF(F2&lt;&gt;"",MAX($B50:E50,0)+1,0)</f>
        <v>0</v>
      </c>
      <c r="G50">
        <f>IF(G2&lt;&gt;"",MAX($B50:F50,0)+1,0)</f>
        <v>0</v>
      </c>
      <c r="H50">
        <f ca="1">IF(H2&lt;&gt;"",MAX($B50:G50,0)+1,0)</f>
        <v>1</v>
      </c>
      <c r="I50">
        <f>IF(I2&lt;&gt;"",MAX($B50:H50,0)+1,0)</f>
        <v>0</v>
      </c>
      <c r="J50">
        <f>IF(J2&lt;&gt;"",MAX($B50:I50,0)+1,0)</f>
        <v>0</v>
      </c>
      <c r="K50">
        <f>IF(K2&lt;&gt;"",MAX($B50:J50,0)+1,0)</f>
        <v>0</v>
      </c>
      <c r="L50">
        <f>IF(L2&lt;&gt;"",MAX($B50:K50,0)+1,0)</f>
        <v>0</v>
      </c>
      <c r="M50">
        <f>IF(M2&lt;&gt;"",MAX($B50:L50,0)+1,0)</f>
        <v>0</v>
      </c>
      <c r="N50">
        <f>IF(N2&lt;&gt;"",MAX($B50:M50,0)+1,0)</f>
        <v>0</v>
      </c>
      <c r="O50">
        <f>IF(O2&lt;&gt;"",MAX($B50:N50,0)+1,0)</f>
        <v>0</v>
      </c>
      <c r="P50" s="444">
        <f>IF(P2&lt;&gt;" ",MAX($B50:O50,0)+1,0)</f>
        <v>0</v>
      </c>
      <c r="Q50" s="828">
        <f>IF(Q2&lt;&gt;"",MAX($B50:P50,0)+1,0)</f>
        <v>0</v>
      </c>
      <c r="R50" s="444">
        <f>IF(R2&lt;&gt;" ",MAX($B50:P50,0)+1,0)</f>
        <v>0</v>
      </c>
      <c r="S50">
        <f>IF(S2&lt;&gt;"",MAX($B50:R50,0)+1,0)</f>
        <v>0</v>
      </c>
      <c r="T50">
        <f ca="1">IF(T2&lt;&gt;"",MAX($B50:S50,0)+1,0)</f>
        <v>0</v>
      </c>
      <c r="U50">
        <f ca="1">IF(U2&lt;&gt;"",MAX($B50:T50,0)+1,0)</f>
        <v>0</v>
      </c>
      <c r="V50">
        <f ca="1">IF(V2&lt;&gt;"",MAX($B50:U50,0)+1,0)</f>
        <v>0</v>
      </c>
      <c r="W50">
        <f ca="1">IF(W2&lt;&gt;"",MAX($B50:V50,0)+1,0)</f>
        <v>0</v>
      </c>
      <c r="X50">
        <f t="shared" ref="X50:X93" ca="1" si="19">MAX(B50:W50)</f>
        <v>1</v>
      </c>
    </row>
    <row r="51" spans="1:36" x14ac:dyDescent="0.25">
      <c r="A51" s="265">
        <f t="shared" si="17"/>
        <v>43465</v>
      </c>
      <c r="B51">
        <f t="shared" ca="1" si="18"/>
        <v>0</v>
      </c>
      <c r="C51">
        <f>IF(C3&lt;&gt;"",MAX($B51:B51,0)+1,0)</f>
        <v>0</v>
      </c>
      <c r="D51">
        <f>IF(D3&lt;&gt;"",MAX($B51:C51,0)+1,0)</f>
        <v>0</v>
      </c>
      <c r="E51">
        <f ca="1">IF(E3&lt;&gt;"",MAX($B51:D51,0)+1,0)</f>
        <v>0</v>
      </c>
      <c r="F51">
        <f>IF(F3&lt;&gt;"",MAX($B51:E51,0)+1,0)</f>
        <v>0</v>
      </c>
      <c r="G51">
        <f>IF(G3&lt;&gt;"",MAX($B51:F51,0)+1,0)</f>
        <v>0</v>
      </c>
      <c r="H51">
        <f ca="1">IF(H3&lt;&gt;"",MAX($B51:G51,0)+1,0)</f>
        <v>0</v>
      </c>
      <c r="I51">
        <f>IF(I3&lt;&gt;"",MAX($B51:H51,0)+1,0)</f>
        <v>0</v>
      </c>
      <c r="J51">
        <f>IF(J3&lt;&gt;"",MAX($B51:I51,0)+1,0)</f>
        <v>0</v>
      </c>
      <c r="K51">
        <f>IF(K3&lt;&gt;"",MAX($B51:J51,0)+1,0)</f>
        <v>0</v>
      </c>
      <c r="L51">
        <f>IF(L3&lt;&gt;"",MAX($B51:K51,0)+1,0)</f>
        <v>0</v>
      </c>
      <c r="M51">
        <f>IF(M3&lt;&gt;"",MAX($B51:L51,0)+1,0)</f>
        <v>0</v>
      </c>
      <c r="N51">
        <f>IF(N3&lt;&gt;"",MAX($B51:M51,0)+1,0)</f>
        <v>0</v>
      </c>
      <c r="O51">
        <f>IF(O3&lt;&gt;"",MAX($B51:N51,0)+1,0)</f>
        <v>0</v>
      </c>
      <c r="P51" s="444">
        <f>IF(P3&lt;&gt;" ",MAX($B51:O51,0)+1,0)</f>
        <v>0</v>
      </c>
      <c r="Q51" s="828">
        <f>IF(Q3&lt;&gt;"",MAX($B51:P51,0)+1,0)</f>
        <v>0</v>
      </c>
      <c r="R51" s="444">
        <f>IF(R3&lt;&gt;" ",MAX($B51:P51,0)+1,0)</f>
        <v>0</v>
      </c>
      <c r="S51">
        <f>IF(S3&lt;&gt;"",MAX($B51:R51,0)+1,0)</f>
        <v>0</v>
      </c>
      <c r="T51">
        <f ca="1">IF(T3&lt;&gt;"",MAX($B51:S51,0)+1,0)</f>
        <v>0</v>
      </c>
      <c r="U51">
        <f ca="1">IF(U3&lt;&gt;"",MAX($B51:T51,0)+1,0)</f>
        <v>0</v>
      </c>
      <c r="V51">
        <f ca="1">IF(V3&lt;&gt;"",MAX($B51:U51,0)+1,0)</f>
        <v>0</v>
      </c>
      <c r="W51">
        <f ca="1">IF(W3&lt;&gt;"",MAX($B51:V51,0)+1,0)</f>
        <v>0</v>
      </c>
      <c r="X51">
        <f t="shared" ca="1" si="19"/>
        <v>0</v>
      </c>
    </row>
    <row r="52" spans="1:36" x14ac:dyDescent="0.25">
      <c r="A52" s="265">
        <f t="shared" si="17"/>
        <v>43466</v>
      </c>
      <c r="B52">
        <f t="shared" ca="1" si="18"/>
        <v>1</v>
      </c>
      <c r="C52">
        <f>IF(C4&lt;&gt;"",MAX($B52:B52,0)+1,0)</f>
        <v>0</v>
      </c>
      <c r="D52">
        <f ca="1">IF(D4&lt;&gt;"",MAX($B52:C52,0)+1,0)</f>
        <v>2</v>
      </c>
      <c r="E52">
        <f ca="1">IF(E4&lt;&gt;"",MAX($B52:D52,0)+1,0)</f>
        <v>3</v>
      </c>
      <c r="F52">
        <f>IF(F4&lt;&gt;"",MAX($B52:E52,0)+1,0)</f>
        <v>0</v>
      </c>
      <c r="G52">
        <f>IF(G4&lt;&gt;"",MAX($B52:F52,0)+1,0)</f>
        <v>0</v>
      </c>
      <c r="H52">
        <f ca="1">IF(H4&lt;&gt;"",MAX($B52:G52,0)+1,0)</f>
        <v>0</v>
      </c>
      <c r="I52">
        <f ca="1">IF(I4&lt;&gt;"",MAX($B52:H52,0)+1,0)</f>
        <v>4</v>
      </c>
      <c r="J52">
        <f>IF(J4&lt;&gt;"",MAX($B52:I52,0)+1,0)</f>
        <v>0</v>
      </c>
      <c r="K52">
        <f>IF(K4&lt;&gt;"",MAX($B52:J52,0)+1,0)</f>
        <v>0</v>
      </c>
      <c r="L52">
        <f>IF(L4&lt;&gt;"",MAX($B52:K52,0)+1,0)</f>
        <v>0</v>
      </c>
      <c r="M52">
        <f>IF(M4&lt;&gt;"",MAX($B52:L52,0)+1,0)</f>
        <v>0</v>
      </c>
      <c r="N52">
        <f>IF(N4&lt;&gt;"",MAX($B52:M52,0)+1,0)</f>
        <v>0</v>
      </c>
      <c r="O52">
        <f>IF(O4&lt;&gt;"",MAX($B52:N52,0)+1,0)</f>
        <v>0</v>
      </c>
      <c r="P52" s="444">
        <f>IF(P4&lt;&gt;" ",MAX($B52:O52,0)+1,0)</f>
        <v>0</v>
      </c>
      <c r="Q52" s="828">
        <f>IF(Q4&lt;&gt;"",MAX($B52:P52,0)+1,0)</f>
        <v>0</v>
      </c>
      <c r="R52" s="444">
        <f>IF(R4&lt;&gt;" ",MAX($B52:P52,0)+1,0)</f>
        <v>0</v>
      </c>
      <c r="S52">
        <f>IF(S4&lt;&gt;"",MAX($B52:R52,0)+1,0)</f>
        <v>0</v>
      </c>
      <c r="T52">
        <f ca="1">IF(T4&lt;&gt;"",MAX($B52:S52,0)+1,0)</f>
        <v>5</v>
      </c>
      <c r="U52">
        <f ca="1">IF(U4&lt;&gt;"",MAX($B52:T52,0)+1,0)</f>
        <v>0</v>
      </c>
      <c r="V52">
        <f ca="1">IF(V4&lt;&gt;"",MAX($B52:U52,0)+1,0)</f>
        <v>0</v>
      </c>
      <c r="W52">
        <f ca="1">IF(W4&lt;&gt;"",MAX($B52:V52,0)+1,0)</f>
        <v>0</v>
      </c>
      <c r="X52">
        <f t="shared" ca="1" si="19"/>
        <v>5</v>
      </c>
    </row>
    <row r="53" spans="1:36" x14ac:dyDescent="0.25">
      <c r="A53" s="265">
        <f t="shared" si="17"/>
        <v>43467</v>
      </c>
      <c r="B53">
        <f t="shared" ca="1" si="18"/>
        <v>0</v>
      </c>
      <c r="C53">
        <f ca="1">IF(C5&lt;&gt;"",MAX($B53:B53,0)+1,0)</f>
        <v>1</v>
      </c>
      <c r="D53">
        <f>IF(D5&lt;&gt;"",MAX($B53:C53,0)+1,0)</f>
        <v>0</v>
      </c>
      <c r="E53">
        <f ca="1">IF(E5&lt;&gt;"",MAX($B53:D53,0)+1,0)</f>
        <v>0</v>
      </c>
      <c r="F53">
        <f>IF(F5&lt;&gt;"",MAX($B53:E53,0)+1,0)</f>
        <v>0</v>
      </c>
      <c r="G53">
        <f>IF(G5&lt;&gt;"",MAX($B53:F53,0)+1,0)</f>
        <v>0</v>
      </c>
      <c r="H53">
        <f ca="1">IF(H5&lt;&gt;"",MAX($B53:G53,0)+1,0)</f>
        <v>0</v>
      </c>
      <c r="I53">
        <f>IF(I5&lt;&gt;"",MAX($B53:H53,0)+1,0)</f>
        <v>0</v>
      </c>
      <c r="J53">
        <f>IF(J5&lt;&gt;"",MAX($B53:I53,0)+1,0)</f>
        <v>0</v>
      </c>
      <c r="K53">
        <f>IF(K5&lt;&gt;"",MAX($B53:J53,0)+1,0)</f>
        <v>0</v>
      </c>
      <c r="L53">
        <f>IF(L5&lt;&gt;"",MAX($B53:K53,0)+1,0)</f>
        <v>0</v>
      </c>
      <c r="M53">
        <f>IF(M5&lt;&gt;"",MAX($B53:L53,0)+1,0)</f>
        <v>0</v>
      </c>
      <c r="N53">
        <f>IF(N5&lt;&gt;"",MAX($B53:M53,0)+1,0)</f>
        <v>0</v>
      </c>
      <c r="O53">
        <f>IF(O5&lt;&gt;"",MAX($B53:N53,0)+1,0)</f>
        <v>0</v>
      </c>
      <c r="P53" s="444">
        <f>IF(P5&lt;&gt;" ",MAX($B53:O53,0)+1,0)</f>
        <v>0</v>
      </c>
      <c r="Q53" s="828">
        <f>IF(Q5&lt;&gt;"",MAX($B53:P53,0)+1,0)</f>
        <v>0</v>
      </c>
      <c r="R53" s="444">
        <f>IF(R5&lt;&gt;" ",MAX($B53:P53,0)+1,0)</f>
        <v>0</v>
      </c>
      <c r="S53">
        <f>IF(S5&lt;&gt;"",MAX($B53:R53,0)+1,0)</f>
        <v>0</v>
      </c>
      <c r="T53">
        <f ca="1">IF(T5&lt;&gt;"",MAX($B53:S53,0)+1,0)</f>
        <v>0</v>
      </c>
      <c r="U53">
        <f ca="1">IF(U5&lt;&gt;"",MAX($B53:T53,0)+1,0)</f>
        <v>0</v>
      </c>
      <c r="V53">
        <f ca="1">IF(V5&lt;&gt;"",MAX($B53:U53,0)+1,0)</f>
        <v>0</v>
      </c>
      <c r="W53">
        <f ca="1">IF(W5&lt;&gt;"",MAX($B53:V53,0)+1,0)</f>
        <v>0</v>
      </c>
      <c r="X53">
        <f t="shared" ca="1" si="19"/>
        <v>1</v>
      </c>
    </row>
    <row r="54" spans="1:36" x14ac:dyDescent="0.25">
      <c r="A54" s="265">
        <f t="shared" si="17"/>
        <v>43468</v>
      </c>
      <c r="B54">
        <f t="shared" ca="1" si="18"/>
        <v>0</v>
      </c>
      <c r="C54">
        <f>IF(C6&lt;&gt;"",MAX($B54:B54,0)+1,0)</f>
        <v>0</v>
      </c>
      <c r="D54">
        <f>IF(D6&lt;&gt;"",MAX($B54:C54,0)+1,0)</f>
        <v>0</v>
      </c>
      <c r="E54">
        <f ca="1">IF(E6&lt;&gt;"",MAX($B54:D54,0)+1,0)</f>
        <v>0</v>
      </c>
      <c r="F54">
        <f>IF(F6&lt;&gt;"",MAX($B54:E54,0)+1,0)</f>
        <v>0</v>
      </c>
      <c r="G54">
        <f>IF(G6&lt;&gt;"",MAX($B54:F54,0)+1,0)</f>
        <v>0</v>
      </c>
      <c r="H54">
        <f ca="1">IF(H6&lt;&gt;"",MAX($B54:G54,0)+1,0)</f>
        <v>0</v>
      </c>
      <c r="I54">
        <f ca="1">IF(I6&lt;&gt;"",MAX($B54:H54,0)+1,0)</f>
        <v>1</v>
      </c>
      <c r="J54">
        <f ca="1">IF(J6&lt;&gt;"",MAX($B54:I54,0)+1,0)</f>
        <v>2</v>
      </c>
      <c r="K54">
        <f>IF(K6&lt;&gt;"",MAX($B54:J54,0)+1,0)</f>
        <v>0</v>
      </c>
      <c r="L54">
        <f>IF(L6&lt;&gt;"",MAX($B54:K54,0)+1,0)</f>
        <v>0</v>
      </c>
      <c r="M54">
        <f>IF(M6&lt;&gt;"",MAX($B54:L54,0)+1,0)</f>
        <v>0</v>
      </c>
      <c r="N54">
        <f>IF(N6&lt;&gt;"",MAX($B54:M54,0)+1,0)</f>
        <v>0</v>
      </c>
      <c r="O54">
        <f>IF(O6&lt;&gt;"",MAX($B54:N54,0)+1,0)</f>
        <v>0</v>
      </c>
      <c r="P54" s="444">
        <f>IF(P6&lt;&gt;" ",MAX($B54:O54,0)+1,0)</f>
        <v>0</v>
      </c>
      <c r="Q54" s="828">
        <f>IF(Q6&lt;&gt;"",MAX($B54:P54,0)+1,0)</f>
        <v>0</v>
      </c>
      <c r="R54" s="444">
        <f>IF(R6&lt;&gt;" ",MAX($B54:P54,0)+1,0)</f>
        <v>0</v>
      </c>
      <c r="S54">
        <f>IF(S6&lt;&gt;"",MAX($B54:R54,0)+1,0)</f>
        <v>0</v>
      </c>
      <c r="T54">
        <f ca="1">IF(T6&lt;&gt;"",MAX($B54:S54,0)+1,0)</f>
        <v>0</v>
      </c>
      <c r="U54">
        <f ca="1">IF(U6&lt;&gt;"",MAX($B54:T54,0)+1,0)</f>
        <v>0</v>
      </c>
      <c r="V54">
        <f ca="1">IF(V6&lt;&gt;"",MAX($B54:U54,0)+1,0)</f>
        <v>0</v>
      </c>
      <c r="W54">
        <f ca="1">IF(W6&lt;&gt;"",MAX($B54:V54,0)+1,0)</f>
        <v>0</v>
      </c>
      <c r="X54">
        <f t="shared" ca="1" si="19"/>
        <v>2</v>
      </c>
    </row>
    <row r="55" spans="1:36" x14ac:dyDescent="0.25">
      <c r="A55" s="265">
        <f t="shared" si="17"/>
        <v>43469</v>
      </c>
      <c r="B55">
        <f t="shared" ca="1" si="18"/>
        <v>0</v>
      </c>
      <c r="C55">
        <f>IF(C7&lt;&gt;"",MAX($B55:B55,0)+1,0)</f>
        <v>0</v>
      </c>
      <c r="D55">
        <f>IF(D7&lt;&gt;"",MAX($B55:C55,0)+1,0)</f>
        <v>0</v>
      </c>
      <c r="E55">
        <f ca="1">IF(E7&lt;&gt;"",MAX($B55:D55,0)+1,0)</f>
        <v>0</v>
      </c>
      <c r="F55">
        <f>IF(F7&lt;&gt;"",MAX($B55:E55,0)+1,0)</f>
        <v>0</v>
      </c>
      <c r="G55">
        <f>IF(G7&lt;&gt;"",MAX($B55:F55,0)+1,0)</f>
        <v>0</v>
      </c>
      <c r="H55">
        <f ca="1">IF(H7&lt;&gt;"",MAX($B55:G55,0)+1,0)</f>
        <v>0</v>
      </c>
      <c r="I55">
        <f>IF(I7&lt;&gt;"",MAX($B55:H55,0)+1,0)</f>
        <v>0</v>
      </c>
      <c r="J55">
        <f>IF(J7&lt;&gt;"",MAX($B55:I55,0)+1,0)</f>
        <v>0</v>
      </c>
      <c r="K55">
        <f>IF(K7&lt;&gt;"",MAX($B55:J55,0)+1,0)</f>
        <v>0</v>
      </c>
      <c r="L55">
        <f>IF(L7&lt;&gt;"",MAX($B55:K55,0)+1,0)</f>
        <v>0</v>
      </c>
      <c r="M55">
        <f>IF(M7&lt;&gt;"",MAX($B55:L55,0)+1,0)</f>
        <v>0</v>
      </c>
      <c r="N55">
        <f>IF(N7&lt;&gt;"",MAX($B55:M55,0)+1,0)</f>
        <v>0</v>
      </c>
      <c r="O55">
        <f>IF(O7&lt;&gt;"",MAX($B55:N55,0)+1,0)</f>
        <v>0</v>
      </c>
      <c r="P55" s="444">
        <f>IF(P7&lt;&gt;" ",MAX($B55:O55,0)+1,0)</f>
        <v>0</v>
      </c>
      <c r="Q55" s="828">
        <f>IF(Q7&lt;&gt;"",MAX($B55:P55,0)+1,0)</f>
        <v>0</v>
      </c>
      <c r="R55" s="444">
        <f>IF(R7&lt;&gt;" ",MAX($B55:P55,0)+1,0)</f>
        <v>0</v>
      </c>
      <c r="S55">
        <f>IF(S7&lt;&gt;"",MAX($B55:R55,0)+1,0)</f>
        <v>0</v>
      </c>
      <c r="T55">
        <f ca="1">IF(T7&lt;&gt;"",MAX($B55:S55,0)+1,0)</f>
        <v>0</v>
      </c>
      <c r="U55">
        <f ca="1">IF(U7&lt;&gt;"",MAX($B55:T55,0)+1,0)</f>
        <v>0</v>
      </c>
      <c r="V55">
        <f ca="1">IF(V7&lt;&gt;"",MAX($B55:U55,0)+1,0)</f>
        <v>0</v>
      </c>
      <c r="W55">
        <f ca="1">IF(W7&lt;&gt;"",MAX($B55:V55,0)+1,0)</f>
        <v>0</v>
      </c>
      <c r="X55">
        <f t="shared" ca="1" si="19"/>
        <v>0</v>
      </c>
    </row>
    <row r="56" spans="1:36" x14ac:dyDescent="0.25">
      <c r="A56" s="265">
        <f t="shared" si="17"/>
        <v>43470</v>
      </c>
      <c r="B56">
        <f t="shared" ca="1" si="18"/>
        <v>0</v>
      </c>
      <c r="C56">
        <f>IF(C8&lt;&gt;"",MAX($B56:B56,0)+1,0)</f>
        <v>0</v>
      </c>
      <c r="D56">
        <f>IF(D8&lt;&gt;"",MAX($B56:C56,0)+1,0)</f>
        <v>0</v>
      </c>
      <c r="E56">
        <f ca="1">IF(E8&lt;&gt;"",MAX($B56:D56,0)+1,0)</f>
        <v>0</v>
      </c>
      <c r="F56">
        <f>IF(F8&lt;&gt;"",MAX($B56:E56,0)+1,0)</f>
        <v>0</v>
      </c>
      <c r="G56">
        <f>IF(G8&lt;&gt;"",MAX($B56:F56,0)+1,0)</f>
        <v>0</v>
      </c>
      <c r="H56">
        <f ca="1">IF(H8&lt;&gt;"",MAX($B56:G56,0)+1,0)</f>
        <v>0</v>
      </c>
      <c r="I56">
        <f>IF(I8&lt;&gt;"",MAX($B56:H56,0)+1,0)</f>
        <v>0</v>
      </c>
      <c r="J56">
        <f>IF(J8&lt;&gt;"",MAX($B56:I56,0)+1,0)</f>
        <v>0</v>
      </c>
      <c r="K56">
        <f>IF(K8&lt;&gt;"",MAX($B56:J56,0)+1,0)</f>
        <v>0</v>
      </c>
      <c r="L56">
        <f>IF(L8&lt;&gt;"",MAX($B56:K56,0)+1,0)</f>
        <v>0</v>
      </c>
      <c r="M56">
        <f>IF(M8&lt;&gt;"",MAX($B56:L56,0)+1,0)</f>
        <v>0</v>
      </c>
      <c r="N56">
        <f>IF(N8&lt;&gt;"",MAX($B56:M56,0)+1,0)</f>
        <v>0</v>
      </c>
      <c r="O56">
        <f>IF(O8&lt;&gt;"",MAX($B56:N56,0)+1,0)</f>
        <v>0</v>
      </c>
      <c r="P56" s="444">
        <f>IF(P8&lt;&gt;" ",MAX($B56:O56,0)+1,0)</f>
        <v>0</v>
      </c>
      <c r="Q56" s="828">
        <f>IF(Q8&lt;&gt;"",MAX($B56:P56,0)+1,0)</f>
        <v>0</v>
      </c>
      <c r="R56" s="444">
        <f>IF(R8&lt;&gt;" ",MAX($B56:P56,0)+1,0)</f>
        <v>0</v>
      </c>
      <c r="S56">
        <f>IF(S8&lt;&gt;"",MAX($B56:R56,0)+1,0)</f>
        <v>0</v>
      </c>
      <c r="T56">
        <f ca="1">IF(T8&lt;&gt;"",MAX($B56:S56,0)+1,0)</f>
        <v>0</v>
      </c>
      <c r="U56">
        <f ca="1">IF(U8&lt;&gt;"",MAX($B56:T56,0)+1,0)</f>
        <v>0</v>
      </c>
      <c r="V56">
        <f ca="1">IF(V8&lt;&gt;"",MAX($B56:U56,0)+1,0)</f>
        <v>0</v>
      </c>
      <c r="W56">
        <f ca="1">IF(W8&lt;&gt;"",MAX($B56:V56,0)+1,0)</f>
        <v>0</v>
      </c>
      <c r="X56">
        <f t="shared" ca="1" si="19"/>
        <v>0</v>
      </c>
    </row>
    <row r="57" spans="1:36" x14ac:dyDescent="0.25">
      <c r="A57" s="265">
        <f t="shared" si="17"/>
        <v>43471</v>
      </c>
      <c r="B57">
        <f t="shared" ca="1" si="18"/>
        <v>0</v>
      </c>
      <c r="C57">
        <f>IF(C9&lt;&gt;"",MAX($B57:B57,0)+1,0)</f>
        <v>0</v>
      </c>
      <c r="D57">
        <f>IF(D9&lt;&gt;"",MAX($B57:C57,0)+1,0)</f>
        <v>0</v>
      </c>
      <c r="E57">
        <f ca="1">IF(E9&lt;&gt;"",MAX($B57:D57,0)+1,0)</f>
        <v>0</v>
      </c>
      <c r="F57">
        <f>IF(F9&lt;&gt;"",MAX($B57:E57,0)+1,0)</f>
        <v>0</v>
      </c>
      <c r="G57">
        <f>IF(G9&lt;&gt;"",MAX($B57:F57,0)+1,0)</f>
        <v>0</v>
      </c>
      <c r="H57">
        <f ca="1">IF(H9&lt;&gt;"",MAX($B57:G57,0)+1,0)</f>
        <v>0</v>
      </c>
      <c r="I57">
        <f ca="1">IF(I9&lt;&gt;"",MAX($B57:H57,0)+1,0)</f>
        <v>1</v>
      </c>
      <c r="J57">
        <f>IF(J9&lt;&gt;"",MAX($B57:I57,0)+1,0)</f>
        <v>0</v>
      </c>
      <c r="K57">
        <f>IF(K9&lt;&gt;"",MAX($B57:J57,0)+1,0)</f>
        <v>0</v>
      </c>
      <c r="L57">
        <f>IF(L9&lt;&gt;"",MAX($B57:K57,0)+1,0)</f>
        <v>0</v>
      </c>
      <c r="M57">
        <f>IF(M9&lt;&gt;"",MAX($B57:L57,0)+1,0)</f>
        <v>0</v>
      </c>
      <c r="N57">
        <f>IF(N9&lt;&gt;"",MAX($B57:M57,0)+1,0)</f>
        <v>0</v>
      </c>
      <c r="O57">
        <f>IF(O9&lt;&gt;"",MAX($B57:N57,0)+1,0)</f>
        <v>0</v>
      </c>
      <c r="P57" s="444">
        <f>IF(P9&lt;&gt;" ",MAX($B57:O57,0)+1,0)</f>
        <v>0</v>
      </c>
      <c r="Q57" s="828">
        <f>IF(Q9&lt;&gt;"",MAX($B57:P57,0)+1,0)</f>
        <v>0</v>
      </c>
      <c r="R57" s="444">
        <f>IF(R9&lt;&gt;" ",MAX($B57:P57,0)+1,0)</f>
        <v>0</v>
      </c>
      <c r="S57">
        <f>IF(S9&lt;&gt;"",MAX($B57:R57,0)+1,0)</f>
        <v>0</v>
      </c>
      <c r="T57">
        <f ca="1">IF(T9&lt;&gt;"",MAX($B57:S57,0)+1,0)</f>
        <v>0</v>
      </c>
      <c r="U57">
        <f ca="1">IF(U9&lt;&gt;"",MAX($B57:T57,0)+1,0)</f>
        <v>0</v>
      </c>
      <c r="V57">
        <f ca="1">IF(V9&lt;&gt;"",MAX($B57:U57,0)+1,0)</f>
        <v>0</v>
      </c>
      <c r="W57">
        <f ca="1">IF(W9&lt;&gt;"",MAX($B57:V57,0)+1,0)</f>
        <v>0</v>
      </c>
      <c r="X57">
        <f t="shared" ca="1" si="19"/>
        <v>1</v>
      </c>
    </row>
    <row r="58" spans="1:36" x14ac:dyDescent="0.25">
      <c r="A58" s="265">
        <f t="shared" si="17"/>
        <v>43472</v>
      </c>
      <c r="B58">
        <f t="shared" ca="1" si="18"/>
        <v>0</v>
      </c>
      <c r="C58">
        <f>IF(C10&lt;&gt;"",MAX($B58:B58,0)+1,0)</f>
        <v>0</v>
      </c>
      <c r="D58">
        <f>IF(D10&lt;&gt;"",MAX($B58:C58,0)+1,0)</f>
        <v>0</v>
      </c>
      <c r="E58">
        <f ca="1">IF(E10&lt;&gt;"",MAX($B58:D58,0)+1,0)</f>
        <v>0</v>
      </c>
      <c r="F58">
        <f>IF(F10&lt;&gt;"",MAX($B58:E58,0)+1,0)</f>
        <v>0</v>
      </c>
      <c r="G58">
        <f>IF(G10&lt;&gt;"",MAX($B58:F58,0)+1,0)</f>
        <v>0</v>
      </c>
      <c r="H58">
        <f ca="1">IF(H10&lt;&gt;"",MAX($B58:G58,0)+1,0)</f>
        <v>0</v>
      </c>
      <c r="I58">
        <f>IF(I10&lt;&gt;"",MAX($B58:H58,0)+1,0)</f>
        <v>0</v>
      </c>
      <c r="J58">
        <f>IF(J10&lt;&gt;"",MAX($B58:I58,0)+1,0)</f>
        <v>0</v>
      </c>
      <c r="K58">
        <f>IF(K10&lt;&gt;"",MAX($B58:J58,0)+1,0)</f>
        <v>0</v>
      </c>
      <c r="L58">
        <f>IF(L10&lt;&gt;"",MAX($B58:K58,0)+1,0)</f>
        <v>0</v>
      </c>
      <c r="M58">
        <f>IF(M10&lt;&gt;"",MAX($B58:L58,0)+1,0)</f>
        <v>0</v>
      </c>
      <c r="N58">
        <f>IF(N10&lt;&gt;"",MAX($B58:M58,0)+1,0)</f>
        <v>0</v>
      </c>
      <c r="O58">
        <f>IF(O10&lt;&gt;"",MAX($B58:N58,0)+1,0)</f>
        <v>0</v>
      </c>
      <c r="P58" s="444">
        <f>IF(P10&lt;&gt;" ",MAX($B58:O58,0)+1,0)</f>
        <v>0</v>
      </c>
      <c r="Q58" s="828">
        <f>IF(Q10&lt;&gt;"",MAX($B58:P58,0)+1,0)</f>
        <v>0</v>
      </c>
      <c r="R58" s="444">
        <f>IF(R10&lt;&gt;" ",MAX($B58:P58,0)+1,0)</f>
        <v>0</v>
      </c>
      <c r="S58">
        <f>IF(S10&lt;&gt;"",MAX($B58:R58,0)+1,0)</f>
        <v>0</v>
      </c>
      <c r="T58">
        <f ca="1">IF(T10&lt;&gt;"",MAX($B58:S58,0)+1,0)</f>
        <v>0</v>
      </c>
      <c r="U58">
        <f ca="1">IF(U10&lt;&gt;"",MAX($B58:T58,0)+1,0)</f>
        <v>0</v>
      </c>
      <c r="V58">
        <f ca="1">IF(V10&lt;&gt;"",MAX($B58:U58,0)+1,0)</f>
        <v>0</v>
      </c>
      <c r="W58">
        <f ca="1">IF(W10&lt;&gt;"",MAX($B58:V58,0)+1,0)</f>
        <v>0</v>
      </c>
      <c r="X58">
        <f t="shared" ca="1" si="19"/>
        <v>0</v>
      </c>
    </row>
    <row r="59" spans="1:36" x14ac:dyDescent="0.25">
      <c r="A59" s="265">
        <f t="shared" si="17"/>
        <v>43473</v>
      </c>
      <c r="B59">
        <f t="shared" ca="1" si="18"/>
        <v>0</v>
      </c>
      <c r="C59">
        <f>IF(C11&lt;&gt;"",MAX($B59:B59,0)+1,0)</f>
        <v>0</v>
      </c>
      <c r="D59">
        <f>IF(D11&lt;&gt;"",MAX($B59:C59,0)+1,0)</f>
        <v>0</v>
      </c>
      <c r="E59">
        <f ca="1">IF(E11&lt;&gt;"",MAX($B59:D59,0)+1,0)</f>
        <v>0</v>
      </c>
      <c r="F59">
        <f>IF(F11&lt;&gt;"",MAX($B59:E59,0)+1,0)</f>
        <v>0</v>
      </c>
      <c r="G59">
        <f>IF(G11&lt;&gt;"",MAX($B59:F59,0)+1,0)</f>
        <v>0</v>
      </c>
      <c r="H59">
        <f ca="1">IF(H11&lt;&gt;"",MAX($B59:G59,0)+1,0)</f>
        <v>0</v>
      </c>
      <c r="I59">
        <f ca="1">IF(I11&lt;&gt;"",MAX($B59:H59,0)+1,0)</f>
        <v>1</v>
      </c>
      <c r="J59">
        <f ca="1">IF(J11&lt;&gt;"",MAX($B59:I59,0)+1,0)</f>
        <v>2</v>
      </c>
      <c r="K59">
        <f>IF(K11&lt;&gt;"",MAX($B59:J59,0)+1,0)</f>
        <v>0</v>
      </c>
      <c r="L59">
        <f>IF(L11&lt;&gt;"",MAX($B59:K59,0)+1,0)</f>
        <v>0</v>
      </c>
      <c r="M59">
        <f>IF(M11&lt;&gt;"",MAX($B59:L59,0)+1,0)</f>
        <v>0</v>
      </c>
      <c r="N59">
        <f>IF(N11&lt;&gt;"",MAX($B59:M59,0)+1,0)</f>
        <v>0</v>
      </c>
      <c r="O59">
        <f>IF(O11&lt;&gt;"",MAX($B59:N59,0)+1,0)</f>
        <v>0</v>
      </c>
      <c r="P59" s="444">
        <f>IF(P11&lt;&gt;" ",MAX($B59:O59,0)+1,0)</f>
        <v>0</v>
      </c>
      <c r="Q59" s="828">
        <f>IF(Q11&lt;&gt;"",MAX($B59:P59,0)+1,0)</f>
        <v>0</v>
      </c>
      <c r="R59" s="444">
        <f>IF(R11&lt;&gt;" ",MAX($B59:P59,0)+1,0)</f>
        <v>0</v>
      </c>
      <c r="S59">
        <f>IF(S11&lt;&gt;"",MAX($B59:R59,0)+1,0)</f>
        <v>0</v>
      </c>
      <c r="T59">
        <f ca="1">IF(T11&lt;&gt;"",MAX($B59:S59,0)+1,0)</f>
        <v>0</v>
      </c>
      <c r="U59">
        <f ca="1">IF(U11&lt;&gt;"",MAX($B59:T59,0)+1,0)</f>
        <v>0</v>
      </c>
      <c r="V59">
        <f ca="1">IF(V11&lt;&gt;"",MAX($B59:U59,0)+1,0)</f>
        <v>0</v>
      </c>
      <c r="W59">
        <f ca="1">IF(W11&lt;&gt;"",MAX($B59:V59,0)+1,0)</f>
        <v>0</v>
      </c>
      <c r="X59">
        <f t="shared" ca="1" si="19"/>
        <v>2</v>
      </c>
    </row>
    <row r="60" spans="1:36" x14ac:dyDescent="0.25">
      <c r="A60" s="265">
        <f t="shared" si="17"/>
        <v>43474</v>
      </c>
      <c r="B60">
        <f t="shared" ca="1" si="18"/>
        <v>0</v>
      </c>
      <c r="C60">
        <f>IF(C12&lt;&gt;"",MAX($B60:B60,0)+1,0)</f>
        <v>0</v>
      </c>
      <c r="D60">
        <f>IF(D12&lt;&gt;"",MAX($B60:C60,0)+1,0)</f>
        <v>0</v>
      </c>
      <c r="E60">
        <f ca="1">IF(E12&lt;&gt;"",MAX($B60:D60,0)+1,0)</f>
        <v>0</v>
      </c>
      <c r="F60">
        <f>IF(F12&lt;&gt;"",MAX($B60:E60,0)+1,0)</f>
        <v>0</v>
      </c>
      <c r="G60">
        <f>IF(G12&lt;&gt;"",MAX($B60:F60,0)+1,0)</f>
        <v>0</v>
      </c>
      <c r="H60">
        <f ca="1">IF(H12&lt;&gt;"",MAX($B60:G60,0)+1,0)</f>
        <v>0</v>
      </c>
      <c r="I60">
        <f>IF(I12&lt;&gt;"",MAX($B60:H60,0)+1,0)</f>
        <v>0</v>
      </c>
      <c r="J60">
        <f>IF(J12&lt;&gt;"",MAX($B60:I60,0)+1,0)</f>
        <v>0</v>
      </c>
      <c r="K60">
        <f>IF(K12&lt;&gt;"",MAX($B60:J60,0)+1,0)</f>
        <v>0</v>
      </c>
      <c r="L60">
        <f>IF(L12&lt;&gt;"",MAX($B60:K60,0)+1,0)</f>
        <v>0</v>
      </c>
      <c r="M60">
        <f>IF(M12&lt;&gt;"",MAX($B60:L60,0)+1,0)</f>
        <v>0</v>
      </c>
      <c r="N60">
        <f>IF(N12&lt;&gt;"",MAX($B60:M60,0)+1,0)</f>
        <v>0</v>
      </c>
      <c r="O60">
        <f>IF(O12&lt;&gt;"",MAX($B60:N60,0)+1,0)</f>
        <v>0</v>
      </c>
      <c r="P60" s="444">
        <f>IF(P12&lt;&gt;" ",MAX($B60:O60,0)+1,0)</f>
        <v>0</v>
      </c>
      <c r="Q60" s="828">
        <f>IF(Q12&lt;&gt;"",MAX($B60:P60,0)+1,0)</f>
        <v>0</v>
      </c>
      <c r="R60" s="444">
        <f>IF(R12&lt;&gt;" ",MAX($B60:P60,0)+1,0)</f>
        <v>0</v>
      </c>
      <c r="S60">
        <f>IF(S12&lt;&gt;"",MAX($B60:R60,0)+1,0)</f>
        <v>0</v>
      </c>
      <c r="T60">
        <f ca="1">IF(T12&lt;&gt;"",MAX($B60:S60,0)+1,0)</f>
        <v>0</v>
      </c>
      <c r="U60">
        <f ca="1">IF(U12&lt;&gt;"",MAX($B60:T60,0)+1,0)</f>
        <v>0</v>
      </c>
      <c r="V60">
        <f ca="1">IF(V12&lt;&gt;"",MAX($B60:U60,0)+1,0)</f>
        <v>0</v>
      </c>
      <c r="W60">
        <f ca="1">IF(W12&lt;&gt;"",MAX($B60:V60,0)+1,0)</f>
        <v>0</v>
      </c>
      <c r="X60">
        <f t="shared" ca="1" si="19"/>
        <v>0</v>
      </c>
    </row>
    <row r="61" spans="1:36" x14ac:dyDescent="0.25">
      <c r="A61" s="265">
        <f t="shared" si="17"/>
        <v>43475</v>
      </c>
      <c r="B61">
        <f t="shared" ca="1" si="18"/>
        <v>0</v>
      </c>
      <c r="C61">
        <f>IF(C13&lt;&gt;"",MAX($B61:B61,0)+1,0)</f>
        <v>0</v>
      </c>
      <c r="D61">
        <f>IF(D13&lt;&gt;"",MAX($B61:C61,0)+1,0)</f>
        <v>0</v>
      </c>
      <c r="E61">
        <f ca="1">IF(E13&lt;&gt;"",MAX($B61:D61,0)+1,0)</f>
        <v>0</v>
      </c>
      <c r="F61">
        <f>IF(F13&lt;&gt;"",MAX($B61:E61,0)+1,0)</f>
        <v>0</v>
      </c>
      <c r="G61">
        <f>IF(G13&lt;&gt;"",MAX($B61:F61,0)+1,0)</f>
        <v>0</v>
      </c>
      <c r="H61">
        <f ca="1">IF(H13&lt;&gt;"",MAX($B61:G61,0)+1,0)</f>
        <v>0</v>
      </c>
      <c r="I61">
        <f>IF(I13&lt;&gt;"",MAX($B61:H61,0)+1,0)</f>
        <v>0</v>
      </c>
      <c r="J61">
        <f>IF(J13&lt;&gt;"",MAX($B61:I61,0)+1,0)</f>
        <v>0</v>
      </c>
      <c r="K61">
        <f>IF(K13&lt;&gt;"",MAX($B61:J61,0)+1,0)</f>
        <v>0</v>
      </c>
      <c r="L61">
        <f>IF(L13&lt;&gt;"",MAX($B61:K61,0)+1,0)</f>
        <v>0</v>
      </c>
      <c r="M61">
        <f>IF(M13&lt;&gt;"",MAX($B61:L61,0)+1,0)</f>
        <v>0</v>
      </c>
      <c r="N61">
        <f>IF(N13&lt;&gt;"",MAX($B61:M61,0)+1,0)</f>
        <v>0</v>
      </c>
      <c r="O61">
        <f>IF(O13&lt;&gt;"",MAX($B61:N61,0)+1,0)</f>
        <v>0</v>
      </c>
      <c r="P61" s="444">
        <f>IF(P13&lt;&gt;" ",MAX($B61:O61,0)+1,0)</f>
        <v>0</v>
      </c>
      <c r="Q61" s="828">
        <f>IF(Q13&lt;&gt;"",MAX($B61:P61,0)+1,0)</f>
        <v>0</v>
      </c>
      <c r="R61" s="444">
        <f>IF(R13&lt;&gt;" ",MAX($B61:P61,0)+1,0)</f>
        <v>0</v>
      </c>
      <c r="S61">
        <f>IF(S13&lt;&gt;"",MAX($B61:R61,0)+1,0)</f>
        <v>0</v>
      </c>
      <c r="T61">
        <f ca="1">IF(T13&lt;&gt;"",MAX($B61:S61,0)+1,0)</f>
        <v>0</v>
      </c>
      <c r="U61">
        <f ca="1">IF(U13&lt;&gt;"",MAX($B61:T61,0)+1,0)</f>
        <v>0</v>
      </c>
      <c r="V61">
        <f ca="1">IF(V13&lt;&gt;"",MAX($B61:U61,0)+1,0)</f>
        <v>0</v>
      </c>
      <c r="W61">
        <f ca="1">IF(W13&lt;&gt;"",MAX($B61:V61,0)+1,0)</f>
        <v>0</v>
      </c>
      <c r="X61">
        <f t="shared" ca="1" si="19"/>
        <v>0</v>
      </c>
    </row>
    <row r="62" spans="1:36" x14ac:dyDescent="0.25">
      <c r="A62" s="265">
        <f t="shared" si="17"/>
        <v>43476</v>
      </c>
      <c r="B62">
        <f t="shared" ca="1" si="18"/>
        <v>0</v>
      </c>
      <c r="C62">
        <f>IF(C14&lt;&gt;"",MAX($B62:B62,0)+1,0)</f>
        <v>0</v>
      </c>
      <c r="D62">
        <f>IF(D14&lt;&gt;"",MAX($B62:C62,0)+1,0)</f>
        <v>0</v>
      </c>
      <c r="E62">
        <f ca="1">IF(E14&lt;&gt;"",MAX($B62:D62,0)+1,0)</f>
        <v>0</v>
      </c>
      <c r="F62">
        <f>IF(F14&lt;&gt;"",MAX($B62:E62,0)+1,0)</f>
        <v>0</v>
      </c>
      <c r="G62">
        <f>IF(G14&lt;&gt;"",MAX($B62:F62,0)+1,0)</f>
        <v>0</v>
      </c>
      <c r="H62">
        <f ca="1">IF(H14&lt;&gt;"",MAX($B62:G62,0)+1,0)</f>
        <v>0</v>
      </c>
      <c r="I62">
        <f>IF(I14&lt;&gt;"",MAX($B62:H62,0)+1,0)</f>
        <v>0</v>
      </c>
      <c r="J62">
        <f>IF(J14&lt;&gt;"",MAX($B62:I62,0)+1,0)</f>
        <v>0</v>
      </c>
      <c r="K62">
        <f>IF(K14&lt;&gt;"",MAX($B62:J62,0)+1,0)</f>
        <v>0</v>
      </c>
      <c r="L62">
        <f>IF(L14&lt;&gt;"",MAX($B62:K62,0)+1,0)</f>
        <v>0</v>
      </c>
      <c r="M62">
        <f>IF(M14&lt;&gt;"",MAX($B62:L62,0)+1,0)</f>
        <v>0</v>
      </c>
      <c r="N62">
        <f>IF(N14&lt;&gt;"",MAX($B62:M62,0)+1,0)</f>
        <v>0</v>
      </c>
      <c r="O62">
        <f>IF(O14&lt;&gt;"",MAX($B62:N62,0)+1,0)</f>
        <v>0</v>
      </c>
      <c r="P62" s="444">
        <f>IF(P14&lt;&gt;" ",MAX($B62:O62,0)+1,0)</f>
        <v>0</v>
      </c>
      <c r="Q62" s="828">
        <f>IF(Q14&lt;&gt;"",MAX($B62:P62,0)+1,0)</f>
        <v>0</v>
      </c>
      <c r="R62" s="444">
        <f>IF(R14&lt;&gt;" ",MAX($B62:P62,0)+1,0)</f>
        <v>0</v>
      </c>
      <c r="S62">
        <f>IF(S14&lt;&gt;"",MAX($B62:R62,0)+1,0)</f>
        <v>0</v>
      </c>
      <c r="T62">
        <f ca="1">IF(T14&lt;&gt;"",MAX($B62:S62,0)+1,0)</f>
        <v>0</v>
      </c>
      <c r="U62">
        <f ca="1">IF(U14&lt;&gt;"",MAX($B62:T62,0)+1,0)</f>
        <v>0</v>
      </c>
      <c r="V62">
        <f ca="1">IF(V14&lt;&gt;"",MAX($B62:U62,0)+1,0)</f>
        <v>0</v>
      </c>
      <c r="W62">
        <f ca="1">IF(W14&lt;&gt;"",MAX($B62:V62,0)+1,0)</f>
        <v>0</v>
      </c>
      <c r="X62">
        <f t="shared" ca="1" si="19"/>
        <v>0</v>
      </c>
    </row>
    <row r="63" spans="1:36" x14ac:dyDescent="0.25">
      <c r="A63" s="265">
        <f t="shared" si="17"/>
        <v>43477</v>
      </c>
      <c r="B63">
        <f t="shared" ca="1" si="18"/>
        <v>0</v>
      </c>
      <c r="C63">
        <f>IF(C15&lt;&gt;"",MAX($B63:B63,0)+1,0)</f>
        <v>0</v>
      </c>
      <c r="D63">
        <f>IF(D15&lt;&gt;"",MAX($B63:C63,0)+1,0)</f>
        <v>0</v>
      </c>
      <c r="E63">
        <f ca="1">IF(E15&lt;&gt;"",MAX($B63:D63,0)+1,0)</f>
        <v>0</v>
      </c>
      <c r="F63">
        <f>IF(F15&lt;&gt;"",MAX($B63:E63,0)+1,0)</f>
        <v>0</v>
      </c>
      <c r="G63">
        <f>IF(G15&lt;&gt;"",MAX($B63:F63,0)+1,0)</f>
        <v>0</v>
      </c>
      <c r="H63">
        <f ca="1">IF(H15&lt;&gt;"",MAX($B63:G63,0)+1,0)</f>
        <v>0</v>
      </c>
      <c r="I63">
        <f>IF(I15&lt;&gt;"",MAX($B63:H63,0)+1,0)</f>
        <v>0</v>
      </c>
      <c r="J63">
        <f>IF(J15&lt;&gt;"",MAX($B63:I63,0)+1,0)</f>
        <v>0</v>
      </c>
      <c r="K63">
        <f>IF(K15&lt;&gt;"",MAX($B63:J63,0)+1,0)</f>
        <v>0</v>
      </c>
      <c r="L63">
        <f>IF(L15&lt;&gt;"",MAX($B63:K63,0)+1,0)</f>
        <v>0</v>
      </c>
      <c r="M63">
        <f>IF(M15&lt;&gt;"",MAX($B63:L63,0)+1,0)</f>
        <v>0</v>
      </c>
      <c r="N63">
        <f>IF(N15&lt;&gt;"",MAX($B63:M63,0)+1,0)</f>
        <v>0</v>
      </c>
      <c r="O63">
        <f>IF(O15&lt;&gt;"",MAX($B63:N63,0)+1,0)</f>
        <v>0</v>
      </c>
      <c r="P63" s="444">
        <f>IF(P15&lt;&gt;" ",MAX($B63:O63,0)+1,0)</f>
        <v>0</v>
      </c>
      <c r="Q63" s="828">
        <f>IF(Q15&lt;&gt;"",MAX($B63:P63,0)+1,0)</f>
        <v>0</v>
      </c>
      <c r="R63" s="444">
        <f>IF(R15&lt;&gt;" ",MAX($B63:P63,0)+1,0)</f>
        <v>0</v>
      </c>
      <c r="S63">
        <f>IF(S15&lt;&gt;"",MAX($B63:R63,0)+1,0)</f>
        <v>0</v>
      </c>
      <c r="T63">
        <f ca="1">IF(T15&lt;&gt;"",MAX($B63:S63,0)+1,0)</f>
        <v>0</v>
      </c>
      <c r="U63">
        <f ca="1">IF(U15&lt;&gt;"",MAX($B63:T63,0)+1,0)</f>
        <v>0</v>
      </c>
      <c r="V63">
        <f ca="1">IF(V15&lt;&gt;"",MAX($B63:U63,0)+1,0)</f>
        <v>0</v>
      </c>
      <c r="W63">
        <f ca="1">IF(W15&lt;&gt;"",MAX($B63:V63,0)+1,0)</f>
        <v>0</v>
      </c>
      <c r="X63">
        <f t="shared" ca="1" si="19"/>
        <v>0</v>
      </c>
    </row>
    <row r="64" spans="1:36" x14ac:dyDescent="0.25">
      <c r="A64" s="265">
        <f t="shared" si="17"/>
        <v>43478</v>
      </c>
      <c r="B64">
        <f t="shared" ca="1" si="18"/>
        <v>0</v>
      </c>
      <c r="C64">
        <f>IF(C16&lt;&gt;"",MAX($B64:B64,0)+1,0)</f>
        <v>0</v>
      </c>
      <c r="D64">
        <f>IF(D16&lt;&gt;"",MAX($B64:C64,0)+1,0)</f>
        <v>0</v>
      </c>
      <c r="E64">
        <f ca="1">IF(E16&lt;&gt;"",MAX($B64:D64,0)+1,0)</f>
        <v>0</v>
      </c>
      <c r="F64">
        <f>IF(F16&lt;&gt;"",MAX($B64:E64,0)+1,0)</f>
        <v>0</v>
      </c>
      <c r="G64">
        <f>IF(G16&lt;&gt;"",MAX($B64:F64,0)+1,0)</f>
        <v>0</v>
      </c>
      <c r="H64">
        <f ca="1">IF(H16&lt;&gt;"",MAX($B64:G64,0)+1,0)</f>
        <v>0</v>
      </c>
      <c r="I64">
        <f>IF(I16&lt;&gt;"",MAX($B64:H64,0)+1,0)</f>
        <v>0</v>
      </c>
      <c r="J64">
        <f>IF(J16&lt;&gt;"",MAX($B64:I64,0)+1,0)</f>
        <v>0</v>
      </c>
      <c r="K64">
        <f>IF(K16&lt;&gt;"",MAX($B64:J64,0)+1,0)</f>
        <v>0</v>
      </c>
      <c r="L64">
        <f>IF(L16&lt;&gt;"",MAX($B64:K64,0)+1,0)</f>
        <v>0</v>
      </c>
      <c r="M64">
        <f>IF(M16&lt;&gt;"",MAX($B64:L64,0)+1,0)</f>
        <v>0</v>
      </c>
      <c r="N64">
        <f>IF(N16&lt;&gt;"",MAX($B64:M64,0)+1,0)</f>
        <v>0</v>
      </c>
      <c r="O64">
        <f>IF(O16&lt;&gt;"",MAX($B64:N64,0)+1,0)</f>
        <v>0</v>
      </c>
      <c r="P64" s="444">
        <f>IF(P16&lt;&gt;" ",MAX($B64:O64,0)+1,0)</f>
        <v>0</v>
      </c>
      <c r="Q64" s="828">
        <f>IF(Q16&lt;&gt;"",MAX($B64:P64,0)+1,0)</f>
        <v>0</v>
      </c>
      <c r="R64" s="444">
        <f>IF(R16&lt;&gt;" ",MAX($B64:P64,0)+1,0)</f>
        <v>0</v>
      </c>
      <c r="S64">
        <f>IF(S16&lt;&gt;"",MAX($B64:R64,0)+1,0)</f>
        <v>0</v>
      </c>
      <c r="T64">
        <f ca="1">IF(T16&lt;&gt;"",MAX($B64:S64,0)+1,0)</f>
        <v>0</v>
      </c>
      <c r="U64">
        <f ca="1">IF(U16&lt;&gt;"",MAX($B64:T64,0)+1,0)</f>
        <v>0</v>
      </c>
      <c r="V64">
        <f ca="1">IF(V16&lt;&gt;"",MAX($B64:U64,0)+1,0)</f>
        <v>0</v>
      </c>
      <c r="W64">
        <f ca="1">IF(W16&lt;&gt;"",MAX($B64:V64,0)+1,0)</f>
        <v>0</v>
      </c>
      <c r="X64">
        <f t="shared" ca="1" si="19"/>
        <v>0</v>
      </c>
    </row>
    <row r="65" spans="1:24" x14ac:dyDescent="0.25">
      <c r="A65" s="265">
        <f t="shared" si="17"/>
        <v>43479</v>
      </c>
      <c r="B65">
        <f t="shared" ca="1" si="18"/>
        <v>0</v>
      </c>
      <c r="C65">
        <f>IF(C17&lt;&gt;"",MAX($B65:B65,0)+1,0)</f>
        <v>0</v>
      </c>
      <c r="D65">
        <f ca="1">IF(D17&lt;&gt;"",MAX($B65:C65,0)+1,0)</f>
        <v>1</v>
      </c>
      <c r="E65">
        <f ca="1">IF(E17&lt;&gt;"",MAX($B65:D65,0)+1,0)</f>
        <v>0</v>
      </c>
      <c r="F65">
        <f>IF(F17&lt;&gt;"",MAX($B65:E65,0)+1,0)</f>
        <v>0</v>
      </c>
      <c r="G65">
        <f>IF(G17&lt;&gt;"",MAX($B65:F65,0)+1,0)</f>
        <v>0</v>
      </c>
      <c r="H65">
        <f ca="1">IF(H17&lt;&gt;"",MAX($B65:G65,0)+1,0)</f>
        <v>0</v>
      </c>
      <c r="I65">
        <f>IF(I17&lt;&gt;"",MAX($B65:H65,0)+1,0)</f>
        <v>0</v>
      </c>
      <c r="J65">
        <f>IF(J17&lt;&gt;"",MAX($B65:I65,0)+1,0)</f>
        <v>0</v>
      </c>
      <c r="K65">
        <f>IF(K17&lt;&gt;"",MAX($B65:J65,0)+1,0)</f>
        <v>0</v>
      </c>
      <c r="L65">
        <f>IF(L17&lt;&gt;"",MAX($B65:K65,0)+1,0)</f>
        <v>0</v>
      </c>
      <c r="M65">
        <f>IF(M17&lt;&gt;"",MAX($B65:L65,0)+1,0)</f>
        <v>0</v>
      </c>
      <c r="N65">
        <f>IF(N17&lt;&gt;"",MAX($B65:M65,0)+1,0)</f>
        <v>0</v>
      </c>
      <c r="O65">
        <f>IF(O17&lt;&gt;"",MAX($B65:N65,0)+1,0)</f>
        <v>0</v>
      </c>
      <c r="P65" s="444">
        <f>IF(P17&lt;&gt;" ",MAX($B65:O65,0)+1,0)</f>
        <v>0</v>
      </c>
      <c r="Q65" s="828">
        <f>IF(Q17&lt;&gt;"",MAX($B65:P65,0)+1,0)</f>
        <v>0</v>
      </c>
      <c r="R65" s="444">
        <f>IF(R17&lt;&gt;" ",MAX($B65:P65,0)+1,0)</f>
        <v>0</v>
      </c>
      <c r="S65">
        <f ca="1">IF(S17&lt;&gt;"",MAX($B65:R65,0)+1,0)</f>
        <v>2</v>
      </c>
      <c r="T65">
        <f ca="1">IF(T17&lt;&gt;"",MAX($B65:S65,0)+1,0)</f>
        <v>0</v>
      </c>
      <c r="U65">
        <f ca="1">IF(U17&lt;&gt;"",MAX($B65:T65,0)+1,0)</f>
        <v>0</v>
      </c>
      <c r="V65">
        <f ca="1">IF(V17&lt;&gt;"",MAX($B65:U65,0)+1,0)</f>
        <v>0</v>
      </c>
      <c r="W65">
        <f ca="1">IF(W17&lt;&gt;"",MAX($B65:V65,0)+1,0)</f>
        <v>0</v>
      </c>
      <c r="X65">
        <f t="shared" ca="1" si="19"/>
        <v>2</v>
      </c>
    </row>
    <row r="66" spans="1:24" x14ac:dyDescent="0.25">
      <c r="A66" s="265">
        <f t="shared" si="17"/>
        <v>43480</v>
      </c>
      <c r="B66">
        <f t="shared" ca="1" si="18"/>
        <v>0</v>
      </c>
      <c r="C66">
        <f>IF(C18&lt;&gt;"",MAX($B66:B66,0)+1,0)</f>
        <v>0</v>
      </c>
      <c r="D66">
        <f>IF(D18&lt;&gt;"",MAX($B66:C66,0)+1,0)</f>
        <v>0</v>
      </c>
      <c r="E66">
        <f ca="1">IF(E18&lt;&gt;"",MAX($B66:D66,0)+1,0)</f>
        <v>0</v>
      </c>
      <c r="F66">
        <f>IF(F18&lt;&gt;"",MAX($B66:E66,0)+1,0)</f>
        <v>0</v>
      </c>
      <c r="G66">
        <f>IF(G18&lt;&gt;"",MAX($B66:F66,0)+1,0)</f>
        <v>0</v>
      </c>
      <c r="H66">
        <f ca="1">IF(H18&lt;&gt;"",MAX($B66:G66,0)+1,0)</f>
        <v>0</v>
      </c>
      <c r="I66">
        <f>IF(I18&lt;&gt;"",MAX($B66:H66,0)+1,0)</f>
        <v>0</v>
      </c>
      <c r="J66">
        <f>IF(J18&lt;&gt;"",MAX($B66:I66,0)+1,0)</f>
        <v>0</v>
      </c>
      <c r="K66">
        <f>IF(K18&lt;&gt;"",MAX($B66:J66,0)+1,0)</f>
        <v>0</v>
      </c>
      <c r="L66">
        <f>IF(L18&lt;&gt;"",MAX($B66:K66,0)+1,0)</f>
        <v>0</v>
      </c>
      <c r="M66">
        <f>IF(M18&lt;&gt;"",MAX($B66:L66,0)+1,0)</f>
        <v>0</v>
      </c>
      <c r="N66">
        <f>IF(N18&lt;&gt;"",MAX($B66:M66,0)+1,0)</f>
        <v>0</v>
      </c>
      <c r="O66">
        <f>IF(O18&lt;&gt;"",MAX($B66:N66,0)+1,0)</f>
        <v>0</v>
      </c>
      <c r="P66" s="444">
        <f>IF(P18&lt;&gt;" ",MAX($B66:O66,0)+1,0)</f>
        <v>0</v>
      </c>
      <c r="Q66" s="828">
        <f>IF(Q18&lt;&gt;"",MAX($B66:P66,0)+1,0)</f>
        <v>0</v>
      </c>
      <c r="R66" s="444">
        <f>IF(R18&lt;&gt;" ",MAX($B66:P66,0)+1,0)</f>
        <v>0</v>
      </c>
      <c r="S66">
        <f>IF(S18&lt;&gt;"",MAX($B66:R66,0)+1,0)</f>
        <v>0</v>
      </c>
      <c r="T66">
        <f ca="1">IF(T18&lt;&gt;"",MAX($B66:S66,0)+1,0)</f>
        <v>0</v>
      </c>
      <c r="U66">
        <f ca="1">IF(U18&lt;&gt;"",MAX($B66:T66,0)+1,0)</f>
        <v>0</v>
      </c>
      <c r="V66">
        <f ca="1">IF(V18&lt;&gt;"",MAX($B66:U66,0)+1,0)</f>
        <v>0</v>
      </c>
      <c r="W66">
        <f ca="1">IF(W18&lt;&gt;"",MAX($B66:V66,0)+1,0)</f>
        <v>0</v>
      </c>
      <c r="X66">
        <f t="shared" ca="1" si="19"/>
        <v>0</v>
      </c>
    </row>
    <row r="67" spans="1:24" x14ac:dyDescent="0.25">
      <c r="A67" s="265">
        <f t="shared" si="17"/>
        <v>43481</v>
      </c>
      <c r="B67">
        <f t="shared" ca="1" si="18"/>
        <v>0</v>
      </c>
      <c r="C67">
        <f>IF(C19&lt;&gt;"",MAX($B67:B67,0)+1,0)</f>
        <v>0</v>
      </c>
      <c r="D67">
        <f>IF(D19&lt;&gt;"",MAX($B67:C67,0)+1,0)</f>
        <v>0</v>
      </c>
      <c r="E67">
        <f ca="1">IF(E19&lt;&gt;"",MAX($B67:D67,0)+1,0)</f>
        <v>0</v>
      </c>
      <c r="F67">
        <f>IF(F19&lt;&gt;"",MAX($B67:E67,0)+1,0)</f>
        <v>0</v>
      </c>
      <c r="G67">
        <f>IF(G19&lt;&gt;"",MAX($B67:F67,0)+1,0)</f>
        <v>0</v>
      </c>
      <c r="H67">
        <f ca="1">IF(H19&lt;&gt;"",MAX($B67:G67,0)+1,0)</f>
        <v>0</v>
      </c>
      <c r="I67">
        <f>IF(I19&lt;&gt;"",MAX($B67:H67,0)+1,0)</f>
        <v>0</v>
      </c>
      <c r="J67">
        <f>IF(J19&lt;&gt;"",MAX($B67:I67,0)+1,0)</f>
        <v>0</v>
      </c>
      <c r="K67">
        <f>IF(K19&lt;&gt;"",MAX($B67:J67,0)+1,0)</f>
        <v>0</v>
      </c>
      <c r="L67">
        <f>IF(L19&lt;&gt;"",MAX($B67:K67,0)+1,0)</f>
        <v>0</v>
      </c>
      <c r="M67">
        <f>IF(M19&lt;&gt;"",MAX($B67:L67,0)+1,0)</f>
        <v>0</v>
      </c>
      <c r="N67">
        <f>IF(N19&lt;&gt;"",MAX($B67:M67,0)+1,0)</f>
        <v>0</v>
      </c>
      <c r="O67">
        <f>IF(O19&lt;&gt;"",MAX($B67:N67,0)+1,0)</f>
        <v>0</v>
      </c>
      <c r="P67" s="444">
        <f>IF(P19&lt;&gt;" ",MAX($B67:O67,0)+1,0)</f>
        <v>0</v>
      </c>
      <c r="Q67" s="828">
        <f>IF(Q19&lt;&gt;"",MAX($B67:P67,0)+1,0)</f>
        <v>0</v>
      </c>
      <c r="R67" s="444">
        <f>IF(R19&lt;&gt;" ",MAX($B67:P67,0)+1,0)</f>
        <v>0</v>
      </c>
      <c r="S67">
        <f>IF(S19&lt;&gt;"",MAX($B67:R67,0)+1,0)</f>
        <v>0</v>
      </c>
      <c r="T67">
        <f ca="1">IF(T19&lt;&gt;"",MAX($B67:S67,0)+1,0)</f>
        <v>0</v>
      </c>
      <c r="U67">
        <f ca="1">IF(U19&lt;&gt;"",MAX($B67:T67,0)+1,0)</f>
        <v>0</v>
      </c>
      <c r="V67">
        <f ca="1">IF(V19&lt;&gt;"",MAX($B67:U67,0)+1,0)</f>
        <v>0</v>
      </c>
      <c r="W67">
        <f ca="1">IF(W19&lt;&gt;"",MAX($B67:V67,0)+1,0)</f>
        <v>0</v>
      </c>
      <c r="X67">
        <f t="shared" ca="1" si="19"/>
        <v>0</v>
      </c>
    </row>
    <row r="68" spans="1:24" x14ac:dyDescent="0.25">
      <c r="A68" s="265">
        <f t="shared" si="17"/>
        <v>43482</v>
      </c>
      <c r="B68">
        <f t="shared" ca="1" si="18"/>
        <v>1</v>
      </c>
      <c r="C68">
        <f>IF(C20&lt;&gt;"",MAX($B68:B68,0)+1,0)</f>
        <v>0</v>
      </c>
      <c r="D68">
        <f ca="1">IF(D20&lt;&gt;"",MAX($B68:C68,0)+1,0)</f>
        <v>2</v>
      </c>
      <c r="E68">
        <f ca="1">IF(E20&lt;&gt;"",MAX($B68:D68,0)+1,0)</f>
        <v>3</v>
      </c>
      <c r="F68">
        <f>IF(F20&lt;&gt;"",MAX($B68:E68,0)+1,0)</f>
        <v>0</v>
      </c>
      <c r="G68">
        <f>IF(G20&lt;&gt;"",MAX($B68:F68,0)+1,0)</f>
        <v>0</v>
      </c>
      <c r="H68">
        <f ca="1">IF(H20&lt;&gt;"",MAX($B68:G68,0)+1,0)</f>
        <v>0</v>
      </c>
      <c r="I68">
        <f>IF(I20&lt;&gt;"",MAX($B68:H68,0)+1,0)</f>
        <v>0</v>
      </c>
      <c r="J68">
        <f>IF(J20&lt;&gt;"",MAX($B68:I68,0)+1,0)</f>
        <v>0</v>
      </c>
      <c r="K68">
        <f>IF(K20&lt;&gt;"",MAX($B68:J68,0)+1,0)</f>
        <v>0</v>
      </c>
      <c r="L68">
        <f>IF(L20&lt;&gt;"",MAX($B68:K68,0)+1,0)</f>
        <v>0</v>
      </c>
      <c r="M68">
        <f>IF(M20&lt;&gt;"",MAX($B68:L68,0)+1,0)</f>
        <v>0</v>
      </c>
      <c r="N68">
        <f>IF(N20&lt;&gt;"",MAX($B68:M68,0)+1,0)</f>
        <v>0</v>
      </c>
      <c r="O68">
        <f>IF(O20&lt;&gt;"",MAX($B68:N68,0)+1,0)</f>
        <v>0</v>
      </c>
      <c r="P68" s="444">
        <f>IF(P20&lt;&gt;" ",MAX($B68:O68,0)+1,0)</f>
        <v>0</v>
      </c>
      <c r="Q68" s="828">
        <f>IF(Q20&lt;&gt;"",MAX($B68:P68,0)+1,0)</f>
        <v>0</v>
      </c>
      <c r="R68" s="444">
        <f>IF(R20&lt;&gt;" ",MAX($B68:P68,0)+1,0)</f>
        <v>0</v>
      </c>
      <c r="S68">
        <f>IF(S20&lt;&gt;"",MAX($B68:R68,0)+1,0)</f>
        <v>0</v>
      </c>
      <c r="T68">
        <f ca="1">IF(T20&lt;&gt;"",MAX($B68:S68,0)+1,0)</f>
        <v>0</v>
      </c>
      <c r="U68">
        <f ca="1">IF(U20&lt;&gt;"",MAX($B68:T68,0)+1,0)</f>
        <v>0</v>
      </c>
      <c r="V68">
        <f ca="1">IF(V20&lt;&gt;"",MAX($B68:U68,0)+1,0)</f>
        <v>0</v>
      </c>
      <c r="W68">
        <f ca="1">IF(W20&lt;&gt;"",MAX($B68:V68,0)+1,0)</f>
        <v>0</v>
      </c>
      <c r="X68">
        <f t="shared" ca="1" si="19"/>
        <v>3</v>
      </c>
    </row>
    <row r="69" spans="1:24" x14ac:dyDescent="0.25">
      <c r="A69" s="265">
        <f t="shared" si="17"/>
        <v>43483</v>
      </c>
      <c r="B69">
        <f t="shared" ca="1" si="18"/>
        <v>0</v>
      </c>
      <c r="C69">
        <f ca="1">IF(C21&lt;&gt;"",MAX($B69:B69,0)+1,0)</f>
        <v>1</v>
      </c>
      <c r="D69">
        <f>IF(D21&lt;&gt;"",MAX($B69:C69,0)+1,0)</f>
        <v>0</v>
      </c>
      <c r="E69">
        <f ca="1">IF(E21&lt;&gt;"",MAX($B69:D69,0)+1,0)</f>
        <v>0</v>
      </c>
      <c r="F69">
        <f>IF(F21&lt;&gt;"",MAX($B69:E69,0)+1,0)</f>
        <v>0</v>
      </c>
      <c r="G69">
        <f>IF(G21&lt;&gt;"",MAX($B69:F69,0)+1,0)</f>
        <v>0</v>
      </c>
      <c r="H69">
        <f ca="1">IF(H21&lt;&gt;"",MAX($B69:G69,0)+1,0)</f>
        <v>0</v>
      </c>
      <c r="I69">
        <f ca="1">IF(I21&lt;&gt;"",MAX($B69:H69,0)+1,0)</f>
        <v>2</v>
      </c>
      <c r="J69">
        <f>IF(J21&lt;&gt;"",MAX($B69:I69,0)+1,0)</f>
        <v>0</v>
      </c>
      <c r="K69">
        <f>IF(K21&lt;&gt;"",MAX($B69:J69,0)+1,0)</f>
        <v>0</v>
      </c>
      <c r="L69">
        <f>IF(L21&lt;&gt;"",MAX($B69:K69,0)+1,0)</f>
        <v>0</v>
      </c>
      <c r="M69">
        <f>IF(M21&lt;&gt;"",MAX($B69:L69,0)+1,0)</f>
        <v>0</v>
      </c>
      <c r="N69">
        <f>IF(N21&lt;&gt;"",MAX($B69:M69,0)+1,0)</f>
        <v>0</v>
      </c>
      <c r="O69">
        <f>IF(O21&lt;&gt;"",MAX($B69:N69,0)+1,0)</f>
        <v>0</v>
      </c>
      <c r="P69" s="444">
        <f>IF(P21&lt;&gt;" ",MAX($B69:O69,0)+1,0)</f>
        <v>0</v>
      </c>
      <c r="Q69" s="828">
        <f>IF(Q21&lt;&gt;"",MAX($B69:P69,0)+1,0)</f>
        <v>0</v>
      </c>
      <c r="R69" s="444">
        <f>IF(R21&lt;&gt;" ",MAX($B69:P69,0)+1,0)</f>
        <v>0</v>
      </c>
      <c r="S69">
        <f>IF(S21&lt;&gt;"",MAX($B69:R69,0)+1,0)</f>
        <v>0</v>
      </c>
      <c r="T69">
        <f ca="1">IF(T21&lt;&gt;"",MAX($B69:S69,0)+1,0)</f>
        <v>0</v>
      </c>
      <c r="U69">
        <f ca="1">IF(U21&lt;&gt;"",MAX($B69:T69,0)+1,0)</f>
        <v>0</v>
      </c>
      <c r="V69">
        <f ca="1">IF(V21&lt;&gt;"",MAX($B69:U69,0)+1,0)</f>
        <v>0</v>
      </c>
      <c r="W69">
        <f ca="1">IF(W21&lt;&gt;"",MAX($B69:V69,0)+1,0)</f>
        <v>0</v>
      </c>
      <c r="X69">
        <f t="shared" ca="1" si="19"/>
        <v>2</v>
      </c>
    </row>
    <row r="70" spans="1:24" x14ac:dyDescent="0.25">
      <c r="A70" s="265">
        <f t="shared" si="17"/>
        <v>43484</v>
      </c>
      <c r="B70">
        <f t="shared" ca="1" si="18"/>
        <v>0</v>
      </c>
      <c r="C70">
        <f>IF(C22&lt;&gt;"",MAX($B70:B70,0)+1,0)</f>
        <v>0</v>
      </c>
      <c r="D70">
        <f>IF(D22&lt;&gt;"",MAX($B70:C70,0)+1,0)</f>
        <v>0</v>
      </c>
      <c r="E70">
        <f ca="1">IF(E22&lt;&gt;"",MAX($B70:D70,0)+1,0)</f>
        <v>0</v>
      </c>
      <c r="F70">
        <f>IF(F22&lt;&gt;"",MAX($B70:E70,0)+1,0)</f>
        <v>0</v>
      </c>
      <c r="G70">
        <f>IF(G22&lt;&gt;"",MAX($B70:F70,0)+1,0)</f>
        <v>0</v>
      </c>
      <c r="H70">
        <f ca="1">IF(H22&lt;&gt;"",MAX($B70:G70,0)+1,0)</f>
        <v>0</v>
      </c>
      <c r="I70">
        <f>IF(I22&lt;&gt;"",MAX($B70:H70,0)+1,0)</f>
        <v>0</v>
      </c>
      <c r="J70">
        <f>IF(J22&lt;&gt;"",MAX($B70:I70,0)+1,0)</f>
        <v>0</v>
      </c>
      <c r="K70">
        <f>IF(K22&lt;&gt;"",MAX($B70:J70,0)+1,0)</f>
        <v>0</v>
      </c>
      <c r="L70">
        <f>IF(L22&lt;&gt;"",MAX($B70:K70,0)+1,0)</f>
        <v>0</v>
      </c>
      <c r="M70">
        <f>IF(M22&lt;&gt;"",MAX($B70:L70,0)+1,0)</f>
        <v>0</v>
      </c>
      <c r="N70">
        <f>IF(N22&lt;&gt;"",MAX($B70:M70,0)+1,0)</f>
        <v>0</v>
      </c>
      <c r="O70">
        <f>IF(O22&lt;&gt;"",MAX($B70:N70,0)+1,0)</f>
        <v>0</v>
      </c>
      <c r="P70" s="444">
        <f>IF(P22&lt;&gt;" ",MAX($B70:O70,0)+1,0)</f>
        <v>0</v>
      </c>
      <c r="Q70" s="828">
        <f>IF(Q22&lt;&gt;"",MAX($B70:P70,0)+1,0)</f>
        <v>0</v>
      </c>
      <c r="R70" s="444">
        <f>IF(R22&lt;&gt;" ",MAX($B70:P70,0)+1,0)</f>
        <v>0</v>
      </c>
      <c r="S70">
        <f>IF(S22&lt;&gt;"",MAX($B70:R70,0)+1,0)</f>
        <v>0</v>
      </c>
      <c r="T70">
        <f ca="1">IF(T22&lt;&gt;"",MAX($B70:S70,0)+1,0)</f>
        <v>0</v>
      </c>
      <c r="U70">
        <f ca="1">IF(U22&lt;&gt;"",MAX($B70:T70,0)+1,0)</f>
        <v>0</v>
      </c>
      <c r="V70">
        <f ca="1">IF(V22&lt;&gt;"",MAX($B70:U70,0)+1,0)</f>
        <v>0</v>
      </c>
      <c r="W70">
        <f ca="1">IF(W22&lt;&gt;"",MAX($B70:V70,0)+1,0)</f>
        <v>0</v>
      </c>
      <c r="X70">
        <f t="shared" ca="1" si="19"/>
        <v>0</v>
      </c>
    </row>
    <row r="71" spans="1:24" x14ac:dyDescent="0.25">
      <c r="A71" s="265">
        <f t="shared" si="17"/>
        <v>43485</v>
      </c>
      <c r="B71">
        <f t="shared" ca="1" si="18"/>
        <v>0</v>
      </c>
      <c r="C71">
        <f>IF(C23&lt;&gt;"",MAX($B71:B71,0)+1,0)</f>
        <v>0</v>
      </c>
      <c r="D71">
        <f>IF(D23&lt;&gt;"",MAX($B71:C71,0)+1,0)</f>
        <v>0</v>
      </c>
      <c r="E71">
        <f ca="1">IF(E23&lt;&gt;"",MAX($B71:D71,0)+1,0)</f>
        <v>0</v>
      </c>
      <c r="F71">
        <f>IF(F23&lt;&gt;"",MAX($B71:E71,0)+1,0)</f>
        <v>0</v>
      </c>
      <c r="G71">
        <f>IF(G23&lt;&gt;"",MAX($B71:F71,0)+1,0)</f>
        <v>0</v>
      </c>
      <c r="H71">
        <f ca="1">IF(H23&lt;&gt;"",MAX($B71:G71,0)+1,0)</f>
        <v>0</v>
      </c>
      <c r="I71">
        <f>IF(I23&lt;&gt;"",MAX($B71:H71,0)+1,0)</f>
        <v>0</v>
      </c>
      <c r="J71">
        <f>IF(J23&lt;&gt;"",MAX($B71:I71,0)+1,0)</f>
        <v>0</v>
      </c>
      <c r="K71">
        <f>IF(K23&lt;&gt;"",MAX($B71:J71,0)+1,0)</f>
        <v>0</v>
      </c>
      <c r="L71">
        <f>IF(L23&lt;&gt;"",MAX($B71:K71,0)+1,0)</f>
        <v>0</v>
      </c>
      <c r="M71">
        <f>IF(M23&lt;&gt;"",MAX($B71:L71,0)+1,0)</f>
        <v>0</v>
      </c>
      <c r="N71">
        <f>IF(N23&lt;&gt;"",MAX($B71:M71,0)+1,0)</f>
        <v>0</v>
      </c>
      <c r="O71">
        <f>IF(O23&lt;&gt;"",MAX($B71:N71,0)+1,0)</f>
        <v>0</v>
      </c>
      <c r="P71" s="444">
        <f>IF(P23&lt;&gt;" ",MAX($B71:O71,0)+1,0)</f>
        <v>0</v>
      </c>
      <c r="Q71" s="828">
        <f>IF(Q23&lt;&gt;"",MAX($B71:P71,0)+1,0)</f>
        <v>0</v>
      </c>
      <c r="R71" s="444">
        <f>IF(R23&lt;&gt;" ",MAX($B71:P71,0)+1,0)</f>
        <v>0</v>
      </c>
      <c r="S71">
        <f>IF(S23&lt;&gt;"",MAX($B71:R71,0)+1,0)</f>
        <v>0</v>
      </c>
      <c r="T71">
        <f ca="1">IF(T23&lt;&gt;"",MAX($B71:S71,0)+1,0)</f>
        <v>0</v>
      </c>
      <c r="U71">
        <f ca="1">IF(U23&lt;&gt;"",MAX($B71:T71,0)+1,0)</f>
        <v>0</v>
      </c>
      <c r="V71">
        <f ca="1">IF(V23&lt;&gt;"",MAX($B71:U71,0)+1,0)</f>
        <v>0</v>
      </c>
      <c r="W71">
        <f ca="1">IF(W23&lt;&gt;"",MAX($B71:V71,0)+1,0)</f>
        <v>0</v>
      </c>
      <c r="X71">
        <f t="shared" ca="1" si="19"/>
        <v>0</v>
      </c>
    </row>
    <row r="72" spans="1:24" x14ac:dyDescent="0.25">
      <c r="A72" s="265">
        <f t="shared" si="17"/>
        <v>43486</v>
      </c>
      <c r="B72">
        <f t="shared" ca="1" si="18"/>
        <v>0</v>
      </c>
      <c r="C72">
        <f>IF(C24&lt;&gt;"",MAX($B72:B72,0)+1,0)</f>
        <v>0</v>
      </c>
      <c r="D72">
        <f>IF(D24&lt;&gt;"",MAX($B72:C72,0)+1,0)</f>
        <v>0</v>
      </c>
      <c r="E72">
        <f ca="1">IF(E24&lt;&gt;"",MAX($B72:D72,0)+1,0)</f>
        <v>0</v>
      </c>
      <c r="F72">
        <f>IF(F24&lt;&gt;"",MAX($B72:E72,0)+1,0)</f>
        <v>0</v>
      </c>
      <c r="G72">
        <f>IF(G24&lt;&gt;"",MAX($B72:F72,0)+1,0)</f>
        <v>0</v>
      </c>
      <c r="H72">
        <f ca="1">IF(H24&lt;&gt;"",MAX($B72:G72,0)+1,0)</f>
        <v>1</v>
      </c>
      <c r="I72">
        <f>IF(I24&lt;&gt;"",MAX($B72:H72,0)+1,0)</f>
        <v>0</v>
      </c>
      <c r="J72">
        <f>IF(J24&lt;&gt;"",MAX($B72:I72,0)+1,0)</f>
        <v>0</v>
      </c>
      <c r="K72">
        <f>IF(K24&lt;&gt;"",MAX($B72:J72,0)+1,0)</f>
        <v>0</v>
      </c>
      <c r="L72">
        <f>IF(L24&lt;&gt;"",MAX($B72:K72,0)+1,0)</f>
        <v>0</v>
      </c>
      <c r="M72">
        <f>IF(M24&lt;&gt;"",MAX($B72:L72,0)+1,0)</f>
        <v>0</v>
      </c>
      <c r="N72">
        <f>IF(N24&lt;&gt;"",MAX($B72:M72,0)+1,0)</f>
        <v>0</v>
      </c>
      <c r="O72">
        <f>IF(O24&lt;&gt;"",MAX($B72:N72,0)+1,0)</f>
        <v>0</v>
      </c>
      <c r="P72" s="444">
        <f>IF(P24&lt;&gt;" ",MAX($B72:O72,0)+1,0)</f>
        <v>0</v>
      </c>
      <c r="Q72" s="828">
        <f>IF(Q24&lt;&gt;"",MAX($B72:P72,0)+1,0)</f>
        <v>0</v>
      </c>
      <c r="R72" s="444">
        <f>IF(R24&lt;&gt;" ",MAX($B72:P72,0)+1,0)</f>
        <v>0</v>
      </c>
      <c r="S72">
        <f>IF(S24&lt;&gt;"",MAX($B72:R72,0)+1,0)</f>
        <v>0</v>
      </c>
      <c r="T72">
        <f ca="1">IF(T24&lt;&gt;"",MAX($B72:S72,0)+1,0)</f>
        <v>0</v>
      </c>
      <c r="U72">
        <f ca="1">IF(U24&lt;&gt;"",MAX($B72:T72,0)+1,0)</f>
        <v>0</v>
      </c>
      <c r="V72">
        <f ca="1">IF(V24&lt;&gt;"",MAX($B72:U72,0)+1,0)</f>
        <v>0</v>
      </c>
      <c r="W72">
        <f ca="1">IF(W24&lt;&gt;"",MAX($B72:V72,0)+1,0)</f>
        <v>0</v>
      </c>
      <c r="X72">
        <f t="shared" ca="1" si="19"/>
        <v>1</v>
      </c>
    </row>
    <row r="73" spans="1:24" x14ac:dyDescent="0.25">
      <c r="A73" s="265">
        <f t="shared" si="17"/>
        <v>43487</v>
      </c>
      <c r="B73">
        <f t="shared" ca="1" si="18"/>
        <v>0</v>
      </c>
      <c r="C73">
        <f>IF(C25&lt;&gt;"",MAX($B73:B73,0)+1,0)</f>
        <v>0</v>
      </c>
      <c r="D73">
        <f>IF(D25&lt;&gt;"",MAX($B73:C73,0)+1,0)</f>
        <v>0</v>
      </c>
      <c r="E73">
        <f ca="1">IF(E25&lt;&gt;"",MAX($B73:D73,0)+1,0)</f>
        <v>0</v>
      </c>
      <c r="F73">
        <f>IF(F25&lt;&gt;"",MAX($B73:E73,0)+1,0)</f>
        <v>0</v>
      </c>
      <c r="G73">
        <f>IF(G25&lt;&gt;"",MAX($B73:F73,0)+1,0)</f>
        <v>0</v>
      </c>
      <c r="H73">
        <f ca="1">IF(H25&lt;&gt;"",MAX($B73:G73,0)+1,0)</f>
        <v>0</v>
      </c>
      <c r="I73">
        <f>IF(I25&lt;&gt;"",MAX($B73:H73,0)+1,0)</f>
        <v>0</v>
      </c>
      <c r="J73">
        <f>IF(J25&lt;&gt;"",MAX($B73:I73,0)+1,0)</f>
        <v>0</v>
      </c>
      <c r="K73">
        <f>IF(K25&lt;&gt;"",MAX($B73:J73,0)+1,0)</f>
        <v>0</v>
      </c>
      <c r="L73">
        <f>IF(L25&lt;&gt;"",MAX($B73:K73,0)+1,0)</f>
        <v>0</v>
      </c>
      <c r="M73">
        <f>IF(M25&lt;&gt;"",MAX($B73:L73,0)+1,0)</f>
        <v>0</v>
      </c>
      <c r="N73">
        <f>IF(N25&lt;&gt;"",MAX($B73:M73,0)+1,0)</f>
        <v>0</v>
      </c>
      <c r="O73">
        <f>IF(O25&lt;&gt;"",MAX($B73:N73,0)+1,0)</f>
        <v>0</v>
      </c>
      <c r="P73" s="444">
        <f>IF(P25&lt;&gt;" ",MAX($B73:O73,0)+1,0)</f>
        <v>0</v>
      </c>
      <c r="Q73" s="828">
        <f>IF(Q25&lt;&gt;"",MAX($B73:P73,0)+1,0)</f>
        <v>0</v>
      </c>
      <c r="R73" s="444">
        <f>IF(R25&lt;&gt;" ",MAX($B73:P73,0)+1,0)</f>
        <v>0</v>
      </c>
      <c r="S73">
        <f>IF(S25&lt;&gt;"",MAX($B73:R73,0)+1,0)</f>
        <v>0</v>
      </c>
      <c r="T73">
        <f ca="1">IF(T25&lt;&gt;"",MAX($B73:S73,0)+1,0)</f>
        <v>0</v>
      </c>
      <c r="U73">
        <f ca="1">IF(U25&lt;&gt;"",MAX($B73:T73,0)+1,0)</f>
        <v>0</v>
      </c>
      <c r="V73">
        <f ca="1">IF(V25&lt;&gt;"",MAX($B73:U73,0)+1,0)</f>
        <v>0</v>
      </c>
      <c r="W73">
        <f ca="1">IF(W25&lt;&gt;"",MAX($B73:V73,0)+1,0)</f>
        <v>0</v>
      </c>
      <c r="X73">
        <f t="shared" ca="1" si="19"/>
        <v>0</v>
      </c>
    </row>
    <row r="74" spans="1:24" x14ac:dyDescent="0.25">
      <c r="A74" s="265">
        <f t="shared" si="17"/>
        <v>43488</v>
      </c>
      <c r="B74">
        <f t="shared" ca="1" si="18"/>
        <v>0</v>
      </c>
      <c r="C74">
        <f>IF(C26&lt;&gt;"",MAX($B74:B74,0)+1,0)</f>
        <v>0</v>
      </c>
      <c r="D74">
        <f>IF(D26&lt;&gt;"",MAX($B74:C74,0)+1,0)</f>
        <v>0</v>
      </c>
      <c r="E74">
        <f ca="1">IF(E26&lt;&gt;"",MAX($B74:D74,0)+1,0)</f>
        <v>0</v>
      </c>
      <c r="F74">
        <f>IF(F26&lt;&gt;"",MAX($B74:E74,0)+1,0)</f>
        <v>0</v>
      </c>
      <c r="G74">
        <f>IF(G26&lt;&gt;"",MAX($B74:F74,0)+1,0)</f>
        <v>0</v>
      </c>
      <c r="H74">
        <f ca="1">IF(H26&lt;&gt;"",MAX($B74:G74,0)+1,0)</f>
        <v>0</v>
      </c>
      <c r="I74">
        <f>IF(I26&lt;&gt;"",MAX($B74:H74,0)+1,0)</f>
        <v>0</v>
      </c>
      <c r="J74">
        <f>IF(J26&lt;&gt;"",MAX($B74:I74,0)+1,0)</f>
        <v>0</v>
      </c>
      <c r="K74">
        <f>IF(K26&lt;&gt;"",MAX($B74:J74,0)+1,0)</f>
        <v>0</v>
      </c>
      <c r="L74">
        <f>IF(L26&lt;&gt;"",MAX($B74:K74,0)+1,0)</f>
        <v>0</v>
      </c>
      <c r="M74">
        <f>IF(M26&lt;&gt;"",MAX($B74:L74,0)+1,0)</f>
        <v>0</v>
      </c>
      <c r="N74">
        <f>IF(N26&lt;&gt;"",MAX($B74:M74,0)+1,0)</f>
        <v>0</v>
      </c>
      <c r="O74">
        <f>IF(O26&lt;&gt;"",MAX($B74:N74,0)+1,0)</f>
        <v>0</v>
      </c>
      <c r="P74" s="444">
        <f>IF(P26&lt;&gt;" ",MAX($B74:O74,0)+1,0)</f>
        <v>0</v>
      </c>
      <c r="Q74" s="828">
        <f>IF(Q26&lt;&gt;"",MAX($B74:P74,0)+1,0)</f>
        <v>0</v>
      </c>
      <c r="R74" s="444">
        <f>IF(R26&lt;&gt;" ",MAX($B74:P74,0)+1,0)</f>
        <v>0</v>
      </c>
      <c r="S74">
        <f>IF(S26&lt;&gt;"",MAX($B74:R74,0)+1,0)</f>
        <v>0</v>
      </c>
      <c r="T74">
        <f ca="1">IF(T26&lt;&gt;"",MAX($B74:S74,0)+1,0)</f>
        <v>0</v>
      </c>
      <c r="U74">
        <f ca="1">IF(U26&lt;&gt;"",MAX($B74:T74,0)+1,0)</f>
        <v>0</v>
      </c>
      <c r="V74">
        <f ca="1">IF(V26&lt;&gt;"",MAX($B74:U74,0)+1,0)</f>
        <v>0</v>
      </c>
      <c r="W74">
        <f ca="1">IF(W26&lt;&gt;"",MAX($B74:V74,0)+1,0)</f>
        <v>0</v>
      </c>
      <c r="X74">
        <f t="shared" ca="1" si="19"/>
        <v>0</v>
      </c>
    </row>
    <row r="75" spans="1:24" x14ac:dyDescent="0.25">
      <c r="A75" s="265">
        <f t="shared" si="17"/>
        <v>43489</v>
      </c>
      <c r="B75">
        <f t="shared" ca="1" si="18"/>
        <v>0</v>
      </c>
      <c r="C75">
        <f>IF(C27&lt;&gt;"",MAX($B75:B75,0)+1,0)</f>
        <v>0</v>
      </c>
      <c r="D75">
        <f>IF(D27&lt;&gt;"",MAX($B75:C75,0)+1,0)</f>
        <v>0</v>
      </c>
      <c r="E75">
        <f ca="1">IF(E27&lt;&gt;"",MAX($B75:D75,0)+1,0)</f>
        <v>0</v>
      </c>
      <c r="F75">
        <f>IF(F27&lt;&gt;"",MAX($B75:E75,0)+1,0)</f>
        <v>0</v>
      </c>
      <c r="G75">
        <f>IF(G27&lt;&gt;"",MAX($B75:F75,0)+1,0)</f>
        <v>0</v>
      </c>
      <c r="H75">
        <f ca="1">IF(H27&lt;&gt;"",MAX($B75:G75,0)+1,0)</f>
        <v>0</v>
      </c>
      <c r="I75">
        <f>IF(I27&lt;&gt;"",MAX($B75:H75,0)+1,0)</f>
        <v>0</v>
      </c>
      <c r="J75">
        <f>IF(J27&lt;&gt;"",MAX($B75:I75,0)+1,0)</f>
        <v>0</v>
      </c>
      <c r="K75">
        <f>IF(K27&lt;&gt;"",MAX($B75:J75,0)+1,0)</f>
        <v>0</v>
      </c>
      <c r="L75">
        <f>IF(L27&lt;&gt;"",MAX($B75:K75,0)+1,0)</f>
        <v>0</v>
      </c>
      <c r="M75">
        <f>IF(M27&lt;&gt;"",MAX($B75:L75,0)+1,0)</f>
        <v>0</v>
      </c>
      <c r="N75">
        <f>IF(N27&lt;&gt;"",MAX($B75:M75,0)+1,0)</f>
        <v>0</v>
      </c>
      <c r="O75">
        <f>IF(O27&lt;&gt;"",MAX($B75:N75,0)+1,0)</f>
        <v>0</v>
      </c>
      <c r="P75" s="444">
        <f>IF(P27&lt;&gt;" ",MAX($B75:O75,0)+1,0)</f>
        <v>0</v>
      </c>
      <c r="Q75" s="828">
        <f>IF(Q27&lt;&gt;"",MAX($B75:P75,0)+1,0)</f>
        <v>0</v>
      </c>
      <c r="R75" s="444">
        <f>IF(R27&lt;&gt;" ",MAX($B75:P75,0)+1,0)</f>
        <v>0</v>
      </c>
      <c r="S75">
        <f>IF(S27&lt;&gt;"",MAX($B75:R75,0)+1,0)</f>
        <v>0</v>
      </c>
      <c r="T75">
        <f ca="1">IF(T27&lt;&gt;"",MAX($B75:S75,0)+1,0)</f>
        <v>0</v>
      </c>
      <c r="U75">
        <f ca="1">IF(U27&lt;&gt;"",MAX($B75:T75,0)+1,0)</f>
        <v>0</v>
      </c>
      <c r="V75">
        <f ca="1">IF(V27&lt;&gt;"",MAX($B75:U75,0)+1,0)</f>
        <v>0</v>
      </c>
      <c r="W75">
        <f ca="1">IF(W27&lt;&gt;"",MAX($B75:V75,0)+1,0)</f>
        <v>0</v>
      </c>
      <c r="X75">
        <f t="shared" ca="1" si="19"/>
        <v>0</v>
      </c>
    </row>
    <row r="76" spans="1:24" x14ac:dyDescent="0.25">
      <c r="A76" s="265">
        <f t="shared" si="17"/>
        <v>43490</v>
      </c>
      <c r="B76">
        <f t="shared" ca="1" si="18"/>
        <v>0</v>
      </c>
      <c r="C76">
        <f>IF(C28&lt;&gt;"",MAX($B76:B76,0)+1,0)</f>
        <v>0</v>
      </c>
      <c r="D76">
        <f>IF(D28&lt;&gt;"",MAX($B76:C76,0)+1,0)</f>
        <v>0</v>
      </c>
      <c r="E76">
        <f ca="1">IF(E28&lt;&gt;"",MAX($B76:D76,0)+1,0)</f>
        <v>0</v>
      </c>
      <c r="F76">
        <f>IF(F28&lt;&gt;"",MAX($B76:E76,0)+1,0)</f>
        <v>0</v>
      </c>
      <c r="G76">
        <f>IF(G28&lt;&gt;"",MAX($B76:F76,0)+1,0)</f>
        <v>0</v>
      </c>
      <c r="H76">
        <f ca="1">IF(H28&lt;&gt;"",MAX($B76:G76,0)+1,0)</f>
        <v>0</v>
      </c>
      <c r="I76">
        <f ca="1">IF(I28&lt;&gt;"",MAX($B76:H76,0)+1,0)</f>
        <v>1</v>
      </c>
      <c r="J76">
        <f ca="1">IF(J28&lt;&gt;"",MAX($B76:I76,0)+1,0)</f>
        <v>2</v>
      </c>
      <c r="K76">
        <f>IF(K28&lt;&gt;"",MAX($B76:J76,0)+1,0)</f>
        <v>0</v>
      </c>
      <c r="L76">
        <f>IF(L28&lt;&gt;"",MAX($B76:K76,0)+1,0)</f>
        <v>0</v>
      </c>
      <c r="M76">
        <f>IF(M28&lt;&gt;"",MAX($B76:L76,0)+1,0)</f>
        <v>0</v>
      </c>
      <c r="N76">
        <f>IF(N28&lt;&gt;"",MAX($B76:M76,0)+1,0)</f>
        <v>0</v>
      </c>
      <c r="O76">
        <f>IF(O28&lt;&gt;"",MAX($B76:N76,0)+1,0)</f>
        <v>0</v>
      </c>
      <c r="P76" s="444">
        <f>IF(P28&lt;&gt;" ",MAX($B76:O76,0)+1,0)</f>
        <v>0</v>
      </c>
      <c r="Q76" s="828">
        <f>IF(Q28&lt;&gt;"",MAX($B76:P76,0)+1,0)</f>
        <v>0</v>
      </c>
      <c r="R76" s="444">
        <f>IF(R28&lt;&gt;" ",MAX($B76:P76,0)+1,0)</f>
        <v>0</v>
      </c>
      <c r="S76">
        <f>IF(S28&lt;&gt;"",MAX($B76:R76,0)+1,0)</f>
        <v>0</v>
      </c>
      <c r="T76">
        <f ca="1">IF(T28&lt;&gt;"",MAX($B76:S76,0)+1,0)</f>
        <v>0</v>
      </c>
      <c r="U76">
        <f ca="1">IF(U28&lt;&gt;"",MAX($B76:T76,0)+1,0)</f>
        <v>0</v>
      </c>
      <c r="V76">
        <f ca="1">IF(V28&lt;&gt;"",MAX($B76:U76,0)+1,0)</f>
        <v>0</v>
      </c>
      <c r="W76">
        <f ca="1">IF(W28&lt;&gt;"",MAX($B76:V76,0)+1,0)</f>
        <v>0</v>
      </c>
      <c r="X76">
        <f t="shared" ca="1" si="19"/>
        <v>2</v>
      </c>
    </row>
    <row r="77" spans="1:24" x14ac:dyDescent="0.25">
      <c r="A77" s="265">
        <f t="shared" si="17"/>
        <v>43491</v>
      </c>
      <c r="B77">
        <f t="shared" ca="1" si="18"/>
        <v>0</v>
      </c>
      <c r="C77">
        <f>IF(C29&lt;&gt;"",MAX($B77:B77,0)+1,0)</f>
        <v>0</v>
      </c>
      <c r="D77">
        <f>IF(D29&lt;&gt;"",MAX($B77:C77,0)+1,0)</f>
        <v>0</v>
      </c>
      <c r="E77">
        <f ca="1">IF(E29&lt;&gt;"",MAX($B77:D77,0)+1,0)</f>
        <v>0</v>
      </c>
      <c r="F77">
        <f>IF(F29&lt;&gt;"",MAX($B77:E77,0)+1,0)</f>
        <v>0</v>
      </c>
      <c r="G77">
        <f>IF(G29&lt;&gt;"",MAX($B77:F77,0)+1,0)</f>
        <v>0</v>
      </c>
      <c r="H77">
        <f ca="1">IF(H29&lt;&gt;"",MAX($B77:G77,0)+1,0)</f>
        <v>0</v>
      </c>
      <c r="I77">
        <f ca="1">IF(I29&lt;&gt;"",MAX($B77:H77,0)+1,0)</f>
        <v>1</v>
      </c>
      <c r="J77">
        <f>IF(J29&lt;&gt;"",MAX($B77:I77,0)+1,0)</f>
        <v>0</v>
      </c>
      <c r="K77">
        <f>IF(K29&lt;&gt;"",MAX($B77:J77,0)+1,0)</f>
        <v>0</v>
      </c>
      <c r="L77">
        <f>IF(L29&lt;&gt;"",MAX($B77:K77,0)+1,0)</f>
        <v>0</v>
      </c>
      <c r="M77">
        <f>IF(M29&lt;&gt;"",MAX($B77:L77,0)+1,0)</f>
        <v>0</v>
      </c>
      <c r="N77">
        <f>IF(N29&lt;&gt;"",MAX($B77:M77,0)+1,0)</f>
        <v>0</v>
      </c>
      <c r="O77">
        <f>IF(O29&lt;&gt;"",MAX($B77:N77,0)+1,0)</f>
        <v>0</v>
      </c>
      <c r="P77" s="444">
        <f>IF(P29&lt;&gt;" ",MAX($B77:O77,0)+1,0)</f>
        <v>0</v>
      </c>
      <c r="Q77" s="828">
        <f>IF(Q29&lt;&gt;"",MAX($B77:P77,0)+1,0)</f>
        <v>0</v>
      </c>
      <c r="R77" s="444">
        <f>IF(R29&lt;&gt;" ",MAX($B77:P77,0)+1,0)</f>
        <v>0</v>
      </c>
      <c r="S77">
        <f>IF(S29&lt;&gt;"",MAX($B77:R77,0)+1,0)</f>
        <v>0</v>
      </c>
      <c r="T77">
        <f ca="1">IF(T29&lt;&gt;"",MAX($B77:S77,0)+1,0)</f>
        <v>0</v>
      </c>
      <c r="U77">
        <f ca="1">IF(U29&lt;&gt;"",MAX($B77:T77,0)+1,0)</f>
        <v>0</v>
      </c>
      <c r="V77">
        <f ca="1">IF(V29&lt;&gt;"",MAX($B77:U77,0)+1,0)</f>
        <v>0</v>
      </c>
      <c r="W77">
        <f ca="1">IF(W29&lt;&gt;"",MAX($B77:V77,0)+1,0)</f>
        <v>0</v>
      </c>
      <c r="X77">
        <f t="shared" ca="1" si="19"/>
        <v>1</v>
      </c>
    </row>
    <row r="78" spans="1:24" x14ac:dyDescent="0.25">
      <c r="A78" s="265">
        <f t="shared" si="17"/>
        <v>43492</v>
      </c>
      <c r="B78">
        <f t="shared" ca="1" si="18"/>
        <v>0</v>
      </c>
      <c r="C78">
        <f>IF(C30&lt;&gt;"",MAX($B78:B78,0)+1,0)</f>
        <v>0</v>
      </c>
      <c r="D78">
        <f>IF(D30&lt;&gt;"",MAX($B78:C78,0)+1,0)</f>
        <v>0</v>
      </c>
      <c r="E78">
        <f ca="1">IF(E30&lt;&gt;"",MAX($B78:D78,0)+1,0)</f>
        <v>0</v>
      </c>
      <c r="F78">
        <f>IF(F30&lt;&gt;"",MAX($B78:E78,0)+1,0)</f>
        <v>0</v>
      </c>
      <c r="G78">
        <f>IF(G30&lt;&gt;"",MAX($B78:F78,0)+1,0)</f>
        <v>0</v>
      </c>
      <c r="H78">
        <f ca="1">IF(H30&lt;&gt;"",MAX($B78:G78,0)+1,0)</f>
        <v>0</v>
      </c>
      <c r="I78">
        <f ca="1">IF(I30&lt;&gt;"",MAX($B78:H78,0)+1,0)</f>
        <v>1</v>
      </c>
      <c r="J78">
        <f>IF(J30&lt;&gt;"",MAX($B78:I78,0)+1,0)</f>
        <v>0</v>
      </c>
      <c r="K78">
        <f>IF(K30&lt;&gt;"",MAX($B78:J78,0)+1,0)</f>
        <v>0</v>
      </c>
      <c r="L78">
        <f>IF(L30&lt;&gt;"",MAX($B78:K78,0)+1,0)</f>
        <v>0</v>
      </c>
      <c r="M78">
        <f>IF(M30&lt;&gt;"",MAX($B78:L78,0)+1,0)</f>
        <v>0</v>
      </c>
      <c r="N78">
        <f>IF(N30&lt;&gt;"",MAX($B78:M78,0)+1,0)</f>
        <v>0</v>
      </c>
      <c r="O78">
        <f>IF(O30&lt;&gt;"",MAX($B78:N78,0)+1,0)</f>
        <v>0</v>
      </c>
      <c r="P78" s="444">
        <f>IF(P30&lt;&gt;" ",MAX($B78:O78,0)+1,0)</f>
        <v>0</v>
      </c>
      <c r="Q78" s="828">
        <f>IF(Q30&lt;&gt;"",MAX($B78:P78,0)+1,0)</f>
        <v>0</v>
      </c>
      <c r="R78" s="444">
        <f>IF(R30&lt;&gt;" ",MAX($B78:P78,0)+1,0)</f>
        <v>0</v>
      </c>
      <c r="S78">
        <f>IF(S30&lt;&gt;"",MAX($B78:R78,0)+1,0)</f>
        <v>0</v>
      </c>
      <c r="T78">
        <f ca="1">IF(T30&lt;&gt;"",MAX($B78:S78,0)+1,0)</f>
        <v>0</v>
      </c>
      <c r="U78">
        <f ca="1">IF(U30&lt;&gt;"",MAX($B78:T78,0)+1,0)</f>
        <v>0</v>
      </c>
      <c r="V78">
        <f ca="1">IF(V30&lt;&gt;"",MAX($B78:U78,0)+1,0)</f>
        <v>0</v>
      </c>
      <c r="W78">
        <f ca="1">IF(W30&lt;&gt;"",MAX($B78:V78,0)+1,0)</f>
        <v>0</v>
      </c>
      <c r="X78">
        <f t="shared" ca="1" si="19"/>
        <v>1</v>
      </c>
    </row>
    <row r="79" spans="1:24" x14ac:dyDescent="0.25">
      <c r="A79" s="265">
        <f t="shared" si="17"/>
        <v>43493</v>
      </c>
      <c r="B79">
        <f t="shared" ca="1" si="18"/>
        <v>0</v>
      </c>
      <c r="C79">
        <f>IF(C31&lt;&gt;"",MAX($B79:B79,0)+1,0)</f>
        <v>0</v>
      </c>
      <c r="D79">
        <f>IF(D31&lt;&gt;"",MAX($B79:C79,0)+1,0)</f>
        <v>0</v>
      </c>
      <c r="E79">
        <f ca="1">IF(E31&lt;&gt;"",MAX($B79:D79,0)+1,0)</f>
        <v>0</v>
      </c>
      <c r="F79">
        <f>IF(F31&lt;&gt;"",MAX($B79:E79,0)+1,0)</f>
        <v>0</v>
      </c>
      <c r="G79">
        <f>IF(G31&lt;&gt;"",MAX($B79:F79,0)+1,0)</f>
        <v>0</v>
      </c>
      <c r="H79">
        <f ca="1">IF(H31&lt;&gt;"",MAX($B79:G79,0)+1,0)</f>
        <v>0</v>
      </c>
      <c r="I79">
        <f>IF(I31&lt;&gt;"",MAX($B79:H79,0)+1,0)</f>
        <v>0</v>
      </c>
      <c r="J79">
        <f>IF(J31&lt;&gt;"",MAX($B79:I79,0)+1,0)</f>
        <v>0</v>
      </c>
      <c r="K79">
        <f>IF(K31&lt;&gt;"",MAX($B79:J79,0)+1,0)</f>
        <v>0</v>
      </c>
      <c r="L79">
        <f>IF(L31&lt;&gt;"",MAX($B79:K79,0)+1,0)</f>
        <v>0</v>
      </c>
      <c r="M79">
        <f>IF(M31&lt;&gt;"",MAX($B79:L79,0)+1,0)</f>
        <v>0</v>
      </c>
      <c r="N79">
        <f>IF(N31&lt;&gt;"",MAX($B79:M79,0)+1,0)</f>
        <v>0</v>
      </c>
      <c r="O79">
        <f>IF(O31&lt;&gt;"",MAX($B79:N79,0)+1,0)</f>
        <v>0</v>
      </c>
      <c r="P79" s="444">
        <f>IF(P31&lt;&gt;" ",MAX($B79:O79,0)+1,0)</f>
        <v>0</v>
      </c>
      <c r="Q79" s="828">
        <f>IF(Q31&lt;&gt;"",MAX($B79:P79,0)+1,0)</f>
        <v>0</v>
      </c>
      <c r="R79" s="444">
        <f>IF(R31&lt;&gt;" ",MAX($B79:P79,0)+1,0)</f>
        <v>0</v>
      </c>
      <c r="S79">
        <f>IF(S31&lt;&gt;"",MAX($B79:R79,0)+1,0)</f>
        <v>0</v>
      </c>
      <c r="T79">
        <f ca="1">IF(T31&lt;&gt;"",MAX($B79:S79,0)+1,0)</f>
        <v>0</v>
      </c>
      <c r="U79">
        <f ca="1">IF(U31&lt;&gt;"",MAX($B79:T79,0)+1,0)</f>
        <v>0</v>
      </c>
      <c r="V79">
        <f ca="1">IF(V31&lt;&gt;"",MAX($B79:U79,0)+1,0)</f>
        <v>0</v>
      </c>
      <c r="W79">
        <f ca="1">IF(W31&lt;&gt;"",MAX($B79:V79,0)+1,0)</f>
        <v>0</v>
      </c>
      <c r="X79">
        <f t="shared" ca="1" si="19"/>
        <v>0</v>
      </c>
    </row>
    <row r="80" spans="1:24" x14ac:dyDescent="0.25">
      <c r="A80" s="265">
        <f t="shared" si="17"/>
        <v>43494</v>
      </c>
      <c r="B80">
        <f t="shared" ca="1" si="18"/>
        <v>0</v>
      </c>
      <c r="C80">
        <f>IF(C32&lt;&gt;"",MAX($B80:B80,0)+1,0)</f>
        <v>0</v>
      </c>
      <c r="D80">
        <f>IF(D32&lt;&gt;"",MAX($B80:C80,0)+1,0)</f>
        <v>0</v>
      </c>
      <c r="E80">
        <f ca="1">IF(E32&lt;&gt;"",MAX($B80:D80,0)+1,0)</f>
        <v>0</v>
      </c>
      <c r="F80">
        <f>IF(F32&lt;&gt;"",MAX($B80:E80,0)+1,0)</f>
        <v>0</v>
      </c>
      <c r="G80">
        <f>IF(G32&lt;&gt;"",MAX($B80:F80,0)+1,0)</f>
        <v>0</v>
      </c>
      <c r="H80">
        <f ca="1">IF(H32&lt;&gt;"",MAX($B80:G80,0)+1,0)</f>
        <v>0</v>
      </c>
      <c r="I80">
        <f>IF(I32&lt;&gt;"",MAX($B80:H80,0)+1,0)</f>
        <v>0</v>
      </c>
      <c r="J80">
        <f>IF(J32&lt;&gt;"",MAX($B80:I80,0)+1,0)</f>
        <v>0</v>
      </c>
      <c r="K80">
        <f>IF(K32&lt;&gt;"",MAX($B80:J80,0)+1,0)</f>
        <v>0</v>
      </c>
      <c r="L80">
        <f>IF(L32&lt;&gt;"",MAX($B80:K80,0)+1,0)</f>
        <v>0</v>
      </c>
      <c r="M80">
        <f>IF(M32&lt;&gt;"",MAX($B80:L80,0)+1,0)</f>
        <v>0</v>
      </c>
      <c r="N80">
        <f>IF(N32&lt;&gt;"",MAX($B80:M80,0)+1,0)</f>
        <v>0</v>
      </c>
      <c r="O80">
        <f>IF(O32&lt;&gt;"",MAX($B80:N80,0)+1,0)</f>
        <v>0</v>
      </c>
      <c r="P80" s="444">
        <f>IF(P32&lt;&gt;" ",MAX($B80:O80,0)+1,0)</f>
        <v>0</v>
      </c>
      <c r="Q80" s="828">
        <f>IF(Q32&lt;&gt;"",MAX($B80:P80,0)+1,0)</f>
        <v>0</v>
      </c>
      <c r="R80" s="444">
        <f>IF(R32&lt;&gt;" ",MAX($B80:P80,0)+1,0)</f>
        <v>0</v>
      </c>
      <c r="S80">
        <f>IF(S32&lt;&gt;"",MAX($B80:R80,0)+1,0)</f>
        <v>0</v>
      </c>
      <c r="T80">
        <f ca="1">IF(T32&lt;&gt;"",MAX($B80:S80,0)+1,0)</f>
        <v>0</v>
      </c>
      <c r="U80">
        <f ca="1">IF(U32&lt;&gt;"",MAX($B80:T80,0)+1,0)</f>
        <v>0</v>
      </c>
      <c r="V80">
        <f ca="1">IF(V32&lt;&gt;"",MAX($B80:U80,0)+1,0)</f>
        <v>0</v>
      </c>
      <c r="W80">
        <f ca="1">IF(W32&lt;&gt;"",MAX($B80:V80,0)+1,0)</f>
        <v>0</v>
      </c>
      <c r="X80">
        <f t="shared" ca="1" si="19"/>
        <v>0</v>
      </c>
    </row>
    <row r="81" spans="1:24" x14ac:dyDescent="0.25">
      <c r="A81" s="265">
        <f t="shared" si="17"/>
        <v>43495</v>
      </c>
      <c r="B81">
        <f t="shared" ca="1" si="18"/>
        <v>0</v>
      </c>
      <c r="C81">
        <f>IF(C33&lt;&gt;"",MAX($B81:B81,0)+1,0)</f>
        <v>0</v>
      </c>
      <c r="D81">
        <f>IF(D33&lt;&gt;"",MAX($B81:C81,0)+1,0)</f>
        <v>0</v>
      </c>
      <c r="E81">
        <f ca="1">IF(E33&lt;&gt;"",MAX($B81:D81,0)+1,0)</f>
        <v>0</v>
      </c>
      <c r="F81">
        <f>IF(F33&lt;&gt;"",MAX($B81:E81,0)+1,0)</f>
        <v>0</v>
      </c>
      <c r="G81">
        <f>IF(G33&lt;&gt;"",MAX($B81:F81,0)+1,0)</f>
        <v>0</v>
      </c>
      <c r="H81">
        <f ca="1">IF(H33&lt;&gt;"",MAX($B81:G81,0)+1,0)</f>
        <v>0</v>
      </c>
      <c r="I81">
        <f>IF(I33&lt;&gt;"",MAX($B81:H81,0)+1,0)</f>
        <v>0</v>
      </c>
      <c r="J81">
        <f>IF(J33&lt;&gt;"",MAX($B81:I81,0)+1,0)</f>
        <v>0</v>
      </c>
      <c r="K81">
        <f>IF(K33&lt;&gt;"",MAX($B81:J81,0)+1,0)</f>
        <v>0</v>
      </c>
      <c r="L81">
        <f>IF(L33&lt;&gt;"",MAX($B81:K81,0)+1,0)</f>
        <v>0</v>
      </c>
      <c r="M81">
        <f>IF(M33&lt;&gt;"",MAX($B81:L81,0)+1,0)</f>
        <v>0</v>
      </c>
      <c r="N81">
        <f>IF(N33&lt;&gt;"",MAX($B81:M81,0)+1,0)</f>
        <v>0</v>
      </c>
      <c r="O81">
        <f>IF(O33&lt;&gt;"",MAX($B81:N81,0)+1,0)</f>
        <v>0</v>
      </c>
      <c r="P81" s="444">
        <f>IF(P33&lt;&gt;" ",MAX($B81:O81,0)+1,0)</f>
        <v>0</v>
      </c>
      <c r="Q81" s="828">
        <f>IF(Q33&lt;&gt;"",MAX($B81:P81,0)+1,0)</f>
        <v>0</v>
      </c>
      <c r="R81" s="444">
        <f>IF(R33&lt;&gt;" ",MAX($B81:P81,0)+1,0)</f>
        <v>0</v>
      </c>
      <c r="S81">
        <f>IF(S33&lt;&gt;"",MAX($B81:R81,0)+1,0)</f>
        <v>0</v>
      </c>
      <c r="T81">
        <f ca="1">IF(T33&lt;&gt;"",MAX($B81:S81,0)+1,0)</f>
        <v>0</v>
      </c>
      <c r="U81">
        <f ca="1">IF(U33&lt;&gt;"",MAX($B81:T81,0)+1,0)</f>
        <v>0</v>
      </c>
      <c r="V81">
        <f ca="1">IF(V33&lt;&gt;"",MAX($B81:U81,0)+1,0)</f>
        <v>0</v>
      </c>
      <c r="W81">
        <f ca="1">IF(W33&lt;&gt;"",MAX($B81:V81,0)+1,0)</f>
        <v>0</v>
      </c>
      <c r="X81">
        <f t="shared" ca="1" si="19"/>
        <v>0</v>
      </c>
    </row>
    <row r="82" spans="1:24" x14ac:dyDescent="0.25">
      <c r="A82" s="265">
        <f t="shared" si="17"/>
        <v>43496</v>
      </c>
      <c r="B82">
        <f t="shared" ca="1" si="18"/>
        <v>1</v>
      </c>
      <c r="C82">
        <f>IF(C34&lt;&gt;"",MAX($B82:B82,0)+1,0)</f>
        <v>0</v>
      </c>
      <c r="D82">
        <f ca="1">IF(D34&lt;&gt;"",MAX($B82:C82,0)+1,0)</f>
        <v>2</v>
      </c>
      <c r="E82">
        <f ca="1">IF(E34&lt;&gt;"",MAX($B82:D82,0)+1,0)</f>
        <v>3</v>
      </c>
      <c r="F82">
        <f>IF(F34&lt;&gt;"",MAX($B82:E82,0)+1,0)</f>
        <v>0</v>
      </c>
      <c r="G82">
        <f>IF(G34&lt;&gt;"",MAX($B82:F82,0)+1,0)</f>
        <v>0</v>
      </c>
      <c r="H82">
        <f ca="1">IF(H34&lt;&gt;"",MAX($B82:G82,0)+1,0)</f>
        <v>0</v>
      </c>
      <c r="I82">
        <f>IF(I34&lt;&gt;"",MAX($B82:H82,0)+1,0)</f>
        <v>0</v>
      </c>
      <c r="J82">
        <f>IF(J34&lt;&gt;"",MAX($B82:I82,0)+1,0)</f>
        <v>0</v>
      </c>
      <c r="K82">
        <f>IF(K34&lt;&gt;"",MAX($B82:J82,0)+1,0)</f>
        <v>0</v>
      </c>
      <c r="L82">
        <f>IF(L34&lt;&gt;"",MAX($B82:K82,0)+1,0)</f>
        <v>0</v>
      </c>
      <c r="M82">
        <f>IF(M34&lt;&gt;"",MAX($B82:L82,0)+1,0)</f>
        <v>0</v>
      </c>
      <c r="N82">
        <f>IF(N34&lt;&gt;"",MAX($B82:M82,0)+1,0)</f>
        <v>0</v>
      </c>
      <c r="O82">
        <f>IF(O34&lt;&gt;"",MAX($B82:N82,0)+1,0)</f>
        <v>0</v>
      </c>
      <c r="P82" s="444">
        <f>IF(P34&lt;&gt;" ",MAX($B82:O82,0)+1,0)</f>
        <v>0</v>
      </c>
      <c r="Q82" s="828">
        <f>IF(Q34&lt;&gt;"",MAX($B82:P82,0)+1,0)</f>
        <v>0</v>
      </c>
      <c r="R82" s="444">
        <f>IF(R34&lt;&gt;" ",MAX($B82:P82,0)+1,0)</f>
        <v>0</v>
      </c>
      <c r="S82">
        <f>IF(S34&lt;&gt;"",MAX($B82:R82,0)+1,0)</f>
        <v>0</v>
      </c>
      <c r="T82">
        <f ca="1">IF(T34&lt;&gt;"",MAX($B82:S82,0)+1,0)</f>
        <v>0</v>
      </c>
      <c r="U82">
        <f ca="1">IF(U34&lt;&gt;"",MAX($B82:T82,0)+1,0)</f>
        <v>0</v>
      </c>
      <c r="V82">
        <f ca="1">IF(V34&lt;&gt;"",MAX($B82:U82,0)+1,0)</f>
        <v>0</v>
      </c>
      <c r="W82">
        <f ca="1">IF(W34&lt;&gt;"",MAX($B82:V82,0)+1,0)</f>
        <v>0</v>
      </c>
      <c r="X82">
        <f t="shared" ca="1" si="19"/>
        <v>3</v>
      </c>
    </row>
    <row r="83" spans="1:24" x14ac:dyDescent="0.25">
      <c r="A83" s="265">
        <f t="shared" si="17"/>
        <v>43497</v>
      </c>
      <c r="B83">
        <f t="shared" ca="1" si="18"/>
        <v>0</v>
      </c>
      <c r="C83">
        <f ca="1">IF(C35&lt;&gt;"",MAX($B83:B83,0)+1,0)</f>
        <v>1</v>
      </c>
      <c r="D83">
        <f>IF(D35&lt;&gt;"",MAX($B83:C83,0)+1,0)</f>
        <v>0</v>
      </c>
      <c r="E83">
        <f ca="1">IF(E35&lt;&gt;"",MAX($B83:D83,0)+1,0)</f>
        <v>0</v>
      </c>
      <c r="F83">
        <f>IF(F35&lt;&gt;"",MAX($B83:E83,0)+1,0)</f>
        <v>0</v>
      </c>
      <c r="G83">
        <f>IF(G35&lt;&gt;"",MAX($B83:F83,0)+1,0)</f>
        <v>0</v>
      </c>
      <c r="H83">
        <f ca="1">IF(H35&lt;&gt;"",MAX($B83:G83,0)+1,0)</f>
        <v>0</v>
      </c>
      <c r="I83">
        <f>IF(I35&lt;&gt;"",MAX($B83:H83,0)+1,0)</f>
        <v>0</v>
      </c>
      <c r="J83">
        <f>IF(J35&lt;&gt;"",MAX($B83:I83,0)+1,0)</f>
        <v>0</v>
      </c>
      <c r="K83">
        <f>IF(K35&lt;&gt;"",MAX($B83:J83,0)+1,0)</f>
        <v>0</v>
      </c>
      <c r="L83">
        <f>IF(L35&lt;&gt;"",MAX($B83:K83,0)+1,0)</f>
        <v>0</v>
      </c>
      <c r="M83">
        <f>IF(M35&lt;&gt;"",MAX($B83:L83,0)+1,0)</f>
        <v>0</v>
      </c>
      <c r="N83">
        <f>IF(N35&lt;&gt;"",MAX($B83:M83,0)+1,0)</f>
        <v>0</v>
      </c>
      <c r="O83">
        <f>IF(O35&lt;&gt;"",MAX($B83:N83,0)+1,0)</f>
        <v>0</v>
      </c>
      <c r="P83" s="444">
        <f>IF(P35&lt;&gt;" ",MAX($B83:O83,0)+1,0)</f>
        <v>0</v>
      </c>
      <c r="Q83" s="828">
        <f>IF(Q35&lt;&gt;"",MAX($B83:P83,0)+1,0)</f>
        <v>0</v>
      </c>
      <c r="R83" s="444">
        <f>IF(R35&lt;&gt;" ",MAX($B83:P83,0)+1,0)</f>
        <v>0</v>
      </c>
      <c r="S83">
        <f>IF(S35&lt;&gt;"",MAX($B83:R83,0)+1,0)</f>
        <v>0</v>
      </c>
      <c r="T83">
        <f ca="1">IF(T35&lt;&gt;"",MAX($B83:S83,0)+1,0)</f>
        <v>0</v>
      </c>
      <c r="U83">
        <f ca="1">IF(U35&lt;&gt;"",MAX($B83:T83,0)+1,0)</f>
        <v>0</v>
      </c>
      <c r="V83">
        <f ca="1">IF(V35&lt;&gt;"",MAX($B83:U83,0)+1,0)</f>
        <v>0</v>
      </c>
      <c r="W83">
        <f ca="1">IF(W35&lt;&gt;"",MAX($B83:V83,0)+1,0)</f>
        <v>0</v>
      </c>
      <c r="X83">
        <f t="shared" ca="1" si="19"/>
        <v>1</v>
      </c>
    </row>
    <row r="84" spans="1:24" x14ac:dyDescent="0.25">
      <c r="A84" s="265">
        <f t="shared" si="17"/>
        <v>43498</v>
      </c>
      <c r="B84">
        <f t="shared" ca="1" si="18"/>
        <v>0</v>
      </c>
      <c r="C84">
        <f>IF(C36&lt;&gt;"",MAX($B84:B84,0)+1,0)</f>
        <v>0</v>
      </c>
      <c r="D84">
        <f>IF(D36&lt;&gt;"",MAX($B84:C84,0)+1,0)</f>
        <v>0</v>
      </c>
      <c r="E84">
        <f ca="1">IF(E36&lt;&gt;"",MAX($B84:D84,0)+1,0)</f>
        <v>0</v>
      </c>
      <c r="F84">
        <f>IF(F36&lt;&gt;"",MAX($B84:E84,0)+1,0)</f>
        <v>0</v>
      </c>
      <c r="G84">
        <f>IF(G36&lt;&gt;"",MAX($B84:F84,0)+1,0)</f>
        <v>0</v>
      </c>
      <c r="H84">
        <f ca="1">IF(H36&lt;&gt;"",MAX($B84:G84,0)+1,0)</f>
        <v>0</v>
      </c>
      <c r="I84">
        <f>IF(I36&lt;&gt;"",MAX($B84:H84,0)+1,0)</f>
        <v>0</v>
      </c>
      <c r="J84">
        <f>IF(J36&lt;&gt;"",MAX($B84:I84,0)+1,0)</f>
        <v>0</v>
      </c>
      <c r="K84">
        <f>IF(K36&lt;&gt;"",MAX($B84:J84,0)+1,0)</f>
        <v>0</v>
      </c>
      <c r="L84">
        <f>IF(L36&lt;&gt;"",MAX($B84:K84,0)+1,0)</f>
        <v>0</v>
      </c>
      <c r="M84">
        <f>IF(M36&lt;&gt;"",MAX($B84:L84,0)+1,0)</f>
        <v>0</v>
      </c>
      <c r="N84">
        <f>IF(N36&lt;&gt;"",MAX($B84:M84,0)+1,0)</f>
        <v>0</v>
      </c>
      <c r="O84">
        <f>IF(O36&lt;&gt;"",MAX($B84:N84,0)+1,0)</f>
        <v>0</v>
      </c>
      <c r="P84" s="444">
        <f>IF(P36&lt;&gt;" ",MAX($B84:O84,0)+1,0)</f>
        <v>0</v>
      </c>
      <c r="Q84" s="828">
        <f>IF(Q36&lt;&gt;"",MAX($B84:P84,0)+1,0)</f>
        <v>0</v>
      </c>
      <c r="R84" s="444">
        <f>IF(R36&lt;&gt;" ",MAX($B84:P84,0)+1,0)</f>
        <v>0</v>
      </c>
      <c r="S84">
        <f>IF(S36&lt;&gt;"",MAX($B84:R84,0)+1,0)</f>
        <v>0</v>
      </c>
      <c r="T84">
        <f ca="1">IF(T36&lt;&gt;"",MAX($B84:S84,0)+1,0)</f>
        <v>0</v>
      </c>
      <c r="U84">
        <f ca="1">IF(U36&lt;&gt;"",MAX($B84:T84,0)+1,0)</f>
        <v>0</v>
      </c>
      <c r="V84">
        <f ca="1">IF(V36&lt;&gt;"",MAX($B84:U84,0)+1,0)</f>
        <v>0</v>
      </c>
      <c r="W84">
        <f ca="1">IF(W36&lt;&gt;"",MAX($B84:V84,0)+1,0)</f>
        <v>0</v>
      </c>
      <c r="X84">
        <f t="shared" ca="1" si="19"/>
        <v>0</v>
      </c>
    </row>
    <row r="85" spans="1:24" x14ac:dyDescent="0.25">
      <c r="A85" s="265">
        <f t="shared" si="17"/>
        <v>43499</v>
      </c>
      <c r="B85">
        <f t="shared" ca="1" si="18"/>
        <v>0</v>
      </c>
      <c r="C85">
        <f>IF(C37&lt;&gt;"",MAX($B85:B85,0)+1,0)</f>
        <v>0</v>
      </c>
      <c r="D85">
        <f>IF(D37&lt;&gt;"",MAX($B85:C85,0)+1,0)</f>
        <v>0</v>
      </c>
      <c r="E85">
        <f ca="1">IF(E37&lt;&gt;"",MAX($B85:D85,0)+1,0)</f>
        <v>0</v>
      </c>
      <c r="F85">
        <f>IF(F37&lt;&gt;"",MAX($B85:E85,0)+1,0)</f>
        <v>0</v>
      </c>
      <c r="G85">
        <f>IF(G37&lt;&gt;"",MAX($B85:F85,0)+1,0)</f>
        <v>0</v>
      </c>
      <c r="H85">
        <f ca="1">IF(H37&lt;&gt;"",MAX($B85:G85,0)+1,0)</f>
        <v>0</v>
      </c>
      <c r="I85">
        <f>IF(I37&lt;&gt;"",MAX($B85:H85,0)+1,0)</f>
        <v>0</v>
      </c>
      <c r="J85">
        <f>IF(J37&lt;&gt;"",MAX($B85:I85,0)+1,0)</f>
        <v>0</v>
      </c>
      <c r="K85">
        <f>IF(K37&lt;&gt;"",MAX($B85:J85,0)+1,0)</f>
        <v>0</v>
      </c>
      <c r="L85">
        <f>IF(L37&lt;&gt;"",MAX($B85:K85,0)+1,0)</f>
        <v>0</v>
      </c>
      <c r="M85">
        <f>IF(M37&lt;&gt;"",MAX($B85:L85,0)+1,0)</f>
        <v>0</v>
      </c>
      <c r="N85">
        <f>IF(N37&lt;&gt;"",MAX($B85:M85,0)+1,0)</f>
        <v>0</v>
      </c>
      <c r="O85">
        <f>IF(O37&lt;&gt;"",MAX($B85:N85,0)+1,0)</f>
        <v>0</v>
      </c>
      <c r="P85" s="444">
        <f>IF(P37&lt;&gt;" ",MAX($B85:O85,0)+1,0)</f>
        <v>0</v>
      </c>
      <c r="Q85" s="828">
        <f>IF(Q37&lt;&gt;"",MAX($B85:P85,0)+1,0)</f>
        <v>0</v>
      </c>
      <c r="R85" s="444">
        <f>IF(R37&lt;&gt;" ",MAX($B85:P85,0)+1,0)</f>
        <v>0</v>
      </c>
      <c r="S85">
        <f>IF(S37&lt;&gt;"",MAX($B85:R85,0)+1,0)</f>
        <v>0</v>
      </c>
      <c r="T85">
        <f ca="1">IF(T37&lt;&gt;"",MAX($B85:S85,0)+1,0)</f>
        <v>0</v>
      </c>
      <c r="U85">
        <f ca="1">IF(U37&lt;&gt;"",MAX($B85:T85,0)+1,0)</f>
        <v>0</v>
      </c>
      <c r="V85">
        <f ca="1">IF(V37&lt;&gt;"",MAX($B85:U85,0)+1,0)</f>
        <v>0</v>
      </c>
      <c r="W85">
        <f ca="1">IF(W37&lt;&gt;"",MAX($B85:V85,0)+1,0)</f>
        <v>0</v>
      </c>
      <c r="X85">
        <f t="shared" ca="1" si="19"/>
        <v>0</v>
      </c>
    </row>
    <row r="86" spans="1:24" x14ac:dyDescent="0.25">
      <c r="A86" s="265">
        <f t="shared" ref="A86:A93" si="20">A38</f>
        <v>43500</v>
      </c>
      <c r="B86">
        <f t="shared" ref="B86:B93" ca="1" si="21">IF(B38&lt;&gt;"",1,0)</f>
        <v>0</v>
      </c>
      <c r="C86">
        <f>IF(C38&lt;&gt;"",MAX($B86:B86,0)+1,0)</f>
        <v>0</v>
      </c>
      <c r="D86">
        <f>IF(D38&lt;&gt;"",MAX($B86:C86,0)+1,0)</f>
        <v>0</v>
      </c>
      <c r="E86">
        <f ca="1">IF(E38&lt;&gt;"",MAX($B86:D86,0)+1,0)</f>
        <v>0</v>
      </c>
      <c r="F86">
        <f>IF(F38&lt;&gt;"",MAX($B86:E86,0)+1,0)</f>
        <v>0</v>
      </c>
      <c r="G86">
        <f>IF(G38&lt;&gt;"",MAX($B86:F86,0)+1,0)</f>
        <v>0</v>
      </c>
      <c r="H86">
        <f ca="1">IF(H38&lt;&gt;"",MAX($B86:G86,0)+1,0)</f>
        <v>0</v>
      </c>
      <c r="I86">
        <f>IF(I38&lt;&gt;"",MAX($B86:H86,0)+1,0)</f>
        <v>0</v>
      </c>
      <c r="J86">
        <f>IF(J38&lt;&gt;"",MAX($B86:I86,0)+1,0)</f>
        <v>0</v>
      </c>
      <c r="K86">
        <f>IF(K38&lt;&gt;"",MAX($B86:J86,0)+1,0)</f>
        <v>0</v>
      </c>
      <c r="L86">
        <f>IF(L38&lt;&gt;"",MAX($B86:K86,0)+1,0)</f>
        <v>0</v>
      </c>
      <c r="M86">
        <f>IF(M38&lt;&gt;"",MAX($B86:L86,0)+1,0)</f>
        <v>0</v>
      </c>
      <c r="N86">
        <f>IF(N38&lt;&gt;"",MAX($B86:M86,0)+1,0)</f>
        <v>0</v>
      </c>
      <c r="O86">
        <f>IF(O38&lt;&gt;"",MAX($B86:N86,0)+1,0)</f>
        <v>0</v>
      </c>
      <c r="P86" s="444">
        <f>IF(P38&lt;&gt;" ",MAX($B86:O86,0)+1,0)</f>
        <v>0</v>
      </c>
      <c r="Q86" s="828">
        <f>IF(Q38&lt;&gt;"",MAX($B86:P86,0)+1,0)</f>
        <v>0</v>
      </c>
      <c r="R86" s="444">
        <f>IF(R38&lt;&gt;" ",MAX($B86:P86,0)+1,0)</f>
        <v>0</v>
      </c>
      <c r="S86">
        <f>IF(S38&lt;&gt;"",MAX($B86:R86,0)+1,0)</f>
        <v>0</v>
      </c>
      <c r="T86">
        <f ca="1">IF(T38&lt;&gt;"",MAX($B86:S86,0)+1,0)</f>
        <v>0</v>
      </c>
      <c r="U86">
        <f ca="1">IF(U38&lt;&gt;"",MAX($B86:T86,0)+1,0)</f>
        <v>0</v>
      </c>
      <c r="V86">
        <f ca="1">IF(V38&lt;&gt;"",MAX($B86:U86,0)+1,0)</f>
        <v>0</v>
      </c>
      <c r="W86">
        <f ca="1">IF(W38&lt;&gt;"",MAX($B86:V86,0)+1,0)</f>
        <v>0</v>
      </c>
      <c r="X86">
        <f t="shared" ca="1" si="19"/>
        <v>0</v>
      </c>
    </row>
    <row r="87" spans="1:24" x14ac:dyDescent="0.25">
      <c r="A87" s="265">
        <f t="shared" si="20"/>
        <v>43501</v>
      </c>
      <c r="B87">
        <f t="shared" ca="1" si="21"/>
        <v>0</v>
      </c>
      <c r="C87">
        <f>IF(C39&lt;&gt;"",MAX($B87:B87,0)+1,0)</f>
        <v>0</v>
      </c>
      <c r="D87">
        <f>IF(D39&lt;&gt;"",MAX($B87:C87,0)+1,0)</f>
        <v>0</v>
      </c>
      <c r="E87">
        <f ca="1">IF(E39&lt;&gt;"",MAX($B87:D87,0)+1,0)</f>
        <v>0</v>
      </c>
      <c r="F87">
        <f>IF(F39&lt;&gt;"",MAX($B87:E87,0)+1,0)</f>
        <v>0</v>
      </c>
      <c r="G87">
        <f>IF(G39&lt;&gt;"",MAX($B87:F87,0)+1,0)</f>
        <v>0</v>
      </c>
      <c r="H87">
        <f ca="1">IF(H39&lt;&gt;"",MAX($B87:G87,0)+1,0)</f>
        <v>0</v>
      </c>
      <c r="I87">
        <f>IF(I39&lt;&gt;"",MAX($B87:H87,0)+1,0)</f>
        <v>0</v>
      </c>
      <c r="J87">
        <f>IF(J39&lt;&gt;"",MAX($B87:I87,0)+1,0)</f>
        <v>0</v>
      </c>
      <c r="K87">
        <f>IF(K39&lt;&gt;"",MAX($B87:J87,0)+1,0)</f>
        <v>0</v>
      </c>
      <c r="L87">
        <f>IF(L39&lt;&gt;"",MAX($B87:K87,0)+1,0)</f>
        <v>0</v>
      </c>
      <c r="M87">
        <f>IF(M39&lt;&gt;"",MAX($B87:L87,0)+1,0)</f>
        <v>0</v>
      </c>
      <c r="N87">
        <f>IF(N39&lt;&gt;"",MAX($B87:M87,0)+1,0)</f>
        <v>0</v>
      </c>
      <c r="O87">
        <f>IF(O39&lt;&gt;"",MAX($B87:N87,0)+1,0)</f>
        <v>0</v>
      </c>
      <c r="P87" s="444">
        <f>IF(P39&lt;&gt;" ",MAX($B87:O87,0)+1,0)</f>
        <v>0</v>
      </c>
      <c r="Q87" s="828">
        <f>IF(Q39&lt;&gt;"",MAX($B87:P87,0)+1,0)</f>
        <v>0</v>
      </c>
      <c r="R87" s="444">
        <f>IF(R39&lt;&gt;" ",MAX($B87:P87,0)+1,0)</f>
        <v>0</v>
      </c>
      <c r="S87">
        <f>IF(S39&lt;&gt;"",MAX($B87:R87,0)+1,0)</f>
        <v>0</v>
      </c>
      <c r="T87">
        <f ca="1">IF(T39&lt;&gt;"",MAX($B87:S87,0)+1,0)</f>
        <v>0</v>
      </c>
      <c r="U87">
        <f ca="1">IF(U39&lt;&gt;"",MAX($B87:T87,0)+1,0)</f>
        <v>0</v>
      </c>
      <c r="V87">
        <f ca="1">IF(V39&lt;&gt;"",MAX($B87:U87,0)+1,0)</f>
        <v>0</v>
      </c>
      <c r="W87">
        <f ca="1">IF(W39&lt;&gt;"",MAX($B87:V87,0)+1,0)</f>
        <v>0</v>
      </c>
      <c r="X87">
        <f t="shared" ca="1" si="19"/>
        <v>0</v>
      </c>
    </row>
    <row r="88" spans="1:24" x14ac:dyDescent="0.25">
      <c r="A88" s="265">
        <f t="shared" si="20"/>
        <v>43502</v>
      </c>
      <c r="B88">
        <f t="shared" ca="1" si="21"/>
        <v>0</v>
      </c>
      <c r="C88">
        <f>IF(C40&lt;&gt;"",MAX($B88:B88,0)+1,0)</f>
        <v>0</v>
      </c>
      <c r="D88">
        <f>IF(D40&lt;&gt;"",MAX($B88:C88,0)+1,0)</f>
        <v>0</v>
      </c>
      <c r="E88">
        <f ca="1">IF(E40&lt;&gt;"",MAX($B88:D88,0)+1,0)</f>
        <v>0</v>
      </c>
      <c r="F88">
        <f>IF(F40&lt;&gt;"",MAX($B88:E88,0)+1,0)</f>
        <v>0</v>
      </c>
      <c r="G88">
        <f>IF(G40&lt;&gt;"",MAX($B88:F88,0)+1,0)</f>
        <v>0</v>
      </c>
      <c r="H88">
        <f ca="1">IF(H40&lt;&gt;"",MAX($B88:G88,0)+1,0)</f>
        <v>0</v>
      </c>
      <c r="I88">
        <f>IF(I40&lt;&gt;"",MAX($B88:H88,0)+1,0)</f>
        <v>0</v>
      </c>
      <c r="J88">
        <f>IF(J40&lt;&gt;"",MAX($B88:I88,0)+1,0)</f>
        <v>0</v>
      </c>
      <c r="K88">
        <f>IF(K40&lt;&gt;"",MAX($B88:J88,0)+1,0)</f>
        <v>0</v>
      </c>
      <c r="L88">
        <f>IF(L40&lt;&gt;"",MAX($B88:K88,0)+1,0)</f>
        <v>0</v>
      </c>
      <c r="M88">
        <f>IF(M40&lt;&gt;"",MAX($B88:L88,0)+1,0)</f>
        <v>0</v>
      </c>
      <c r="N88">
        <f>IF(N40&lt;&gt;"",MAX($B88:M88,0)+1,0)</f>
        <v>0</v>
      </c>
      <c r="O88">
        <f>IF(O40&lt;&gt;"",MAX($B88:N88,0)+1,0)</f>
        <v>0</v>
      </c>
      <c r="P88" s="444">
        <f>IF(P40&lt;&gt;" ",MAX($B88:O88,0)+1,0)</f>
        <v>0</v>
      </c>
      <c r="Q88" s="828">
        <f>IF(Q40&lt;&gt;"",MAX($B88:P88,0)+1,0)</f>
        <v>0</v>
      </c>
      <c r="R88" s="444">
        <f>IF(R40&lt;&gt;" ",MAX($B88:P88,0)+1,0)</f>
        <v>0</v>
      </c>
      <c r="S88">
        <f>IF(S40&lt;&gt;"",MAX($B88:R88,0)+1,0)</f>
        <v>0</v>
      </c>
      <c r="T88">
        <f ca="1">IF(T40&lt;&gt;"",MAX($B88:S88,0)+1,0)</f>
        <v>0</v>
      </c>
      <c r="U88">
        <f ca="1">IF(U40&lt;&gt;"",MAX($B88:T88,0)+1,0)</f>
        <v>0</v>
      </c>
      <c r="V88">
        <f ca="1">IF(V40&lt;&gt;"",MAX($B88:U88,0)+1,0)</f>
        <v>0</v>
      </c>
      <c r="W88">
        <f ca="1">IF(W40&lt;&gt;"",MAX($B88:V88,0)+1,0)</f>
        <v>0</v>
      </c>
      <c r="X88">
        <f t="shared" ca="1" si="19"/>
        <v>0</v>
      </c>
    </row>
    <row r="89" spans="1:24" x14ac:dyDescent="0.25">
      <c r="A89" s="265">
        <f t="shared" si="20"/>
        <v>43503</v>
      </c>
      <c r="B89">
        <f t="shared" ca="1" si="21"/>
        <v>0</v>
      </c>
      <c r="C89">
        <f>IF(C41&lt;&gt;"",MAX($B89:B89,0)+1,0)</f>
        <v>0</v>
      </c>
      <c r="D89">
        <f>IF(D41&lt;&gt;"",MAX($B89:C89,0)+1,0)</f>
        <v>0</v>
      </c>
      <c r="E89">
        <f ca="1">IF(E41&lt;&gt;"",MAX($B89:D89,0)+1,0)</f>
        <v>0</v>
      </c>
      <c r="F89">
        <f>IF(F41&lt;&gt;"",MAX($B89:E89,0)+1,0)</f>
        <v>0</v>
      </c>
      <c r="G89">
        <f>IF(G41&lt;&gt;"",MAX($B89:F89,0)+1,0)</f>
        <v>0</v>
      </c>
      <c r="H89">
        <f ca="1">IF(H41&lt;&gt;"",MAX($B89:G89,0)+1,0)</f>
        <v>0</v>
      </c>
      <c r="I89">
        <f>IF(I41&lt;&gt;"",MAX($B89:H89,0)+1,0)</f>
        <v>0</v>
      </c>
      <c r="J89">
        <f>IF(J41&lt;&gt;"",MAX($B89:I89,0)+1,0)</f>
        <v>0</v>
      </c>
      <c r="K89">
        <f>IF(K41&lt;&gt;"",MAX($B89:J89,0)+1,0)</f>
        <v>0</v>
      </c>
      <c r="L89">
        <f>IF(L41&lt;&gt;"",MAX($B89:K89,0)+1,0)</f>
        <v>0</v>
      </c>
      <c r="M89">
        <f>IF(M41&lt;&gt;"",MAX($B89:L89,0)+1,0)</f>
        <v>0</v>
      </c>
      <c r="N89">
        <f>IF(N41&lt;&gt;"",MAX($B89:M89,0)+1,0)</f>
        <v>0</v>
      </c>
      <c r="O89">
        <f>IF(O41&lt;&gt;"",MAX($B89:N89,0)+1,0)</f>
        <v>0</v>
      </c>
      <c r="P89" s="444">
        <f>IF(P41&lt;&gt;" ",MAX($B89:O89,0)+1,0)</f>
        <v>0</v>
      </c>
      <c r="Q89" s="828">
        <f>IF(Q41&lt;&gt;"",MAX($B89:P89,0)+1,0)</f>
        <v>0</v>
      </c>
      <c r="R89" s="444">
        <f>IF(R41&lt;&gt;" ",MAX($B89:P89,0)+1,0)</f>
        <v>0</v>
      </c>
      <c r="S89">
        <f>IF(S41&lt;&gt;"",MAX($B89:R89,0)+1,0)</f>
        <v>0</v>
      </c>
      <c r="T89">
        <f ca="1">IF(T41&lt;&gt;"",MAX($B89:S89,0)+1,0)</f>
        <v>0</v>
      </c>
      <c r="U89">
        <f ca="1">IF(U41&lt;&gt;"",MAX($B89:T89,0)+1,0)</f>
        <v>0</v>
      </c>
      <c r="V89">
        <f ca="1">IF(V41&lt;&gt;"",MAX($B89:U89,0)+1,0)</f>
        <v>0</v>
      </c>
      <c r="W89">
        <f ca="1">IF(W41&lt;&gt;"",MAX($B89:V89,0)+1,0)</f>
        <v>0</v>
      </c>
      <c r="X89">
        <f t="shared" ca="1" si="19"/>
        <v>0</v>
      </c>
    </row>
    <row r="90" spans="1:24" x14ac:dyDescent="0.25">
      <c r="A90" s="265">
        <f t="shared" si="20"/>
        <v>43504</v>
      </c>
      <c r="B90">
        <f t="shared" ca="1" si="21"/>
        <v>0</v>
      </c>
      <c r="C90">
        <f>IF(C42&lt;&gt;"",MAX($B90:B90,0)+1,0)</f>
        <v>0</v>
      </c>
      <c r="D90">
        <f>IF(D42&lt;&gt;"",MAX($B90:C90,0)+1,0)</f>
        <v>0</v>
      </c>
      <c r="E90">
        <f ca="1">IF(E42&lt;&gt;"",MAX($B90:D90,0)+1,0)</f>
        <v>0</v>
      </c>
      <c r="F90">
        <f>IF(F42&lt;&gt;"",MAX($B90:E90,0)+1,0)</f>
        <v>0</v>
      </c>
      <c r="G90">
        <f>IF(G42&lt;&gt;"",MAX($B90:F90,0)+1,0)</f>
        <v>0</v>
      </c>
      <c r="H90">
        <f ca="1">IF(H42&lt;&gt;"",MAX($B90:G90,0)+1,0)</f>
        <v>0</v>
      </c>
      <c r="I90">
        <f>IF(I42&lt;&gt;"",MAX($B90:H90,0)+1,0)</f>
        <v>0</v>
      </c>
      <c r="J90">
        <f>IF(J42&lt;&gt;"",MAX($B90:I90,0)+1,0)</f>
        <v>0</v>
      </c>
      <c r="K90">
        <f>IF(K42&lt;&gt;"",MAX($B90:J90,0)+1,0)</f>
        <v>0</v>
      </c>
      <c r="L90">
        <f>IF(L42&lt;&gt;"",MAX($B90:K90,0)+1,0)</f>
        <v>0</v>
      </c>
      <c r="M90">
        <f>IF(M42&lt;&gt;"",MAX($B90:L90,0)+1,0)</f>
        <v>0</v>
      </c>
      <c r="N90">
        <f>IF(N42&lt;&gt;"",MAX($B90:M90,0)+1,0)</f>
        <v>0</v>
      </c>
      <c r="O90">
        <f>IF(O42&lt;&gt;"",MAX($B90:N90,0)+1,0)</f>
        <v>0</v>
      </c>
      <c r="P90" s="444">
        <f>IF(P42&lt;&gt;" ",MAX($B90:O90,0)+1,0)</f>
        <v>0</v>
      </c>
      <c r="Q90" s="828">
        <f>IF(Q42&lt;&gt;"",MAX($B90:P90,0)+1,0)</f>
        <v>0</v>
      </c>
      <c r="R90" s="444">
        <f>IF(R42&lt;&gt;" ",MAX($B90:P90,0)+1,0)</f>
        <v>0</v>
      </c>
      <c r="S90">
        <f>IF(S42&lt;&gt;"",MAX($B90:R90,0)+1,0)</f>
        <v>0</v>
      </c>
      <c r="T90">
        <f ca="1">IF(T42&lt;&gt;"",MAX($B90:S90,0)+1,0)</f>
        <v>0</v>
      </c>
      <c r="U90">
        <f ca="1">IF(U42&lt;&gt;"",MAX($B90:T90,0)+1,0)</f>
        <v>0</v>
      </c>
      <c r="V90">
        <f ca="1">IF(V42&lt;&gt;"",MAX($B90:U90,0)+1,0)</f>
        <v>0</v>
      </c>
      <c r="W90">
        <f ca="1">IF(W42&lt;&gt;"",MAX($B90:V90,0)+1,0)</f>
        <v>0</v>
      </c>
      <c r="X90">
        <f t="shared" ca="1" si="19"/>
        <v>0</v>
      </c>
    </row>
    <row r="91" spans="1:24" x14ac:dyDescent="0.25">
      <c r="A91" s="265">
        <f t="shared" si="20"/>
        <v>43505</v>
      </c>
      <c r="B91">
        <f t="shared" ca="1" si="21"/>
        <v>0</v>
      </c>
      <c r="C91">
        <f>IF(C43&lt;&gt;"",MAX($B91:B91,0)+1,0)</f>
        <v>0</v>
      </c>
      <c r="D91">
        <f>IF(D43&lt;&gt;"",MAX($B91:C91,0)+1,0)</f>
        <v>0</v>
      </c>
      <c r="E91">
        <f ca="1">IF(E43&lt;&gt;"",MAX($B91:D91,0)+1,0)</f>
        <v>0</v>
      </c>
      <c r="F91">
        <f>IF(F43&lt;&gt;"",MAX($B91:E91,0)+1,0)</f>
        <v>0</v>
      </c>
      <c r="G91">
        <f>IF(G43&lt;&gt;"",MAX($B91:F91,0)+1,0)</f>
        <v>0</v>
      </c>
      <c r="H91">
        <f ca="1">IF(H43&lt;&gt;"",MAX($B91:G91,0)+1,0)</f>
        <v>0</v>
      </c>
      <c r="I91">
        <f ca="1">IF(I43&lt;&gt;"",MAX($B91:H91,0)+1,0)</f>
        <v>1</v>
      </c>
      <c r="J91">
        <f ca="1">IF(J43&lt;&gt;"",MAX($B91:I91,0)+1,0)</f>
        <v>2</v>
      </c>
      <c r="K91">
        <f ca="1">IF(K43&lt;&gt;"",MAX($B91:J91,0)+1,0)</f>
        <v>3</v>
      </c>
      <c r="L91">
        <f ca="1">IF(L43&lt;&gt;"",MAX($B91:K91,0)+1,0)</f>
        <v>4</v>
      </c>
      <c r="M91">
        <f ca="1">IF(M43&lt;&gt;"",MAX($B91:L91,0)+1,0)</f>
        <v>5</v>
      </c>
      <c r="N91">
        <f ca="1">IF(N43&lt;&gt;"",MAX($B91:M91,0)+1,0)</f>
        <v>6</v>
      </c>
      <c r="O91">
        <f ca="1">IF(O43&lt;&gt;"",MAX($B91:N91,0)+1,0)</f>
        <v>7</v>
      </c>
      <c r="P91" s="444">
        <f>IF(P43&lt;&gt;" ",MAX($B91:O91,0)+1,0)</f>
        <v>0</v>
      </c>
      <c r="Q91" s="828">
        <f>IF(Q43&lt;&gt;"",MAX($B91:P91,0)+1,0)</f>
        <v>0</v>
      </c>
      <c r="R91" s="444">
        <f>IF(R43&lt;&gt;" ",MAX($B91:P91,0)+1,0)</f>
        <v>0</v>
      </c>
      <c r="S91">
        <f>IF(S43&lt;&gt;"",MAX($B91:R91,0)+1,0)</f>
        <v>0</v>
      </c>
      <c r="T91">
        <f ca="1">IF(T43&lt;&gt;"",MAX($B91:S91,0)+1,0)</f>
        <v>0</v>
      </c>
      <c r="U91">
        <f ca="1">IF(U43&lt;&gt;"",MAX($B91:T91,0)+1,0)</f>
        <v>0</v>
      </c>
      <c r="V91">
        <f ca="1">IF(V43&lt;&gt;"",MAX($B91:U91,0)+1,0)</f>
        <v>0</v>
      </c>
      <c r="W91">
        <f ca="1">IF(W43&lt;&gt;"",MAX($B91:V91,0)+1,0)</f>
        <v>0</v>
      </c>
      <c r="X91">
        <f t="shared" ca="1" si="19"/>
        <v>7</v>
      </c>
    </row>
    <row r="92" spans="1:24" x14ac:dyDescent="0.25">
      <c r="A92" s="265">
        <f t="shared" si="20"/>
        <v>43506</v>
      </c>
      <c r="B92">
        <f t="shared" ca="1" si="21"/>
        <v>0</v>
      </c>
      <c r="C92">
        <f>IF(C44&lt;&gt;"",MAX($B92:B92,0)+1,0)</f>
        <v>0</v>
      </c>
      <c r="D92">
        <f>IF(D44&lt;&gt;"",MAX($B92:C92,0)+1,0)</f>
        <v>0</v>
      </c>
      <c r="E92">
        <f ca="1">IF(E44&lt;&gt;"",MAX($B92:D92,0)+1,0)</f>
        <v>0</v>
      </c>
      <c r="F92">
        <f>IF(F44&lt;&gt;"",MAX($B92:E92,0)+1,0)</f>
        <v>0</v>
      </c>
      <c r="G92">
        <f>IF(G44&lt;&gt;"",MAX($B92:F92,0)+1,0)</f>
        <v>0</v>
      </c>
      <c r="H92">
        <f ca="1">IF(H44&lt;&gt;"",MAX($B92:G92,0)+1,0)</f>
        <v>0</v>
      </c>
      <c r="I92">
        <f>IF(I44&lt;&gt;"",MAX($B92:H92,0)+1,0)</f>
        <v>0</v>
      </c>
      <c r="J92">
        <f>IF(J44&lt;&gt;"",MAX($B92:I92,0)+1,0)</f>
        <v>0</v>
      </c>
      <c r="K92">
        <f>IF(K44&lt;&gt;"",MAX($B92:J92,0)+1,0)</f>
        <v>0</v>
      </c>
      <c r="L92">
        <f>IF(L44&lt;&gt;"",MAX($B92:K92,0)+1,0)</f>
        <v>0</v>
      </c>
      <c r="M92">
        <f>IF(M44&lt;&gt;"",MAX($B92:L92,0)+1,0)</f>
        <v>0</v>
      </c>
      <c r="N92">
        <f>IF(N44&lt;&gt;"",MAX($B92:M92,0)+1,0)</f>
        <v>0</v>
      </c>
      <c r="O92">
        <f>IF(O44&lt;&gt;"",MAX($B92:N92,0)+1,0)</f>
        <v>0</v>
      </c>
      <c r="P92" s="444">
        <f>IF(P44&lt;&gt;" ",MAX($B92:O92,0)+1,0)</f>
        <v>0</v>
      </c>
      <c r="Q92" s="828">
        <f>IF(Q44&lt;&gt;"",MAX($B92:P92,0)+1,0)</f>
        <v>0</v>
      </c>
      <c r="R92" s="444">
        <f>IF(R44&lt;&gt;" ",MAX($B92:P92,0)+1,0)</f>
        <v>0</v>
      </c>
      <c r="S92">
        <f>IF(S44&lt;&gt;"",MAX($B92:R92,0)+1,0)</f>
        <v>0</v>
      </c>
      <c r="T92">
        <f ca="1">IF(T44&lt;&gt;"",MAX($B92:S92,0)+1,0)</f>
        <v>0</v>
      </c>
      <c r="U92">
        <f ca="1">IF(U44&lt;&gt;"",MAX($B92:T92,0)+1,0)</f>
        <v>0</v>
      </c>
      <c r="V92">
        <f ca="1">IF(V44&lt;&gt;"",MAX($B92:U92,0)+1,0)</f>
        <v>0</v>
      </c>
      <c r="W92">
        <f ca="1">IF(W44&lt;&gt;"",MAX($B92:V92,0)+1,0)</f>
        <v>0</v>
      </c>
      <c r="X92">
        <f t="shared" ca="1" si="19"/>
        <v>0</v>
      </c>
    </row>
    <row r="93" spans="1:24" x14ac:dyDescent="0.25">
      <c r="A93" s="265">
        <f t="shared" si="20"/>
        <v>43507</v>
      </c>
      <c r="B93">
        <f t="shared" ca="1" si="21"/>
        <v>0</v>
      </c>
      <c r="C93">
        <f>IF(C45&lt;&gt;"",MAX($B93:B93,0)+1,0)</f>
        <v>0</v>
      </c>
      <c r="D93">
        <f>IF(D45&lt;&gt;"",MAX($B93:C93,0)+1,0)</f>
        <v>0</v>
      </c>
      <c r="E93">
        <f ca="1">IF(E45&lt;&gt;"",MAX($B93:D93,0)+1,0)</f>
        <v>0</v>
      </c>
      <c r="F93">
        <f>IF(F45&lt;&gt;"",MAX($B93:E93,0)+1,0)</f>
        <v>0</v>
      </c>
      <c r="G93">
        <f>IF(G45&lt;&gt;"",MAX($B93:F93,0)+1,0)</f>
        <v>0</v>
      </c>
      <c r="H93">
        <f ca="1">IF(H45&lt;&gt;"",MAX($B93:G93,0)+1,0)</f>
        <v>0</v>
      </c>
      <c r="I93">
        <f>IF(I45&lt;&gt;"",MAX($B93:H93,0)+1,0)</f>
        <v>0</v>
      </c>
      <c r="J93">
        <f>IF(J45&lt;&gt;"",MAX($B93:I93,0)+1,0)</f>
        <v>0</v>
      </c>
      <c r="K93">
        <f>IF(K45&lt;&gt;"",MAX($B93:J93,0)+1,0)</f>
        <v>0</v>
      </c>
      <c r="L93">
        <f>IF(L45&lt;&gt;"",MAX($B93:K93,0)+1,0)</f>
        <v>0</v>
      </c>
      <c r="M93">
        <f>IF(M45&lt;&gt;"",MAX($B93:L93,0)+1,0)</f>
        <v>0</v>
      </c>
      <c r="N93">
        <f>IF(N45&lt;&gt;"",MAX($B93:M93,0)+1,0)</f>
        <v>0</v>
      </c>
      <c r="O93">
        <f>IF(O45&lt;&gt;"",MAX($B93:N93,0)+1,0)</f>
        <v>0</v>
      </c>
      <c r="P93" s="444">
        <f>IF(P45&lt;&gt;" ",MAX($B93:O93,0)+1,0)</f>
        <v>0</v>
      </c>
      <c r="Q93" s="828">
        <f>IF(Q45&lt;&gt;"",MAX($B93:P93,0)+1,0)</f>
        <v>0</v>
      </c>
      <c r="R93" s="444">
        <f>IF(R45&lt;&gt;" ",MAX($B93:P93,0)+1,0)</f>
        <v>0</v>
      </c>
      <c r="S93">
        <f>IF(S45&lt;&gt;"",MAX($B93:R93,0)+1,0)</f>
        <v>0</v>
      </c>
      <c r="T93">
        <f ca="1">IF(T45&lt;&gt;"",MAX($B93:S93,0)+1,0)</f>
        <v>0</v>
      </c>
      <c r="U93">
        <f ca="1">IF(U45&lt;&gt;"",MAX($B93:T93,0)+1,0)</f>
        <v>0</v>
      </c>
      <c r="V93">
        <f ca="1">IF(V45&lt;&gt;"",MAX($B93:U93,0)+1,0)</f>
        <v>0</v>
      </c>
      <c r="W93">
        <f ca="1">IF(W45&lt;&gt;"",MAX($B93:V93,0)+1,0)</f>
        <v>0</v>
      </c>
      <c r="X93">
        <f t="shared" ca="1" si="19"/>
        <v>0</v>
      </c>
    </row>
    <row r="96" spans="1:24" x14ac:dyDescent="0.25">
      <c r="A96" t="s">
        <v>7611</v>
      </c>
      <c r="C96" s="443">
        <v>1</v>
      </c>
      <c r="D96" s="443">
        <v>2</v>
      </c>
      <c r="E96" s="443">
        <v>3</v>
      </c>
      <c r="F96" s="443">
        <v>4</v>
      </c>
      <c r="G96" s="443">
        <v>5</v>
      </c>
      <c r="H96" s="443">
        <v>6</v>
      </c>
      <c r="I96" s="443">
        <v>7</v>
      </c>
      <c r="J96" s="443">
        <v>8</v>
      </c>
      <c r="K96" s="443">
        <v>9</v>
      </c>
      <c r="L96" s="443">
        <v>10</v>
      </c>
      <c r="M96" s="443">
        <v>11</v>
      </c>
    </row>
    <row r="97" spans="1:16" x14ac:dyDescent="0.25">
      <c r="A97" s="445" t="s">
        <v>1240</v>
      </c>
      <c r="B97" s="445" t="s">
        <v>7569</v>
      </c>
      <c r="C97" s="445" t="s">
        <v>7598</v>
      </c>
      <c r="D97" s="445" t="s">
        <v>7599</v>
      </c>
      <c r="E97" s="445" t="s">
        <v>7600</v>
      </c>
      <c r="F97" s="445" t="s">
        <v>7601</v>
      </c>
      <c r="G97" s="445" t="s">
        <v>7602</v>
      </c>
      <c r="H97" s="445" t="s">
        <v>7603</v>
      </c>
      <c r="I97" s="445" t="s">
        <v>7604</v>
      </c>
      <c r="J97" s="445" t="s">
        <v>7605</v>
      </c>
      <c r="K97" s="445" t="s">
        <v>7606</v>
      </c>
      <c r="L97" s="445" t="s">
        <v>7607</v>
      </c>
      <c r="M97" s="445" t="s">
        <v>7608</v>
      </c>
      <c r="N97" s="445" t="s">
        <v>7551</v>
      </c>
      <c r="O97" s="416" t="s">
        <v>7610</v>
      </c>
      <c r="P97" s="445" t="s">
        <v>7613</v>
      </c>
    </row>
    <row r="98" spans="1:16" x14ac:dyDescent="0.25">
      <c r="A98" s="265">
        <f t="shared" ref="A98:A132" si="22">A2</f>
        <v>43464</v>
      </c>
      <c r="B98" t="str">
        <f ca="1">GcalTranscode("dayweekid" &amp; WEEKDAY(A98,2))</f>
        <v>Domingo</v>
      </c>
      <c r="C98" t="str">
        <f t="shared" ref="C98:M98" ca="1" si="23">IFERROR(INDEX($B2:$W2,MATCH(C$96,$B50:$W50,0)),"")</f>
        <v>Nārāyaṇa (Pauṣa) Masa</v>
      </c>
      <c r="D98" t="str">
        <f t="shared" ca="1" si="23"/>
        <v/>
      </c>
      <c r="E98" t="str">
        <f t="shared" ca="1" si="23"/>
        <v/>
      </c>
      <c r="F98" t="str">
        <f t="shared" ca="1" si="23"/>
        <v/>
      </c>
      <c r="G98" t="str">
        <f t="shared" ca="1" si="23"/>
        <v/>
      </c>
      <c r="H98" t="str">
        <f t="shared" ca="1" si="23"/>
        <v/>
      </c>
      <c r="I98" t="str">
        <f t="shared" ca="1" si="23"/>
        <v/>
      </c>
      <c r="J98" t="str">
        <f t="shared" ca="1" si="23"/>
        <v/>
      </c>
      <c r="K98" t="str">
        <f t="shared" ca="1" si="23"/>
        <v/>
      </c>
      <c r="L98" t="str">
        <f t="shared" ca="1" si="23"/>
        <v/>
      </c>
      <c r="M98" t="str">
        <f t="shared" ca="1" si="23"/>
        <v/>
      </c>
      <c r="N98" s="443" t="str">
        <f t="shared" ref="N98:N141" ca="1" si="24">AC2</f>
        <v/>
      </c>
      <c r="O98">
        <f t="shared" ref="O98:O132" ca="1" si="25">11-COUNTIF(C98:M98,"")</f>
        <v>1</v>
      </c>
      <c r="P98" s="303" t="e">
        <f t="shared" ref="P98:P141" ca="1" si="26">Concat2(C98:I98,"|")</f>
        <v>#VALUE!</v>
      </c>
    </row>
    <row r="99" spans="1:16" x14ac:dyDescent="0.25">
      <c r="A99" s="576">
        <f t="shared" si="22"/>
        <v>43465</v>
      </c>
      <c r="B99" s="433" t="str">
        <f ca="1">GcalTranscode("dayweekid" &amp; WEEKDAY(A99,2))</f>
        <v>Segunda</v>
      </c>
      <c r="C99" s="433" t="str">
        <f t="shared" ref="C99:M99" ca="1" si="27">IFERROR(INDEX($B3:$W3,MATCH(C$96,$B51:$W51,0)),"")</f>
        <v/>
      </c>
      <c r="D99" s="433" t="str">
        <f t="shared" ca="1" si="27"/>
        <v/>
      </c>
      <c r="E99" s="433" t="str">
        <f t="shared" ca="1" si="27"/>
        <v/>
      </c>
      <c r="F99" s="433" t="str">
        <f t="shared" ca="1" si="27"/>
        <v/>
      </c>
      <c r="G99" s="433" t="str">
        <f t="shared" ca="1" si="27"/>
        <v/>
      </c>
      <c r="H99" s="433" t="str">
        <f t="shared" ca="1" si="27"/>
        <v/>
      </c>
      <c r="I99" s="433" t="str">
        <f t="shared" ca="1" si="27"/>
        <v/>
      </c>
      <c r="J99" s="433" t="str">
        <f t="shared" ca="1" si="27"/>
        <v/>
      </c>
      <c r="K99" s="433" t="str">
        <f t="shared" ca="1" si="27"/>
        <v/>
      </c>
      <c r="L99" s="433" t="str">
        <f t="shared" ca="1" si="27"/>
        <v/>
      </c>
      <c r="M99" s="433" t="str">
        <f t="shared" ca="1" si="27"/>
        <v/>
      </c>
      <c r="N99" s="578" t="str">
        <f t="shared" ca="1" si="24"/>
        <v/>
      </c>
      <c r="O99" s="433">
        <f t="shared" ca="1" si="25"/>
        <v>0</v>
      </c>
      <c r="P99" s="432" t="e">
        <f t="shared" ca="1" si="26"/>
        <v>#VALUE!</v>
      </c>
    </row>
    <row r="100" spans="1:16" x14ac:dyDescent="0.25">
      <c r="A100" s="576">
        <f t="shared" si="22"/>
        <v>43466</v>
      </c>
      <c r="B100" s="433" t="str">
        <f ca="1">GcalTranscode("dayweekid" &amp; WEEKDAY(A100,2))</f>
        <v>Terça</v>
      </c>
      <c r="C100" s="433" t="str">
        <f t="shared" ref="C100:M100" ca="1" si="28">IFERROR(INDEX($B4:$W4,MATCH(C$96,$B52:$W52,0)),"")</f>
        <v>(adequado para jejum)</v>
      </c>
      <c r="D100" s="433" t="str">
        <f t="shared" ca="1" si="28"/>
        <v>Jejum por Saphala Ekadasi</v>
      </c>
      <c r="E100" s="433" t="str">
        <f t="shared" ca="1" si="28"/>
        <v>Jejum começa às 05:05</v>
      </c>
      <c r="F100" s="433" t="str">
        <f t="shared" ca="1" si="28"/>
        <v>Sri Devananda Pandita - Desaparecimento</v>
      </c>
      <c r="G100" s="433" t="str">
        <f t="shared" ca="1" si="28"/>
        <v>Confraternização Universal</v>
      </c>
      <c r="H100" s="433" t="str">
        <f t="shared" ca="1" si="28"/>
        <v/>
      </c>
      <c r="I100" s="433" t="str">
        <f t="shared" ca="1" si="28"/>
        <v/>
      </c>
      <c r="J100" s="433" t="str">
        <f t="shared" ca="1" si="28"/>
        <v/>
      </c>
      <c r="K100" s="433" t="str">
        <f t="shared" ca="1" si="28"/>
        <v/>
      </c>
      <c r="L100" s="433" t="str">
        <f t="shared" ca="1" si="28"/>
        <v/>
      </c>
      <c r="M100" s="433" t="str">
        <f t="shared" ca="1" si="28"/>
        <v/>
      </c>
      <c r="N100" s="578" t="str">
        <f t="shared" ca="1" si="24"/>
        <v>S</v>
      </c>
      <c r="O100" s="433">
        <f t="shared" ca="1" si="25"/>
        <v>5</v>
      </c>
      <c r="P100" s="432" t="e">
        <f t="shared" ca="1" si="26"/>
        <v>#VALUE!</v>
      </c>
    </row>
    <row r="101" spans="1:16" x14ac:dyDescent="0.25">
      <c r="A101" s="576">
        <f t="shared" si="22"/>
        <v>43467</v>
      </c>
      <c r="B101" s="433" t="str">
        <f t="shared" ref="B101:B132" ca="1" si="29">GcalTranscode("dayweekid" &amp; WEEKDAY(A101,2))</f>
        <v>Quarta</v>
      </c>
      <c r="C101" s="433" t="str">
        <f t="shared" ref="C101:M101" ca="1" si="30">IFERROR(INDEX($B5:$W5,MATCH(C$96,$B53:$W53,0)),"")</f>
        <v>Quebra de jejum 05:05 - 09:17 (hora local)</v>
      </c>
      <c r="D101" s="433" t="str">
        <f t="shared" ca="1" si="30"/>
        <v/>
      </c>
      <c r="E101" s="433" t="str">
        <f t="shared" ca="1" si="30"/>
        <v/>
      </c>
      <c r="F101" s="433" t="str">
        <f t="shared" ca="1" si="30"/>
        <v/>
      </c>
      <c r="G101" s="433" t="str">
        <f t="shared" ca="1" si="30"/>
        <v/>
      </c>
      <c r="H101" s="433" t="str">
        <f t="shared" ca="1" si="30"/>
        <v/>
      </c>
      <c r="I101" s="433" t="str">
        <f t="shared" ca="1" si="30"/>
        <v/>
      </c>
      <c r="J101" s="433" t="str">
        <f t="shared" ca="1" si="30"/>
        <v/>
      </c>
      <c r="K101" s="433" t="str">
        <f t="shared" ca="1" si="30"/>
        <v/>
      </c>
      <c r="L101" s="433" t="str">
        <f t="shared" ca="1" si="30"/>
        <v/>
      </c>
      <c r="M101" s="433" t="str">
        <f t="shared" ca="1" si="30"/>
        <v/>
      </c>
      <c r="N101" s="578" t="str">
        <f t="shared" ca="1" si="24"/>
        <v/>
      </c>
      <c r="O101" s="433">
        <f t="shared" ca="1" si="25"/>
        <v>1</v>
      </c>
      <c r="P101" s="432" t="e">
        <f t="shared" ca="1" si="26"/>
        <v>#VALUE!</v>
      </c>
    </row>
    <row r="102" spans="1:16" x14ac:dyDescent="0.25">
      <c r="A102" s="576">
        <f t="shared" si="22"/>
        <v>43468</v>
      </c>
      <c r="B102" s="433" t="str">
        <f t="shared" ca="1" si="29"/>
        <v>Quinta</v>
      </c>
      <c r="C102" s="433" t="str">
        <f t="shared" ref="C102:M102" ca="1" si="31">IFERROR(INDEX($B6:$W6,MATCH(C$96,$B54:$W54,0)),"")</f>
        <v>Sri Mahesa Pandita - Desaparecimento</v>
      </c>
      <c r="D102" s="433" t="str">
        <f t="shared" ca="1" si="31"/>
        <v>Sri Uddharana Datta Thakura - Desaparecimento</v>
      </c>
      <c r="E102" s="433" t="str">
        <f t="shared" ca="1" si="31"/>
        <v/>
      </c>
      <c r="F102" s="433" t="str">
        <f t="shared" ca="1" si="31"/>
        <v/>
      </c>
      <c r="G102" s="433" t="str">
        <f t="shared" ca="1" si="31"/>
        <v/>
      </c>
      <c r="H102" s="433" t="str">
        <f t="shared" ca="1" si="31"/>
        <v/>
      </c>
      <c r="I102" s="433" t="str">
        <f t="shared" ca="1" si="31"/>
        <v/>
      </c>
      <c r="J102" s="433" t="str">
        <f t="shared" ca="1" si="31"/>
        <v/>
      </c>
      <c r="K102" s="433" t="str">
        <f t="shared" ca="1" si="31"/>
        <v/>
      </c>
      <c r="L102" s="433" t="str">
        <f t="shared" ca="1" si="31"/>
        <v/>
      </c>
      <c r="M102" s="433" t="str">
        <f t="shared" ca="1" si="31"/>
        <v/>
      </c>
      <c r="N102" s="578" t="str">
        <f t="shared" ca="1" si="24"/>
        <v>C</v>
      </c>
      <c r="O102" s="433">
        <f t="shared" ca="1" si="25"/>
        <v>2</v>
      </c>
      <c r="P102" s="432" t="e">
        <f t="shared" ca="1" si="26"/>
        <v>#VALUE!</v>
      </c>
    </row>
    <row r="103" spans="1:16" x14ac:dyDescent="0.25">
      <c r="A103" s="576">
        <f t="shared" si="22"/>
        <v>43469</v>
      </c>
      <c r="B103" s="433" t="str">
        <f t="shared" ca="1" si="29"/>
        <v>Sexta</v>
      </c>
      <c r="C103" s="433" t="str">
        <f t="shared" ref="C103:M103" ca="1" si="32">IFERROR(INDEX($B7:$W7,MATCH(C$96,$B55:$W55,0)),"")</f>
        <v/>
      </c>
      <c r="D103" s="433" t="str">
        <f t="shared" ca="1" si="32"/>
        <v/>
      </c>
      <c r="E103" s="433" t="str">
        <f t="shared" ca="1" si="32"/>
        <v/>
      </c>
      <c r="F103" s="433" t="str">
        <f t="shared" ca="1" si="32"/>
        <v/>
      </c>
      <c r="G103" s="433" t="str">
        <f t="shared" ca="1" si="32"/>
        <v/>
      </c>
      <c r="H103" s="433" t="str">
        <f t="shared" ca="1" si="32"/>
        <v/>
      </c>
      <c r="I103" s="433" t="str">
        <f t="shared" ca="1" si="32"/>
        <v/>
      </c>
      <c r="J103" s="433" t="str">
        <f t="shared" ca="1" si="32"/>
        <v/>
      </c>
      <c r="K103" s="433" t="str">
        <f t="shared" ca="1" si="32"/>
        <v/>
      </c>
      <c r="L103" s="433" t="str">
        <f t="shared" ca="1" si="32"/>
        <v/>
      </c>
      <c r="M103" s="433" t="str">
        <f t="shared" ca="1" si="32"/>
        <v/>
      </c>
      <c r="N103" s="578" t="str">
        <f t="shared" ca="1" si="24"/>
        <v/>
      </c>
      <c r="O103" s="433">
        <f t="shared" ca="1" si="25"/>
        <v>0</v>
      </c>
      <c r="P103" s="432" t="e">
        <f t="shared" ca="1" si="26"/>
        <v>#VALUE!</v>
      </c>
    </row>
    <row r="104" spans="1:16" x14ac:dyDescent="0.25">
      <c r="A104" s="576">
        <f t="shared" si="22"/>
        <v>43470</v>
      </c>
      <c r="B104" s="433" t="str">
        <f t="shared" ca="1" si="29"/>
        <v>Sábado</v>
      </c>
      <c r="C104" s="433" t="str">
        <f t="shared" ref="C104:M104" ca="1" si="33">IFERROR(INDEX($B8:$W8,MATCH(C$96,$B56:$W56,0)),"")</f>
        <v/>
      </c>
      <c r="D104" s="433" t="str">
        <f t="shared" ca="1" si="33"/>
        <v/>
      </c>
      <c r="E104" s="433" t="str">
        <f t="shared" ca="1" si="33"/>
        <v/>
      </c>
      <c r="F104" s="433" t="str">
        <f t="shared" ca="1" si="33"/>
        <v/>
      </c>
      <c r="G104" s="433" t="str">
        <f t="shared" ca="1" si="33"/>
        <v/>
      </c>
      <c r="H104" s="433" t="str">
        <f t="shared" ca="1" si="33"/>
        <v/>
      </c>
      <c r="I104" s="433" t="str">
        <f t="shared" ca="1" si="33"/>
        <v/>
      </c>
      <c r="J104" s="433" t="str">
        <f t="shared" ca="1" si="33"/>
        <v/>
      </c>
      <c r="K104" s="433" t="str">
        <f t="shared" ca="1" si="33"/>
        <v/>
      </c>
      <c r="L104" s="433" t="str">
        <f t="shared" ca="1" si="33"/>
        <v/>
      </c>
      <c r="M104" s="433" t="str">
        <f t="shared" ca="1" si="33"/>
        <v/>
      </c>
      <c r="N104" s="578" t="str">
        <f t="shared" ca="1" si="24"/>
        <v/>
      </c>
      <c r="O104" s="433">
        <f t="shared" ca="1" si="25"/>
        <v>0</v>
      </c>
      <c r="P104" s="432" t="e">
        <f t="shared" ca="1" si="26"/>
        <v>#VALUE!</v>
      </c>
    </row>
    <row r="105" spans="1:16" x14ac:dyDescent="0.25">
      <c r="A105" s="576">
        <f t="shared" si="22"/>
        <v>43471</v>
      </c>
      <c r="B105" s="433" t="str">
        <f t="shared" ca="1" si="29"/>
        <v>Domingo</v>
      </c>
      <c r="C105" s="433" t="str">
        <f t="shared" ref="C105:M105" ca="1" si="34">IFERROR(INDEX($B9:$W9,MATCH(C$96,$B57:$W57,0)),"")</f>
        <v>Sri Locana Dasa Thakura - Aparecimento</v>
      </c>
      <c r="D105" s="433" t="str">
        <f t="shared" ca="1" si="34"/>
        <v/>
      </c>
      <c r="E105" s="433" t="str">
        <f t="shared" ca="1" si="34"/>
        <v/>
      </c>
      <c r="F105" s="433" t="str">
        <f t="shared" ca="1" si="34"/>
        <v/>
      </c>
      <c r="G105" s="433" t="str">
        <f t="shared" ca="1" si="34"/>
        <v/>
      </c>
      <c r="H105" s="433" t="str">
        <f t="shared" ca="1" si="34"/>
        <v/>
      </c>
      <c r="I105" s="433" t="str">
        <f t="shared" ca="1" si="34"/>
        <v/>
      </c>
      <c r="J105" s="433" t="str">
        <f t="shared" ca="1" si="34"/>
        <v/>
      </c>
      <c r="K105" s="433" t="str">
        <f t="shared" ca="1" si="34"/>
        <v/>
      </c>
      <c r="L105" s="433" t="str">
        <f t="shared" ca="1" si="34"/>
        <v/>
      </c>
      <c r="M105" s="433" t="str">
        <f t="shared" ca="1" si="34"/>
        <v/>
      </c>
      <c r="N105" s="578" t="str">
        <f t="shared" ca="1" si="24"/>
        <v>C</v>
      </c>
      <c r="O105" s="433">
        <f t="shared" ca="1" si="25"/>
        <v>1</v>
      </c>
      <c r="P105" s="432" t="e">
        <f t="shared" ca="1" si="26"/>
        <v>#VALUE!</v>
      </c>
    </row>
    <row r="106" spans="1:16" x14ac:dyDescent="0.25">
      <c r="A106" s="576">
        <f t="shared" si="22"/>
        <v>43472</v>
      </c>
      <c r="B106" s="433" t="str">
        <f t="shared" ca="1" si="29"/>
        <v>Segunda</v>
      </c>
      <c r="C106" s="433" t="str">
        <f t="shared" ref="C106:M106" ca="1" si="35">IFERROR(INDEX($B10:$W10,MATCH(C$96,$B58:$W58,0)),"")</f>
        <v/>
      </c>
      <c r="D106" s="433" t="str">
        <f t="shared" ca="1" si="35"/>
        <v/>
      </c>
      <c r="E106" s="433" t="str">
        <f t="shared" ca="1" si="35"/>
        <v/>
      </c>
      <c r="F106" s="433" t="str">
        <f t="shared" ca="1" si="35"/>
        <v/>
      </c>
      <c r="G106" s="433" t="str">
        <f t="shared" ca="1" si="35"/>
        <v/>
      </c>
      <c r="H106" s="433" t="str">
        <f t="shared" ca="1" si="35"/>
        <v/>
      </c>
      <c r="I106" s="433" t="str">
        <f t="shared" ca="1" si="35"/>
        <v/>
      </c>
      <c r="J106" s="433" t="str">
        <f t="shared" ca="1" si="35"/>
        <v/>
      </c>
      <c r="K106" s="433" t="str">
        <f t="shared" ca="1" si="35"/>
        <v/>
      </c>
      <c r="L106" s="433" t="str">
        <f t="shared" ca="1" si="35"/>
        <v/>
      </c>
      <c r="M106" s="433" t="str">
        <f t="shared" ca="1" si="35"/>
        <v/>
      </c>
      <c r="N106" s="578" t="str">
        <f t="shared" ca="1" si="24"/>
        <v/>
      </c>
      <c r="O106" s="433">
        <f t="shared" ca="1" si="25"/>
        <v>0</v>
      </c>
      <c r="P106" s="432" t="e">
        <f t="shared" ca="1" si="26"/>
        <v>#VALUE!</v>
      </c>
    </row>
    <row r="107" spans="1:16" x14ac:dyDescent="0.25">
      <c r="A107" s="576">
        <f t="shared" si="22"/>
        <v>43473</v>
      </c>
      <c r="B107" s="433" t="str">
        <f t="shared" ca="1" si="29"/>
        <v>Terça</v>
      </c>
      <c r="C107" s="433" t="str">
        <f t="shared" ref="C107:M107" ca="1" si="36">IFERROR(INDEX($B11:$W11,MATCH(C$96,$B59:$W59,0)),"")</f>
        <v>Srila Jiva Gosvami - Desaparecimento</v>
      </c>
      <c r="D107" s="433" t="str">
        <f t="shared" ca="1" si="36"/>
        <v>Sri Jagadisa Pandita - Desaparecimento</v>
      </c>
      <c r="E107" s="433" t="str">
        <f t="shared" ca="1" si="36"/>
        <v/>
      </c>
      <c r="F107" s="433" t="str">
        <f t="shared" ca="1" si="36"/>
        <v/>
      </c>
      <c r="G107" s="433" t="str">
        <f t="shared" ca="1" si="36"/>
        <v/>
      </c>
      <c r="H107" s="433" t="str">
        <f t="shared" ca="1" si="36"/>
        <v/>
      </c>
      <c r="I107" s="433" t="str">
        <f t="shared" ca="1" si="36"/>
        <v/>
      </c>
      <c r="J107" s="433" t="str">
        <f t="shared" ca="1" si="36"/>
        <v/>
      </c>
      <c r="K107" s="433" t="str">
        <f t="shared" ca="1" si="36"/>
        <v/>
      </c>
      <c r="L107" s="433" t="str">
        <f t="shared" ca="1" si="36"/>
        <v/>
      </c>
      <c r="M107" s="433" t="str">
        <f t="shared" ca="1" si="36"/>
        <v/>
      </c>
      <c r="N107" s="578" t="str">
        <f t="shared" ca="1" si="24"/>
        <v>C</v>
      </c>
      <c r="O107" s="433">
        <f t="shared" ca="1" si="25"/>
        <v>2</v>
      </c>
      <c r="P107" s="432" t="e">
        <f t="shared" ca="1" si="26"/>
        <v>#VALUE!</v>
      </c>
    </row>
    <row r="108" spans="1:16" x14ac:dyDescent="0.25">
      <c r="A108" s="576">
        <f t="shared" si="22"/>
        <v>43474</v>
      </c>
      <c r="B108" s="433" t="str">
        <f t="shared" ca="1" si="29"/>
        <v>Quarta</v>
      </c>
      <c r="C108" s="433" t="str">
        <f t="shared" ref="C108:M108" ca="1" si="37">IFERROR(INDEX($B12:$W12,MATCH(C$96,$B60:$W60,0)),"")</f>
        <v/>
      </c>
      <c r="D108" s="433" t="str">
        <f t="shared" ca="1" si="37"/>
        <v/>
      </c>
      <c r="E108" s="433" t="str">
        <f t="shared" ca="1" si="37"/>
        <v/>
      </c>
      <c r="F108" s="433" t="str">
        <f t="shared" ca="1" si="37"/>
        <v/>
      </c>
      <c r="G108" s="433" t="str">
        <f t="shared" ca="1" si="37"/>
        <v/>
      </c>
      <c r="H108" s="433" t="str">
        <f t="shared" ca="1" si="37"/>
        <v/>
      </c>
      <c r="I108" s="433" t="str">
        <f t="shared" ca="1" si="37"/>
        <v/>
      </c>
      <c r="J108" s="433" t="str">
        <f t="shared" ca="1" si="37"/>
        <v/>
      </c>
      <c r="K108" s="433" t="str">
        <f t="shared" ca="1" si="37"/>
        <v/>
      </c>
      <c r="L108" s="433" t="str">
        <f t="shared" ca="1" si="37"/>
        <v/>
      </c>
      <c r="M108" s="433" t="str">
        <f t="shared" ca="1" si="37"/>
        <v/>
      </c>
      <c r="N108" s="578" t="str">
        <f t="shared" ca="1" si="24"/>
        <v/>
      </c>
      <c r="O108" s="433">
        <f t="shared" ca="1" si="25"/>
        <v>0</v>
      </c>
      <c r="P108" s="432" t="e">
        <f t="shared" ca="1" si="26"/>
        <v>#VALUE!</v>
      </c>
    </row>
    <row r="109" spans="1:16" x14ac:dyDescent="0.25">
      <c r="A109" s="576">
        <f t="shared" si="22"/>
        <v>43475</v>
      </c>
      <c r="B109" s="433" t="str">
        <f t="shared" ca="1" si="29"/>
        <v>Quinta</v>
      </c>
      <c r="C109" s="433" t="str">
        <f t="shared" ref="C109:M109" ca="1" si="38">IFERROR(INDEX($B13:$W13,MATCH(C$96,$B61:$W61,0)),"")</f>
        <v/>
      </c>
      <c r="D109" s="433" t="str">
        <f t="shared" ca="1" si="38"/>
        <v/>
      </c>
      <c r="E109" s="433" t="str">
        <f t="shared" ca="1" si="38"/>
        <v/>
      </c>
      <c r="F109" s="433" t="str">
        <f t="shared" ca="1" si="38"/>
        <v/>
      </c>
      <c r="G109" s="433" t="str">
        <f t="shared" ca="1" si="38"/>
        <v/>
      </c>
      <c r="H109" s="433" t="str">
        <f t="shared" ca="1" si="38"/>
        <v/>
      </c>
      <c r="I109" s="433" t="str">
        <f t="shared" ca="1" si="38"/>
        <v/>
      </c>
      <c r="J109" s="433" t="str">
        <f t="shared" ca="1" si="38"/>
        <v/>
      </c>
      <c r="K109" s="433" t="str">
        <f t="shared" ca="1" si="38"/>
        <v/>
      </c>
      <c r="L109" s="433" t="str">
        <f t="shared" ca="1" si="38"/>
        <v/>
      </c>
      <c r="M109" s="433" t="str">
        <f t="shared" ca="1" si="38"/>
        <v/>
      </c>
      <c r="N109" s="578" t="str">
        <f t="shared" ca="1" si="24"/>
        <v/>
      </c>
      <c r="O109" s="433">
        <f t="shared" ca="1" si="25"/>
        <v>0</v>
      </c>
      <c r="P109" s="432" t="e">
        <f t="shared" ca="1" si="26"/>
        <v>#VALUE!</v>
      </c>
    </row>
    <row r="110" spans="1:16" x14ac:dyDescent="0.25">
      <c r="A110" s="576">
        <f t="shared" si="22"/>
        <v>43476</v>
      </c>
      <c r="B110" s="433" t="str">
        <f t="shared" ca="1" si="29"/>
        <v>Sexta</v>
      </c>
      <c r="C110" s="433" t="str">
        <f t="shared" ref="C110:M110" ca="1" si="39">IFERROR(INDEX($B14:$W14,MATCH(C$96,$B62:$W62,0)),"")</f>
        <v/>
      </c>
      <c r="D110" s="433" t="str">
        <f t="shared" ca="1" si="39"/>
        <v/>
      </c>
      <c r="E110" s="433" t="str">
        <f t="shared" ca="1" si="39"/>
        <v/>
      </c>
      <c r="F110" s="433" t="str">
        <f t="shared" ca="1" si="39"/>
        <v/>
      </c>
      <c r="G110" s="433" t="str">
        <f t="shared" ca="1" si="39"/>
        <v/>
      </c>
      <c r="H110" s="433" t="str">
        <f t="shared" ca="1" si="39"/>
        <v/>
      </c>
      <c r="I110" s="433" t="str">
        <f t="shared" ca="1" si="39"/>
        <v/>
      </c>
      <c r="J110" s="433" t="str">
        <f t="shared" ca="1" si="39"/>
        <v/>
      </c>
      <c r="K110" s="433" t="str">
        <f t="shared" ca="1" si="39"/>
        <v/>
      </c>
      <c r="L110" s="433" t="str">
        <f t="shared" ca="1" si="39"/>
        <v/>
      </c>
      <c r="M110" s="433" t="str">
        <f t="shared" ca="1" si="39"/>
        <v/>
      </c>
      <c r="N110" s="578" t="str">
        <f t="shared" ca="1" si="24"/>
        <v/>
      </c>
      <c r="O110" s="433">
        <f t="shared" ca="1" si="25"/>
        <v>0</v>
      </c>
      <c r="P110" s="432" t="e">
        <f t="shared" ca="1" si="26"/>
        <v>#VALUE!</v>
      </c>
    </row>
    <row r="111" spans="1:16" x14ac:dyDescent="0.25">
      <c r="A111" s="576">
        <f t="shared" si="22"/>
        <v>43477</v>
      </c>
      <c r="B111" s="433" t="str">
        <f t="shared" ca="1" si="29"/>
        <v>Sábado</v>
      </c>
      <c r="C111" s="433" t="str">
        <f t="shared" ref="C111:M111" ca="1" si="40">IFERROR(INDEX($B15:$W15,MATCH(C$96,$B63:$W63,0)),"")</f>
        <v/>
      </c>
      <c r="D111" s="433" t="str">
        <f t="shared" ca="1" si="40"/>
        <v/>
      </c>
      <c r="E111" s="433" t="str">
        <f t="shared" ca="1" si="40"/>
        <v/>
      </c>
      <c r="F111" s="433" t="str">
        <f t="shared" ca="1" si="40"/>
        <v/>
      </c>
      <c r="G111" s="433" t="str">
        <f t="shared" ca="1" si="40"/>
        <v/>
      </c>
      <c r="H111" s="433" t="str">
        <f t="shared" ca="1" si="40"/>
        <v/>
      </c>
      <c r="I111" s="433" t="str">
        <f t="shared" ca="1" si="40"/>
        <v/>
      </c>
      <c r="J111" s="433" t="str">
        <f t="shared" ca="1" si="40"/>
        <v/>
      </c>
      <c r="K111" s="433" t="str">
        <f t="shared" ca="1" si="40"/>
        <v/>
      </c>
      <c r="L111" s="433" t="str">
        <f t="shared" ca="1" si="40"/>
        <v/>
      </c>
      <c r="M111" s="433" t="str">
        <f t="shared" ca="1" si="40"/>
        <v/>
      </c>
      <c r="N111" s="578" t="str">
        <f t="shared" ca="1" si="24"/>
        <v/>
      </c>
      <c r="O111" s="433">
        <f t="shared" ca="1" si="25"/>
        <v>0</v>
      </c>
      <c r="P111" s="432" t="e">
        <f t="shared" ca="1" si="26"/>
        <v>#VALUE!</v>
      </c>
    </row>
    <row r="112" spans="1:16" x14ac:dyDescent="0.25">
      <c r="A112" s="576">
        <f t="shared" si="22"/>
        <v>43478</v>
      </c>
      <c r="B112" s="433" t="str">
        <f t="shared" ca="1" si="29"/>
        <v>Domingo</v>
      </c>
      <c r="C112" s="433" t="str">
        <f t="shared" ref="C112:M112" ca="1" si="41">IFERROR(INDEX($B16:$W16,MATCH(C$96,$B64:$W64,0)),"")</f>
        <v/>
      </c>
      <c r="D112" s="433" t="str">
        <f t="shared" ca="1" si="41"/>
        <v/>
      </c>
      <c r="E112" s="433" t="str">
        <f t="shared" ca="1" si="41"/>
        <v/>
      </c>
      <c r="F112" s="433" t="str">
        <f t="shared" ca="1" si="41"/>
        <v/>
      </c>
      <c r="G112" s="433" t="str">
        <f t="shared" ca="1" si="41"/>
        <v/>
      </c>
      <c r="H112" s="433" t="str">
        <f t="shared" ca="1" si="41"/>
        <v/>
      </c>
      <c r="I112" s="433" t="str">
        <f t="shared" ca="1" si="41"/>
        <v/>
      </c>
      <c r="J112" s="433" t="str">
        <f t="shared" ca="1" si="41"/>
        <v/>
      </c>
      <c r="K112" s="433" t="str">
        <f t="shared" ca="1" si="41"/>
        <v/>
      </c>
      <c r="L112" s="433" t="str">
        <f t="shared" ca="1" si="41"/>
        <v/>
      </c>
      <c r="M112" s="433" t="str">
        <f t="shared" ca="1" si="41"/>
        <v/>
      </c>
      <c r="N112" s="578" t="str">
        <f t="shared" ca="1" si="24"/>
        <v/>
      </c>
      <c r="O112" s="433">
        <f t="shared" ca="1" si="25"/>
        <v>0</v>
      </c>
      <c r="P112" s="432" t="e">
        <f t="shared" ca="1" si="26"/>
        <v>#VALUE!</v>
      </c>
    </row>
    <row r="113" spans="1:16" x14ac:dyDescent="0.25">
      <c r="A113" s="576">
        <f t="shared" si="22"/>
        <v>43479</v>
      </c>
      <c r="B113" s="433" t="str">
        <f t="shared" ca="1" si="29"/>
        <v>Segunda</v>
      </c>
      <c r="C113" s="433" t="str">
        <f t="shared" ref="C113:M113" ca="1" si="42">IFERROR(INDEX($B17:$W17,MATCH(C$96,$B65:$W65,0)),"")</f>
        <v>Ganga Sagara Mela</v>
      </c>
      <c r="D113" s="433" t="str">
        <f t="shared" ca="1" si="42"/>
        <v>Makara Sankranti (Sol entra em Capricórnio 14 jan, às 11:17 hora local)</v>
      </c>
      <c r="E113" s="433" t="str">
        <f t="shared" ca="1" si="42"/>
        <v/>
      </c>
      <c r="F113" s="433" t="str">
        <f t="shared" ca="1" si="42"/>
        <v/>
      </c>
      <c r="G113" s="433" t="str">
        <f t="shared" ca="1" si="42"/>
        <v/>
      </c>
      <c r="H113" s="433" t="str">
        <f t="shared" ca="1" si="42"/>
        <v/>
      </c>
      <c r="I113" s="433" t="str">
        <f t="shared" ca="1" si="42"/>
        <v/>
      </c>
      <c r="J113" s="433" t="str">
        <f t="shared" ca="1" si="42"/>
        <v/>
      </c>
      <c r="K113" s="433" t="str">
        <f t="shared" ca="1" si="42"/>
        <v/>
      </c>
      <c r="L113" s="433" t="str">
        <f t="shared" ca="1" si="42"/>
        <v/>
      </c>
      <c r="M113" s="433" t="str">
        <f t="shared" ca="1" si="42"/>
        <v/>
      </c>
      <c r="N113" s="578" t="str">
        <f t="shared" ca="1" si="24"/>
        <v>C</v>
      </c>
      <c r="O113" s="433">
        <f t="shared" ca="1" si="25"/>
        <v>2</v>
      </c>
      <c r="P113" s="432" t="e">
        <f t="shared" ca="1" si="26"/>
        <v>#VALUE!</v>
      </c>
    </row>
    <row r="114" spans="1:16" x14ac:dyDescent="0.25">
      <c r="A114" s="576">
        <f t="shared" si="22"/>
        <v>43480</v>
      </c>
      <c r="B114" s="433" t="str">
        <f t="shared" ca="1" si="29"/>
        <v>Terça</v>
      </c>
      <c r="C114" s="433" t="str">
        <f t="shared" ref="C114:M114" ca="1" si="43">IFERROR(INDEX($B18:$W18,MATCH(C$96,$B66:$W66,0)),"")</f>
        <v/>
      </c>
      <c r="D114" s="433" t="str">
        <f t="shared" ca="1" si="43"/>
        <v/>
      </c>
      <c r="E114" s="433" t="str">
        <f t="shared" ca="1" si="43"/>
        <v/>
      </c>
      <c r="F114" s="433" t="str">
        <f t="shared" ca="1" si="43"/>
        <v/>
      </c>
      <c r="G114" s="433" t="str">
        <f t="shared" ca="1" si="43"/>
        <v/>
      </c>
      <c r="H114" s="433" t="str">
        <f t="shared" ca="1" si="43"/>
        <v/>
      </c>
      <c r="I114" s="433" t="str">
        <f t="shared" ca="1" si="43"/>
        <v/>
      </c>
      <c r="J114" s="433" t="str">
        <f t="shared" ca="1" si="43"/>
        <v/>
      </c>
      <c r="K114" s="433" t="str">
        <f t="shared" ca="1" si="43"/>
        <v/>
      </c>
      <c r="L114" s="433" t="str">
        <f t="shared" ca="1" si="43"/>
        <v/>
      </c>
      <c r="M114" s="433" t="str">
        <f t="shared" ca="1" si="43"/>
        <v/>
      </c>
      <c r="N114" s="578" t="str">
        <f t="shared" ca="1" si="24"/>
        <v/>
      </c>
      <c r="O114" s="433">
        <f t="shared" ca="1" si="25"/>
        <v>0</v>
      </c>
      <c r="P114" s="432" t="e">
        <f t="shared" ca="1" si="26"/>
        <v>#VALUE!</v>
      </c>
    </row>
    <row r="115" spans="1:16" x14ac:dyDescent="0.25">
      <c r="A115" s="576">
        <f t="shared" si="22"/>
        <v>43481</v>
      </c>
      <c r="B115" s="433" t="str">
        <f t="shared" ca="1" si="29"/>
        <v>Quarta</v>
      </c>
      <c r="C115" s="433" t="str">
        <f t="shared" ref="C115:M115" ca="1" si="44">IFERROR(INDEX($B19:$W19,MATCH(C$96,$B67:$W67,0)),"")</f>
        <v/>
      </c>
      <c r="D115" s="433" t="str">
        <f t="shared" ca="1" si="44"/>
        <v/>
      </c>
      <c r="E115" s="433" t="str">
        <f t="shared" ca="1" si="44"/>
        <v/>
      </c>
      <c r="F115" s="433" t="str">
        <f t="shared" ca="1" si="44"/>
        <v/>
      </c>
      <c r="G115" s="433" t="str">
        <f t="shared" ca="1" si="44"/>
        <v/>
      </c>
      <c r="H115" s="433" t="str">
        <f t="shared" ca="1" si="44"/>
        <v/>
      </c>
      <c r="I115" s="433" t="str">
        <f t="shared" ca="1" si="44"/>
        <v/>
      </c>
      <c r="J115" s="433" t="str">
        <f t="shared" ca="1" si="44"/>
        <v/>
      </c>
      <c r="K115" s="433" t="str">
        <f t="shared" ca="1" si="44"/>
        <v/>
      </c>
      <c r="L115" s="433" t="str">
        <f t="shared" ca="1" si="44"/>
        <v/>
      </c>
      <c r="M115" s="433" t="str">
        <f t="shared" ca="1" si="44"/>
        <v/>
      </c>
      <c r="N115" s="578" t="str">
        <f t="shared" ca="1" si="24"/>
        <v/>
      </c>
      <c r="O115" s="433">
        <f t="shared" ca="1" si="25"/>
        <v>0</v>
      </c>
      <c r="P115" s="432" t="e">
        <f t="shared" ca="1" si="26"/>
        <v>#VALUE!</v>
      </c>
    </row>
    <row r="116" spans="1:16" x14ac:dyDescent="0.25">
      <c r="A116" s="576">
        <f t="shared" si="22"/>
        <v>43482</v>
      </c>
      <c r="B116" s="433" t="str">
        <f t="shared" ca="1" si="29"/>
        <v>Quinta</v>
      </c>
      <c r="C116" s="433" t="str">
        <f t="shared" ref="C116:M116" ca="1" si="45">IFERROR(INDEX($B20:$W20,MATCH(C$96,$B68:$W68,0)),"")</f>
        <v>(adequado para jejum)</v>
      </c>
      <c r="D116" s="433" t="str">
        <f t="shared" ca="1" si="45"/>
        <v>Jejum por Putrada Ekadasi</v>
      </c>
      <c r="E116" s="433" t="str">
        <f t="shared" ca="1" si="45"/>
        <v>Jejum começa às 05:13</v>
      </c>
      <c r="F116" s="433" t="str">
        <f t="shared" ca="1" si="45"/>
        <v/>
      </c>
      <c r="G116" s="433" t="str">
        <f t="shared" ca="1" si="45"/>
        <v/>
      </c>
      <c r="H116" s="433" t="str">
        <f t="shared" ca="1" si="45"/>
        <v/>
      </c>
      <c r="I116" s="433" t="str">
        <f t="shared" ca="1" si="45"/>
        <v/>
      </c>
      <c r="J116" s="433" t="str">
        <f t="shared" ca="1" si="45"/>
        <v/>
      </c>
      <c r="K116" s="433" t="str">
        <f t="shared" ca="1" si="45"/>
        <v/>
      </c>
      <c r="L116" s="433" t="str">
        <f t="shared" ca="1" si="45"/>
        <v/>
      </c>
      <c r="M116" s="433" t="str">
        <f t="shared" ca="1" si="45"/>
        <v/>
      </c>
      <c r="N116" s="578" t="str">
        <f t="shared" ca="1" si="24"/>
        <v>E</v>
      </c>
      <c r="O116" s="433">
        <f t="shared" ca="1" si="25"/>
        <v>3</v>
      </c>
      <c r="P116" s="432" t="e">
        <f t="shared" ca="1" si="26"/>
        <v>#VALUE!</v>
      </c>
    </row>
    <row r="117" spans="1:16" x14ac:dyDescent="0.25">
      <c r="A117" s="576">
        <f t="shared" si="22"/>
        <v>43483</v>
      </c>
      <c r="B117" s="433" t="str">
        <f t="shared" ca="1" si="29"/>
        <v>Sexta</v>
      </c>
      <c r="C117" s="433" t="str">
        <f t="shared" ref="C117:M117" ca="1" si="46">IFERROR(INDEX($B21:$W21,MATCH(C$96,$B69:$W69,0)),"")</f>
        <v>Quebra de jejum 05:14 - 09:24 (hora local)</v>
      </c>
      <c r="D117" s="433" t="str">
        <f t="shared" ca="1" si="46"/>
        <v>Sri Jagadisa Pandita - Aparecimento</v>
      </c>
      <c r="E117" s="433" t="str">
        <f t="shared" ca="1" si="46"/>
        <v/>
      </c>
      <c r="F117" s="433" t="str">
        <f t="shared" ca="1" si="46"/>
        <v/>
      </c>
      <c r="G117" s="433" t="str">
        <f t="shared" ca="1" si="46"/>
        <v/>
      </c>
      <c r="H117" s="433" t="str">
        <f t="shared" ca="1" si="46"/>
        <v/>
      </c>
      <c r="I117" s="433" t="str">
        <f t="shared" ca="1" si="46"/>
        <v/>
      </c>
      <c r="J117" s="433" t="str">
        <f t="shared" ca="1" si="46"/>
        <v/>
      </c>
      <c r="K117" s="433" t="str">
        <f t="shared" ca="1" si="46"/>
        <v/>
      </c>
      <c r="L117" s="433" t="str">
        <f t="shared" ca="1" si="46"/>
        <v/>
      </c>
      <c r="M117" s="433" t="str">
        <f t="shared" ca="1" si="46"/>
        <v/>
      </c>
      <c r="N117" s="578" t="str">
        <f t="shared" ca="1" si="24"/>
        <v>C</v>
      </c>
      <c r="O117" s="433">
        <f t="shared" ca="1" si="25"/>
        <v>2</v>
      </c>
      <c r="P117" s="432" t="e">
        <f t="shared" ca="1" si="26"/>
        <v>#VALUE!</v>
      </c>
    </row>
    <row r="118" spans="1:16" x14ac:dyDescent="0.25">
      <c r="A118" s="576">
        <f t="shared" si="22"/>
        <v>43484</v>
      </c>
      <c r="B118" s="433" t="str">
        <f t="shared" ca="1" si="29"/>
        <v>Sábado</v>
      </c>
      <c r="C118" s="433" t="str">
        <f t="shared" ref="C118:M118" ca="1" si="47">IFERROR(INDEX($B22:$W22,MATCH(C$96,$B70:$W70,0)),"")</f>
        <v/>
      </c>
      <c r="D118" s="433" t="str">
        <f t="shared" ca="1" si="47"/>
        <v/>
      </c>
      <c r="E118" s="433" t="str">
        <f t="shared" ca="1" si="47"/>
        <v/>
      </c>
      <c r="F118" s="433" t="str">
        <f t="shared" ca="1" si="47"/>
        <v/>
      </c>
      <c r="G118" s="433" t="str">
        <f t="shared" ca="1" si="47"/>
        <v/>
      </c>
      <c r="H118" s="433" t="str">
        <f t="shared" ca="1" si="47"/>
        <v/>
      </c>
      <c r="I118" s="433" t="str">
        <f t="shared" ca="1" si="47"/>
        <v/>
      </c>
      <c r="J118" s="433" t="str">
        <f t="shared" ca="1" si="47"/>
        <v/>
      </c>
      <c r="K118" s="433" t="str">
        <f t="shared" ca="1" si="47"/>
        <v/>
      </c>
      <c r="L118" s="433" t="str">
        <f t="shared" ca="1" si="47"/>
        <v/>
      </c>
      <c r="M118" s="433" t="str">
        <f t="shared" ca="1" si="47"/>
        <v/>
      </c>
      <c r="N118" s="578" t="str">
        <f t="shared" ca="1" si="24"/>
        <v/>
      </c>
      <c r="O118" s="433">
        <f t="shared" ca="1" si="25"/>
        <v>0</v>
      </c>
      <c r="P118" s="432" t="e">
        <f t="shared" ca="1" si="26"/>
        <v>#VALUE!</v>
      </c>
    </row>
    <row r="119" spans="1:16" x14ac:dyDescent="0.25">
      <c r="A119" s="576">
        <f t="shared" si="22"/>
        <v>43485</v>
      </c>
      <c r="B119" s="433" t="str">
        <f t="shared" ca="1" si="29"/>
        <v>Domingo</v>
      </c>
      <c r="C119" s="433" t="str">
        <f t="shared" ref="C119:M119" ca="1" si="48">IFERROR(INDEX($B23:$W23,MATCH(C$96,$B71:$W71,0)),"")</f>
        <v/>
      </c>
      <c r="D119" s="433" t="str">
        <f t="shared" ca="1" si="48"/>
        <v/>
      </c>
      <c r="E119" s="433" t="str">
        <f t="shared" ca="1" si="48"/>
        <v/>
      </c>
      <c r="F119" s="433" t="str">
        <f t="shared" ca="1" si="48"/>
        <v/>
      </c>
      <c r="G119" s="433" t="str">
        <f t="shared" ca="1" si="48"/>
        <v/>
      </c>
      <c r="H119" s="433" t="str">
        <f t="shared" ca="1" si="48"/>
        <v/>
      </c>
      <c r="I119" s="433" t="str">
        <f t="shared" ca="1" si="48"/>
        <v/>
      </c>
      <c r="J119" s="433" t="str">
        <f t="shared" ca="1" si="48"/>
        <v/>
      </c>
      <c r="K119" s="433" t="str">
        <f t="shared" ca="1" si="48"/>
        <v/>
      </c>
      <c r="L119" s="433" t="str">
        <f t="shared" ca="1" si="48"/>
        <v/>
      </c>
      <c r="M119" s="433" t="str">
        <f t="shared" ca="1" si="48"/>
        <v/>
      </c>
      <c r="N119" s="578" t="str">
        <f t="shared" ca="1" si="24"/>
        <v/>
      </c>
      <c r="O119" s="433">
        <f t="shared" ca="1" si="25"/>
        <v>0</v>
      </c>
      <c r="P119" s="432" t="e">
        <f t="shared" ca="1" si="26"/>
        <v>#VALUE!</v>
      </c>
    </row>
    <row r="120" spans="1:16" x14ac:dyDescent="0.25">
      <c r="A120" s="576">
        <f t="shared" si="22"/>
        <v>43486</v>
      </c>
      <c r="B120" s="433" t="str">
        <f t="shared" ca="1" si="29"/>
        <v>Segunda</v>
      </c>
      <c r="C120" s="433" t="str">
        <f t="shared" ref="C120:M120" ca="1" si="49">IFERROR(INDEX($B24:$W24,MATCH(C$96,$B72:$W72,0)),"")</f>
        <v>Mādhāva (Māgha) Masa</v>
      </c>
      <c r="D120" s="433" t="str">
        <f t="shared" ca="1" si="49"/>
        <v/>
      </c>
      <c r="E120" s="433" t="str">
        <f t="shared" ca="1" si="49"/>
        <v/>
      </c>
      <c r="F120" s="433" t="str">
        <f t="shared" ca="1" si="49"/>
        <v/>
      </c>
      <c r="G120" s="433" t="str">
        <f t="shared" ca="1" si="49"/>
        <v/>
      </c>
      <c r="H120" s="433" t="str">
        <f t="shared" ca="1" si="49"/>
        <v/>
      </c>
      <c r="I120" s="433" t="str">
        <f t="shared" ca="1" si="49"/>
        <v/>
      </c>
      <c r="J120" s="433" t="str">
        <f t="shared" ca="1" si="49"/>
        <v/>
      </c>
      <c r="K120" s="433" t="str">
        <f t="shared" ca="1" si="49"/>
        <v/>
      </c>
      <c r="L120" s="433" t="str">
        <f t="shared" ca="1" si="49"/>
        <v/>
      </c>
      <c r="M120" s="433" t="str">
        <f t="shared" ca="1" si="49"/>
        <v/>
      </c>
      <c r="N120" s="578" t="str">
        <f t="shared" ca="1" si="24"/>
        <v/>
      </c>
      <c r="O120" s="433">
        <f t="shared" ca="1" si="25"/>
        <v>1</v>
      </c>
      <c r="P120" s="432" t="e">
        <f t="shared" ca="1" si="26"/>
        <v>#VALUE!</v>
      </c>
    </row>
    <row r="121" spans="1:16" x14ac:dyDescent="0.25">
      <c r="A121" s="576">
        <f t="shared" si="22"/>
        <v>43487</v>
      </c>
      <c r="B121" s="433" t="str">
        <f t="shared" ca="1" si="29"/>
        <v>Terça</v>
      </c>
      <c r="C121" s="433" t="str">
        <f t="shared" ref="C121:M121" ca="1" si="50">IFERROR(INDEX($B25:$W25,MATCH(C$96,$B73:$W73,0)),"")</f>
        <v/>
      </c>
      <c r="D121" s="433" t="str">
        <f t="shared" ca="1" si="50"/>
        <v/>
      </c>
      <c r="E121" s="433" t="str">
        <f t="shared" ca="1" si="50"/>
        <v/>
      </c>
      <c r="F121" s="433" t="str">
        <f t="shared" ca="1" si="50"/>
        <v/>
      </c>
      <c r="G121" s="433" t="str">
        <f t="shared" ca="1" si="50"/>
        <v/>
      </c>
      <c r="H121" s="433" t="str">
        <f t="shared" ca="1" si="50"/>
        <v/>
      </c>
      <c r="I121" s="433" t="str">
        <f t="shared" ca="1" si="50"/>
        <v/>
      </c>
      <c r="J121" s="433" t="str">
        <f t="shared" ca="1" si="50"/>
        <v/>
      </c>
      <c r="K121" s="433" t="str">
        <f t="shared" ca="1" si="50"/>
        <v/>
      </c>
      <c r="L121" s="433" t="str">
        <f t="shared" ca="1" si="50"/>
        <v/>
      </c>
      <c r="M121" s="433" t="str">
        <f t="shared" ca="1" si="50"/>
        <v/>
      </c>
      <c r="N121" s="578" t="str">
        <f t="shared" ca="1" si="24"/>
        <v/>
      </c>
      <c r="O121" s="433">
        <f t="shared" ca="1" si="25"/>
        <v>0</v>
      </c>
      <c r="P121" s="432" t="e">
        <f t="shared" ca="1" si="26"/>
        <v>#VALUE!</v>
      </c>
    </row>
    <row r="122" spans="1:16" x14ac:dyDescent="0.25">
      <c r="A122" s="576">
        <f t="shared" si="22"/>
        <v>43488</v>
      </c>
      <c r="B122" s="433" t="str">
        <f t="shared" ca="1" si="29"/>
        <v>Quarta</v>
      </c>
      <c r="C122" s="433" t="str">
        <f t="shared" ref="C122:M122" ca="1" si="51">IFERROR(INDEX($B26:$W26,MATCH(C$96,$B74:$W74,0)),"")</f>
        <v/>
      </c>
      <c r="D122" s="433" t="str">
        <f t="shared" ca="1" si="51"/>
        <v/>
      </c>
      <c r="E122" s="433" t="str">
        <f t="shared" ca="1" si="51"/>
        <v/>
      </c>
      <c r="F122" s="433" t="str">
        <f t="shared" ca="1" si="51"/>
        <v/>
      </c>
      <c r="G122" s="433" t="str">
        <f t="shared" ca="1" si="51"/>
        <v/>
      </c>
      <c r="H122" s="433" t="str">
        <f t="shared" ca="1" si="51"/>
        <v/>
      </c>
      <c r="I122" s="433" t="str">
        <f t="shared" ca="1" si="51"/>
        <v/>
      </c>
      <c r="J122" s="433" t="str">
        <f t="shared" ca="1" si="51"/>
        <v/>
      </c>
      <c r="K122" s="433" t="str">
        <f t="shared" ca="1" si="51"/>
        <v/>
      </c>
      <c r="L122" s="433" t="str">
        <f t="shared" ca="1" si="51"/>
        <v/>
      </c>
      <c r="M122" s="433" t="str">
        <f t="shared" ca="1" si="51"/>
        <v/>
      </c>
      <c r="N122" s="578" t="str">
        <f t="shared" ca="1" si="24"/>
        <v/>
      </c>
      <c r="O122" s="433">
        <f t="shared" ca="1" si="25"/>
        <v>0</v>
      </c>
      <c r="P122" s="432" t="e">
        <f t="shared" ca="1" si="26"/>
        <v>#VALUE!</v>
      </c>
    </row>
    <row r="123" spans="1:16" x14ac:dyDescent="0.25">
      <c r="A123" s="576">
        <f t="shared" si="22"/>
        <v>43489</v>
      </c>
      <c r="B123" s="433" t="str">
        <f t="shared" ca="1" si="29"/>
        <v>Quinta</v>
      </c>
      <c r="C123" s="433" t="str">
        <f t="shared" ref="C123:M123" ca="1" si="52">IFERROR(INDEX($B27:$W27,MATCH(C$96,$B75:$W75,0)),"")</f>
        <v/>
      </c>
      <c r="D123" s="433" t="str">
        <f t="shared" ca="1" si="52"/>
        <v/>
      </c>
      <c r="E123" s="433" t="str">
        <f t="shared" ca="1" si="52"/>
        <v/>
      </c>
      <c r="F123" s="433" t="str">
        <f t="shared" ca="1" si="52"/>
        <v/>
      </c>
      <c r="G123" s="433" t="str">
        <f t="shared" ca="1" si="52"/>
        <v/>
      </c>
      <c r="H123" s="433" t="str">
        <f t="shared" ca="1" si="52"/>
        <v/>
      </c>
      <c r="I123" s="433" t="str">
        <f t="shared" ca="1" si="52"/>
        <v/>
      </c>
      <c r="J123" s="433" t="str">
        <f t="shared" ca="1" si="52"/>
        <v/>
      </c>
      <c r="K123" s="433" t="str">
        <f t="shared" ca="1" si="52"/>
        <v/>
      </c>
      <c r="L123" s="433" t="str">
        <f t="shared" ca="1" si="52"/>
        <v/>
      </c>
      <c r="M123" s="433" t="str">
        <f t="shared" ca="1" si="52"/>
        <v/>
      </c>
      <c r="N123" s="578" t="str">
        <f t="shared" ca="1" si="24"/>
        <v/>
      </c>
      <c r="O123" s="433">
        <f t="shared" ca="1" si="25"/>
        <v>0</v>
      </c>
      <c r="P123" s="432" t="e">
        <f t="shared" ca="1" si="26"/>
        <v>#VALUE!</v>
      </c>
    </row>
    <row r="124" spans="1:16" x14ac:dyDescent="0.25">
      <c r="A124" s="576">
        <f t="shared" si="22"/>
        <v>43490</v>
      </c>
      <c r="B124" s="433" t="str">
        <f t="shared" ca="1" si="29"/>
        <v>Sexta</v>
      </c>
      <c r="C124" s="433" t="str">
        <f t="shared" ref="C124:M124" ca="1" si="53">IFERROR(INDEX($B28:$W28,MATCH(C$96,$B76:$W76,0)),"")</f>
        <v>Sri Ramacandra Kaviraja - Desaparecimento</v>
      </c>
      <c r="D124" s="433" t="str">
        <f t="shared" ca="1" si="53"/>
        <v>Srila Gopala Bhatta Gosvami - Aparecimento</v>
      </c>
      <c r="E124" s="433" t="str">
        <f t="shared" ca="1" si="53"/>
        <v/>
      </c>
      <c r="F124" s="433" t="str">
        <f t="shared" ca="1" si="53"/>
        <v/>
      </c>
      <c r="G124" s="433" t="str">
        <f t="shared" ca="1" si="53"/>
        <v/>
      </c>
      <c r="H124" s="433" t="str">
        <f t="shared" ca="1" si="53"/>
        <v/>
      </c>
      <c r="I124" s="433" t="str">
        <f t="shared" ca="1" si="53"/>
        <v/>
      </c>
      <c r="J124" s="433" t="str">
        <f t="shared" ca="1" si="53"/>
        <v/>
      </c>
      <c r="K124" s="433" t="str">
        <f t="shared" ca="1" si="53"/>
        <v/>
      </c>
      <c r="L124" s="433" t="str">
        <f t="shared" ca="1" si="53"/>
        <v/>
      </c>
      <c r="M124" s="433" t="str">
        <f t="shared" ca="1" si="53"/>
        <v/>
      </c>
      <c r="N124" s="578" t="str">
        <f t="shared" ca="1" si="24"/>
        <v>C</v>
      </c>
      <c r="O124" s="433">
        <f t="shared" ca="1" si="25"/>
        <v>2</v>
      </c>
      <c r="P124" s="432" t="e">
        <f t="shared" ca="1" si="26"/>
        <v>#VALUE!</v>
      </c>
    </row>
    <row r="125" spans="1:16" x14ac:dyDescent="0.25">
      <c r="A125" s="576">
        <f t="shared" si="22"/>
        <v>43491</v>
      </c>
      <c r="B125" s="433" t="str">
        <f t="shared" ca="1" si="29"/>
        <v>Sábado</v>
      </c>
      <c r="C125" s="433" t="str">
        <f t="shared" ref="C125:M125" ca="1" si="54">IFERROR(INDEX($B29:$W29,MATCH(C$96,$B77:$W77,0)),"")</f>
        <v>Sri Jayadeva Gosvami - Desaparecimento</v>
      </c>
      <c r="D125" s="433" t="str">
        <f t="shared" ca="1" si="54"/>
        <v/>
      </c>
      <c r="E125" s="433" t="str">
        <f t="shared" ca="1" si="54"/>
        <v/>
      </c>
      <c r="F125" s="433" t="str">
        <f t="shared" ca="1" si="54"/>
        <v/>
      </c>
      <c r="G125" s="433" t="str">
        <f t="shared" ca="1" si="54"/>
        <v/>
      </c>
      <c r="H125" s="433" t="str">
        <f t="shared" ca="1" si="54"/>
        <v/>
      </c>
      <c r="I125" s="433" t="str">
        <f t="shared" ca="1" si="54"/>
        <v/>
      </c>
      <c r="J125" s="433" t="str">
        <f t="shared" ca="1" si="54"/>
        <v/>
      </c>
      <c r="K125" s="433" t="str">
        <f t="shared" ca="1" si="54"/>
        <v/>
      </c>
      <c r="L125" s="433" t="str">
        <f t="shared" ca="1" si="54"/>
        <v/>
      </c>
      <c r="M125" s="433" t="str">
        <f t="shared" ca="1" si="54"/>
        <v/>
      </c>
      <c r="N125" s="578" t="str">
        <f t="shared" ca="1" si="24"/>
        <v>C</v>
      </c>
      <c r="O125" s="433">
        <f t="shared" ca="1" si="25"/>
        <v>1</v>
      </c>
      <c r="P125" s="432" t="e">
        <f t="shared" ca="1" si="26"/>
        <v>#VALUE!</v>
      </c>
    </row>
    <row r="126" spans="1:16" x14ac:dyDescent="0.25">
      <c r="A126" s="576">
        <f t="shared" si="22"/>
        <v>43492</v>
      </c>
      <c r="B126" s="433" t="str">
        <f t="shared" ca="1" si="29"/>
        <v>Domingo</v>
      </c>
      <c r="C126" s="433" t="str">
        <f t="shared" ref="C126:M126" ca="1" si="55">IFERROR(INDEX($B30:$W30,MATCH(C$96,$B78:$W78,0)),"")</f>
        <v>Sri Locana Dasa Thakura - Desaparecimento</v>
      </c>
      <c r="D126" s="433" t="str">
        <f t="shared" ca="1" si="55"/>
        <v/>
      </c>
      <c r="E126" s="433" t="str">
        <f t="shared" ca="1" si="55"/>
        <v/>
      </c>
      <c r="F126" s="433" t="str">
        <f t="shared" ca="1" si="55"/>
        <v/>
      </c>
      <c r="G126" s="433" t="str">
        <f t="shared" ca="1" si="55"/>
        <v/>
      </c>
      <c r="H126" s="433" t="str">
        <f t="shared" ca="1" si="55"/>
        <v/>
      </c>
      <c r="I126" s="433" t="str">
        <f t="shared" ca="1" si="55"/>
        <v/>
      </c>
      <c r="J126" s="433" t="str">
        <f t="shared" ca="1" si="55"/>
        <v/>
      </c>
      <c r="K126" s="433" t="str">
        <f t="shared" ca="1" si="55"/>
        <v/>
      </c>
      <c r="L126" s="433" t="str">
        <f t="shared" ca="1" si="55"/>
        <v/>
      </c>
      <c r="M126" s="433" t="str">
        <f t="shared" ca="1" si="55"/>
        <v/>
      </c>
      <c r="N126" s="578" t="str">
        <f t="shared" ca="1" si="24"/>
        <v>C</v>
      </c>
      <c r="O126" s="433">
        <f t="shared" ca="1" si="25"/>
        <v>1</v>
      </c>
      <c r="P126" s="432" t="e">
        <f t="shared" ca="1" si="26"/>
        <v>#VALUE!</v>
      </c>
    </row>
    <row r="127" spans="1:16" x14ac:dyDescent="0.25">
      <c r="A127" s="576">
        <f t="shared" si="22"/>
        <v>43493</v>
      </c>
      <c r="B127" s="433" t="str">
        <f t="shared" ca="1" si="29"/>
        <v>Segunda</v>
      </c>
      <c r="C127" s="433" t="str">
        <f t="shared" ref="C127:M127" ca="1" si="56">IFERROR(INDEX($B31:$W31,MATCH(C$96,$B79:$W79,0)),"")</f>
        <v/>
      </c>
      <c r="D127" s="433" t="str">
        <f t="shared" ca="1" si="56"/>
        <v/>
      </c>
      <c r="E127" s="433" t="str">
        <f t="shared" ca="1" si="56"/>
        <v/>
      </c>
      <c r="F127" s="433" t="str">
        <f t="shared" ca="1" si="56"/>
        <v/>
      </c>
      <c r="G127" s="433" t="str">
        <f t="shared" ca="1" si="56"/>
        <v/>
      </c>
      <c r="H127" s="433" t="str">
        <f t="shared" ca="1" si="56"/>
        <v/>
      </c>
      <c r="I127" s="433" t="str">
        <f t="shared" ca="1" si="56"/>
        <v/>
      </c>
      <c r="J127" s="433" t="str">
        <f t="shared" ca="1" si="56"/>
        <v/>
      </c>
      <c r="K127" s="433" t="str">
        <f t="shared" ca="1" si="56"/>
        <v/>
      </c>
      <c r="L127" s="433" t="str">
        <f t="shared" ca="1" si="56"/>
        <v/>
      </c>
      <c r="M127" s="433" t="str">
        <f t="shared" ca="1" si="56"/>
        <v/>
      </c>
      <c r="N127" s="578" t="str">
        <f t="shared" ca="1" si="24"/>
        <v/>
      </c>
      <c r="O127" s="433">
        <f t="shared" ca="1" si="25"/>
        <v>0</v>
      </c>
      <c r="P127" s="432" t="e">
        <f t="shared" ca="1" si="26"/>
        <v>#VALUE!</v>
      </c>
    </row>
    <row r="128" spans="1:16" x14ac:dyDescent="0.25">
      <c r="A128" s="576">
        <f t="shared" si="22"/>
        <v>43494</v>
      </c>
      <c r="B128" s="433" t="str">
        <f t="shared" ca="1" si="29"/>
        <v>Terça</v>
      </c>
      <c r="C128" s="433" t="str">
        <f t="shared" ref="C128:M128" ca="1" si="57">IFERROR(INDEX($B32:$W32,MATCH(C$96,$B80:$W80,0)),"")</f>
        <v/>
      </c>
      <c r="D128" s="433" t="str">
        <f t="shared" ca="1" si="57"/>
        <v/>
      </c>
      <c r="E128" s="433" t="str">
        <f t="shared" ca="1" si="57"/>
        <v/>
      </c>
      <c r="F128" s="433" t="str">
        <f t="shared" ca="1" si="57"/>
        <v/>
      </c>
      <c r="G128" s="433" t="str">
        <f t="shared" ca="1" si="57"/>
        <v/>
      </c>
      <c r="H128" s="433" t="str">
        <f t="shared" ca="1" si="57"/>
        <v/>
      </c>
      <c r="I128" s="433" t="str">
        <f t="shared" ca="1" si="57"/>
        <v/>
      </c>
      <c r="J128" s="433" t="str">
        <f t="shared" ca="1" si="57"/>
        <v/>
      </c>
      <c r="K128" s="433" t="str">
        <f t="shared" ca="1" si="57"/>
        <v/>
      </c>
      <c r="L128" s="433" t="str">
        <f t="shared" ca="1" si="57"/>
        <v/>
      </c>
      <c r="M128" s="433" t="str">
        <f t="shared" ca="1" si="57"/>
        <v/>
      </c>
      <c r="N128" s="578" t="str">
        <f t="shared" ca="1" si="24"/>
        <v/>
      </c>
      <c r="O128" s="433">
        <f t="shared" ca="1" si="25"/>
        <v>0</v>
      </c>
      <c r="P128" s="432" t="e">
        <f t="shared" ca="1" si="26"/>
        <v>#VALUE!</v>
      </c>
    </row>
    <row r="129" spans="1:16" x14ac:dyDescent="0.25">
      <c r="A129" s="576">
        <f t="shared" si="22"/>
        <v>43495</v>
      </c>
      <c r="B129" s="433" t="str">
        <f t="shared" ca="1" si="29"/>
        <v>Quarta</v>
      </c>
      <c r="C129" s="433" t="str">
        <f t="shared" ref="C129:M129" ca="1" si="58">IFERROR(INDEX($B33:$W33,MATCH(C$96,$B81:$W81,0)),"")</f>
        <v/>
      </c>
      <c r="D129" s="433" t="str">
        <f t="shared" ca="1" si="58"/>
        <v/>
      </c>
      <c r="E129" s="433" t="str">
        <f t="shared" ca="1" si="58"/>
        <v/>
      </c>
      <c r="F129" s="433" t="str">
        <f t="shared" ca="1" si="58"/>
        <v/>
      </c>
      <c r="G129" s="433" t="str">
        <f t="shared" ca="1" si="58"/>
        <v/>
      </c>
      <c r="H129" s="433" t="str">
        <f t="shared" ca="1" si="58"/>
        <v/>
      </c>
      <c r="I129" s="433" t="str">
        <f t="shared" ca="1" si="58"/>
        <v/>
      </c>
      <c r="J129" s="433" t="str">
        <f t="shared" ca="1" si="58"/>
        <v/>
      </c>
      <c r="K129" s="433" t="str">
        <f t="shared" ca="1" si="58"/>
        <v/>
      </c>
      <c r="L129" s="433" t="str">
        <f t="shared" ca="1" si="58"/>
        <v/>
      </c>
      <c r="M129" s="433" t="str">
        <f t="shared" ca="1" si="58"/>
        <v/>
      </c>
      <c r="N129" s="578" t="str">
        <f t="shared" ca="1" si="24"/>
        <v/>
      </c>
      <c r="O129" s="433">
        <f t="shared" ca="1" si="25"/>
        <v>0</v>
      </c>
      <c r="P129" s="432" t="e">
        <f t="shared" ca="1" si="26"/>
        <v>#VALUE!</v>
      </c>
    </row>
    <row r="130" spans="1:16" x14ac:dyDescent="0.25">
      <c r="A130" s="576">
        <f t="shared" si="22"/>
        <v>43496</v>
      </c>
      <c r="B130" s="433" t="str">
        <f t="shared" ca="1" si="29"/>
        <v>Quinta</v>
      </c>
      <c r="C130" s="433" t="str">
        <f t="shared" ref="C130:M130" ca="1" si="59">IFERROR(INDEX($B34:$W34,MATCH(C$96,$B82:$W82,0)),"")</f>
        <v>(adequado para jejum)</v>
      </c>
      <c r="D130" s="433" t="str">
        <f t="shared" ca="1" si="59"/>
        <v>Jejum por Sat-tila Ekadasi</v>
      </c>
      <c r="E130" s="433" t="str">
        <f t="shared" ca="1" si="59"/>
        <v>Jejum começa às 05:19</v>
      </c>
      <c r="F130" s="433" t="str">
        <f t="shared" ca="1" si="59"/>
        <v/>
      </c>
      <c r="G130" s="433" t="str">
        <f t="shared" ca="1" si="59"/>
        <v/>
      </c>
      <c r="H130" s="433" t="str">
        <f t="shared" ca="1" si="59"/>
        <v/>
      </c>
      <c r="I130" s="433" t="str">
        <f t="shared" ca="1" si="59"/>
        <v/>
      </c>
      <c r="J130" s="433" t="str">
        <f t="shared" ca="1" si="59"/>
        <v/>
      </c>
      <c r="K130" s="433" t="str">
        <f t="shared" ca="1" si="59"/>
        <v/>
      </c>
      <c r="L130" s="433" t="str">
        <f t="shared" ca="1" si="59"/>
        <v/>
      </c>
      <c r="M130" s="433" t="str">
        <f t="shared" ca="1" si="59"/>
        <v/>
      </c>
      <c r="N130" s="578" t="str">
        <f t="shared" ca="1" si="24"/>
        <v>E</v>
      </c>
      <c r="O130" s="433">
        <f t="shared" ca="1" si="25"/>
        <v>3</v>
      </c>
      <c r="P130" s="432" t="e">
        <f t="shared" ca="1" si="26"/>
        <v>#VALUE!</v>
      </c>
    </row>
    <row r="131" spans="1:16" x14ac:dyDescent="0.25">
      <c r="A131" s="576">
        <f t="shared" si="22"/>
        <v>43497</v>
      </c>
      <c r="B131" s="433" t="str">
        <f t="shared" ca="1" si="29"/>
        <v>Sexta</v>
      </c>
      <c r="C131" s="433" t="str">
        <f t="shared" ref="C131:M131" ca="1" si="60">IFERROR(INDEX($B35:$W35,MATCH(C$96,$B83:$W83,0)),"")</f>
        <v>Quebra de jejum 05:19 - 09:28 (hora local)</v>
      </c>
      <c r="D131" s="433" t="str">
        <f t="shared" ca="1" si="60"/>
        <v/>
      </c>
      <c r="E131" s="433" t="str">
        <f t="shared" ca="1" si="60"/>
        <v/>
      </c>
      <c r="F131" s="433" t="str">
        <f t="shared" ca="1" si="60"/>
        <v/>
      </c>
      <c r="G131" s="433" t="str">
        <f t="shared" ca="1" si="60"/>
        <v/>
      </c>
      <c r="H131" s="433" t="str">
        <f t="shared" ca="1" si="60"/>
        <v/>
      </c>
      <c r="I131" s="433" t="str">
        <f t="shared" ca="1" si="60"/>
        <v/>
      </c>
      <c r="J131" s="433" t="str">
        <f t="shared" ca="1" si="60"/>
        <v/>
      </c>
      <c r="K131" s="433" t="str">
        <f t="shared" ca="1" si="60"/>
        <v/>
      </c>
      <c r="L131" s="433" t="str">
        <f t="shared" ca="1" si="60"/>
        <v/>
      </c>
      <c r="M131" s="433" t="str">
        <f t="shared" ca="1" si="60"/>
        <v/>
      </c>
      <c r="N131" s="578" t="str">
        <f t="shared" ca="1" si="24"/>
        <v/>
      </c>
      <c r="O131" s="433">
        <f t="shared" ca="1" si="25"/>
        <v>1</v>
      </c>
      <c r="P131" s="432" t="e">
        <f t="shared" ca="1" si="26"/>
        <v>#VALUE!</v>
      </c>
    </row>
    <row r="132" spans="1:16" x14ac:dyDescent="0.25">
      <c r="A132" s="576">
        <f t="shared" si="22"/>
        <v>43498</v>
      </c>
      <c r="B132" s="433" t="str">
        <f t="shared" ca="1" si="29"/>
        <v>Sábado</v>
      </c>
      <c r="C132" s="433" t="str">
        <f t="shared" ref="C132:M132" ca="1" si="61">IFERROR(INDEX($B36:$W36,MATCH(C$96,$B84:$W84,0)),"")</f>
        <v/>
      </c>
      <c r="D132" s="433" t="str">
        <f t="shared" ca="1" si="61"/>
        <v/>
      </c>
      <c r="E132" s="433" t="str">
        <f t="shared" ca="1" si="61"/>
        <v/>
      </c>
      <c r="F132" s="433" t="str">
        <f t="shared" ca="1" si="61"/>
        <v/>
      </c>
      <c r="G132" s="433" t="str">
        <f t="shared" ca="1" si="61"/>
        <v/>
      </c>
      <c r="H132" s="433" t="str">
        <f t="shared" ca="1" si="61"/>
        <v/>
      </c>
      <c r="I132" s="433" t="str">
        <f t="shared" ca="1" si="61"/>
        <v/>
      </c>
      <c r="J132" s="433" t="str">
        <f t="shared" ca="1" si="61"/>
        <v/>
      </c>
      <c r="K132" s="433" t="str">
        <f t="shared" ca="1" si="61"/>
        <v/>
      </c>
      <c r="L132" s="433" t="str">
        <f t="shared" ca="1" si="61"/>
        <v/>
      </c>
      <c r="M132" s="433" t="str">
        <f t="shared" ca="1" si="61"/>
        <v/>
      </c>
      <c r="N132" s="578" t="str">
        <f t="shared" ca="1" si="24"/>
        <v/>
      </c>
      <c r="O132" s="433">
        <f t="shared" ca="1" si="25"/>
        <v>0</v>
      </c>
      <c r="P132" s="432" t="e">
        <f t="shared" ca="1" si="26"/>
        <v>#VALUE!</v>
      </c>
    </row>
    <row r="133" spans="1:16" x14ac:dyDescent="0.25">
      <c r="A133" s="576">
        <f t="shared" ref="A133:A141" si="62">A37</f>
        <v>43499</v>
      </c>
      <c r="B133" s="433" t="str">
        <f t="shared" ref="B133:B140" ca="1" si="63">GcalTranscode("dayweekid" &amp; WEEKDAY(A133,2))</f>
        <v>Domingo</v>
      </c>
      <c r="C133" s="433" t="str">
        <f t="shared" ref="C133:M133" ca="1" si="64">IFERROR(INDEX($B37:$W37,MATCH(C$96,$B85:$W85,0)),"")</f>
        <v/>
      </c>
      <c r="D133" s="433" t="str">
        <f t="shared" ca="1" si="64"/>
        <v/>
      </c>
      <c r="E133" s="433" t="str">
        <f t="shared" ca="1" si="64"/>
        <v/>
      </c>
      <c r="F133" s="433" t="str">
        <f t="shared" ca="1" si="64"/>
        <v/>
      </c>
      <c r="G133" s="433" t="str">
        <f t="shared" ca="1" si="64"/>
        <v/>
      </c>
      <c r="H133" s="433" t="str">
        <f t="shared" ca="1" si="64"/>
        <v/>
      </c>
      <c r="I133" s="433" t="str">
        <f t="shared" ca="1" si="64"/>
        <v/>
      </c>
      <c r="J133" s="433" t="str">
        <f t="shared" ca="1" si="64"/>
        <v/>
      </c>
      <c r="K133" s="433" t="str">
        <f t="shared" ca="1" si="64"/>
        <v/>
      </c>
      <c r="L133" s="433" t="str">
        <f t="shared" ca="1" si="64"/>
        <v/>
      </c>
      <c r="M133" s="433" t="str">
        <f t="shared" ca="1" si="64"/>
        <v/>
      </c>
      <c r="N133" s="578" t="str">
        <f t="shared" ca="1" si="24"/>
        <v/>
      </c>
      <c r="O133" s="433">
        <f t="shared" ref="O133:O140" ca="1" si="65">11-COUNTIF(C133:M133,"")</f>
        <v>0</v>
      </c>
      <c r="P133" s="432" t="e">
        <f t="shared" ca="1" si="26"/>
        <v>#VALUE!</v>
      </c>
    </row>
    <row r="134" spans="1:16" x14ac:dyDescent="0.25">
      <c r="A134" s="576">
        <f t="shared" si="62"/>
        <v>43500</v>
      </c>
      <c r="B134" s="433" t="str">
        <f t="shared" ca="1" si="63"/>
        <v>Segunda</v>
      </c>
      <c r="C134" s="433" t="str">
        <f t="shared" ref="C134:M134" ca="1" si="66">IFERROR(INDEX($B38:$W38,MATCH(C$96,$B86:$W86,0)),"")</f>
        <v/>
      </c>
      <c r="D134" s="433" t="str">
        <f t="shared" ca="1" si="66"/>
        <v/>
      </c>
      <c r="E134" s="433" t="str">
        <f t="shared" ca="1" si="66"/>
        <v/>
      </c>
      <c r="F134" s="433" t="str">
        <f t="shared" ca="1" si="66"/>
        <v/>
      </c>
      <c r="G134" s="433" t="str">
        <f t="shared" ca="1" si="66"/>
        <v/>
      </c>
      <c r="H134" s="433" t="str">
        <f t="shared" ca="1" si="66"/>
        <v/>
      </c>
      <c r="I134" s="433" t="str">
        <f t="shared" ca="1" si="66"/>
        <v/>
      </c>
      <c r="J134" s="433" t="str">
        <f t="shared" ca="1" si="66"/>
        <v/>
      </c>
      <c r="K134" s="433" t="str">
        <f t="shared" ca="1" si="66"/>
        <v/>
      </c>
      <c r="L134" s="433" t="str">
        <f t="shared" ca="1" si="66"/>
        <v/>
      </c>
      <c r="M134" s="433" t="str">
        <f t="shared" ca="1" si="66"/>
        <v/>
      </c>
      <c r="N134" s="578" t="str">
        <f t="shared" ca="1" si="24"/>
        <v/>
      </c>
      <c r="O134" s="433">
        <f t="shared" ca="1" si="65"/>
        <v>0</v>
      </c>
      <c r="P134" s="432" t="e">
        <f t="shared" ca="1" si="26"/>
        <v>#VALUE!</v>
      </c>
    </row>
    <row r="135" spans="1:16" x14ac:dyDescent="0.25">
      <c r="A135" s="576">
        <f t="shared" si="62"/>
        <v>43501</v>
      </c>
      <c r="B135" s="433" t="str">
        <f t="shared" ca="1" si="63"/>
        <v>Terça</v>
      </c>
      <c r="C135" s="433" t="str">
        <f t="shared" ref="C135:M135" ca="1" si="67">IFERROR(INDEX($B39:$W39,MATCH(C$96,$B87:$W87,0)),"")</f>
        <v/>
      </c>
      <c r="D135" s="433" t="str">
        <f t="shared" ca="1" si="67"/>
        <v/>
      </c>
      <c r="E135" s="433" t="str">
        <f t="shared" ca="1" si="67"/>
        <v/>
      </c>
      <c r="F135" s="433" t="str">
        <f t="shared" ca="1" si="67"/>
        <v/>
      </c>
      <c r="G135" s="433" t="str">
        <f t="shared" ca="1" si="67"/>
        <v/>
      </c>
      <c r="H135" s="433" t="str">
        <f t="shared" ca="1" si="67"/>
        <v/>
      </c>
      <c r="I135" s="433" t="str">
        <f t="shared" ca="1" si="67"/>
        <v/>
      </c>
      <c r="J135" s="433" t="str">
        <f t="shared" ca="1" si="67"/>
        <v/>
      </c>
      <c r="K135" s="433" t="str">
        <f t="shared" ca="1" si="67"/>
        <v/>
      </c>
      <c r="L135" s="433" t="str">
        <f t="shared" ca="1" si="67"/>
        <v/>
      </c>
      <c r="M135" s="433" t="str">
        <f t="shared" ca="1" si="67"/>
        <v/>
      </c>
      <c r="N135" s="578" t="str">
        <f t="shared" ca="1" si="24"/>
        <v/>
      </c>
      <c r="O135" s="433">
        <f t="shared" ca="1" si="65"/>
        <v>0</v>
      </c>
      <c r="P135" s="432" t="e">
        <f t="shared" ca="1" si="26"/>
        <v>#VALUE!</v>
      </c>
    </row>
    <row r="136" spans="1:16" x14ac:dyDescent="0.25">
      <c r="A136" s="576">
        <f t="shared" si="62"/>
        <v>43502</v>
      </c>
      <c r="B136" s="433" t="str">
        <f t="shared" ca="1" si="63"/>
        <v>Quarta</v>
      </c>
      <c r="C136" s="433" t="str">
        <f t="shared" ref="C136:M136" ca="1" si="68">IFERROR(INDEX($B40:$W40,MATCH(C$96,$B88:$W88,0)),"")</f>
        <v/>
      </c>
      <c r="D136" s="433" t="str">
        <f t="shared" ca="1" si="68"/>
        <v/>
      </c>
      <c r="E136" s="433" t="str">
        <f t="shared" ca="1" si="68"/>
        <v/>
      </c>
      <c r="F136" s="433" t="str">
        <f t="shared" ca="1" si="68"/>
        <v/>
      </c>
      <c r="G136" s="433" t="str">
        <f t="shared" ca="1" si="68"/>
        <v/>
      </c>
      <c r="H136" s="433" t="str">
        <f t="shared" ca="1" si="68"/>
        <v/>
      </c>
      <c r="I136" s="433" t="str">
        <f t="shared" ca="1" si="68"/>
        <v/>
      </c>
      <c r="J136" s="433" t="str">
        <f t="shared" ca="1" si="68"/>
        <v/>
      </c>
      <c r="K136" s="433" t="str">
        <f t="shared" ca="1" si="68"/>
        <v/>
      </c>
      <c r="L136" s="433" t="str">
        <f t="shared" ca="1" si="68"/>
        <v/>
      </c>
      <c r="M136" s="433" t="str">
        <f t="shared" ca="1" si="68"/>
        <v/>
      </c>
      <c r="N136" s="578" t="str">
        <f t="shared" ca="1" si="24"/>
        <v/>
      </c>
      <c r="O136" s="433">
        <f t="shared" ca="1" si="65"/>
        <v>0</v>
      </c>
      <c r="P136" s="432" t="e">
        <f t="shared" ca="1" si="26"/>
        <v>#VALUE!</v>
      </c>
    </row>
    <row r="137" spans="1:16" x14ac:dyDescent="0.25">
      <c r="A137" s="576">
        <f t="shared" si="62"/>
        <v>43503</v>
      </c>
      <c r="B137" s="433" t="str">
        <f t="shared" ca="1" si="63"/>
        <v>Quinta</v>
      </c>
      <c r="C137" s="433" t="str">
        <f t="shared" ref="C137:M137" ca="1" si="69">IFERROR(INDEX($B41:$W41,MATCH(C$96,$B89:$W89,0)),"")</f>
        <v/>
      </c>
      <c r="D137" s="433" t="str">
        <f t="shared" ca="1" si="69"/>
        <v/>
      </c>
      <c r="E137" s="433" t="str">
        <f t="shared" ca="1" si="69"/>
        <v/>
      </c>
      <c r="F137" s="433" t="str">
        <f t="shared" ca="1" si="69"/>
        <v/>
      </c>
      <c r="G137" s="433" t="str">
        <f t="shared" ca="1" si="69"/>
        <v/>
      </c>
      <c r="H137" s="433" t="str">
        <f t="shared" ca="1" si="69"/>
        <v/>
      </c>
      <c r="I137" s="433" t="str">
        <f t="shared" ca="1" si="69"/>
        <v/>
      </c>
      <c r="J137" s="433" t="str">
        <f t="shared" ca="1" si="69"/>
        <v/>
      </c>
      <c r="K137" s="433" t="str">
        <f t="shared" ca="1" si="69"/>
        <v/>
      </c>
      <c r="L137" s="433" t="str">
        <f t="shared" ca="1" si="69"/>
        <v/>
      </c>
      <c r="M137" s="433" t="str">
        <f t="shared" ca="1" si="69"/>
        <v/>
      </c>
      <c r="N137" s="578" t="str">
        <f t="shared" ca="1" si="24"/>
        <v/>
      </c>
      <c r="O137" s="433">
        <f t="shared" ca="1" si="65"/>
        <v>0</v>
      </c>
      <c r="P137" s="432" t="e">
        <f t="shared" ca="1" si="26"/>
        <v>#VALUE!</v>
      </c>
    </row>
    <row r="138" spans="1:16" x14ac:dyDescent="0.25">
      <c r="A138" s="576">
        <f t="shared" si="62"/>
        <v>43504</v>
      </c>
      <c r="B138" s="433" t="str">
        <f t="shared" ca="1" si="63"/>
        <v>Sexta</v>
      </c>
      <c r="C138" s="433" t="str">
        <f t="shared" ref="C138:M138" ca="1" si="70">IFERROR(INDEX($B42:$W42,MATCH(C$96,$B90:$W90,0)),"")</f>
        <v/>
      </c>
      <c r="D138" s="433" t="str">
        <f t="shared" ca="1" si="70"/>
        <v/>
      </c>
      <c r="E138" s="433" t="str">
        <f t="shared" ca="1" si="70"/>
        <v/>
      </c>
      <c r="F138" s="433" t="str">
        <f t="shared" ca="1" si="70"/>
        <v/>
      </c>
      <c r="G138" s="433" t="str">
        <f t="shared" ca="1" si="70"/>
        <v/>
      </c>
      <c r="H138" s="433" t="str">
        <f t="shared" ca="1" si="70"/>
        <v/>
      </c>
      <c r="I138" s="433" t="str">
        <f t="shared" ca="1" si="70"/>
        <v/>
      </c>
      <c r="J138" s="433" t="str">
        <f t="shared" ca="1" si="70"/>
        <v/>
      </c>
      <c r="K138" s="433" t="str">
        <f t="shared" ca="1" si="70"/>
        <v/>
      </c>
      <c r="L138" s="433" t="str">
        <f t="shared" ca="1" si="70"/>
        <v/>
      </c>
      <c r="M138" s="433" t="str">
        <f t="shared" ca="1" si="70"/>
        <v/>
      </c>
      <c r="N138" s="578" t="str">
        <f t="shared" ca="1" si="24"/>
        <v/>
      </c>
      <c r="O138" s="433">
        <f t="shared" ca="1" si="65"/>
        <v>0</v>
      </c>
      <c r="P138" s="432" t="e">
        <f t="shared" ca="1" si="26"/>
        <v>#VALUE!</v>
      </c>
    </row>
    <row r="139" spans="1:16" x14ac:dyDescent="0.25">
      <c r="A139" s="576">
        <f t="shared" si="62"/>
        <v>43505</v>
      </c>
      <c r="B139" s="433" t="str">
        <f t="shared" ca="1" si="63"/>
        <v>Sábado</v>
      </c>
      <c r="C139" s="433" t="str">
        <f t="shared" ref="C139:M139" ca="1" si="71">IFERROR(INDEX($B43:$W43,MATCH(C$96,$B91:$W91,0)),"")</f>
        <v>Vasanta Pancami</v>
      </c>
      <c r="D139" s="433" t="str">
        <f t="shared" ca="1" si="71"/>
        <v>Srimati Visnupriya Devi - Aparecimento</v>
      </c>
      <c r="E139" s="433" t="str">
        <f t="shared" ca="1" si="71"/>
        <v>Sarasvati Puja</v>
      </c>
      <c r="F139" s="433" t="str">
        <f t="shared" ca="1" si="71"/>
        <v>Srila Visvanatha Cakravarti Thakura - Desaparecimento</v>
      </c>
      <c r="G139" s="433" t="str">
        <f t="shared" ca="1" si="71"/>
        <v>Sri Pundarika Vidyanidhi - Aparecimento</v>
      </c>
      <c r="H139" s="433" t="str">
        <f t="shared" ca="1" si="71"/>
        <v>Sri Raghunandana Thakura - Aparecimento</v>
      </c>
      <c r="I139" s="433" t="str">
        <f t="shared" ca="1" si="71"/>
        <v>Srila Raghunatha Dasa Gosvami - Aparecimento</v>
      </c>
      <c r="J139" s="433" t="str">
        <f t="shared" ca="1" si="71"/>
        <v/>
      </c>
      <c r="K139" s="433" t="str">
        <f t="shared" ca="1" si="71"/>
        <v/>
      </c>
      <c r="L139" s="433" t="str">
        <f t="shared" ca="1" si="71"/>
        <v/>
      </c>
      <c r="M139" s="433" t="str">
        <f t="shared" ca="1" si="71"/>
        <v/>
      </c>
      <c r="N139" s="578" t="str">
        <f t="shared" ca="1" si="24"/>
        <v>C</v>
      </c>
      <c r="O139" s="433">
        <f t="shared" ca="1" si="65"/>
        <v>7</v>
      </c>
      <c r="P139" s="432" t="e">
        <f t="shared" ca="1" si="26"/>
        <v>#VALUE!</v>
      </c>
    </row>
    <row r="140" spans="1:16" x14ac:dyDescent="0.25">
      <c r="A140" s="576">
        <f t="shared" si="62"/>
        <v>43506</v>
      </c>
      <c r="B140" s="433" t="str">
        <f t="shared" ca="1" si="63"/>
        <v>Domingo</v>
      </c>
      <c r="C140" s="433" t="str">
        <f t="shared" ref="C140:M140" ca="1" si="72">IFERROR(INDEX($B44:$W44,MATCH(C$96,$B92:$W92,0)),"")</f>
        <v/>
      </c>
      <c r="D140" s="433" t="str">
        <f t="shared" ca="1" si="72"/>
        <v/>
      </c>
      <c r="E140" s="433" t="str">
        <f t="shared" ca="1" si="72"/>
        <v/>
      </c>
      <c r="F140" s="433" t="str">
        <f t="shared" ca="1" si="72"/>
        <v/>
      </c>
      <c r="G140" s="433" t="str">
        <f t="shared" ca="1" si="72"/>
        <v/>
      </c>
      <c r="H140" s="433" t="str">
        <f t="shared" ca="1" si="72"/>
        <v/>
      </c>
      <c r="I140" s="433" t="str">
        <f t="shared" ca="1" si="72"/>
        <v/>
      </c>
      <c r="J140" s="433" t="str">
        <f t="shared" ca="1" si="72"/>
        <v/>
      </c>
      <c r="K140" s="433" t="str">
        <f t="shared" ca="1" si="72"/>
        <v/>
      </c>
      <c r="L140" s="433" t="str">
        <f t="shared" ca="1" si="72"/>
        <v/>
      </c>
      <c r="M140" s="433" t="str">
        <f t="shared" ca="1" si="72"/>
        <v/>
      </c>
      <c r="N140" s="578" t="str">
        <f t="shared" ca="1" si="24"/>
        <v/>
      </c>
      <c r="O140" s="433">
        <f t="shared" ca="1" si="65"/>
        <v>0</v>
      </c>
      <c r="P140" s="432" t="e">
        <f t="shared" ca="1" si="26"/>
        <v>#VALUE!</v>
      </c>
    </row>
    <row r="141" spans="1:16" x14ac:dyDescent="0.25">
      <c r="A141" s="265">
        <f t="shared" si="62"/>
        <v>43507</v>
      </c>
      <c r="B141" t="str">
        <f ca="1">GcalTranscode("dayweekid" &amp; WEEKDAY(A141,2))</f>
        <v>Segunda</v>
      </c>
      <c r="C141" t="str">
        <f t="shared" ref="C141:M141" ca="1" si="73">IFERROR(INDEX($B45:$W45,MATCH(C$96,$B93:$W93,0)),"")</f>
        <v/>
      </c>
      <c r="D141" t="str">
        <f t="shared" ca="1" si="73"/>
        <v/>
      </c>
      <c r="E141" t="str">
        <f t="shared" ca="1" si="73"/>
        <v/>
      </c>
      <c r="F141" t="str">
        <f t="shared" ca="1" si="73"/>
        <v/>
      </c>
      <c r="G141" t="str">
        <f t="shared" ca="1" si="73"/>
        <v/>
      </c>
      <c r="H141" t="str">
        <f t="shared" ca="1" si="73"/>
        <v/>
      </c>
      <c r="I141" t="str">
        <f t="shared" ca="1" si="73"/>
        <v/>
      </c>
      <c r="J141" t="str">
        <f t="shared" ca="1" si="73"/>
        <v/>
      </c>
      <c r="K141" t="str">
        <f t="shared" ca="1" si="73"/>
        <v/>
      </c>
      <c r="L141" t="str">
        <f t="shared" ca="1" si="73"/>
        <v/>
      </c>
      <c r="M141" t="str">
        <f t="shared" ca="1" si="73"/>
        <v/>
      </c>
      <c r="N141" s="443" t="str">
        <f t="shared" ca="1" si="24"/>
        <v/>
      </c>
      <c r="O141">
        <f ca="1">11-COUNTIF(C141:M141,"")</f>
        <v>0</v>
      </c>
      <c r="P141" s="824" t="e">
        <f t="shared" ca="1" si="26"/>
        <v>#VALUE!</v>
      </c>
    </row>
  </sheetData>
  <pageMargins left="0.511811024" right="0.511811024" top="0.78740157499999996" bottom="0.78740157499999996" header="0.31496062000000002" footer="0.3149606200000000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wksGCalWeek"/>
  <dimension ref="A1:AS36"/>
  <sheetViews>
    <sheetView workbookViewId="0">
      <pane xSplit="2" ySplit="1" topLeftCell="C2" activePane="bottomRight" state="frozen"/>
      <selection pane="topRight" activeCell="C1" sqref="C1"/>
      <selection pane="bottomLeft" activeCell="A2" sqref="A2"/>
      <selection pane="bottomRight"/>
    </sheetView>
  </sheetViews>
  <sheetFormatPr defaultRowHeight="15" x14ac:dyDescent="0.25"/>
  <cols>
    <col min="1" max="1" width="10.7109375" customWidth="1"/>
    <col min="2" max="2" width="9.140625" customWidth="1"/>
    <col min="3" max="3" width="10.7109375" customWidth="1"/>
    <col min="4" max="15" width="9.140625" customWidth="1"/>
    <col min="22" max="23" width="5" customWidth="1"/>
    <col min="24" max="27" width="8.5703125" customWidth="1"/>
    <col min="28" max="28" width="8" customWidth="1"/>
    <col min="32" max="33" width="9.140625" customWidth="1"/>
    <col min="34" max="34" width="9" customWidth="1"/>
    <col min="35" max="35" width="9.7109375" customWidth="1"/>
    <col min="36" max="36" width="8.85546875" customWidth="1"/>
    <col min="37" max="37" width="10" customWidth="1"/>
    <col min="40" max="40" width="10.7109375" bestFit="1" customWidth="1"/>
    <col min="43" max="44" width="10.7109375" bestFit="1" customWidth="1"/>
  </cols>
  <sheetData>
    <row r="1" spans="1:45" x14ac:dyDescent="0.25">
      <c r="A1" s="432" t="s">
        <v>1240</v>
      </c>
      <c r="B1" s="320" t="s">
        <v>7581</v>
      </c>
      <c r="C1" s="420" t="s">
        <v>1763</v>
      </c>
      <c r="D1" s="327" t="s">
        <v>7499</v>
      </c>
      <c r="E1" s="305" t="s">
        <v>7596</v>
      </c>
      <c r="F1" s="327" t="s">
        <v>7500</v>
      </c>
      <c r="G1" s="327" t="s">
        <v>7501</v>
      </c>
      <c r="H1" s="327" t="s">
        <v>7502</v>
      </c>
      <c r="I1" s="274" t="s">
        <v>7502</v>
      </c>
      <c r="J1" s="274" t="s">
        <v>7503</v>
      </c>
      <c r="K1" s="274" t="s">
        <v>7504</v>
      </c>
      <c r="L1" s="274" t="s">
        <v>7505</v>
      </c>
      <c r="M1" s="274" t="s">
        <v>7516</v>
      </c>
      <c r="N1" s="274" t="s">
        <v>7518</v>
      </c>
      <c r="O1" s="274" t="s">
        <v>7520</v>
      </c>
      <c r="P1" s="419" t="s">
        <v>7506</v>
      </c>
      <c r="Q1" s="419" t="s">
        <v>9660</v>
      </c>
      <c r="R1" s="419" t="s">
        <v>7575</v>
      </c>
      <c r="S1" s="320" t="s">
        <v>7494</v>
      </c>
      <c r="T1" s="303" t="s">
        <v>7544</v>
      </c>
      <c r="U1" s="303" t="s">
        <v>7545</v>
      </c>
      <c r="V1" s="303" t="s">
        <v>7546</v>
      </c>
      <c r="W1" s="303" t="s">
        <v>7547</v>
      </c>
      <c r="X1" t="s">
        <v>7539</v>
      </c>
      <c r="Y1" t="s">
        <v>7245</v>
      </c>
      <c r="Z1" s="303" t="s">
        <v>9515</v>
      </c>
      <c r="AA1" t="s">
        <v>7580</v>
      </c>
      <c r="AB1" t="s">
        <v>7239</v>
      </c>
      <c r="AC1" s="305" t="s">
        <v>7551</v>
      </c>
      <c r="AD1" s="305" t="s">
        <v>7242</v>
      </c>
      <c r="AE1" s="420" t="s">
        <v>7570</v>
      </c>
      <c r="AF1" s="420" t="s">
        <v>7571</v>
      </c>
      <c r="AG1" s="327" t="s">
        <v>7499</v>
      </c>
      <c r="AH1" s="327" t="s">
        <v>7500</v>
      </c>
      <c r="AI1" s="327" t="s">
        <v>7501</v>
      </c>
      <c r="AJ1" s="327" t="s">
        <v>7502</v>
      </c>
      <c r="AK1" s="419" t="s">
        <v>7574</v>
      </c>
      <c r="AL1" s="419" t="s">
        <v>7572</v>
      </c>
      <c r="AM1" s="419" t="s">
        <v>9661</v>
      </c>
      <c r="AN1" s="419" t="s">
        <v>7576</v>
      </c>
      <c r="AO1" s="419" t="s">
        <v>7573</v>
      </c>
      <c r="AP1" s="320" t="s">
        <v>7577</v>
      </c>
      <c r="AQ1" s="320" t="s">
        <v>7578</v>
      </c>
      <c r="AR1" s="320" t="s">
        <v>7579</v>
      </c>
      <c r="AS1" s="326" t="s">
        <v>7490</v>
      </c>
    </row>
    <row r="2" spans="1:45" x14ac:dyDescent="0.25">
      <c r="A2" s="265">
        <f>A3-1</f>
        <v>43464</v>
      </c>
      <c r="B2" s="267" t="str">
        <f ca="1">IFERROR(SUBSTITUTE(SUBSTITUTE(RIGHT(AA2,LEN(AA2)-SEARCH(" (",AA2)),'GCal-Translations'!$B$194,'GCal-Translations'!$C$194,1),'GCal-Translations'!$B$195,'GCal-Translations'!$C$195,1),"")</f>
        <v/>
      </c>
      <c r="C2" s="418" t="str">
        <f>IF(AND(AE2&lt;&gt;"",AF2&lt;&gt;""),SUBSTITUTE(SUBSTITUTE('GCal-Translations'!$C$200,"#start_hour#",AE2),"#end_hour#",AF2),IF(AE2&lt;&gt;"",SUBSTITUTE('GCal-Translations'!$C$199,"#hh:mm#",AE2),""))</f>
        <v/>
      </c>
      <c r="D2" t="str">
        <f t="shared" ref="D2:D10" si="0">AG2</f>
        <v/>
      </c>
      <c r="E2" s="267" t="str">
        <f ca="1">IF(AD2="*",'GCal-Translations'!$C$197 &amp; " " &amp; TEXT(AB2,"hh:mm"),"")</f>
        <v/>
      </c>
      <c r="F2" t="str">
        <f t="shared" ref="F2:F10" si="1">AH2</f>
        <v/>
      </c>
      <c r="G2" t="str">
        <f t="shared" ref="G2:G10" si="2">AI2</f>
        <v/>
      </c>
      <c r="H2" t="str">
        <f t="shared" ref="H2:H10" ca="1" si="3">IF(AJ2="",IF(AS2&lt;&gt;AS1,AS2 &amp; " Masa",AJ2),AJ2)</f>
        <v>Nārāyaṇa (Pauṣa) Masa</v>
      </c>
      <c r="I2" s="267" t="str">
        <f>GcalTranscode(INDEX('GCal-Year'!M$2:M$435,$X2))</f>
        <v/>
      </c>
      <c r="J2" s="267" t="str">
        <f>GcalTranscode(INDEX('GCal-Year'!N$2:N$435,$X2))</f>
        <v/>
      </c>
      <c r="K2" s="267" t="str">
        <f>GcalTranscode(INDEX('GCal-Year'!O$2:O$435,$X2))</f>
        <v/>
      </c>
      <c r="L2" s="267" t="str">
        <f>GcalTranscode(INDEX('GCal-Year'!P$2:P$435,$X2))</f>
        <v/>
      </c>
      <c r="M2" s="267" t="str">
        <f>GcalTranscode(INDEX('GCal-Year'!Q$2:Q$435,$X2))</f>
        <v/>
      </c>
      <c r="N2" s="267" t="str">
        <f>GcalTranscode(INDEX('GCal-Year'!R$2:R$435,$X2))</f>
        <v/>
      </c>
      <c r="O2" s="267" t="str">
        <f>GcalTranscode(INDEX('GCal-Year'!S$2:S$435,$X2))</f>
        <v/>
      </c>
      <c r="P2" s="267" t="str">
        <f t="shared" ref="P2:P10" si="4">GcalTranscode(AK2) &amp; " " &amp; GcalTranscode(AL2)</f>
        <v xml:space="preserve"> </v>
      </c>
      <c r="Q2" s="267" t="str">
        <f t="shared" ref="Q2:Q10" si="5">GcalTranscode(AM2)</f>
        <v/>
      </c>
      <c r="R2" s="267" t="str">
        <f t="shared" ref="R2:R10" si="6">GcalTranscode(AN2) &amp; " " &amp; GcalTranscode(AO2)</f>
        <v xml:space="preserve"> </v>
      </c>
      <c r="S2" s="267" t="str">
        <f t="shared" ref="S2:S10" si="7">SUBSTITUTE(SUBSTITUTE(AP2,"#dd mm#",TEXT(AR2,"dd mmm"),1),"#hh:mm#",TEXT(AQ2,"hh:mm"),1)</f>
        <v/>
      </c>
      <c r="T2" s="267" t="str">
        <f ca="1">INDEX('GCal-Year'!W$2:W$435,$X2)</f>
        <v/>
      </c>
      <c r="U2" s="267" t="str">
        <f ca="1">INDEX('GCal-Year'!X$2:X$435,$X2)</f>
        <v/>
      </c>
      <c r="V2" s="267" t="str">
        <f ca="1">INDEX('GCal-Year'!Y$2:Y$435,$X2)</f>
        <v/>
      </c>
      <c r="W2" s="267" t="str">
        <f ca="1">INDEX('GCal-Year'!Z$2:Z$435,$X2)</f>
        <v/>
      </c>
      <c r="X2">
        <f>X3-1</f>
        <v>37</v>
      </c>
      <c r="Y2" s="267">
        <f>INDEX('GCal-Year'!D$2:D$435,$X2)</f>
        <v>37</v>
      </c>
      <c r="Z2" s="839">
        <f>INDEX(GCalXMLT[dstoffset],Y2) * TIMEVALUE("01:00:00")</f>
        <v>0</v>
      </c>
      <c r="AA2" s="267" t="str">
        <f>INDEX(GCalXMLT[stithiname],Y2)</f>
        <v>Navami</v>
      </c>
      <c r="AB2" s="839">
        <f>INDEX(GCalXMLT[dsunrisetime],$Y2)-Z2</f>
        <v>0.21137731481481481</v>
      </c>
      <c r="AC2" s="267" t="str">
        <f ca="1">INDEX('GCal-Year'!F$2:F$435,$X2)</f>
        <v/>
      </c>
      <c r="AD2" s="267" t="str">
        <f ca="1">INDEX('GCal-Year'!H$2:H$435,$X2)</f>
        <v/>
      </c>
      <c r="AE2" s="267" t="str">
        <f>IF(INDEX(GCalXMLT[paranafrom],$Y2)=0,"",TEXT(INDEX(GCalXMLT[paranafrom],$Y2)-$Z2,"hh:mm"))</f>
        <v/>
      </c>
      <c r="AF2" s="267" t="str">
        <f>IF(INDEX(GCalXMLT[paranato],$Y2)=0,"",TEXT(INDEX(GCalXMLT[paranato],$Y2)-$Z2,"hh:mm"))</f>
        <v/>
      </c>
      <c r="AG2" s="267" t="str">
        <f>GcalTranscode(INDEX('GCal-Year'!I$2:I$435,$X2))</f>
        <v/>
      </c>
      <c r="AH2" s="267" t="str">
        <f>GcalTranscode(INDEX('GCal-Year'!J$2:J$435,$X2))</f>
        <v/>
      </c>
      <c r="AI2" s="267" t="str">
        <f>GcalTranscode(INDEX('GCal-Year'!K$2:K$435,$X2))</f>
        <v/>
      </c>
      <c r="AJ2" s="267" t="str">
        <f>GcalTranscode(INDEX('GCal-Year'!L$2:L$435,$X2))</f>
        <v/>
      </c>
      <c r="AK2" s="267" t="str">
        <f>LEFT(INDEX(GCalXMLT[dcaturmasya1],$Y2),6)</f>
        <v/>
      </c>
      <c r="AL2" s="267" t="str">
        <f>RIGHT(INDEX(GCalXMLT[dcaturmasya1],$Y2),8)</f>
        <v/>
      </c>
      <c r="AM2" s="267" t="str">
        <f>IF(MID(AK2,2,5)="first",LEFT(AK2,1) &amp; "fast_","")</f>
        <v/>
      </c>
      <c r="AN2" s="267" t="str">
        <f>LEFT(INDEX(GCalXMLT[dcaturmasya2],$Y2),6)</f>
        <v/>
      </c>
      <c r="AO2" s="267" t="str">
        <f>RIGHT(INDEX(GCalXMLT[dcaturmasya2],$Y2),8)</f>
        <v/>
      </c>
      <c r="AP2" s="267" t="str">
        <f>GcalTranscode(INDEX(GCalXMLT[sankrantirasi],$Y2))</f>
        <v/>
      </c>
      <c r="AQ2" s="294" t="str">
        <f>IF(INDEX(GCalXMLT[sankrantitime],$Y2)=0,"",INDEX(GCalXMLT[sankrantitime],$Y2)-Z2)</f>
        <v/>
      </c>
      <c r="AR2" s="265">
        <f t="shared" ref="AR2:AR10" si="8">IF(AQ2&gt;0.5,A2-1,A2)</f>
        <v>43463</v>
      </c>
      <c r="AS2" t="str">
        <f ca="1">GcalTranscode(INDEX(GCalXMLT[gymasa],$Y2))</f>
        <v>Nārāyaṇa (Pauṣa)</v>
      </c>
    </row>
    <row r="3" spans="1:45" x14ac:dyDescent="0.25">
      <c r="A3" s="268">
        <f>Parameters!C20</f>
        <v>43465</v>
      </c>
      <c r="B3" s="267" t="str">
        <f ca="1">IFERROR(SUBSTITUTE(SUBSTITUTE(RIGHT(AA3,LEN(AA3)-SEARCH(" (",AA3)),'GCal-Translations'!$B$194,'GCal-Translations'!$C$194,1),'GCal-Translations'!$B$195,'GCal-Translations'!$C$195,1),"")</f>
        <v/>
      </c>
      <c r="C3" s="418" t="str">
        <f>IF(AND(AE3&lt;&gt;"",AF3&lt;&gt;""),SUBSTITUTE(SUBSTITUTE('GCal-Translations'!$C$200,"#start_hour#",AE3),"#end_hour#",AF3),IF(AE3&lt;&gt;"",SUBSTITUTE('GCal-Translations'!$C$199,"#hh:mm#",AE3),""))</f>
        <v/>
      </c>
      <c r="D3" t="str">
        <f t="shared" si="0"/>
        <v/>
      </c>
      <c r="E3" s="267" t="str">
        <f ca="1">IF(AD3="*",'GCal-Translations'!$C$197 &amp; " " &amp; TEXT(AB3,"hh:mm"),"")</f>
        <v/>
      </c>
      <c r="F3" t="str">
        <f t="shared" si="1"/>
        <v/>
      </c>
      <c r="G3" t="str">
        <f t="shared" si="2"/>
        <v/>
      </c>
      <c r="H3" t="str">
        <f t="shared" ca="1" si="3"/>
        <v/>
      </c>
      <c r="I3" s="267" t="str">
        <f>GcalTranscode(INDEX('GCal-Year'!M$2:M$435,$X3))</f>
        <v/>
      </c>
      <c r="J3" s="267" t="str">
        <f>GcalTranscode(INDEX('GCal-Year'!N$2:N$435,$X3))</f>
        <v/>
      </c>
      <c r="K3" s="267" t="str">
        <f>GcalTranscode(INDEX('GCal-Year'!O$2:O$435,$X3))</f>
        <v/>
      </c>
      <c r="L3" s="267" t="str">
        <f>GcalTranscode(INDEX('GCal-Year'!P$2:P$435,$X3))</f>
        <v/>
      </c>
      <c r="M3" s="267" t="str">
        <f>GcalTranscode(INDEX('GCal-Year'!Q$2:Q$435,$X3))</f>
        <v/>
      </c>
      <c r="N3" s="267" t="str">
        <f>GcalTranscode(INDEX('GCal-Year'!R$2:R$435,$X3))</f>
        <v/>
      </c>
      <c r="O3" s="267" t="str">
        <f>GcalTranscode(INDEX('GCal-Year'!S$2:S$435,$X3))</f>
        <v/>
      </c>
      <c r="P3" s="267" t="str">
        <f t="shared" si="4"/>
        <v xml:space="preserve"> </v>
      </c>
      <c r="Q3" s="267" t="str">
        <f t="shared" si="5"/>
        <v/>
      </c>
      <c r="R3" s="267" t="str">
        <f t="shared" si="6"/>
        <v xml:space="preserve"> </v>
      </c>
      <c r="S3" s="267" t="str">
        <f t="shared" si="7"/>
        <v/>
      </c>
      <c r="T3" s="267" t="str">
        <f ca="1">INDEX('GCal-Year'!W$2:W$435,$X3)</f>
        <v/>
      </c>
      <c r="U3" s="267" t="str">
        <f ca="1">INDEX('GCal-Year'!X$2:X$435,$X3)</f>
        <v/>
      </c>
      <c r="V3" s="267" t="str">
        <f ca="1">INDEX('GCal-Year'!Y$2:Y$435,$X3)</f>
        <v/>
      </c>
      <c r="W3" s="267" t="str">
        <f ca="1">INDEX('GCal-Year'!Z$2:Z$435,$X3)</f>
        <v/>
      </c>
      <c r="X3" s="417">
        <f>MATCH(A3,'GCal-Year'!$A$2:$A$435,0)</f>
        <v>38</v>
      </c>
      <c r="Y3" s="267">
        <f>INDEX('GCal-Year'!D$2:D$435,$X3)</f>
        <v>38</v>
      </c>
      <c r="Z3" s="839">
        <f>INDEX(GCalXMLT[dstoffset],Y3) * TIMEVALUE("01:00:00")</f>
        <v>0</v>
      </c>
      <c r="AA3" s="267" t="str">
        <f>INDEX(GCalXMLT[stithiname],Y3)</f>
        <v>Dasami</v>
      </c>
      <c r="AB3" s="839">
        <f>INDEX(GCalXMLT[dsunrisetime],$Y3)-Z3</f>
        <v>0.21173611111111112</v>
      </c>
      <c r="AC3" s="267" t="str">
        <f ca="1">INDEX('GCal-Year'!F$2:F$435,$X3)</f>
        <v/>
      </c>
      <c r="AD3" s="267" t="str">
        <f ca="1">INDEX('GCal-Year'!H$2:H$435,$X3)</f>
        <v/>
      </c>
      <c r="AE3" s="267" t="str">
        <f>IF(INDEX(GCalXMLT[paranafrom],$Y3)=0,"",TEXT(INDEX(GCalXMLT[paranafrom],$Y3)-$Z3,"hh:mm"))</f>
        <v/>
      </c>
      <c r="AF3" s="267" t="str">
        <f>IF(INDEX(GCalXMLT[paranato],$Y3)=0,"",TEXT(INDEX(GCalXMLT[paranato],$Y3)-$Z3,"hh:mm"))</f>
        <v/>
      </c>
      <c r="AG3" s="267" t="str">
        <f>GcalTranscode(INDEX('GCal-Year'!I$2:I$435,$X3))</f>
        <v/>
      </c>
      <c r="AH3" s="267" t="str">
        <f>GcalTranscode(INDEX('GCal-Year'!J$2:J$435,$X3))</f>
        <v/>
      </c>
      <c r="AI3" s="267" t="str">
        <f>GcalTranscode(INDEX('GCal-Year'!K$2:K$435,$X3))</f>
        <v/>
      </c>
      <c r="AJ3" s="267" t="str">
        <f>GcalTranscode(INDEX('GCal-Year'!L$2:L$435,$X3))</f>
        <v/>
      </c>
      <c r="AK3" s="267" t="str">
        <f>LEFT(INDEX(GCalXMLT[dcaturmasya1],$Y3),6)</f>
        <v/>
      </c>
      <c r="AL3" s="267" t="str">
        <f>RIGHT(INDEX(GCalXMLT[dcaturmasya1],$Y3),8)</f>
        <v/>
      </c>
      <c r="AM3" s="267" t="str">
        <f t="shared" ref="AM3:AM10" si="9">IF(MID(AK3,2,5)="first",LEFT(AK3,1) &amp; "fast_","")</f>
        <v/>
      </c>
      <c r="AN3" s="267" t="str">
        <f>LEFT(INDEX(GCalXMLT[dcaturmasya2],$Y3),6)</f>
        <v/>
      </c>
      <c r="AO3" s="267" t="str">
        <f>RIGHT(INDEX(GCalXMLT[dcaturmasya2],$Y3),8)</f>
        <v/>
      </c>
      <c r="AP3" s="267" t="str">
        <f>GcalTranscode(INDEX(GCalXMLT[sankrantirasi],$Y3))</f>
        <v/>
      </c>
      <c r="AQ3" s="294" t="str">
        <f>IF(INDEX(GCalXMLT[sankrantitime],$Y3)=0,"",INDEX(GCalXMLT[sankrantitime],$Y3)-Z3)</f>
        <v/>
      </c>
      <c r="AR3" s="265">
        <f t="shared" si="8"/>
        <v>43464</v>
      </c>
      <c r="AS3" t="str">
        <f ca="1">GcalTranscode(INDEX(GCalXMLT[gymasa],$Y3))</f>
        <v>Nārāyaṇa (Pauṣa)</v>
      </c>
    </row>
    <row r="4" spans="1:45" x14ac:dyDescent="0.25">
      <c r="A4" s="265">
        <f t="shared" ref="A4:A10" si="10">A3+1</f>
        <v>43466</v>
      </c>
      <c r="B4" s="267" t="str">
        <f ca="1">IFERROR(SUBSTITUTE(SUBSTITUTE(RIGHT(AA4,LEN(AA4)-SEARCH(" (",AA4)),'GCal-Translations'!$B$194,'GCal-Translations'!$C$194,1),'GCal-Translations'!$B$195,'GCal-Translations'!$C$195,1),"")</f>
        <v>(adequado para jejum)</v>
      </c>
      <c r="C4" s="418" t="str">
        <f>IF(AND(AE4&lt;&gt;"",AF4&lt;&gt;""),SUBSTITUTE(SUBSTITUTE('GCal-Translations'!$C$200,"#start_hour#",AE4),"#end_hour#",AF4),IF(AE4&lt;&gt;"",SUBSTITUTE('GCal-Translations'!$C$199,"#hh:mm#",AE4),""))</f>
        <v/>
      </c>
      <c r="D4" t="str">
        <f t="shared" ca="1" si="0"/>
        <v>Jejum por Saphala Ekadasi</v>
      </c>
      <c r="E4" s="267" t="str">
        <f ca="1">IF(AD4="*",'GCal-Translations'!$C$197 &amp; " " &amp; TEXT(AB4,"hh:mm"),"")</f>
        <v>Jejum começa às 05:05</v>
      </c>
      <c r="F4" t="str">
        <f t="shared" si="1"/>
        <v/>
      </c>
      <c r="G4" t="str">
        <f t="shared" si="2"/>
        <v/>
      </c>
      <c r="H4" t="str">
        <f t="shared" ca="1" si="3"/>
        <v/>
      </c>
      <c r="I4" s="267" t="str">
        <f ca="1">GcalTranscode(INDEX('GCal-Year'!M$2:M$435,$X4))</f>
        <v>Sri Devananda Pandita - Desaparecimento</v>
      </c>
      <c r="J4" s="267" t="str">
        <f>GcalTranscode(INDEX('GCal-Year'!N$2:N$435,$X4))</f>
        <v/>
      </c>
      <c r="K4" s="267" t="str">
        <f>GcalTranscode(INDEX('GCal-Year'!O$2:O$435,$X4))</f>
        <v/>
      </c>
      <c r="L4" s="267" t="str">
        <f>GcalTranscode(INDEX('GCal-Year'!P$2:P$435,$X4))</f>
        <v/>
      </c>
      <c r="M4" s="267" t="str">
        <f>GcalTranscode(INDEX('GCal-Year'!Q$2:Q$435,$X4))</f>
        <v/>
      </c>
      <c r="N4" s="267" t="str">
        <f>GcalTranscode(INDEX('GCal-Year'!R$2:R$435,$X4))</f>
        <v/>
      </c>
      <c r="O4" s="267" t="str">
        <f>GcalTranscode(INDEX('GCal-Year'!S$2:S$435,$X4))</f>
        <v/>
      </c>
      <c r="P4" s="267" t="str">
        <f t="shared" si="4"/>
        <v xml:space="preserve"> </v>
      </c>
      <c r="Q4" s="267" t="str">
        <f t="shared" si="5"/>
        <v/>
      </c>
      <c r="R4" s="267" t="str">
        <f t="shared" si="6"/>
        <v xml:space="preserve"> </v>
      </c>
      <c r="S4" s="267" t="str">
        <f t="shared" si="7"/>
        <v/>
      </c>
      <c r="T4" s="267" t="str">
        <f ca="1">INDEX('GCal-Year'!W$2:W$435,$X4)</f>
        <v>Confraternização Universal</v>
      </c>
      <c r="U4" s="267" t="str">
        <f ca="1">INDEX('GCal-Year'!X$2:X$435,$X4)</f>
        <v/>
      </c>
      <c r="V4" s="267" t="str">
        <f ca="1">INDEX('GCal-Year'!Y$2:Y$435,$X4)</f>
        <v/>
      </c>
      <c r="W4" s="267" t="str">
        <f ca="1">INDEX('GCal-Year'!Z$2:Z$435,$X4)</f>
        <v/>
      </c>
      <c r="X4">
        <f>X3+1</f>
        <v>39</v>
      </c>
      <c r="Y4" s="267">
        <f>INDEX('GCal-Year'!D$2:D$435,$X4)</f>
        <v>39</v>
      </c>
      <c r="Z4" s="839">
        <f>INDEX(GCalXMLT[dstoffset],Y4) * TIMEVALUE("01:00:00")</f>
        <v>0</v>
      </c>
      <c r="AA4" s="267" t="str">
        <f>INDEX(GCalXMLT[stithiname],Y4)</f>
        <v>Ekadasi (suitable for fasting)</v>
      </c>
      <c r="AB4" s="839">
        <f>INDEX(GCalXMLT[dsunrisetime],$Y4)-Z4</f>
        <v>0.21210648148148148</v>
      </c>
      <c r="AC4" s="267" t="str">
        <f ca="1">INDEX('GCal-Year'!F$2:F$435,$X4)</f>
        <v>S</v>
      </c>
      <c r="AD4" s="267" t="str">
        <f ca="1">INDEX('GCal-Year'!H$2:H$435,$X4)</f>
        <v>*</v>
      </c>
      <c r="AE4" s="267" t="str">
        <f>IF(INDEX(GCalXMLT[paranafrom],$Y4)=0,"",TEXT(INDEX(GCalXMLT[paranafrom],$Y4)-$Z4,"hh:mm"))</f>
        <v/>
      </c>
      <c r="AF4" s="267" t="str">
        <f>IF(INDEX(GCalXMLT[paranato],$Y4)=0,"",TEXT(INDEX(GCalXMLT[paranato],$Y4)-$Z4,"hh:mm"))</f>
        <v/>
      </c>
      <c r="AG4" s="267" t="str">
        <f ca="1">GcalTranscode(INDEX('GCal-Year'!I$2:I$435,$X4))</f>
        <v>Jejum por Saphala Ekadasi</v>
      </c>
      <c r="AH4" s="267" t="str">
        <f>GcalTranscode(INDEX('GCal-Year'!J$2:J$435,$X4))</f>
        <v/>
      </c>
      <c r="AI4" s="267" t="str">
        <f>GcalTranscode(INDEX('GCal-Year'!K$2:K$435,$X4))</f>
        <v/>
      </c>
      <c r="AJ4" s="267" t="str">
        <f>GcalTranscode(INDEX('GCal-Year'!L$2:L$435,$X4))</f>
        <v/>
      </c>
      <c r="AK4" s="267" t="str">
        <f>LEFT(INDEX(GCalXMLT[dcaturmasya1],$Y4),6)</f>
        <v/>
      </c>
      <c r="AL4" s="267" t="str">
        <f>RIGHT(INDEX(GCalXMLT[dcaturmasya1],$Y4),8)</f>
        <v/>
      </c>
      <c r="AM4" s="267" t="str">
        <f t="shared" si="9"/>
        <v/>
      </c>
      <c r="AN4" s="267" t="str">
        <f>LEFT(INDEX(GCalXMLT[dcaturmasya2],$Y4),6)</f>
        <v/>
      </c>
      <c r="AO4" s="267" t="str">
        <f>RIGHT(INDEX(GCalXMLT[dcaturmasya2],$Y4),8)</f>
        <v/>
      </c>
      <c r="AP4" s="267" t="str">
        <f>GcalTranscode(INDEX(GCalXMLT[sankrantirasi],$Y4))</f>
        <v/>
      </c>
      <c r="AQ4" s="294" t="str">
        <f>IF(INDEX(GCalXMLT[sankrantitime],$Y4)=0,"",INDEX(GCalXMLT[sankrantitime],$Y4)-Z4)</f>
        <v/>
      </c>
      <c r="AR4" s="265">
        <f t="shared" si="8"/>
        <v>43465</v>
      </c>
      <c r="AS4" t="str">
        <f ca="1">GcalTranscode(INDEX(GCalXMLT[gymasa],$Y4))</f>
        <v>Nārāyaṇa (Pauṣa)</v>
      </c>
    </row>
    <row r="5" spans="1:45" x14ac:dyDescent="0.25">
      <c r="A5" s="265">
        <f t="shared" si="10"/>
        <v>43467</v>
      </c>
      <c r="B5" s="267" t="str">
        <f ca="1">IFERROR(SUBSTITUTE(SUBSTITUTE(RIGHT(AA5,LEN(AA5)-SEARCH(" (",AA5)),'GCal-Translations'!$B$194,'GCal-Translations'!$C$194,1),'GCal-Translations'!$B$195,'GCal-Translations'!$C$195,1),"")</f>
        <v/>
      </c>
      <c r="C5" s="418" t="str">
        <f ca="1">IF(AND(AE5&lt;&gt;"",AF5&lt;&gt;""),SUBSTITUTE(SUBSTITUTE('GCal-Translations'!$C$200,"#start_hour#",AE5),"#end_hour#",AF5),IF(AE5&lt;&gt;"",SUBSTITUTE('GCal-Translations'!$C$199,"#hh:mm#",AE5),""))</f>
        <v>Quebra de jejum 05:05 - 09:17 (hora local)</v>
      </c>
      <c r="D5" t="str">
        <f t="shared" si="0"/>
        <v/>
      </c>
      <c r="E5" s="267" t="str">
        <f ca="1">IF(AD5="*",'GCal-Translations'!$C$197 &amp; " " &amp; TEXT(AB5,"hh:mm"),"")</f>
        <v/>
      </c>
      <c r="F5" t="str">
        <f t="shared" si="1"/>
        <v/>
      </c>
      <c r="G5" t="str">
        <f t="shared" si="2"/>
        <v/>
      </c>
      <c r="H5" t="str">
        <f t="shared" ca="1" si="3"/>
        <v/>
      </c>
      <c r="I5" s="267" t="str">
        <f>GcalTranscode(INDEX('GCal-Year'!M$2:M$435,$X5))</f>
        <v/>
      </c>
      <c r="J5" s="267" t="str">
        <f>GcalTranscode(INDEX('GCal-Year'!N$2:N$435,$X5))</f>
        <v/>
      </c>
      <c r="K5" s="267" t="str">
        <f>GcalTranscode(INDEX('GCal-Year'!O$2:O$435,$X5))</f>
        <v/>
      </c>
      <c r="L5" s="267" t="str">
        <f>GcalTranscode(INDEX('GCal-Year'!P$2:P$435,$X5))</f>
        <v/>
      </c>
      <c r="M5" s="267" t="str">
        <f>GcalTranscode(INDEX('GCal-Year'!Q$2:Q$435,$X5))</f>
        <v/>
      </c>
      <c r="N5" s="267" t="str">
        <f>GcalTranscode(INDEX('GCal-Year'!R$2:R$435,$X5))</f>
        <v/>
      </c>
      <c r="O5" s="267" t="str">
        <f>GcalTranscode(INDEX('GCal-Year'!S$2:S$435,$X5))</f>
        <v/>
      </c>
      <c r="P5" s="267" t="str">
        <f t="shared" si="4"/>
        <v xml:space="preserve"> </v>
      </c>
      <c r="Q5" s="267" t="str">
        <f t="shared" si="5"/>
        <v/>
      </c>
      <c r="R5" s="267" t="str">
        <f t="shared" si="6"/>
        <v xml:space="preserve"> </v>
      </c>
      <c r="S5" s="267" t="str">
        <f t="shared" si="7"/>
        <v/>
      </c>
      <c r="T5" s="267" t="str">
        <f ca="1">INDEX('GCal-Year'!W$2:W$435,$X5)</f>
        <v/>
      </c>
      <c r="U5" s="267" t="str">
        <f ca="1">INDEX('GCal-Year'!X$2:X$435,$X5)</f>
        <v/>
      </c>
      <c r="V5" s="267" t="str">
        <f ca="1">INDEX('GCal-Year'!Y$2:Y$435,$X5)</f>
        <v/>
      </c>
      <c r="W5" s="267" t="str">
        <f ca="1">INDEX('GCal-Year'!Z$2:Z$435,$X5)</f>
        <v/>
      </c>
      <c r="X5">
        <f t="shared" ref="X5:X10" si="11">X4+1</f>
        <v>40</v>
      </c>
      <c r="Y5" s="267">
        <f>INDEX('GCal-Year'!D$2:D$435,$X5)</f>
        <v>40</v>
      </c>
      <c r="Z5" s="839">
        <f>INDEX(GCalXMLT[dstoffset],Y5) * TIMEVALUE("01:00:00")</f>
        <v>0</v>
      </c>
      <c r="AA5" s="267" t="str">
        <f>INDEX(GCalXMLT[stithiname],Y5)</f>
        <v>Dvadasi</v>
      </c>
      <c r="AB5" s="839">
        <f>INDEX(GCalXMLT[dsunrisetime],$Y5)-Z5</f>
        <v>0.21247685185185183</v>
      </c>
      <c r="AC5" s="267" t="str">
        <f ca="1">INDEX('GCal-Year'!F$2:F$435,$X5)</f>
        <v/>
      </c>
      <c r="AD5" s="267" t="str">
        <f ca="1">INDEX('GCal-Year'!H$2:H$435,$X5)</f>
        <v/>
      </c>
      <c r="AE5" s="267" t="str">
        <f>IF(INDEX(GCalXMLT[paranafrom],$Y5)=0,"",TEXT(INDEX(GCalXMLT[paranafrom],$Y5)-$Z5,"hh:mm"))</f>
        <v>05:05</v>
      </c>
      <c r="AF5" s="267" t="str">
        <f>IF(INDEX(GCalXMLT[paranato],$Y5)=0,"",TEXT(INDEX(GCalXMLT[paranato],$Y5)-$Z5,"hh:mm"))</f>
        <v>09:17</v>
      </c>
      <c r="AG5" s="267" t="str">
        <f>GcalTranscode(INDEX('GCal-Year'!I$2:I$435,$X5))</f>
        <v/>
      </c>
      <c r="AH5" s="267" t="str">
        <f>GcalTranscode(INDEX('GCal-Year'!J$2:J$435,$X5))</f>
        <v/>
      </c>
      <c r="AI5" s="267" t="str">
        <f>GcalTranscode(INDEX('GCal-Year'!K$2:K$435,$X5))</f>
        <v/>
      </c>
      <c r="AJ5" s="267" t="str">
        <f>GcalTranscode(INDEX('GCal-Year'!L$2:L$435,$X5))</f>
        <v/>
      </c>
      <c r="AK5" s="267" t="str">
        <f>LEFT(INDEX(GCalXMLT[dcaturmasya1],$Y5),6)</f>
        <v/>
      </c>
      <c r="AL5" s="267" t="str">
        <f>RIGHT(INDEX(GCalXMLT[dcaturmasya1],$Y5),8)</f>
        <v/>
      </c>
      <c r="AM5" s="267" t="str">
        <f t="shared" si="9"/>
        <v/>
      </c>
      <c r="AN5" s="267" t="str">
        <f>LEFT(INDEX(GCalXMLT[dcaturmasya2],$Y5),6)</f>
        <v/>
      </c>
      <c r="AO5" s="267" t="str">
        <f>RIGHT(INDEX(GCalXMLT[dcaturmasya2],$Y5),8)</f>
        <v/>
      </c>
      <c r="AP5" s="267" t="str">
        <f>GcalTranscode(INDEX(GCalXMLT[sankrantirasi],$Y5))</f>
        <v/>
      </c>
      <c r="AQ5" s="294" t="str">
        <f>IF(INDEX(GCalXMLT[sankrantitime],$Y5)=0,"",INDEX(GCalXMLT[sankrantitime],$Y5)-Z5)</f>
        <v/>
      </c>
      <c r="AR5" s="265">
        <f t="shared" si="8"/>
        <v>43466</v>
      </c>
      <c r="AS5" t="str">
        <f ca="1">GcalTranscode(INDEX(GCalXMLT[gymasa],$Y5))</f>
        <v>Nārāyaṇa (Pauṣa)</v>
      </c>
    </row>
    <row r="6" spans="1:45" x14ac:dyDescent="0.25">
      <c r="A6" s="265">
        <f t="shared" si="10"/>
        <v>43468</v>
      </c>
      <c r="B6" s="267" t="str">
        <f ca="1">IFERROR(SUBSTITUTE(SUBSTITUTE(RIGHT(AA6,LEN(AA6)-SEARCH(" (",AA6)),'GCal-Translations'!$B$194,'GCal-Translations'!$C$194,1),'GCal-Translations'!$B$195,'GCal-Translations'!$C$195,1),"")</f>
        <v/>
      </c>
      <c r="C6" s="418" t="str">
        <f>IF(AND(AE6&lt;&gt;"",AF6&lt;&gt;""),SUBSTITUTE(SUBSTITUTE('GCal-Translations'!$C$200,"#start_hour#",AE6),"#end_hour#",AF6),IF(AE6&lt;&gt;"",SUBSTITUTE('GCal-Translations'!$C$199,"#hh:mm#",AE6),""))</f>
        <v/>
      </c>
      <c r="D6" t="str">
        <f t="shared" si="0"/>
        <v/>
      </c>
      <c r="E6" s="267" t="str">
        <f ca="1">IF(AD6="*",'GCal-Translations'!$C$197 &amp; " " &amp; TEXT(AB6,"hh:mm"),"")</f>
        <v/>
      </c>
      <c r="F6" t="str">
        <f t="shared" si="1"/>
        <v/>
      </c>
      <c r="G6" t="str">
        <f t="shared" si="2"/>
        <v/>
      </c>
      <c r="H6" t="str">
        <f t="shared" ca="1" si="3"/>
        <v/>
      </c>
      <c r="I6" s="267" t="str">
        <f ca="1">GcalTranscode(INDEX('GCal-Year'!M$2:M$435,$X6))</f>
        <v>Sri Mahesa Pandita - Desaparecimento</v>
      </c>
      <c r="J6" s="267" t="str">
        <f ca="1">GcalTranscode(INDEX('GCal-Year'!N$2:N$435,$X6))</f>
        <v>Sri Uddharana Datta Thakura - Desaparecimento</v>
      </c>
      <c r="K6" s="267" t="str">
        <f>GcalTranscode(INDEX('GCal-Year'!O$2:O$435,$X6))</f>
        <v/>
      </c>
      <c r="L6" s="267" t="str">
        <f>GcalTranscode(INDEX('GCal-Year'!P$2:P$435,$X6))</f>
        <v/>
      </c>
      <c r="M6" s="267" t="str">
        <f>GcalTranscode(INDEX('GCal-Year'!Q$2:Q$435,$X6))</f>
        <v/>
      </c>
      <c r="N6" s="267" t="str">
        <f>GcalTranscode(INDEX('GCal-Year'!R$2:R$435,$X6))</f>
        <v/>
      </c>
      <c r="O6" s="267" t="str">
        <f>GcalTranscode(INDEX('GCal-Year'!S$2:S$435,$X6))</f>
        <v/>
      </c>
      <c r="P6" s="267" t="str">
        <f t="shared" si="4"/>
        <v xml:space="preserve"> </v>
      </c>
      <c r="Q6" s="267" t="str">
        <f t="shared" si="5"/>
        <v/>
      </c>
      <c r="R6" s="267" t="str">
        <f t="shared" si="6"/>
        <v xml:space="preserve"> </v>
      </c>
      <c r="S6" s="267" t="str">
        <f t="shared" si="7"/>
        <v/>
      </c>
      <c r="T6" s="267" t="str">
        <f ca="1">INDEX('GCal-Year'!W$2:W$435,$X6)</f>
        <v/>
      </c>
      <c r="U6" s="267" t="str">
        <f ca="1">INDEX('GCal-Year'!X$2:X$435,$X6)</f>
        <v/>
      </c>
      <c r="V6" s="267" t="str">
        <f ca="1">INDEX('GCal-Year'!Y$2:Y$435,$X6)</f>
        <v/>
      </c>
      <c r="W6" s="267" t="str">
        <f ca="1">INDEX('GCal-Year'!Z$2:Z$435,$X6)</f>
        <v/>
      </c>
      <c r="X6">
        <f t="shared" si="11"/>
        <v>41</v>
      </c>
      <c r="Y6" s="267">
        <f>INDEX('GCal-Year'!D$2:D$435,$X6)</f>
        <v>41</v>
      </c>
      <c r="Z6" s="839">
        <f>INDEX(GCalXMLT[dstoffset],Y6) * TIMEVALUE("01:00:00")</f>
        <v>0</v>
      </c>
      <c r="AA6" s="267" t="str">
        <f>INDEX(GCalXMLT[stithiname],Y6)</f>
        <v>Trayodasi</v>
      </c>
      <c r="AB6" s="839">
        <f>INDEX(GCalXMLT[dsunrisetime],$Y6)-Z6</f>
        <v>0.21284722222222222</v>
      </c>
      <c r="AC6" s="267" t="str">
        <f ca="1">INDEX('GCal-Year'!F$2:F$435,$X6)</f>
        <v>C</v>
      </c>
      <c r="AD6" s="267" t="str">
        <f ca="1">INDEX('GCal-Year'!H$2:H$435,$X6)</f>
        <v/>
      </c>
      <c r="AE6" s="267" t="str">
        <f>IF(INDEX(GCalXMLT[paranafrom],$Y6)=0,"",TEXT(INDEX(GCalXMLT[paranafrom],$Y6)-$Z6,"hh:mm"))</f>
        <v/>
      </c>
      <c r="AF6" s="267" t="str">
        <f>IF(INDEX(GCalXMLT[paranato],$Y6)=0,"",TEXT(INDEX(GCalXMLT[paranato],$Y6)-$Z6,"hh:mm"))</f>
        <v/>
      </c>
      <c r="AG6" s="267" t="str">
        <f>GcalTranscode(INDEX('GCal-Year'!I$2:I$435,$X6))</f>
        <v/>
      </c>
      <c r="AH6" s="267" t="str">
        <f>GcalTranscode(INDEX('GCal-Year'!J$2:J$435,$X6))</f>
        <v/>
      </c>
      <c r="AI6" s="267" t="str">
        <f>GcalTranscode(INDEX('GCal-Year'!K$2:K$435,$X6))</f>
        <v/>
      </c>
      <c r="AJ6" s="267" t="str">
        <f>GcalTranscode(INDEX('GCal-Year'!L$2:L$435,$X6))</f>
        <v/>
      </c>
      <c r="AK6" s="267" t="str">
        <f>LEFT(INDEX(GCalXMLT[dcaturmasya1],$Y6),6)</f>
        <v/>
      </c>
      <c r="AL6" s="267" t="str">
        <f>RIGHT(INDEX(GCalXMLT[dcaturmasya1],$Y6),8)</f>
        <v/>
      </c>
      <c r="AM6" s="267" t="str">
        <f t="shared" si="9"/>
        <v/>
      </c>
      <c r="AN6" s="267" t="str">
        <f>LEFT(INDEX(GCalXMLT[dcaturmasya2],$Y6),6)</f>
        <v/>
      </c>
      <c r="AO6" s="267" t="str">
        <f>RIGHT(INDEX(GCalXMLT[dcaturmasya2],$Y6),8)</f>
        <v/>
      </c>
      <c r="AP6" s="267" t="str">
        <f>GcalTranscode(INDEX(GCalXMLT[sankrantirasi],$Y6))</f>
        <v/>
      </c>
      <c r="AQ6" s="294" t="str">
        <f>IF(INDEX(GCalXMLT[sankrantitime],$Y6)=0,"",INDEX(GCalXMLT[sankrantitime],$Y6)-Z6)</f>
        <v/>
      </c>
      <c r="AR6" s="265">
        <f t="shared" si="8"/>
        <v>43467</v>
      </c>
      <c r="AS6" t="str">
        <f ca="1">GcalTranscode(INDEX(GCalXMLT[gymasa],$Y6))</f>
        <v>Nārāyaṇa (Pauṣa)</v>
      </c>
    </row>
    <row r="7" spans="1:45" x14ac:dyDescent="0.25">
      <c r="A7" s="265">
        <f t="shared" si="10"/>
        <v>43469</v>
      </c>
      <c r="B7" s="267" t="str">
        <f ca="1">IFERROR(SUBSTITUTE(SUBSTITUTE(RIGHT(AA7,LEN(AA7)-SEARCH(" (",AA7)),'GCal-Translations'!$B$194,'GCal-Translations'!$C$194,1),'GCal-Translations'!$B$195,'GCal-Translations'!$C$195,1),"")</f>
        <v/>
      </c>
      <c r="C7" s="418" t="str">
        <f>IF(AND(AE7&lt;&gt;"",AF7&lt;&gt;""),SUBSTITUTE(SUBSTITUTE('GCal-Translations'!$C$200,"#start_hour#",AE7),"#end_hour#",AF7),IF(AE7&lt;&gt;"",SUBSTITUTE('GCal-Translations'!$C$199,"#hh:mm#",AE7),""))</f>
        <v/>
      </c>
      <c r="D7" t="str">
        <f t="shared" si="0"/>
        <v/>
      </c>
      <c r="E7" s="267" t="str">
        <f ca="1">IF(AD7="*",'GCal-Translations'!$C$197 &amp; " " &amp; TEXT(AB7,"hh:mm"),"")</f>
        <v/>
      </c>
      <c r="F7" t="str">
        <f t="shared" si="1"/>
        <v/>
      </c>
      <c r="G7" t="str">
        <f t="shared" si="2"/>
        <v/>
      </c>
      <c r="H7" t="str">
        <f t="shared" ca="1" si="3"/>
        <v/>
      </c>
      <c r="I7" s="267" t="str">
        <f>GcalTranscode(INDEX('GCal-Year'!M$2:M$435,$X7))</f>
        <v/>
      </c>
      <c r="J7" s="267" t="str">
        <f>GcalTranscode(INDEX('GCal-Year'!N$2:N$435,$X7))</f>
        <v/>
      </c>
      <c r="K7" s="267" t="str">
        <f>GcalTranscode(INDEX('GCal-Year'!O$2:O$435,$X7))</f>
        <v/>
      </c>
      <c r="L7" s="267" t="str">
        <f>GcalTranscode(INDEX('GCal-Year'!P$2:P$435,$X7))</f>
        <v/>
      </c>
      <c r="M7" s="267" t="str">
        <f>GcalTranscode(INDEX('GCal-Year'!Q$2:Q$435,$X7))</f>
        <v/>
      </c>
      <c r="N7" s="267" t="str">
        <f>GcalTranscode(INDEX('GCal-Year'!R$2:R$435,$X7))</f>
        <v/>
      </c>
      <c r="O7" s="267" t="str">
        <f>GcalTranscode(INDEX('GCal-Year'!S$2:S$435,$X7))</f>
        <v/>
      </c>
      <c r="P7" s="267" t="str">
        <f t="shared" si="4"/>
        <v xml:space="preserve"> </v>
      </c>
      <c r="Q7" s="267" t="str">
        <f t="shared" si="5"/>
        <v/>
      </c>
      <c r="R7" s="267" t="str">
        <f t="shared" si="6"/>
        <v xml:space="preserve"> </v>
      </c>
      <c r="S7" s="267" t="str">
        <f t="shared" si="7"/>
        <v/>
      </c>
      <c r="T7" s="267" t="str">
        <f ca="1">INDEX('GCal-Year'!W$2:W$435,$X7)</f>
        <v/>
      </c>
      <c r="U7" s="267" t="str">
        <f ca="1">INDEX('GCal-Year'!X$2:X$435,$X7)</f>
        <v/>
      </c>
      <c r="V7" s="267" t="str">
        <f ca="1">INDEX('GCal-Year'!Y$2:Y$435,$X7)</f>
        <v/>
      </c>
      <c r="W7" s="267" t="str">
        <f ca="1">INDEX('GCal-Year'!Z$2:Z$435,$X7)</f>
        <v/>
      </c>
      <c r="X7">
        <f t="shared" si="11"/>
        <v>42</v>
      </c>
      <c r="Y7" s="267">
        <f>INDEX('GCal-Year'!D$2:D$435,$X7)</f>
        <v>42</v>
      </c>
      <c r="Z7" s="839">
        <f>INDEX(GCalXMLT[dstoffset],Y7) * TIMEVALUE("01:00:00")</f>
        <v>0</v>
      </c>
      <c r="AA7" s="267" t="str">
        <f>INDEX(GCalXMLT[stithiname],Y7)</f>
        <v>Caturdasi</v>
      </c>
      <c r="AB7" s="839">
        <f>INDEX(GCalXMLT[dsunrisetime],$Y7)-Z7</f>
        <v>0.2132060185185185</v>
      </c>
      <c r="AC7" s="267" t="str">
        <f ca="1">INDEX('GCal-Year'!F$2:F$435,$X7)</f>
        <v/>
      </c>
      <c r="AD7" s="267" t="str">
        <f ca="1">INDEX('GCal-Year'!H$2:H$435,$X7)</f>
        <v/>
      </c>
      <c r="AE7" s="267" t="str">
        <f>IF(INDEX(GCalXMLT[paranafrom],$Y7)=0,"",TEXT(INDEX(GCalXMLT[paranafrom],$Y7)-$Z7,"hh:mm"))</f>
        <v/>
      </c>
      <c r="AF7" s="267" t="str">
        <f>IF(INDEX(GCalXMLT[paranato],$Y7)=0,"",TEXT(INDEX(GCalXMLT[paranato],$Y7)-$Z7,"hh:mm"))</f>
        <v/>
      </c>
      <c r="AG7" s="267" t="str">
        <f>GcalTranscode(INDEX('GCal-Year'!I$2:I$435,$X7))</f>
        <v/>
      </c>
      <c r="AH7" s="267" t="str">
        <f>GcalTranscode(INDEX('GCal-Year'!J$2:J$435,$X7))</f>
        <v/>
      </c>
      <c r="AI7" s="267" t="str">
        <f>GcalTranscode(INDEX('GCal-Year'!K$2:K$435,$X7))</f>
        <v/>
      </c>
      <c r="AJ7" s="267" t="str">
        <f>GcalTranscode(INDEX('GCal-Year'!L$2:L$435,$X7))</f>
        <v/>
      </c>
      <c r="AK7" s="267" t="str">
        <f>LEFT(INDEX(GCalXMLT[dcaturmasya1],$Y7),6)</f>
        <v/>
      </c>
      <c r="AL7" s="267" t="str">
        <f>RIGHT(INDEX(GCalXMLT[dcaturmasya1],$Y7),8)</f>
        <v/>
      </c>
      <c r="AM7" s="267" t="str">
        <f t="shared" si="9"/>
        <v/>
      </c>
      <c r="AN7" s="267" t="str">
        <f>LEFT(INDEX(GCalXMLT[dcaturmasya2],$Y7),6)</f>
        <v/>
      </c>
      <c r="AO7" s="267" t="str">
        <f>RIGHT(INDEX(GCalXMLT[dcaturmasya2],$Y7),8)</f>
        <v/>
      </c>
      <c r="AP7" s="267" t="str">
        <f>GcalTranscode(INDEX(GCalXMLT[sankrantirasi],$Y7))</f>
        <v/>
      </c>
      <c r="AQ7" s="294" t="str">
        <f>IF(INDEX(GCalXMLT[sankrantitime],$Y7)=0,"",INDEX(GCalXMLT[sankrantitime],$Y7)-Z7)</f>
        <v/>
      </c>
      <c r="AR7" s="265">
        <f t="shared" si="8"/>
        <v>43468</v>
      </c>
      <c r="AS7" t="str">
        <f ca="1">GcalTranscode(INDEX(GCalXMLT[gymasa],$Y7))</f>
        <v>Nārāyaṇa (Pauṣa)</v>
      </c>
    </row>
    <row r="8" spans="1:45" x14ac:dyDescent="0.25">
      <c r="A8" s="265">
        <f t="shared" si="10"/>
        <v>43470</v>
      </c>
      <c r="B8" s="267" t="str">
        <f ca="1">IFERROR(SUBSTITUTE(SUBSTITUTE(RIGHT(AA8,LEN(AA8)-SEARCH(" (",AA8)),'GCal-Translations'!$B$194,'GCal-Translations'!$C$194,1),'GCal-Translations'!$B$195,'GCal-Translations'!$C$195,1),"")</f>
        <v/>
      </c>
      <c r="C8" s="418" t="str">
        <f>IF(AND(AE8&lt;&gt;"",AF8&lt;&gt;""),SUBSTITUTE(SUBSTITUTE('GCal-Translations'!$C$200,"#start_hour#",AE8),"#end_hour#",AF8),IF(AE8&lt;&gt;"",SUBSTITUTE('GCal-Translations'!$C$199,"#hh:mm#",AE8),""))</f>
        <v/>
      </c>
      <c r="D8" t="str">
        <f t="shared" si="0"/>
        <v/>
      </c>
      <c r="E8" s="267" t="str">
        <f ca="1">IF(AD8="*",'GCal-Translations'!$C$197 &amp; " " &amp; TEXT(AB8,"hh:mm"),"")</f>
        <v/>
      </c>
      <c r="F8" t="str">
        <f t="shared" si="1"/>
        <v/>
      </c>
      <c r="G8" t="str">
        <f t="shared" si="2"/>
        <v/>
      </c>
      <c r="H8" t="str">
        <f t="shared" ca="1" si="3"/>
        <v/>
      </c>
      <c r="I8" s="267" t="str">
        <f>GcalTranscode(INDEX('GCal-Year'!M$2:M$435,$X8))</f>
        <v/>
      </c>
      <c r="J8" s="267" t="str">
        <f>GcalTranscode(INDEX('GCal-Year'!N$2:N$435,$X8))</f>
        <v/>
      </c>
      <c r="K8" s="267" t="str">
        <f>GcalTranscode(INDEX('GCal-Year'!O$2:O$435,$X8))</f>
        <v/>
      </c>
      <c r="L8" s="267" t="str">
        <f>GcalTranscode(INDEX('GCal-Year'!P$2:P$435,$X8))</f>
        <v/>
      </c>
      <c r="M8" s="267" t="str">
        <f>GcalTranscode(INDEX('GCal-Year'!Q$2:Q$435,$X8))</f>
        <v/>
      </c>
      <c r="N8" s="267" t="str">
        <f>GcalTranscode(INDEX('GCal-Year'!R$2:R$435,$X8))</f>
        <v/>
      </c>
      <c r="O8" s="267" t="str">
        <f>GcalTranscode(INDEX('GCal-Year'!S$2:S$435,$X8))</f>
        <v/>
      </c>
      <c r="P8" s="267" t="str">
        <f t="shared" si="4"/>
        <v xml:space="preserve"> </v>
      </c>
      <c r="Q8" s="267" t="str">
        <f t="shared" si="5"/>
        <v/>
      </c>
      <c r="R8" s="267" t="str">
        <f t="shared" si="6"/>
        <v xml:space="preserve"> </v>
      </c>
      <c r="S8" s="267" t="str">
        <f t="shared" si="7"/>
        <v/>
      </c>
      <c r="T8" s="267" t="str">
        <f ca="1">INDEX('GCal-Year'!W$2:W$435,$X8)</f>
        <v/>
      </c>
      <c r="U8" s="267" t="str">
        <f ca="1">INDEX('GCal-Year'!X$2:X$435,$X8)</f>
        <v/>
      </c>
      <c r="V8" s="267" t="str">
        <f ca="1">INDEX('GCal-Year'!Y$2:Y$435,$X8)</f>
        <v/>
      </c>
      <c r="W8" s="267" t="str">
        <f ca="1">INDEX('GCal-Year'!Z$2:Z$435,$X8)</f>
        <v/>
      </c>
      <c r="X8">
        <f t="shared" si="11"/>
        <v>43</v>
      </c>
      <c r="Y8" s="267">
        <f>INDEX('GCal-Year'!D$2:D$435,$X8)</f>
        <v>43</v>
      </c>
      <c r="Z8" s="839">
        <f>INDEX(GCalXMLT[dstoffset],Y8) * TIMEVALUE("01:00:00")</f>
        <v>0</v>
      </c>
      <c r="AA8" s="267" t="str">
        <f>INDEX(GCalXMLT[stithiname],Y8)</f>
        <v>Amavasya</v>
      </c>
      <c r="AB8" s="839">
        <f>INDEX(GCalXMLT[dsunrisetime],$Y8)-Z8</f>
        <v>0.21357638888888889</v>
      </c>
      <c r="AC8" s="267" t="str">
        <f ca="1">INDEX('GCal-Year'!F$2:F$435,$X8)</f>
        <v/>
      </c>
      <c r="AD8" s="267" t="str">
        <f ca="1">INDEX('GCal-Year'!H$2:H$435,$X8)</f>
        <v/>
      </c>
      <c r="AE8" s="267" t="str">
        <f>IF(INDEX(GCalXMLT[paranafrom],$Y8)=0,"",TEXT(INDEX(GCalXMLT[paranafrom],$Y8)-$Z8,"hh:mm"))</f>
        <v/>
      </c>
      <c r="AF8" s="267" t="str">
        <f>IF(INDEX(GCalXMLT[paranato],$Y8)=0,"",TEXT(INDEX(GCalXMLT[paranato],$Y8)-$Z8,"hh:mm"))</f>
        <v/>
      </c>
      <c r="AG8" s="267" t="str">
        <f>GcalTranscode(INDEX('GCal-Year'!I$2:I$435,$X8))</f>
        <v/>
      </c>
      <c r="AH8" s="267" t="str">
        <f>GcalTranscode(INDEX('GCal-Year'!J$2:J$435,$X8))</f>
        <v/>
      </c>
      <c r="AI8" s="267" t="str">
        <f>GcalTranscode(INDEX('GCal-Year'!K$2:K$435,$X8))</f>
        <v/>
      </c>
      <c r="AJ8" s="267" t="str">
        <f>GcalTranscode(INDEX('GCal-Year'!L$2:L$435,$X8))</f>
        <v/>
      </c>
      <c r="AK8" s="267" t="str">
        <f>LEFT(INDEX(GCalXMLT[dcaturmasya1],$Y8),6)</f>
        <v/>
      </c>
      <c r="AL8" s="267" t="str">
        <f>RIGHT(INDEX(GCalXMLT[dcaturmasya1],$Y8),8)</f>
        <v/>
      </c>
      <c r="AM8" s="267" t="str">
        <f t="shared" si="9"/>
        <v/>
      </c>
      <c r="AN8" s="267" t="str">
        <f>LEFT(INDEX(GCalXMLT[dcaturmasya2],$Y8),6)</f>
        <v/>
      </c>
      <c r="AO8" s="267" t="str">
        <f>RIGHT(INDEX(GCalXMLT[dcaturmasya2],$Y8),8)</f>
        <v/>
      </c>
      <c r="AP8" s="267" t="str">
        <f>GcalTranscode(INDEX(GCalXMLT[sankrantirasi],$Y8))</f>
        <v/>
      </c>
      <c r="AQ8" s="294" t="str">
        <f>IF(INDEX(GCalXMLT[sankrantitime],$Y8)=0,"",INDEX(GCalXMLT[sankrantitime],$Y8)-Z8)</f>
        <v/>
      </c>
      <c r="AR8" s="265">
        <f t="shared" si="8"/>
        <v>43469</v>
      </c>
      <c r="AS8" t="str">
        <f ca="1">GcalTranscode(INDEX(GCalXMLT[gymasa],$Y8))</f>
        <v>Nārāyaṇa (Pauṣa)</v>
      </c>
    </row>
    <row r="9" spans="1:45" x14ac:dyDescent="0.25">
      <c r="A9" s="265">
        <f t="shared" si="10"/>
        <v>43471</v>
      </c>
      <c r="B9" s="267" t="str">
        <f ca="1">IFERROR(SUBSTITUTE(SUBSTITUTE(RIGHT(AA9,LEN(AA9)-SEARCH(" (",AA9)),'GCal-Translations'!$B$194,'GCal-Translations'!$C$194,1),'GCal-Translations'!$B$195,'GCal-Translations'!$C$195,1),"")</f>
        <v/>
      </c>
      <c r="C9" s="418" t="str">
        <f>IF(AND(AE9&lt;&gt;"",AF9&lt;&gt;""),SUBSTITUTE(SUBSTITUTE('GCal-Translations'!$C$200,"#start_hour#",AE9),"#end_hour#",AF9),IF(AE9&lt;&gt;"",SUBSTITUTE('GCal-Translations'!$C$199,"#hh:mm#",AE9),""))</f>
        <v/>
      </c>
      <c r="D9" t="str">
        <f t="shared" si="0"/>
        <v/>
      </c>
      <c r="E9" s="267" t="str">
        <f ca="1">IF(AD9="*",'GCal-Translations'!$C$197 &amp; " " &amp; TEXT(AB9,"hh:mm"),"")</f>
        <v/>
      </c>
      <c r="F9" t="str">
        <f t="shared" si="1"/>
        <v/>
      </c>
      <c r="G9" t="str">
        <f t="shared" si="2"/>
        <v/>
      </c>
      <c r="H9" t="str">
        <f t="shared" ca="1" si="3"/>
        <v/>
      </c>
      <c r="I9" s="267" t="str">
        <f ca="1">GcalTranscode(INDEX('GCal-Year'!M$2:M$435,$X9))</f>
        <v>Sri Locana Dasa Thakura - Aparecimento</v>
      </c>
      <c r="J9" s="267" t="str">
        <f>GcalTranscode(INDEX('GCal-Year'!N$2:N$435,$X9))</f>
        <v/>
      </c>
      <c r="K9" s="267" t="str">
        <f>GcalTranscode(INDEX('GCal-Year'!O$2:O$435,$X9))</f>
        <v/>
      </c>
      <c r="L9" s="267" t="str">
        <f>GcalTranscode(INDEX('GCal-Year'!P$2:P$435,$X9))</f>
        <v/>
      </c>
      <c r="M9" s="267" t="str">
        <f>GcalTranscode(INDEX('GCal-Year'!Q$2:Q$435,$X9))</f>
        <v/>
      </c>
      <c r="N9" s="267" t="str">
        <f>GcalTranscode(INDEX('GCal-Year'!R$2:R$435,$X9))</f>
        <v/>
      </c>
      <c r="O9" s="267" t="str">
        <f>GcalTranscode(INDEX('GCal-Year'!S$2:S$435,$X9))</f>
        <v/>
      </c>
      <c r="P9" s="267" t="str">
        <f t="shared" si="4"/>
        <v xml:space="preserve"> </v>
      </c>
      <c r="Q9" s="267" t="str">
        <f t="shared" si="5"/>
        <v/>
      </c>
      <c r="R9" s="267" t="str">
        <f t="shared" si="6"/>
        <v xml:space="preserve"> </v>
      </c>
      <c r="S9" s="267" t="str">
        <f t="shared" si="7"/>
        <v/>
      </c>
      <c r="T9" s="267" t="str">
        <f ca="1">INDEX('GCal-Year'!W$2:W$435,$X9)</f>
        <v/>
      </c>
      <c r="U9" s="267" t="str">
        <f ca="1">INDEX('GCal-Year'!X$2:X$435,$X9)</f>
        <v/>
      </c>
      <c r="V9" s="267" t="str">
        <f ca="1">INDEX('GCal-Year'!Y$2:Y$435,$X9)</f>
        <v/>
      </c>
      <c r="W9" s="267" t="str">
        <f ca="1">INDEX('GCal-Year'!Z$2:Z$435,$X9)</f>
        <v/>
      </c>
      <c r="X9">
        <f t="shared" si="11"/>
        <v>44</v>
      </c>
      <c r="Y9" s="267">
        <f>INDEX('GCal-Year'!D$2:D$435,$X9)</f>
        <v>44</v>
      </c>
      <c r="Z9" s="839">
        <f>INDEX(GCalXMLT[dstoffset],Y9) * TIMEVALUE("01:00:00")</f>
        <v>0</v>
      </c>
      <c r="AA9" s="267" t="str">
        <f>INDEX(GCalXMLT[stithiname],Y9)</f>
        <v>Pratipat</v>
      </c>
      <c r="AB9" s="839">
        <f>INDEX(GCalXMLT[dsunrisetime],$Y9)-Z9</f>
        <v>0.21393518518518517</v>
      </c>
      <c r="AC9" s="267" t="str">
        <f ca="1">INDEX('GCal-Year'!F$2:F$435,$X9)</f>
        <v>C</v>
      </c>
      <c r="AD9" s="267" t="str">
        <f ca="1">INDEX('GCal-Year'!H$2:H$435,$X9)</f>
        <v/>
      </c>
      <c r="AE9" s="267" t="str">
        <f>IF(INDEX(GCalXMLT[paranafrom],$Y9)=0,"",TEXT(INDEX(GCalXMLT[paranafrom],$Y9)-$Z9,"hh:mm"))</f>
        <v/>
      </c>
      <c r="AF9" s="267" t="str">
        <f>IF(INDEX(GCalXMLT[paranato],$Y9)=0,"",TEXT(INDEX(GCalXMLT[paranato],$Y9)-$Z9,"hh:mm"))</f>
        <v/>
      </c>
      <c r="AG9" s="267" t="str">
        <f>GcalTranscode(INDEX('GCal-Year'!I$2:I$435,$X9))</f>
        <v/>
      </c>
      <c r="AH9" s="267" t="str">
        <f>GcalTranscode(INDEX('GCal-Year'!J$2:J$435,$X9))</f>
        <v/>
      </c>
      <c r="AI9" s="267" t="str">
        <f>GcalTranscode(INDEX('GCal-Year'!K$2:K$435,$X9))</f>
        <v/>
      </c>
      <c r="AJ9" s="267" t="str">
        <f>GcalTranscode(INDEX('GCal-Year'!L$2:L$435,$X9))</f>
        <v/>
      </c>
      <c r="AK9" s="267" t="str">
        <f>LEFT(INDEX(GCalXMLT[dcaturmasya1],$Y9),6)</f>
        <v/>
      </c>
      <c r="AL9" s="267" t="str">
        <f>RIGHT(INDEX(GCalXMLT[dcaturmasya1],$Y9),8)</f>
        <v/>
      </c>
      <c r="AM9" s="267" t="str">
        <f t="shared" si="9"/>
        <v/>
      </c>
      <c r="AN9" s="267" t="str">
        <f>LEFT(INDEX(GCalXMLT[dcaturmasya2],$Y9),6)</f>
        <v/>
      </c>
      <c r="AO9" s="267" t="str">
        <f>RIGHT(INDEX(GCalXMLT[dcaturmasya2],$Y9),8)</f>
        <v/>
      </c>
      <c r="AP9" s="267" t="str">
        <f>GcalTranscode(INDEX(GCalXMLT[sankrantirasi],$Y9))</f>
        <v/>
      </c>
      <c r="AQ9" s="294" t="str">
        <f>IF(INDEX(GCalXMLT[sankrantitime],$Y9)=0,"",INDEX(GCalXMLT[sankrantitime],$Y9)-Z9)</f>
        <v/>
      </c>
      <c r="AR9" s="265">
        <f t="shared" si="8"/>
        <v>43470</v>
      </c>
      <c r="AS9" t="str">
        <f ca="1">GcalTranscode(INDEX(GCalXMLT[gymasa],$Y9))</f>
        <v>Nārāyaṇa (Pauṣa)</v>
      </c>
    </row>
    <row r="10" spans="1:45" x14ac:dyDescent="0.25">
      <c r="A10" s="265">
        <f t="shared" si="10"/>
        <v>43472</v>
      </c>
      <c r="B10" s="267" t="str">
        <f ca="1">IFERROR(SUBSTITUTE(SUBSTITUTE(RIGHT(AA10,LEN(AA10)-SEARCH(" (",AA10)),'GCal-Translations'!$B$194,'GCal-Translations'!$C$194,1),'GCal-Translations'!$B$195,'GCal-Translations'!$C$195,1),"")</f>
        <v/>
      </c>
      <c r="C10" s="418" t="str">
        <f>IF(AND(AE10&lt;&gt;"",AF10&lt;&gt;""),SUBSTITUTE(SUBSTITUTE('GCal-Translations'!$C$200,"#start_hour#",AE10),"#end_hour#",AF10),IF(AE10&lt;&gt;"",SUBSTITUTE('GCal-Translations'!$C$199,"#hh:mm#",AE10),""))</f>
        <v/>
      </c>
      <c r="D10" t="str">
        <f t="shared" si="0"/>
        <v/>
      </c>
      <c r="E10" s="267" t="str">
        <f ca="1">IF(AD10="*",'GCal-Translations'!$C$197 &amp; " " &amp; TEXT(AB10,"hh:mm"),"")</f>
        <v/>
      </c>
      <c r="F10" t="str">
        <f t="shared" si="1"/>
        <v/>
      </c>
      <c r="G10" t="str">
        <f t="shared" si="2"/>
        <v/>
      </c>
      <c r="H10" t="str">
        <f t="shared" ca="1" si="3"/>
        <v/>
      </c>
      <c r="I10" s="267" t="str">
        <f>GcalTranscode(INDEX('GCal-Year'!M$2:M$435,$X10))</f>
        <v/>
      </c>
      <c r="J10" s="267" t="str">
        <f>GcalTranscode(INDEX('GCal-Year'!N$2:N$435,$X10))</f>
        <v/>
      </c>
      <c r="K10" s="267" t="str">
        <f>GcalTranscode(INDEX('GCal-Year'!O$2:O$435,$X10))</f>
        <v/>
      </c>
      <c r="L10" s="267" t="str">
        <f>GcalTranscode(INDEX('GCal-Year'!P$2:P$435,$X10))</f>
        <v/>
      </c>
      <c r="M10" s="267" t="str">
        <f>GcalTranscode(INDEX('GCal-Year'!Q$2:Q$435,$X10))</f>
        <v/>
      </c>
      <c r="N10" s="267" t="str">
        <f>GcalTranscode(INDEX('GCal-Year'!R$2:R$435,$X10))</f>
        <v/>
      </c>
      <c r="O10" s="267" t="str">
        <f>GcalTranscode(INDEX('GCal-Year'!S$2:S$435,$X10))</f>
        <v/>
      </c>
      <c r="P10" s="267" t="str">
        <f t="shared" si="4"/>
        <v xml:space="preserve"> </v>
      </c>
      <c r="Q10" s="267" t="str">
        <f t="shared" si="5"/>
        <v/>
      </c>
      <c r="R10" s="267" t="str">
        <f t="shared" si="6"/>
        <v xml:space="preserve"> </v>
      </c>
      <c r="S10" s="267" t="str">
        <f t="shared" si="7"/>
        <v/>
      </c>
      <c r="T10" s="267" t="str">
        <f ca="1">INDEX('GCal-Year'!W$2:W$435,$X10)</f>
        <v/>
      </c>
      <c r="U10" s="267" t="str">
        <f ca="1">INDEX('GCal-Year'!X$2:X$435,$X10)</f>
        <v/>
      </c>
      <c r="V10" s="267" t="str">
        <f ca="1">INDEX('GCal-Year'!Y$2:Y$435,$X10)</f>
        <v/>
      </c>
      <c r="W10" s="267" t="str">
        <f ca="1">INDEX('GCal-Year'!Z$2:Z$435,$X10)</f>
        <v/>
      </c>
      <c r="X10">
        <f t="shared" si="11"/>
        <v>45</v>
      </c>
      <c r="Y10" s="267">
        <f>INDEX('GCal-Year'!D$2:D$435,$X10)</f>
        <v>45</v>
      </c>
      <c r="Z10" s="839">
        <f>INDEX(GCalXMLT[dstoffset],Y10) * TIMEVALUE("01:00:00")</f>
        <v>0</v>
      </c>
      <c r="AA10" s="267" t="str">
        <f>INDEX(GCalXMLT[stithiname],Y10)</f>
        <v>Dvitiya</v>
      </c>
      <c r="AB10" s="839">
        <f>INDEX(GCalXMLT[dsunrisetime],$Y10)-Z10</f>
        <v>0.21430555555555555</v>
      </c>
      <c r="AC10" s="267" t="str">
        <f ca="1">INDEX('GCal-Year'!F$2:F$435,$X10)</f>
        <v/>
      </c>
      <c r="AD10" s="267" t="str">
        <f ca="1">INDEX('GCal-Year'!H$2:H$435,$X10)</f>
        <v/>
      </c>
      <c r="AE10" s="267" t="str">
        <f>IF(INDEX(GCalXMLT[paranafrom],$Y10)=0,"",TEXT(INDEX(GCalXMLT[paranafrom],$Y10)-$Z10,"hh:mm"))</f>
        <v/>
      </c>
      <c r="AF10" s="267" t="str">
        <f>IF(INDEX(GCalXMLT[paranato],$Y10)=0,"",TEXT(INDEX(GCalXMLT[paranato],$Y10)-$Z10,"hh:mm"))</f>
        <v/>
      </c>
      <c r="AG10" s="267" t="str">
        <f>GcalTranscode(INDEX('GCal-Year'!I$2:I$435,$X10))</f>
        <v/>
      </c>
      <c r="AH10" s="267" t="str">
        <f>GcalTranscode(INDEX('GCal-Year'!J$2:J$435,$X10))</f>
        <v/>
      </c>
      <c r="AI10" s="267" t="str">
        <f>GcalTranscode(INDEX('GCal-Year'!K$2:K$435,$X10))</f>
        <v/>
      </c>
      <c r="AJ10" s="267" t="str">
        <f>GcalTranscode(INDEX('GCal-Year'!L$2:L$435,$X10))</f>
        <v/>
      </c>
      <c r="AK10" s="267" t="str">
        <f>LEFT(INDEX(GCalXMLT[dcaturmasya1],$Y10),6)</f>
        <v/>
      </c>
      <c r="AL10" s="267" t="str">
        <f>RIGHT(INDEX(GCalXMLT[dcaturmasya1],$Y10),8)</f>
        <v/>
      </c>
      <c r="AM10" s="267" t="str">
        <f t="shared" si="9"/>
        <v/>
      </c>
      <c r="AN10" s="267" t="str">
        <f>LEFT(INDEX(GCalXMLT[dcaturmasya2],$Y10),6)</f>
        <v/>
      </c>
      <c r="AO10" s="267" t="str">
        <f>RIGHT(INDEX(GCalXMLT[dcaturmasya2],$Y10),8)</f>
        <v/>
      </c>
      <c r="AP10" s="267" t="str">
        <f>GcalTranscode(INDEX(GCalXMLT[sankrantirasi],$Y10))</f>
        <v/>
      </c>
      <c r="AQ10" s="294" t="str">
        <f>IF(INDEX(GCalXMLT[sankrantitime],$Y10)=0,"",INDEX(GCalXMLT[sankrantitime],$Y10)-Z10)</f>
        <v/>
      </c>
      <c r="AR10" s="265">
        <f t="shared" si="8"/>
        <v>43471</v>
      </c>
      <c r="AS10" t="str">
        <f ca="1">GcalTranscode(INDEX(GCalXMLT[gymasa],$Y10))</f>
        <v>Nārāyaṇa (Pauṣa)</v>
      </c>
    </row>
    <row r="12" spans="1:45" x14ac:dyDescent="0.25">
      <c r="P12" t="s">
        <v>126</v>
      </c>
    </row>
    <row r="13" spans="1:45" x14ac:dyDescent="0.25">
      <c r="B13" s="443">
        <v>1</v>
      </c>
      <c r="C13" s="443">
        <v>2</v>
      </c>
      <c r="D13" s="443">
        <v>3</v>
      </c>
      <c r="E13" s="443">
        <v>4</v>
      </c>
      <c r="F13" s="443">
        <v>5</v>
      </c>
      <c r="G13" s="443"/>
      <c r="H13" s="443">
        <v>6</v>
      </c>
      <c r="I13" s="443">
        <v>7</v>
      </c>
      <c r="J13" s="443">
        <v>8</v>
      </c>
      <c r="K13" s="443">
        <v>9</v>
      </c>
      <c r="L13" s="443">
        <v>10</v>
      </c>
      <c r="M13" s="443">
        <v>11</v>
      </c>
      <c r="N13" s="443">
        <v>12</v>
      </c>
      <c r="O13" s="443">
        <v>13</v>
      </c>
      <c r="P13" s="443">
        <v>14</v>
      </c>
      <c r="Q13" s="443">
        <v>15</v>
      </c>
      <c r="R13" s="443">
        <v>16</v>
      </c>
      <c r="S13" s="443">
        <v>17</v>
      </c>
      <c r="T13" s="443">
        <v>18</v>
      </c>
      <c r="U13" s="443">
        <v>19</v>
      </c>
      <c r="V13" s="443">
        <v>20</v>
      </c>
      <c r="W13" s="443">
        <v>21</v>
      </c>
      <c r="AF13" s="443"/>
      <c r="AG13" s="443"/>
      <c r="AH13" s="443"/>
    </row>
    <row r="14" spans="1:45" x14ac:dyDescent="0.25">
      <c r="A14" t="s">
        <v>1240</v>
      </c>
      <c r="B14" s="320" t="s">
        <v>7581</v>
      </c>
      <c r="C14" s="420" t="s">
        <v>1763</v>
      </c>
      <c r="D14" s="327" t="s">
        <v>7499</v>
      </c>
      <c r="E14" s="305" t="s">
        <v>7596</v>
      </c>
      <c r="F14" s="327" t="s">
        <v>7500</v>
      </c>
      <c r="G14" s="327" t="s">
        <v>7501</v>
      </c>
      <c r="H14" s="327" t="s">
        <v>7502</v>
      </c>
      <c r="I14" s="274" t="s">
        <v>7502</v>
      </c>
      <c r="J14" s="274" t="s">
        <v>7503</v>
      </c>
      <c r="K14" s="274" t="s">
        <v>7504</v>
      </c>
      <c r="L14" s="274" t="s">
        <v>7505</v>
      </c>
      <c r="M14" s="274" t="s">
        <v>7516</v>
      </c>
      <c r="N14" s="274" t="s">
        <v>7518</v>
      </c>
      <c r="O14" s="274" t="s">
        <v>7520</v>
      </c>
      <c r="P14" s="419" t="s">
        <v>7506</v>
      </c>
      <c r="Q14" s="419" t="s">
        <v>9660</v>
      </c>
      <c r="R14" s="419" t="s">
        <v>7575</v>
      </c>
      <c r="S14" s="320" t="s">
        <v>7494</v>
      </c>
      <c r="T14" s="303" t="s">
        <v>7544</v>
      </c>
      <c r="U14" s="303" t="s">
        <v>7545</v>
      </c>
      <c r="V14" s="303" t="s">
        <v>7546</v>
      </c>
      <c r="W14" s="303" t="s">
        <v>7547</v>
      </c>
      <c r="X14" s="416" t="s">
        <v>7609</v>
      </c>
      <c r="AF14" s="443"/>
      <c r="AG14" s="443"/>
      <c r="AH14" s="443"/>
    </row>
    <row r="15" spans="1:45" x14ac:dyDescent="0.25">
      <c r="A15" s="265">
        <f>A2</f>
        <v>43464</v>
      </c>
      <c r="B15">
        <f t="shared" ref="B15:B23" ca="1" si="12">IF(B2&lt;&gt;"",1,0)</f>
        <v>0</v>
      </c>
      <c r="C15">
        <f>IF(C2&lt;&gt;"",MAX($B15:B15,0)+1,0)</f>
        <v>0</v>
      </c>
      <c r="D15">
        <f>IF(D2&lt;&gt;"",MAX($B15:C15,0)+1,0)</f>
        <v>0</v>
      </c>
      <c r="E15">
        <f ca="1">IF(E2&lt;&gt;"",MAX($B15:D15,0)+1,0)</f>
        <v>0</v>
      </c>
      <c r="F15">
        <f>IF(F2&lt;&gt;"",MAX($B15:E15,0)+1,0)</f>
        <v>0</v>
      </c>
      <c r="G15">
        <f>IF(G2&lt;&gt;"",MAX($B15:F15,0)+1,0)</f>
        <v>0</v>
      </c>
      <c r="H15">
        <f ca="1">IF(H2&lt;&gt;"",MAX($B15:G15,0)+1,0)</f>
        <v>1</v>
      </c>
      <c r="I15">
        <f>IF(I2&lt;&gt;"",MAX($B15:H15,0)+1,0)</f>
        <v>0</v>
      </c>
      <c r="J15">
        <f>IF(J2&lt;&gt;"",MAX($B15:I15,0)+1,0)</f>
        <v>0</v>
      </c>
      <c r="K15">
        <f>IF(K2&lt;&gt;"",MAX($B15:J15,0)+1,0)</f>
        <v>0</v>
      </c>
      <c r="L15">
        <f>IF(L2&lt;&gt;"",MAX($B15:K15,0)+1,0)</f>
        <v>0</v>
      </c>
      <c r="M15">
        <f>IF(M2&lt;&gt;"",MAX($B15:L15,0)+1,0)</f>
        <v>0</v>
      </c>
      <c r="N15">
        <f>IF(N2&lt;&gt;"",MAX($B15:M15,0)+1,0)</f>
        <v>0</v>
      </c>
      <c r="O15">
        <f>IF(O2&lt;&gt;"",MAX($B15:N15,0)+1,0)</f>
        <v>0</v>
      </c>
      <c r="P15" s="444">
        <f>IF(P2&lt;&gt;" ",MAX($B15:O15,0)+1,0)</f>
        <v>0</v>
      </c>
      <c r="Q15" s="828">
        <f>IF(Q2&lt;&gt;"",MAX($B15:P15,0)+1,0)</f>
        <v>0</v>
      </c>
      <c r="R15" s="444">
        <f>IF(R2&lt;&gt;" ",MAX($B15:P15,0)+1,0)</f>
        <v>0</v>
      </c>
      <c r="S15">
        <f>IF(S2&lt;&gt;"",MAX($B15:R15,0)+1,0)</f>
        <v>0</v>
      </c>
      <c r="T15">
        <f ca="1">IF(T2&lt;&gt;"",MAX($B15:S15,0)+1,0)</f>
        <v>0</v>
      </c>
      <c r="U15">
        <f ca="1">IF(U2&lt;&gt;"",MAX($B15:T15,0)+1,0)</f>
        <v>0</v>
      </c>
      <c r="V15">
        <f ca="1">IF(V2&lt;&gt;"",MAX($B15:U15,0)+1,0)</f>
        <v>0</v>
      </c>
      <c r="W15">
        <f ca="1">IF(W2&lt;&gt;"",MAX($B15:V15,0)+1,0)</f>
        <v>0</v>
      </c>
      <c r="X15">
        <f t="shared" ref="X15:X23" ca="1" si="13">MAX(B15:W15)</f>
        <v>1</v>
      </c>
    </row>
    <row r="16" spans="1:45" x14ac:dyDescent="0.25">
      <c r="A16" s="265">
        <f t="shared" ref="A16:A23" si="14">A3</f>
        <v>43465</v>
      </c>
      <c r="B16">
        <f t="shared" ca="1" si="12"/>
        <v>0</v>
      </c>
      <c r="C16">
        <f>IF(C3&lt;&gt;"",MAX($B16:B16,0)+1,0)</f>
        <v>0</v>
      </c>
      <c r="D16">
        <f>IF(D3&lt;&gt;"",MAX($B16:C16,0)+1,0)</f>
        <v>0</v>
      </c>
      <c r="E16">
        <f ca="1">IF(E3&lt;&gt;"",MAX($B16:D16,0)+1,0)</f>
        <v>0</v>
      </c>
      <c r="F16">
        <f>IF(F3&lt;&gt;"",MAX($B16:E16,0)+1,0)</f>
        <v>0</v>
      </c>
      <c r="G16">
        <f>IF(G3&lt;&gt;"",MAX($B16:F16,0)+1,0)</f>
        <v>0</v>
      </c>
      <c r="H16">
        <f ca="1">IF(H3&lt;&gt;"",MAX($B16:G16,0)+1,0)</f>
        <v>0</v>
      </c>
      <c r="I16">
        <f>IF(I3&lt;&gt;"",MAX($B16:H16,0)+1,0)</f>
        <v>0</v>
      </c>
      <c r="J16">
        <f>IF(J3&lt;&gt;"",MAX($B16:I16,0)+1,0)</f>
        <v>0</v>
      </c>
      <c r="K16">
        <f>IF(K3&lt;&gt;"",MAX($B16:J16,0)+1,0)</f>
        <v>0</v>
      </c>
      <c r="L16">
        <f>IF(L3&lt;&gt;"",MAX($B16:K16,0)+1,0)</f>
        <v>0</v>
      </c>
      <c r="M16">
        <f>IF(M3&lt;&gt;"",MAX($B16:L16,0)+1,0)</f>
        <v>0</v>
      </c>
      <c r="N16">
        <f>IF(N3&lt;&gt;"",MAX($B16:M16,0)+1,0)</f>
        <v>0</v>
      </c>
      <c r="O16">
        <f>IF(O3&lt;&gt;"",MAX($B16:N16,0)+1,0)</f>
        <v>0</v>
      </c>
      <c r="P16" s="444">
        <f>IF(P3&lt;&gt;" ",MAX($B16:O16,0)+1,0)</f>
        <v>0</v>
      </c>
      <c r="Q16" s="828">
        <f>IF(Q3&lt;&gt;"",MAX($B16:P16,0)+1,0)</f>
        <v>0</v>
      </c>
      <c r="R16" s="444">
        <f>IF(R3&lt;&gt;" ",MAX($B16:P16,0)+1,0)</f>
        <v>0</v>
      </c>
      <c r="S16">
        <f>IF(S3&lt;&gt;"",MAX($B16:R16,0)+1,0)</f>
        <v>0</v>
      </c>
      <c r="T16">
        <f ca="1">IF(T3&lt;&gt;"",MAX($B16:S16,0)+1,0)</f>
        <v>0</v>
      </c>
      <c r="U16">
        <f ca="1">IF(U3&lt;&gt;"",MAX($B16:T16,0)+1,0)</f>
        <v>0</v>
      </c>
      <c r="V16">
        <f ca="1">IF(V3&lt;&gt;"",MAX($B16:U16,0)+1,0)</f>
        <v>0</v>
      </c>
      <c r="W16">
        <f ca="1">IF(W3&lt;&gt;"",MAX($B16:V16,0)+1,0)</f>
        <v>0</v>
      </c>
      <c r="X16">
        <f t="shared" ca="1" si="13"/>
        <v>0</v>
      </c>
    </row>
    <row r="17" spans="1:37" x14ac:dyDescent="0.25">
      <c r="A17" s="265">
        <f t="shared" si="14"/>
        <v>43466</v>
      </c>
      <c r="B17">
        <f t="shared" ca="1" si="12"/>
        <v>1</v>
      </c>
      <c r="C17">
        <f>IF(C4&lt;&gt;"",MAX($B17:B17,0)+1,0)</f>
        <v>0</v>
      </c>
      <c r="D17">
        <f ca="1">IF(D4&lt;&gt;"",MAX($B17:C17,0)+1,0)</f>
        <v>2</v>
      </c>
      <c r="E17">
        <f ca="1">IF(E4&lt;&gt;"",MAX($B17:D17,0)+1,0)</f>
        <v>3</v>
      </c>
      <c r="F17">
        <f>IF(F4&lt;&gt;"",MAX($B17:E17,0)+1,0)</f>
        <v>0</v>
      </c>
      <c r="G17">
        <f>IF(G4&lt;&gt;"",MAX($B17:F17,0)+1,0)</f>
        <v>0</v>
      </c>
      <c r="H17">
        <f ca="1">IF(H4&lt;&gt;"",MAX($B17:G17,0)+1,0)</f>
        <v>0</v>
      </c>
      <c r="I17">
        <f ca="1">IF(I4&lt;&gt;"",MAX($B17:H17,0)+1,0)</f>
        <v>4</v>
      </c>
      <c r="J17">
        <f>IF(J4&lt;&gt;"",MAX($B17:I17,0)+1,0)</f>
        <v>0</v>
      </c>
      <c r="K17">
        <f>IF(K4&lt;&gt;"",MAX($B17:J17,0)+1,0)</f>
        <v>0</v>
      </c>
      <c r="L17">
        <f>IF(L4&lt;&gt;"",MAX($B17:K17,0)+1,0)</f>
        <v>0</v>
      </c>
      <c r="M17">
        <f>IF(M4&lt;&gt;"",MAX($B17:L17,0)+1,0)</f>
        <v>0</v>
      </c>
      <c r="N17">
        <f>IF(N4&lt;&gt;"",MAX($B17:M17,0)+1,0)</f>
        <v>0</v>
      </c>
      <c r="O17">
        <f>IF(O4&lt;&gt;"",MAX($B17:N17,0)+1,0)</f>
        <v>0</v>
      </c>
      <c r="P17" s="444">
        <f>IF(P4&lt;&gt;" ",MAX($B17:O17,0)+1,0)</f>
        <v>0</v>
      </c>
      <c r="Q17" s="828">
        <f>IF(Q4&lt;&gt;"",MAX($B17:P17,0)+1,0)</f>
        <v>0</v>
      </c>
      <c r="R17" s="444">
        <f>IF(R4&lt;&gt;" ",MAX($B17:P17,0)+1,0)</f>
        <v>0</v>
      </c>
      <c r="S17">
        <f>IF(S4&lt;&gt;"",MAX($B17:R17,0)+1,0)</f>
        <v>0</v>
      </c>
      <c r="T17">
        <f ca="1">IF(T4&lt;&gt;"",MAX($B17:S17,0)+1,0)</f>
        <v>5</v>
      </c>
      <c r="U17">
        <f ca="1">IF(U4&lt;&gt;"",MAX($B17:T17,0)+1,0)</f>
        <v>0</v>
      </c>
      <c r="V17">
        <f ca="1">IF(V4&lt;&gt;"",MAX($B17:U17,0)+1,0)</f>
        <v>0</v>
      </c>
      <c r="W17">
        <f ca="1">IF(W4&lt;&gt;"",MAX($B17:V17,0)+1,0)</f>
        <v>0</v>
      </c>
      <c r="X17">
        <f t="shared" ca="1" si="13"/>
        <v>5</v>
      </c>
    </row>
    <row r="18" spans="1:37" x14ac:dyDescent="0.25">
      <c r="A18" s="265">
        <f t="shared" si="14"/>
        <v>43467</v>
      </c>
      <c r="B18">
        <f t="shared" ca="1" si="12"/>
        <v>0</v>
      </c>
      <c r="C18">
        <f ca="1">IF(C5&lt;&gt;"",MAX($B18:B18,0)+1,0)</f>
        <v>1</v>
      </c>
      <c r="D18">
        <f>IF(D5&lt;&gt;"",MAX($B18:C18,0)+1,0)</f>
        <v>0</v>
      </c>
      <c r="E18">
        <f ca="1">IF(E5&lt;&gt;"",MAX($B18:D18,0)+1,0)</f>
        <v>0</v>
      </c>
      <c r="F18">
        <f>IF(F5&lt;&gt;"",MAX($B18:E18,0)+1,0)</f>
        <v>0</v>
      </c>
      <c r="G18">
        <f>IF(G5&lt;&gt;"",MAX($B18:F18,0)+1,0)</f>
        <v>0</v>
      </c>
      <c r="H18">
        <f ca="1">IF(H5&lt;&gt;"",MAX($B18:G18,0)+1,0)</f>
        <v>0</v>
      </c>
      <c r="I18">
        <f>IF(I5&lt;&gt;"",MAX($B18:H18,0)+1,0)</f>
        <v>0</v>
      </c>
      <c r="J18">
        <f>IF(J5&lt;&gt;"",MAX($B18:I18,0)+1,0)</f>
        <v>0</v>
      </c>
      <c r="K18">
        <f>IF(K5&lt;&gt;"",MAX($B18:J18,0)+1,0)</f>
        <v>0</v>
      </c>
      <c r="L18">
        <f>IF(L5&lt;&gt;"",MAX($B18:K18,0)+1,0)</f>
        <v>0</v>
      </c>
      <c r="M18">
        <f>IF(M5&lt;&gt;"",MAX($B18:L18,0)+1,0)</f>
        <v>0</v>
      </c>
      <c r="N18">
        <f>IF(N5&lt;&gt;"",MAX($B18:M18,0)+1,0)</f>
        <v>0</v>
      </c>
      <c r="O18">
        <f>IF(O5&lt;&gt;"",MAX($B18:N18,0)+1,0)</f>
        <v>0</v>
      </c>
      <c r="P18" s="444">
        <f>IF(P5&lt;&gt;" ",MAX($B18:O18,0)+1,0)</f>
        <v>0</v>
      </c>
      <c r="Q18" s="828">
        <f>IF(Q5&lt;&gt;"",MAX($B18:P18,0)+1,0)</f>
        <v>0</v>
      </c>
      <c r="R18" s="444">
        <f>IF(R5&lt;&gt;" ",MAX($B18:P18,0)+1,0)</f>
        <v>0</v>
      </c>
      <c r="S18">
        <f>IF(S5&lt;&gt;"",MAX($B18:R18,0)+1,0)</f>
        <v>0</v>
      </c>
      <c r="T18">
        <f ca="1">IF(T5&lt;&gt;"",MAX($B18:S18,0)+1,0)</f>
        <v>0</v>
      </c>
      <c r="U18">
        <f ca="1">IF(U5&lt;&gt;"",MAX($B18:T18,0)+1,0)</f>
        <v>0</v>
      </c>
      <c r="V18">
        <f ca="1">IF(V5&lt;&gt;"",MAX($B18:U18,0)+1,0)</f>
        <v>0</v>
      </c>
      <c r="W18">
        <f ca="1">IF(W5&lt;&gt;"",MAX($B18:V18,0)+1,0)</f>
        <v>0</v>
      </c>
      <c r="X18">
        <f t="shared" ca="1" si="13"/>
        <v>1</v>
      </c>
    </row>
    <row r="19" spans="1:37" x14ac:dyDescent="0.25">
      <c r="A19" s="265">
        <f t="shared" si="14"/>
        <v>43468</v>
      </c>
      <c r="B19">
        <f t="shared" ca="1" si="12"/>
        <v>0</v>
      </c>
      <c r="C19">
        <f>IF(C6&lt;&gt;"",MAX($B19:B19,0)+1,0)</f>
        <v>0</v>
      </c>
      <c r="D19">
        <f>IF(D6&lt;&gt;"",MAX($B19:C19,0)+1,0)</f>
        <v>0</v>
      </c>
      <c r="E19">
        <f ca="1">IF(E6&lt;&gt;"",MAX($B19:D19,0)+1,0)</f>
        <v>0</v>
      </c>
      <c r="F19">
        <f>IF(F6&lt;&gt;"",MAX($B19:E19,0)+1,0)</f>
        <v>0</v>
      </c>
      <c r="G19">
        <f>IF(G6&lt;&gt;"",MAX($B19:F19,0)+1,0)</f>
        <v>0</v>
      </c>
      <c r="H19">
        <f ca="1">IF(H6&lt;&gt;"",MAX($B19:G19,0)+1,0)</f>
        <v>0</v>
      </c>
      <c r="I19">
        <f ca="1">IF(I6&lt;&gt;"",MAX($B19:H19,0)+1,0)</f>
        <v>1</v>
      </c>
      <c r="J19">
        <f ca="1">IF(J6&lt;&gt;"",MAX($B19:I19,0)+1,0)</f>
        <v>2</v>
      </c>
      <c r="K19">
        <f>IF(K6&lt;&gt;"",MAX($B19:J19,0)+1,0)</f>
        <v>0</v>
      </c>
      <c r="L19">
        <f>IF(L6&lt;&gt;"",MAX($B19:K19,0)+1,0)</f>
        <v>0</v>
      </c>
      <c r="M19">
        <f>IF(M6&lt;&gt;"",MAX($B19:L19,0)+1,0)</f>
        <v>0</v>
      </c>
      <c r="N19">
        <f>IF(N6&lt;&gt;"",MAX($B19:M19,0)+1,0)</f>
        <v>0</v>
      </c>
      <c r="O19">
        <f>IF(O6&lt;&gt;"",MAX($B19:N19,0)+1,0)</f>
        <v>0</v>
      </c>
      <c r="P19" s="444">
        <f>IF(P6&lt;&gt;" ",MAX($B19:O19,0)+1,0)</f>
        <v>0</v>
      </c>
      <c r="Q19" s="828">
        <f>IF(Q6&lt;&gt;"",MAX($B19:P19,0)+1,0)</f>
        <v>0</v>
      </c>
      <c r="R19" s="444">
        <f>IF(R6&lt;&gt;" ",MAX($B19:P19,0)+1,0)</f>
        <v>0</v>
      </c>
      <c r="S19">
        <f>IF(S6&lt;&gt;"",MAX($B19:R19,0)+1,0)</f>
        <v>0</v>
      </c>
      <c r="T19">
        <f ca="1">IF(T6&lt;&gt;"",MAX($B19:S19,0)+1,0)</f>
        <v>0</v>
      </c>
      <c r="U19">
        <f ca="1">IF(U6&lt;&gt;"",MAX($B19:T19,0)+1,0)</f>
        <v>0</v>
      </c>
      <c r="V19">
        <f ca="1">IF(V6&lt;&gt;"",MAX($B19:U19,0)+1,0)</f>
        <v>0</v>
      </c>
      <c r="W19">
        <f ca="1">IF(W6&lt;&gt;"",MAX($B19:V19,0)+1,0)</f>
        <v>0</v>
      </c>
      <c r="X19">
        <f t="shared" ca="1" si="13"/>
        <v>2</v>
      </c>
    </row>
    <row r="20" spans="1:37" x14ac:dyDescent="0.25">
      <c r="A20" s="265">
        <f t="shared" si="14"/>
        <v>43469</v>
      </c>
      <c r="B20">
        <f t="shared" ca="1" si="12"/>
        <v>0</v>
      </c>
      <c r="C20">
        <f>IF(C7&lt;&gt;"",MAX($B20:B20,0)+1,0)</f>
        <v>0</v>
      </c>
      <c r="D20">
        <f>IF(D7&lt;&gt;"",MAX($B20:C20,0)+1,0)</f>
        <v>0</v>
      </c>
      <c r="E20">
        <f ca="1">IF(E7&lt;&gt;"",MAX($B20:D20,0)+1,0)</f>
        <v>0</v>
      </c>
      <c r="F20">
        <f>IF(F7&lt;&gt;"",MAX($B20:E20,0)+1,0)</f>
        <v>0</v>
      </c>
      <c r="G20">
        <f>IF(G7&lt;&gt;"",MAX($B20:F20,0)+1,0)</f>
        <v>0</v>
      </c>
      <c r="H20">
        <f ca="1">IF(H7&lt;&gt;"",MAX($B20:G20,0)+1,0)</f>
        <v>0</v>
      </c>
      <c r="I20">
        <f>IF(I7&lt;&gt;"",MAX($B20:H20,0)+1,0)</f>
        <v>0</v>
      </c>
      <c r="J20">
        <f>IF(J7&lt;&gt;"",MAX($B20:I20,0)+1,0)</f>
        <v>0</v>
      </c>
      <c r="K20">
        <f>IF(K7&lt;&gt;"",MAX($B20:J20,0)+1,0)</f>
        <v>0</v>
      </c>
      <c r="L20">
        <f>IF(L7&lt;&gt;"",MAX($B20:K20,0)+1,0)</f>
        <v>0</v>
      </c>
      <c r="M20">
        <f>IF(M7&lt;&gt;"",MAX($B20:L20,0)+1,0)</f>
        <v>0</v>
      </c>
      <c r="N20">
        <f>IF(N7&lt;&gt;"",MAX($B20:M20,0)+1,0)</f>
        <v>0</v>
      </c>
      <c r="O20">
        <f>IF(O7&lt;&gt;"",MAX($B20:N20,0)+1,0)</f>
        <v>0</v>
      </c>
      <c r="P20" s="444">
        <f>IF(P7&lt;&gt;" ",MAX($B20:O20,0)+1,0)</f>
        <v>0</v>
      </c>
      <c r="Q20" s="828">
        <f>IF(Q7&lt;&gt;"",MAX($B20:P20,0)+1,0)</f>
        <v>0</v>
      </c>
      <c r="R20" s="444">
        <f>IF(R7&lt;&gt;" ",MAX($B20:P20,0)+1,0)</f>
        <v>0</v>
      </c>
      <c r="S20">
        <f>IF(S7&lt;&gt;"",MAX($B20:R20,0)+1,0)</f>
        <v>0</v>
      </c>
      <c r="T20">
        <f ca="1">IF(T7&lt;&gt;"",MAX($B20:S20,0)+1,0)</f>
        <v>0</v>
      </c>
      <c r="U20">
        <f ca="1">IF(U7&lt;&gt;"",MAX($B20:T20,0)+1,0)</f>
        <v>0</v>
      </c>
      <c r="V20">
        <f ca="1">IF(V7&lt;&gt;"",MAX($B20:U20,0)+1,0)</f>
        <v>0</v>
      </c>
      <c r="W20">
        <f ca="1">IF(W7&lt;&gt;"",MAX($B20:V20,0)+1,0)</f>
        <v>0</v>
      </c>
      <c r="X20">
        <f t="shared" ca="1" si="13"/>
        <v>0</v>
      </c>
    </row>
    <row r="21" spans="1:37" x14ac:dyDescent="0.25">
      <c r="A21" s="265">
        <f t="shared" si="14"/>
        <v>43470</v>
      </c>
      <c r="B21">
        <f t="shared" ca="1" si="12"/>
        <v>0</v>
      </c>
      <c r="C21">
        <f>IF(C8&lt;&gt;"",MAX($B21:B21,0)+1,0)</f>
        <v>0</v>
      </c>
      <c r="D21">
        <f>IF(D8&lt;&gt;"",MAX($B21:C21,0)+1,0)</f>
        <v>0</v>
      </c>
      <c r="E21">
        <f ca="1">IF(E8&lt;&gt;"",MAX($B21:D21,0)+1,0)</f>
        <v>0</v>
      </c>
      <c r="F21">
        <f>IF(F8&lt;&gt;"",MAX($B21:E21,0)+1,0)</f>
        <v>0</v>
      </c>
      <c r="G21">
        <f>IF(G8&lt;&gt;"",MAX($B21:F21,0)+1,0)</f>
        <v>0</v>
      </c>
      <c r="H21">
        <f ca="1">IF(H8&lt;&gt;"",MAX($B21:G21,0)+1,0)</f>
        <v>0</v>
      </c>
      <c r="I21">
        <f>IF(I8&lt;&gt;"",MAX($B21:H21,0)+1,0)</f>
        <v>0</v>
      </c>
      <c r="J21">
        <f>IF(J8&lt;&gt;"",MAX($B21:I21,0)+1,0)</f>
        <v>0</v>
      </c>
      <c r="K21">
        <f>IF(K8&lt;&gt;"",MAX($B21:J21,0)+1,0)</f>
        <v>0</v>
      </c>
      <c r="L21">
        <f>IF(L8&lt;&gt;"",MAX($B21:K21,0)+1,0)</f>
        <v>0</v>
      </c>
      <c r="M21">
        <f>IF(M8&lt;&gt;"",MAX($B21:L21,0)+1,0)</f>
        <v>0</v>
      </c>
      <c r="N21">
        <f>IF(N8&lt;&gt;"",MAX($B21:M21,0)+1,0)</f>
        <v>0</v>
      </c>
      <c r="O21">
        <f>IF(O8&lt;&gt;"",MAX($B21:N21,0)+1,0)</f>
        <v>0</v>
      </c>
      <c r="P21" s="444">
        <f>IF(P8&lt;&gt;" ",MAX($B21:O21,0)+1,0)</f>
        <v>0</v>
      </c>
      <c r="Q21" s="828">
        <f>IF(Q8&lt;&gt;"",MAX($B21:P21,0)+1,0)</f>
        <v>0</v>
      </c>
      <c r="R21" s="444">
        <f>IF(R8&lt;&gt;" ",MAX($B21:P21,0)+1,0)</f>
        <v>0</v>
      </c>
      <c r="S21">
        <f>IF(S8&lt;&gt;"",MAX($B21:R21,0)+1,0)</f>
        <v>0</v>
      </c>
      <c r="T21">
        <f ca="1">IF(T8&lt;&gt;"",MAX($B21:S21,0)+1,0)</f>
        <v>0</v>
      </c>
      <c r="U21">
        <f ca="1">IF(U8&lt;&gt;"",MAX($B21:T21,0)+1,0)</f>
        <v>0</v>
      </c>
      <c r="V21">
        <f ca="1">IF(V8&lt;&gt;"",MAX($B21:U21,0)+1,0)</f>
        <v>0</v>
      </c>
      <c r="W21">
        <f ca="1">IF(W8&lt;&gt;"",MAX($B21:V21,0)+1,0)</f>
        <v>0</v>
      </c>
      <c r="X21">
        <f t="shared" ca="1" si="13"/>
        <v>0</v>
      </c>
    </row>
    <row r="22" spans="1:37" x14ac:dyDescent="0.25">
      <c r="A22" s="265">
        <f t="shared" si="14"/>
        <v>43471</v>
      </c>
      <c r="B22">
        <f t="shared" ca="1" si="12"/>
        <v>0</v>
      </c>
      <c r="C22">
        <f>IF(C9&lt;&gt;"",MAX($B22:B22,0)+1,0)</f>
        <v>0</v>
      </c>
      <c r="D22">
        <f>IF(D9&lt;&gt;"",MAX($B22:C22,0)+1,0)</f>
        <v>0</v>
      </c>
      <c r="E22">
        <f ca="1">IF(E9&lt;&gt;"",MAX($B22:D22,0)+1,0)</f>
        <v>0</v>
      </c>
      <c r="F22">
        <f>IF(F9&lt;&gt;"",MAX($B22:E22,0)+1,0)</f>
        <v>0</v>
      </c>
      <c r="G22">
        <f>IF(G9&lt;&gt;"",MAX($B22:F22,0)+1,0)</f>
        <v>0</v>
      </c>
      <c r="H22">
        <f ca="1">IF(H9&lt;&gt;"",MAX($B22:G22,0)+1,0)</f>
        <v>0</v>
      </c>
      <c r="I22">
        <f ca="1">IF(I9&lt;&gt;"",MAX($B22:H22,0)+1,0)</f>
        <v>1</v>
      </c>
      <c r="J22">
        <f>IF(J9&lt;&gt;"",MAX($B22:I22,0)+1,0)</f>
        <v>0</v>
      </c>
      <c r="K22">
        <f>IF(K9&lt;&gt;"",MAX($B22:J22,0)+1,0)</f>
        <v>0</v>
      </c>
      <c r="L22">
        <f>IF(L9&lt;&gt;"",MAX($B22:K22,0)+1,0)</f>
        <v>0</v>
      </c>
      <c r="M22">
        <f>IF(M9&lt;&gt;"",MAX($B22:L22,0)+1,0)</f>
        <v>0</v>
      </c>
      <c r="N22">
        <f>IF(N9&lt;&gt;"",MAX($B22:M22,0)+1,0)</f>
        <v>0</v>
      </c>
      <c r="O22">
        <f>IF(O9&lt;&gt;"",MAX($B22:N22,0)+1,0)</f>
        <v>0</v>
      </c>
      <c r="P22" s="444">
        <f>IF(P9&lt;&gt;" ",MAX($B22:O22,0)+1,0)</f>
        <v>0</v>
      </c>
      <c r="Q22" s="828">
        <f>IF(Q9&lt;&gt;"",MAX($B22:P22,0)+1,0)</f>
        <v>0</v>
      </c>
      <c r="R22" s="444">
        <f>IF(R9&lt;&gt;" ",MAX($B22:P22,0)+1,0)</f>
        <v>0</v>
      </c>
      <c r="S22">
        <f>IF(S9&lt;&gt;"",MAX($B22:R22,0)+1,0)</f>
        <v>0</v>
      </c>
      <c r="T22">
        <f ca="1">IF(T9&lt;&gt;"",MAX($B22:S22,0)+1,0)</f>
        <v>0</v>
      </c>
      <c r="U22">
        <f ca="1">IF(U9&lt;&gt;"",MAX($B22:T22,0)+1,0)</f>
        <v>0</v>
      </c>
      <c r="V22">
        <f ca="1">IF(V9&lt;&gt;"",MAX($B22:U22,0)+1,0)</f>
        <v>0</v>
      </c>
      <c r="W22">
        <f ca="1">IF(W9&lt;&gt;"",MAX($B22:V22,0)+1,0)</f>
        <v>0</v>
      </c>
      <c r="X22">
        <f t="shared" ca="1" si="13"/>
        <v>1</v>
      </c>
    </row>
    <row r="23" spans="1:37" x14ac:dyDescent="0.25">
      <c r="A23" s="265">
        <f t="shared" si="14"/>
        <v>43472</v>
      </c>
      <c r="B23">
        <f t="shared" ca="1" si="12"/>
        <v>0</v>
      </c>
      <c r="C23">
        <f>IF(C10&lt;&gt;"",MAX($B23:B23,0)+1,0)</f>
        <v>0</v>
      </c>
      <c r="D23">
        <f>IF(D10&lt;&gt;"",MAX($B23:C23,0)+1,0)</f>
        <v>0</v>
      </c>
      <c r="E23">
        <f ca="1">IF(E10&lt;&gt;"",MAX($B23:D23,0)+1,0)</f>
        <v>0</v>
      </c>
      <c r="F23">
        <f>IF(F10&lt;&gt;"",MAX($B23:E23,0)+1,0)</f>
        <v>0</v>
      </c>
      <c r="G23">
        <f>IF(G10&lt;&gt;"",MAX($B23:F23,0)+1,0)</f>
        <v>0</v>
      </c>
      <c r="H23">
        <f ca="1">IF(H10&lt;&gt;"",MAX($B23:G23,0)+1,0)</f>
        <v>0</v>
      </c>
      <c r="I23">
        <f>IF(I10&lt;&gt;"",MAX($B23:H23,0)+1,0)</f>
        <v>0</v>
      </c>
      <c r="J23">
        <f>IF(J10&lt;&gt;"",MAX($B23:I23,0)+1,0)</f>
        <v>0</v>
      </c>
      <c r="K23">
        <f>IF(K10&lt;&gt;"",MAX($B23:J23,0)+1,0)</f>
        <v>0</v>
      </c>
      <c r="L23">
        <f>IF(L10&lt;&gt;"",MAX($B23:K23,0)+1,0)</f>
        <v>0</v>
      </c>
      <c r="M23">
        <f>IF(M10&lt;&gt;"",MAX($B23:L23,0)+1,0)</f>
        <v>0</v>
      </c>
      <c r="N23">
        <f>IF(N10&lt;&gt;"",MAX($B23:M23,0)+1,0)</f>
        <v>0</v>
      </c>
      <c r="O23">
        <f>IF(O10&lt;&gt;"",MAX($B23:N23,0)+1,0)</f>
        <v>0</v>
      </c>
      <c r="P23" s="444">
        <f>IF(P10&lt;&gt;" ",MAX($B23:O23,0)+1,0)</f>
        <v>0</v>
      </c>
      <c r="Q23" s="828">
        <f>IF(Q10&lt;&gt;"",MAX($B23:P23,0)+1,0)</f>
        <v>0</v>
      </c>
      <c r="R23" s="444">
        <f>IF(R10&lt;&gt;" ",MAX($B23:P23,0)+1,0)</f>
        <v>0</v>
      </c>
      <c r="S23">
        <f>IF(S10&lt;&gt;"",MAX($B23:R23,0)+1,0)</f>
        <v>0</v>
      </c>
      <c r="T23">
        <f ca="1">IF(T10&lt;&gt;"",MAX($B23:S23,0)+1,0)</f>
        <v>0</v>
      </c>
      <c r="U23">
        <f ca="1">IF(U10&lt;&gt;"",MAX($B23:T23,0)+1,0)</f>
        <v>0</v>
      </c>
      <c r="V23">
        <f ca="1">IF(V10&lt;&gt;"",MAX($B23:U23,0)+1,0)</f>
        <v>0</v>
      </c>
      <c r="W23">
        <f ca="1">IF(W10&lt;&gt;"",MAX($B23:V23,0)+1,0)</f>
        <v>0</v>
      </c>
      <c r="X23">
        <f t="shared" ca="1" si="13"/>
        <v>0</v>
      </c>
    </row>
    <row r="26" spans="1:37" x14ac:dyDescent="0.25">
      <c r="A26" t="s">
        <v>7611</v>
      </c>
      <c r="C26" s="443">
        <v>1</v>
      </c>
      <c r="D26" s="443">
        <v>2</v>
      </c>
      <c r="E26" s="443">
        <v>3</v>
      </c>
      <c r="F26" s="443">
        <v>4</v>
      </c>
      <c r="G26" s="443">
        <v>5</v>
      </c>
      <c r="H26" s="443">
        <v>6</v>
      </c>
      <c r="I26" s="443">
        <v>7</v>
      </c>
      <c r="J26" s="443">
        <v>8</v>
      </c>
      <c r="K26" s="443">
        <v>9</v>
      </c>
      <c r="L26" s="443">
        <v>10</v>
      </c>
      <c r="M26" s="443">
        <v>11</v>
      </c>
    </row>
    <row r="27" spans="1:37" x14ac:dyDescent="0.25">
      <c r="A27" s="445" t="s">
        <v>1240</v>
      </c>
      <c r="B27" s="445" t="s">
        <v>7569</v>
      </c>
      <c r="C27" s="445" t="s">
        <v>7598</v>
      </c>
      <c r="D27" s="445" t="s">
        <v>7599</v>
      </c>
      <c r="E27" s="445" t="s">
        <v>7600</v>
      </c>
      <c r="F27" s="445" t="s">
        <v>7601</v>
      </c>
      <c r="G27" s="445" t="s">
        <v>7602</v>
      </c>
      <c r="H27" s="445" t="s">
        <v>7603</v>
      </c>
      <c r="I27" s="445" t="s">
        <v>7604</v>
      </c>
      <c r="J27" s="445" t="s">
        <v>7605</v>
      </c>
      <c r="K27" s="445" t="s">
        <v>7606</v>
      </c>
      <c r="L27" s="445" t="s">
        <v>7607</v>
      </c>
      <c r="M27" s="445" t="s">
        <v>7608</v>
      </c>
      <c r="N27" s="445" t="s">
        <v>7537</v>
      </c>
      <c r="O27" s="445" t="s">
        <v>7234</v>
      </c>
      <c r="P27" s="445" t="s">
        <v>7490</v>
      </c>
      <c r="Q27" s="445" t="s">
        <v>7235</v>
      </c>
      <c r="R27" s="445" t="s">
        <v>7237</v>
      </c>
      <c r="S27" s="447" t="s">
        <v>1445</v>
      </c>
      <c r="T27" s="447" t="s">
        <v>1443</v>
      </c>
      <c r="U27" s="416" t="s">
        <v>9515</v>
      </c>
      <c r="V27" s="445" t="s">
        <v>7539</v>
      </c>
      <c r="W27" s="445" t="s">
        <v>7245</v>
      </c>
      <c r="X27" s="445" t="s">
        <v>7238</v>
      </c>
      <c r="Y27" s="416" t="s">
        <v>7239</v>
      </c>
      <c r="Z27" s="445" t="s">
        <v>7240</v>
      </c>
      <c r="AA27" s="445" t="s">
        <v>7241</v>
      </c>
      <c r="AB27" s="445" t="s">
        <v>7551</v>
      </c>
      <c r="AC27" s="445" t="s">
        <v>7242</v>
      </c>
      <c r="AD27" s="445" t="s">
        <v>7482</v>
      </c>
      <c r="AE27" s="445" t="s">
        <v>7483</v>
      </c>
      <c r="AF27" s="445" t="s">
        <v>7635</v>
      </c>
      <c r="AG27" s="445" t="s">
        <v>1232</v>
      </c>
      <c r="AH27" s="445" t="s">
        <v>7612</v>
      </c>
      <c r="AI27" s="445"/>
      <c r="AJ27" s="416" t="s">
        <v>7610</v>
      </c>
      <c r="AK27" s="445" t="s">
        <v>7613</v>
      </c>
    </row>
    <row r="28" spans="1:37" x14ac:dyDescent="0.25">
      <c r="A28" s="265">
        <f>A2</f>
        <v>43464</v>
      </c>
      <c r="B28" t="str">
        <f ca="1">'GCal-Translations'!C223</f>
        <v>Domingo</v>
      </c>
      <c r="C28" t="str">
        <f t="shared" ref="C28:M28" ca="1" si="15">IFERROR(INDEX($B2:$W2,MATCH(C$26,$B15:$W15,0)),"")</f>
        <v>Nārāyaṇa (Pauṣa) Masa</v>
      </c>
      <c r="D28" t="str">
        <f t="shared" ca="1" si="15"/>
        <v/>
      </c>
      <c r="E28" t="str">
        <f t="shared" ca="1" si="15"/>
        <v/>
      </c>
      <c r="F28" t="str">
        <f t="shared" ca="1" si="15"/>
        <v/>
      </c>
      <c r="G28" t="str">
        <f t="shared" ca="1" si="15"/>
        <v/>
      </c>
      <c r="H28" t="str">
        <f t="shared" ca="1" si="15"/>
        <v/>
      </c>
      <c r="I28" t="str">
        <f t="shared" ca="1" si="15"/>
        <v/>
      </c>
      <c r="J28" t="str">
        <f t="shared" ca="1" si="15"/>
        <v/>
      </c>
      <c r="K28" t="str">
        <f t="shared" ca="1" si="15"/>
        <v/>
      </c>
      <c r="L28" t="str">
        <f t="shared" ca="1" si="15"/>
        <v/>
      </c>
      <c r="M28" t="str">
        <f t="shared" ca="1" si="15"/>
        <v/>
      </c>
      <c r="N28">
        <f t="shared" ref="N28:N36" si="16">WEEKNUM(A28,2)</f>
        <v>52</v>
      </c>
      <c r="O28" s="267">
        <f>INDEX(GCalXMLT[gyear],$W28)</f>
        <v>532</v>
      </c>
      <c r="P28" s="267" t="str">
        <f>INDEX(GCalXMLT[gymasa],$W28)</f>
        <v>Narayana</v>
      </c>
      <c r="Q28" t="str">
        <f>INDEX(GCalXMLT[mpaksaname],W28) &amp; " Paksa"</f>
        <v>Krsna Paksa</v>
      </c>
      <c r="R28" s="267" t="str">
        <f t="shared" ref="R28:R36" si="17">LEFT(AA2,IFERROR(SEARCH(" ",AA2)-1,100)) &amp; " Tithi"</f>
        <v>Navami Tithi</v>
      </c>
      <c r="S28" t="str">
        <f>INDEX(GCalXMLT[naksatraname],$W28)</f>
        <v>Citra</v>
      </c>
      <c r="T28" t="str">
        <f>INDEX(GCalXMLT[yoganame],$W28)</f>
        <v>Atiganda</v>
      </c>
      <c r="U28" s="839">
        <f>Z2</f>
        <v>0</v>
      </c>
      <c r="V28">
        <f>X2</f>
        <v>37</v>
      </c>
      <c r="W28" s="267">
        <f>Y2</f>
        <v>37</v>
      </c>
      <c r="X28" s="294">
        <f>INDEX(GCalXMLT[arunodayatime],W28)-U28</f>
        <v>0.14471064814814816</v>
      </c>
      <c r="Y28" s="294">
        <f>AB2</f>
        <v>0.21137731481481481</v>
      </c>
      <c r="Z28" s="294">
        <f>INDEX(GCalXMLT[noontime],$W28)-U28</f>
        <v>0.47364583333333332</v>
      </c>
      <c r="AA28" s="294">
        <f>INDEX(GCalXMLT[sunsettime],$W28)-U28</f>
        <v>0.73590277777777768</v>
      </c>
      <c r="AB28" s="443" t="str">
        <f t="shared" ref="AB28:AC36" ca="1" si="18">AC2</f>
        <v/>
      </c>
      <c r="AC28" s="443" t="str">
        <f t="shared" ca="1" si="18"/>
        <v/>
      </c>
      <c r="AD28" t="str">
        <f ca="1">INDEX('GCal-Translations'!$C$226:$C$229,MATCH(INDEX('Moon Calendar'!$J$2:$J$65,MATCH($A28,'Moon Calendar'!$F$2:$F$65,1)),'GCal-Translations'!$B$226:$B$229,0))</f>
        <v>Ming</v>
      </c>
      <c r="AE28" s="443" t="str">
        <f>INDEX('Moon Calendar'!$K$2:$K$65,MATCH($A28,'Moon Calendar'!$F$2:$F$65,1))</f>
        <v>)</v>
      </c>
      <c r="AF28" s="614" t="str">
        <f ca="1">INDEX('Moon Calendar'!$L$2:$L$65,MATCH($A28,'Moon Calendar'!$F$2:$F$65,1))</f>
        <v></v>
      </c>
      <c r="AG28">
        <f>A28-DATE(YEAR(A28),1,1)+1</f>
        <v>364</v>
      </c>
      <c r="AH28">
        <f>DATE(YEAR(A28)+1,1,1)-A28-1</f>
        <v>1</v>
      </c>
      <c r="AJ28">
        <f t="shared" ref="AJ28:AJ36" ca="1" si="19">11-COUNTIF(C28:M28,"")</f>
        <v>1</v>
      </c>
      <c r="AK28" s="303" t="e">
        <f t="shared" ref="AK28:AK33" ca="1" si="20">Concat2(C28:I28,"|")</f>
        <v>#VALUE!</v>
      </c>
    </row>
    <row r="29" spans="1:37" x14ac:dyDescent="0.25">
      <c r="A29" s="576">
        <f t="shared" ref="A29:A36" si="21">A3</f>
        <v>43465</v>
      </c>
      <c r="B29" s="433" t="str">
        <f ca="1">'GCal-Translations'!C217</f>
        <v>Segunda</v>
      </c>
      <c r="C29" s="433" t="str">
        <f t="shared" ref="C29:M29" ca="1" si="22">IFERROR(INDEX($B3:$W3,MATCH(C$26,$B16:$W16,0)),"")</f>
        <v/>
      </c>
      <c r="D29" s="433" t="str">
        <f t="shared" ca="1" si="22"/>
        <v/>
      </c>
      <c r="E29" s="433" t="str">
        <f t="shared" ca="1" si="22"/>
        <v/>
      </c>
      <c r="F29" s="433" t="str">
        <f t="shared" ca="1" si="22"/>
        <v/>
      </c>
      <c r="G29" s="433" t="str">
        <f t="shared" ca="1" si="22"/>
        <v/>
      </c>
      <c r="H29" s="433" t="str">
        <f t="shared" ca="1" si="22"/>
        <v/>
      </c>
      <c r="I29" s="433" t="str">
        <f t="shared" ca="1" si="22"/>
        <v/>
      </c>
      <c r="J29" s="433" t="str">
        <f t="shared" ca="1" si="22"/>
        <v/>
      </c>
      <c r="K29" s="433" t="str">
        <f t="shared" ca="1" si="22"/>
        <v/>
      </c>
      <c r="L29" s="433" t="str">
        <f t="shared" ca="1" si="22"/>
        <v/>
      </c>
      <c r="M29" s="433" t="str">
        <f t="shared" ca="1" si="22"/>
        <v/>
      </c>
      <c r="N29" s="433">
        <f t="shared" si="16"/>
        <v>53</v>
      </c>
      <c r="O29" s="577">
        <f>INDEX(GCalXMLT[gyear],$W29)</f>
        <v>532</v>
      </c>
      <c r="P29" s="577" t="str">
        <f>INDEX(GCalXMLT[gymasa],$W29)</f>
        <v>Narayana</v>
      </c>
      <c r="Q29" s="433" t="str">
        <f>INDEX(GCalXMLT[mpaksaname],W29) &amp; " Paksa"</f>
        <v>Krsna Paksa</v>
      </c>
      <c r="R29" s="577" t="str">
        <f t="shared" si="17"/>
        <v>Dasami Tithi</v>
      </c>
      <c r="S29" s="433" t="str">
        <f>INDEX(GCalXMLT[naksatraname],$W29)</f>
        <v>Swati</v>
      </c>
      <c r="T29" s="433" t="str">
        <f>INDEX(GCalXMLT[yoganame],$W29)</f>
        <v>Sukarma</v>
      </c>
      <c r="U29" s="841">
        <f t="shared" ref="U29:U36" si="23">Z3</f>
        <v>0</v>
      </c>
      <c r="V29" s="433">
        <f t="shared" ref="V29:V36" si="24">X3</f>
        <v>38</v>
      </c>
      <c r="W29" s="577">
        <f t="shared" ref="W29:W36" si="25">Y3</f>
        <v>38</v>
      </c>
      <c r="X29" s="840">
        <f>INDEX(GCalXMLT[arunodayatime],W29)-U29</f>
        <v>0.14506944444444445</v>
      </c>
      <c r="Y29" s="840">
        <f t="shared" ref="Y29:Y36" si="26">AB3</f>
        <v>0.21173611111111112</v>
      </c>
      <c r="Z29" s="840">
        <f>INDEX(GCalXMLT[noontime],$W29)-U29</f>
        <v>0.47396990740740735</v>
      </c>
      <c r="AA29" s="840">
        <f>INDEX(GCalXMLT[sunsettime],$W29)-U29</f>
        <v>0.7362037037037038</v>
      </c>
      <c r="AB29" s="578" t="str">
        <f t="shared" ca="1" si="18"/>
        <v/>
      </c>
      <c r="AC29" s="578" t="str">
        <f t="shared" ca="1" si="18"/>
        <v/>
      </c>
      <c r="AD29" s="433" t="str">
        <f ca="1">INDEX('GCal-Translations'!$C$226:$C$229,MATCH(INDEX('Moon Calendar'!$J$2:$J$65,MATCH($A29,'Moon Calendar'!$F$2:$F$65,1)),'GCal-Translations'!$B$226:$B$229,0))</f>
        <v>Ming</v>
      </c>
      <c r="AE29" s="578" t="str">
        <f>INDEX('Moon Calendar'!$K$2:$K$65,MATCH($A29,'Moon Calendar'!$F$2:$F$65,1))</f>
        <v>)</v>
      </c>
      <c r="AF29" s="615" t="str">
        <f ca="1">INDEX('Moon Calendar'!$L$2:$L$65,MATCH($A29,'Moon Calendar'!$F$2:$F$65,1))</f>
        <v></v>
      </c>
      <c r="AG29" s="433">
        <f>A29-DATE(YEAR(A29),1,1)+1</f>
        <v>365</v>
      </c>
      <c r="AH29" s="433">
        <f t="shared" ref="AH29:AH36" si="27">DATE(YEAR(A29)+1,1,1)-A29-1</f>
        <v>0</v>
      </c>
      <c r="AI29" s="433"/>
      <c r="AJ29" s="433">
        <f t="shared" ca="1" si="19"/>
        <v>0</v>
      </c>
      <c r="AK29" s="432" t="e">
        <f t="shared" ca="1" si="20"/>
        <v>#VALUE!</v>
      </c>
    </row>
    <row r="30" spans="1:37" x14ac:dyDescent="0.25">
      <c r="A30" s="576">
        <f t="shared" si="21"/>
        <v>43466</v>
      </c>
      <c r="B30" s="433" t="str">
        <f ca="1">'GCal-Translations'!C218</f>
        <v>Terça</v>
      </c>
      <c r="C30" s="433" t="str">
        <f t="shared" ref="C30:M30" ca="1" si="28">IFERROR(INDEX($B4:$W4,MATCH(C$26,$B17:$W17,0)),"")</f>
        <v>(adequado para jejum)</v>
      </c>
      <c r="D30" s="433" t="str">
        <f t="shared" ca="1" si="28"/>
        <v>Jejum por Saphala Ekadasi</v>
      </c>
      <c r="E30" s="433" t="str">
        <f t="shared" ca="1" si="28"/>
        <v>Jejum começa às 05:05</v>
      </c>
      <c r="F30" s="433" t="str">
        <f t="shared" ca="1" si="28"/>
        <v>Sri Devananda Pandita - Desaparecimento</v>
      </c>
      <c r="G30" s="433" t="str">
        <f t="shared" ca="1" si="28"/>
        <v>Confraternização Universal</v>
      </c>
      <c r="H30" s="433" t="str">
        <f t="shared" ca="1" si="28"/>
        <v/>
      </c>
      <c r="I30" s="433" t="str">
        <f t="shared" ca="1" si="28"/>
        <v/>
      </c>
      <c r="J30" s="433" t="str">
        <f t="shared" ca="1" si="28"/>
        <v/>
      </c>
      <c r="K30" s="433" t="str">
        <f t="shared" ca="1" si="28"/>
        <v/>
      </c>
      <c r="L30" s="433" t="str">
        <f t="shared" ca="1" si="28"/>
        <v/>
      </c>
      <c r="M30" s="433" t="str">
        <f t="shared" ca="1" si="28"/>
        <v/>
      </c>
      <c r="N30" s="433">
        <f t="shared" si="16"/>
        <v>1</v>
      </c>
      <c r="O30" s="577">
        <f>INDEX(GCalXMLT[gyear],$W30)</f>
        <v>532</v>
      </c>
      <c r="P30" s="577" t="str">
        <f>INDEX(GCalXMLT[gymasa],$W30)</f>
        <v>Narayana</v>
      </c>
      <c r="Q30" s="433" t="str">
        <f>INDEX(GCalXMLT[mpaksaname],W30) &amp; " Paksa"</f>
        <v>Krsna Paksa</v>
      </c>
      <c r="R30" s="577" t="str">
        <f t="shared" si="17"/>
        <v>Ekadasi Tithi</v>
      </c>
      <c r="S30" s="433" t="str">
        <f>INDEX(GCalXMLT[naksatraname],$W30)</f>
        <v>Visakha</v>
      </c>
      <c r="T30" s="433" t="str">
        <f>INDEX(GCalXMLT[yoganame],$W30)</f>
        <v>Dhriti</v>
      </c>
      <c r="U30" s="841">
        <f t="shared" si="23"/>
        <v>0</v>
      </c>
      <c r="V30" s="433">
        <f t="shared" si="24"/>
        <v>39</v>
      </c>
      <c r="W30" s="577">
        <f t="shared" si="25"/>
        <v>39</v>
      </c>
      <c r="X30" s="840">
        <f>INDEX(GCalXMLT[arunodayatime],W30)-U30</f>
        <v>0.1454398148148148</v>
      </c>
      <c r="Y30" s="840">
        <f t="shared" si="26"/>
        <v>0.21210648148148148</v>
      </c>
      <c r="Z30" s="840">
        <f>INDEX(GCalXMLT[noontime],$W30)-U30</f>
        <v>0.47430555555555554</v>
      </c>
      <c r="AA30" s="840">
        <f>INDEX(GCalXMLT[sunsettime],$W30)-U30</f>
        <v>0.73649305555555555</v>
      </c>
      <c r="AB30" s="578" t="str">
        <f t="shared" ca="1" si="18"/>
        <v>S</v>
      </c>
      <c r="AC30" s="578" t="str">
        <f t="shared" ca="1" si="18"/>
        <v>*</v>
      </c>
      <c r="AD30" s="433" t="str">
        <f ca="1">INDEX('GCal-Translations'!$C$226:$C$229,MATCH(INDEX('Moon Calendar'!$J$2:$J$65,MATCH($A30,'Moon Calendar'!$F$2:$F$65,1)),'GCal-Translations'!$B$226:$B$229,0))</f>
        <v>Ming</v>
      </c>
      <c r="AE30" s="578" t="str">
        <f>INDEX('Moon Calendar'!$K$2:$K$65,MATCH($A30,'Moon Calendar'!$F$2:$F$65,1))</f>
        <v>)</v>
      </c>
      <c r="AF30" s="615" t="str">
        <f ca="1">INDEX('Moon Calendar'!$L$2:$L$65,MATCH($A30,'Moon Calendar'!$F$2:$F$65,1))</f>
        <v></v>
      </c>
      <c r="AG30" s="433">
        <f t="shared" ref="AG30:AG36" si="29">A30-DATE(YEAR(A30),1,1)+1</f>
        <v>1</v>
      </c>
      <c r="AH30" s="433">
        <f t="shared" si="27"/>
        <v>364</v>
      </c>
      <c r="AI30" s="433"/>
      <c r="AJ30" s="433">
        <f t="shared" ca="1" si="19"/>
        <v>5</v>
      </c>
      <c r="AK30" s="432" t="e">
        <f t="shared" ca="1" si="20"/>
        <v>#VALUE!</v>
      </c>
    </row>
    <row r="31" spans="1:37" x14ac:dyDescent="0.25">
      <c r="A31" s="576">
        <f t="shared" si="21"/>
        <v>43467</v>
      </c>
      <c r="B31" s="433" t="str">
        <f ca="1">'GCal-Translations'!C219</f>
        <v>Quarta</v>
      </c>
      <c r="C31" s="433" t="str">
        <f t="shared" ref="C31:M31" ca="1" si="30">IFERROR(INDEX($B5:$W5,MATCH(C$26,$B18:$W18,0)),"")</f>
        <v>Quebra de jejum 05:05 - 09:17 (hora local)</v>
      </c>
      <c r="D31" s="433" t="str">
        <f t="shared" ca="1" si="30"/>
        <v/>
      </c>
      <c r="E31" s="433" t="str">
        <f t="shared" ca="1" si="30"/>
        <v/>
      </c>
      <c r="F31" s="433" t="str">
        <f t="shared" ca="1" si="30"/>
        <v/>
      </c>
      <c r="G31" s="433" t="str">
        <f t="shared" ca="1" si="30"/>
        <v/>
      </c>
      <c r="H31" s="433" t="str">
        <f t="shared" ca="1" si="30"/>
        <v/>
      </c>
      <c r="I31" s="433" t="str">
        <f t="shared" ca="1" si="30"/>
        <v/>
      </c>
      <c r="J31" s="433" t="str">
        <f t="shared" ca="1" si="30"/>
        <v/>
      </c>
      <c r="K31" s="433" t="str">
        <f t="shared" ca="1" si="30"/>
        <v/>
      </c>
      <c r="L31" s="433" t="str">
        <f t="shared" ca="1" si="30"/>
        <v/>
      </c>
      <c r="M31" s="433" t="str">
        <f t="shared" ca="1" si="30"/>
        <v/>
      </c>
      <c r="N31" s="433">
        <f t="shared" si="16"/>
        <v>1</v>
      </c>
      <c r="O31" s="577">
        <f>INDEX(GCalXMLT[gyear],$W31)</f>
        <v>532</v>
      </c>
      <c r="P31" s="577" t="str">
        <f>INDEX(GCalXMLT[gymasa],$W31)</f>
        <v>Narayana</v>
      </c>
      <c r="Q31" s="433" t="str">
        <f>INDEX(GCalXMLT[mpaksaname],W31) &amp; " Paksa"</f>
        <v>Krsna Paksa</v>
      </c>
      <c r="R31" s="577" t="str">
        <f t="shared" si="17"/>
        <v>Dvadasi Tithi</v>
      </c>
      <c r="S31" s="433" t="str">
        <f>INDEX(GCalXMLT[naksatraname],$W31)</f>
        <v>Anuradha</v>
      </c>
      <c r="T31" s="433" t="str">
        <f>INDEX(GCalXMLT[yoganame],$W31)</f>
        <v>Sula</v>
      </c>
      <c r="U31" s="841">
        <f t="shared" si="23"/>
        <v>0</v>
      </c>
      <c r="V31" s="433">
        <f t="shared" si="24"/>
        <v>40</v>
      </c>
      <c r="W31" s="577">
        <f t="shared" si="25"/>
        <v>40</v>
      </c>
      <c r="X31" s="840">
        <f>INDEX(GCalXMLT[arunodayatime],W31)-U31</f>
        <v>0.14581018518518518</v>
      </c>
      <c r="Y31" s="840">
        <f t="shared" si="26"/>
        <v>0.21247685185185183</v>
      </c>
      <c r="Z31" s="840">
        <f>INDEX(GCalXMLT[noontime],$W31)-U31</f>
        <v>0.47462962962962968</v>
      </c>
      <c r="AA31" s="840">
        <f>INDEX(GCalXMLT[sunsettime],$W31)-U31</f>
        <v>0.73677083333333337</v>
      </c>
      <c r="AB31" s="578" t="str">
        <f t="shared" ca="1" si="18"/>
        <v/>
      </c>
      <c r="AC31" s="578" t="str">
        <f t="shared" ca="1" si="18"/>
        <v/>
      </c>
      <c r="AD31" s="433" t="str">
        <f ca="1">INDEX('GCal-Translations'!$C$226:$C$229,MATCH(INDEX('Moon Calendar'!$J$2:$J$65,MATCH($A31,'Moon Calendar'!$F$2:$F$65,1)),'GCal-Translations'!$B$226:$B$229,0))</f>
        <v>Ming</v>
      </c>
      <c r="AE31" s="578" t="str">
        <f>INDEX('Moon Calendar'!$K$2:$K$65,MATCH($A31,'Moon Calendar'!$F$2:$F$65,1))</f>
        <v>)</v>
      </c>
      <c r="AF31" s="615" t="str">
        <f ca="1">INDEX('Moon Calendar'!$L$2:$L$65,MATCH($A31,'Moon Calendar'!$F$2:$F$65,1))</f>
        <v></v>
      </c>
      <c r="AG31" s="433">
        <f t="shared" si="29"/>
        <v>2</v>
      </c>
      <c r="AH31" s="433">
        <f t="shared" si="27"/>
        <v>363</v>
      </c>
      <c r="AI31" s="433"/>
      <c r="AJ31" s="433">
        <f t="shared" ca="1" si="19"/>
        <v>1</v>
      </c>
      <c r="AK31" s="432" t="e">
        <f t="shared" ca="1" si="20"/>
        <v>#VALUE!</v>
      </c>
    </row>
    <row r="32" spans="1:37" x14ac:dyDescent="0.25">
      <c r="A32" s="576">
        <f t="shared" si="21"/>
        <v>43468</v>
      </c>
      <c r="B32" s="433" t="str">
        <f ca="1">'GCal-Translations'!C220</f>
        <v>Quinta</v>
      </c>
      <c r="C32" s="433" t="str">
        <f t="shared" ref="C32:M32" ca="1" si="31">IFERROR(INDEX($B6:$W6,MATCH(C$26,$B19:$W19,0)),"")</f>
        <v>Sri Mahesa Pandita - Desaparecimento</v>
      </c>
      <c r="D32" s="433" t="str">
        <f t="shared" ca="1" si="31"/>
        <v>Sri Uddharana Datta Thakura - Desaparecimento</v>
      </c>
      <c r="E32" s="433" t="str">
        <f t="shared" ca="1" si="31"/>
        <v/>
      </c>
      <c r="F32" s="433" t="str">
        <f t="shared" ca="1" si="31"/>
        <v/>
      </c>
      <c r="G32" s="433" t="str">
        <f t="shared" ca="1" si="31"/>
        <v/>
      </c>
      <c r="H32" s="433" t="str">
        <f t="shared" ca="1" si="31"/>
        <v/>
      </c>
      <c r="I32" s="433" t="str">
        <f t="shared" ca="1" si="31"/>
        <v/>
      </c>
      <c r="J32" s="433" t="str">
        <f t="shared" ca="1" si="31"/>
        <v/>
      </c>
      <c r="K32" s="433" t="str">
        <f t="shared" ca="1" si="31"/>
        <v/>
      </c>
      <c r="L32" s="433" t="str">
        <f t="shared" ca="1" si="31"/>
        <v/>
      </c>
      <c r="M32" s="433" t="str">
        <f t="shared" ca="1" si="31"/>
        <v/>
      </c>
      <c r="N32" s="433">
        <f t="shared" si="16"/>
        <v>1</v>
      </c>
      <c r="O32" s="577">
        <f>INDEX(GCalXMLT[gyear],$W32)</f>
        <v>532</v>
      </c>
      <c r="P32" s="577" t="str">
        <f>INDEX(GCalXMLT[gymasa],$W32)</f>
        <v>Narayana</v>
      </c>
      <c r="Q32" s="433" t="str">
        <f>INDEX(GCalXMLT[mpaksaname],W32) &amp; " Paksa"</f>
        <v>Krsna Paksa</v>
      </c>
      <c r="R32" s="577" t="str">
        <f t="shared" si="17"/>
        <v>Trayodasi Tithi</v>
      </c>
      <c r="S32" s="433" t="str">
        <f>INDEX(GCalXMLT[naksatraname],$W32)</f>
        <v>Jyestha</v>
      </c>
      <c r="T32" s="433" t="str">
        <f>INDEX(GCalXMLT[yoganame],$W32)</f>
        <v>Ganda</v>
      </c>
      <c r="U32" s="841">
        <f t="shared" si="23"/>
        <v>0</v>
      </c>
      <c r="V32" s="433">
        <f t="shared" si="24"/>
        <v>41</v>
      </c>
      <c r="W32" s="577">
        <f t="shared" si="25"/>
        <v>41</v>
      </c>
      <c r="X32" s="840">
        <f>INDEX(GCalXMLT[arunodayatime],W32)-U32</f>
        <v>0.14618055555555556</v>
      </c>
      <c r="Y32" s="840">
        <f t="shared" si="26"/>
        <v>0.21284722222222222</v>
      </c>
      <c r="Z32" s="840">
        <f>INDEX(GCalXMLT[noontime],$W32)-U32</f>
        <v>0.47494212962962962</v>
      </c>
      <c r="AA32" s="840">
        <f>INDEX(GCalXMLT[sunsettime],$W32)-U32</f>
        <v>0.73704861111111108</v>
      </c>
      <c r="AB32" s="578" t="str">
        <f t="shared" ca="1" si="18"/>
        <v>C</v>
      </c>
      <c r="AC32" s="578" t="str">
        <f t="shared" ca="1" si="18"/>
        <v/>
      </c>
      <c r="AD32" s="433" t="str">
        <f ca="1">INDEX('GCal-Translations'!$C$226:$C$229,MATCH(INDEX('Moon Calendar'!$J$2:$J$65,MATCH($A32,'Moon Calendar'!$F$2:$F$65,1)),'GCal-Translations'!$B$226:$B$229,0))</f>
        <v>Ming</v>
      </c>
      <c r="AE32" s="578" t="str">
        <f>INDEX('Moon Calendar'!$K$2:$K$65,MATCH($A32,'Moon Calendar'!$F$2:$F$65,1))</f>
        <v>)</v>
      </c>
      <c r="AF32" s="615" t="str">
        <f ca="1">INDEX('Moon Calendar'!$L$2:$L$65,MATCH($A32,'Moon Calendar'!$F$2:$F$65,1))</f>
        <v></v>
      </c>
      <c r="AG32" s="433">
        <f t="shared" si="29"/>
        <v>3</v>
      </c>
      <c r="AH32" s="433">
        <f t="shared" si="27"/>
        <v>362</v>
      </c>
      <c r="AI32" s="433"/>
      <c r="AJ32" s="433">
        <f t="shared" ca="1" si="19"/>
        <v>2</v>
      </c>
      <c r="AK32" s="432" t="e">
        <f t="shared" ca="1" si="20"/>
        <v>#VALUE!</v>
      </c>
    </row>
    <row r="33" spans="1:37" x14ac:dyDescent="0.25">
      <c r="A33" s="576">
        <f t="shared" si="21"/>
        <v>43469</v>
      </c>
      <c r="B33" s="433" t="str">
        <f ca="1">'GCal-Translations'!C221</f>
        <v>Sexta</v>
      </c>
      <c r="C33" s="433" t="str">
        <f t="shared" ref="C33:M33" ca="1" si="32">IFERROR(INDEX($B7:$W7,MATCH(C$26,$B20:$W20,0)),"")</f>
        <v/>
      </c>
      <c r="D33" s="433" t="str">
        <f t="shared" ca="1" si="32"/>
        <v/>
      </c>
      <c r="E33" s="433" t="str">
        <f t="shared" ca="1" si="32"/>
        <v/>
      </c>
      <c r="F33" s="433" t="str">
        <f t="shared" ca="1" si="32"/>
        <v/>
      </c>
      <c r="G33" s="433" t="str">
        <f t="shared" ca="1" si="32"/>
        <v/>
      </c>
      <c r="H33" s="433" t="str">
        <f t="shared" ca="1" si="32"/>
        <v/>
      </c>
      <c r="I33" s="433" t="str">
        <f t="shared" ca="1" si="32"/>
        <v/>
      </c>
      <c r="J33" s="433" t="str">
        <f t="shared" ca="1" si="32"/>
        <v/>
      </c>
      <c r="K33" s="433" t="str">
        <f t="shared" ca="1" si="32"/>
        <v/>
      </c>
      <c r="L33" s="433" t="str">
        <f t="shared" ca="1" si="32"/>
        <v/>
      </c>
      <c r="M33" s="433" t="str">
        <f t="shared" ca="1" si="32"/>
        <v/>
      </c>
      <c r="N33" s="433">
        <f t="shared" si="16"/>
        <v>1</v>
      </c>
      <c r="O33" s="577">
        <f>INDEX(GCalXMLT[gyear],$W33)</f>
        <v>532</v>
      </c>
      <c r="P33" s="577" t="str">
        <f>INDEX(GCalXMLT[gymasa],$W33)</f>
        <v>Narayana</v>
      </c>
      <c r="Q33" s="433" t="str">
        <f>INDEX(GCalXMLT[mpaksaname],W33) &amp; " Paksa"</f>
        <v>Krsna Paksa</v>
      </c>
      <c r="R33" s="577" t="str">
        <f t="shared" si="17"/>
        <v>Caturdasi Tithi</v>
      </c>
      <c r="S33" s="433" t="str">
        <f>INDEX(GCalXMLT[naksatraname],$W33)</f>
        <v>Mula</v>
      </c>
      <c r="T33" s="433" t="str">
        <f>INDEX(GCalXMLT[yoganame],$W33)</f>
        <v>Vriddhi</v>
      </c>
      <c r="U33" s="841">
        <f t="shared" si="23"/>
        <v>0</v>
      </c>
      <c r="V33" s="433">
        <f t="shared" si="24"/>
        <v>42</v>
      </c>
      <c r="W33" s="577">
        <f t="shared" si="25"/>
        <v>42</v>
      </c>
      <c r="X33" s="840">
        <f>INDEX(GCalXMLT[arunodayatime],W33)-U33</f>
        <v>0.14653935185185185</v>
      </c>
      <c r="Y33" s="840">
        <f t="shared" si="26"/>
        <v>0.2132060185185185</v>
      </c>
      <c r="Z33" s="840">
        <f>INDEX(GCalXMLT[noontime],$W33)-U33</f>
        <v>0.4752662037037037</v>
      </c>
      <c r="AA33" s="840">
        <f>INDEX(GCalXMLT[sunsettime],$W33)-U33</f>
        <v>0.73731481481481476</v>
      </c>
      <c r="AB33" s="578" t="str">
        <f t="shared" ca="1" si="18"/>
        <v/>
      </c>
      <c r="AC33" s="578" t="str">
        <f t="shared" ca="1" si="18"/>
        <v/>
      </c>
      <c r="AD33" s="433" t="str">
        <f ca="1">INDEX('GCal-Translations'!$C$226:$C$229,MATCH(INDEX('Moon Calendar'!$J$2:$J$65,MATCH($A33,'Moon Calendar'!$F$2:$F$65,1)),'GCal-Translations'!$B$226:$B$229,0))</f>
        <v>Ming</v>
      </c>
      <c r="AE33" s="578" t="str">
        <f>INDEX('Moon Calendar'!$K$2:$K$65,MATCH($A33,'Moon Calendar'!$F$2:$F$65,1))</f>
        <v>)</v>
      </c>
      <c r="AF33" s="615" t="str">
        <f ca="1">INDEX('Moon Calendar'!$L$2:$L$65,MATCH($A33,'Moon Calendar'!$F$2:$F$65,1))</f>
        <v></v>
      </c>
      <c r="AG33" s="433">
        <f t="shared" si="29"/>
        <v>4</v>
      </c>
      <c r="AH33" s="433">
        <f t="shared" si="27"/>
        <v>361</v>
      </c>
      <c r="AI33" s="433"/>
      <c r="AJ33" s="433">
        <f t="shared" ca="1" si="19"/>
        <v>0</v>
      </c>
      <c r="AK33" s="432" t="e">
        <f t="shared" ca="1" si="20"/>
        <v>#VALUE!</v>
      </c>
    </row>
    <row r="34" spans="1:37" x14ac:dyDescent="0.25">
      <c r="A34" s="576">
        <f t="shared" si="21"/>
        <v>43470</v>
      </c>
      <c r="B34" s="433" t="str">
        <f ca="1">'GCal-Translations'!C222</f>
        <v>Sábado</v>
      </c>
      <c r="C34" s="433" t="str">
        <f t="shared" ref="C34:M34" ca="1" si="33">IFERROR(INDEX($B8:$W8,MATCH(C$26,$B21:$W21,0)),"")</f>
        <v/>
      </c>
      <c r="D34" s="433" t="str">
        <f t="shared" ca="1" si="33"/>
        <v/>
      </c>
      <c r="E34" s="433" t="str">
        <f t="shared" ca="1" si="33"/>
        <v/>
      </c>
      <c r="F34" s="433" t="str">
        <f t="shared" ca="1" si="33"/>
        <v/>
      </c>
      <c r="G34" s="433" t="str">
        <f t="shared" ca="1" si="33"/>
        <v/>
      </c>
      <c r="H34" s="433" t="str">
        <f t="shared" ca="1" si="33"/>
        <v/>
      </c>
      <c r="I34" s="433" t="str">
        <f t="shared" ca="1" si="33"/>
        <v/>
      </c>
      <c r="J34" s="433" t="str">
        <f t="shared" ca="1" si="33"/>
        <v/>
      </c>
      <c r="K34" s="433" t="str">
        <f t="shared" ca="1" si="33"/>
        <v/>
      </c>
      <c r="L34" s="433" t="str">
        <f t="shared" ca="1" si="33"/>
        <v/>
      </c>
      <c r="M34" s="433" t="str">
        <f t="shared" ca="1" si="33"/>
        <v/>
      </c>
      <c r="N34" s="433">
        <f t="shared" si="16"/>
        <v>1</v>
      </c>
      <c r="O34" s="577">
        <f>INDEX(GCalXMLT[gyear],$W34)</f>
        <v>532</v>
      </c>
      <c r="P34" s="577" t="str">
        <f>INDEX(GCalXMLT[gymasa],$W34)</f>
        <v>Narayana</v>
      </c>
      <c r="Q34" s="433" t="str">
        <f>INDEX(GCalXMLT[mpaksaname],W34) &amp; " Paksa"</f>
        <v>Krsna Paksa</v>
      </c>
      <c r="R34" s="577" t="str">
        <f t="shared" si="17"/>
        <v>Amavasya Tithi</v>
      </c>
      <c r="S34" s="433" t="str">
        <f>INDEX(GCalXMLT[naksatraname],$W34)</f>
        <v>Mula</v>
      </c>
      <c r="T34" s="433" t="str">
        <f>INDEX(GCalXMLT[yoganame],$W34)</f>
        <v>Dhruva</v>
      </c>
      <c r="U34" s="841">
        <f t="shared" si="23"/>
        <v>0</v>
      </c>
      <c r="V34" s="433">
        <f t="shared" si="24"/>
        <v>43</v>
      </c>
      <c r="W34" s="577">
        <f t="shared" si="25"/>
        <v>43</v>
      </c>
      <c r="X34" s="840">
        <f>INDEX(GCalXMLT[arunodayatime],W34)-U34</f>
        <v>0.14690972222222223</v>
      </c>
      <c r="Y34" s="840">
        <f t="shared" si="26"/>
        <v>0.21357638888888889</v>
      </c>
      <c r="Z34" s="840">
        <f>INDEX(GCalXMLT[noontime],$W34)-U34</f>
        <v>0.47557870370370375</v>
      </c>
      <c r="AA34" s="840">
        <f>INDEX(GCalXMLT[sunsettime],$W34)-U34</f>
        <v>0.7375694444444445</v>
      </c>
      <c r="AB34" s="578" t="str">
        <f t="shared" ca="1" si="18"/>
        <v/>
      </c>
      <c r="AC34" s="578" t="str">
        <f t="shared" ca="1" si="18"/>
        <v/>
      </c>
      <c r="AD34" s="433" t="str">
        <f ca="1">INDEX('GCal-Translations'!$C$226:$C$229,MATCH(INDEX('Moon Calendar'!$J$2:$J$65,MATCH($A34,'Moon Calendar'!$F$2:$F$65,1)),'GCal-Translations'!$B$226:$B$229,0))</f>
        <v>Nova</v>
      </c>
      <c r="AE34" s="578" t="str">
        <f>INDEX('Moon Calendar'!$K$2:$K$65,MATCH($A34,'Moon Calendar'!$F$2:$F$65,1))</f>
        <v>: :</v>
      </c>
      <c r="AF34" s="615" t="str">
        <f ca="1">INDEX('Moon Calendar'!$L$2:$L$65,MATCH($A34,'Moon Calendar'!$F$2:$F$65,1))</f>
        <v></v>
      </c>
      <c r="AG34" s="433">
        <f t="shared" si="29"/>
        <v>5</v>
      </c>
      <c r="AH34" s="433">
        <f t="shared" si="27"/>
        <v>360</v>
      </c>
      <c r="AI34" s="433"/>
      <c r="AJ34" s="433">
        <f t="shared" ca="1" si="19"/>
        <v>0</v>
      </c>
      <c r="AK34" s="303" t="e">
        <f ca="1">Concat2(C34:M34,"|")</f>
        <v>#VALUE!</v>
      </c>
    </row>
    <row r="35" spans="1:37" x14ac:dyDescent="0.25">
      <c r="A35" s="576">
        <f t="shared" si="21"/>
        <v>43471</v>
      </c>
      <c r="B35" s="433" t="str">
        <f ca="1">'GCal-Translations'!C223</f>
        <v>Domingo</v>
      </c>
      <c r="C35" s="433" t="str">
        <f t="shared" ref="C35:M35" ca="1" si="34">IFERROR(INDEX($B9:$W9,MATCH(C$26,$B22:$W22,0)),"")</f>
        <v>Sri Locana Dasa Thakura - Aparecimento</v>
      </c>
      <c r="D35" s="433" t="str">
        <f t="shared" ca="1" si="34"/>
        <v/>
      </c>
      <c r="E35" s="433" t="str">
        <f t="shared" ca="1" si="34"/>
        <v/>
      </c>
      <c r="F35" s="433" t="str">
        <f t="shared" ca="1" si="34"/>
        <v/>
      </c>
      <c r="G35" s="433" t="str">
        <f t="shared" ca="1" si="34"/>
        <v/>
      </c>
      <c r="H35" s="433" t="str">
        <f t="shared" ca="1" si="34"/>
        <v/>
      </c>
      <c r="I35" s="433" t="str">
        <f t="shared" ca="1" si="34"/>
        <v/>
      </c>
      <c r="J35" s="433" t="str">
        <f t="shared" ca="1" si="34"/>
        <v/>
      </c>
      <c r="K35" s="433" t="str">
        <f t="shared" ca="1" si="34"/>
        <v/>
      </c>
      <c r="L35" s="433" t="str">
        <f t="shared" ca="1" si="34"/>
        <v/>
      </c>
      <c r="M35" s="433" t="str">
        <f t="shared" ca="1" si="34"/>
        <v/>
      </c>
      <c r="N35" s="433">
        <f t="shared" si="16"/>
        <v>1</v>
      </c>
      <c r="O35" s="577">
        <f>INDEX(GCalXMLT[gyear],$W35)</f>
        <v>532</v>
      </c>
      <c r="P35" s="577" t="str">
        <f>INDEX(GCalXMLT[gymasa],$W35)</f>
        <v>Narayana</v>
      </c>
      <c r="Q35" s="433" t="str">
        <f>INDEX(GCalXMLT[mpaksaname],W35) &amp; " Paksa"</f>
        <v>Gaura Paksa</v>
      </c>
      <c r="R35" s="577" t="str">
        <f t="shared" si="17"/>
        <v>Pratipat Tithi</v>
      </c>
      <c r="S35" s="433" t="str">
        <f>INDEX(GCalXMLT[naksatraname],$W35)</f>
        <v>Purva-asadha</v>
      </c>
      <c r="T35" s="433" t="str">
        <f>INDEX(GCalXMLT[yoganame],$W35)</f>
        <v>Vyagata</v>
      </c>
      <c r="U35" s="841">
        <f t="shared" si="23"/>
        <v>0</v>
      </c>
      <c r="V35" s="433">
        <f t="shared" si="24"/>
        <v>44</v>
      </c>
      <c r="W35" s="577">
        <f t="shared" si="25"/>
        <v>44</v>
      </c>
      <c r="X35" s="840">
        <f>INDEX(GCalXMLT[arunodayatime],W35)-U35</f>
        <v>0.14726851851851852</v>
      </c>
      <c r="Y35" s="840">
        <f t="shared" si="26"/>
        <v>0.21393518518518517</v>
      </c>
      <c r="Z35" s="840">
        <f>INDEX(GCalXMLT[noontime],$W35)-U35</f>
        <v>0.47587962962962965</v>
      </c>
      <c r="AA35" s="840">
        <f>INDEX(GCalXMLT[sunsettime],$W35)-U35</f>
        <v>0.73782407407407413</v>
      </c>
      <c r="AB35" s="578" t="str">
        <f t="shared" ca="1" si="18"/>
        <v>C</v>
      </c>
      <c r="AC35" s="578" t="str">
        <f t="shared" ca="1" si="18"/>
        <v/>
      </c>
      <c r="AD35" s="433" t="str">
        <f ca="1">INDEX('GCal-Translations'!$C$226:$C$229,MATCH(INDEX('Moon Calendar'!$J$2:$J$65,MATCH($A35,'Moon Calendar'!$F$2:$F$65,1)),'GCal-Translations'!$B$226:$B$229,0))</f>
        <v>Nova</v>
      </c>
      <c r="AE35" s="578" t="str">
        <f>INDEX('Moon Calendar'!$K$2:$K$65,MATCH($A35,'Moon Calendar'!$F$2:$F$65,1))</f>
        <v>: :</v>
      </c>
      <c r="AF35" s="615" t="str">
        <f ca="1">INDEX('Moon Calendar'!$L$2:$L$65,MATCH($A35,'Moon Calendar'!$F$2:$F$65,1))</f>
        <v></v>
      </c>
      <c r="AG35" s="433">
        <f t="shared" si="29"/>
        <v>6</v>
      </c>
      <c r="AH35" s="433">
        <f t="shared" si="27"/>
        <v>359</v>
      </c>
      <c r="AI35" s="433"/>
      <c r="AJ35" s="433">
        <f t="shared" ca="1" si="19"/>
        <v>1</v>
      </c>
      <c r="AK35" s="303" t="e">
        <f ca="1">Concat2(C35:M35,"|")</f>
        <v>#VALUE!</v>
      </c>
    </row>
    <row r="36" spans="1:37" x14ac:dyDescent="0.25">
      <c r="A36" s="265">
        <f t="shared" si="21"/>
        <v>43472</v>
      </c>
      <c r="B36" t="str">
        <f ca="1">'GCal-Translations'!C217</f>
        <v>Segunda</v>
      </c>
      <c r="C36" t="str">
        <f t="shared" ref="C36:M36" ca="1" si="35">IFERROR(INDEX($B10:$W10,MATCH(C$26,$B23:$W23,0)),"")</f>
        <v/>
      </c>
      <c r="D36" t="str">
        <f t="shared" ca="1" si="35"/>
        <v/>
      </c>
      <c r="E36" t="str">
        <f t="shared" ca="1" si="35"/>
        <v/>
      </c>
      <c r="F36" t="str">
        <f t="shared" ca="1" si="35"/>
        <v/>
      </c>
      <c r="G36" t="str">
        <f t="shared" ca="1" si="35"/>
        <v/>
      </c>
      <c r="H36" t="str">
        <f t="shared" ca="1" si="35"/>
        <v/>
      </c>
      <c r="I36" t="str">
        <f t="shared" ca="1" si="35"/>
        <v/>
      </c>
      <c r="J36" t="str">
        <f t="shared" ca="1" si="35"/>
        <v/>
      </c>
      <c r="K36" t="str">
        <f t="shared" ca="1" si="35"/>
        <v/>
      </c>
      <c r="L36" t="str">
        <f t="shared" ca="1" si="35"/>
        <v/>
      </c>
      <c r="M36" t="str">
        <f t="shared" ca="1" si="35"/>
        <v/>
      </c>
      <c r="N36">
        <f t="shared" si="16"/>
        <v>2</v>
      </c>
      <c r="O36" s="267">
        <f>INDEX(GCalXMLT[gyear],$W36)</f>
        <v>532</v>
      </c>
      <c r="P36" s="267" t="str">
        <f>INDEX(GCalXMLT[gymasa],$W36)</f>
        <v>Narayana</v>
      </c>
      <c r="Q36" t="str">
        <f>INDEX(GCalXMLT[mpaksaname],W36) &amp; " Paksa"</f>
        <v>Gaura Paksa</v>
      </c>
      <c r="R36" s="267" t="str">
        <f t="shared" si="17"/>
        <v>Dvitiya Tithi</v>
      </c>
      <c r="S36" t="str">
        <f>INDEX(GCalXMLT[naksatraname],$W36)</f>
        <v>Uttara-asadha</v>
      </c>
      <c r="T36" t="str">
        <f>INDEX(GCalXMLT[yoganame],$W36)</f>
        <v>Harsana</v>
      </c>
      <c r="U36" s="839">
        <f t="shared" si="23"/>
        <v>0</v>
      </c>
      <c r="V36">
        <f t="shared" si="24"/>
        <v>45</v>
      </c>
      <c r="W36" s="267">
        <f t="shared" si="25"/>
        <v>45</v>
      </c>
      <c r="X36" s="294">
        <f>INDEX(GCalXMLT[arunodayatime],W36)-U36</f>
        <v>0.1476388888888889</v>
      </c>
      <c r="Y36" s="294">
        <f t="shared" si="26"/>
        <v>0.21430555555555555</v>
      </c>
      <c r="Z36" s="294">
        <f>INDEX(GCalXMLT[noontime],$W36)-U36</f>
        <v>0.47618055555555555</v>
      </c>
      <c r="AA36" s="294">
        <f>INDEX(GCalXMLT[sunsettime],$W36)-U36</f>
        <v>0.73805555555555558</v>
      </c>
      <c r="AB36" s="443" t="str">
        <f t="shared" ca="1" si="18"/>
        <v/>
      </c>
      <c r="AC36" s="443" t="str">
        <f t="shared" ca="1" si="18"/>
        <v/>
      </c>
      <c r="AD36" t="str">
        <f ca="1">INDEX('GCal-Translations'!$C$226:$C$229,MATCH(INDEX('Moon Calendar'!$J$2:$J$65,MATCH($A36,'Moon Calendar'!$F$2:$F$65,1)),'GCal-Translations'!$B$226:$B$229,0))</f>
        <v>Nova</v>
      </c>
      <c r="AE36" s="443" t="str">
        <f>INDEX('Moon Calendar'!$K$2:$K$65,MATCH($A36,'Moon Calendar'!$F$2:$F$65,1))</f>
        <v>: :</v>
      </c>
      <c r="AF36" s="614" t="str">
        <f ca="1">INDEX('Moon Calendar'!$L$2:$L$65,MATCH($A36,'Moon Calendar'!$F$2:$F$65,1))</f>
        <v></v>
      </c>
      <c r="AG36">
        <f t="shared" si="29"/>
        <v>7</v>
      </c>
      <c r="AH36">
        <f t="shared" si="27"/>
        <v>358</v>
      </c>
      <c r="AJ36">
        <f t="shared" ca="1" si="19"/>
        <v>0</v>
      </c>
      <c r="AK36" s="432" t="e">
        <f ca="1">Concat2(C36:I36,"|")</f>
        <v>#VALUE!</v>
      </c>
    </row>
  </sheetData>
  <pageMargins left="0.511811024" right="0.511811024" top="0.78740157499999996" bottom="0.78740157499999996" header="0.31496062000000002" footer="0.3149606200000000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wksQuotes">
    <pageSetUpPr fitToPage="1"/>
  </sheetPr>
  <dimension ref="A1:Q61"/>
  <sheetViews>
    <sheetView workbookViewId="0">
      <pane ySplit="1" topLeftCell="A2" activePane="bottomLeft" state="frozen"/>
      <selection activeCell="D1" sqref="D1"/>
      <selection pane="bottomLeft"/>
    </sheetView>
  </sheetViews>
  <sheetFormatPr defaultColWidth="0" defaultRowHeight="12.75" customHeight="1" zeroHeight="1" x14ac:dyDescent="0.2"/>
  <cols>
    <col min="1" max="1" width="5.140625" style="637" customWidth="1"/>
    <col min="2" max="2" width="32.140625" style="630" bestFit="1" customWidth="1"/>
    <col min="3" max="3" width="32.85546875" style="630" bestFit="1" customWidth="1"/>
    <col min="4" max="4" width="34.7109375" style="630" customWidth="1"/>
    <col min="5" max="5" width="2.5703125" style="630" customWidth="1"/>
    <col min="6" max="8" width="34.7109375" style="630" customWidth="1"/>
    <col min="9" max="9" width="2.5703125" style="630" customWidth="1"/>
    <col min="10" max="17" width="0" style="630" hidden="1" customWidth="1"/>
    <col min="18" max="16384" width="9.140625" style="630" hidden="1"/>
  </cols>
  <sheetData>
    <row r="1" spans="1:8" ht="25.5" x14ac:dyDescent="0.2">
      <c r="A1" s="627" t="str">
        <f ca="1">'GPlan-Translations'!C325</f>
        <v>Cita-ções</v>
      </c>
      <c r="B1" s="627" t="s">
        <v>102</v>
      </c>
      <c r="C1" s="627" t="s">
        <v>7795</v>
      </c>
      <c r="D1" s="160" t="str">
        <f ca="1">'GPlan-Translations'!C332</f>
        <v>Linha 7</v>
      </c>
      <c r="E1" s="628">
        <f ca="1">Parameters!$C$2</f>
        <v>3</v>
      </c>
      <c r="F1" s="629" t="s">
        <v>202</v>
      </c>
      <c r="G1" s="629" t="s">
        <v>203</v>
      </c>
      <c r="H1" s="629" t="s">
        <v>123</v>
      </c>
    </row>
    <row r="2" spans="1:8" ht="76.5" x14ac:dyDescent="0.2">
      <c r="A2" s="631">
        <v>1</v>
      </c>
      <c r="B2" s="639" t="s">
        <v>7841</v>
      </c>
      <c r="C2" s="638" t="s">
        <v>7742</v>
      </c>
      <c r="D2" s="632" t="str">
        <f t="shared" ref="D2:D33" ca="1" si="0">OFFSET(E2,0,$E$1)</f>
        <v>Dhrtarastra disse: Ó Sanjaya, que fizeram os meus filhos e os filhos de Pandu, depois de se reunirem no lugar de peregrinação de Kuruksetra, estando desejosos de lutar? (Bg. 1.1)</v>
      </c>
      <c r="F2" s="633" t="s">
        <v>7637</v>
      </c>
      <c r="G2" s="633" t="s">
        <v>7638</v>
      </c>
      <c r="H2" s="633" t="s">
        <v>7638</v>
      </c>
    </row>
    <row r="3" spans="1:8" ht="102" x14ac:dyDescent="0.2">
      <c r="A3" s="160">
        <f>A2+1</f>
        <v>2</v>
      </c>
      <c r="B3" s="639" t="s">
        <v>7796</v>
      </c>
      <c r="C3" s="638" t="s">
        <v>7743</v>
      </c>
      <c r="D3" s="632" t="str">
        <f t="shared" ca="1" si="0"/>
        <v>Agora estou confuso sobre meu dever e perdi toda a compostura por causa da fraqueza. Nesta condição, peço que Você me diga claramente o que é melhor para mim. Agora sou seu discípulo, e uma alma rendida a Você. Por favor, instrua-me. (Bg. 2.7)</v>
      </c>
      <c r="F3" s="633" t="s">
        <v>7639</v>
      </c>
      <c r="G3" s="633" t="s">
        <v>7640</v>
      </c>
      <c r="H3" s="633" t="s">
        <v>7640</v>
      </c>
    </row>
    <row r="4" spans="1:8" ht="102" x14ac:dyDescent="0.2">
      <c r="A4" s="160">
        <f t="shared" ref="A4:A54" si="1">A3+1</f>
        <v>3</v>
      </c>
      <c r="B4" s="639" t="s">
        <v>7797</v>
      </c>
      <c r="C4" s="638" t="s">
        <v>7744</v>
      </c>
      <c r="D4" s="634" t="str">
        <f t="shared" ca="1" si="0"/>
        <v>Como a alma corporificada passa continuamente, neste corpo, da infância à juventude e à velhice, da mesma forma a alma passa a um outro corpo depois da morte. A alma auto-realizada não se confunde com tal mudança. (Bg. 2.13)</v>
      </c>
      <c r="F4" s="635" t="s">
        <v>7641</v>
      </c>
      <c r="G4" s="635" t="s">
        <v>7642</v>
      </c>
      <c r="H4" s="635" t="s">
        <v>7642</v>
      </c>
    </row>
    <row r="5" spans="1:8" ht="140.25" x14ac:dyDescent="0.2">
      <c r="A5" s="160">
        <f t="shared" si="1"/>
        <v>4</v>
      </c>
      <c r="B5" s="639" t="s">
        <v>7798</v>
      </c>
      <c r="C5" s="638" t="s">
        <v>7745</v>
      </c>
      <c r="D5" s="634" t="str">
        <f t="shared" ca="1" si="0"/>
        <v>Ó filho de Kunti, o aparecimento temporário de felicidade e sofrimento e seu desaparecimento no devido curso, são como o aparecimento e o desaparecimento das estações de inverno e verão. Surgem da percepção sensorial, ó descendente de Bharata, e é preciso aprender a tolerá-los sem se perturbar. (Bg. 2.14)</v>
      </c>
      <c r="F5" s="636" t="s">
        <v>7643</v>
      </c>
      <c r="G5" s="635" t="s">
        <v>7644</v>
      </c>
      <c r="H5" s="635" t="s">
        <v>7644</v>
      </c>
    </row>
    <row r="6" spans="1:8" ht="102" x14ac:dyDescent="0.2">
      <c r="A6" s="160">
        <f t="shared" si="1"/>
        <v>5</v>
      </c>
      <c r="B6" s="639" t="s">
        <v>7799</v>
      </c>
      <c r="C6" s="638" t="s">
        <v>7746</v>
      </c>
      <c r="D6" s="634" t="str">
        <f t="shared" ca="1" si="0"/>
        <v>Para a alma nunca há nascimento nem morte. Nem, uma vez que exista, ela vai deixar de existir. Ela é não nascida, eterna, sempre existente, imortal e primordial. Ela não morre quando o corpo morre. (Bg. 2.20)</v>
      </c>
      <c r="F6" s="635" t="s">
        <v>7645</v>
      </c>
      <c r="G6" s="635" t="s">
        <v>7646</v>
      </c>
      <c r="H6" s="635" t="s">
        <v>7646</v>
      </c>
    </row>
    <row r="7" spans="1:8" ht="102" x14ac:dyDescent="0.2">
      <c r="A7" s="160">
        <f t="shared" si="1"/>
        <v>6</v>
      </c>
      <c r="B7" s="639" t="s">
        <v>7800</v>
      </c>
      <c r="C7" s="638" t="s">
        <v>7747</v>
      </c>
      <c r="D7" s="634" t="str">
        <f t="shared" ca="1" si="0"/>
        <v>Os devotos do Senhor se liberam de toda classe de pecados porque comem alimentos que são primeiro oferecidos em sacrifício. Os demais, que preparam os alimentos para o gozo pessoal dos sentidos, em verdade só comem pecado. (Bg. 3.13)</v>
      </c>
      <c r="F7" s="635" t="s">
        <v>7647</v>
      </c>
      <c r="G7" s="635" t="s">
        <v>7648</v>
      </c>
      <c r="H7" s="635" t="s">
        <v>7648</v>
      </c>
    </row>
    <row r="8" spans="1:8" ht="76.5" x14ac:dyDescent="0.2">
      <c r="A8" s="160">
        <f t="shared" si="1"/>
        <v>7</v>
      </c>
      <c r="B8" s="639" t="s">
        <v>7801</v>
      </c>
      <c r="C8" s="638" t="s">
        <v>7748</v>
      </c>
      <c r="D8" s="634" t="str">
        <f t="shared" ca="1" si="0"/>
        <v>A alma espiritual confundida, sob a influência dos três modos da natureza material, acha que é o executor das atividades que na realidade são levadas a cabo pela natureza. (Bg. 3.27)</v>
      </c>
      <c r="F8" s="635" t="s">
        <v>7649</v>
      </c>
      <c r="G8" s="635" t="s">
        <v>7650</v>
      </c>
      <c r="H8" s="635" t="s">
        <v>7650</v>
      </c>
    </row>
    <row r="9" spans="1:8" ht="127.5" x14ac:dyDescent="0.2">
      <c r="A9" s="160">
        <f t="shared" si="1"/>
        <v>8</v>
      </c>
      <c r="B9" s="639" t="s">
        <v>7802</v>
      </c>
      <c r="C9" s="638" t="s">
        <v>7749</v>
      </c>
      <c r="D9" s="634" t="str">
        <f t="shared" ca="1" si="0"/>
        <v>Assim, sabendo-se transcendental aos sentidos, à mente e à inteligência materiais, a pessoa deve controlar o eu inferior por meio do eu superior e assim - através da força espiritual - conquistar este inimigo insaciável chamado luxúria. (Bg. 3.43)</v>
      </c>
      <c r="F9" s="636" t="s">
        <v>7651</v>
      </c>
      <c r="G9" s="635" t="s">
        <v>7652</v>
      </c>
      <c r="H9" s="635" t="s">
        <v>7652</v>
      </c>
    </row>
    <row r="10" spans="1:8" ht="102" x14ac:dyDescent="0.2">
      <c r="A10" s="160">
        <f t="shared" si="1"/>
        <v>9</v>
      </c>
      <c r="B10" s="639" t="s">
        <v>7803</v>
      </c>
      <c r="C10" s="638" t="s">
        <v>7750</v>
      </c>
      <c r="D10" s="634" t="str">
        <f t="shared" ca="1" si="0"/>
        <v>Esta ciência suprema foi assim recebida através da corrente de sucessão discipular, e os reis santos compreenderam-na desta maneira. Mas com o passar do tempo a sucessão se rompeu e por isso a ciência como ela é parece estar perdida. (Bg. 4.2)</v>
      </c>
      <c r="F10" s="635" t="s">
        <v>7653</v>
      </c>
      <c r="G10" s="635" t="s">
        <v>7654</v>
      </c>
      <c r="H10" s="635" t="s">
        <v>7654</v>
      </c>
    </row>
    <row r="11" spans="1:8" ht="89.25" x14ac:dyDescent="0.2">
      <c r="A11" s="160">
        <f t="shared" si="1"/>
        <v>10</v>
      </c>
      <c r="B11" s="639" t="s">
        <v>7804</v>
      </c>
      <c r="C11" s="638" t="s">
        <v>7751</v>
      </c>
      <c r="D11" s="634" t="str">
        <f t="shared" ca="1" si="0"/>
        <v>Embora Eu não tenha nascimento e Meu corpo transcendental nunca se deteriore, e embora Eu seja o Senhor de todos os seres vivos, ainda assim Eu apareço em todo milênio em Minha forma transcendental original. (Bg. 4.6)</v>
      </c>
      <c r="F11" s="635" t="s">
        <v>7655</v>
      </c>
      <c r="G11" s="635" t="s">
        <v>7656</v>
      </c>
      <c r="H11" s="635" t="s">
        <v>7656</v>
      </c>
    </row>
    <row r="12" spans="1:8" ht="89.25" x14ac:dyDescent="0.2">
      <c r="A12" s="160">
        <f t="shared" si="1"/>
        <v>11</v>
      </c>
      <c r="B12" s="639" t="s">
        <v>7805</v>
      </c>
      <c r="C12" s="638" t="s">
        <v>7752</v>
      </c>
      <c r="D12" s="634" t="str">
        <f t="shared" ca="1" si="0"/>
        <v>Ó Arjuna, aquele que conhece a natureza transcendental de Meu aparecimento e atividades, ao deixar o corpo, não nasce outra vez neste mundo material, mas alcança Minha morada eterna. (Bg. 4.9)</v>
      </c>
      <c r="F12" s="635" t="s">
        <v>7657</v>
      </c>
      <c r="G12" s="635" t="s">
        <v>7658</v>
      </c>
      <c r="H12" s="635" t="s">
        <v>7658</v>
      </c>
    </row>
    <row r="13" spans="1:8" ht="102" x14ac:dyDescent="0.2">
      <c r="A13" s="160">
        <f t="shared" si="1"/>
        <v>12</v>
      </c>
      <c r="B13" s="639" t="s">
        <v>7806</v>
      </c>
      <c r="C13" s="638" t="s">
        <v>7753</v>
      </c>
      <c r="D13" s="634" t="str">
        <f t="shared" ca="1" si="0"/>
        <v>Tente aprender a verdade simplesmente aproximando-se de um mestre espiritual. Indague dele submissamente e renda-lhe serviço. A alma auto-realizada pode lhe dar conhecimento porque viu a verdade. (Bg. 4.34)</v>
      </c>
      <c r="F13" s="635" t="s">
        <v>7659</v>
      </c>
      <c r="G13" s="635" t="s">
        <v>7660</v>
      </c>
      <c r="H13" s="635" t="s">
        <v>7660</v>
      </c>
    </row>
    <row r="14" spans="1:8" ht="127.5" x14ac:dyDescent="0.2">
      <c r="A14" s="160">
        <f t="shared" si="1"/>
        <v>13</v>
      </c>
      <c r="B14" s="639" t="s">
        <v>7807</v>
      </c>
      <c r="C14" s="638" t="s">
        <v>7754</v>
      </c>
      <c r="D14" s="634" t="str">
        <f t="shared" ca="1" si="0"/>
        <v>Os sábios, conhecendo-Me como o beneficiário último de todos os sacrifícios e austeridades, o Senhor Supremo de todos os planetas e semideuses e o benfeitor e benquerente de todas as entidades vivas, alcançam a paz das dores das misérias materiais. (Bg. 5.29)</v>
      </c>
      <c r="F14" s="636" t="s">
        <v>7661</v>
      </c>
      <c r="G14" s="635" t="s">
        <v>7662</v>
      </c>
      <c r="H14" s="635" t="s">
        <v>7662</v>
      </c>
    </row>
    <row r="15" spans="1:8" ht="102" x14ac:dyDescent="0.2">
      <c r="A15" s="160">
        <f t="shared" si="1"/>
        <v>14</v>
      </c>
      <c r="B15" s="639" t="s">
        <v>7808</v>
      </c>
      <c r="C15" s="638" t="s">
        <v>7755</v>
      </c>
      <c r="D15" s="634" t="str">
        <f t="shared" ca="1" si="0"/>
        <v>E de todos os yogis, aquele que sempre se refugia em Mim com grande fé, adorando-Me com serviço transcendental amoroso, é o que está mais intimamente unido coMigo em yoga e é o mais elevado de todos. (Bg. 6.47)</v>
      </c>
      <c r="F15" s="635" t="s">
        <v>7663</v>
      </c>
      <c r="G15" s="635" t="s">
        <v>7664</v>
      </c>
      <c r="H15" s="635" t="s">
        <v>7664</v>
      </c>
    </row>
    <row r="16" spans="1:8" ht="76.5" x14ac:dyDescent="0.2">
      <c r="A16" s="160">
        <f t="shared" si="1"/>
        <v>15</v>
      </c>
      <c r="B16" s="639" t="s">
        <v>7809</v>
      </c>
      <c r="C16" s="638" t="s">
        <v>7756</v>
      </c>
      <c r="D16" s="634" t="str">
        <f t="shared" ca="1" si="0"/>
        <v>Dentre muitos milhares de homens, talvez um se esforce pela perfeição, e daqueles que alcançaram a perfeição, dificilmente um Me conhece de verdade. (Bg. 7.3)</v>
      </c>
      <c r="F16" s="635" t="s">
        <v>7665</v>
      </c>
      <c r="G16" s="635" t="s">
        <v>7666</v>
      </c>
      <c r="H16" s="635" t="s">
        <v>7666</v>
      </c>
    </row>
    <row r="17" spans="1:8" ht="76.5" x14ac:dyDescent="0.2">
      <c r="A17" s="160">
        <f t="shared" si="1"/>
        <v>16</v>
      </c>
      <c r="B17" s="639" t="s">
        <v>7810</v>
      </c>
      <c r="C17" s="638" t="s">
        <v>7757</v>
      </c>
      <c r="D17" s="634" t="str">
        <f t="shared" ca="1" si="0"/>
        <v>Esta Minha energia divina, que consiste nos três modos da natureza material, é difícil de superar. Mas aqueles que se renderam a Mim podem facilmente atravessá-la. (Bg. 7.14)</v>
      </c>
      <c r="F17" s="635" t="s">
        <v>7667</v>
      </c>
      <c r="G17" s="635" t="s">
        <v>7668</v>
      </c>
      <c r="H17" s="635" t="s">
        <v>7668</v>
      </c>
    </row>
    <row r="18" spans="1:8" ht="76.5" x14ac:dyDescent="0.2">
      <c r="A18" s="160">
        <f t="shared" si="1"/>
        <v>17</v>
      </c>
      <c r="B18" s="639" t="s">
        <v>7811</v>
      </c>
      <c r="C18" s="638" t="s">
        <v>7758</v>
      </c>
      <c r="D18" s="634" t="str">
        <f t="shared" ca="1" si="0"/>
        <v>E quem quer que, no momento da morte, abandona seu corpo, lembrando-se unicamente de Mim, alcança Minha natureza de imediato. Quanto a isto não há dúvida. (Bg. 8.5)</v>
      </c>
      <c r="F18" s="635" t="s">
        <v>7669</v>
      </c>
      <c r="G18" s="635" t="s">
        <v>7670</v>
      </c>
      <c r="H18" s="635" t="s">
        <v>7670</v>
      </c>
    </row>
    <row r="19" spans="1:8" ht="114.75" x14ac:dyDescent="0.2">
      <c r="A19" s="160">
        <f t="shared" si="1"/>
        <v>18</v>
      </c>
      <c r="B19" s="639" t="s">
        <v>7812</v>
      </c>
      <c r="C19" s="638" t="s">
        <v>7759</v>
      </c>
      <c r="D19" s="634" t="str">
        <f t="shared" ca="1" si="0"/>
        <v>Este conhecimento é o rei da educação, o mais secreto de todos os segredos. É o conhecimento mais puro, e por dar direta percepção do eu através da realização, é a perfeição da religião. Ele é eterno e se executa alegremente. (Bg. 9.2)</v>
      </c>
      <c r="F19" s="635" t="s">
        <v>7671</v>
      </c>
      <c r="G19" s="635" t="s">
        <v>7672</v>
      </c>
      <c r="H19" s="635" t="s">
        <v>7672</v>
      </c>
    </row>
    <row r="20" spans="1:8" ht="76.5" x14ac:dyDescent="0.2">
      <c r="A20" s="160">
        <f t="shared" si="1"/>
        <v>19</v>
      </c>
      <c r="B20" s="639" t="s">
        <v>7813</v>
      </c>
      <c r="C20" s="638" t="s">
        <v>7760</v>
      </c>
      <c r="D20" s="634" t="str">
        <f t="shared" ca="1" si="0"/>
        <v>Aqueles que não têm fé no caminho do serviço devocional não podem Me alcançar, ó conquistador dos inimigos, mas voltam ao nascimento e à morte neste mundo material (Bg. 9.3)</v>
      </c>
      <c r="F20" s="635" t="s">
        <v>7673</v>
      </c>
      <c r="G20" s="635" t="s">
        <v>7674</v>
      </c>
      <c r="H20" s="635" t="s">
        <v>7674</v>
      </c>
    </row>
    <row r="21" spans="1:8" ht="76.5" x14ac:dyDescent="0.2">
      <c r="A21" s="160">
        <f t="shared" si="1"/>
        <v>20</v>
      </c>
      <c r="B21" s="639" t="s">
        <v>7814</v>
      </c>
      <c r="C21" s="638" t="s">
        <v>7761</v>
      </c>
      <c r="D21" s="634" t="str">
        <f t="shared" ca="1" si="0"/>
        <v>Sempre cantando Minhas glórias, esforçando-se com grande determinação, prostrando-se diante de Mim, estas grandes almas Me adoram perpétuamente com devoção. (Bg. 9.14)</v>
      </c>
      <c r="F21" s="635" t="s">
        <v>7675</v>
      </c>
      <c r="G21" s="635" t="s">
        <v>7676</v>
      </c>
      <c r="H21" s="635" t="s">
        <v>7676</v>
      </c>
    </row>
    <row r="22" spans="1:8" ht="51" x14ac:dyDescent="0.2">
      <c r="A22" s="160">
        <f t="shared" si="1"/>
        <v>21</v>
      </c>
      <c r="B22" s="639" t="s">
        <v>7815</v>
      </c>
      <c r="C22" s="638" t="s">
        <v>7762</v>
      </c>
      <c r="D22" s="634" t="str">
        <f t="shared" ca="1" si="0"/>
        <v>Se uma pessoa Me oferecer com amor e devoção uma folha, uma flor, frutas ou água, Eu aceitarei. (Bg. 9.26)</v>
      </c>
      <c r="F22" s="635" t="s">
        <v>7677</v>
      </c>
      <c r="G22" s="635" t="s">
        <v>7678</v>
      </c>
      <c r="H22" s="635" t="s">
        <v>7678</v>
      </c>
    </row>
    <row r="23" spans="1:8" ht="89.25" x14ac:dyDescent="0.2">
      <c r="A23" s="160">
        <f t="shared" si="1"/>
        <v>22</v>
      </c>
      <c r="B23" s="639" t="s">
        <v>7816</v>
      </c>
      <c r="C23" s="638" t="s">
        <v>7763</v>
      </c>
      <c r="D23" s="634" t="str">
        <f t="shared" ca="1" si="0"/>
        <v>Ó filho de Kunti, tudo que você fizer, tudo que você comer, tudo que você oferecer e presentear, bem como todas as austeridades que você executar, tudo deve ser feito como um oferecimento a Mim. (Bg. 9.27)</v>
      </c>
      <c r="F23" s="635" t="s">
        <v>7679</v>
      </c>
      <c r="G23" s="635" t="s">
        <v>7680</v>
      </c>
      <c r="H23" s="635" t="s">
        <v>7680</v>
      </c>
    </row>
    <row r="24" spans="1:8" ht="89.25" x14ac:dyDescent="0.2">
      <c r="A24" s="160">
        <f t="shared" si="1"/>
        <v>23</v>
      </c>
      <c r="B24" s="639" t="s">
        <v>7817</v>
      </c>
      <c r="C24" s="638" t="s">
        <v>7764</v>
      </c>
      <c r="D24" s="634" t="str">
        <f t="shared" ca="1" si="0"/>
        <v>Eu sou a fonte de todos os mundos espirituais e materiais. Tudo emana de Mim. Os sábios que sabem disso perfeitamente ocupam-se em Meu serviço devocional e Me adoram com todo seu coração. (Bg. 10.8)</v>
      </c>
      <c r="F24" s="635" t="s">
        <v>7681</v>
      </c>
      <c r="G24" s="635" t="s">
        <v>7682</v>
      </c>
      <c r="H24" s="635" t="s">
        <v>7682</v>
      </c>
    </row>
    <row r="25" spans="1:8" ht="89.25" x14ac:dyDescent="0.2">
      <c r="A25" s="160">
        <f t="shared" si="1"/>
        <v>24</v>
      </c>
      <c r="B25" s="639" t="s">
        <v>7818</v>
      </c>
      <c r="C25" s="638" t="s">
        <v>7765</v>
      </c>
      <c r="D25" s="634" t="str">
        <f t="shared" ca="1" si="0"/>
        <v>Os pensamentos de Meus devotos puros vivem em Mim, suas vidas estão rendidas a Mim, e eles sentem grande satisfação e bem-aventurança iluminando-se uns aos outros e conversando sobre Mim. (Bg. 10.9)</v>
      </c>
      <c r="F25" s="635" t="s">
        <v>7683</v>
      </c>
      <c r="G25" s="635" t="s">
        <v>7684</v>
      </c>
      <c r="H25" s="635" t="s">
        <v>7684</v>
      </c>
    </row>
    <row r="26" spans="1:8" ht="63.75" x14ac:dyDescent="0.2">
      <c r="A26" s="160">
        <f t="shared" si="1"/>
        <v>25</v>
      </c>
      <c r="B26" s="639" t="s">
        <v>7819</v>
      </c>
      <c r="C26" s="638" t="s">
        <v>7766</v>
      </c>
      <c r="D26" s="634" t="str">
        <f t="shared" ca="1" si="0"/>
        <v>Para aqueles que estão constantemente devotados e Me adoram com amor extático, Eu dou a compreensão com a qual eles podem vir a Mim. (Bg. 10.10)</v>
      </c>
      <c r="F26" s="635" t="s">
        <v>7685</v>
      </c>
      <c r="G26" s="635" t="s">
        <v>7686</v>
      </c>
      <c r="H26" s="635" t="s">
        <v>7686</v>
      </c>
    </row>
    <row r="27" spans="1:8" ht="63.75" x14ac:dyDescent="0.2">
      <c r="A27" s="160">
        <f t="shared" si="1"/>
        <v>26</v>
      </c>
      <c r="B27" s="639" t="s">
        <v>7820</v>
      </c>
      <c r="C27" s="638" t="s">
        <v>7767</v>
      </c>
      <c r="D27" s="634" t="str">
        <f t="shared" ca="1" si="0"/>
        <v>Por compaixão por eles, Eu, morando em seus corações, destruo com a luz brilhante do conhecimento a escuridão nascida da ignorância. (Bg. 10.11)</v>
      </c>
      <c r="F27" s="635" t="s">
        <v>7687</v>
      </c>
      <c r="G27" s="635" t="s">
        <v>7688</v>
      </c>
      <c r="H27" s="635" t="s">
        <v>7688</v>
      </c>
    </row>
    <row r="28" spans="1:8" ht="63.75" x14ac:dyDescent="0.2">
      <c r="A28" s="160">
        <f t="shared" si="1"/>
        <v>27</v>
      </c>
      <c r="B28" s="639" t="s">
        <v>7821</v>
      </c>
      <c r="C28" s="638" t="s">
        <v>7768</v>
      </c>
      <c r="D28" s="634" t="str">
        <f t="shared" ca="1" si="0"/>
        <v>Saiba que todas as criações belas, gloriosas e poderosas brotam tão somente de uma centelha de Meu esplendor. (Bg. 10.41)</v>
      </c>
      <c r="F28" s="635" t="s">
        <v>7689</v>
      </c>
      <c r="G28" s="635" t="s">
        <v>7690</v>
      </c>
      <c r="H28" s="635" t="s">
        <v>7690</v>
      </c>
    </row>
    <row r="29" spans="1:8" ht="127.5" x14ac:dyDescent="0.2">
      <c r="A29" s="160">
        <f t="shared" si="1"/>
        <v>28</v>
      </c>
      <c r="B29" s="639" t="s">
        <v>7822</v>
      </c>
      <c r="C29" s="638" t="s">
        <v>7769</v>
      </c>
      <c r="D29" s="634" t="str">
        <f t="shared" ca="1" si="0"/>
        <v>Meu querido Arjuna, a pessoa que se ocupa em Meu serviço devocional puro, livre das contaminações de atividades anteriores e da especulação mental, que é amigável para toda entidade viva, certamente vem a Mim. (Bg. 11.55)</v>
      </c>
      <c r="F29" s="636" t="s">
        <v>7691</v>
      </c>
      <c r="G29" s="635" t="s">
        <v>7692</v>
      </c>
      <c r="H29" s="635" t="s">
        <v>7692</v>
      </c>
    </row>
    <row r="30" spans="1:8" ht="127.5" x14ac:dyDescent="0.2">
      <c r="A30" s="160">
        <f t="shared" si="1"/>
        <v>29</v>
      </c>
      <c r="B30" s="639" t="s">
        <v>7842</v>
      </c>
      <c r="C30" s="638" t="s">
        <v>7770</v>
      </c>
      <c r="D30" s="634" t="str">
        <f t="shared" ca="1" si="0"/>
        <v>Dessa forma, a entidade viva dentro da natureza material segue os caminhos da vida, desfrutando dos três modos da natureza. Isto se deve à sua associação com esta natureza material. Assim, a entidade viva se encontra com o bem e com o mal entre as diversas espécies. (Bg. 13.22)</v>
      </c>
      <c r="F30" s="635" t="s">
        <v>7693</v>
      </c>
      <c r="G30" s="635" t="s">
        <v>7694</v>
      </c>
      <c r="H30" s="635" t="s">
        <v>7694</v>
      </c>
    </row>
    <row r="31" spans="1:8" ht="76.5" x14ac:dyDescent="0.2">
      <c r="A31" s="160">
        <f t="shared" si="1"/>
        <v>30</v>
      </c>
      <c r="B31" s="639" t="s">
        <v>7823</v>
      </c>
      <c r="C31" s="638" t="s">
        <v>7771</v>
      </c>
      <c r="D31" s="634" t="str">
        <f t="shared" ca="1" si="0"/>
        <v>Ó filho de Kunti, deve-se compreender que todas as espécies de vida aparecem devido a seu nascimento nesta natureza material, e que Eu sou o pai que dá a semente. (Bg. 14.4)</v>
      </c>
      <c r="F31" s="635" t="s">
        <v>7695</v>
      </c>
      <c r="G31" s="635" t="s">
        <v>7696</v>
      </c>
      <c r="H31" s="635" t="s">
        <v>7696</v>
      </c>
    </row>
    <row r="32" spans="1:8" ht="102" x14ac:dyDescent="0.2">
      <c r="A32" s="160">
        <f t="shared" si="1"/>
        <v>31</v>
      </c>
      <c r="B32" s="639" t="s">
        <v>7824</v>
      </c>
      <c r="C32" s="638" t="s">
        <v>7772</v>
      </c>
      <c r="D32" s="634" t="str">
        <f t="shared" ca="1" si="0"/>
        <v>Aquele que se ocupa completamente em serviço devovional, que não cai em nenhuma circunstância, transcende imediatamente os modos da natureza material e desse modo chega ao nível de Brahman. (Bg. 14.26)</v>
      </c>
      <c r="F32" s="635" t="s">
        <v>7697</v>
      </c>
      <c r="G32" s="635" t="s">
        <v>7698</v>
      </c>
      <c r="H32" s="635" t="s">
        <v>7698</v>
      </c>
    </row>
    <row r="33" spans="1:8" ht="114.75" x14ac:dyDescent="0.2">
      <c r="A33" s="160">
        <f t="shared" si="1"/>
        <v>32</v>
      </c>
      <c r="B33" s="639" t="s">
        <v>7825</v>
      </c>
      <c r="C33" s="638" t="s">
        <v>7773</v>
      </c>
      <c r="D33" s="634" t="str">
        <f t="shared" ca="1" si="0"/>
        <v>O Bem-aventurado Senhor disse: Existe uma figueira-de-bengala que tem suas raízes para cima e seus galhos para baixo e cujas folhas são os hinos védicos. A pessoa que conhece esta árvore é o conhecedor dos Vedas. (Bg. 15.1)</v>
      </c>
      <c r="F33" s="635" t="s">
        <v>7699</v>
      </c>
      <c r="G33" s="635" t="s">
        <v>7700</v>
      </c>
      <c r="H33" s="635" t="s">
        <v>7700</v>
      </c>
    </row>
    <row r="34" spans="1:8" ht="114.75" x14ac:dyDescent="0.2">
      <c r="A34" s="160">
        <f t="shared" si="1"/>
        <v>33</v>
      </c>
      <c r="B34" s="639" t="s">
        <v>7826</v>
      </c>
      <c r="C34" s="638" t="s">
        <v>7774</v>
      </c>
      <c r="D34" s="634" t="str">
        <f t="shared" ref="D34:D54" ca="1" si="2">OFFSET(E34,0,$E$1)</f>
        <v>Eu estou situado no coração de todo mundo, e de Mim vêm a memória, o conhecimento e o esquecimento. Através de todos os Vedas, Eu sou o que há de ser conhecido; na verdade, Eu sou o compilador do Vedanta, e Eu sou o conhecedor dos Vedas como eles são. (Bg. 15.15)</v>
      </c>
      <c r="F34" s="635" t="s">
        <v>7701</v>
      </c>
      <c r="G34" s="635" t="s">
        <v>7702</v>
      </c>
      <c r="H34" s="635" t="s">
        <v>7702</v>
      </c>
    </row>
    <row r="35" spans="1:8" ht="76.5" x14ac:dyDescent="0.2">
      <c r="A35" s="160">
        <f t="shared" si="1"/>
        <v>34</v>
      </c>
      <c r="B35" s="639" t="s">
        <v>7827</v>
      </c>
      <c r="C35" s="638" t="s">
        <v>7775</v>
      </c>
      <c r="D35" s="634" t="str">
        <f t="shared" ca="1" si="2"/>
        <v>Mas aquele que põe de lado as injunções das escrituras e age de acordo com seus próprios caprichos não alcança nem a perfeição, nem a felicidade nem o destino supremo. (Bg. 16.23)</v>
      </c>
      <c r="F35" s="635" t="s">
        <v>7703</v>
      </c>
      <c r="G35" s="635" t="s">
        <v>7704</v>
      </c>
      <c r="H35" s="635" t="s">
        <v>7704</v>
      </c>
    </row>
    <row r="36" spans="1:8" ht="114.75" x14ac:dyDescent="0.2">
      <c r="A36" s="160">
        <f t="shared" si="1"/>
        <v>35</v>
      </c>
      <c r="B36" s="639" t="s">
        <v>7843</v>
      </c>
      <c r="C36" s="638" t="s">
        <v>7776</v>
      </c>
      <c r="D36" s="634" t="str">
        <f t="shared" ca="1" si="2"/>
        <v>A pessoa que está assim situada transcendentalmente realiza de imediato o Brahmam Supremo. Ela nunca se lamenta nem deseja ter nada; ela está igualmente disposta com toda entidade viva. Neste estado ela alcança o serviço devocional puro a mim. (Bg. 18.54)</v>
      </c>
      <c r="F36" s="636" t="s">
        <v>7705</v>
      </c>
      <c r="G36" s="635" t="s">
        <v>7706</v>
      </c>
      <c r="H36" s="635" t="s">
        <v>7706</v>
      </c>
    </row>
    <row r="37" spans="1:8" ht="102" x14ac:dyDescent="0.2">
      <c r="A37" s="160">
        <f t="shared" si="1"/>
        <v>36</v>
      </c>
      <c r="B37" s="639" t="s">
        <v>7828</v>
      </c>
      <c r="C37" s="638" t="s">
        <v>7777</v>
      </c>
      <c r="D37" s="634" t="str">
        <f t="shared" ca="1" si="2"/>
        <v>Pode-se compreender a Suprema Personalidade como Ele é unicamente através do serviço devocional. E quando a pessoa tem plena consciência do Senhor Supremo através de tal devoção, ela pode entrar no reino de Deus. (Bg. 18.55)</v>
      </c>
      <c r="F37" s="635" t="s">
        <v>7707</v>
      </c>
      <c r="G37" s="635" t="s">
        <v>7708</v>
      </c>
      <c r="H37" s="635" t="s">
        <v>7708</v>
      </c>
    </row>
    <row r="38" spans="1:8" ht="76.5" x14ac:dyDescent="0.2">
      <c r="A38" s="160">
        <f t="shared" si="1"/>
        <v>37</v>
      </c>
      <c r="B38" s="639" t="s">
        <v>7829</v>
      </c>
      <c r="C38" s="638" t="s">
        <v>7778</v>
      </c>
      <c r="D38" s="634" t="str">
        <f t="shared" ca="1" si="2"/>
        <v>Em todas as atividades dependa simplesmente de Mim e trabalhe sempre sob Minha proteção. Em tal serviço devocional, seja plenamente consciente de Mim. (Bg. 18.57)</v>
      </c>
      <c r="F38" s="635" t="s">
        <v>7709</v>
      </c>
      <c r="G38" s="635" t="s">
        <v>7710</v>
      </c>
      <c r="H38" s="635" t="s">
        <v>7710</v>
      </c>
    </row>
    <row r="39" spans="1:8" ht="89.25" x14ac:dyDescent="0.2">
      <c r="A39" s="160">
        <f t="shared" si="1"/>
        <v>38</v>
      </c>
      <c r="B39" s="639" t="s">
        <v>7830</v>
      </c>
      <c r="C39" s="638" t="s">
        <v>7779</v>
      </c>
      <c r="D39" s="634" t="str">
        <f t="shared" ca="1" si="2"/>
        <v>Ó Arjuna, o Senhor Supremo está situado no coração de todo mundo, e dirige as divagações de todas as entidades vivas, que estão sentadas como numa máquina, feita de energia material. (Bg. 18.61)</v>
      </c>
      <c r="F39" s="635" t="s">
        <v>7711</v>
      </c>
      <c r="G39" s="635" t="s">
        <v>7712</v>
      </c>
      <c r="H39" s="635" t="s">
        <v>7712</v>
      </c>
    </row>
    <row r="40" spans="1:8" ht="89.25" x14ac:dyDescent="0.2">
      <c r="A40" s="160">
        <f t="shared" si="1"/>
        <v>39</v>
      </c>
      <c r="B40" s="639" t="s">
        <v>7831</v>
      </c>
      <c r="C40" s="638" t="s">
        <v>7780</v>
      </c>
      <c r="D40" s="634" t="str">
        <f t="shared" ca="1" si="2"/>
        <v>Pense sempre em Mim e converta-se em Meu devoto. Adore-Me e ofereça suas homenagens a Mim. Desse modo você virá a Mim sem falta. Eu lhe prometo isto porque você é Meu muito querido amigo. (Bg. 18.65)</v>
      </c>
      <c r="F40" s="635" t="s">
        <v>7713</v>
      </c>
      <c r="G40" s="635" t="s">
        <v>7714</v>
      </c>
      <c r="H40" s="635" t="s">
        <v>7714</v>
      </c>
    </row>
    <row r="41" spans="1:8" ht="63.75" x14ac:dyDescent="0.2">
      <c r="A41" s="160">
        <f t="shared" si="1"/>
        <v>40</v>
      </c>
      <c r="B41" s="639" t="s">
        <v>7832</v>
      </c>
      <c r="C41" s="638" t="s">
        <v>7781</v>
      </c>
      <c r="D41" s="634" t="str">
        <f t="shared" ca="1" si="2"/>
        <v>Abandone todas as variedades de religião e simplesmente se renda a Mim. Eu libertarei você de todas as reações pecaminosas. Não tema. (Bg. 18.66)</v>
      </c>
      <c r="F41" s="635" t="s">
        <v>7715</v>
      </c>
      <c r="G41" s="635" t="s">
        <v>7716</v>
      </c>
      <c r="H41" s="635" t="s">
        <v>7716</v>
      </c>
    </row>
    <row r="42" spans="1:8" ht="153" x14ac:dyDescent="0.2">
      <c r="A42" s="160">
        <f t="shared" si="1"/>
        <v>41</v>
      </c>
      <c r="B42" s="639" t="s">
        <v>7833</v>
      </c>
      <c r="C42" s="638" t="s">
        <v>7782</v>
      </c>
      <c r="D42" s="634" t="str">
        <f t="shared" ca="1" si="2"/>
        <v>As encarnações de Deus aqui apresentadas são expansões plenárias ou partes das expansões plenárias da Divindade Suprema, mas Krishna é a própria Suprema Personalidade de Deus original. Elas aparecem nos planetas em diferentes eras, sempre que há um distúrbio criado pelos ateístas. O Senhor encarna para proteger os teístas. (SB 1.3.28)</v>
      </c>
      <c r="F42" s="636" t="s">
        <v>7717</v>
      </c>
      <c r="G42" s="635" t="s">
        <v>7718</v>
      </c>
      <c r="H42" s="635" t="s">
        <v>7718</v>
      </c>
    </row>
    <row r="43" spans="1:8" ht="127.5" x14ac:dyDescent="0.2">
      <c r="A43" s="160">
        <f t="shared" si="1"/>
        <v>42</v>
      </c>
      <c r="B43" s="639" t="s">
        <v>7834</v>
      </c>
      <c r="C43" s="638" t="s">
        <v>7783</v>
      </c>
      <c r="D43" s="634" t="str">
        <f t="shared" ca="1" si="2"/>
        <v>Há muitas personalidades que possuem as qualidades de Bhagavan, mas Krishna é o supremo porque ninguém pode superá-Lo. Ele é a Pessoa Suprema, e Seu corpo é eterno, pleno de conhecimento e bem-aventurança. Ele é o Senhor Govinda primordial e a causa de todas as causas. (BS 5.1)</v>
      </c>
      <c r="F43" s="635" t="s">
        <v>7719</v>
      </c>
      <c r="G43" s="635" t="s">
        <v>7720</v>
      </c>
      <c r="H43" s="635" t="s">
        <v>7720</v>
      </c>
    </row>
    <row r="44" spans="1:8" ht="127.5" x14ac:dyDescent="0.2">
      <c r="A44" s="160">
        <f t="shared" si="1"/>
        <v>43</v>
      </c>
      <c r="B44" s="639" t="s">
        <v>7835</v>
      </c>
      <c r="C44" s="638" t="s">
        <v>7784</v>
      </c>
      <c r="D44" s="634" t="str">
        <f t="shared" ca="1" si="2"/>
        <v>Adoro Govinda, o Senhor primordial, que é perito em tocar Sua flauta, que tem olhos exuberantes como pétalas de lótus e a cabeça ornada com uma pluma de pavão. Sua bela forma apresenta o matiz de nuvens azuladas, e Seu encanto incomparável cativa milhões de cupidos (BS 5.30)</v>
      </c>
      <c r="F44" s="636" t="s">
        <v>7721</v>
      </c>
      <c r="G44" s="635" t="s">
        <v>7722</v>
      </c>
      <c r="H44" s="635" t="s">
        <v>7722</v>
      </c>
    </row>
    <row r="45" spans="1:8" ht="165.75" x14ac:dyDescent="0.2">
      <c r="A45" s="160">
        <f t="shared" si="1"/>
        <v>44</v>
      </c>
      <c r="B45" s="639" t="s">
        <v>7836</v>
      </c>
      <c r="C45" s="638" t="s">
        <v>7785</v>
      </c>
      <c r="D45" s="634" t="str">
        <f t="shared" ca="1" si="2"/>
        <v>Adoro Govinda, o Senhor primordial, cuja forma é plena de bem-aventurança, verdade, substancialidade, possuindo o mais deslumbrante esplendor. Cada um dos seus membros trancendentais possui as funções de todos os demais órgãos, e vê, mantém e manifesta eternamente infinitos universos, tanto espirituais quanto materiais. (BS 5.32)</v>
      </c>
      <c r="F45" s="636" t="s">
        <v>7723</v>
      </c>
      <c r="G45" s="635" t="s">
        <v>7724</v>
      </c>
      <c r="H45" s="635" t="s">
        <v>7724</v>
      </c>
    </row>
    <row r="46" spans="1:8" ht="102" x14ac:dyDescent="0.2">
      <c r="A46" s="160">
        <f t="shared" si="1"/>
        <v>45</v>
      </c>
      <c r="B46" s="639" t="s">
        <v>7837</v>
      </c>
      <c r="C46" s="638" t="s">
        <v>7786</v>
      </c>
      <c r="D46" s="634" t="str">
        <f t="shared" ca="1" si="2"/>
        <v>Uma pessoa sóbria que seja capaz de tolerar o desejo de falar, as exigências da mente, as ações da ira e os impulsos da língua, do estômago e dos órgãos genitais é qualificada para fazer discípulos em todo o mundo. (Upadesamrita - Verso 1)</v>
      </c>
      <c r="F46" s="635" t="s">
        <v>7725</v>
      </c>
      <c r="G46" s="635" t="s">
        <v>7726</v>
      </c>
      <c r="H46" s="635" t="s">
        <v>7726</v>
      </c>
    </row>
    <row r="47" spans="1:8" ht="153" x14ac:dyDescent="0.2">
      <c r="A47" s="160">
        <f t="shared" si="1"/>
        <v>46</v>
      </c>
      <c r="B47" s="639" t="s">
        <v>7844</v>
      </c>
      <c r="C47" s="638" t="s">
        <v>7787</v>
      </c>
      <c r="D47" s="634" t="str">
        <f t="shared" ca="1" si="2"/>
        <v>Destroi seu serviço devocional aquele que: come ou arrecada mais do que o necessário; esforça-se em demasia por coisas mundanas; conversa desnecessariamente sobre assuntos mundanos; despreza ou tem apego exagerado às regras e regulações; cultiva má associação; e ambiciona realizações mundanas. (Upadesamrita-Verso 2)</v>
      </c>
      <c r="F47" s="636" t="s">
        <v>7727</v>
      </c>
      <c r="G47" s="635" t="s">
        <v>7728</v>
      </c>
      <c r="H47" s="635" t="s">
        <v>7728</v>
      </c>
    </row>
    <row r="48" spans="1:8" ht="165.75" x14ac:dyDescent="0.2">
      <c r="A48" s="160">
        <f t="shared" si="1"/>
        <v>47</v>
      </c>
      <c r="B48" s="639" t="s">
        <v>7845</v>
      </c>
      <c r="C48" s="638" t="s">
        <v>7788</v>
      </c>
      <c r="D48" s="634" t="str">
        <f t="shared" ca="1" si="2"/>
        <v>Há 6 princípios favoráveis à prática de serviço devocional puro: ser entusiasta; esforçar-se com confiança; ser paciente; agir segundo os princípios reguladores; abandonar a companhia de não-devotos; e seguir os passos dos acaryas anteriores. Estes seis princípios garantem, sem dúvida, o pleno êxito do serviço devocional puro. (Upadesamrita - Verso 3)</v>
      </c>
      <c r="F48" s="636" t="s">
        <v>7729</v>
      </c>
      <c r="G48" s="635" t="s">
        <v>7730</v>
      </c>
      <c r="H48" s="635" t="s">
        <v>7730</v>
      </c>
    </row>
    <row r="49" spans="1:8" ht="114.75" x14ac:dyDescent="0.2">
      <c r="A49" s="160">
        <f t="shared" si="1"/>
        <v>48</v>
      </c>
      <c r="B49" s="639" t="s">
        <v>7846</v>
      </c>
      <c r="C49" s="638" t="s">
        <v>7789</v>
      </c>
      <c r="D49" s="634" t="str">
        <f t="shared" ca="1" si="2"/>
        <v>Os seis sintomas de amor que os devotos compartilham entre si são: dar presentes em caridade, aceitar presentes caridosos, revelar os pensamentos confidencialmente, indagar confidencialmente, aceitar prasadam e oferecer prasadam. (Upadesamrita - Verso 4)</v>
      </c>
      <c r="F49" s="635" t="s">
        <v>7731</v>
      </c>
      <c r="G49" s="635" t="s">
        <v>7732</v>
      </c>
      <c r="H49" s="635" t="s">
        <v>7732</v>
      </c>
    </row>
    <row r="50" spans="1:8" ht="191.25" x14ac:dyDescent="0.2">
      <c r="A50" s="160">
        <f t="shared" si="1"/>
        <v>49</v>
      </c>
      <c r="B50" s="639" t="s">
        <v>7838</v>
      </c>
      <c r="C50" s="638" t="s">
        <v>7790</v>
      </c>
      <c r="D50" s="634" t="str">
        <f t="shared" ca="1" si="2"/>
        <v>(1) Ouvir o nome e as glórias da Suprema Personalidade de Deus; (2) Cantar Suas glórias; (3) Lembrar do Senhor; (4) Servir aos pés do Senhor; (5) Adorar a Deidade; (6) Prestar reverências ao Senhor; (7) Atuar como servo do Senhor; (8) Fazer amizade com o Senhor; (9) Render-se plenamente ao Senhor - Eis os 9 processos do serviço devocional. (SB 7.5.23)</v>
      </c>
      <c r="F50" s="636" t="s">
        <v>7733</v>
      </c>
      <c r="G50" s="635" t="s">
        <v>7849</v>
      </c>
      <c r="H50" s="635" t="s">
        <v>7849</v>
      </c>
    </row>
    <row r="51" spans="1:8" ht="140.25" x14ac:dyDescent="0.2">
      <c r="A51" s="160">
        <f t="shared" si="1"/>
        <v>50</v>
      </c>
      <c r="B51" s="639" t="s">
        <v>7847</v>
      </c>
      <c r="C51" s="638" t="s">
        <v>7791</v>
      </c>
      <c r="D51" s="634" t="str">
        <f t="shared" ca="1" si="2"/>
        <v>Nesta era de Kali, as pessoas que são dotadas de inteligência suficiente adorarão, através da execução do sankirtana-yajna, ao Senhor, que está acompanhado por Seus associados. (SB 11.5.32)</v>
      </c>
      <c r="F51" s="636" t="s">
        <v>7734</v>
      </c>
      <c r="G51" s="635" t="s">
        <v>7735</v>
      </c>
      <c r="H51" s="635" t="s">
        <v>7735</v>
      </c>
    </row>
    <row r="52" spans="1:8" ht="138" customHeight="1" x14ac:dyDescent="0.2">
      <c r="A52" s="160">
        <f t="shared" si="1"/>
        <v>51</v>
      </c>
      <c r="B52" s="639" t="s">
        <v>7839</v>
      </c>
      <c r="C52" s="638" t="s">
        <v>7794</v>
      </c>
      <c r="D52" s="634" t="str">
        <f t="shared" ca="1" si="2"/>
        <v>Deve-se cantar o santo nome do Senhor com um estado de espírito humilde, julgando-se inferior à palha na rua; deve-se ser mais tolerante que uma árvore; desprovido de todo sentido de falso prestígio; e pronto a oferecer todo respeito aos outros. Neste estado de espírito pode-se cantar o santo nome do Senhor constantemente. (Siksastaka 3)</v>
      </c>
      <c r="F52" s="636" t="s">
        <v>7736</v>
      </c>
      <c r="G52" s="635" t="s">
        <v>7737</v>
      </c>
      <c r="H52" s="635" t="s">
        <v>7737</v>
      </c>
    </row>
    <row r="53" spans="1:8" ht="165.75" x14ac:dyDescent="0.2">
      <c r="A53" s="160">
        <f t="shared" si="1"/>
        <v>52</v>
      </c>
      <c r="B53" s="639" t="s">
        <v>7848</v>
      </c>
      <c r="C53" s="638" t="s">
        <v>7792</v>
      </c>
      <c r="D53" s="634" t="str">
        <f t="shared" ca="1" si="2"/>
        <v>Deus, a Pessoa Suprema, é perfeito e completo. Tudo que emana dEle, como este mundo fenomenal, também é perfeitamen-te completo. Tudo que é produzido pelo Todo Completo também é completo em si mesmo. Porque Ele é o Todo Completo, ainda que tantas unidades completas emanem dEle, Ele permanece o equilíbrio completo. (Iso-Inv)</v>
      </c>
      <c r="F53" s="636" t="s">
        <v>7738</v>
      </c>
      <c r="G53" s="635" t="s">
        <v>7739</v>
      </c>
      <c r="H53" s="635" t="s">
        <v>7739</v>
      </c>
    </row>
    <row r="54" spans="1:8" ht="127.5" x14ac:dyDescent="0.2">
      <c r="A54" s="160">
        <f t="shared" si="1"/>
        <v>53</v>
      </c>
      <c r="B54" s="639" t="s">
        <v>7840</v>
      </c>
      <c r="C54" s="638" t="s">
        <v>7793</v>
      </c>
      <c r="D54" s="634" t="str">
        <f t="shared" ca="1" si="2"/>
        <v>O Senhor controla e possui todas as coisas animadas e inanimadas que estão dentro do Universo. Portanto, todos devem aceitar apenas as coisas que lhes são necessárias, que foram reservadas como sua cota, e ninguém deve aceitar outras coisas, sabendo bem a quem pertencem. (Iso - Mantra Um)</v>
      </c>
      <c r="F54" s="636" t="s">
        <v>7740</v>
      </c>
      <c r="G54" s="635" t="s">
        <v>7741</v>
      </c>
      <c r="H54" s="635" t="s">
        <v>7741</v>
      </c>
    </row>
    <row r="55" spans="1:8" x14ac:dyDescent="0.2"/>
    <row r="56" spans="1:8" hidden="1" x14ac:dyDescent="0.2"/>
    <row r="57" spans="1:8" hidden="1" x14ac:dyDescent="0.2"/>
    <row r="58" spans="1:8" hidden="1" x14ac:dyDescent="0.2"/>
    <row r="59" spans="1:8" hidden="1" x14ac:dyDescent="0.2"/>
    <row r="60" spans="1:8" hidden="1" x14ac:dyDescent="0.2"/>
    <row r="61" spans="1:8" hidden="1" x14ac:dyDescent="0.2"/>
  </sheetData>
  <printOptions horizontalCentered="1"/>
  <pageMargins left="0.78740157480314965" right="0.78740157480314965" top="0.98425196850393704" bottom="0.98425196850393704" header="0.51181102362204722" footer="0.51181102362204722"/>
  <pageSetup paperSize="9" scale="40" fitToHeight="100" orientation="portrait" r:id="rId1"/>
  <headerFooter alignWithMargins="0">
    <oddHeader>&amp;R&amp;"Verdana,Normal"&amp;8Citações</oddHeader>
    <oddFooter>&amp;R&amp;"Verdana,Normal"&amp;8&amp;P.&amp;N</oddFooter>
  </headerFooter>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wksFestivals"/>
  <dimension ref="A1:X180"/>
  <sheetViews>
    <sheetView workbookViewId="0">
      <pane xSplit="4" ySplit="1" topLeftCell="M96" activePane="bottomRight" state="frozen"/>
      <selection pane="topRight" activeCell="E1" sqref="E1"/>
      <selection pane="bottomLeft" activeCell="A2" sqref="A2"/>
      <selection pane="bottomRight" activeCell="T101" sqref="T101"/>
    </sheetView>
  </sheetViews>
  <sheetFormatPr defaultRowHeight="15" x14ac:dyDescent="0.25"/>
  <cols>
    <col min="1" max="1" width="6" style="10" bestFit="1" customWidth="1"/>
    <col min="2" max="2" width="5" style="10" bestFit="1" customWidth="1"/>
    <col min="3" max="3" width="10.42578125" style="10" bestFit="1" customWidth="1"/>
    <col min="4" max="4" width="6.5703125" style="10" customWidth="1"/>
    <col min="5" max="5" width="7.140625" style="10" customWidth="1"/>
    <col min="6" max="6" width="9" style="10" customWidth="1"/>
    <col min="7" max="7" width="9.5703125" style="10" customWidth="1"/>
    <col min="8" max="8" width="8.85546875" style="10" customWidth="1"/>
    <col min="9" max="9" width="6" customWidth="1"/>
    <col min="10" max="10" width="3" customWidth="1"/>
    <col min="11" max="11" width="5.28515625" customWidth="1"/>
    <col min="12" max="12" width="4.28515625" style="10" customWidth="1"/>
    <col min="13" max="15" width="6.42578125" customWidth="1"/>
    <col min="16" max="16" width="4.28515625" style="10" customWidth="1"/>
    <col min="17" max="17" width="10" style="10" customWidth="1"/>
    <col min="18" max="18" width="13" style="10" customWidth="1"/>
    <col min="19" max="19" width="51.7109375" style="10" customWidth="1"/>
    <col min="20" max="21" width="15.42578125" style="10" customWidth="1"/>
    <col min="22" max="22" width="5.28515625" style="10" customWidth="1"/>
    <col min="23" max="23" width="11.140625" style="10" customWidth="1"/>
    <col min="24" max="24" width="2.85546875" style="10" customWidth="1"/>
    <col min="25" max="36" width="9.140625" style="10"/>
    <col min="37" max="37" width="74.28515625" style="10" bestFit="1" customWidth="1"/>
    <col min="38" max="16384" width="9.140625" style="10"/>
  </cols>
  <sheetData>
    <row r="1" spans="1:24" x14ac:dyDescent="0.25">
      <c r="A1" s="284" t="s">
        <v>7245</v>
      </c>
      <c r="B1" s="284" t="s">
        <v>7481</v>
      </c>
      <c r="C1" s="284" t="s">
        <v>1240</v>
      </c>
      <c r="D1" s="284" t="s">
        <v>7539</v>
      </c>
      <c r="E1" s="284" t="s">
        <v>7550</v>
      </c>
      <c r="F1" s="284" t="s">
        <v>7549</v>
      </c>
      <c r="G1" s="284" t="s">
        <v>7540</v>
      </c>
      <c r="H1" s="284" t="s">
        <v>7548</v>
      </c>
      <c r="I1" s="285" t="s">
        <v>7490</v>
      </c>
      <c r="J1" s="285" t="s">
        <v>7236</v>
      </c>
      <c r="K1" s="285" t="s">
        <v>7237</v>
      </c>
      <c r="L1" s="284" t="s">
        <v>7479</v>
      </c>
      <c r="M1" s="285" t="s">
        <v>7523</v>
      </c>
      <c r="N1" s="285" t="s">
        <v>7524</v>
      </c>
      <c r="O1" s="285" t="s">
        <v>7525</v>
      </c>
      <c r="P1" s="284" t="s">
        <v>7246</v>
      </c>
      <c r="Q1" s="284" t="s">
        <v>7480</v>
      </c>
      <c r="R1" s="284" t="s">
        <v>7538</v>
      </c>
      <c r="S1" s="284" t="s">
        <v>7545</v>
      </c>
      <c r="T1" s="284" t="s">
        <v>1393</v>
      </c>
      <c r="U1" s="284" t="s">
        <v>7247</v>
      </c>
      <c r="V1" s="284" t="s">
        <v>7248</v>
      </c>
      <c r="W1" s="284" t="s">
        <v>7249</v>
      </c>
    </row>
    <row r="2" spans="1:24" x14ac:dyDescent="0.25">
      <c r="A2" s="273">
        <v>130</v>
      </c>
      <c r="B2" s="273">
        <f t="shared" ref="B2:B33" si="0">IF(H2&lt;&gt;H1,1,B1+1)</f>
        <v>1</v>
      </c>
      <c r="C2" s="301">
        <f>IFERROR(INDEX('GCal-Year'!$A$40:$A$435,D2),"---")</f>
        <v>43552</v>
      </c>
      <c r="D2" s="274">
        <f>IFERROR(MATCH(H2,'GCal-Year'!$E$40:$E$435,0),"---")</f>
        <v>87</v>
      </c>
      <c r="E2" s="274" t="str">
        <f>IF(ISERROR(MATCH(F2,'GCal-Year'!$E$40:$E$435,0)),"A","")</f>
        <v/>
      </c>
      <c r="F2" s="274">
        <f t="shared" ref="F2:F33" si="1">VALUE("1" &amp;  Masacod(I2) &amp; PaksaCod(J2) &amp; TithiCod(K2))</f>
        <v>101008</v>
      </c>
      <c r="G2" s="274">
        <f t="shared" ref="G2:G33" si="2">VALUE("1" &amp;  IF(AND(VALUE(RIGHT(F2,2))&gt;14,MID(F2,4,1)="1"),IF(VALUE(MID(F2,2,2))&gt;11,"01",VALUE(MID(F2,2,2))+1),MID(F2,2,2)) &amp; IF(VALUE(RIGHT(F2,2))&gt;14,IF(MID(F2,4,1)="0","1","0"),MID(F2,4,1)) &amp; IF(VALUE(RIGHT(F2,2))&gt;14,"01",TEXT(VALUE(TithiCod(K2))+1,"00")))</f>
        <v>101009</v>
      </c>
      <c r="H2" s="274">
        <f t="shared" ref="H2:H33" si="3">IF(E2="",F2,G2)</f>
        <v>101008</v>
      </c>
      <c r="I2" s="274" t="s">
        <v>9537</v>
      </c>
      <c r="J2" s="274" t="s">
        <v>25</v>
      </c>
      <c r="K2" s="274" t="s">
        <v>17</v>
      </c>
      <c r="L2" s="273" t="s">
        <v>7443</v>
      </c>
      <c r="M2" s="274">
        <f t="shared" ref="M2:M32" si="4">VALUE(Masacod(I2))</f>
        <v>1</v>
      </c>
      <c r="N2" s="274">
        <f t="shared" ref="N2:N32" si="5">VALUE(PaksaCod(J2))</f>
        <v>0</v>
      </c>
      <c r="O2" s="274">
        <f t="shared" ref="O2:O32" si="6">VALUE(TithiCod(K2))</f>
        <v>8</v>
      </c>
      <c r="P2" s="275" t="s">
        <v>7444</v>
      </c>
      <c r="Q2" s="276">
        <f t="shared" ref="Q2:Q33" si="7">VALUE(H2&amp;TEXT(B2,"00"))</f>
        <v>10100801</v>
      </c>
      <c r="R2" s="276" t="s">
        <v>494</v>
      </c>
      <c r="S2" s="273" t="str">
        <f t="shared" ref="S2:S58" si="8">SUBSTITUTE(R2,"--","-",1)</f>
        <v>Sri Srivasa Pandita - Appearance</v>
      </c>
      <c r="T2" s="273"/>
      <c r="U2" s="277"/>
      <c r="V2" s="273">
        <v>3</v>
      </c>
      <c r="W2" s="273" t="s">
        <v>171</v>
      </c>
      <c r="X2" s="266"/>
    </row>
    <row r="3" spans="1:24" x14ac:dyDescent="0.25">
      <c r="A3" s="273">
        <v>131</v>
      </c>
      <c r="B3" s="273">
        <f t="shared" si="0"/>
        <v>1</v>
      </c>
      <c r="C3" s="301">
        <f>IFERROR(INDEX('GCal-Year'!$A$40:$A$435,D3),"---")</f>
        <v>43556</v>
      </c>
      <c r="D3" s="274">
        <f>IFERROR(MATCH(H3,'GCal-Year'!$E$40:$E$435,0),"---")</f>
        <v>91</v>
      </c>
      <c r="E3" s="274" t="str">
        <f>IF(ISERROR(MATCH(F3,'GCal-Year'!$E$40:$E$435,0)),"A","")</f>
        <v/>
      </c>
      <c r="F3" s="274">
        <f t="shared" si="1"/>
        <v>101012</v>
      </c>
      <c r="G3" s="274">
        <f t="shared" si="2"/>
        <v>101013</v>
      </c>
      <c r="H3" s="274">
        <f t="shared" si="3"/>
        <v>101012</v>
      </c>
      <c r="I3" s="274" t="s">
        <v>9537</v>
      </c>
      <c r="J3" s="274" t="s">
        <v>25</v>
      </c>
      <c r="K3" s="274" t="s">
        <v>21</v>
      </c>
      <c r="L3" s="273" t="s">
        <v>7445</v>
      </c>
      <c r="M3" s="274">
        <f t="shared" si="4"/>
        <v>1</v>
      </c>
      <c r="N3" s="274">
        <f t="shared" si="5"/>
        <v>0</v>
      </c>
      <c r="O3" s="274">
        <f t="shared" si="6"/>
        <v>12</v>
      </c>
      <c r="P3" s="275" t="s">
        <v>7446</v>
      </c>
      <c r="Q3" s="276">
        <f t="shared" si="7"/>
        <v>10101201</v>
      </c>
      <c r="R3" s="276" t="s">
        <v>497</v>
      </c>
      <c r="S3" s="273" t="str">
        <f t="shared" si="8"/>
        <v>Sri Govinda Ghosh - Disappearance</v>
      </c>
      <c r="T3" s="273"/>
      <c r="U3" s="277"/>
      <c r="V3" s="273">
        <v>3</v>
      </c>
      <c r="W3" s="273" t="s">
        <v>171</v>
      </c>
      <c r="X3" s="266"/>
    </row>
    <row r="4" spans="1:24" x14ac:dyDescent="0.25">
      <c r="A4" s="273">
        <v>132</v>
      </c>
      <c r="B4" s="273">
        <f t="shared" si="0"/>
        <v>1</v>
      </c>
      <c r="C4" s="301">
        <f>IFERROR(INDEX('GCal-Year'!$A$40:$A$435,D4),"---")</f>
        <v>43565</v>
      </c>
      <c r="D4" s="274">
        <f>IFERROR(MATCH(H4,'GCal-Year'!$E$40:$E$435,0),"---")</f>
        <v>100</v>
      </c>
      <c r="E4" s="274" t="str">
        <f>IF(ISERROR(MATCH(F4,'GCal-Year'!$E$40:$E$435,0)),"A","")</f>
        <v/>
      </c>
      <c r="F4" s="274">
        <f t="shared" si="1"/>
        <v>101105</v>
      </c>
      <c r="G4" s="274">
        <f t="shared" si="2"/>
        <v>101106</v>
      </c>
      <c r="H4" s="274">
        <f t="shared" si="3"/>
        <v>101105</v>
      </c>
      <c r="I4" s="274" t="s">
        <v>9537</v>
      </c>
      <c r="J4" s="274" t="s">
        <v>24</v>
      </c>
      <c r="K4" s="274" t="s">
        <v>14</v>
      </c>
      <c r="L4" s="273" t="s">
        <v>7447</v>
      </c>
      <c r="M4" s="274">
        <f t="shared" si="4"/>
        <v>1</v>
      </c>
      <c r="N4" s="274">
        <f t="shared" si="5"/>
        <v>1</v>
      </c>
      <c r="O4" s="274">
        <f t="shared" si="6"/>
        <v>5</v>
      </c>
      <c r="P4" s="275" t="s">
        <v>7448</v>
      </c>
      <c r="Q4" s="276">
        <f t="shared" si="7"/>
        <v>10110501</v>
      </c>
      <c r="R4" s="276" t="s">
        <v>500</v>
      </c>
      <c r="S4" s="273" t="str">
        <f t="shared" si="8"/>
        <v>Sri Ramanujacarya - Appearance</v>
      </c>
      <c r="T4" s="273"/>
      <c r="U4" s="277"/>
      <c r="V4" s="273">
        <v>3</v>
      </c>
      <c r="W4" s="273" t="s">
        <v>171</v>
      </c>
      <c r="X4" s="266"/>
    </row>
    <row r="5" spans="1:24" x14ac:dyDescent="0.25">
      <c r="A5" s="273">
        <v>133</v>
      </c>
      <c r="B5" s="273">
        <f t="shared" si="0"/>
        <v>1</v>
      </c>
      <c r="C5" s="301">
        <f>IFERROR(INDEX('GCal-Year'!$A$40:$A$435,D5),"---")</f>
        <v>43571</v>
      </c>
      <c r="D5" s="274">
        <f>IFERROR(MATCH(H5,'GCal-Year'!$E$40:$E$435,0),"---")</f>
        <v>106</v>
      </c>
      <c r="E5" s="274" t="str">
        <f>IF(ISERROR(MATCH(F5,'GCal-Year'!$E$40:$E$435,0)),"A","")</f>
        <v/>
      </c>
      <c r="F5" s="274">
        <f t="shared" si="1"/>
        <v>101112</v>
      </c>
      <c r="G5" s="274">
        <f t="shared" si="2"/>
        <v>101113</v>
      </c>
      <c r="H5" s="274">
        <f t="shared" si="3"/>
        <v>101112</v>
      </c>
      <c r="I5" s="274" t="s">
        <v>9537</v>
      </c>
      <c r="J5" s="274" t="s">
        <v>24</v>
      </c>
      <c r="K5" s="274" t="s">
        <v>21</v>
      </c>
      <c r="L5" s="273" t="s">
        <v>7449</v>
      </c>
      <c r="M5" s="274">
        <f t="shared" si="4"/>
        <v>1</v>
      </c>
      <c r="N5" s="274">
        <f t="shared" si="5"/>
        <v>1</v>
      </c>
      <c r="O5" s="274">
        <f t="shared" si="6"/>
        <v>12</v>
      </c>
      <c r="P5" s="275" t="s">
        <v>7450</v>
      </c>
      <c r="Q5" s="276">
        <f t="shared" si="7"/>
        <v>10111201</v>
      </c>
      <c r="R5" s="276" t="s">
        <v>7451</v>
      </c>
      <c r="S5" s="273" t="str">
        <f t="shared" si="8"/>
        <v>Damanakaropana Dvadasi</v>
      </c>
      <c r="T5" s="273"/>
      <c r="U5" s="277"/>
      <c r="V5" s="273">
        <v>1</v>
      </c>
      <c r="W5" s="273" t="s">
        <v>168</v>
      </c>
      <c r="X5" s="266"/>
    </row>
    <row r="6" spans="1:24" x14ac:dyDescent="0.25">
      <c r="A6" s="273">
        <v>134</v>
      </c>
      <c r="B6" s="273">
        <f t="shared" si="0"/>
        <v>1</v>
      </c>
      <c r="C6" s="301">
        <f>IFERROR(INDEX('GCal-Year'!$A$40:$A$435,D6),"---")</f>
        <v>43574</v>
      </c>
      <c r="D6" s="274">
        <f>IFERROR(MATCH(H6,'GCal-Year'!$E$40:$E$435,0),"---")</f>
        <v>109</v>
      </c>
      <c r="E6" s="274" t="str">
        <f>IF(ISERROR(MATCH(F6,'GCal-Year'!$E$40:$E$435,0)),"A","")</f>
        <v/>
      </c>
      <c r="F6" s="274">
        <f t="shared" si="1"/>
        <v>101115</v>
      </c>
      <c r="G6" s="274">
        <f t="shared" si="2"/>
        <v>12001</v>
      </c>
      <c r="H6" s="274">
        <f t="shared" si="3"/>
        <v>101115</v>
      </c>
      <c r="I6" s="274" t="s">
        <v>9537</v>
      </c>
      <c r="J6" s="274" t="s">
        <v>24</v>
      </c>
      <c r="K6" s="274" t="s">
        <v>10</v>
      </c>
      <c r="L6" s="273" t="s">
        <v>7452</v>
      </c>
      <c r="M6" s="274">
        <f t="shared" si="4"/>
        <v>1</v>
      </c>
      <c r="N6" s="274">
        <f t="shared" si="5"/>
        <v>1</v>
      </c>
      <c r="O6" s="274">
        <f t="shared" si="6"/>
        <v>15</v>
      </c>
      <c r="P6" s="275" t="s">
        <v>7453</v>
      </c>
      <c r="Q6" s="276">
        <f t="shared" si="7"/>
        <v>10111501</v>
      </c>
      <c r="R6" s="276" t="s">
        <v>7226</v>
      </c>
      <c r="S6" s="273" t="str">
        <f t="shared" si="8"/>
        <v>Sri Balarama Rasayatra</v>
      </c>
      <c r="T6" s="273"/>
      <c r="U6" s="277"/>
      <c r="V6" s="273">
        <v>1</v>
      </c>
      <c r="W6" s="273" t="s">
        <v>168</v>
      </c>
      <c r="X6" s="266"/>
    </row>
    <row r="7" spans="1:24" x14ac:dyDescent="0.25">
      <c r="A7" s="273">
        <v>135</v>
      </c>
      <c r="B7" s="273">
        <f t="shared" si="0"/>
        <v>2</v>
      </c>
      <c r="C7" s="301">
        <f>IFERROR(INDEX('GCal-Year'!$A$40:$A$435,D7),"---")</f>
        <v>43574</v>
      </c>
      <c r="D7" s="274">
        <f>IFERROR(MATCH(H7,'GCal-Year'!$E$40:$E$435,0),"---")</f>
        <v>109</v>
      </c>
      <c r="E7" s="274" t="str">
        <f>IF(ISERROR(MATCH(F7,'GCal-Year'!$E$40:$E$435,0)),"A","")</f>
        <v/>
      </c>
      <c r="F7" s="274">
        <f t="shared" si="1"/>
        <v>101115</v>
      </c>
      <c r="G7" s="274">
        <f t="shared" si="2"/>
        <v>12001</v>
      </c>
      <c r="H7" s="274">
        <f t="shared" si="3"/>
        <v>101115</v>
      </c>
      <c r="I7" s="274" t="s">
        <v>9537</v>
      </c>
      <c r="J7" s="274" t="s">
        <v>24</v>
      </c>
      <c r="K7" s="274" t="s">
        <v>10</v>
      </c>
      <c r="L7" s="273" t="s">
        <v>7452</v>
      </c>
      <c r="M7" s="274">
        <f t="shared" si="4"/>
        <v>1</v>
      </c>
      <c r="N7" s="274">
        <f t="shared" si="5"/>
        <v>1</v>
      </c>
      <c r="O7" s="274">
        <f t="shared" si="6"/>
        <v>15</v>
      </c>
      <c r="P7" s="275" t="s">
        <v>7453</v>
      </c>
      <c r="Q7" s="276">
        <f t="shared" si="7"/>
        <v>10111502</v>
      </c>
      <c r="R7" s="276" t="s">
        <v>7454</v>
      </c>
      <c r="S7" s="273" t="str">
        <f t="shared" si="8"/>
        <v>Sri Krsna Vasanta Rasa</v>
      </c>
      <c r="T7" s="273"/>
      <c r="U7" s="277"/>
      <c r="V7" s="273">
        <v>1</v>
      </c>
      <c r="W7" s="273" t="s">
        <v>168</v>
      </c>
      <c r="X7" s="266"/>
    </row>
    <row r="8" spans="1:24" x14ac:dyDescent="0.25">
      <c r="A8" s="273">
        <v>136</v>
      </c>
      <c r="B8" s="273">
        <f t="shared" si="0"/>
        <v>3</v>
      </c>
      <c r="C8" s="301">
        <f>IFERROR(INDEX('GCal-Year'!$A$40:$A$435,D8),"---")</f>
        <v>43574</v>
      </c>
      <c r="D8" s="274">
        <f>IFERROR(MATCH(H8,'GCal-Year'!$E$40:$E$435,0),"---")</f>
        <v>109</v>
      </c>
      <c r="E8" s="274" t="str">
        <f>IF(ISERROR(MATCH(F8,'GCal-Year'!$E$40:$E$435,0)),"A","")</f>
        <v/>
      </c>
      <c r="F8" s="274">
        <f t="shared" si="1"/>
        <v>101115</v>
      </c>
      <c r="G8" s="274">
        <f t="shared" si="2"/>
        <v>12001</v>
      </c>
      <c r="H8" s="274">
        <f t="shared" si="3"/>
        <v>101115</v>
      </c>
      <c r="I8" s="274" t="s">
        <v>9537</v>
      </c>
      <c r="J8" s="274" t="s">
        <v>24</v>
      </c>
      <c r="K8" s="274" t="s">
        <v>10</v>
      </c>
      <c r="L8" s="273" t="s">
        <v>7452</v>
      </c>
      <c r="M8" s="274">
        <f t="shared" si="4"/>
        <v>1</v>
      </c>
      <c r="N8" s="274">
        <f t="shared" si="5"/>
        <v>1</v>
      </c>
      <c r="O8" s="274">
        <f t="shared" si="6"/>
        <v>15</v>
      </c>
      <c r="P8" s="275" t="s">
        <v>7453</v>
      </c>
      <c r="Q8" s="276">
        <f t="shared" si="7"/>
        <v>10111503</v>
      </c>
      <c r="R8" s="276" t="s">
        <v>503</v>
      </c>
      <c r="S8" s="273" t="str">
        <f t="shared" si="8"/>
        <v>Sri Vamsivadana Thakura - Appearance</v>
      </c>
      <c r="T8" s="273"/>
      <c r="U8" s="277"/>
      <c r="V8" s="273">
        <v>3</v>
      </c>
      <c r="W8" s="273" t="s">
        <v>171</v>
      </c>
      <c r="X8" s="266"/>
    </row>
    <row r="9" spans="1:24" x14ac:dyDescent="0.25">
      <c r="A9" s="273">
        <v>137</v>
      </c>
      <c r="B9" s="273">
        <f t="shared" si="0"/>
        <v>4</v>
      </c>
      <c r="C9" s="301">
        <f>IFERROR(INDEX('GCal-Year'!$A$40:$A$435,D9),"---")</f>
        <v>43574</v>
      </c>
      <c r="D9" s="274">
        <f>IFERROR(MATCH(H9,'GCal-Year'!$E$40:$E$435,0),"---")</f>
        <v>109</v>
      </c>
      <c r="E9" s="274" t="str">
        <f>IF(ISERROR(MATCH(F9,'GCal-Year'!$E$40:$E$435,0)),"A","")</f>
        <v/>
      </c>
      <c r="F9" s="274">
        <f t="shared" si="1"/>
        <v>101115</v>
      </c>
      <c r="G9" s="274">
        <f t="shared" si="2"/>
        <v>12001</v>
      </c>
      <c r="H9" s="274">
        <f t="shared" si="3"/>
        <v>101115</v>
      </c>
      <c r="I9" s="274" t="s">
        <v>9537</v>
      </c>
      <c r="J9" s="274" t="s">
        <v>24</v>
      </c>
      <c r="K9" s="274" t="s">
        <v>10</v>
      </c>
      <c r="L9" s="273" t="s">
        <v>7452</v>
      </c>
      <c r="M9" s="274">
        <f t="shared" si="4"/>
        <v>1</v>
      </c>
      <c r="N9" s="274">
        <f t="shared" si="5"/>
        <v>1</v>
      </c>
      <c r="O9" s="274">
        <f t="shared" si="6"/>
        <v>15</v>
      </c>
      <c r="P9" s="275" t="s">
        <v>7453</v>
      </c>
      <c r="Q9" s="276">
        <f t="shared" si="7"/>
        <v>10111504</v>
      </c>
      <c r="R9" s="276" t="s">
        <v>506</v>
      </c>
      <c r="S9" s="273" t="str">
        <f t="shared" si="8"/>
        <v>Sri Syamananda Prabhu - Appearance</v>
      </c>
      <c r="T9" s="273"/>
      <c r="U9" s="277"/>
      <c r="V9" s="273">
        <v>3</v>
      </c>
      <c r="W9" s="273" t="s">
        <v>171</v>
      </c>
      <c r="X9" s="266"/>
    </row>
    <row r="10" spans="1:24" x14ac:dyDescent="0.25">
      <c r="A10" s="278">
        <v>1</v>
      </c>
      <c r="B10" s="278">
        <f t="shared" si="0"/>
        <v>1</v>
      </c>
      <c r="C10" s="311">
        <f>IFERROR(INDEX('GCal-Year'!$A$40:$A$435,D10),"---")</f>
        <v>43580</v>
      </c>
      <c r="D10" s="279">
        <f>IFERROR(MATCH(H10,'GCal-Year'!$E$40:$E$435,0),"---")</f>
        <v>115</v>
      </c>
      <c r="E10" s="279" t="str">
        <f>IF(ISERROR(MATCH(F10,'GCal-Year'!$E$40:$E$435,0)),"A","")</f>
        <v/>
      </c>
      <c r="F10" s="279">
        <f t="shared" si="1"/>
        <v>102007</v>
      </c>
      <c r="G10" s="279">
        <f t="shared" si="2"/>
        <v>102008</v>
      </c>
      <c r="H10" s="279">
        <f t="shared" si="3"/>
        <v>102007</v>
      </c>
      <c r="I10" s="279" t="s">
        <v>9538</v>
      </c>
      <c r="J10" s="279" t="s">
        <v>25</v>
      </c>
      <c r="K10" s="279" t="s">
        <v>16</v>
      </c>
      <c r="L10" s="278" t="s">
        <v>7252</v>
      </c>
      <c r="M10" s="279">
        <f t="shared" si="4"/>
        <v>2</v>
      </c>
      <c r="N10" s="279">
        <f t="shared" si="5"/>
        <v>0</v>
      </c>
      <c r="O10" s="279">
        <f t="shared" si="6"/>
        <v>7</v>
      </c>
      <c r="P10" s="280" t="s">
        <v>7250</v>
      </c>
      <c r="Q10" s="281">
        <f t="shared" si="7"/>
        <v>10200701</v>
      </c>
      <c r="R10" s="281" t="s">
        <v>204</v>
      </c>
      <c r="S10" s="278" t="str">
        <f t="shared" si="8"/>
        <v>Sri Abhirama Thakura - Disappearance</v>
      </c>
      <c r="T10" s="278"/>
      <c r="U10" s="282"/>
      <c r="V10" s="278">
        <v>3</v>
      </c>
      <c r="W10" s="278" t="s">
        <v>171</v>
      </c>
      <c r="X10" s="266"/>
    </row>
    <row r="11" spans="1:24" x14ac:dyDescent="0.25">
      <c r="A11" s="278">
        <v>2</v>
      </c>
      <c r="B11" s="278">
        <f t="shared" si="0"/>
        <v>1</v>
      </c>
      <c r="C11" s="311">
        <f>IFERROR(INDEX('GCal-Year'!$A$40:$A$435,D11),"---")</f>
        <v>43584</v>
      </c>
      <c r="D11" s="279">
        <f>IFERROR(MATCH(H11,'GCal-Year'!$E$40:$E$435,0),"---")</f>
        <v>119</v>
      </c>
      <c r="E11" s="279" t="str">
        <f>IF(ISERROR(MATCH(F11,'GCal-Year'!$E$40:$E$435,0)),"A","")</f>
        <v/>
      </c>
      <c r="F11" s="279">
        <f t="shared" si="1"/>
        <v>102010</v>
      </c>
      <c r="G11" s="279">
        <f t="shared" si="2"/>
        <v>102011</v>
      </c>
      <c r="H11" s="279">
        <f t="shared" si="3"/>
        <v>102010</v>
      </c>
      <c r="I11" s="279" t="s">
        <v>9538</v>
      </c>
      <c r="J11" s="279" t="s">
        <v>25</v>
      </c>
      <c r="K11" s="279" t="s">
        <v>19</v>
      </c>
      <c r="L11" s="278" t="s">
        <v>7252</v>
      </c>
      <c r="M11" s="279">
        <f t="shared" si="4"/>
        <v>2</v>
      </c>
      <c r="N11" s="279">
        <f t="shared" si="5"/>
        <v>0</v>
      </c>
      <c r="O11" s="279">
        <f t="shared" si="6"/>
        <v>10</v>
      </c>
      <c r="P11" s="280" t="s">
        <v>7251</v>
      </c>
      <c r="Q11" s="281">
        <f t="shared" si="7"/>
        <v>10201001</v>
      </c>
      <c r="R11" s="281" t="s">
        <v>207</v>
      </c>
      <c r="S11" s="278" t="str">
        <f t="shared" si="8"/>
        <v>Srila Vrndavana Dasa Thakura - Disappearance</v>
      </c>
      <c r="T11" s="278"/>
      <c r="U11" s="282"/>
      <c r="V11" s="278">
        <v>3</v>
      </c>
      <c r="W11" s="278" t="s">
        <v>171</v>
      </c>
      <c r="X11" s="266"/>
    </row>
    <row r="12" spans="1:24" x14ac:dyDescent="0.25">
      <c r="A12" s="278">
        <v>3</v>
      </c>
      <c r="B12" s="278">
        <f t="shared" si="0"/>
        <v>1</v>
      </c>
      <c r="C12" s="311">
        <f>IFERROR(INDEX('GCal-Year'!$A$40:$A$435,D12),"---")</f>
        <v>43589</v>
      </c>
      <c r="D12" s="279">
        <f>IFERROR(MATCH(H12,'GCal-Year'!$E$40:$E$435,0),"---")</f>
        <v>124</v>
      </c>
      <c r="E12" s="279" t="str">
        <f>IF(ISERROR(MATCH(F12,'GCal-Year'!$E$40:$E$435,0)),"A","")</f>
        <v/>
      </c>
      <c r="F12" s="279">
        <f t="shared" si="1"/>
        <v>102015</v>
      </c>
      <c r="G12" s="279">
        <f t="shared" si="2"/>
        <v>102101</v>
      </c>
      <c r="H12" s="279">
        <f t="shared" si="3"/>
        <v>102015</v>
      </c>
      <c r="I12" s="279" t="s">
        <v>9538</v>
      </c>
      <c r="J12" s="279" t="s">
        <v>25</v>
      </c>
      <c r="K12" s="279" t="s">
        <v>22</v>
      </c>
      <c r="L12" s="278" t="s">
        <v>7252</v>
      </c>
      <c r="M12" s="279">
        <f t="shared" si="4"/>
        <v>2</v>
      </c>
      <c r="N12" s="279">
        <f t="shared" si="5"/>
        <v>0</v>
      </c>
      <c r="O12" s="279">
        <f t="shared" si="6"/>
        <v>15</v>
      </c>
      <c r="P12" s="280" t="s">
        <v>7253</v>
      </c>
      <c r="Q12" s="281">
        <f t="shared" si="7"/>
        <v>10201501</v>
      </c>
      <c r="R12" s="281" t="s">
        <v>210</v>
      </c>
      <c r="S12" s="278" t="str">
        <f t="shared" si="8"/>
        <v>Sri Gadadhara Pandita - Appearance</v>
      </c>
      <c r="T12" s="278"/>
      <c r="U12" s="282"/>
      <c r="V12" s="278">
        <v>3</v>
      </c>
      <c r="W12" s="278" t="s">
        <v>171</v>
      </c>
      <c r="X12" s="266"/>
    </row>
    <row r="13" spans="1:24" x14ac:dyDescent="0.25">
      <c r="A13" s="278">
        <v>4</v>
      </c>
      <c r="B13" s="278">
        <f t="shared" si="0"/>
        <v>1</v>
      </c>
      <c r="C13" s="311">
        <f>IFERROR(INDEX('GCal-Year'!$A$40:$A$435,D13),"---")</f>
        <v>43592</v>
      </c>
      <c r="D13" s="279">
        <f>IFERROR(MATCH(H13,'GCal-Year'!$E$40:$E$435,0),"---")</f>
        <v>127</v>
      </c>
      <c r="E13" s="279" t="str">
        <f>IF(ISERROR(MATCH(F13,'GCal-Year'!$E$40:$E$435,0)),"A","")</f>
        <v/>
      </c>
      <c r="F13" s="279">
        <f t="shared" si="1"/>
        <v>102103</v>
      </c>
      <c r="G13" s="279">
        <f t="shared" si="2"/>
        <v>102104</v>
      </c>
      <c r="H13" s="279">
        <f t="shared" si="3"/>
        <v>102103</v>
      </c>
      <c r="I13" s="279" t="s">
        <v>9538</v>
      </c>
      <c r="J13" s="279" t="s">
        <v>24</v>
      </c>
      <c r="K13" s="279" t="s">
        <v>23</v>
      </c>
      <c r="L13" s="278" t="s">
        <v>7254</v>
      </c>
      <c r="M13" s="279">
        <f t="shared" si="4"/>
        <v>2</v>
      </c>
      <c r="N13" s="279">
        <f t="shared" si="5"/>
        <v>1</v>
      </c>
      <c r="O13" s="279">
        <f t="shared" si="6"/>
        <v>3</v>
      </c>
      <c r="P13" s="280" t="s">
        <v>7255</v>
      </c>
      <c r="Q13" s="281">
        <f t="shared" si="7"/>
        <v>10210301</v>
      </c>
      <c r="R13" s="281" t="s">
        <v>213</v>
      </c>
      <c r="S13" s="278" t="str">
        <f t="shared" si="8"/>
        <v>Aksaya Trtiya. Candana Yatra starts. (Continues for 21 days)</v>
      </c>
      <c r="T13" s="278"/>
      <c r="U13" s="282"/>
      <c r="V13" s="278">
        <v>1</v>
      </c>
      <c r="W13" s="278" t="s">
        <v>168</v>
      </c>
      <c r="X13" s="266"/>
    </row>
    <row r="14" spans="1:24" x14ac:dyDescent="0.25">
      <c r="A14" s="278">
        <v>5</v>
      </c>
      <c r="B14" s="278">
        <f t="shared" si="0"/>
        <v>1</v>
      </c>
      <c r="C14" s="311">
        <f>IFERROR(INDEX('GCal-Year'!$A$40:$A$435,D14),"---")</f>
        <v>43596</v>
      </c>
      <c r="D14" s="279">
        <f>IFERROR(MATCH(H14,'GCal-Year'!$E$40:$E$435,0),"---")</f>
        <v>131</v>
      </c>
      <c r="E14" s="279" t="str">
        <f>IF(ISERROR(MATCH(F14,'GCal-Year'!$E$40:$E$435,0)),"A","")</f>
        <v/>
      </c>
      <c r="F14" s="279">
        <f t="shared" si="1"/>
        <v>102107</v>
      </c>
      <c r="G14" s="279">
        <f t="shared" si="2"/>
        <v>102108</v>
      </c>
      <c r="H14" s="279">
        <f t="shared" si="3"/>
        <v>102107</v>
      </c>
      <c r="I14" s="279" t="s">
        <v>9538</v>
      </c>
      <c r="J14" s="279" t="s">
        <v>24</v>
      </c>
      <c r="K14" s="279" t="s">
        <v>16</v>
      </c>
      <c r="L14" s="278" t="s">
        <v>7256</v>
      </c>
      <c r="M14" s="279">
        <f t="shared" si="4"/>
        <v>2</v>
      </c>
      <c r="N14" s="279">
        <f t="shared" si="5"/>
        <v>1</v>
      </c>
      <c r="O14" s="279">
        <f t="shared" si="6"/>
        <v>7</v>
      </c>
      <c r="P14" s="280" t="s">
        <v>7257</v>
      </c>
      <c r="Q14" s="281">
        <f t="shared" si="7"/>
        <v>10210701</v>
      </c>
      <c r="R14" s="281" t="s">
        <v>7258</v>
      </c>
      <c r="S14" s="278" t="str">
        <f t="shared" si="8"/>
        <v>Jahnu Saptami</v>
      </c>
      <c r="T14" s="278"/>
      <c r="U14" s="282"/>
      <c r="V14" s="278">
        <v>5</v>
      </c>
      <c r="W14" s="278" t="s">
        <v>174</v>
      </c>
      <c r="X14" s="266"/>
    </row>
    <row r="15" spans="1:24" x14ac:dyDescent="0.25">
      <c r="A15" s="278">
        <v>6</v>
      </c>
      <c r="B15" s="278">
        <f t="shared" si="0"/>
        <v>1</v>
      </c>
      <c r="C15" s="311">
        <f>IFERROR(INDEX('GCal-Year'!$A$40:$A$435,D15),"---")</f>
        <v>43598</v>
      </c>
      <c r="D15" s="279">
        <f>IFERROR(MATCH(H15,'GCal-Year'!$E$40:$E$435,0),"---")</f>
        <v>133</v>
      </c>
      <c r="E15" s="279" t="str">
        <f>IF(ISERROR(MATCH(F15,'GCal-Year'!$E$40:$E$435,0)),"A","")</f>
        <v/>
      </c>
      <c r="F15" s="279">
        <f t="shared" si="1"/>
        <v>102109</v>
      </c>
      <c r="G15" s="279">
        <f t="shared" si="2"/>
        <v>102110</v>
      </c>
      <c r="H15" s="279">
        <f t="shared" si="3"/>
        <v>102109</v>
      </c>
      <c r="I15" s="279" t="s">
        <v>9538</v>
      </c>
      <c r="J15" s="279" t="s">
        <v>24</v>
      </c>
      <c r="K15" s="279" t="s">
        <v>18</v>
      </c>
      <c r="L15" s="278" t="s">
        <v>7259</v>
      </c>
      <c r="M15" s="279">
        <f t="shared" si="4"/>
        <v>2</v>
      </c>
      <c r="N15" s="279">
        <f t="shared" si="5"/>
        <v>1</v>
      </c>
      <c r="O15" s="279">
        <f t="shared" si="6"/>
        <v>9</v>
      </c>
      <c r="P15" s="280" t="s">
        <v>7260</v>
      </c>
      <c r="Q15" s="281">
        <f t="shared" si="7"/>
        <v>10210901</v>
      </c>
      <c r="R15" s="281" t="s">
        <v>215</v>
      </c>
      <c r="S15" s="278" t="str">
        <f t="shared" si="8"/>
        <v>Srimati Sita Devi (consort of Lord Sri Rama) - Appearance</v>
      </c>
      <c r="T15" s="278"/>
      <c r="U15" s="282"/>
      <c r="V15" s="278">
        <v>1</v>
      </c>
      <c r="W15" s="278" t="s">
        <v>168</v>
      </c>
      <c r="X15" s="266"/>
    </row>
    <row r="16" spans="1:24" x14ac:dyDescent="0.25">
      <c r="A16" s="278">
        <v>7</v>
      </c>
      <c r="B16" s="278">
        <f t="shared" si="0"/>
        <v>2</v>
      </c>
      <c r="C16" s="311">
        <f>IFERROR(INDEX('GCal-Year'!$A$40:$A$435,D16),"---")</f>
        <v>43598</v>
      </c>
      <c r="D16" s="279">
        <f>IFERROR(MATCH(H16,'GCal-Year'!$E$40:$E$435,0),"---")</f>
        <v>133</v>
      </c>
      <c r="E16" s="279" t="str">
        <f>IF(ISERROR(MATCH(F16,'GCal-Year'!$E$40:$E$435,0)),"A","")</f>
        <v/>
      </c>
      <c r="F16" s="279">
        <f t="shared" si="1"/>
        <v>102109</v>
      </c>
      <c r="G16" s="279">
        <f t="shared" si="2"/>
        <v>102110</v>
      </c>
      <c r="H16" s="279">
        <f t="shared" si="3"/>
        <v>102109</v>
      </c>
      <c r="I16" s="279" t="s">
        <v>9538</v>
      </c>
      <c r="J16" s="279" t="s">
        <v>24</v>
      </c>
      <c r="K16" s="279" t="s">
        <v>18</v>
      </c>
      <c r="L16" s="278" t="s">
        <v>7259</v>
      </c>
      <c r="M16" s="279">
        <f t="shared" si="4"/>
        <v>2</v>
      </c>
      <c r="N16" s="279">
        <f t="shared" si="5"/>
        <v>1</v>
      </c>
      <c r="O16" s="279">
        <f t="shared" si="6"/>
        <v>9</v>
      </c>
      <c r="P16" s="280" t="s">
        <v>7260</v>
      </c>
      <c r="Q16" s="281">
        <f t="shared" si="7"/>
        <v>10210902</v>
      </c>
      <c r="R16" s="281" t="s">
        <v>218</v>
      </c>
      <c r="S16" s="278" t="str">
        <f t="shared" si="8"/>
        <v>Sri Madhu Pandita - Disappearance</v>
      </c>
      <c r="T16" s="278"/>
      <c r="U16" s="282"/>
      <c r="V16" s="278">
        <v>3</v>
      </c>
      <c r="W16" s="278" t="s">
        <v>171</v>
      </c>
      <c r="X16" s="266"/>
    </row>
    <row r="17" spans="1:24" x14ac:dyDescent="0.25">
      <c r="A17" s="278">
        <v>8</v>
      </c>
      <c r="B17" s="278">
        <f t="shared" si="0"/>
        <v>3</v>
      </c>
      <c r="C17" s="311">
        <f>IFERROR(INDEX('GCal-Year'!$A$40:$A$435,D17),"---")</f>
        <v>43598</v>
      </c>
      <c r="D17" s="279">
        <f>IFERROR(MATCH(H17,'GCal-Year'!$E$40:$E$435,0),"---")</f>
        <v>133</v>
      </c>
      <c r="E17" s="279" t="str">
        <f>IF(ISERROR(MATCH(F17,'GCal-Year'!$E$40:$E$435,0)),"A","")</f>
        <v/>
      </c>
      <c r="F17" s="279">
        <f t="shared" si="1"/>
        <v>102109</v>
      </c>
      <c r="G17" s="279">
        <f t="shared" si="2"/>
        <v>102110</v>
      </c>
      <c r="H17" s="279">
        <f t="shared" si="3"/>
        <v>102109</v>
      </c>
      <c r="I17" s="279" t="s">
        <v>9538</v>
      </c>
      <c r="J17" s="279" t="s">
        <v>24</v>
      </c>
      <c r="K17" s="279" t="s">
        <v>18</v>
      </c>
      <c r="L17" s="278" t="s">
        <v>7259</v>
      </c>
      <c r="M17" s="279">
        <f t="shared" si="4"/>
        <v>2</v>
      </c>
      <c r="N17" s="279">
        <f t="shared" si="5"/>
        <v>1</v>
      </c>
      <c r="O17" s="279">
        <f t="shared" si="6"/>
        <v>9</v>
      </c>
      <c r="P17" s="280" t="s">
        <v>7260</v>
      </c>
      <c r="Q17" s="281">
        <f t="shared" si="7"/>
        <v>10210903</v>
      </c>
      <c r="R17" s="281" t="s">
        <v>221</v>
      </c>
      <c r="S17" s="278" t="str">
        <f t="shared" si="8"/>
        <v>Srimati Jahnava Devi - Appearance</v>
      </c>
      <c r="T17" s="278"/>
      <c r="U17" s="282"/>
      <c r="V17" s="278">
        <v>3</v>
      </c>
      <c r="W17" s="278" t="s">
        <v>171</v>
      </c>
      <c r="X17" s="266"/>
    </row>
    <row r="18" spans="1:24" x14ac:dyDescent="0.25">
      <c r="A18" s="278">
        <v>9</v>
      </c>
      <c r="B18" s="278">
        <f t="shared" si="0"/>
        <v>1</v>
      </c>
      <c r="C18" s="311">
        <f>IFERROR(INDEX('GCal-Year'!$A$40:$A$435,D18),"---")</f>
        <v>43600</v>
      </c>
      <c r="D18" s="279">
        <f>IFERROR(MATCH(H18,'GCal-Year'!$E$40:$E$435,0),"---")</f>
        <v>135</v>
      </c>
      <c r="E18" s="279" t="str">
        <f>IF(ISERROR(MATCH(F18,'GCal-Year'!$E$40:$E$435,0)),"A","")</f>
        <v/>
      </c>
      <c r="F18" s="279">
        <f t="shared" si="1"/>
        <v>102112</v>
      </c>
      <c r="G18" s="279">
        <f t="shared" si="2"/>
        <v>102113</v>
      </c>
      <c r="H18" s="279">
        <f t="shared" si="3"/>
        <v>102112</v>
      </c>
      <c r="I18" s="279" t="s">
        <v>9538</v>
      </c>
      <c r="J18" s="279" t="s">
        <v>24</v>
      </c>
      <c r="K18" s="279" t="s">
        <v>21</v>
      </c>
      <c r="L18" s="278" t="s">
        <v>7261</v>
      </c>
      <c r="M18" s="279">
        <f t="shared" si="4"/>
        <v>2</v>
      </c>
      <c r="N18" s="279">
        <f t="shared" si="5"/>
        <v>1</v>
      </c>
      <c r="O18" s="279">
        <f t="shared" si="6"/>
        <v>12</v>
      </c>
      <c r="P18" s="280" t="s">
        <v>7262</v>
      </c>
      <c r="Q18" s="281">
        <f t="shared" si="7"/>
        <v>10211201</v>
      </c>
      <c r="R18" s="281" t="s">
        <v>7263</v>
      </c>
      <c r="S18" s="278" t="str">
        <f t="shared" si="8"/>
        <v>Rukmini Dvadasi</v>
      </c>
      <c r="T18" s="278"/>
      <c r="U18" s="282"/>
      <c r="V18" s="278">
        <v>1</v>
      </c>
      <c r="W18" s="278" t="s">
        <v>168</v>
      </c>
      <c r="X18" s="266"/>
    </row>
    <row r="19" spans="1:24" x14ac:dyDescent="0.25">
      <c r="A19" s="278">
        <v>10</v>
      </c>
      <c r="B19" s="278">
        <f t="shared" si="0"/>
        <v>1</v>
      </c>
      <c r="C19" s="311">
        <f>IFERROR(INDEX('GCal-Year'!$A$40:$A$435,D19),"---")</f>
        <v>43601</v>
      </c>
      <c r="D19" s="279">
        <f>IFERROR(MATCH(H19,'GCal-Year'!$E$40:$E$435,0),"---")</f>
        <v>136</v>
      </c>
      <c r="E19" s="279" t="str">
        <f>IF(ISERROR(MATCH(F19,'GCal-Year'!$E$40:$E$435,0)),"A","")</f>
        <v/>
      </c>
      <c r="F19" s="279">
        <f t="shared" si="1"/>
        <v>102113</v>
      </c>
      <c r="G19" s="279">
        <f t="shared" si="2"/>
        <v>102114</v>
      </c>
      <c r="H19" s="279">
        <f t="shared" si="3"/>
        <v>102113</v>
      </c>
      <c r="I19" s="279" t="s">
        <v>9538</v>
      </c>
      <c r="J19" s="279" t="s">
        <v>24</v>
      </c>
      <c r="K19" s="279" t="s">
        <v>8</v>
      </c>
      <c r="L19" s="278" t="s">
        <v>7264</v>
      </c>
      <c r="M19" s="279">
        <f t="shared" si="4"/>
        <v>2</v>
      </c>
      <c r="N19" s="279">
        <f t="shared" si="5"/>
        <v>1</v>
      </c>
      <c r="O19" s="279">
        <f t="shared" si="6"/>
        <v>13</v>
      </c>
      <c r="P19" s="280" t="s">
        <v>7265</v>
      </c>
      <c r="Q19" s="281">
        <f t="shared" si="7"/>
        <v>10211301</v>
      </c>
      <c r="R19" s="281" t="s">
        <v>224</v>
      </c>
      <c r="S19" s="278" t="str">
        <f t="shared" si="8"/>
        <v>Sri Jayananda Prabhu - Disappearance</v>
      </c>
      <c r="T19" s="278"/>
      <c r="U19" s="282"/>
      <c r="V19" s="278">
        <v>4</v>
      </c>
      <c r="W19" s="278" t="s">
        <v>173</v>
      </c>
      <c r="X19" s="266"/>
    </row>
    <row r="20" spans="1:24" x14ac:dyDescent="0.25">
      <c r="A20" s="278">
        <v>11.3</v>
      </c>
      <c r="B20" s="278">
        <f t="shared" si="0"/>
        <v>1</v>
      </c>
      <c r="C20" s="311">
        <f>IFERROR(INDEX('GCal-Year'!$A$40:$A$435,D20),"---")</f>
        <v>43602</v>
      </c>
      <c r="D20" s="279">
        <f>IFERROR(MATCH(H20,'GCal-Year'!$E$40:$E$435,0),"---")</f>
        <v>137</v>
      </c>
      <c r="E20" s="279" t="str">
        <f>IF(ISERROR(MATCH(F20,'GCal-Year'!$E$40:$E$435,0)),"A","")</f>
        <v/>
      </c>
      <c r="F20" s="279">
        <f t="shared" si="1"/>
        <v>102114</v>
      </c>
      <c r="G20" s="279">
        <f t="shared" si="2"/>
        <v>102115</v>
      </c>
      <c r="H20" s="279">
        <f t="shared" si="3"/>
        <v>102114</v>
      </c>
      <c r="I20" s="279" t="s">
        <v>9538</v>
      </c>
      <c r="J20" s="279" t="s">
        <v>24</v>
      </c>
      <c r="K20" s="279" t="s">
        <v>9</v>
      </c>
      <c r="L20" s="278" t="s">
        <v>7266</v>
      </c>
      <c r="M20" s="279">
        <f>VALUE(Masacod(I20))</f>
        <v>2</v>
      </c>
      <c r="N20" s="279">
        <f>VALUE(PaksaCod(J20))</f>
        <v>1</v>
      </c>
      <c r="O20" s="279">
        <f>VALUE(TithiCod(K20))</f>
        <v>14</v>
      </c>
      <c r="P20" s="280" t="s">
        <v>7267</v>
      </c>
      <c r="Q20" s="281">
        <f t="shared" si="7"/>
        <v>10211401</v>
      </c>
      <c r="R20" s="281" t="s">
        <v>227</v>
      </c>
      <c r="S20" s="278" t="str">
        <f t="shared" si="8"/>
        <v>Nrsimha Caturdasi: Appearance of Lord Nrsimhadeva</v>
      </c>
      <c r="T20" s="278" t="s">
        <v>37</v>
      </c>
      <c r="U20" s="282" t="s">
        <v>7268</v>
      </c>
      <c r="V20" s="278">
        <v>0</v>
      </c>
      <c r="W20" s="278" t="s">
        <v>167</v>
      </c>
      <c r="X20" s="266"/>
    </row>
    <row r="21" spans="1:24" x14ac:dyDescent="0.25">
      <c r="A21" s="278">
        <v>11.5</v>
      </c>
      <c r="B21" s="278">
        <f t="shared" si="0"/>
        <v>2</v>
      </c>
      <c r="C21" s="311">
        <f>IFERROR(INDEX('GCal-Year'!$A$40:$A$435,D21),"---")</f>
        <v>43602</v>
      </c>
      <c r="D21" s="279">
        <f>IFERROR(MATCH(H21,'GCal-Year'!$E$40:$E$435,0),"---")</f>
        <v>137</v>
      </c>
      <c r="E21" s="279" t="str">
        <f>IF(ISERROR(MATCH(F21,'GCal-Year'!$E$40:$E$435,0)),"A","")</f>
        <v/>
      </c>
      <c r="F21" s="279">
        <f t="shared" si="1"/>
        <v>102114</v>
      </c>
      <c r="G21" s="279">
        <f t="shared" si="2"/>
        <v>102115</v>
      </c>
      <c r="H21" s="279">
        <f t="shared" si="3"/>
        <v>102114</v>
      </c>
      <c r="I21" s="279" t="s">
        <v>9538</v>
      </c>
      <c r="J21" s="279" t="s">
        <v>24</v>
      </c>
      <c r="K21" s="279" t="s">
        <v>9</v>
      </c>
      <c r="L21" s="278" t="s">
        <v>7266</v>
      </c>
      <c r="M21" s="279">
        <f t="shared" si="4"/>
        <v>2</v>
      </c>
      <c r="N21" s="279">
        <f t="shared" si="5"/>
        <v>1</v>
      </c>
      <c r="O21" s="279">
        <f t="shared" si="6"/>
        <v>14</v>
      </c>
      <c r="P21" s="280" t="s">
        <v>7267</v>
      </c>
      <c r="Q21" s="281">
        <f t="shared" si="7"/>
        <v>10211402</v>
      </c>
      <c r="R21" s="281" t="s">
        <v>577</v>
      </c>
      <c r="S21" s="278" t="str">
        <f t="shared" si="8"/>
        <v>(Fast till dusk)</v>
      </c>
      <c r="T21" s="278" t="s">
        <v>37</v>
      </c>
      <c r="U21" s="282" t="s">
        <v>7268</v>
      </c>
      <c r="V21" s="278">
        <v>-1</v>
      </c>
      <c r="W21" s="278" t="s">
        <v>1393</v>
      </c>
      <c r="X21" s="266"/>
    </row>
    <row r="22" spans="1:24" x14ac:dyDescent="0.25">
      <c r="A22" s="278">
        <v>12</v>
      </c>
      <c r="B22" s="278">
        <f t="shared" si="0"/>
        <v>1</v>
      </c>
      <c r="C22" s="311">
        <f>IFERROR(INDEX('GCal-Year'!$A$40:$A$435,D22),"---")</f>
        <v>43603</v>
      </c>
      <c r="D22" s="279">
        <f>IFERROR(MATCH(H22,'GCal-Year'!$E$40:$E$435,0),"---")</f>
        <v>138</v>
      </c>
      <c r="E22" s="279" t="str">
        <f>IF(ISERROR(MATCH(F22,'GCal-Year'!$E$40:$E$435,0)),"A","")</f>
        <v/>
      </c>
      <c r="F22" s="279">
        <f t="shared" si="1"/>
        <v>102115</v>
      </c>
      <c r="G22" s="279">
        <f t="shared" si="2"/>
        <v>13001</v>
      </c>
      <c r="H22" s="279">
        <f t="shared" si="3"/>
        <v>102115</v>
      </c>
      <c r="I22" s="279" t="s">
        <v>9538</v>
      </c>
      <c r="J22" s="279" t="s">
        <v>24</v>
      </c>
      <c r="K22" s="279" t="s">
        <v>10</v>
      </c>
      <c r="L22" s="278" t="s">
        <v>7269</v>
      </c>
      <c r="M22" s="279">
        <f t="shared" si="4"/>
        <v>2</v>
      </c>
      <c r="N22" s="279">
        <f t="shared" si="5"/>
        <v>1</v>
      </c>
      <c r="O22" s="279">
        <f t="shared" si="6"/>
        <v>15</v>
      </c>
      <c r="P22" s="280" t="s">
        <v>7270</v>
      </c>
      <c r="Q22" s="281">
        <f t="shared" si="7"/>
        <v>10211501</v>
      </c>
      <c r="R22" s="281" t="s">
        <v>7271</v>
      </c>
      <c r="S22" s="278" t="str">
        <f t="shared" si="8"/>
        <v>Krsna Phula Dola, Salila Vihara</v>
      </c>
      <c r="T22" s="278"/>
      <c r="U22" s="282"/>
      <c r="V22" s="278">
        <v>1</v>
      </c>
      <c r="W22" s="278" t="s">
        <v>168</v>
      </c>
      <c r="X22" s="266"/>
    </row>
    <row r="23" spans="1:24" x14ac:dyDescent="0.25">
      <c r="A23" s="278">
        <v>13</v>
      </c>
      <c r="B23" s="278">
        <f t="shared" si="0"/>
        <v>2</v>
      </c>
      <c r="C23" s="311">
        <f>IFERROR(INDEX('GCal-Year'!$A$40:$A$435,D23),"---")</f>
        <v>43603</v>
      </c>
      <c r="D23" s="279">
        <f>IFERROR(MATCH(H23,'GCal-Year'!$E$40:$E$435,0),"---")</f>
        <v>138</v>
      </c>
      <c r="E23" s="279" t="str">
        <f>IF(ISERROR(MATCH(F23,'GCal-Year'!$E$40:$E$435,0)),"A","")</f>
        <v/>
      </c>
      <c r="F23" s="279">
        <f t="shared" si="1"/>
        <v>102115</v>
      </c>
      <c r="G23" s="279">
        <f t="shared" si="2"/>
        <v>13001</v>
      </c>
      <c r="H23" s="279">
        <f t="shared" si="3"/>
        <v>102115</v>
      </c>
      <c r="I23" s="279" t="s">
        <v>9538</v>
      </c>
      <c r="J23" s="279" t="s">
        <v>24</v>
      </c>
      <c r="K23" s="279" t="s">
        <v>10</v>
      </c>
      <c r="L23" s="278" t="s">
        <v>7269</v>
      </c>
      <c r="M23" s="279">
        <f t="shared" si="4"/>
        <v>2</v>
      </c>
      <c r="N23" s="279">
        <f t="shared" si="5"/>
        <v>1</v>
      </c>
      <c r="O23" s="279">
        <f t="shared" si="6"/>
        <v>15</v>
      </c>
      <c r="P23" s="280" t="s">
        <v>7270</v>
      </c>
      <c r="Q23" s="281">
        <f t="shared" si="7"/>
        <v>10211502</v>
      </c>
      <c r="R23" s="281" t="s">
        <v>229</v>
      </c>
      <c r="S23" s="278" t="str">
        <f t="shared" si="8"/>
        <v>Sri Paramesvari Dasa Thakura - Disappearance</v>
      </c>
      <c r="T23" s="278"/>
      <c r="U23" s="282"/>
      <c r="V23" s="278">
        <v>3</v>
      </c>
      <c r="W23" s="278" t="s">
        <v>171</v>
      </c>
      <c r="X23" s="266"/>
    </row>
    <row r="24" spans="1:24" x14ac:dyDescent="0.25">
      <c r="A24" s="278">
        <v>14</v>
      </c>
      <c r="B24" s="278">
        <f t="shared" si="0"/>
        <v>3</v>
      </c>
      <c r="C24" s="311">
        <f>IFERROR(INDEX('GCal-Year'!$A$40:$A$435,D24),"---")</f>
        <v>43603</v>
      </c>
      <c r="D24" s="279">
        <f>IFERROR(MATCH(H24,'GCal-Year'!$E$40:$E$435,0),"---")</f>
        <v>138</v>
      </c>
      <c r="E24" s="279" t="str">
        <f>IF(ISERROR(MATCH(F24,'GCal-Year'!$E$40:$E$435,0)),"A","")</f>
        <v/>
      </c>
      <c r="F24" s="279">
        <f t="shared" si="1"/>
        <v>102115</v>
      </c>
      <c r="G24" s="279">
        <f t="shared" si="2"/>
        <v>13001</v>
      </c>
      <c r="H24" s="279">
        <f t="shared" si="3"/>
        <v>102115</v>
      </c>
      <c r="I24" s="279" t="s">
        <v>9538</v>
      </c>
      <c r="J24" s="279" t="s">
        <v>24</v>
      </c>
      <c r="K24" s="279" t="s">
        <v>10</v>
      </c>
      <c r="L24" s="278" t="s">
        <v>7269</v>
      </c>
      <c r="M24" s="279">
        <f t="shared" si="4"/>
        <v>2</v>
      </c>
      <c r="N24" s="279">
        <f t="shared" si="5"/>
        <v>1</v>
      </c>
      <c r="O24" s="279">
        <f t="shared" si="6"/>
        <v>15</v>
      </c>
      <c r="P24" s="280" t="s">
        <v>7270</v>
      </c>
      <c r="Q24" s="281">
        <f t="shared" si="7"/>
        <v>10211503</v>
      </c>
      <c r="R24" s="281" t="s">
        <v>233</v>
      </c>
      <c r="S24" s="278" t="str">
        <f t="shared" si="8"/>
        <v>Sri Sri Radha-Ramana Devaji - Appearance</v>
      </c>
      <c r="T24" s="278"/>
      <c r="U24" s="282"/>
      <c r="V24" s="278">
        <v>1</v>
      </c>
      <c r="W24" s="283" t="s">
        <v>168</v>
      </c>
      <c r="X24" s="266"/>
    </row>
    <row r="25" spans="1:24" x14ac:dyDescent="0.25">
      <c r="A25" s="278">
        <v>15</v>
      </c>
      <c r="B25" s="278">
        <f t="shared" si="0"/>
        <v>4</v>
      </c>
      <c r="C25" s="311">
        <f>IFERROR(INDEX('GCal-Year'!$A$40:$A$435,D25),"---")</f>
        <v>43603</v>
      </c>
      <c r="D25" s="279">
        <f>IFERROR(MATCH(H25,'GCal-Year'!$E$40:$E$435,0),"---")</f>
        <v>138</v>
      </c>
      <c r="E25" s="279" t="str">
        <f>IF(ISERROR(MATCH(F25,'GCal-Year'!$E$40:$E$435,0)),"A","")</f>
        <v/>
      </c>
      <c r="F25" s="279">
        <f t="shared" si="1"/>
        <v>102115</v>
      </c>
      <c r="G25" s="279">
        <f t="shared" si="2"/>
        <v>13001</v>
      </c>
      <c r="H25" s="279">
        <f t="shared" si="3"/>
        <v>102115</v>
      </c>
      <c r="I25" s="279" t="s">
        <v>9538</v>
      </c>
      <c r="J25" s="279" t="s">
        <v>24</v>
      </c>
      <c r="K25" s="279" t="s">
        <v>10</v>
      </c>
      <c r="L25" s="278" t="s">
        <v>7269</v>
      </c>
      <c r="M25" s="279">
        <f t="shared" si="4"/>
        <v>2</v>
      </c>
      <c r="N25" s="279">
        <f t="shared" si="5"/>
        <v>1</v>
      </c>
      <c r="O25" s="279">
        <f t="shared" si="6"/>
        <v>15</v>
      </c>
      <c r="P25" s="280" t="s">
        <v>7270</v>
      </c>
      <c r="Q25" s="281">
        <f t="shared" si="7"/>
        <v>10211504</v>
      </c>
      <c r="R25" s="281" t="s">
        <v>236</v>
      </c>
      <c r="S25" s="278" t="str">
        <f t="shared" si="8"/>
        <v>Sri Madhavendra Puri - Appearance</v>
      </c>
      <c r="T25" s="278"/>
      <c r="U25" s="282"/>
      <c r="V25" s="278">
        <v>3</v>
      </c>
      <c r="W25" s="278" t="s">
        <v>171</v>
      </c>
      <c r="X25" s="266"/>
    </row>
    <row r="26" spans="1:24" x14ac:dyDescent="0.25">
      <c r="A26" s="278">
        <v>16</v>
      </c>
      <c r="B26" s="278">
        <f t="shared" si="0"/>
        <v>5</v>
      </c>
      <c r="C26" s="311">
        <f>IFERROR(INDEX('GCal-Year'!$A$40:$A$435,D26),"---")</f>
        <v>43603</v>
      </c>
      <c r="D26" s="279">
        <f>IFERROR(MATCH(H26,'GCal-Year'!$E$40:$E$435,0),"---")</f>
        <v>138</v>
      </c>
      <c r="E26" s="279" t="str">
        <f>IF(ISERROR(MATCH(F26,'GCal-Year'!$E$40:$E$435,0)),"A","")</f>
        <v/>
      </c>
      <c r="F26" s="279">
        <f t="shared" si="1"/>
        <v>102115</v>
      </c>
      <c r="G26" s="279">
        <f t="shared" si="2"/>
        <v>13001</v>
      </c>
      <c r="H26" s="279">
        <f t="shared" si="3"/>
        <v>102115</v>
      </c>
      <c r="I26" s="279" t="s">
        <v>9538</v>
      </c>
      <c r="J26" s="279" t="s">
        <v>24</v>
      </c>
      <c r="K26" s="279" t="s">
        <v>10</v>
      </c>
      <c r="L26" s="278" t="s">
        <v>7269</v>
      </c>
      <c r="M26" s="279">
        <f t="shared" si="4"/>
        <v>2</v>
      </c>
      <c r="N26" s="279">
        <f t="shared" si="5"/>
        <v>1</v>
      </c>
      <c r="O26" s="279">
        <f t="shared" si="6"/>
        <v>15</v>
      </c>
      <c r="P26" s="280" t="s">
        <v>7270</v>
      </c>
      <c r="Q26" s="281">
        <f t="shared" si="7"/>
        <v>10211505</v>
      </c>
      <c r="R26" s="281" t="s">
        <v>239</v>
      </c>
      <c r="S26" s="278" t="str">
        <f t="shared" si="8"/>
        <v>Sri Srinivasa Acarya - Appearance</v>
      </c>
      <c r="T26" s="278"/>
      <c r="U26" s="282"/>
      <c r="V26" s="278">
        <v>3</v>
      </c>
      <c r="W26" s="278" t="s">
        <v>171</v>
      </c>
      <c r="X26" s="266"/>
    </row>
    <row r="27" spans="1:24" x14ac:dyDescent="0.25">
      <c r="A27" s="273">
        <v>17</v>
      </c>
      <c r="B27" s="273">
        <f t="shared" si="0"/>
        <v>1</v>
      </c>
      <c r="C27" s="301">
        <f>IFERROR(INDEX('GCal-Year'!$A$40:$A$435,D27),"---")</f>
        <v>43608</v>
      </c>
      <c r="D27" s="274">
        <f>IFERROR(MATCH(H27,'GCal-Year'!$E$40:$E$435,0),"---")</f>
        <v>143</v>
      </c>
      <c r="E27" s="274" t="str">
        <f>IF(ISERROR(MATCH(F27,'GCal-Year'!$E$40:$E$435,0)),"A","")</f>
        <v/>
      </c>
      <c r="F27" s="274">
        <f t="shared" si="1"/>
        <v>103005</v>
      </c>
      <c r="G27" s="274">
        <f t="shared" si="2"/>
        <v>103006</v>
      </c>
      <c r="H27" s="274">
        <f t="shared" si="3"/>
        <v>103005</v>
      </c>
      <c r="I27" s="274" t="s">
        <v>9539</v>
      </c>
      <c r="J27" s="274" t="s">
        <v>25</v>
      </c>
      <c r="K27" s="274" t="s">
        <v>14</v>
      </c>
      <c r="L27" s="273" t="s">
        <v>7272</v>
      </c>
      <c r="M27" s="274">
        <f t="shared" si="4"/>
        <v>3</v>
      </c>
      <c r="N27" s="274">
        <f t="shared" si="5"/>
        <v>0</v>
      </c>
      <c r="O27" s="274">
        <f t="shared" si="6"/>
        <v>5</v>
      </c>
      <c r="P27" s="275" t="s">
        <v>7273</v>
      </c>
      <c r="Q27" s="276">
        <f t="shared" si="7"/>
        <v>10300501</v>
      </c>
      <c r="R27" s="276" t="s">
        <v>242</v>
      </c>
      <c r="S27" s="273" t="str">
        <f t="shared" si="8"/>
        <v>Sri Ramananda Raya - Disappearance</v>
      </c>
      <c r="T27" s="273"/>
      <c r="U27" s="277"/>
      <c r="V27" s="273">
        <v>3</v>
      </c>
      <c r="W27" s="273" t="s">
        <v>171</v>
      </c>
      <c r="X27" s="266"/>
    </row>
    <row r="28" spans="1:24" x14ac:dyDescent="0.25">
      <c r="A28" s="273">
        <v>18</v>
      </c>
      <c r="B28" s="273">
        <f t="shared" si="0"/>
        <v>1</v>
      </c>
      <c r="C28" s="301">
        <f>IFERROR(INDEX('GCal-Year'!$A$40:$A$435,D28),"---")</f>
        <v>43616</v>
      </c>
      <c r="D28" s="274">
        <f>IFERROR(MATCH(H28,'GCal-Year'!$E$40:$E$435,0),"---")</f>
        <v>151</v>
      </c>
      <c r="E28" s="274" t="str">
        <f>IF(ISERROR(MATCH(F28,'GCal-Year'!$E$40:$E$435,0)),"A","")</f>
        <v/>
      </c>
      <c r="F28" s="274">
        <f t="shared" si="1"/>
        <v>103012</v>
      </c>
      <c r="G28" s="274">
        <f t="shared" si="2"/>
        <v>103013</v>
      </c>
      <c r="H28" s="274">
        <f t="shared" si="3"/>
        <v>103012</v>
      </c>
      <c r="I28" s="274" t="s">
        <v>9539</v>
      </c>
      <c r="J28" s="274" t="s">
        <v>25</v>
      </c>
      <c r="K28" s="274" t="s">
        <v>21</v>
      </c>
      <c r="L28" s="273" t="s">
        <v>7274</v>
      </c>
      <c r="M28" s="274">
        <f t="shared" si="4"/>
        <v>3</v>
      </c>
      <c r="N28" s="274">
        <f t="shared" si="5"/>
        <v>0</v>
      </c>
      <c r="O28" s="274">
        <f t="shared" si="6"/>
        <v>12</v>
      </c>
      <c r="P28" s="275" t="s">
        <v>7275</v>
      </c>
      <c r="Q28" s="276">
        <f t="shared" si="7"/>
        <v>10301201</v>
      </c>
      <c r="R28" s="276" t="s">
        <v>245</v>
      </c>
      <c r="S28" s="273" t="str">
        <f t="shared" si="8"/>
        <v>Srila Vrndavana Dasa Thakura - Appearance</v>
      </c>
      <c r="T28" s="273"/>
      <c r="U28" s="277"/>
      <c r="V28" s="273">
        <v>3</v>
      </c>
      <c r="W28" s="273" t="s">
        <v>171</v>
      </c>
      <c r="X28" s="266"/>
    </row>
    <row r="29" spans="1:24" x14ac:dyDescent="0.25">
      <c r="A29" s="273">
        <v>19</v>
      </c>
      <c r="B29" s="273">
        <f t="shared" si="0"/>
        <v>1</v>
      </c>
      <c r="C29" s="301">
        <f>IFERROR(INDEX('GCal-Year'!$A$40:$A$435,D29),"---")</f>
        <v>43628</v>
      </c>
      <c r="D29" s="274">
        <f>IFERROR(MATCH(H29,'GCal-Year'!$E$40:$E$435,0),"---")</f>
        <v>163</v>
      </c>
      <c r="E29" s="274" t="str">
        <f>IF(ISERROR(MATCH(F29,'GCal-Year'!$E$40:$E$435,0)),"A","")</f>
        <v/>
      </c>
      <c r="F29" s="274">
        <f t="shared" si="1"/>
        <v>103110</v>
      </c>
      <c r="G29" s="274">
        <f t="shared" si="2"/>
        <v>103111</v>
      </c>
      <c r="H29" s="274">
        <f t="shared" si="3"/>
        <v>103110</v>
      </c>
      <c r="I29" s="274" t="s">
        <v>9539</v>
      </c>
      <c r="J29" s="274" t="s">
        <v>24</v>
      </c>
      <c r="K29" s="274" t="s">
        <v>19</v>
      </c>
      <c r="L29" s="273" t="s">
        <v>7276</v>
      </c>
      <c r="M29" s="274">
        <f t="shared" si="4"/>
        <v>3</v>
      </c>
      <c r="N29" s="274">
        <f t="shared" si="5"/>
        <v>1</v>
      </c>
      <c r="O29" s="274">
        <f t="shared" si="6"/>
        <v>10</v>
      </c>
      <c r="P29" s="275" t="s">
        <v>7277</v>
      </c>
      <c r="Q29" s="276">
        <f t="shared" si="7"/>
        <v>10311001</v>
      </c>
      <c r="R29" s="276" t="s">
        <v>248</v>
      </c>
      <c r="S29" s="273" t="str">
        <f t="shared" si="8"/>
        <v>Sri Baladeva Vidyabhusana - Disappearance</v>
      </c>
      <c r="T29" s="273"/>
      <c r="U29" s="277"/>
      <c r="V29" s="273">
        <v>3</v>
      </c>
      <c r="W29" s="273" t="s">
        <v>171</v>
      </c>
      <c r="X29" s="266"/>
    </row>
    <row r="30" spans="1:24" x14ac:dyDescent="0.25">
      <c r="A30" s="273">
        <v>20</v>
      </c>
      <c r="B30" s="273">
        <f t="shared" si="0"/>
        <v>2</v>
      </c>
      <c r="C30" s="301">
        <f>IFERROR(INDEX('GCal-Year'!$A$40:$A$435,D30),"---")</f>
        <v>43628</v>
      </c>
      <c r="D30" s="274">
        <f>IFERROR(MATCH(H30,'GCal-Year'!$E$40:$E$435,0),"---")</f>
        <v>163</v>
      </c>
      <c r="E30" s="274" t="str">
        <f>IF(ISERROR(MATCH(F30,'GCal-Year'!$E$40:$E$435,0)),"A","")</f>
        <v/>
      </c>
      <c r="F30" s="274">
        <f t="shared" si="1"/>
        <v>103110</v>
      </c>
      <c r="G30" s="274">
        <f t="shared" si="2"/>
        <v>103111</v>
      </c>
      <c r="H30" s="274">
        <f t="shared" si="3"/>
        <v>103110</v>
      </c>
      <c r="I30" s="274" t="s">
        <v>9539</v>
      </c>
      <c r="J30" s="274" t="s">
        <v>24</v>
      </c>
      <c r="K30" s="274" t="s">
        <v>19</v>
      </c>
      <c r="L30" s="273" t="s">
        <v>7276</v>
      </c>
      <c r="M30" s="274">
        <f t="shared" si="4"/>
        <v>3</v>
      </c>
      <c r="N30" s="274">
        <f t="shared" si="5"/>
        <v>1</v>
      </c>
      <c r="O30" s="274">
        <f t="shared" si="6"/>
        <v>10</v>
      </c>
      <c r="P30" s="275" t="s">
        <v>7277</v>
      </c>
      <c r="Q30" s="276">
        <f t="shared" si="7"/>
        <v>10311002</v>
      </c>
      <c r="R30" s="276" t="s">
        <v>7278</v>
      </c>
      <c r="S30" s="273" t="str">
        <f t="shared" si="8"/>
        <v>Ganga Puja</v>
      </c>
      <c r="T30" s="273"/>
      <c r="U30" s="277"/>
      <c r="V30" s="273">
        <v>1</v>
      </c>
      <c r="W30" s="273" t="s">
        <v>168</v>
      </c>
      <c r="X30" s="266"/>
    </row>
    <row r="31" spans="1:24" x14ac:dyDescent="0.25">
      <c r="A31" s="273">
        <v>21</v>
      </c>
      <c r="B31" s="273">
        <f t="shared" si="0"/>
        <v>3</v>
      </c>
      <c r="C31" s="301">
        <f>IFERROR(INDEX('GCal-Year'!$A$40:$A$435,D31),"---")</f>
        <v>43628</v>
      </c>
      <c r="D31" s="274">
        <f>IFERROR(MATCH(H31,'GCal-Year'!$E$40:$E$435,0),"---")</f>
        <v>163</v>
      </c>
      <c r="E31" s="274" t="str">
        <f>IF(ISERROR(MATCH(F31,'GCal-Year'!$E$40:$E$435,0)),"A","")</f>
        <v/>
      </c>
      <c r="F31" s="274">
        <f t="shared" si="1"/>
        <v>103110</v>
      </c>
      <c r="G31" s="274">
        <f t="shared" si="2"/>
        <v>103111</v>
      </c>
      <c r="H31" s="274">
        <f t="shared" si="3"/>
        <v>103110</v>
      </c>
      <c r="I31" s="274" t="s">
        <v>9539</v>
      </c>
      <c r="J31" s="274" t="s">
        <v>24</v>
      </c>
      <c r="K31" s="274" t="s">
        <v>19</v>
      </c>
      <c r="L31" s="273" t="s">
        <v>7276</v>
      </c>
      <c r="M31" s="274">
        <f t="shared" si="4"/>
        <v>3</v>
      </c>
      <c r="N31" s="274">
        <f t="shared" si="5"/>
        <v>1</v>
      </c>
      <c r="O31" s="274">
        <f t="shared" si="6"/>
        <v>10</v>
      </c>
      <c r="P31" s="275" t="s">
        <v>7277</v>
      </c>
      <c r="Q31" s="276">
        <f t="shared" si="7"/>
        <v>10311003</v>
      </c>
      <c r="R31" s="276" t="s">
        <v>251</v>
      </c>
      <c r="S31" s="273" t="str">
        <f t="shared" si="8"/>
        <v>Srimati Gangamata Gosvamini - Appearance</v>
      </c>
      <c r="T31" s="273"/>
      <c r="U31" s="277"/>
      <c r="V31" s="273">
        <v>3</v>
      </c>
      <c r="W31" s="273" t="s">
        <v>171</v>
      </c>
      <c r="X31" s="266"/>
    </row>
    <row r="32" spans="1:24" x14ac:dyDescent="0.25">
      <c r="A32" s="273">
        <v>22</v>
      </c>
      <c r="B32" s="273">
        <f t="shared" si="0"/>
        <v>1</v>
      </c>
      <c r="C32" s="301">
        <f>IFERROR(INDEX('GCal-Year'!$A$40:$A$435,D32),"---")</f>
        <v>43631</v>
      </c>
      <c r="D32" s="274">
        <f>IFERROR(MATCH(H32,'GCal-Year'!$E$40:$E$435,0),"---")</f>
        <v>166</v>
      </c>
      <c r="E32" s="274" t="str">
        <f>IF(ISERROR(MATCH(F32,'GCal-Year'!$E$40:$E$435,0)),"A","")</f>
        <v/>
      </c>
      <c r="F32" s="274">
        <f t="shared" si="1"/>
        <v>103113</v>
      </c>
      <c r="G32" s="274">
        <f t="shared" si="2"/>
        <v>103114</v>
      </c>
      <c r="H32" s="274">
        <f t="shared" si="3"/>
        <v>103113</v>
      </c>
      <c r="I32" s="274" t="s">
        <v>9539</v>
      </c>
      <c r="J32" s="274" t="s">
        <v>24</v>
      </c>
      <c r="K32" s="274" t="s">
        <v>8</v>
      </c>
      <c r="L32" s="273" t="s">
        <v>7279</v>
      </c>
      <c r="M32" s="274">
        <f t="shared" si="4"/>
        <v>3</v>
      </c>
      <c r="N32" s="274">
        <f t="shared" si="5"/>
        <v>1</v>
      </c>
      <c r="O32" s="274">
        <f t="shared" si="6"/>
        <v>13</v>
      </c>
      <c r="P32" s="275" t="s">
        <v>7280</v>
      </c>
      <c r="Q32" s="276">
        <f t="shared" si="7"/>
        <v>10311301</v>
      </c>
      <c r="R32" s="276" t="s">
        <v>7281</v>
      </c>
      <c r="S32" s="273" t="str">
        <f t="shared" si="8"/>
        <v>Panihati Cida Dahi Utsava</v>
      </c>
      <c r="T32" s="273"/>
      <c r="U32" s="277"/>
      <c r="V32" s="273">
        <v>1</v>
      </c>
      <c r="W32" s="273" t="s">
        <v>168</v>
      </c>
      <c r="X32" s="266"/>
    </row>
    <row r="33" spans="1:24" x14ac:dyDescent="0.25">
      <c r="A33" s="273">
        <v>23</v>
      </c>
      <c r="B33" s="273">
        <f t="shared" si="0"/>
        <v>1</v>
      </c>
      <c r="C33" s="301">
        <f>IFERROR(INDEX('GCal-Year'!$A$40:$A$435,D33),"---")</f>
        <v>43633</v>
      </c>
      <c r="D33" s="274">
        <f>IFERROR(MATCH(H33,'GCal-Year'!$E$40:$E$435,0),"---")</f>
        <v>168</v>
      </c>
      <c r="E33" s="274" t="str">
        <f>IF(ISERROR(MATCH(F33,'GCal-Year'!$E$40:$E$435,0)),"A","")</f>
        <v/>
      </c>
      <c r="F33" s="274">
        <f t="shared" si="1"/>
        <v>103115</v>
      </c>
      <c r="G33" s="274">
        <f t="shared" si="2"/>
        <v>14001</v>
      </c>
      <c r="H33" s="274">
        <f t="shared" si="3"/>
        <v>103115</v>
      </c>
      <c r="I33" s="274" t="s">
        <v>9539</v>
      </c>
      <c r="J33" s="274" t="s">
        <v>24</v>
      </c>
      <c r="K33" s="274" t="s">
        <v>10</v>
      </c>
      <c r="L33" s="273" t="s">
        <v>7282</v>
      </c>
      <c r="M33" s="274">
        <f t="shared" ref="M33:M60" si="9">VALUE(Masacod(I33))</f>
        <v>3</v>
      </c>
      <c r="N33" s="274">
        <f t="shared" ref="N33:N60" si="10">VALUE(PaksaCod(J33))</f>
        <v>1</v>
      </c>
      <c r="O33" s="274">
        <f t="shared" ref="O33:O60" si="11">VALUE(TithiCod(K33))</f>
        <v>15</v>
      </c>
      <c r="P33" s="275" t="s">
        <v>7283</v>
      </c>
      <c r="Q33" s="276">
        <f t="shared" si="7"/>
        <v>10311501</v>
      </c>
      <c r="R33" s="276" t="s">
        <v>7213</v>
      </c>
      <c r="S33" s="273" t="str">
        <f t="shared" si="8"/>
        <v>Snana Yatra</v>
      </c>
      <c r="T33" s="273"/>
      <c r="U33" s="277"/>
      <c r="V33" s="273">
        <v>1</v>
      </c>
      <c r="W33" s="273" t="s">
        <v>168</v>
      </c>
      <c r="X33" s="266"/>
    </row>
    <row r="34" spans="1:24" x14ac:dyDescent="0.25">
      <c r="A34" s="273">
        <v>24</v>
      </c>
      <c r="B34" s="273">
        <f t="shared" ref="B34:B67" si="12">IF(H34&lt;&gt;H33,1,B33+1)</f>
        <v>2</v>
      </c>
      <c r="C34" s="301">
        <f>IFERROR(INDEX('GCal-Year'!$A$40:$A$435,D34),"---")</f>
        <v>43633</v>
      </c>
      <c r="D34" s="274">
        <f>IFERROR(MATCH(H34,'GCal-Year'!$E$40:$E$435,0),"---")</f>
        <v>168</v>
      </c>
      <c r="E34" s="274" t="str">
        <f>IF(ISERROR(MATCH(F34,'GCal-Year'!$E$40:$E$435,0)),"A","")</f>
        <v/>
      </c>
      <c r="F34" s="274">
        <f t="shared" ref="F34:F72" si="13">VALUE("1" &amp;  Masacod(I34) &amp; PaksaCod(J34) &amp; TithiCod(K34))</f>
        <v>103115</v>
      </c>
      <c r="G34" s="274">
        <f t="shared" ref="G34:G72" si="14">VALUE("1" &amp;  IF(AND(VALUE(RIGHT(F34,2))&gt;14,MID(F34,4,1)="1"),IF(VALUE(MID(F34,2,2))&gt;11,"01",VALUE(MID(F34,2,2))+1),MID(F34,2,2)) &amp; IF(VALUE(RIGHT(F34,2))&gt;14,IF(MID(F34,4,1)="0","1","0"),MID(F34,4,1)) &amp; IF(VALUE(RIGHT(F34,2))&gt;14,"01",TEXT(VALUE(TithiCod(K34))+1,"00")))</f>
        <v>14001</v>
      </c>
      <c r="H34" s="274">
        <f t="shared" ref="H34:H72" si="15">IF(E34="",F34,G34)</f>
        <v>103115</v>
      </c>
      <c r="I34" s="274" t="s">
        <v>9539</v>
      </c>
      <c r="J34" s="274" t="s">
        <v>24</v>
      </c>
      <c r="K34" s="274" t="s">
        <v>10</v>
      </c>
      <c r="L34" s="273" t="s">
        <v>7282</v>
      </c>
      <c r="M34" s="274">
        <f t="shared" si="9"/>
        <v>3</v>
      </c>
      <c r="N34" s="274">
        <f t="shared" si="10"/>
        <v>1</v>
      </c>
      <c r="O34" s="274">
        <f t="shared" si="11"/>
        <v>15</v>
      </c>
      <c r="P34" s="275" t="s">
        <v>7283</v>
      </c>
      <c r="Q34" s="276">
        <f t="shared" ref="Q34:Q72" si="16">VALUE(H34&amp;TEXT(B34,"00"))</f>
        <v>10311502</v>
      </c>
      <c r="R34" s="276" t="s">
        <v>254</v>
      </c>
      <c r="S34" s="273" t="str">
        <f t="shared" si="8"/>
        <v>Sri Mukunda Datta - Disappearance</v>
      </c>
      <c r="T34" s="273"/>
      <c r="U34" s="277"/>
      <c r="V34" s="273">
        <v>3</v>
      </c>
      <c r="W34" s="273" t="s">
        <v>171</v>
      </c>
      <c r="X34" s="266"/>
    </row>
    <row r="35" spans="1:24" x14ac:dyDescent="0.25">
      <c r="A35" s="273">
        <v>25</v>
      </c>
      <c r="B35" s="273">
        <f t="shared" si="12"/>
        <v>3</v>
      </c>
      <c r="C35" s="301">
        <f>IFERROR(INDEX('GCal-Year'!$A$40:$A$435,D35),"---")</f>
        <v>43633</v>
      </c>
      <c r="D35" s="274">
        <f>IFERROR(MATCH(H35,'GCal-Year'!$E$40:$E$435,0),"---")</f>
        <v>168</v>
      </c>
      <c r="E35" s="274" t="str">
        <f>IF(ISERROR(MATCH(F35,'GCal-Year'!$E$40:$E$435,0)),"A","")</f>
        <v/>
      </c>
      <c r="F35" s="274">
        <f t="shared" si="13"/>
        <v>103115</v>
      </c>
      <c r="G35" s="274">
        <f t="shared" si="14"/>
        <v>14001</v>
      </c>
      <c r="H35" s="274">
        <f t="shared" si="15"/>
        <v>103115</v>
      </c>
      <c r="I35" s="274" t="s">
        <v>9539</v>
      </c>
      <c r="J35" s="274" t="s">
        <v>24</v>
      </c>
      <c r="K35" s="274" t="s">
        <v>10</v>
      </c>
      <c r="L35" s="273" t="s">
        <v>7282</v>
      </c>
      <c r="M35" s="274">
        <f t="shared" si="9"/>
        <v>3</v>
      </c>
      <c r="N35" s="274">
        <f t="shared" si="10"/>
        <v>1</v>
      </c>
      <c r="O35" s="274">
        <f t="shared" si="11"/>
        <v>15</v>
      </c>
      <c r="P35" s="275" t="s">
        <v>7283</v>
      </c>
      <c r="Q35" s="276">
        <f t="shared" si="16"/>
        <v>10311503</v>
      </c>
      <c r="R35" s="276" t="s">
        <v>257</v>
      </c>
      <c r="S35" s="273" t="str">
        <f t="shared" si="8"/>
        <v>Sri Sridhara Pandita - Disappearance</v>
      </c>
      <c r="T35" s="273"/>
      <c r="U35" s="277"/>
      <c r="V35" s="273">
        <v>3</v>
      </c>
      <c r="W35" s="273" t="s">
        <v>171</v>
      </c>
      <c r="X35" s="266"/>
    </row>
    <row r="36" spans="1:24" x14ac:dyDescent="0.25">
      <c r="A36" s="278">
        <v>26</v>
      </c>
      <c r="B36" s="278">
        <f t="shared" si="12"/>
        <v>1</v>
      </c>
      <c r="C36" s="311">
        <f>IFERROR(INDEX('GCal-Year'!$A$40:$A$435,D36),"---")</f>
        <v>43634</v>
      </c>
      <c r="D36" s="279">
        <f>IFERROR(MATCH(H36,'GCal-Year'!$E$40:$E$435,0),"---")</f>
        <v>169</v>
      </c>
      <c r="E36" s="279" t="str">
        <f>IF(ISERROR(MATCH(F36,'GCal-Year'!$E$40:$E$435,0)),"A","")</f>
        <v/>
      </c>
      <c r="F36" s="279">
        <f t="shared" si="13"/>
        <v>104001</v>
      </c>
      <c r="G36" s="279">
        <f t="shared" si="14"/>
        <v>104002</v>
      </c>
      <c r="H36" s="279">
        <f t="shared" si="15"/>
        <v>104001</v>
      </c>
      <c r="I36" s="279" t="s">
        <v>9541</v>
      </c>
      <c r="J36" s="279" t="s">
        <v>25</v>
      </c>
      <c r="K36" s="279" t="s">
        <v>11</v>
      </c>
      <c r="L36" s="278" t="s">
        <v>7284</v>
      </c>
      <c r="M36" s="279">
        <f t="shared" si="9"/>
        <v>4</v>
      </c>
      <c r="N36" s="279">
        <f t="shared" si="10"/>
        <v>0</v>
      </c>
      <c r="O36" s="279">
        <f t="shared" si="11"/>
        <v>1</v>
      </c>
      <c r="P36" s="280" t="s">
        <v>7285</v>
      </c>
      <c r="Q36" s="281">
        <f t="shared" si="16"/>
        <v>10400101</v>
      </c>
      <c r="R36" s="281" t="s">
        <v>260</v>
      </c>
      <c r="S36" s="278" t="str">
        <f t="shared" si="8"/>
        <v>Sri Syamananda Prabhu - Disappearance</v>
      </c>
      <c r="T36" s="278"/>
      <c r="U36" s="282"/>
      <c r="V36" s="278">
        <v>3</v>
      </c>
      <c r="W36" s="278" t="s">
        <v>171</v>
      </c>
      <c r="X36" s="266"/>
    </row>
    <row r="37" spans="1:24" x14ac:dyDescent="0.25">
      <c r="A37" s="278">
        <v>27</v>
      </c>
      <c r="B37" s="278">
        <f t="shared" si="12"/>
        <v>1</v>
      </c>
      <c r="C37" s="311">
        <f>IFERROR(INDEX('GCal-Year'!$A$40:$A$435,D37),"---")</f>
        <v>43638</v>
      </c>
      <c r="D37" s="279">
        <f>IFERROR(MATCH(H37,'GCal-Year'!$E$40:$E$435,0),"---")</f>
        <v>173</v>
      </c>
      <c r="E37" s="279" t="str">
        <f>IF(ISERROR(MATCH(F37,'GCal-Year'!$E$40:$E$435,0)),"A","")</f>
        <v/>
      </c>
      <c r="F37" s="279">
        <f t="shared" si="13"/>
        <v>104005</v>
      </c>
      <c r="G37" s="279">
        <f t="shared" si="14"/>
        <v>104006</v>
      </c>
      <c r="H37" s="279">
        <f t="shared" si="15"/>
        <v>104005</v>
      </c>
      <c r="I37" s="279" t="s">
        <v>9541</v>
      </c>
      <c r="J37" s="279" t="s">
        <v>25</v>
      </c>
      <c r="K37" s="279" t="s">
        <v>14</v>
      </c>
      <c r="L37" s="278" t="s">
        <v>7286</v>
      </c>
      <c r="M37" s="279">
        <f t="shared" si="9"/>
        <v>4</v>
      </c>
      <c r="N37" s="279">
        <f t="shared" si="10"/>
        <v>0</v>
      </c>
      <c r="O37" s="279">
        <f t="shared" si="11"/>
        <v>5</v>
      </c>
      <c r="P37" s="280" t="s">
        <v>7287</v>
      </c>
      <c r="Q37" s="281">
        <f t="shared" si="16"/>
        <v>10400501</v>
      </c>
      <c r="R37" s="281" t="s">
        <v>263</v>
      </c>
      <c r="S37" s="278" t="str">
        <f t="shared" si="8"/>
        <v>Sri Vakresvara Pandita - Appearance</v>
      </c>
      <c r="T37" s="278"/>
      <c r="U37" s="282"/>
      <c r="V37" s="278">
        <v>3</v>
      </c>
      <c r="W37" s="278" t="s">
        <v>171</v>
      </c>
      <c r="X37" s="266"/>
    </row>
    <row r="38" spans="1:24" x14ac:dyDescent="0.25">
      <c r="A38" s="278">
        <v>28</v>
      </c>
      <c r="B38" s="278">
        <f t="shared" si="12"/>
        <v>1</v>
      </c>
      <c r="C38" s="311">
        <f>IFERROR(INDEX('GCal-Year'!$A$40:$A$435,D38),"---")</f>
        <v>43643</v>
      </c>
      <c r="D38" s="279">
        <f>IFERROR(MATCH(H38,'GCal-Year'!$E$40:$E$435,0),"---")</f>
        <v>178</v>
      </c>
      <c r="E38" s="279" t="str">
        <f>IF(ISERROR(MATCH(F38,'GCal-Year'!$E$40:$E$435,0)),"A","")</f>
        <v/>
      </c>
      <c r="F38" s="279">
        <f t="shared" si="13"/>
        <v>104010</v>
      </c>
      <c r="G38" s="279">
        <f t="shared" si="14"/>
        <v>104011</v>
      </c>
      <c r="H38" s="279">
        <f t="shared" si="15"/>
        <v>104010</v>
      </c>
      <c r="I38" s="279" t="s">
        <v>9541</v>
      </c>
      <c r="J38" s="279" t="s">
        <v>25</v>
      </c>
      <c r="K38" s="279" t="s">
        <v>19</v>
      </c>
      <c r="L38" s="278" t="s">
        <v>7288</v>
      </c>
      <c r="M38" s="279">
        <f t="shared" si="9"/>
        <v>4</v>
      </c>
      <c r="N38" s="279">
        <f t="shared" si="10"/>
        <v>0</v>
      </c>
      <c r="O38" s="279">
        <f t="shared" si="11"/>
        <v>10</v>
      </c>
      <c r="P38" s="280" t="s">
        <v>7289</v>
      </c>
      <c r="Q38" s="281">
        <f t="shared" si="16"/>
        <v>10401001</v>
      </c>
      <c r="R38" s="281" t="s">
        <v>266</v>
      </c>
      <c r="S38" s="278" t="str">
        <f t="shared" si="8"/>
        <v>Sri Srivasa Pandita - Disappearance</v>
      </c>
      <c r="T38" s="278"/>
      <c r="U38" s="282"/>
      <c r="V38" s="278">
        <v>3</v>
      </c>
      <c r="W38" s="278" t="s">
        <v>171</v>
      </c>
      <c r="X38" s="266"/>
    </row>
    <row r="39" spans="1:24" x14ac:dyDescent="0.25">
      <c r="A39" s="278">
        <v>29</v>
      </c>
      <c r="B39" s="278">
        <f t="shared" si="12"/>
        <v>1</v>
      </c>
      <c r="C39" s="311">
        <f>IFERROR(INDEX('GCal-Year'!$A$40:$A$435,D39),"---")</f>
        <v>43648</v>
      </c>
      <c r="D39" s="279">
        <f>IFERROR(MATCH(H39,'GCal-Year'!$E$40:$E$435,0),"---")</f>
        <v>183</v>
      </c>
      <c r="E39" s="279" t="str">
        <f>IF(ISERROR(MATCH(F39,'GCal-Year'!$E$40:$E$435,0)),"A","")</f>
        <v/>
      </c>
      <c r="F39" s="279">
        <f t="shared" si="13"/>
        <v>104015</v>
      </c>
      <c r="G39" s="279">
        <f t="shared" si="14"/>
        <v>104101</v>
      </c>
      <c r="H39" s="279">
        <f t="shared" si="15"/>
        <v>104015</v>
      </c>
      <c r="I39" s="279" t="s">
        <v>9541</v>
      </c>
      <c r="J39" s="279" t="s">
        <v>25</v>
      </c>
      <c r="K39" s="279" t="s">
        <v>22</v>
      </c>
      <c r="L39" s="278" t="s">
        <v>7290</v>
      </c>
      <c r="M39" s="279">
        <f t="shared" si="9"/>
        <v>4</v>
      </c>
      <c r="N39" s="279">
        <f t="shared" si="10"/>
        <v>0</v>
      </c>
      <c r="O39" s="279">
        <f t="shared" si="11"/>
        <v>15</v>
      </c>
      <c r="P39" s="280" t="s">
        <v>7291</v>
      </c>
      <c r="Q39" s="281">
        <f t="shared" si="16"/>
        <v>10401501</v>
      </c>
      <c r="R39" s="281" t="s">
        <v>269</v>
      </c>
      <c r="S39" s="278" t="str">
        <f t="shared" si="8"/>
        <v>Sri Gadadhara Pandita - Disappearance</v>
      </c>
      <c r="T39" s="278"/>
      <c r="U39" s="282"/>
      <c r="V39" s="278">
        <v>3</v>
      </c>
      <c r="W39" s="278" t="s">
        <v>171</v>
      </c>
      <c r="X39" s="266"/>
    </row>
    <row r="40" spans="1:24" x14ac:dyDescent="0.25">
      <c r="A40" s="278">
        <v>30.3</v>
      </c>
      <c r="B40" s="278">
        <f t="shared" si="12"/>
        <v>2</v>
      </c>
      <c r="C40" s="311">
        <f>IFERROR(INDEX('GCal-Year'!$A$40:$A$435,D40),"---")</f>
        <v>43648</v>
      </c>
      <c r="D40" s="279">
        <f>IFERROR(MATCH(H40,'GCal-Year'!$E$40:$E$435,0),"---")</f>
        <v>183</v>
      </c>
      <c r="E40" s="279" t="str">
        <f>IF(ISERROR(MATCH(F40,'GCal-Year'!$E$40:$E$435,0)),"A","")</f>
        <v/>
      </c>
      <c r="F40" s="279">
        <f t="shared" si="13"/>
        <v>104015</v>
      </c>
      <c r="G40" s="279">
        <f t="shared" si="14"/>
        <v>104101</v>
      </c>
      <c r="H40" s="279">
        <f t="shared" si="15"/>
        <v>104015</v>
      </c>
      <c r="I40" s="279" t="s">
        <v>9541</v>
      </c>
      <c r="J40" s="279" t="s">
        <v>25</v>
      </c>
      <c r="K40" s="279" t="s">
        <v>22</v>
      </c>
      <c r="L40" s="278" t="s">
        <v>7290</v>
      </c>
      <c r="M40" s="279">
        <f t="shared" si="9"/>
        <v>4</v>
      </c>
      <c r="N40" s="279">
        <f t="shared" si="10"/>
        <v>0</v>
      </c>
      <c r="O40" s="279">
        <f t="shared" si="11"/>
        <v>15</v>
      </c>
      <c r="P40" s="280" t="s">
        <v>7291</v>
      </c>
      <c r="Q40" s="281">
        <f t="shared" si="16"/>
        <v>10401502</v>
      </c>
      <c r="R40" s="281" t="s">
        <v>272</v>
      </c>
      <c r="S40" s="278" t="str">
        <f t="shared" si="8"/>
        <v>Srila Bhaktivinoda Thakura - Disappearance</v>
      </c>
      <c r="T40" s="278"/>
      <c r="U40" s="282"/>
      <c r="V40" s="278">
        <v>2</v>
      </c>
      <c r="W40" s="278" t="s">
        <v>169</v>
      </c>
      <c r="X40" s="266"/>
    </row>
    <row r="41" spans="1:24" x14ac:dyDescent="0.25">
      <c r="A41" s="278">
        <v>30.3</v>
      </c>
      <c r="B41" s="278">
        <f t="shared" si="12"/>
        <v>3</v>
      </c>
      <c r="C41" s="311">
        <f>IFERROR(INDEX('GCal-Year'!$A$40:$A$435,D41),"---")</f>
        <v>43648</v>
      </c>
      <c r="D41" s="279">
        <f>IFERROR(MATCH(H41,'GCal-Year'!$E$40:$E$435,0),"---")</f>
        <v>183</v>
      </c>
      <c r="E41" s="279" t="str">
        <f>IF(ISERROR(MATCH(F41,'GCal-Year'!$E$40:$E$435,0)),"A","")</f>
        <v/>
      </c>
      <c r="F41" s="279">
        <f>VALUE("1" &amp;  Masacod(I41) &amp; PaksaCod(J41) &amp; TithiCod(K41))</f>
        <v>104015</v>
      </c>
      <c r="G41" s="279">
        <f>VALUE("1" &amp;  IF(AND(VALUE(RIGHT(F41,2))&gt;14,MID(F41,4,1)="1"),IF(VALUE(MID(F41,2,2))&gt;11,"01",VALUE(MID(F41,2,2))+1),MID(F41,2,2)) &amp; IF(VALUE(RIGHT(F41,2))&gt;14,IF(MID(F41,4,1)="0","1","0"),MID(F41,4,1)) &amp; IF(VALUE(RIGHT(F41,2))&gt;14,"01",TEXT(VALUE(TithiCod(K41))+1,"00")))</f>
        <v>104101</v>
      </c>
      <c r="H41" s="279">
        <f>IF(E41="",F41,G41)</f>
        <v>104015</v>
      </c>
      <c r="I41" s="279" t="s">
        <v>9541</v>
      </c>
      <c r="J41" s="279" t="s">
        <v>25</v>
      </c>
      <c r="K41" s="279" t="s">
        <v>22</v>
      </c>
      <c r="L41" s="278" t="s">
        <v>7290</v>
      </c>
      <c r="M41" s="279">
        <f>VALUE(Masacod(I41))</f>
        <v>4</v>
      </c>
      <c r="N41" s="279">
        <f>VALUE(PaksaCod(J41))</f>
        <v>0</v>
      </c>
      <c r="O41" s="279">
        <f>VALUE(TithiCod(K41))</f>
        <v>15</v>
      </c>
      <c r="P41" s="280" t="s">
        <v>7291</v>
      </c>
      <c r="Q41" s="281">
        <f>VALUE(H41&amp;TEXT(B41,"00"))</f>
        <v>10401503</v>
      </c>
      <c r="R41" s="281" t="s">
        <v>571</v>
      </c>
      <c r="S41" s="278" t="str">
        <f>SUBSTITUTE(R41,"--","-",1)</f>
        <v>(Fast till noon)</v>
      </c>
      <c r="T41" s="278" t="s">
        <v>37</v>
      </c>
      <c r="U41" s="282" t="s">
        <v>7268</v>
      </c>
      <c r="V41" s="278">
        <v>-1</v>
      </c>
      <c r="W41" s="278" t="s">
        <v>1393</v>
      </c>
      <c r="X41" s="266"/>
    </row>
    <row r="42" spans="1:24" x14ac:dyDescent="0.25">
      <c r="A42" s="278">
        <v>31</v>
      </c>
      <c r="B42" s="278">
        <f t="shared" si="12"/>
        <v>1</v>
      </c>
      <c r="C42" s="311">
        <f>IFERROR(INDEX('GCal-Year'!$A$40:$A$435,D42),"---")</f>
        <v>43650</v>
      </c>
      <c r="D42" s="279">
        <f>IFERROR(MATCH(H42,'GCal-Year'!$E$40:$E$435,0),"---")</f>
        <v>185</v>
      </c>
      <c r="E42" s="279" t="str">
        <f>IF(ISERROR(MATCH(F42,'GCal-Year'!$E$40:$E$435,0)),"A","")</f>
        <v/>
      </c>
      <c r="F42" s="279">
        <f t="shared" si="13"/>
        <v>104102</v>
      </c>
      <c r="G42" s="279">
        <f t="shared" si="14"/>
        <v>104103</v>
      </c>
      <c r="H42" s="279">
        <f t="shared" si="15"/>
        <v>104102</v>
      </c>
      <c r="I42" s="279" t="s">
        <v>9541</v>
      </c>
      <c r="J42" s="279" t="s">
        <v>24</v>
      </c>
      <c r="K42" s="279" t="s">
        <v>12</v>
      </c>
      <c r="L42" s="278" t="s">
        <v>7292</v>
      </c>
      <c r="M42" s="279">
        <f t="shared" si="9"/>
        <v>4</v>
      </c>
      <c r="N42" s="279">
        <f t="shared" si="10"/>
        <v>1</v>
      </c>
      <c r="O42" s="279">
        <f t="shared" si="11"/>
        <v>2</v>
      </c>
      <c r="P42" s="280" t="s">
        <v>7293</v>
      </c>
      <c r="Q42" s="281">
        <f t="shared" si="16"/>
        <v>10410201</v>
      </c>
      <c r="R42" s="281" t="s">
        <v>275</v>
      </c>
      <c r="S42" s="278" t="str">
        <f t="shared" si="8"/>
        <v>Sri Svarupa Damodara Gosvami - Disappearance</v>
      </c>
      <c r="T42" s="278"/>
      <c r="U42" s="282"/>
      <c r="V42" s="278">
        <v>3</v>
      </c>
      <c r="W42" s="278" t="s">
        <v>171</v>
      </c>
      <c r="X42" s="266"/>
    </row>
    <row r="43" spans="1:24" x14ac:dyDescent="0.25">
      <c r="A43" s="278">
        <v>32</v>
      </c>
      <c r="B43" s="278">
        <f t="shared" si="12"/>
        <v>2</v>
      </c>
      <c r="C43" s="311">
        <f>IFERROR(INDEX('GCal-Year'!$A$40:$A$435,D43),"---")</f>
        <v>43650</v>
      </c>
      <c r="D43" s="279">
        <f>IFERROR(MATCH(H43,'GCal-Year'!$E$40:$E$435,0),"---")</f>
        <v>185</v>
      </c>
      <c r="E43" s="279" t="str">
        <f>IF(ISERROR(MATCH(F43,'GCal-Year'!$E$40:$E$435,0)),"A","")</f>
        <v/>
      </c>
      <c r="F43" s="279">
        <f t="shared" si="13"/>
        <v>104102</v>
      </c>
      <c r="G43" s="279">
        <f t="shared" si="14"/>
        <v>104103</v>
      </c>
      <c r="H43" s="279">
        <f t="shared" si="15"/>
        <v>104102</v>
      </c>
      <c r="I43" s="279" t="s">
        <v>9541</v>
      </c>
      <c r="J43" s="279" t="s">
        <v>24</v>
      </c>
      <c r="K43" s="279" t="s">
        <v>12</v>
      </c>
      <c r="L43" s="278" t="s">
        <v>7292</v>
      </c>
      <c r="M43" s="279">
        <f t="shared" si="9"/>
        <v>4</v>
      </c>
      <c r="N43" s="279">
        <f t="shared" si="10"/>
        <v>1</v>
      </c>
      <c r="O43" s="279">
        <f t="shared" si="11"/>
        <v>2</v>
      </c>
      <c r="P43" s="280" t="s">
        <v>7293</v>
      </c>
      <c r="Q43" s="281">
        <f t="shared" si="16"/>
        <v>10410202</v>
      </c>
      <c r="R43" s="281" t="s">
        <v>278</v>
      </c>
      <c r="S43" s="278" t="str">
        <f t="shared" si="8"/>
        <v>Sri Sivananda Sena - Disappearance</v>
      </c>
      <c r="T43" s="278"/>
      <c r="U43" s="282"/>
      <c r="V43" s="278">
        <v>3</v>
      </c>
      <c r="W43" s="278" t="s">
        <v>171</v>
      </c>
      <c r="X43" s="266"/>
    </row>
    <row r="44" spans="1:24" x14ac:dyDescent="0.25">
      <c r="A44" s="278">
        <v>33</v>
      </c>
      <c r="B44" s="278">
        <f t="shared" si="12"/>
        <v>1</v>
      </c>
      <c r="C44" s="311">
        <f>IFERROR(INDEX('GCal-Year'!$A$40:$A$435,D44),"---")</f>
        <v>43653</v>
      </c>
      <c r="D44" s="279">
        <f>IFERROR(MATCH(H44,'GCal-Year'!$E$40:$E$435,0),"---")</f>
        <v>188</v>
      </c>
      <c r="E44" s="279" t="str">
        <f>IF(ISERROR(MATCH(F44,'GCal-Year'!$E$40:$E$435,0)),"A","")</f>
        <v/>
      </c>
      <c r="F44" s="279">
        <f t="shared" si="13"/>
        <v>104106</v>
      </c>
      <c r="G44" s="279">
        <f t="shared" si="14"/>
        <v>104107</v>
      </c>
      <c r="H44" s="279">
        <f t="shared" si="15"/>
        <v>104106</v>
      </c>
      <c r="I44" s="279" t="s">
        <v>9541</v>
      </c>
      <c r="J44" s="279" t="s">
        <v>24</v>
      </c>
      <c r="K44" s="279" t="s">
        <v>15</v>
      </c>
      <c r="L44" s="278" t="s">
        <v>7294</v>
      </c>
      <c r="M44" s="279">
        <f t="shared" si="9"/>
        <v>4</v>
      </c>
      <c r="N44" s="279">
        <f t="shared" si="10"/>
        <v>1</v>
      </c>
      <c r="O44" s="279">
        <f t="shared" si="11"/>
        <v>6</v>
      </c>
      <c r="P44" s="280" t="s">
        <v>7295</v>
      </c>
      <c r="Q44" s="281">
        <f t="shared" si="16"/>
        <v>10410601</v>
      </c>
      <c r="R44" s="281" t="s">
        <v>281</v>
      </c>
      <c r="S44" s="278" t="str">
        <f t="shared" si="8"/>
        <v>Sri Vakresvara Pandita - Disappearance</v>
      </c>
      <c r="T44" s="278"/>
      <c r="U44" s="282"/>
      <c r="V44" s="278">
        <v>3</v>
      </c>
      <c r="W44" s="278" t="s">
        <v>171</v>
      </c>
      <c r="X44" s="266"/>
    </row>
    <row r="45" spans="1:24" x14ac:dyDescent="0.25">
      <c r="A45" s="278">
        <v>34</v>
      </c>
      <c r="B45" s="278">
        <f t="shared" si="12"/>
        <v>1</v>
      </c>
      <c r="C45" s="311">
        <f>IFERROR(INDEX('GCal-Year'!$A$40:$A$435,D45),"---")</f>
        <v>43662</v>
      </c>
      <c r="D45" s="279">
        <f>IFERROR(MATCH(H45,'GCal-Year'!$E$40:$E$435,0),"---")</f>
        <v>197</v>
      </c>
      <c r="E45" s="279" t="str">
        <f>IF(ISERROR(MATCH(F45,'GCal-Year'!$E$40:$E$435,0)),"A","")</f>
        <v/>
      </c>
      <c r="F45" s="279">
        <f t="shared" si="13"/>
        <v>104115</v>
      </c>
      <c r="G45" s="279">
        <f t="shared" si="14"/>
        <v>15001</v>
      </c>
      <c r="H45" s="279">
        <f t="shared" si="15"/>
        <v>104115</v>
      </c>
      <c r="I45" s="279" t="s">
        <v>9541</v>
      </c>
      <c r="J45" s="279" t="s">
        <v>24</v>
      </c>
      <c r="K45" s="279" t="s">
        <v>10</v>
      </c>
      <c r="L45" s="278" t="s">
        <v>7296</v>
      </c>
      <c r="M45" s="279">
        <f t="shared" si="9"/>
        <v>4</v>
      </c>
      <c r="N45" s="279">
        <f t="shared" si="10"/>
        <v>1</v>
      </c>
      <c r="O45" s="279">
        <f t="shared" si="11"/>
        <v>15</v>
      </c>
      <c r="P45" s="280" t="s">
        <v>7297</v>
      </c>
      <c r="Q45" s="281">
        <f t="shared" si="16"/>
        <v>10411501</v>
      </c>
      <c r="R45" s="281" t="s">
        <v>7298</v>
      </c>
      <c r="S45" s="278" t="str">
        <f t="shared" si="8"/>
        <v>Guru (Vyasa) Purnima</v>
      </c>
      <c r="T45" s="278"/>
      <c r="U45" s="282"/>
      <c r="V45" s="278">
        <v>1</v>
      </c>
      <c r="W45" s="278" t="s">
        <v>168</v>
      </c>
      <c r="X45" s="266"/>
    </row>
    <row r="46" spans="1:24" x14ac:dyDescent="0.25">
      <c r="A46" s="278">
        <v>35</v>
      </c>
      <c r="B46" s="278">
        <f t="shared" si="12"/>
        <v>2</v>
      </c>
      <c r="C46" s="311">
        <f>IFERROR(INDEX('GCal-Year'!$A$40:$A$435,D46),"---")</f>
        <v>43662</v>
      </c>
      <c r="D46" s="279">
        <f>IFERROR(MATCH(H46,'GCal-Year'!$E$40:$E$435,0),"---")</f>
        <v>197</v>
      </c>
      <c r="E46" s="279" t="str">
        <f>IF(ISERROR(MATCH(F46,'GCal-Year'!$E$40:$E$435,0)),"A","")</f>
        <v/>
      </c>
      <c r="F46" s="279">
        <f t="shared" si="13"/>
        <v>104115</v>
      </c>
      <c r="G46" s="279">
        <f t="shared" si="14"/>
        <v>15001</v>
      </c>
      <c r="H46" s="279">
        <f t="shared" si="15"/>
        <v>104115</v>
      </c>
      <c r="I46" s="279" t="s">
        <v>9541</v>
      </c>
      <c r="J46" s="279" t="s">
        <v>24</v>
      </c>
      <c r="K46" s="279" t="s">
        <v>10</v>
      </c>
      <c r="L46" s="278" t="s">
        <v>7296</v>
      </c>
      <c r="M46" s="279">
        <f t="shared" si="9"/>
        <v>4</v>
      </c>
      <c r="N46" s="279">
        <f t="shared" si="10"/>
        <v>1</v>
      </c>
      <c r="O46" s="279">
        <f t="shared" si="11"/>
        <v>15</v>
      </c>
      <c r="P46" s="280" t="s">
        <v>7297</v>
      </c>
      <c r="Q46" s="281">
        <f t="shared" si="16"/>
        <v>10411502</v>
      </c>
      <c r="R46" s="281" t="s">
        <v>284</v>
      </c>
      <c r="S46" s="278" t="str">
        <f t="shared" si="8"/>
        <v>Srila Sanatana Gosvami - Disappearance</v>
      </c>
      <c r="T46" s="278"/>
      <c r="U46" s="282"/>
      <c r="V46" s="278">
        <v>3</v>
      </c>
      <c r="W46" s="278" t="s">
        <v>171</v>
      </c>
      <c r="X46" s="266"/>
    </row>
    <row r="47" spans="1:24" x14ac:dyDescent="0.25">
      <c r="A47" s="273">
        <v>36</v>
      </c>
      <c r="B47" s="273">
        <f t="shared" si="12"/>
        <v>1</v>
      </c>
      <c r="C47" s="301">
        <f>IFERROR(INDEX('GCal-Year'!$A$40:$A$435,D47),"---")</f>
        <v>43667</v>
      </c>
      <c r="D47" s="274">
        <f>IFERROR(MATCH(H47,'GCal-Year'!$E$40:$E$435,0),"---")</f>
        <v>202</v>
      </c>
      <c r="E47" s="274" t="str">
        <f>IF(ISERROR(MATCH(F47,'GCal-Year'!$E$40:$E$435,0)),"A","")</f>
        <v/>
      </c>
      <c r="F47" s="274">
        <f t="shared" si="13"/>
        <v>105005</v>
      </c>
      <c r="G47" s="274">
        <f t="shared" si="14"/>
        <v>105006</v>
      </c>
      <c r="H47" s="274">
        <f t="shared" si="15"/>
        <v>105005</v>
      </c>
      <c r="I47" s="274" t="s">
        <v>9542</v>
      </c>
      <c r="J47" s="274" t="s">
        <v>25</v>
      </c>
      <c r="K47" s="274" t="s">
        <v>14</v>
      </c>
      <c r="L47" s="273" t="s">
        <v>7299</v>
      </c>
      <c r="M47" s="274">
        <f t="shared" si="9"/>
        <v>5</v>
      </c>
      <c r="N47" s="274">
        <f t="shared" si="10"/>
        <v>0</v>
      </c>
      <c r="O47" s="274">
        <f t="shared" si="11"/>
        <v>5</v>
      </c>
      <c r="P47" s="275" t="s">
        <v>7300</v>
      </c>
      <c r="Q47" s="276">
        <f t="shared" si="16"/>
        <v>10500501</v>
      </c>
      <c r="R47" s="276" t="s">
        <v>287</v>
      </c>
      <c r="S47" s="273" t="str">
        <f t="shared" si="8"/>
        <v>Srila Gopala Bhatta Gosvami - Disappearance</v>
      </c>
      <c r="T47" s="273"/>
      <c r="U47" s="277"/>
      <c r="V47" s="273">
        <v>3</v>
      </c>
      <c r="W47" s="273" t="s">
        <v>171</v>
      </c>
      <c r="X47" s="266"/>
    </row>
    <row r="48" spans="1:24" x14ac:dyDescent="0.25">
      <c r="A48" s="273">
        <v>37</v>
      </c>
      <c r="B48" s="273">
        <f t="shared" si="12"/>
        <v>1</v>
      </c>
      <c r="C48" s="301">
        <f>IFERROR(INDEX('GCal-Year'!$A$40:$A$435,D48),"---")</f>
        <v>43671</v>
      </c>
      <c r="D48" s="274">
        <f>IFERROR(MATCH(H48,'GCal-Year'!$E$40:$E$435,0),"---")</f>
        <v>206</v>
      </c>
      <c r="E48" s="274" t="str">
        <f>IF(ISERROR(MATCH(F48,'GCal-Year'!$E$40:$E$435,0)),"A","")</f>
        <v/>
      </c>
      <c r="F48" s="274">
        <f t="shared" si="13"/>
        <v>105008</v>
      </c>
      <c r="G48" s="274">
        <f t="shared" si="14"/>
        <v>105009</v>
      </c>
      <c r="H48" s="274">
        <f t="shared" si="15"/>
        <v>105008</v>
      </c>
      <c r="I48" s="274" t="s">
        <v>9542</v>
      </c>
      <c r="J48" s="274" t="s">
        <v>25</v>
      </c>
      <c r="K48" s="274" t="s">
        <v>17</v>
      </c>
      <c r="L48" s="273" t="s">
        <v>7301</v>
      </c>
      <c r="M48" s="274">
        <f t="shared" si="9"/>
        <v>5</v>
      </c>
      <c r="N48" s="274">
        <f t="shared" si="10"/>
        <v>0</v>
      </c>
      <c r="O48" s="274">
        <f t="shared" si="11"/>
        <v>8</v>
      </c>
      <c r="P48" s="275" t="s">
        <v>7302</v>
      </c>
      <c r="Q48" s="276">
        <f t="shared" si="16"/>
        <v>10500801</v>
      </c>
      <c r="R48" s="276" t="s">
        <v>290</v>
      </c>
      <c r="S48" s="273" t="str">
        <f t="shared" si="8"/>
        <v>Srila Lokanatha Gosvami - Disappearance</v>
      </c>
      <c r="T48" s="273"/>
      <c r="U48" s="277"/>
      <c r="V48" s="273">
        <v>3</v>
      </c>
      <c r="W48" s="273" t="s">
        <v>171</v>
      </c>
      <c r="X48" s="266"/>
    </row>
    <row r="49" spans="1:24" x14ac:dyDescent="0.25">
      <c r="A49" s="273">
        <v>38</v>
      </c>
      <c r="B49" s="273">
        <f t="shared" si="12"/>
        <v>1</v>
      </c>
      <c r="C49" s="301">
        <f>IFERROR(INDEX('GCal-Year'!$A$40:$A$435,D49),"---")</f>
        <v>43672</v>
      </c>
      <c r="D49" s="274">
        <f>IFERROR(MATCH(H49,'GCal-Year'!$E$40:$E$435,0),"---")</f>
        <v>207</v>
      </c>
      <c r="E49" s="274" t="str">
        <f>IF(ISERROR(MATCH(F49,'GCal-Year'!$E$40:$E$435,0)),"A","")</f>
        <v/>
      </c>
      <c r="F49" s="274">
        <f t="shared" si="13"/>
        <v>105009</v>
      </c>
      <c r="G49" s="274">
        <f t="shared" si="14"/>
        <v>105010</v>
      </c>
      <c r="H49" s="274">
        <f t="shared" si="15"/>
        <v>105009</v>
      </c>
      <c r="I49" s="274" t="s">
        <v>9542</v>
      </c>
      <c r="J49" s="274" t="s">
        <v>25</v>
      </c>
      <c r="K49" s="274" t="s">
        <v>18</v>
      </c>
      <c r="L49" s="273" t="s">
        <v>7303</v>
      </c>
      <c r="M49" s="274">
        <f t="shared" si="9"/>
        <v>5</v>
      </c>
      <c r="N49" s="274">
        <f t="shared" si="10"/>
        <v>0</v>
      </c>
      <c r="O49" s="274">
        <f t="shared" si="11"/>
        <v>9</v>
      </c>
      <c r="P49" s="275" t="s">
        <v>7304</v>
      </c>
      <c r="Q49" s="276">
        <f t="shared" si="16"/>
        <v>10500901</v>
      </c>
      <c r="R49" s="276" t="s">
        <v>293</v>
      </c>
      <c r="S49" s="273" t="str">
        <f t="shared" si="8"/>
        <v>The incorporation of ISKCON in New York</v>
      </c>
      <c r="T49" s="273"/>
      <c r="U49" s="277"/>
      <c r="V49" s="273">
        <v>4</v>
      </c>
      <c r="W49" s="273" t="s">
        <v>173</v>
      </c>
      <c r="X49" s="266"/>
    </row>
    <row r="50" spans="1:24" x14ac:dyDescent="0.25">
      <c r="A50" s="273">
        <v>39</v>
      </c>
      <c r="B50" s="273">
        <f t="shared" si="12"/>
        <v>1</v>
      </c>
      <c r="C50" s="301">
        <f>IFERROR(INDEX('GCal-Year'!$A$40:$A$435,D50),"---")</f>
        <v>43681</v>
      </c>
      <c r="D50" s="274">
        <f>IFERROR(MATCH(H50,'GCal-Year'!$E$40:$E$435,0),"---")</f>
        <v>216</v>
      </c>
      <c r="E50" s="274" t="str">
        <f>IF(ISERROR(MATCH(F50,'GCal-Year'!$E$40:$E$435,0)),"A","")</f>
        <v/>
      </c>
      <c r="F50" s="274">
        <f t="shared" si="13"/>
        <v>105104</v>
      </c>
      <c r="G50" s="274">
        <f t="shared" si="14"/>
        <v>105105</v>
      </c>
      <c r="H50" s="274">
        <f t="shared" si="15"/>
        <v>105104</v>
      </c>
      <c r="I50" s="274" t="s">
        <v>9542</v>
      </c>
      <c r="J50" s="274" t="s">
        <v>24</v>
      </c>
      <c r="K50" s="274" t="s">
        <v>13</v>
      </c>
      <c r="L50" s="273" t="s">
        <v>7305</v>
      </c>
      <c r="M50" s="274">
        <f t="shared" si="9"/>
        <v>5</v>
      </c>
      <c r="N50" s="274">
        <f t="shared" si="10"/>
        <v>1</v>
      </c>
      <c r="O50" s="274">
        <f t="shared" si="11"/>
        <v>4</v>
      </c>
      <c r="P50" s="275" t="s">
        <v>7306</v>
      </c>
      <c r="Q50" s="276">
        <f t="shared" si="16"/>
        <v>10510401</v>
      </c>
      <c r="R50" s="276" t="s">
        <v>295</v>
      </c>
      <c r="S50" s="273" t="str">
        <f t="shared" si="8"/>
        <v>Sri Raghunandana Thakura - Disappearance</v>
      </c>
      <c r="T50" s="273"/>
      <c r="U50" s="277"/>
      <c r="V50" s="273">
        <v>3</v>
      </c>
      <c r="W50" s="273" t="s">
        <v>171</v>
      </c>
      <c r="X50" s="266"/>
    </row>
    <row r="51" spans="1:24" x14ac:dyDescent="0.25">
      <c r="A51" s="273">
        <v>40</v>
      </c>
      <c r="B51" s="273">
        <f t="shared" si="12"/>
        <v>2</v>
      </c>
      <c r="C51" s="301">
        <f>IFERROR(INDEX('GCal-Year'!$A$40:$A$435,D51),"---")</f>
        <v>43681</v>
      </c>
      <c r="D51" s="274">
        <f>IFERROR(MATCH(H51,'GCal-Year'!$E$40:$E$435,0),"---")</f>
        <v>216</v>
      </c>
      <c r="E51" s="274" t="str">
        <f>IF(ISERROR(MATCH(F51,'GCal-Year'!$E$40:$E$435,0)),"A","")</f>
        <v/>
      </c>
      <c r="F51" s="274">
        <f t="shared" si="13"/>
        <v>105104</v>
      </c>
      <c r="G51" s="274">
        <f t="shared" si="14"/>
        <v>105105</v>
      </c>
      <c r="H51" s="274">
        <f t="shared" si="15"/>
        <v>105104</v>
      </c>
      <c r="I51" s="274" t="s">
        <v>9542</v>
      </c>
      <c r="J51" s="274" t="s">
        <v>24</v>
      </c>
      <c r="K51" s="274" t="s">
        <v>13</v>
      </c>
      <c r="L51" s="273" t="s">
        <v>7305</v>
      </c>
      <c r="M51" s="274">
        <f t="shared" si="9"/>
        <v>5</v>
      </c>
      <c r="N51" s="274">
        <f t="shared" si="10"/>
        <v>1</v>
      </c>
      <c r="O51" s="274">
        <f t="shared" si="11"/>
        <v>4</v>
      </c>
      <c r="P51" s="275" t="s">
        <v>7306</v>
      </c>
      <c r="Q51" s="276">
        <f t="shared" si="16"/>
        <v>10510402</v>
      </c>
      <c r="R51" s="276" t="s">
        <v>298</v>
      </c>
      <c r="S51" s="273" t="str">
        <f t="shared" si="8"/>
        <v>Sri Vamsidasa Babaji - Disappearance</v>
      </c>
      <c r="T51" s="273"/>
      <c r="U51" s="277"/>
      <c r="V51" s="273">
        <v>2</v>
      </c>
      <c r="W51" s="273" t="s">
        <v>169</v>
      </c>
      <c r="X51" s="266"/>
    </row>
    <row r="52" spans="1:24" x14ac:dyDescent="0.25">
      <c r="A52" s="273">
        <v>41</v>
      </c>
      <c r="B52" s="273">
        <f t="shared" si="12"/>
        <v>1</v>
      </c>
      <c r="C52" s="301">
        <f>IFERROR(INDEX('GCal-Year'!$A$40:$A$435,D52),"---")</f>
        <v>43687</v>
      </c>
      <c r="D52" s="274">
        <f>IFERROR(MATCH(H52,'GCal-Year'!$E$40:$E$435,0),"---")</f>
        <v>222</v>
      </c>
      <c r="E52" s="274" t="str">
        <f>IF(ISERROR(MATCH(F52,'GCal-Year'!$E$40:$E$435,0)),"A","")</f>
        <v/>
      </c>
      <c r="F52" s="274">
        <f t="shared" si="13"/>
        <v>105111</v>
      </c>
      <c r="G52" s="274">
        <f t="shared" si="14"/>
        <v>105112</v>
      </c>
      <c r="H52" s="274">
        <f t="shared" si="15"/>
        <v>105111</v>
      </c>
      <c r="I52" s="274" t="s">
        <v>9542</v>
      </c>
      <c r="J52" s="274" t="s">
        <v>24</v>
      </c>
      <c r="K52" s="274" t="s">
        <v>20</v>
      </c>
      <c r="L52" s="273" t="s">
        <v>7307</v>
      </c>
      <c r="M52" s="274">
        <f t="shared" si="9"/>
        <v>5</v>
      </c>
      <c r="N52" s="274">
        <f t="shared" si="10"/>
        <v>1</v>
      </c>
      <c r="O52" s="274">
        <f t="shared" si="11"/>
        <v>11</v>
      </c>
      <c r="P52" s="275" t="s">
        <v>7308</v>
      </c>
      <c r="Q52" s="276">
        <f t="shared" si="16"/>
        <v>10511101</v>
      </c>
      <c r="R52" s="276" t="s">
        <v>301</v>
      </c>
      <c r="S52" s="273" t="str">
        <f t="shared" si="8"/>
        <v>Radha Govinda Jhulana Yatra begins</v>
      </c>
      <c r="T52" s="273"/>
      <c r="U52" s="277"/>
      <c r="V52" s="273">
        <v>1</v>
      </c>
      <c r="W52" s="273" t="s">
        <v>168</v>
      </c>
      <c r="X52" s="266"/>
    </row>
    <row r="53" spans="1:24" x14ac:dyDescent="0.25">
      <c r="A53" s="273">
        <v>42</v>
      </c>
      <c r="B53" s="273">
        <f t="shared" si="12"/>
        <v>1</v>
      </c>
      <c r="C53" s="301">
        <f>IFERROR(INDEX('GCal-Year'!$A$40:$A$435,D53),"---")</f>
        <v>43688</v>
      </c>
      <c r="D53" s="274">
        <f>IFERROR(MATCH(H53,'GCal-Year'!$E$40:$E$435,0),"---")</f>
        <v>223</v>
      </c>
      <c r="E53" s="274" t="str">
        <f>IF(ISERROR(MATCH(F53,'GCal-Year'!$E$40:$E$435,0)),"A","")</f>
        <v/>
      </c>
      <c r="F53" s="274">
        <f t="shared" si="13"/>
        <v>105112</v>
      </c>
      <c r="G53" s="274">
        <f t="shared" si="14"/>
        <v>105113</v>
      </c>
      <c r="H53" s="274">
        <f t="shared" si="15"/>
        <v>105112</v>
      </c>
      <c r="I53" s="274" t="s">
        <v>9542</v>
      </c>
      <c r="J53" s="274" t="s">
        <v>24</v>
      </c>
      <c r="K53" s="274" t="s">
        <v>21</v>
      </c>
      <c r="L53" s="273" t="s">
        <v>7309</v>
      </c>
      <c r="M53" s="274">
        <f t="shared" si="9"/>
        <v>5</v>
      </c>
      <c r="N53" s="274">
        <f t="shared" si="10"/>
        <v>1</v>
      </c>
      <c r="O53" s="274">
        <f t="shared" si="11"/>
        <v>12</v>
      </c>
      <c r="P53" s="275" t="s">
        <v>7310</v>
      </c>
      <c r="Q53" s="276">
        <f t="shared" si="16"/>
        <v>10511201</v>
      </c>
      <c r="R53" s="276" t="s">
        <v>303</v>
      </c>
      <c r="S53" s="273" t="str">
        <f t="shared" si="8"/>
        <v>Srila Rupa Gosvami - Disappearance</v>
      </c>
      <c r="T53" s="273"/>
      <c r="U53" s="277"/>
      <c r="V53" s="273">
        <v>3</v>
      </c>
      <c r="W53" s="273" t="s">
        <v>171</v>
      </c>
      <c r="X53" s="266"/>
    </row>
    <row r="54" spans="1:24" x14ac:dyDescent="0.25">
      <c r="A54" s="273">
        <v>43</v>
      </c>
      <c r="B54" s="273">
        <f t="shared" si="12"/>
        <v>2</v>
      </c>
      <c r="C54" s="301">
        <f>IFERROR(INDEX('GCal-Year'!$A$40:$A$435,D54),"---")</f>
        <v>43688</v>
      </c>
      <c r="D54" s="274">
        <f>IFERROR(MATCH(H54,'GCal-Year'!$E$40:$E$435,0),"---")</f>
        <v>223</v>
      </c>
      <c r="E54" s="274" t="str">
        <f>IF(ISERROR(MATCH(F54,'GCal-Year'!$E$40:$E$435,0)),"A","")</f>
        <v/>
      </c>
      <c r="F54" s="274">
        <f t="shared" si="13"/>
        <v>105112</v>
      </c>
      <c r="G54" s="274">
        <f t="shared" si="14"/>
        <v>105113</v>
      </c>
      <c r="H54" s="274">
        <f t="shared" si="15"/>
        <v>105112</v>
      </c>
      <c r="I54" s="274" t="s">
        <v>9542</v>
      </c>
      <c r="J54" s="274" t="s">
        <v>24</v>
      </c>
      <c r="K54" s="274" t="s">
        <v>21</v>
      </c>
      <c r="L54" s="273" t="s">
        <v>7309</v>
      </c>
      <c r="M54" s="274">
        <f t="shared" si="9"/>
        <v>5</v>
      </c>
      <c r="N54" s="274">
        <f t="shared" si="10"/>
        <v>1</v>
      </c>
      <c r="O54" s="274">
        <f t="shared" si="11"/>
        <v>12</v>
      </c>
      <c r="P54" s="275" t="s">
        <v>7310</v>
      </c>
      <c r="Q54" s="276">
        <f t="shared" si="16"/>
        <v>10511202</v>
      </c>
      <c r="R54" s="276" t="s">
        <v>306</v>
      </c>
      <c r="S54" s="273" t="str">
        <f t="shared" si="8"/>
        <v>Sri Gauridasa Pandita - Disappearance</v>
      </c>
      <c r="T54" s="273"/>
      <c r="U54" s="277"/>
      <c r="V54" s="273">
        <v>3</v>
      </c>
      <c r="W54" s="273" t="s">
        <v>171</v>
      </c>
      <c r="X54" s="266"/>
    </row>
    <row r="55" spans="1:24" x14ac:dyDescent="0.25">
      <c r="A55" s="273">
        <v>44</v>
      </c>
      <c r="B55" s="273">
        <f t="shared" si="12"/>
        <v>1</v>
      </c>
      <c r="C55" s="301">
        <f>IFERROR(INDEX('GCal-Year'!$A$40:$A$435,D55),"---")</f>
        <v>43692</v>
      </c>
      <c r="D55" s="274">
        <f>IFERROR(MATCH(H55,'GCal-Year'!$E$40:$E$435,0),"---")</f>
        <v>227</v>
      </c>
      <c r="E55" s="274" t="str">
        <f>IF(ISERROR(MATCH(F55,'GCal-Year'!$E$40:$E$435,0)),"A","")</f>
        <v/>
      </c>
      <c r="F55" s="274">
        <f t="shared" si="13"/>
        <v>105115</v>
      </c>
      <c r="G55" s="274">
        <f t="shared" si="14"/>
        <v>16001</v>
      </c>
      <c r="H55" s="274">
        <f t="shared" si="15"/>
        <v>105115</v>
      </c>
      <c r="I55" s="274" t="s">
        <v>9542</v>
      </c>
      <c r="J55" s="274" t="s">
        <v>24</v>
      </c>
      <c r="K55" s="274" t="s">
        <v>10</v>
      </c>
      <c r="L55" s="273" t="s">
        <v>7311</v>
      </c>
      <c r="M55" s="274">
        <f t="shared" si="9"/>
        <v>5</v>
      </c>
      <c r="N55" s="274">
        <f t="shared" si="10"/>
        <v>1</v>
      </c>
      <c r="O55" s="274">
        <f t="shared" si="11"/>
        <v>15</v>
      </c>
      <c r="P55" s="275" t="s">
        <v>7312</v>
      </c>
      <c r="Q55" s="276">
        <f t="shared" si="16"/>
        <v>10511501</v>
      </c>
      <c r="R55" s="276" t="s">
        <v>309</v>
      </c>
      <c r="S55" s="273" t="str">
        <f t="shared" si="8"/>
        <v>Jhulana Yatra ends</v>
      </c>
      <c r="T55" s="273"/>
      <c r="U55" s="277"/>
      <c r="V55" s="273">
        <v>1</v>
      </c>
      <c r="W55" s="273" t="s">
        <v>168</v>
      </c>
      <c r="X55" s="266"/>
    </row>
    <row r="56" spans="1:24" x14ac:dyDescent="0.25">
      <c r="A56" s="273">
        <v>45.3</v>
      </c>
      <c r="B56" s="273">
        <f t="shared" si="12"/>
        <v>2</v>
      </c>
      <c r="C56" s="301">
        <f>IFERROR(INDEX('GCal-Year'!$A$40:$A$435,D56),"---")</f>
        <v>43692</v>
      </c>
      <c r="D56" s="274">
        <f>IFERROR(MATCH(H56,'GCal-Year'!$E$40:$E$435,0),"---")</f>
        <v>227</v>
      </c>
      <c r="E56" s="274" t="str">
        <f>IF(ISERROR(MATCH(F56,'GCal-Year'!$E$40:$E$435,0)),"A","")</f>
        <v/>
      </c>
      <c r="F56" s="274">
        <f t="shared" si="13"/>
        <v>105115</v>
      </c>
      <c r="G56" s="274">
        <f t="shared" si="14"/>
        <v>16001</v>
      </c>
      <c r="H56" s="274">
        <f t="shared" si="15"/>
        <v>105115</v>
      </c>
      <c r="I56" s="274" t="s">
        <v>9542</v>
      </c>
      <c r="J56" s="274" t="s">
        <v>24</v>
      </c>
      <c r="K56" s="274" t="s">
        <v>10</v>
      </c>
      <c r="L56" s="273" t="s">
        <v>7311</v>
      </c>
      <c r="M56" s="274">
        <f>VALUE(Masacod(I56))</f>
        <v>5</v>
      </c>
      <c r="N56" s="274">
        <f>VALUE(PaksaCod(J56))</f>
        <v>1</v>
      </c>
      <c r="O56" s="274">
        <f>VALUE(TithiCod(K56))</f>
        <v>15</v>
      </c>
      <c r="P56" s="275" t="s">
        <v>7312</v>
      </c>
      <c r="Q56" s="276">
        <f t="shared" si="16"/>
        <v>10511502</v>
      </c>
      <c r="R56" s="276" t="s">
        <v>311</v>
      </c>
      <c r="S56" s="273" t="str">
        <f t="shared" si="8"/>
        <v>Lord Balarama - Appearance</v>
      </c>
      <c r="T56" s="273" t="s">
        <v>37</v>
      </c>
      <c r="U56" s="277" t="s">
        <v>7313</v>
      </c>
      <c r="V56" s="273">
        <v>0</v>
      </c>
      <c r="W56" s="273" t="s">
        <v>167</v>
      </c>
      <c r="X56" s="266"/>
    </row>
    <row r="57" spans="1:24" x14ac:dyDescent="0.25">
      <c r="A57" s="273">
        <v>45.5</v>
      </c>
      <c r="B57" s="273">
        <f t="shared" si="12"/>
        <v>3</v>
      </c>
      <c r="C57" s="301">
        <f>IFERROR(INDEX('GCal-Year'!$A$40:$A$435,D57),"---")</f>
        <v>43692</v>
      </c>
      <c r="D57" s="274">
        <f>IFERROR(MATCH(H57,'GCal-Year'!$E$40:$E$435,0),"---")</f>
        <v>227</v>
      </c>
      <c r="E57" s="274" t="str">
        <f>IF(ISERROR(MATCH(F57,'GCal-Year'!$E$40:$E$435,0)),"A","")</f>
        <v/>
      </c>
      <c r="F57" s="274">
        <f t="shared" si="13"/>
        <v>105115</v>
      </c>
      <c r="G57" s="274">
        <f t="shared" si="14"/>
        <v>16001</v>
      </c>
      <c r="H57" s="274">
        <f t="shared" si="15"/>
        <v>105115</v>
      </c>
      <c r="I57" s="274" t="s">
        <v>9542</v>
      </c>
      <c r="J57" s="274" t="s">
        <v>24</v>
      </c>
      <c r="K57" s="274" t="s">
        <v>10</v>
      </c>
      <c r="L57" s="273" t="s">
        <v>7311</v>
      </c>
      <c r="M57" s="274">
        <f t="shared" si="9"/>
        <v>5</v>
      </c>
      <c r="N57" s="274">
        <f t="shared" si="10"/>
        <v>1</v>
      </c>
      <c r="O57" s="274">
        <f t="shared" si="11"/>
        <v>15</v>
      </c>
      <c r="P57" s="275" t="s">
        <v>7312</v>
      </c>
      <c r="Q57" s="276">
        <f t="shared" si="16"/>
        <v>10511503</v>
      </c>
      <c r="R57" s="276" t="s">
        <v>571</v>
      </c>
      <c r="S57" s="273" t="str">
        <f t="shared" si="8"/>
        <v>(Fast till noon)</v>
      </c>
      <c r="T57" s="273" t="s">
        <v>37</v>
      </c>
      <c r="U57" s="277" t="s">
        <v>7313</v>
      </c>
      <c r="V57" s="273">
        <v>-1</v>
      </c>
      <c r="W57" s="273" t="s">
        <v>1393</v>
      </c>
      <c r="X57" s="266"/>
    </row>
    <row r="58" spans="1:24" x14ac:dyDescent="0.25">
      <c r="A58" s="278">
        <v>46</v>
      </c>
      <c r="B58" s="278">
        <f t="shared" si="12"/>
        <v>1</v>
      </c>
      <c r="C58" s="311">
        <f>IFERROR(INDEX('GCal-Year'!$A$40:$A$435,D58),"---")</f>
        <v>43693</v>
      </c>
      <c r="D58" s="279">
        <f>IFERROR(MATCH(H58,'GCal-Year'!$E$40:$E$435,0),"---")</f>
        <v>228</v>
      </c>
      <c r="E58" s="279" t="str">
        <f>IF(ISERROR(MATCH(F58,'GCal-Year'!$E$40:$E$435,0)),"A","")</f>
        <v/>
      </c>
      <c r="F58" s="279">
        <f t="shared" si="13"/>
        <v>106001</v>
      </c>
      <c r="G58" s="279">
        <f t="shared" si="14"/>
        <v>106002</v>
      </c>
      <c r="H58" s="279">
        <f t="shared" si="15"/>
        <v>106001</v>
      </c>
      <c r="I58" s="279" t="s">
        <v>9543</v>
      </c>
      <c r="J58" s="279" t="s">
        <v>25</v>
      </c>
      <c r="K58" s="279" t="s">
        <v>11</v>
      </c>
      <c r="L58" s="278" t="s">
        <v>7314</v>
      </c>
      <c r="M58" s="279">
        <f t="shared" si="9"/>
        <v>6</v>
      </c>
      <c r="N58" s="279">
        <f t="shared" si="10"/>
        <v>0</v>
      </c>
      <c r="O58" s="279">
        <f t="shared" si="11"/>
        <v>1</v>
      </c>
      <c r="P58" s="280" t="s">
        <v>7315</v>
      </c>
      <c r="Q58" s="281">
        <f t="shared" si="16"/>
        <v>10600101</v>
      </c>
      <c r="R58" s="281" t="s">
        <v>314</v>
      </c>
      <c r="S58" s="278" t="str">
        <f t="shared" si="8"/>
        <v>Srila Prabhupada's departure for the USA</v>
      </c>
      <c r="T58" s="278"/>
      <c r="U58" s="282"/>
      <c r="V58" s="278">
        <v>4</v>
      </c>
      <c r="W58" s="278" t="s">
        <v>173</v>
      </c>
      <c r="X58" s="266"/>
    </row>
    <row r="59" spans="1:24" x14ac:dyDescent="0.25">
      <c r="A59" s="278">
        <v>47</v>
      </c>
      <c r="B59" s="278">
        <f t="shared" si="12"/>
        <v>1</v>
      </c>
      <c r="C59" s="311">
        <f>IFERROR(INDEX('GCal-Year'!$A$40:$A$435,D59),"---")</f>
        <v>43711</v>
      </c>
      <c r="D59" s="279">
        <f>IFERROR(MATCH(H59,'GCal-Year'!$E$40:$E$435,0),"---")</f>
        <v>246</v>
      </c>
      <c r="E59" s="279" t="str">
        <f>IF(ISERROR(MATCH(F59,'GCal-Year'!$E$40:$E$435,0)),"A","")</f>
        <v/>
      </c>
      <c r="F59" s="279">
        <f t="shared" si="13"/>
        <v>106105</v>
      </c>
      <c r="G59" s="279">
        <f t="shared" si="14"/>
        <v>106106</v>
      </c>
      <c r="H59" s="279">
        <f t="shared" si="15"/>
        <v>106105</v>
      </c>
      <c r="I59" s="279" t="s">
        <v>9543</v>
      </c>
      <c r="J59" s="279" t="s">
        <v>24</v>
      </c>
      <c r="K59" s="279" t="s">
        <v>14</v>
      </c>
      <c r="L59" s="278" t="s">
        <v>7316</v>
      </c>
      <c r="M59" s="279">
        <f t="shared" si="9"/>
        <v>6</v>
      </c>
      <c r="N59" s="279">
        <f t="shared" si="10"/>
        <v>1</v>
      </c>
      <c r="O59" s="279">
        <f t="shared" si="11"/>
        <v>5</v>
      </c>
      <c r="P59" s="280" t="s">
        <v>7317</v>
      </c>
      <c r="Q59" s="281">
        <f t="shared" si="16"/>
        <v>10610501</v>
      </c>
      <c r="R59" s="281" t="s">
        <v>316</v>
      </c>
      <c r="S59" s="278" t="str">
        <f t="shared" ref="S59:S128" si="17">SUBSTITUTE(R59,"--","-",1)</f>
        <v>Srimati Sita Thakurani (Sri Advaita's consort) - Appearance</v>
      </c>
      <c r="T59" s="278"/>
      <c r="U59" s="282"/>
      <c r="V59" s="278">
        <v>3</v>
      </c>
      <c r="W59" s="278" t="s">
        <v>171</v>
      </c>
      <c r="X59" s="266"/>
    </row>
    <row r="60" spans="1:24" x14ac:dyDescent="0.25">
      <c r="A60" s="278">
        <v>48</v>
      </c>
      <c r="B60" s="278">
        <f t="shared" si="12"/>
        <v>1</v>
      </c>
      <c r="C60" s="311">
        <f>IFERROR(INDEX('GCal-Year'!$A$40:$A$435,D60),"---")</f>
        <v>43712</v>
      </c>
      <c r="D60" s="279">
        <f>IFERROR(MATCH(H60,'GCal-Year'!$E$40:$E$435,0),"---")</f>
        <v>247</v>
      </c>
      <c r="E60" s="279" t="str">
        <f>IF(ISERROR(MATCH(F60,'GCal-Year'!$E$40:$E$435,0)),"A","")</f>
        <v/>
      </c>
      <c r="F60" s="279">
        <f t="shared" si="13"/>
        <v>106106</v>
      </c>
      <c r="G60" s="279">
        <f t="shared" si="14"/>
        <v>106107</v>
      </c>
      <c r="H60" s="279">
        <f t="shared" si="15"/>
        <v>106106</v>
      </c>
      <c r="I60" s="279" t="s">
        <v>9543</v>
      </c>
      <c r="J60" s="279" t="s">
        <v>24</v>
      </c>
      <c r="K60" s="279" t="s">
        <v>15</v>
      </c>
      <c r="L60" s="278" t="s">
        <v>7318</v>
      </c>
      <c r="M60" s="279">
        <f t="shared" si="9"/>
        <v>6</v>
      </c>
      <c r="N60" s="279">
        <f t="shared" si="10"/>
        <v>1</v>
      </c>
      <c r="O60" s="279">
        <f t="shared" si="11"/>
        <v>6</v>
      </c>
      <c r="P60" s="280" t="s">
        <v>7319</v>
      </c>
      <c r="Q60" s="281">
        <f t="shared" si="16"/>
        <v>10610601</v>
      </c>
      <c r="R60" s="281" t="s">
        <v>7320</v>
      </c>
      <c r="S60" s="278" t="str">
        <f t="shared" si="17"/>
        <v>Lalita sasti</v>
      </c>
      <c r="T60" s="278"/>
      <c r="U60" s="282"/>
      <c r="V60" s="278">
        <v>1</v>
      </c>
      <c r="W60" s="278" t="s">
        <v>168</v>
      </c>
      <c r="X60" s="266"/>
    </row>
    <row r="61" spans="1:24" x14ac:dyDescent="0.25">
      <c r="A61" s="278">
        <v>49</v>
      </c>
      <c r="B61" s="278">
        <f t="shared" si="12"/>
        <v>1</v>
      </c>
      <c r="C61" s="311">
        <f>IFERROR(INDEX('GCal-Year'!$A$40:$A$435,D61),"---")</f>
        <v>43714</v>
      </c>
      <c r="D61" s="279">
        <f>IFERROR(MATCH(H61,'GCal-Year'!$E$40:$E$435,0),"---")</f>
        <v>249</v>
      </c>
      <c r="E61" s="279" t="str">
        <f>IF(ISERROR(MATCH(F61,'GCal-Year'!$E$40:$E$435,0)),"A","")</f>
        <v/>
      </c>
      <c r="F61" s="279">
        <f t="shared" si="13"/>
        <v>106108</v>
      </c>
      <c r="G61" s="279">
        <f t="shared" si="14"/>
        <v>106109</v>
      </c>
      <c r="H61" s="279">
        <f t="shared" si="15"/>
        <v>106108</v>
      </c>
      <c r="I61" s="279" t="s">
        <v>9543</v>
      </c>
      <c r="J61" s="279" t="s">
        <v>24</v>
      </c>
      <c r="K61" s="279" t="s">
        <v>17</v>
      </c>
      <c r="L61" s="278" t="s">
        <v>7321</v>
      </c>
      <c r="M61" s="279">
        <f t="shared" ref="M61:M98" si="18">VALUE(Masacod(I61))</f>
        <v>6</v>
      </c>
      <c r="N61" s="279">
        <f t="shared" ref="N61:N98" si="19">VALUE(PaksaCod(J61))</f>
        <v>1</v>
      </c>
      <c r="O61" s="279">
        <f t="shared" ref="O61:O98" si="20">VALUE(TithiCod(K61))</f>
        <v>8</v>
      </c>
      <c r="P61" s="280" t="s">
        <v>7322</v>
      </c>
      <c r="Q61" s="281">
        <f t="shared" si="16"/>
        <v>10610801</v>
      </c>
      <c r="R61" s="281" t="s">
        <v>319</v>
      </c>
      <c r="S61" s="278" t="str">
        <f t="shared" si="17"/>
        <v>Radhastami: Appearance of Srimati Radharani</v>
      </c>
      <c r="T61" s="278"/>
      <c r="U61" s="282" t="s">
        <v>7592</v>
      </c>
      <c r="V61" s="278">
        <v>0</v>
      </c>
      <c r="W61" s="278" t="s">
        <v>167</v>
      </c>
      <c r="X61" s="266"/>
    </row>
    <row r="62" spans="1:24" x14ac:dyDescent="0.25">
      <c r="A62" s="278">
        <v>49.5</v>
      </c>
      <c r="B62" s="278">
        <f>IF(H62&lt;&gt;H61,1,B61+1)</f>
        <v>2</v>
      </c>
      <c r="C62" s="311">
        <f>IFERROR(INDEX('GCal-Year'!$A$40:$A$435,D62),"---")</f>
        <v>43714</v>
      </c>
      <c r="D62" s="279">
        <f>IFERROR(MATCH(H62,'GCal-Year'!$E$40:$E$435,0),"---")</f>
        <v>249</v>
      </c>
      <c r="E62" s="279" t="str">
        <f>IF(ISERROR(MATCH(F62,'GCal-Year'!$E$40:$E$435,0)),"A","")</f>
        <v/>
      </c>
      <c r="F62" s="279">
        <f>VALUE("1" &amp;  Masacod(I62) &amp; PaksaCod(J62) &amp; TithiCod(K62))</f>
        <v>106108</v>
      </c>
      <c r="G62" s="279">
        <f>VALUE("1" &amp;  IF(AND(VALUE(RIGHT(F62,2))&gt;14,MID(F62,4,1)="1"),IF(VALUE(MID(F62,2,2))&gt;11,"01",VALUE(MID(F62,2,2))+1),MID(F62,2,2)) &amp; IF(VALUE(RIGHT(F62,2))&gt;14,IF(MID(F62,4,1)="0","1","0"),MID(F62,4,1)) &amp; IF(VALUE(RIGHT(F62,2))&gt;14,"01",TEXT(VALUE(TithiCod(K62))+1,"00")))</f>
        <v>106109</v>
      </c>
      <c r="H62" s="279">
        <f>IF(E62="",F62,G62)</f>
        <v>106108</v>
      </c>
      <c r="I62" s="279" t="s">
        <v>9543</v>
      </c>
      <c r="J62" s="279" t="s">
        <v>24</v>
      </c>
      <c r="K62" s="279" t="s">
        <v>17</v>
      </c>
      <c r="L62" s="278" t="s">
        <v>7321</v>
      </c>
      <c r="M62" s="279">
        <f>VALUE(Masacod(I62))</f>
        <v>6</v>
      </c>
      <c r="N62" s="279">
        <f>VALUE(PaksaCod(J62))</f>
        <v>1</v>
      </c>
      <c r="O62" s="279">
        <f>VALUE(TithiCod(K62))</f>
        <v>8</v>
      </c>
      <c r="P62" s="280" t="s">
        <v>7322</v>
      </c>
      <c r="Q62" s="281">
        <f>VALUE(H62&amp;TEXT(B62,"00"))</f>
        <v>10610802</v>
      </c>
      <c r="R62" s="281" t="s">
        <v>571</v>
      </c>
      <c r="S62" s="278" t="str">
        <f>SUBSTITUTE(R62,"--","-",1)</f>
        <v>(Fast till noon)</v>
      </c>
      <c r="T62" s="278" t="s">
        <v>37</v>
      </c>
      <c r="U62" s="282" t="s">
        <v>7592</v>
      </c>
      <c r="V62" s="278">
        <v>-1</v>
      </c>
      <c r="W62" s="278" t="s">
        <v>1393</v>
      </c>
      <c r="X62" s="266"/>
    </row>
    <row r="63" spans="1:24" customFormat="1" x14ac:dyDescent="0.25"/>
    <row r="64" spans="1:24" x14ac:dyDescent="0.25">
      <c r="A64" s="439">
        <v>50.2</v>
      </c>
      <c r="B64" s="439">
        <f>IF(H64&lt;&gt;H62,1,B62+1)</f>
        <v>1</v>
      </c>
      <c r="C64" s="431">
        <f>C65-1</f>
        <v>43717</v>
      </c>
      <c r="D64" s="327">
        <f>IFERROR(MATCH(C64,'GCal-Year'!$A$40:$A$435,0),"---")</f>
        <v>252</v>
      </c>
      <c r="E64" s="327">
        <f>INDEX('GCal-Year'!$G$40:$G$435,D64)</f>
        <v>0</v>
      </c>
      <c r="F64" s="824"/>
      <c r="G64" s="824"/>
      <c r="H64" s="327">
        <f>IFERROR(INDEX('GCal-Year'!$E$40:$E$435,D64),"---")</f>
        <v>106111</v>
      </c>
      <c r="I64" s="824"/>
      <c r="J64" s="824"/>
      <c r="K64" s="824"/>
      <c r="L64" s="121"/>
      <c r="M64" s="824"/>
      <c r="N64" s="824"/>
      <c r="O64" s="824"/>
      <c r="P64" s="827"/>
      <c r="Q64" s="440">
        <f>VALUE(H64&amp;TEXT(B64,"00"))</f>
        <v>10611101</v>
      </c>
      <c r="R64" s="121"/>
      <c r="S64" s="442" t="str">
        <f>IF(E64="*",T64,"")</f>
        <v/>
      </c>
      <c r="T64" s="442" t="str">
        <f>"(Fast till noon for " &amp; U65 &amp; ", with feast tomorrow)"</f>
        <v>(Fast till noon for Vamanadeva, with feast tomorrow)</v>
      </c>
      <c r="U64" s="441"/>
      <c r="V64" s="439" t="str">
        <f>"---"</f>
        <v>---</v>
      </c>
      <c r="W64" s="439"/>
      <c r="X64" s="266"/>
    </row>
    <row r="65" spans="1:24" x14ac:dyDescent="0.25">
      <c r="A65" s="278">
        <v>50.3</v>
      </c>
      <c r="B65" s="278">
        <f>IF(H65&lt;&gt;H61,1,B61+1)</f>
        <v>1</v>
      </c>
      <c r="C65" s="311">
        <f>IFERROR(INDEX('GCal-Year'!$A$40:$A$435,D65),"---")</f>
        <v>43718</v>
      </c>
      <c r="D65" s="279">
        <f>IFERROR(MATCH(H65,'GCal-Year'!$E$40:$E$435,0),"---")</f>
        <v>253</v>
      </c>
      <c r="E65" s="279" t="str">
        <f>IF(ISERROR(MATCH(F65,'GCal-Year'!$E$40:$E$435,0)),"A","")</f>
        <v/>
      </c>
      <c r="F65" s="279">
        <f t="shared" si="13"/>
        <v>106112</v>
      </c>
      <c r="G65" s="279">
        <f t="shared" si="14"/>
        <v>106113</v>
      </c>
      <c r="H65" s="279">
        <f t="shared" si="15"/>
        <v>106112</v>
      </c>
      <c r="I65" s="279" t="s">
        <v>9543</v>
      </c>
      <c r="J65" s="279" t="s">
        <v>24</v>
      </c>
      <c r="K65" s="279" t="s">
        <v>21</v>
      </c>
      <c r="L65" s="278" t="s">
        <v>7323</v>
      </c>
      <c r="M65" s="279">
        <f>VALUE(Masacod(I65))</f>
        <v>6</v>
      </c>
      <c r="N65" s="279">
        <f>VALUE(PaksaCod(J65))</f>
        <v>1</v>
      </c>
      <c r="O65" s="279">
        <f>VALUE(TithiCod(K65))</f>
        <v>12</v>
      </c>
      <c r="P65" s="280" t="s">
        <v>7324</v>
      </c>
      <c r="Q65" s="281">
        <f t="shared" si="16"/>
        <v>10611201</v>
      </c>
      <c r="R65" s="281" t="s">
        <v>321</v>
      </c>
      <c r="S65" s="278" t="str">
        <f t="shared" si="17"/>
        <v>Sri Vamana Dvadasi: Appearance of Lord Vamanadeva</v>
      </c>
      <c r="T65" s="278" t="str">
        <f>"(Fast till noon for " &amp; U65 &amp; ", with feast tomorrow)"</f>
        <v>(Fast till noon for Vamanadeva, with feast tomorrow)</v>
      </c>
      <c r="U65" s="282" t="s">
        <v>7325</v>
      </c>
      <c r="V65" s="278">
        <v>0</v>
      </c>
      <c r="W65" s="278" t="s">
        <v>167</v>
      </c>
      <c r="X65" s="266"/>
    </row>
    <row r="66" spans="1:24" x14ac:dyDescent="0.25">
      <c r="A66" s="434">
        <v>50.5</v>
      </c>
      <c r="B66" s="434">
        <f>IF(H66&lt;&gt;H65,1,B65+1)</f>
        <v>2</v>
      </c>
      <c r="C66" s="435">
        <f>C65</f>
        <v>43718</v>
      </c>
      <c r="D66" s="416">
        <f>D65</f>
        <v>253</v>
      </c>
      <c r="E66" s="826">
        <f>INDEX('GCal-Year'!$AT$40:$AT$435,D66)</f>
        <v>-2</v>
      </c>
      <c r="F66" s="824"/>
      <c r="G66" s="824"/>
      <c r="H66" s="416">
        <f>H65</f>
        <v>106112</v>
      </c>
      <c r="I66" s="824"/>
      <c r="J66" s="824"/>
      <c r="K66" s="824"/>
      <c r="L66" s="121"/>
      <c r="M66" s="824"/>
      <c r="N66" s="824"/>
      <c r="O66" s="824"/>
      <c r="P66" s="827"/>
      <c r="Q66" s="436">
        <f t="shared" si="16"/>
        <v>10611202</v>
      </c>
      <c r="R66" s="436" t="s">
        <v>7594</v>
      </c>
      <c r="S66" s="434" t="str">
        <f>IF(E66=-2,T65,IF(E66=-0.3,T66,R66))</f>
        <v>(Fast till noon for Vamanadeva, with feast tomorrow)</v>
      </c>
      <c r="T66" s="437" t="s">
        <v>521</v>
      </c>
      <c r="U66" s="438"/>
      <c r="V66" s="434">
        <v>-1</v>
      </c>
      <c r="W66" s="434" t="s">
        <v>1393</v>
      </c>
      <c r="X66" s="266"/>
    </row>
    <row r="67" spans="1:24" x14ac:dyDescent="0.25">
      <c r="A67" s="278">
        <v>51</v>
      </c>
      <c r="B67" s="278">
        <f t="shared" si="12"/>
        <v>3</v>
      </c>
      <c r="C67" s="311">
        <f>IFERROR(INDEX('GCal-Year'!$A$40:$A$435,D67),"---")</f>
        <v>43718</v>
      </c>
      <c r="D67" s="279">
        <f>IFERROR(MATCH(H67,'GCal-Year'!$E$40:$E$435,0),"---")</f>
        <v>253</v>
      </c>
      <c r="E67" s="279" t="str">
        <f>IF(ISERROR(MATCH(F67,'GCal-Year'!$E$40:$E$435,0)),"A","")</f>
        <v/>
      </c>
      <c r="F67" s="279">
        <f t="shared" si="13"/>
        <v>106112</v>
      </c>
      <c r="G67" s="279">
        <f t="shared" si="14"/>
        <v>106113</v>
      </c>
      <c r="H67" s="279">
        <f t="shared" si="15"/>
        <v>106112</v>
      </c>
      <c r="I67" s="279" t="s">
        <v>9543</v>
      </c>
      <c r="J67" s="279" t="s">
        <v>24</v>
      </c>
      <c r="K67" s="279" t="s">
        <v>21</v>
      </c>
      <c r="L67" s="278" t="s">
        <v>7323</v>
      </c>
      <c r="M67" s="279">
        <f t="shared" si="18"/>
        <v>6</v>
      </c>
      <c r="N67" s="279">
        <f t="shared" si="19"/>
        <v>1</v>
      </c>
      <c r="O67" s="279">
        <f t="shared" si="20"/>
        <v>12</v>
      </c>
      <c r="P67" s="280" t="s">
        <v>7324</v>
      </c>
      <c r="Q67" s="281">
        <f t="shared" si="16"/>
        <v>10611203</v>
      </c>
      <c r="R67" s="281" t="s">
        <v>323</v>
      </c>
      <c r="S67" s="278" t="str">
        <f t="shared" si="17"/>
        <v>Srila Jiva Gosvami - Appearance</v>
      </c>
      <c r="T67" s="278"/>
      <c r="U67" s="282"/>
      <c r="V67" s="278">
        <v>3</v>
      </c>
      <c r="W67" s="278" t="s">
        <v>171</v>
      </c>
      <c r="X67" s="266"/>
    </row>
    <row r="68" spans="1:24" x14ac:dyDescent="0.25">
      <c r="A68" s="439">
        <v>52.2</v>
      </c>
      <c r="B68" s="439">
        <f>IF(H68&lt;&gt;H67,1,B67+1)</f>
        <v>4</v>
      </c>
      <c r="C68" s="431">
        <f>C69-1</f>
        <v>43718</v>
      </c>
      <c r="D68" s="327">
        <f>IFERROR(MATCH(C68,'GCal-Year'!$A$40:$A$435,0),"---")</f>
        <v>253</v>
      </c>
      <c r="E68" s="327" t="str">
        <f>INDEX('GCal-Year'!$G$40:$G$435,D68)</f>
        <v>*</v>
      </c>
      <c r="F68" s="824"/>
      <c r="G68" s="824"/>
      <c r="H68" s="327">
        <f>IFERROR(INDEX('GCal-Year'!$E$40:$E$435,D68),"---")</f>
        <v>106112</v>
      </c>
      <c r="I68" s="824"/>
      <c r="J68" s="824"/>
      <c r="K68" s="824"/>
      <c r="L68" s="121"/>
      <c r="M68" s="824"/>
      <c r="N68" s="824"/>
      <c r="O68" s="824"/>
      <c r="P68" s="827"/>
      <c r="Q68" s="440">
        <f t="shared" si="16"/>
        <v>10611204</v>
      </c>
      <c r="R68" s="439"/>
      <c r="S68" s="439" t="str">
        <f>IF(E68="*",T68,"")</f>
        <v>(Fast till noon for Bhaktivinoda Thakura, with feast tomorrow)</v>
      </c>
      <c r="T68" s="442" t="str">
        <f>"(Fast till noon for " &amp; U69 &amp; ", with feast tomorrow)"</f>
        <v>(Fast till noon for Bhaktivinoda Thakura, with feast tomorrow)</v>
      </c>
      <c r="U68" s="441"/>
      <c r="V68" s="439" t="str">
        <f>"---"</f>
        <v>---</v>
      </c>
      <c r="W68" s="439"/>
      <c r="X68" s="266"/>
    </row>
    <row r="69" spans="1:24" x14ac:dyDescent="0.25">
      <c r="A69" s="278">
        <v>52.3</v>
      </c>
      <c r="B69" s="278">
        <f>IF(H69&lt;&gt;H67,1,B67+1)</f>
        <v>1</v>
      </c>
      <c r="C69" s="311">
        <f>IFERROR(INDEX('GCal-Year'!$A$40:$A$435,D69),"---")</f>
        <v>43719</v>
      </c>
      <c r="D69" s="279">
        <f>IFERROR(MATCH(H69,'GCal-Year'!$E$40:$E$435,0),"---")</f>
        <v>254</v>
      </c>
      <c r="E69" s="279" t="str">
        <f>IF(ISERROR(MATCH(F69,'GCal-Year'!$E$40:$E$435,0)),"A","")</f>
        <v/>
      </c>
      <c r="F69" s="279">
        <f t="shared" si="13"/>
        <v>106113</v>
      </c>
      <c r="G69" s="279">
        <f t="shared" si="14"/>
        <v>106114</v>
      </c>
      <c r="H69" s="279">
        <f t="shared" si="15"/>
        <v>106113</v>
      </c>
      <c r="I69" s="279" t="s">
        <v>9543</v>
      </c>
      <c r="J69" s="279" t="s">
        <v>24</v>
      </c>
      <c r="K69" s="279" t="s">
        <v>8</v>
      </c>
      <c r="L69" s="278" t="s">
        <v>7326</v>
      </c>
      <c r="M69" s="279">
        <f t="shared" si="18"/>
        <v>6</v>
      </c>
      <c r="N69" s="279">
        <f t="shared" si="19"/>
        <v>1</v>
      </c>
      <c r="O69" s="279">
        <f t="shared" si="20"/>
        <v>13</v>
      </c>
      <c r="P69" s="280" t="s">
        <v>7327</v>
      </c>
      <c r="Q69" s="281">
        <f t="shared" si="16"/>
        <v>10611301</v>
      </c>
      <c r="R69" s="281" t="s">
        <v>326</v>
      </c>
      <c r="S69" s="278" t="str">
        <f t="shared" si="17"/>
        <v>Srila Bhaktivinoda Thakura - Appearance</v>
      </c>
      <c r="T69" s="278" t="str">
        <f>"(Fast till noon for " &amp; U69 &amp; ", with feast tomorrow)"</f>
        <v>(Fast till noon for Bhaktivinoda Thakura, with feast tomorrow)</v>
      </c>
      <c r="U69" s="282" t="s">
        <v>7593</v>
      </c>
      <c r="V69" s="278">
        <v>2</v>
      </c>
      <c r="W69" s="278" t="s">
        <v>169</v>
      </c>
      <c r="X69" s="266"/>
    </row>
    <row r="70" spans="1:24" x14ac:dyDescent="0.25">
      <c r="A70" s="434">
        <v>52.5</v>
      </c>
      <c r="B70" s="434">
        <f>IF(H70&lt;&gt;H69,1,B69+1)</f>
        <v>2</v>
      </c>
      <c r="C70" s="435">
        <f>C69</f>
        <v>43719</v>
      </c>
      <c r="D70" s="416">
        <f>D69</f>
        <v>254</v>
      </c>
      <c r="E70" s="826">
        <f>INDEX('GCal-Year'!$AT$40:$AT$435,D70)</f>
        <v>-0.3</v>
      </c>
      <c r="F70" s="824"/>
      <c r="G70" s="824"/>
      <c r="H70" s="416">
        <f>H69</f>
        <v>106113</v>
      </c>
      <c r="I70" s="824"/>
      <c r="J70" s="824"/>
      <c r="K70" s="824"/>
      <c r="L70" s="121"/>
      <c r="M70" s="824"/>
      <c r="N70" s="824"/>
      <c r="O70" s="824"/>
      <c r="P70" s="827"/>
      <c r="Q70" s="436">
        <f>VALUE(H70&amp;TEXT(B70,"00"))</f>
        <v>10611302</v>
      </c>
      <c r="R70" s="436" t="s">
        <v>7594</v>
      </c>
      <c r="S70" s="434" t="str">
        <f>IF(E70=-0.3,T70,IF(E70=-1,R70,T69))</f>
        <v>(Fasting is done yesterday, today is feast)</v>
      </c>
      <c r="T70" s="437" t="s">
        <v>521</v>
      </c>
      <c r="U70" s="438"/>
      <c r="V70" s="434">
        <v>-1</v>
      </c>
      <c r="W70" s="434" t="s">
        <v>1393</v>
      </c>
      <c r="X70" s="266"/>
    </row>
    <row r="71" spans="1:24" customFormat="1" x14ac:dyDescent="0.25"/>
    <row r="72" spans="1:24" x14ac:dyDescent="0.25">
      <c r="A72" s="278">
        <v>53</v>
      </c>
      <c r="B72" s="278">
        <f>IF(H72&lt;&gt;H69,1,B69+1)</f>
        <v>1</v>
      </c>
      <c r="C72" s="311">
        <f>IFERROR(INDEX('GCal-Year'!$A$40:$A$435,D72),"---")</f>
        <v>43720</v>
      </c>
      <c r="D72" s="279">
        <f>IFERROR(MATCH(H72,'GCal-Year'!$E$40:$E$435,0),"---")</f>
        <v>255</v>
      </c>
      <c r="E72" s="279" t="str">
        <f>IF(ISERROR(MATCH(F72,'GCal-Year'!$E$40:$E$435,0)),"A","")</f>
        <v/>
      </c>
      <c r="F72" s="279">
        <f t="shared" si="13"/>
        <v>106114</v>
      </c>
      <c r="G72" s="279">
        <f t="shared" si="14"/>
        <v>106115</v>
      </c>
      <c r="H72" s="279">
        <f t="shared" si="15"/>
        <v>106114</v>
      </c>
      <c r="I72" s="279" t="s">
        <v>9543</v>
      </c>
      <c r="J72" s="279" t="s">
        <v>24</v>
      </c>
      <c r="K72" s="279" t="s">
        <v>9</v>
      </c>
      <c r="L72" s="278" t="s">
        <v>7328</v>
      </c>
      <c r="M72" s="279">
        <f t="shared" si="18"/>
        <v>6</v>
      </c>
      <c r="N72" s="279">
        <f t="shared" si="19"/>
        <v>1</v>
      </c>
      <c r="O72" s="279">
        <f t="shared" si="20"/>
        <v>14</v>
      </c>
      <c r="P72" s="280" t="s">
        <v>7329</v>
      </c>
      <c r="Q72" s="281">
        <f t="shared" si="16"/>
        <v>10611401</v>
      </c>
      <c r="R72" s="281" t="s">
        <v>7330</v>
      </c>
      <c r="S72" s="278" t="str">
        <f t="shared" si="17"/>
        <v>Ananta Caturdasi Vrata</v>
      </c>
      <c r="T72" s="278"/>
      <c r="U72" s="282"/>
      <c r="V72" s="278">
        <v>1</v>
      </c>
      <c r="W72" s="278" t="s">
        <v>168</v>
      </c>
      <c r="X72" s="266"/>
    </row>
    <row r="73" spans="1:24" x14ac:dyDescent="0.25">
      <c r="A73" s="278">
        <v>54</v>
      </c>
      <c r="B73" s="278">
        <f t="shared" ref="B73:B107" si="21">IF(H73&lt;&gt;H72,1,B72+1)</f>
        <v>2</v>
      </c>
      <c r="C73" s="311">
        <f>IFERROR(INDEX('GCal-Year'!$A$40:$A$435,D73),"---")</f>
        <v>43720</v>
      </c>
      <c r="D73" s="279">
        <f>IFERROR(MATCH(H73,'GCal-Year'!$E$40:$E$435,0),"---")</f>
        <v>255</v>
      </c>
      <c r="E73" s="279" t="str">
        <f>IF(ISERROR(MATCH(F73,'GCal-Year'!$E$40:$E$435,0)),"A","")</f>
        <v/>
      </c>
      <c r="F73" s="279">
        <f t="shared" ref="F73:F107" si="22">VALUE("1" &amp;  Masacod(I73) &amp; PaksaCod(J73) &amp; TithiCod(K73))</f>
        <v>106114</v>
      </c>
      <c r="G73" s="279">
        <f t="shared" ref="G73:G107" si="23">VALUE("1" &amp;  IF(AND(VALUE(RIGHT(F73,2))&gt;14,MID(F73,4,1)="1"),IF(VALUE(MID(F73,2,2))&gt;11,"01",VALUE(MID(F73,2,2))+1),MID(F73,2,2)) &amp; IF(VALUE(RIGHT(F73,2))&gt;14,IF(MID(F73,4,1)="0","1","0"),MID(F73,4,1)) &amp; IF(VALUE(RIGHT(F73,2))&gt;14,"01",TEXT(VALUE(TithiCod(K73))+1,"00")))</f>
        <v>106115</v>
      </c>
      <c r="H73" s="279">
        <f t="shared" ref="H73:H107" si="24">IF(E73="",F73,G73)</f>
        <v>106114</v>
      </c>
      <c r="I73" s="279" t="s">
        <v>9543</v>
      </c>
      <c r="J73" s="279" t="s">
        <v>24</v>
      </c>
      <c r="K73" s="279" t="s">
        <v>9</v>
      </c>
      <c r="L73" s="278" t="s">
        <v>7328</v>
      </c>
      <c r="M73" s="279">
        <f t="shared" si="18"/>
        <v>6</v>
      </c>
      <c r="N73" s="279">
        <f t="shared" si="19"/>
        <v>1</v>
      </c>
      <c r="O73" s="279">
        <f t="shared" si="20"/>
        <v>14</v>
      </c>
      <c r="P73" s="280" t="s">
        <v>7329</v>
      </c>
      <c r="Q73" s="281">
        <f t="shared" ref="Q73:Q107" si="25">VALUE(H73&amp;TEXT(B73,"00"))</f>
        <v>10611402</v>
      </c>
      <c r="R73" s="281" t="s">
        <v>329</v>
      </c>
      <c r="S73" s="278" t="str">
        <f t="shared" si="17"/>
        <v>Srila Haridasa Thakura - Disappearance</v>
      </c>
      <c r="T73" s="278"/>
      <c r="U73" s="282"/>
      <c r="V73" s="278">
        <v>3</v>
      </c>
      <c r="W73" s="278" t="s">
        <v>171</v>
      </c>
      <c r="X73" s="266"/>
    </row>
    <row r="74" spans="1:24" x14ac:dyDescent="0.25">
      <c r="A74" s="278">
        <v>55</v>
      </c>
      <c r="B74" s="278">
        <f t="shared" si="21"/>
        <v>1</v>
      </c>
      <c r="C74" s="311">
        <f>IFERROR(INDEX('GCal-Year'!$A$40:$A$435,D74),"---")</f>
        <v>43721</v>
      </c>
      <c r="D74" s="279">
        <f>IFERROR(MATCH(H74,'GCal-Year'!$E$40:$E$435,0),"---")</f>
        <v>256</v>
      </c>
      <c r="E74" s="279" t="str">
        <f>IF(ISERROR(MATCH(F74,'GCal-Year'!$E$40:$E$435,0)),"A","")</f>
        <v/>
      </c>
      <c r="F74" s="279">
        <f t="shared" si="22"/>
        <v>106115</v>
      </c>
      <c r="G74" s="279">
        <f t="shared" si="23"/>
        <v>17001</v>
      </c>
      <c r="H74" s="279">
        <f t="shared" si="24"/>
        <v>106115</v>
      </c>
      <c r="I74" s="279" t="s">
        <v>9543</v>
      </c>
      <c r="J74" s="279" t="s">
        <v>24</v>
      </c>
      <c r="K74" s="279" t="s">
        <v>10</v>
      </c>
      <c r="L74" s="278" t="s">
        <v>7331</v>
      </c>
      <c r="M74" s="279">
        <f t="shared" si="18"/>
        <v>6</v>
      </c>
      <c r="N74" s="279">
        <f t="shared" si="19"/>
        <v>1</v>
      </c>
      <c r="O74" s="279">
        <f t="shared" si="20"/>
        <v>15</v>
      </c>
      <c r="P74" s="280" t="s">
        <v>7332</v>
      </c>
      <c r="Q74" s="281">
        <f t="shared" si="25"/>
        <v>10611501</v>
      </c>
      <c r="R74" s="281" t="s">
        <v>7333</v>
      </c>
      <c r="S74" s="278" t="str">
        <f t="shared" si="17"/>
        <v>Sri Visvarupa Mahotsava</v>
      </c>
      <c r="T74" s="278"/>
      <c r="U74" s="282"/>
      <c r="V74" s="278">
        <v>1</v>
      </c>
      <c r="W74" s="283" t="s">
        <v>168</v>
      </c>
      <c r="X74" s="266"/>
    </row>
    <row r="75" spans="1:24" x14ac:dyDescent="0.25">
      <c r="A75" s="278">
        <v>56</v>
      </c>
      <c r="B75" s="278">
        <f t="shared" si="21"/>
        <v>2</v>
      </c>
      <c r="C75" s="311">
        <f>IFERROR(INDEX('GCal-Year'!$A$40:$A$435,D75),"---")</f>
        <v>43721</v>
      </c>
      <c r="D75" s="279">
        <f>IFERROR(MATCH(H75,'GCal-Year'!$E$40:$E$435,0),"---")</f>
        <v>256</v>
      </c>
      <c r="E75" s="279" t="str">
        <f>IF(ISERROR(MATCH(F75,'GCal-Year'!$E$40:$E$435,0)),"A","")</f>
        <v/>
      </c>
      <c r="F75" s="279">
        <f t="shared" si="22"/>
        <v>106115</v>
      </c>
      <c r="G75" s="279">
        <f t="shared" si="23"/>
        <v>17001</v>
      </c>
      <c r="H75" s="279">
        <f t="shared" si="24"/>
        <v>106115</v>
      </c>
      <c r="I75" s="279" t="s">
        <v>9543</v>
      </c>
      <c r="J75" s="279" t="s">
        <v>24</v>
      </c>
      <c r="K75" s="279" t="s">
        <v>10</v>
      </c>
      <c r="L75" s="278" t="s">
        <v>7331</v>
      </c>
      <c r="M75" s="279">
        <f t="shared" si="18"/>
        <v>6</v>
      </c>
      <c r="N75" s="279">
        <f t="shared" si="19"/>
        <v>1</v>
      </c>
      <c r="O75" s="279">
        <f t="shared" si="20"/>
        <v>15</v>
      </c>
      <c r="P75" s="280" t="s">
        <v>7332</v>
      </c>
      <c r="Q75" s="281">
        <f t="shared" si="25"/>
        <v>10611502</v>
      </c>
      <c r="R75" s="281" t="s">
        <v>332</v>
      </c>
      <c r="S75" s="278" t="str">
        <f t="shared" si="17"/>
        <v>Acceptance of sannyasa by Srila Prabhupada</v>
      </c>
      <c r="T75" s="278"/>
      <c r="U75" s="282"/>
      <c r="V75" s="278">
        <v>4</v>
      </c>
      <c r="W75" s="278" t="s">
        <v>173</v>
      </c>
      <c r="X75" s="266"/>
    </row>
    <row r="76" spans="1:24" x14ac:dyDescent="0.25">
      <c r="A76" s="273">
        <v>57</v>
      </c>
      <c r="B76" s="273">
        <f t="shared" si="21"/>
        <v>1</v>
      </c>
      <c r="C76" s="301">
        <f>IFERROR(INDEX('GCal-Year'!$A$40:$A$435,D76),"---")</f>
        <v>43729</v>
      </c>
      <c r="D76" s="274">
        <f>IFERROR(MATCH(H76,'GCal-Year'!$E$40:$E$435,0),"---")</f>
        <v>264</v>
      </c>
      <c r="E76" s="274" t="str">
        <f>IF(ISERROR(MATCH(F76,'GCal-Year'!$E$40:$E$435,0)),"A","")</f>
        <v/>
      </c>
      <c r="F76" s="274">
        <f t="shared" si="22"/>
        <v>107007</v>
      </c>
      <c r="G76" s="274">
        <f t="shared" si="23"/>
        <v>107008</v>
      </c>
      <c r="H76" s="274">
        <f t="shared" si="24"/>
        <v>107007</v>
      </c>
      <c r="I76" s="274" t="s">
        <v>9544</v>
      </c>
      <c r="J76" s="274" t="s">
        <v>25</v>
      </c>
      <c r="K76" s="274" t="s">
        <v>16</v>
      </c>
      <c r="L76" s="273" t="s">
        <v>7334</v>
      </c>
      <c r="M76" s="274">
        <f t="shared" si="18"/>
        <v>7</v>
      </c>
      <c r="N76" s="274">
        <f t="shared" si="19"/>
        <v>0</v>
      </c>
      <c r="O76" s="274">
        <f t="shared" si="20"/>
        <v>7</v>
      </c>
      <c r="P76" s="275" t="s">
        <v>7335</v>
      </c>
      <c r="Q76" s="276">
        <f t="shared" si="25"/>
        <v>10700701</v>
      </c>
      <c r="R76" s="276" t="s">
        <v>334</v>
      </c>
      <c r="S76" s="273" t="str">
        <f t="shared" si="17"/>
        <v>Srila Prabhupada's arrival in the USA</v>
      </c>
      <c r="T76" s="273"/>
      <c r="U76" s="277"/>
      <c r="V76" s="273">
        <v>4</v>
      </c>
      <c r="W76" s="273" t="s">
        <v>173</v>
      </c>
      <c r="X76" s="266"/>
    </row>
    <row r="77" spans="1:24" x14ac:dyDescent="0.25">
      <c r="A77" s="273">
        <v>58</v>
      </c>
      <c r="B77" s="273">
        <f t="shared" si="21"/>
        <v>1</v>
      </c>
      <c r="C77" s="301">
        <f>IFERROR(INDEX('GCal-Year'!$A$40:$A$435,D77),"---")</f>
        <v>43742</v>
      </c>
      <c r="D77" s="274">
        <f>IFERROR(MATCH(H77,'GCal-Year'!$E$40:$E$435,0),"---")</f>
        <v>277</v>
      </c>
      <c r="E77" s="274" t="str">
        <f>IF(ISERROR(MATCH(F77,'GCal-Year'!$E$40:$E$435,0)),"A","")</f>
        <v/>
      </c>
      <c r="F77" s="274">
        <f t="shared" si="22"/>
        <v>107107</v>
      </c>
      <c r="G77" s="274">
        <f t="shared" si="23"/>
        <v>107108</v>
      </c>
      <c r="H77" s="274">
        <f t="shared" si="24"/>
        <v>107107</v>
      </c>
      <c r="I77" s="274" t="s">
        <v>9544</v>
      </c>
      <c r="J77" s="274" t="s">
        <v>24</v>
      </c>
      <c r="K77" s="274" t="s">
        <v>16</v>
      </c>
      <c r="L77" s="273" t="s">
        <v>7336</v>
      </c>
      <c r="M77" s="274">
        <f t="shared" si="18"/>
        <v>7</v>
      </c>
      <c r="N77" s="274">
        <f t="shared" si="19"/>
        <v>1</v>
      </c>
      <c r="O77" s="274">
        <f t="shared" si="20"/>
        <v>7</v>
      </c>
      <c r="P77" s="275" t="s">
        <v>7337</v>
      </c>
      <c r="Q77" s="276">
        <f t="shared" si="25"/>
        <v>10710701</v>
      </c>
      <c r="R77" s="276" t="s">
        <v>7338</v>
      </c>
      <c r="S77" s="273" t="str">
        <f t="shared" si="17"/>
        <v>Durga Puja</v>
      </c>
      <c r="T77" s="273"/>
      <c r="U77" s="277"/>
      <c r="V77" s="273">
        <v>5</v>
      </c>
      <c r="W77" s="273" t="s">
        <v>174</v>
      </c>
      <c r="X77" s="266"/>
    </row>
    <row r="78" spans="1:24" x14ac:dyDescent="0.25">
      <c r="A78" s="273">
        <v>59</v>
      </c>
      <c r="B78" s="273">
        <f t="shared" si="21"/>
        <v>1</v>
      </c>
      <c r="C78" s="301">
        <f>IFERROR(INDEX('GCal-Year'!$A$40:$A$435,D78),"---")</f>
        <v>43745</v>
      </c>
      <c r="D78" s="274">
        <f>IFERROR(MATCH(H78,'GCal-Year'!$E$40:$E$435,0),"---")</f>
        <v>280</v>
      </c>
      <c r="E78" s="274" t="str">
        <f>IF(ISERROR(MATCH(F78,'GCal-Year'!$E$40:$E$435,0)),"A","")</f>
        <v/>
      </c>
      <c r="F78" s="274">
        <f t="shared" si="22"/>
        <v>107110</v>
      </c>
      <c r="G78" s="274">
        <f t="shared" si="23"/>
        <v>107111</v>
      </c>
      <c r="H78" s="274">
        <f t="shared" si="24"/>
        <v>107110</v>
      </c>
      <c r="I78" s="274" t="s">
        <v>9544</v>
      </c>
      <c r="J78" s="274" t="s">
        <v>24</v>
      </c>
      <c r="K78" s="274" t="s">
        <v>19</v>
      </c>
      <c r="L78" s="273" t="s">
        <v>7339</v>
      </c>
      <c r="M78" s="274">
        <f t="shared" si="18"/>
        <v>7</v>
      </c>
      <c r="N78" s="274">
        <f t="shared" si="19"/>
        <v>1</v>
      </c>
      <c r="O78" s="274">
        <f t="shared" si="20"/>
        <v>10</v>
      </c>
      <c r="P78" s="275" t="s">
        <v>7340</v>
      </c>
      <c r="Q78" s="276">
        <f t="shared" si="25"/>
        <v>10711001</v>
      </c>
      <c r="R78" s="276" t="s">
        <v>7215</v>
      </c>
      <c r="S78" s="273" t="str">
        <f t="shared" si="17"/>
        <v>Ramacandra Vijayotsava</v>
      </c>
      <c r="T78" s="273"/>
      <c r="U78" s="277"/>
      <c r="V78" s="273">
        <v>1</v>
      </c>
      <c r="W78" s="273" t="s">
        <v>168</v>
      </c>
      <c r="X78" s="266"/>
    </row>
    <row r="79" spans="1:24" x14ac:dyDescent="0.25">
      <c r="A79" s="273">
        <v>60</v>
      </c>
      <c r="B79" s="273">
        <f t="shared" si="21"/>
        <v>2</v>
      </c>
      <c r="C79" s="301">
        <f>IFERROR(INDEX('GCal-Year'!$A$40:$A$435,D79),"---")</f>
        <v>43745</v>
      </c>
      <c r="D79" s="274">
        <f>IFERROR(MATCH(H79,'GCal-Year'!$E$40:$E$435,0),"---")</f>
        <v>280</v>
      </c>
      <c r="E79" s="274" t="str">
        <f>IF(ISERROR(MATCH(F79,'GCal-Year'!$E$40:$E$435,0)),"A","")</f>
        <v/>
      </c>
      <c r="F79" s="274">
        <f t="shared" si="22"/>
        <v>107110</v>
      </c>
      <c r="G79" s="274">
        <f t="shared" si="23"/>
        <v>107111</v>
      </c>
      <c r="H79" s="274">
        <f t="shared" si="24"/>
        <v>107110</v>
      </c>
      <c r="I79" s="274" t="s">
        <v>9544</v>
      </c>
      <c r="J79" s="274" t="s">
        <v>24</v>
      </c>
      <c r="K79" s="274" t="s">
        <v>19</v>
      </c>
      <c r="L79" s="273" t="s">
        <v>7339</v>
      </c>
      <c r="M79" s="274">
        <f t="shared" si="18"/>
        <v>7</v>
      </c>
      <c r="N79" s="274">
        <f t="shared" si="19"/>
        <v>1</v>
      </c>
      <c r="O79" s="274">
        <f t="shared" si="20"/>
        <v>10</v>
      </c>
      <c r="P79" s="275" t="s">
        <v>7340</v>
      </c>
      <c r="Q79" s="276">
        <f t="shared" si="25"/>
        <v>10711002</v>
      </c>
      <c r="R79" s="276" t="s">
        <v>336</v>
      </c>
      <c r="S79" s="273" t="str">
        <f t="shared" si="17"/>
        <v>Sri Madhvacarya - Appearance</v>
      </c>
      <c r="T79" s="273"/>
      <c r="U79" s="277"/>
      <c r="V79" s="273">
        <v>2</v>
      </c>
      <c r="W79" s="273" t="s">
        <v>169</v>
      </c>
      <c r="X79" s="266"/>
    </row>
    <row r="80" spans="1:24" x14ac:dyDescent="0.25">
      <c r="A80" s="273">
        <v>61</v>
      </c>
      <c r="B80" s="273">
        <f t="shared" si="21"/>
        <v>1</v>
      </c>
      <c r="C80" s="301">
        <f>IFERROR(INDEX('GCal-Year'!$A$40:$A$435,D80),"---")</f>
        <v>43748</v>
      </c>
      <c r="D80" s="274">
        <f>IFERROR(MATCH(H80,'GCal-Year'!$E$40:$E$435,0),"---")</f>
        <v>283</v>
      </c>
      <c r="E80" s="274" t="str">
        <f>IF(ISERROR(MATCH(F80,'GCal-Year'!$E$40:$E$435,0)),"A","")</f>
        <v/>
      </c>
      <c r="F80" s="274">
        <f t="shared" si="22"/>
        <v>107112</v>
      </c>
      <c r="G80" s="274">
        <f t="shared" si="23"/>
        <v>107113</v>
      </c>
      <c r="H80" s="274">
        <f t="shared" si="24"/>
        <v>107112</v>
      </c>
      <c r="I80" s="274" t="s">
        <v>9544</v>
      </c>
      <c r="J80" s="274" t="s">
        <v>24</v>
      </c>
      <c r="K80" s="274" t="s">
        <v>21</v>
      </c>
      <c r="L80" s="273" t="s">
        <v>7341</v>
      </c>
      <c r="M80" s="274">
        <f t="shared" si="18"/>
        <v>7</v>
      </c>
      <c r="N80" s="274">
        <f t="shared" si="19"/>
        <v>1</v>
      </c>
      <c r="O80" s="274">
        <f t="shared" si="20"/>
        <v>12</v>
      </c>
      <c r="P80" s="275" t="s">
        <v>7342</v>
      </c>
      <c r="Q80" s="276">
        <f t="shared" si="25"/>
        <v>10711201</v>
      </c>
      <c r="R80" s="276" t="s">
        <v>339</v>
      </c>
      <c r="S80" s="273" t="str">
        <f t="shared" si="17"/>
        <v>Srila Raghunatha Dasa Gosvami - Disappearance</v>
      </c>
      <c r="T80" s="273"/>
      <c r="U80" s="277"/>
      <c r="V80" s="273">
        <v>3</v>
      </c>
      <c r="W80" s="273" t="s">
        <v>171</v>
      </c>
      <c r="X80" s="266"/>
    </row>
    <row r="81" spans="1:24" x14ac:dyDescent="0.25">
      <c r="A81" s="273">
        <v>62</v>
      </c>
      <c r="B81" s="273">
        <f t="shared" si="21"/>
        <v>2</v>
      </c>
      <c r="C81" s="301">
        <f>IFERROR(INDEX('GCal-Year'!$A$40:$A$435,D81),"---")</f>
        <v>43748</v>
      </c>
      <c r="D81" s="274">
        <f>IFERROR(MATCH(H81,'GCal-Year'!$E$40:$E$435,0),"---")</f>
        <v>283</v>
      </c>
      <c r="E81" s="274" t="str">
        <f>IF(ISERROR(MATCH(F81,'GCal-Year'!$E$40:$E$435,0)),"A","")</f>
        <v/>
      </c>
      <c r="F81" s="274">
        <f t="shared" si="22"/>
        <v>107112</v>
      </c>
      <c r="G81" s="274">
        <f t="shared" si="23"/>
        <v>107113</v>
      </c>
      <c r="H81" s="274">
        <f t="shared" si="24"/>
        <v>107112</v>
      </c>
      <c r="I81" s="274" t="s">
        <v>9544</v>
      </c>
      <c r="J81" s="274" t="s">
        <v>24</v>
      </c>
      <c r="K81" s="274" t="s">
        <v>21</v>
      </c>
      <c r="L81" s="273" t="s">
        <v>7341</v>
      </c>
      <c r="M81" s="274">
        <f t="shared" si="18"/>
        <v>7</v>
      </c>
      <c r="N81" s="274">
        <f t="shared" si="19"/>
        <v>1</v>
      </c>
      <c r="O81" s="274">
        <f t="shared" si="20"/>
        <v>12</v>
      </c>
      <c r="P81" s="275" t="s">
        <v>7342</v>
      </c>
      <c r="Q81" s="276">
        <f t="shared" si="25"/>
        <v>10711202</v>
      </c>
      <c r="R81" s="276" t="s">
        <v>342</v>
      </c>
      <c r="S81" s="273" t="str">
        <f t="shared" si="17"/>
        <v>Srila Raghunatha Bhatta Gosvami - Disappearance</v>
      </c>
      <c r="T81" s="273"/>
      <c r="U81" s="277"/>
      <c r="V81" s="273">
        <v>3</v>
      </c>
      <c r="W81" s="273" t="s">
        <v>171</v>
      </c>
      <c r="X81" s="266"/>
    </row>
    <row r="82" spans="1:24" x14ac:dyDescent="0.25">
      <c r="A82" s="273">
        <v>63</v>
      </c>
      <c r="B82" s="273">
        <f t="shared" si="21"/>
        <v>3</v>
      </c>
      <c r="C82" s="301">
        <f>IFERROR(INDEX('GCal-Year'!$A$40:$A$435,D82),"---")</f>
        <v>43748</v>
      </c>
      <c r="D82" s="274">
        <f>IFERROR(MATCH(H82,'GCal-Year'!$E$40:$E$435,0),"---")</f>
        <v>283</v>
      </c>
      <c r="E82" s="274" t="str">
        <f>IF(ISERROR(MATCH(F82,'GCal-Year'!$E$40:$E$435,0)),"A","")</f>
        <v/>
      </c>
      <c r="F82" s="274">
        <f t="shared" si="22"/>
        <v>107112</v>
      </c>
      <c r="G82" s="274">
        <f t="shared" si="23"/>
        <v>107113</v>
      </c>
      <c r="H82" s="274">
        <f t="shared" si="24"/>
        <v>107112</v>
      </c>
      <c r="I82" s="274" t="s">
        <v>9544</v>
      </c>
      <c r="J82" s="274" t="s">
        <v>24</v>
      </c>
      <c r="K82" s="274" t="s">
        <v>21</v>
      </c>
      <c r="L82" s="273" t="s">
        <v>7341</v>
      </c>
      <c r="M82" s="274">
        <f t="shared" si="18"/>
        <v>7</v>
      </c>
      <c r="N82" s="274">
        <f t="shared" si="19"/>
        <v>1</v>
      </c>
      <c r="O82" s="274">
        <f t="shared" si="20"/>
        <v>12</v>
      </c>
      <c r="P82" s="275" t="s">
        <v>7342</v>
      </c>
      <c r="Q82" s="276">
        <f t="shared" si="25"/>
        <v>10711203</v>
      </c>
      <c r="R82" s="276" t="s">
        <v>345</v>
      </c>
      <c r="S82" s="273" t="str">
        <f t="shared" si="17"/>
        <v>Srila Krsnadasa Kaviraja Gosvami - Disappearance</v>
      </c>
      <c r="T82" s="273"/>
      <c r="U82" s="277"/>
      <c r="V82" s="273">
        <v>3</v>
      </c>
      <c r="W82" s="273" t="s">
        <v>171</v>
      </c>
      <c r="X82" s="266"/>
    </row>
    <row r="83" spans="1:24" x14ac:dyDescent="0.25">
      <c r="A83" s="273">
        <v>64</v>
      </c>
      <c r="B83" s="273">
        <f t="shared" si="21"/>
        <v>1</v>
      </c>
      <c r="C83" s="301">
        <f>IFERROR(INDEX('GCal-Year'!$A$40:$A$435,D83),"---")</f>
        <v>43751</v>
      </c>
      <c r="D83" s="274">
        <f>IFERROR(MATCH(H83,'GCal-Year'!$E$40:$E$435,0),"---")</f>
        <v>286</v>
      </c>
      <c r="E83" s="274" t="str">
        <f>IF(ISERROR(MATCH(F83,'GCal-Year'!$E$40:$E$435,0)),"A","")</f>
        <v/>
      </c>
      <c r="F83" s="274">
        <f t="shared" si="22"/>
        <v>107115</v>
      </c>
      <c r="G83" s="274">
        <f t="shared" si="23"/>
        <v>18001</v>
      </c>
      <c r="H83" s="274">
        <f t="shared" si="24"/>
        <v>107115</v>
      </c>
      <c r="I83" s="274" t="s">
        <v>9544</v>
      </c>
      <c r="J83" s="274" t="s">
        <v>24</v>
      </c>
      <c r="K83" s="274" t="s">
        <v>10</v>
      </c>
      <c r="L83" s="273" t="s">
        <v>7343</v>
      </c>
      <c r="M83" s="274">
        <f t="shared" si="18"/>
        <v>7</v>
      </c>
      <c r="N83" s="274">
        <f t="shared" si="19"/>
        <v>1</v>
      </c>
      <c r="O83" s="274">
        <f t="shared" si="20"/>
        <v>15</v>
      </c>
      <c r="P83" s="275" t="s">
        <v>7344</v>
      </c>
      <c r="Q83" s="276">
        <f t="shared" si="25"/>
        <v>10711501</v>
      </c>
      <c r="R83" s="276" t="s">
        <v>7219</v>
      </c>
      <c r="S83" s="273" t="str">
        <f t="shared" si="17"/>
        <v>Sri Krsna Saradiya Rasayatra</v>
      </c>
      <c r="T83" s="273"/>
      <c r="U83" s="277"/>
      <c r="V83" s="273">
        <v>1</v>
      </c>
      <c r="W83" s="273" t="s">
        <v>168</v>
      </c>
      <c r="X83" s="266"/>
    </row>
    <row r="84" spans="1:24" x14ac:dyDescent="0.25">
      <c r="A84" s="273">
        <v>65</v>
      </c>
      <c r="B84" s="273">
        <f t="shared" si="21"/>
        <v>2</v>
      </c>
      <c r="C84" s="301">
        <f>IFERROR(INDEX('GCal-Year'!$A$40:$A$435,D84),"---")</f>
        <v>43751</v>
      </c>
      <c r="D84" s="274">
        <f>IFERROR(MATCH(H84,'GCal-Year'!$E$40:$E$435,0),"---")</f>
        <v>286</v>
      </c>
      <c r="E84" s="274" t="str">
        <f>IF(ISERROR(MATCH(F84,'GCal-Year'!$E$40:$E$435,0)),"A","")</f>
        <v/>
      </c>
      <c r="F84" s="274">
        <f t="shared" si="22"/>
        <v>107115</v>
      </c>
      <c r="G84" s="274">
        <f t="shared" si="23"/>
        <v>18001</v>
      </c>
      <c r="H84" s="274">
        <f t="shared" si="24"/>
        <v>107115</v>
      </c>
      <c r="I84" s="274" t="s">
        <v>9544</v>
      </c>
      <c r="J84" s="274" t="s">
        <v>24</v>
      </c>
      <c r="K84" s="274" t="s">
        <v>10</v>
      </c>
      <c r="L84" s="273" t="s">
        <v>7343</v>
      </c>
      <c r="M84" s="274">
        <f t="shared" si="18"/>
        <v>7</v>
      </c>
      <c r="N84" s="274">
        <f t="shared" si="19"/>
        <v>1</v>
      </c>
      <c r="O84" s="274">
        <f t="shared" si="20"/>
        <v>15</v>
      </c>
      <c r="P84" s="275" t="s">
        <v>7344</v>
      </c>
      <c r="Q84" s="276">
        <f t="shared" si="25"/>
        <v>10711502</v>
      </c>
      <c r="R84" s="276" t="s">
        <v>348</v>
      </c>
      <c r="S84" s="273" t="str">
        <f t="shared" si="17"/>
        <v>Sri Murari Gupta - Disappearance</v>
      </c>
      <c r="T84" s="273"/>
      <c r="U84" s="277"/>
      <c r="V84" s="273">
        <v>3</v>
      </c>
      <c r="W84" s="273" t="s">
        <v>171</v>
      </c>
      <c r="X84" s="266"/>
    </row>
    <row r="85" spans="1:24" x14ac:dyDescent="0.25">
      <c r="A85" s="273">
        <v>66</v>
      </c>
      <c r="B85" s="273">
        <f t="shared" si="21"/>
        <v>3</v>
      </c>
      <c r="C85" s="301">
        <f>IFERROR(INDEX('GCal-Year'!$A$40:$A$435,D85),"---")</f>
        <v>43751</v>
      </c>
      <c r="D85" s="274">
        <f>IFERROR(MATCH(H85,'GCal-Year'!$E$40:$E$435,0),"---")</f>
        <v>286</v>
      </c>
      <c r="E85" s="274" t="str">
        <f>IF(ISERROR(MATCH(F85,'GCal-Year'!$E$40:$E$435,0)),"A","")</f>
        <v/>
      </c>
      <c r="F85" s="274">
        <f t="shared" si="22"/>
        <v>107115</v>
      </c>
      <c r="G85" s="274">
        <f t="shared" si="23"/>
        <v>18001</v>
      </c>
      <c r="H85" s="274">
        <f t="shared" si="24"/>
        <v>107115</v>
      </c>
      <c r="I85" s="274" t="s">
        <v>9544</v>
      </c>
      <c r="J85" s="274" t="s">
        <v>24</v>
      </c>
      <c r="K85" s="274" t="s">
        <v>10</v>
      </c>
      <c r="L85" s="273" t="s">
        <v>7343</v>
      </c>
      <c r="M85" s="274">
        <f t="shared" si="18"/>
        <v>7</v>
      </c>
      <c r="N85" s="274">
        <f t="shared" si="19"/>
        <v>1</v>
      </c>
      <c r="O85" s="274">
        <f t="shared" si="20"/>
        <v>15</v>
      </c>
      <c r="P85" s="275" t="s">
        <v>7344</v>
      </c>
      <c r="Q85" s="276">
        <f t="shared" si="25"/>
        <v>10711503</v>
      </c>
      <c r="R85" s="276" t="s">
        <v>7345</v>
      </c>
      <c r="S85" s="273" t="str">
        <f t="shared" si="17"/>
        <v>Laksmi Puja</v>
      </c>
      <c r="T85" s="273"/>
      <c r="U85" s="277"/>
      <c r="V85" s="273">
        <v>5</v>
      </c>
      <c r="W85" s="273" t="s">
        <v>174</v>
      </c>
      <c r="X85" s="266"/>
    </row>
    <row r="86" spans="1:24" x14ac:dyDescent="0.25">
      <c r="A86" s="278">
        <v>67</v>
      </c>
      <c r="B86" s="278">
        <f t="shared" si="21"/>
        <v>1</v>
      </c>
      <c r="C86" s="311">
        <f>IFERROR(INDEX('GCal-Year'!$A$40:$A$435,D86),"---")</f>
        <v>43756</v>
      </c>
      <c r="D86" s="279">
        <f>IFERROR(MATCH(H86,'GCal-Year'!$E$40:$E$435,0),"---")</f>
        <v>291</v>
      </c>
      <c r="E86" s="279" t="str">
        <f>IF(ISERROR(MATCH(F86,'GCal-Year'!$E$40:$E$435,0)),"A","")</f>
        <v/>
      </c>
      <c r="F86" s="279">
        <f t="shared" si="22"/>
        <v>108005</v>
      </c>
      <c r="G86" s="279">
        <f t="shared" si="23"/>
        <v>108006</v>
      </c>
      <c r="H86" s="279">
        <f t="shared" si="24"/>
        <v>108005</v>
      </c>
      <c r="I86" s="279" t="s">
        <v>9545</v>
      </c>
      <c r="J86" s="279" t="s">
        <v>25</v>
      </c>
      <c r="K86" s="279" t="s">
        <v>14</v>
      </c>
      <c r="L86" s="278" t="s">
        <v>7346</v>
      </c>
      <c r="M86" s="279">
        <f t="shared" si="18"/>
        <v>8</v>
      </c>
      <c r="N86" s="279">
        <f t="shared" si="19"/>
        <v>0</v>
      </c>
      <c r="O86" s="279">
        <f t="shared" si="20"/>
        <v>5</v>
      </c>
      <c r="P86" s="280" t="s">
        <v>7347</v>
      </c>
      <c r="Q86" s="281">
        <f t="shared" si="25"/>
        <v>10800501</v>
      </c>
      <c r="R86" s="281" t="s">
        <v>351</v>
      </c>
      <c r="S86" s="278" t="str">
        <f t="shared" si="17"/>
        <v>Srila Narottama Dasa Thakura - Disappearance</v>
      </c>
      <c r="T86" s="278"/>
      <c r="U86" s="282"/>
      <c r="V86" s="278">
        <v>3</v>
      </c>
      <c r="W86" s="278" t="s">
        <v>171</v>
      </c>
      <c r="X86" s="266"/>
    </row>
    <row r="87" spans="1:24" x14ac:dyDescent="0.25">
      <c r="A87" s="278">
        <v>68</v>
      </c>
      <c r="B87" s="278">
        <f t="shared" si="21"/>
        <v>1</v>
      </c>
      <c r="C87" s="311">
        <f>IFERROR(INDEX('GCal-Year'!$A$40:$A$435,D87),"---")</f>
        <v>43759</v>
      </c>
      <c r="D87" s="279">
        <f>IFERROR(MATCH(H87,'GCal-Year'!$E$40:$E$435,0),"---")</f>
        <v>294</v>
      </c>
      <c r="E87" s="279" t="str">
        <f>IF(ISERROR(MATCH(F87,'GCal-Year'!$E$40:$E$435,0)),"A","")</f>
        <v/>
      </c>
      <c r="F87" s="279">
        <f t="shared" si="22"/>
        <v>108008</v>
      </c>
      <c r="G87" s="279">
        <f t="shared" si="23"/>
        <v>108009</v>
      </c>
      <c r="H87" s="279">
        <f t="shared" si="24"/>
        <v>108008</v>
      </c>
      <c r="I87" s="279" t="s">
        <v>9545</v>
      </c>
      <c r="J87" s="279" t="s">
        <v>25</v>
      </c>
      <c r="K87" s="279" t="s">
        <v>17</v>
      </c>
      <c r="L87" s="278" t="s">
        <v>7348</v>
      </c>
      <c r="M87" s="279">
        <f t="shared" si="18"/>
        <v>8</v>
      </c>
      <c r="N87" s="279">
        <f t="shared" si="19"/>
        <v>0</v>
      </c>
      <c r="O87" s="279">
        <f t="shared" si="20"/>
        <v>8</v>
      </c>
      <c r="P87" s="280" t="s">
        <v>7349</v>
      </c>
      <c r="Q87" s="281">
        <f t="shared" si="25"/>
        <v>10800801</v>
      </c>
      <c r="R87" s="281" t="s">
        <v>354</v>
      </c>
      <c r="S87" s="278" t="str">
        <f t="shared" si="17"/>
        <v>Appearance of Radha Kunda, snana dana</v>
      </c>
      <c r="T87" s="278"/>
      <c r="U87" s="282"/>
      <c r="V87" s="278">
        <v>1</v>
      </c>
      <c r="W87" s="278" t="s">
        <v>168</v>
      </c>
      <c r="X87" s="266"/>
    </row>
    <row r="88" spans="1:24" x14ac:dyDescent="0.25">
      <c r="A88" s="278">
        <v>69</v>
      </c>
      <c r="B88" s="278">
        <f t="shared" si="21"/>
        <v>2</v>
      </c>
      <c r="C88" s="311">
        <f>IFERROR(INDEX('GCal-Year'!$A$40:$A$435,D88),"---")</f>
        <v>43759</v>
      </c>
      <c r="D88" s="279">
        <f>IFERROR(MATCH(H88,'GCal-Year'!$E$40:$E$435,0),"---")</f>
        <v>294</v>
      </c>
      <c r="E88" s="279" t="str">
        <f>IF(ISERROR(MATCH(F88,'GCal-Year'!$E$40:$E$435,0)),"A","")</f>
        <v/>
      </c>
      <c r="F88" s="279">
        <f t="shared" si="22"/>
        <v>108008</v>
      </c>
      <c r="G88" s="279">
        <f t="shared" si="23"/>
        <v>108009</v>
      </c>
      <c r="H88" s="279">
        <f t="shared" si="24"/>
        <v>108008</v>
      </c>
      <c r="I88" s="279" t="s">
        <v>9545</v>
      </c>
      <c r="J88" s="279" t="s">
        <v>25</v>
      </c>
      <c r="K88" s="279" t="s">
        <v>17</v>
      </c>
      <c r="L88" s="278" t="s">
        <v>7348</v>
      </c>
      <c r="M88" s="279">
        <f t="shared" si="18"/>
        <v>8</v>
      </c>
      <c r="N88" s="279">
        <f t="shared" si="19"/>
        <v>0</v>
      </c>
      <c r="O88" s="279">
        <f t="shared" si="20"/>
        <v>8</v>
      </c>
      <c r="P88" s="280" t="s">
        <v>7349</v>
      </c>
      <c r="Q88" s="281">
        <f t="shared" si="25"/>
        <v>10800802</v>
      </c>
      <c r="R88" s="281" t="s">
        <v>7350</v>
      </c>
      <c r="S88" s="278" t="str">
        <f t="shared" si="17"/>
        <v>Bahulastami</v>
      </c>
      <c r="T88" s="278"/>
      <c r="U88" s="282"/>
      <c r="V88" s="278">
        <v>1</v>
      </c>
      <c r="W88" s="278" t="s">
        <v>168</v>
      </c>
      <c r="X88" s="266"/>
    </row>
    <row r="89" spans="1:24" x14ac:dyDescent="0.25">
      <c r="A89" s="278">
        <v>70</v>
      </c>
      <c r="B89" s="278">
        <f t="shared" si="21"/>
        <v>1</v>
      </c>
      <c r="C89" s="311">
        <f>IFERROR(INDEX('GCal-Year'!$A$40:$A$435,D89),"---")</f>
        <v>43760</v>
      </c>
      <c r="D89" s="279">
        <f>IFERROR(MATCH(H89,'GCal-Year'!$E$40:$E$435,0),"---")</f>
        <v>295</v>
      </c>
      <c r="E89" s="279" t="str">
        <f>IF(ISERROR(MATCH(F89,'GCal-Year'!$E$40:$E$435,0)),"A","")</f>
        <v/>
      </c>
      <c r="F89" s="279">
        <f t="shared" si="22"/>
        <v>108009</v>
      </c>
      <c r="G89" s="279">
        <f t="shared" si="23"/>
        <v>108010</v>
      </c>
      <c r="H89" s="279">
        <f t="shared" si="24"/>
        <v>108009</v>
      </c>
      <c r="I89" s="279" t="s">
        <v>9545</v>
      </c>
      <c r="J89" s="279" t="s">
        <v>25</v>
      </c>
      <c r="K89" s="279" t="s">
        <v>18</v>
      </c>
      <c r="L89" s="278" t="s">
        <v>7351</v>
      </c>
      <c r="M89" s="279">
        <f t="shared" si="18"/>
        <v>8</v>
      </c>
      <c r="N89" s="279">
        <f t="shared" si="19"/>
        <v>0</v>
      </c>
      <c r="O89" s="279">
        <f t="shared" si="20"/>
        <v>9</v>
      </c>
      <c r="P89" s="280" t="s">
        <v>7352</v>
      </c>
      <c r="Q89" s="281">
        <f t="shared" si="25"/>
        <v>10800901</v>
      </c>
      <c r="R89" s="281" t="s">
        <v>356</v>
      </c>
      <c r="S89" s="278" t="str">
        <f t="shared" si="17"/>
        <v>Sri Virabhadra - Appearance</v>
      </c>
      <c r="T89" s="278"/>
      <c r="U89" s="282"/>
      <c r="V89" s="278">
        <v>3</v>
      </c>
      <c r="W89" s="278" t="s">
        <v>171</v>
      </c>
      <c r="X89" s="266"/>
    </row>
    <row r="90" spans="1:24" x14ac:dyDescent="0.25">
      <c r="A90" s="278">
        <v>71</v>
      </c>
      <c r="B90" s="278">
        <f t="shared" si="21"/>
        <v>1</v>
      </c>
      <c r="C90" s="311">
        <f>IFERROR(INDEX('GCal-Year'!$A$40:$A$435,D90),"---")</f>
        <v>43765</v>
      </c>
      <c r="D90" s="279">
        <f>IFERROR(MATCH(H90,'GCal-Year'!$E$40:$E$435,0),"---")</f>
        <v>300</v>
      </c>
      <c r="E90" s="279" t="str">
        <f>IF(ISERROR(MATCH(F90,'GCal-Year'!$E$40:$E$435,0)),"A","")</f>
        <v/>
      </c>
      <c r="F90" s="279">
        <f t="shared" si="22"/>
        <v>108015</v>
      </c>
      <c r="G90" s="279">
        <f t="shared" si="23"/>
        <v>108101</v>
      </c>
      <c r="H90" s="279">
        <f t="shared" si="24"/>
        <v>108015</v>
      </c>
      <c r="I90" s="279" t="s">
        <v>9545</v>
      </c>
      <c r="J90" s="279" t="s">
        <v>25</v>
      </c>
      <c r="K90" s="279" t="s">
        <v>22</v>
      </c>
      <c r="L90" s="278" t="s">
        <v>7353</v>
      </c>
      <c r="M90" s="279">
        <f t="shared" si="18"/>
        <v>8</v>
      </c>
      <c r="N90" s="279">
        <f t="shared" si="19"/>
        <v>0</v>
      </c>
      <c r="O90" s="279">
        <f t="shared" si="20"/>
        <v>15</v>
      </c>
      <c r="P90" s="280" t="s">
        <v>7354</v>
      </c>
      <c r="Q90" s="281">
        <f t="shared" si="25"/>
        <v>10801501</v>
      </c>
      <c r="R90" s="281" t="s">
        <v>7222</v>
      </c>
      <c r="S90" s="278" t="str">
        <f t="shared" si="17"/>
        <v>Dipa dana, Dipavali, (Kali Puja)</v>
      </c>
      <c r="T90" s="278"/>
      <c r="U90" s="282"/>
      <c r="V90" s="278">
        <v>1</v>
      </c>
      <c r="W90" s="278" t="s">
        <v>168</v>
      </c>
      <c r="X90" s="266"/>
    </row>
    <row r="91" spans="1:24" x14ac:dyDescent="0.25">
      <c r="A91" s="278">
        <v>72</v>
      </c>
      <c r="B91" s="278">
        <f t="shared" si="21"/>
        <v>1</v>
      </c>
      <c r="C91" s="311">
        <f>IFERROR(INDEX('GCal-Year'!$A$40:$A$435,D91),"---")</f>
        <v>43766</v>
      </c>
      <c r="D91" s="279">
        <f>IFERROR(MATCH(H91,'GCal-Year'!$E$40:$E$435,0),"---")</f>
        <v>301</v>
      </c>
      <c r="E91" s="279" t="str">
        <f>IF(ISERROR(MATCH(F91,'GCal-Year'!$E$40:$E$435,0)),"A","")</f>
        <v/>
      </c>
      <c r="F91" s="279">
        <f t="shared" si="22"/>
        <v>108101</v>
      </c>
      <c r="G91" s="279">
        <f t="shared" si="23"/>
        <v>108102</v>
      </c>
      <c r="H91" s="279">
        <f t="shared" si="24"/>
        <v>108101</v>
      </c>
      <c r="I91" s="279" t="s">
        <v>9545</v>
      </c>
      <c r="J91" s="279" t="s">
        <v>24</v>
      </c>
      <c r="K91" s="279" t="s">
        <v>11</v>
      </c>
      <c r="L91" s="278" t="s">
        <v>7355</v>
      </c>
      <c r="M91" s="279">
        <f t="shared" si="18"/>
        <v>8</v>
      </c>
      <c r="N91" s="279">
        <f t="shared" si="19"/>
        <v>1</v>
      </c>
      <c r="O91" s="279">
        <f t="shared" si="20"/>
        <v>1</v>
      </c>
      <c r="P91" s="280" t="s">
        <v>7356</v>
      </c>
      <c r="Q91" s="281">
        <f t="shared" si="25"/>
        <v>10810101</v>
      </c>
      <c r="R91" s="281" t="s">
        <v>7357</v>
      </c>
      <c r="S91" s="278" t="str">
        <f t="shared" si="17"/>
        <v>Bali Daityaraja Puja</v>
      </c>
      <c r="T91" s="278"/>
      <c r="U91" s="282"/>
      <c r="V91" s="278">
        <v>1</v>
      </c>
      <c r="W91" s="278" t="s">
        <v>168</v>
      </c>
      <c r="X91" s="266"/>
    </row>
    <row r="92" spans="1:24" x14ac:dyDescent="0.25">
      <c r="A92" s="278">
        <v>73</v>
      </c>
      <c r="B92" s="278">
        <f t="shared" si="21"/>
        <v>2</v>
      </c>
      <c r="C92" s="311">
        <f>IFERROR(INDEX('GCal-Year'!$A$40:$A$435,D92),"---")</f>
        <v>43766</v>
      </c>
      <c r="D92" s="279">
        <f>IFERROR(MATCH(H92,'GCal-Year'!$E$40:$E$435,0),"---")</f>
        <v>301</v>
      </c>
      <c r="E92" s="279" t="str">
        <f>IF(ISERROR(MATCH(F92,'GCal-Year'!$E$40:$E$435,0)),"A","")</f>
        <v/>
      </c>
      <c r="F92" s="279">
        <f t="shared" si="22"/>
        <v>108101</v>
      </c>
      <c r="G92" s="279">
        <f t="shared" si="23"/>
        <v>108102</v>
      </c>
      <c r="H92" s="279">
        <f t="shared" si="24"/>
        <v>108101</v>
      </c>
      <c r="I92" s="279" t="s">
        <v>9545</v>
      </c>
      <c r="J92" s="279" t="s">
        <v>24</v>
      </c>
      <c r="K92" s="279" t="s">
        <v>11</v>
      </c>
      <c r="L92" s="278" t="s">
        <v>7355</v>
      </c>
      <c r="M92" s="279">
        <f t="shared" si="18"/>
        <v>8</v>
      </c>
      <c r="N92" s="279">
        <f t="shared" si="19"/>
        <v>1</v>
      </c>
      <c r="O92" s="279">
        <f t="shared" si="20"/>
        <v>1</v>
      </c>
      <c r="P92" s="280" t="s">
        <v>7356</v>
      </c>
      <c r="Q92" s="281">
        <f t="shared" si="25"/>
        <v>10810102</v>
      </c>
      <c r="R92" s="281" t="s">
        <v>359</v>
      </c>
      <c r="S92" s="278" t="str">
        <f t="shared" si="17"/>
        <v>Sri Rasikananda - Appearance</v>
      </c>
      <c r="T92" s="278"/>
      <c r="U92" s="282"/>
      <c r="V92" s="278">
        <v>3</v>
      </c>
      <c r="W92" s="278" t="s">
        <v>171</v>
      </c>
      <c r="X92" s="266"/>
    </row>
    <row r="93" spans="1:24" x14ac:dyDescent="0.25">
      <c r="A93" s="278">
        <v>74</v>
      </c>
      <c r="B93" s="278">
        <f t="shared" si="21"/>
        <v>1</v>
      </c>
      <c r="C93" s="311">
        <f>IFERROR(INDEX('GCal-Year'!$A$40:$A$435,D93),"---")</f>
        <v>43767</v>
      </c>
      <c r="D93" s="279">
        <f>IFERROR(MATCH(H93,'GCal-Year'!$E$40:$E$435,0),"---")</f>
        <v>302</v>
      </c>
      <c r="E93" s="279" t="str">
        <f>IF(ISERROR(MATCH(F93,'GCal-Year'!$E$40:$E$435,0)),"A","")</f>
        <v/>
      </c>
      <c r="F93" s="279">
        <f t="shared" si="22"/>
        <v>108102</v>
      </c>
      <c r="G93" s="279">
        <f t="shared" si="23"/>
        <v>108103</v>
      </c>
      <c r="H93" s="279">
        <f t="shared" si="24"/>
        <v>108102</v>
      </c>
      <c r="I93" s="279" t="s">
        <v>9545</v>
      </c>
      <c r="J93" s="279" t="s">
        <v>24</v>
      </c>
      <c r="K93" s="279" t="s">
        <v>12</v>
      </c>
      <c r="L93" s="278" t="s">
        <v>7358</v>
      </c>
      <c r="M93" s="279">
        <f t="shared" si="18"/>
        <v>8</v>
      </c>
      <c r="N93" s="279">
        <f t="shared" si="19"/>
        <v>1</v>
      </c>
      <c r="O93" s="279">
        <f t="shared" si="20"/>
        <v>2</v>
      </c>
      <c r="P93" s="280" t="s">
        <v>7359</v>
      </c>
      <c r="Q93" s="281">
        <f t="shared" si="25"/>
        <v>10810201</v>
      </c>
      <c r="R93" s="281" t="s">
        <v>362</v>
      </c>
      <c r="S93" s="278" t="str">
        <f t="shared" si="17"/>
        <v>Sri Vasudeva Ghosh - Disappearance</v>
      </c>
      <c r="T93" s="278"/>
      <c r="U93" s="282"/>
      <c r="V93" s="278">
        <v>3</v>
      </c>
      <c r="W93" s="278" t="s">
        <v>171</v>
      </c>
      <c r="X93" s="266"/>
    </row>
    <row r="94" spans="1:24" x14ac:dyDescent="0.25">
      <c r="A94" s="278">
        <v>75.3</v>
      </c>
      <c r="B94" s="278">
        <f t="shared" si="21"/>
        <v>1</v>
      </c>
      <c r="C94" s="311">
        <f>IFERROR(INDEX('GCal-Year'!$A$40:$A$435,D94),"---")</f>
        <v>43769</v>
      </c>
      <c r="D94" s="279">
        <f>IFERROR(MATCH(H94,'GCal-Year'!$E$40:$E$435,0),"---")</f>
        <v>304</v>
      </c>
      <c r="E94" s="279" t="str">
        <f>IF(ISERROR(MATCH(F94,'GCal-Year'!$E$40:$E$435,0)),"A","")</f>
        <v/>
      </c>
      <c r="F94" s="279">
        <f t="shared" si="22"/>
        <v>108104</v>
      </c>
      <c r="G94" s="279">
        <f t="shared" si="23"/>
        <v>108105</v>
      </c>
      <c r="H94" s="279">
        <f t="shared" si="24"/>
        <v>108104</v>
      </c>
      <c r="I94" s="279" t="s">
        <v>9545</v>
      </c>
      <c r="J94" s="279" t="s">
        <v>24</v>
      </c>
      <c r="K94" s="279" t="s">
        <v>13</v>
      </c>
      <c r="L94" s="278" t="s">
        <v>7360</v>
      </c>
      <c r="M94" s="279">
        <f t="shared" si="18"/>
        <v>8</v>
      </c>
      <c r="N94" s="279">
        <f t="shared" si="19"/>
        <v>1</v>
      </c>
      <c r="O94" s="279">
        <f t="shared" si="20"/>
        <v>4</v>
      </c>
      <c r="P94" s="280" t="s">
        <v>7361</v>
      </c>
      <c r="Q94" s="281">
        <f t="shared" si="25"/>
        <v>10810401</v>
      </c>
      <c r="R94" s="281" t="s">
        <v>365</v>
      </c>
      <c r="S94" s="278" t="str">
        <f t="shared" si="17"/>
        <v>Srila Prabhupada - Disappearance</v>
      </c>
      <c r="T94" s="278"/>
      <c r="U94" s="282" t="s">
        <v>7597</v>
      </c>
      <c r="V94" s="278">
        <v>2</v>
      </c>
      <c r="W94" s="278" t="s">
        <v>169</v>
      </c>
      <c r="X94" s="266"/>
    </row>
    <row r="95" spans="1:24" x14ac:dyDescent="0.25">
      <c r="A95" s="278">
        <v>75.5</v>
      </c>
      <c r="B95" s="278">
        <f t="shared" si="21"/>
        <v>2</v>
      </c>
      <c r="C95" s="311">
        <f>IFERROR(INDEX('GCal-Year'!$A$40:$A$435,D95),"---")</f>
        <v>43769</v>
      </c>
      <c r="D95" s="279">
        <f>IFERROR(MATCH(H95,'GCal-Year'!$E$40:$E$435,0),"---")</f>
        <v>304</v>
      </c>
      <c r="E95" s="279" t="str">
        <f>IF(ISERROR(MATCH(F95,'GCal-Year'!$E$40:$E$435,0)),"A","")</f>
        <v/>
      </c>
      <c r="F95" s="279">
        <f>VALUE("1" &amp;  Masacod(I95) &amp; PaksaCod(J95) &amp; TithiCod(K95))</f>
        <v>108104</v>
      </c>
      <c r="G95" s="279">
        <f>VALUE("1" &amp;  IF(AND(VALUE(RIGHT(F95,2))&gt;14,MID(F95,4,1)="1"),IF(VALUE(MID(F95,2,2))&gt;11,"01",VALUE(MID(F95,2,2))+1),MID(F95,2,2)) &amp; IF(VALUE(RIGHT(F95,2))&gt;14,IF(MID(F95,4,1)="0","1","0"),MID(F95,4,1)) &amp; IF(VALUE(RIGHT(F95,2))&gt;14,"01",TEXT(VALUE(TithiCod(K95))+1,"00")))</f>
        <v>108105</v>
      </c>
      <c r="H95" s="279">
        <f>IF(E95="",F95,G95)</f>
        <v>108104</v>
      </c>
      <c r="I95" s="279" t="s">
        <v>9545</v>
      </c>
      <c r="J95" s="279" t="s">
        <v>24</v>
      </c>
      <c r="K95" s="279" t="s">
        <v>13</v>
      </c>
      <c r="L95" s="278" t="s">
        <v>7360</v>
      </c>
      <c r="M95" s="279">
        <f>VALUE(Masacod(I95))</f>
        <v>8</v>
      </c>
      <c r="N95" s="279">
        <f>VALUE(PaksaCod(J95))</f>
        <v>1</v>
      </c>
      <c r="O95" s="279">
        <f>VALUE(TithiCod(K95))</f>
        <v>4</v>
      </c>
      <c r="P95" s="280" t="s">
        <v>7361</v>
      </c>
      <c r="Q95" s="281">
        <f>VALUE(H95&amp;TEXT(B95,"00"))</f>
        <v>10810402</v>
      </c>
      <c r="R95" s="281" t="s">
        <v>571</v>
      </c>
      <c r="S95" s="278" t="str">
        <f>SUBSTITUTE(R95,"--","-",1)</f>
        <v>(Fast till noon)</v>
      </c>
      <c r="T95" s="278" t="s">
        <v>37</v>
      </c>
      <c r="U95" s="282" t="s">
        <v>7597</v>
      </c>
      <c r="V95" s="278">
        <v>-1</v>
      </c>
      <c r="W95" s="278" t="s">
        <v>1393</v>
      </c>
      <c r="X95" s="266"/>
    </row>
    <row r="96" spans="1:24" x14ac:dyDescent="0.25">
      <c r="A96" s="278">
        <v>76</v>
      </c>
      <c r="B96" s="278">
        <f t="shared" si="21"/>
        <v>1</v>
      </c>
      <c r="C96" s="311">
        <f>IFERROR(INDEX('GCal-Year'!$A$40:$A$435,D96),"---")</f>
        <v>43773</v>
      </c>
      <c r="D96" s="279">
        <f>IFERROR(MATCH(H96,'GCal-Year'!$E$40:$E$435,0),"---")</f>
        <v>308</v>
      </c>
      <c r="E96" s="279" t="str">
        <f>IF(ISERROR(MATCH(F96,'GCal-Year'!$E$40:$E$435,0)),"A","")</f>
        <v/>
      </c>
      <c r="F96" s="279">
        <f t="shared" si="22"/>
        <v>108108</v>
      </c>
      <c r="G96" s="279">
        <f t="shared" si="23"/>
        <v>108109</v>
      </c>
      <c r="H96" s="279">
        <f t="shared" si="24"/>
        <v>108108</v>
      </c>
      <c r="I96" s="279" t="s">
        <v>9545</v>
      </c>
      <c r="J96" s="279" t="s">
        <v>24</v>
      </c>
      <c r="K96" s="279" t="s">
        <v>17</v>
      </c>
      <c r="L96" s="278" t="s">
        <v>7362</v>
      </c>
      <c r="M96" s="279">
        <f t="shared" si="18"/>
        <v>8</v>
      </c>
      <c r="N96" s="279">
        <f t="shared" si="19"/>
        <v>1</v>
      </c>
      <c r="O96" s="279">
        <f t="shared" si="20"/>
        <v>8</v>
      </c>
      <c r="P96" s="280" t="s">
        <v>7363</v>
      </c>
      <c r="Q96" s="281">
        <f t="shared" si="25"/>
        <v>10810801</v>
      </c>
      <c r="R96" s="281" t="s">
        <v>7364</v>
      </c>
      <c r="S96" s="278" t="str">
        <f t="shared" si="17"/>
        <v>Gopastami, Gosthastami</v>
      </c>
      <c r="T96" s="278"/>
      <c r="U96" s="282"/>
      <c r="V96" s="278">
        <v>1</v>
      </c>
      <c r="W96" s="278" t="s">
        <v>168</v>
      </c>
      <c r="X96" s="266"/>
    </row>
    <row r="97" spans="1:24" x14ac:dyDescent="0.25">
      <c r="A97" s="278">
        <v>77</v>
      </c>
      <c r="B97" s="278">
        <f t="shared" si="21"/>
        <v>2</v>
      </c>
      <c r="C97" s="311">
        <f>IFERROR(INDEX('GCal-Year'!$A$40:$A$435,D97),"---")</f>
        <v>43773</v>
      </c>
      <c r="D97" s="279">
        <f>IFERROR(MATCH(H97,'GCal-Year'!$E$40:$E$435,0),"---")</f>
        <v>308</v>
      </c>
      <c r="E97" s="279" t="str">
        <f>IF(ISERROR(MATCH(F97,'GCal-Year'!$E$40:$E$435,0)),"A","")</f>
        <v/>
      </c>
      <c r="F97" s="279">
        <f t="shared" si="22"/>
        <v>108108</v>
      </c>
      <c r="G97" s="279">
        <f t="shared" si="23"/>
        <v>108109</v>
      </c>
      <c r="H97" s="279">
        <f t="shared" si="24"/>
        <v>108108</v>
      </c>
      <c r="I97" s="279" t="s">
        <v>9545</v>
      </c>
      <c r="J97" s="279" t="s">
        <v>24</v>
      </c>
      <c r="K97" s="279" t="s">
        <v>17</v>
      </c>
      <c r="L97" s="278" t="s">
        <v>7362</v>
      </c>
      <c r="M97" s="279">
        <f t="shared" si="18"/>
        <v>8</v>
      </c>
      <c r="N97" s="279">
        <f t="shared" si="19"/>
        <v>1</v>
      </c>
      <c r="O97" s="279">
        <f t="shared" si="20"/>
        <v>8</v>
      </c>
      <c r="P97" s="280" t="s">
        <v>7363</v>
      </c>
      <c r="Q97" s="281">
        <f t="shared" si="25"/>
        <v>10810802</v>
      </c>
      <c r="R97" s="281" t="s">
        <v>368</v>
      </c>
      <c r="S97" s="278" t="str">
        <f t="shared" si="17"/>
        <v>Sri Gadadhara Dasa Gosvami - Disappearance</v>
      </c>
      <c r="T97" s="278"/>
      <c r="U97" s="282"/>
      <c r="V97" s="278">
        <v>3</v>
      </c>
      <c r="W97" s="278" t="s">
        <v>171</v>
      </c>
      <c r="X97" s="266"/>
    </row>
    <row r="98" spans="1:24" x14ac:dyDescent="0.25">
      <c r="A98" s="278">
        <v>78</v>
      </c>
      <c r="B98" s="278">
        <f t="shared" si="21"/>
        <v>3</v>
      </c>
      <c r="C98" s="311">
        <f>IFERROR(INDEX('GCal-Year'!$A$40:$A$435,D98),"---")</f>
        <v>43773</v>
      </c>
      <c r="D98" s="279">
        <f>IFERROR(MATCH(H98,'GCal-Year'!$E$40:$E$435,0),"---")</f>
        <v>308</v>
      </c>
      <c r="E98" s="279" t="str">
        <f>IF(ISERROR(MATCH(F98,'GCal-Year'!$E$40:$E$435,0)),"A","")</f>
        <v/>
      </c>
      <c r="F98" s="279">
        <f t="shared" si="22"/>
        <v>108108</v>
      </c>
      <c r="G98" s="279">
        <f t="shared" si="23"/>
        <v>108109</v>
      </c>
      <c r="H98" s="279">
        <f t="shared" si="24"/>
        <v>108108</v>
      </c>
      <c r="I98" s="279" t="s">
        <v>9545</v>
      </c>
      <c r="J98" s="279" t="s">
        <v>24</v>
      </c>
      <c r="K98" s="279" t="s">
        <v>17</v>
      </c>
      <c r="L98" s="278" t="s">
        <v>7362</v>
      </c>
      <c r="M98" s="279">
        <f t="shared" si="18"/>
        <v>8</v>
      </c>
      <c r="N98" s="279">
        <f t="shared" si="19"/>
        <v>1</v>
      </c>
      <c r="O98" s="279">
        <f t="shared" si="20"/>
        <v>8</v>
      </c>
      <c r="P98" s="280" t="s">
        <v>7363</v>
      </c>
      <c r="Q98" s="281">
        <f t="shared" si="25"/>
        <v>10810803</v>
      </c>
      <c r="R98" s="281" t="s">
        <v>371</v>
      </c>
      <c r="S98" s="278" t="str">
        <f t="shared" si="17"/>
        <v>Sri Dhananjaya Pandita - Disappearance</v>
      </c>
      <c r="T98" s="278"/>
      <c r="U98" s="282"/>
      <c r="V98" s="278">
        <v>3</v>
      </c>
      <c r="W98" s="278" t="s">
        <v>171</v>
      </c>
      <c r="X98" s="266"/>
    </row>
    <row r="99" spans="1:24" x14ac:dyDescent="0.25">
      <c r="A99" s="278">
        <v>79</v>
      </c>
      <c r="B99" s="278">
        <f t="shared" si="21"/>
        <v>4</v>
      </c>
      <c r="C99" s="311">
        <f>IFERROR(INDEX('GCal-Year'!$A$40:$A$435,D99),"---")</f>
        <v>43773</v>
      </c>
      <c r="D99" s="279">
        <f>IFERROR(MATCH(H99,'GCal-Year'!$E$40:$E$435,0),"---")</f>
        <v>308</v>
      </c>
      <c r="E99" s="279" t="str">
        <f>IF(ISERROR(MATCH(F99,'GCal-Year'!$E$40:$E$435,0)),"A","")</f>
        <v/>
      </c>
      <c r="F99" s="279">
        <f t="shared" si="22"/>
        <v>108108</v>
      </c>
      <c r="G99" s="279">
        <f t="shared" si="23"/>
        <v>108109</v>
      </c>
      <c r="H99" s="279">
        <f t="shared" si="24"/>
        <v>108108</v>
      </c>
      <c r="I99" s="279" t="s">
        <v>9545</v>
      </c>
      <c r="J99" s="279" t="s">
        <v>24</v>
      </c>
      <c r="K99" s="279" t="s">
        <v>17</v>
      </c>
      <c r="L99" s="278" t="s">
        <v>7362</v>
      </c>
      <c r="M99" s="279">
        <f t="shared" ref="M99:M133" si="26">VALUE(Masacod(I99))</f>
        <v>8</v>
      </c>
      <c r="N99" s="279">
        <f t="shared" ref="N99:N133" si="27">VALUE(PaksaCod(J99))</f>
        <v>1</v>
      </c>
      <c r="O99" s="279">
        <f t="shared" ref="O99:O133" si="28">VALUE(TithiCod(K99))</f>
        <v>8</v>
      </c>
      <c r="P99" s="280" t="s">
        <v>7363</v>
      </c>
      <c r="Q99" s="281">
        <f t="shared" si="25"/>
        <v>10810804</v>
      </c>
      <c r="R99" s="281" t="s">
        <v>374</v>
      </c>
      <c r="S99" s="278" t="str">
        <f t="shared" si="17"/>
        <v>Sri Srinivasa Acarya - Disappearance</v>
      </c>
      <c r="T99" s="278"/>
      <c r="U99" s="282"/>
      <c r="V99" s="278">
        <v>3</v>
      </c>
      <c r="W99" s="278" t="s">
        <v>171</v>
      </c>
      <c r="X99" s="266"/>
    </row>
    <row r="100" spans="1:24" x14ac:dyDescent="0.25">
      <c r="A100" s="278">
        <v>80</v>
      </c>
      <c r="B100" s="278">
        <f t="shared" si="21"/>
        <v>1</v>
      </c>
      <c r="C100" s="311">
        <f>IFERROR(INDEX('GCal-Year'!$A$40:$A$435,D100),"---")</f>
        <v>43774</v>
      </c>
      <c r="D100" s="279">
        <f>IFERROR(MATCH(H100,'GCal-Year'!$E$40:$E$435,0),"---")</f>
        <v>309</v>
      </c>
      <c r="E100" s="279" t="str">
        <f>IF(ISERROR(MATCH(F100,'GCal-Year'!$E$40:$E$435,0)),"A","")</f>
        <v/>
      </c>
      <c r="F100" s="279">
        <f t="shared" si="22"/>
        <v>108109</v>
      </c>
      <c r="G100" s="279">
        <f t="shared" si="23"/>
        <v>108110</v>
      </c>
      <c r="H100" s="279">
        <f t="shared" si="24"/>
        <v>108109</v>
      </c>
      <c r="I100" s="279" t="s">
        <v>9545</v>
      </c>
      <c r="J100" s="279" t="s">
        <v>24</v>
      </c>
      <c r="K100" s="279" t="s">
        <v>18</v>
      </c>
      <c r="L100" s="278" t="s">
        <v>7365</v>
      </c>
      <c r="M100" s="279">
        <f t="shared" si="26"/>
        <v>8</v>
      </c>
      <c r="N100" s="279">
        <f t="shared" si="27"/>
        <v>1</v>
      </c>
      <c r="O100" s="279">
        <f t="shared" si="28"/>
        <v>9</v>
      </c>
      <c r="P100" s="280" t="s">
        <v>7366</v>
      </c>
      <c r="Q100" s="281">
        <f t="shared" si="25"/>
        <v>10810901</v>
      </c>
      <c r="R100" s="281" t="s">
        <v>7367</v>
      </c>
      <c r="S100" s="278" t="str">
        <f t="shared" si="17"/>
        <v>Jagaddhatri Puja</v>
      </c>
      <c r="T100" s="278"/>
      <c r="U100" s="282"/>
      <c r="V100" s="278">
        <v>5</v>
      </c>
      <c r="W100" s="278" t="s">
        <v>174</v>
      </c>
      <c r="X100" s="266"/>
    </row>
    <row r="101" spans="1:24" x14ac:dyDescent="0.25">
      <c r="A101" s="439">
        <v>81.2</v>
      </c>
      <c r="B101" s="439">
        <f>IF(H101&lt;&gt;H99,1,B99+1)</f>
        <v>1</v>
      </c>
      <c r="C101" s="431">
        <f>C102-1</f>
        <v>43775</v>
      </c>
      <c r="D101" s="327">
        <f>IFERROR(MATCH(C101,'GCal-Year'!$A$40:$A$435,0),"---")</f>
        <v>310</v>
      </c>
      <c r="E101" s="327">
        <f>INDEX('GCal-Year'!$G$40:$G$435,D101)</f>
        <v>0</v>
      </c>
      <c r="F101" s="824"/>
      <c r="G101" s="824"/>
      <c r="H101" s="327">
        <f>IFERROR(INDEX('GCal-Year'!$E$40:$E$435,D101),"---")</f>
        <v>108110</v>
      </c>
      <c r="I101" s="824"/>
      <c r="J101" s="824"/>
      <c r="K101" s="824"/>
      <c r="L101" s="121"/>
      <c r="M101" s="824"/>
      <c r="N101" s="824"/>
      <c r="O101" s="824"/>
      <c r="P101" s="827"/>
      <c r="Q101" s="440">
        <f>VALUE(H101&amp;TEXT(B101,"00"))</f>
        <v>10811001</v>
      </c>
      <c r="R101" s="121"/>
      <c r="S101" s="442" t="str">
        <f>IF(E101="*",T101,"")</f>
        <v/>
      </c>
      <c r="T101" s="442" t="str">
        <f>"(Fast till noon for " &amp; U102 &amp; ", with feast tomorrow)"</f>
        <v>(Fast till noon for Gaura Kisora, with feast tomorrow)</v>
      </c>
      <c r="U101" s="441"/>
      <c r="V101" s="439" t="str">
        <f>"---"</f>
        <v>---</v>
      </c>
      <c r="W101" s="439"/>
      <c r="X101" s="266"/>
    </row>
    <row r="102" spans="1:24" x14ac:dyDescent="0.25">
      <c r="A102" s="278">
        <v>81.5</v>
      </c>
      <c r="B102" s="278">
        <f>IF(H102&lt;&gt;H100,1,B100+1)</f>
        <v>1</v>
      </c>
      <c r="C102" s="311">
        <f>IFERROR(INDEX('GCal-Year'!$A$40:$A$435,D102),"---")</f>
        <v>43776</v>
      </c>
      <c r="D102" s="279">
        <f>IFERROR(MATCH(H102,'GCal-Year'!$E$40:$E$435,0),"---")</f>
        <v>311</v>
      </c>
      <c r="E102" s="279" t="str">
        <f>IF(ISERROR(MATCH(F102,'GCal-Year'!$E$40:$E$435,0)),"A","")</f>
        <v/>
      </c>
      <c r="F102" s="279">
        <f t="shared" si="22"/>
        <v>108111</v>
      </c>
      <c r="G102" s="279">
        <f t="shared" si="23"/>
        <v>108112</v>
      </c>
      <c r="H102" s="279">
        <f t="shared" si="24"/>
        <v>108111</v>
      </c>
      <c r="I102" s="279" t="s">
        <v>9545</v>
      </c>
      <c r="J102" s="279" t="s">
        <v>24</v>
      </c>
      <c r="K102" s="279" t="s">
        <v>20</v>
      </c>
      <c r="L102" s="278" t="s">
        <v>7368</v>
      </c>
      <c r="M102" s="279">
        <f t="shared" si="26"/>
        <v>8</v>
      </c>
      <c r="N102" s="279">
        <f t="shared" si="27"/>
        <v>1</v>
      </c>
      <c r="O102" s="279">
        <f t="shared" si="28"/>
        <v>11</v>
      </c>
      <c r="P102" s="280" t="s">
        <v>7369</v>
      </c>
      <c r="Q102" s="281">
        <f t="shared" si="25"/>
        <v>10811101</v>
      </c>
      <c r="R102" s="281" t="s">
        <v>377</v>
      </c>
      <c r="S102" s="278" t="str">
        <f t="shared" si="17"/>
        <v>Srila Gaura Kisora Dasa Babaji - Disappearance</v>
      </c>
      <c r="T102" s="278"/>
      <c r="U102" s="282" t="s">
        <v>9702</v>
      </c>
      <c r="V102" s="278">
        <v>2</v>
      </c>
      <c r="W102" s="278" t="s">
        <v>169</v>
      </c>
      <c r="X102" s="266"/>
    </row>
    <row r="103" spans="1:24" x14ac:dyDescent="0.25">
      <c r="A103" s="434">
        <v>50.5</v>
      </c>
      <c r="B103" s="434">
        <f>IF(H103&lt;&gt;H102,1,B102+1)</f>
        <v>2</v>
      </c>
      <c r="C103" s="435">
        <f>C102</f>
        <v>43776</v>
      </c>
      <c r="D103" s="416">
        <f>D102</f>
        <v>311</v>
      </c>
      <c r="E103" s="826">
        <f>INDEX('GCal-Year'!$AT$40:$AT$435,D103)</f>
        <v>-1</v>
      </c>
      <c r="F103" s="824"/>
      <c r="G103" s="824"/>
      <c r="H103" s="416">
        <f>H102</f>
        <v>108111</v>
      </c>
      <c r="I103" s="824"/>
      <c r="J103" s="824"/>
      <c r="K103" s="824"/>
      <c r="L103" s="121"/>
      <c r="M103" s="824"/>
      <c r="N103" s="824"/>
      <c r="O103" s="824"/>
      <c r="P103" s="827"/>
      <c r="Q103" s="436">
        <f t="shared" si="25"/>
        <v>10811102</v>
      </c>
      <c r="R103" s="436" t="s">
        <v>7594</v>
      </c>
      <c r="S103" s="434" t="str">
        <f>IF(E103=-2,T102,IF(E103=-0.3,T103,R103))</f>
        <v>(Fast today till noon)</v>
      </c>
      <c r="T103" s="437" t="s">
        <v>521</v>
      </c>
      <c r="U103" s="438"/>
      <c r="V103" s="434">
        <v>-1</v>
      </c>
      <c r="W103" s="434" t="s">
        <v>1393</v>
      </c>
      <c r="X103" s="266"/>
    </row>
    <row r="104" spans="1:24" x14ac:dyDescent="0.25">
      <c r="A104" s="278">
        <v>82</v>
      </c>
      <c r="B104" s="278">
        <f>IF(H104&lt;&gt;H102,1,B102+1)</f>
        <v>1</v>
      </c>
      <c r="C104" s="311">
        <f>IFERROR(INDEX('GCal-Year'!$A$40:$A$435,D104),"---")</f>
        <v>43780</v>
      </c>
      <c r="D104" s="279">
        <f>IFERROR(MATCH(H104,'GCal-Year'!$E$40:$E$435,0),"---")</f>
        <v>315</v>
      </c>
      <c r="E104" s="279" t="str">
        <f>IF(ISERROR(MATCH(F104,'GCal-Year'!$E$40:$E$435,0)),"A","")</f>
        <v/>
      </c>
      <c r="F104" s="279">
        <f t="shared" si="22"/>
        <v>108114</v>
      </c>
      <c r="G104" s="279">
        <f t="shared" si="23"/>
        <v>108115</v>
      </c>
      <c r="H104" s="279">
        <f t="shared" si="24"/>
        <v>108114</v>
      </c>
      <c r="I104" s="279" t="s">
        <v>9545</v>
      </c>
      <c r="J104" s="279" t="s">
        <v>24</v>
      </c>
      <c r="K104" s="279" t="s">
        <v>9</v>
      </c>
      <c r="L104" s="278" t="s">
        <v>7370</v>
      </c>
      <c r="M104" s="279">
        <f t="shared" si="26"/>
        <v>8</v>
      </c>
      <c r="N104" s="279">
        <f t="shared" si="27"/>
        <v>1</v>
      </c>
      <c r="O104" s="279">
        <f t="shared" si="28"/>
        <v>14</v>
      </c>
      <c r="P104" s="280" t="s">
        <v>7371</v>
      </c>
      <c r="Q104" s="281">
        <f t="shared" si="25"/>
        <v>10811401</v>
      </c>
      <c r="R104" s="281" t="s">
        <v>380</v>
      </c>
      <c r="S104" s="278" t="str">
        <f t="shared" si="17"/>
        <v>Sri Bhugarbha Gosvami - Disappearance</v>
      </c>
      <c r="T104" s="278"/>
      <c r="U104" s="282"/>
      <c r="V104" s="278">
        <v>3</v>
      </c>
      <c r="W104" s="278" t="s">
        <v>171</v>
      </c>
      <c r="X104" s="266"/>
    </row>
    <row r="105" spans="1:24" x14ac:dyDescent="0.25">
      <c r="A105" s="278">
        <v>83</v>
      </c>
      <c r="B105" s="278">
        <f t="shared" si="21"/>
        <v>2</v>
      </c>
      <c r="C105" s="311">
        <f>IFERROR(INDEX('GCal-Year'!$A$40:$A$435,D105),"---")</f>
        <v>43780</v>
      </c>
      <c r="D105" s="279">
        <f>IFERROR(MATCH(H105,'GCal-Year'!$E$40:$E$435,0),"---")</f>
        <v>315</v>
      </c>
      <c r="E105" s="279" t="str">
        <f>IF(ISERROR(MATCH(F105,'GCal-Year'!$E$40:$E$435,0)),"A","")</f>
        <v/>
      </c>
      <c r="F105" s="279">
        <f t="shared" si="22"/>
        <v>108114</v>
      </c>
      <c r="G105" s="279">
        <f t="shared" si="23"/>
        <v>108115</v>
      </c>
      <c r="H105" s="279">
        <f t="shared" si="24"/>
        <v>108114</v>
      </c>
      <c r="I105" s="279" t="s">
        <v>9545</v>
      </c>
      <c r="J105" s="279" t="s">
        <v>24</v>
      </c>
      <c r="K105" s="279" t="s">
        <v>9</v>
      </c>
      <c r="L105" s="278" t="s">
        <v>7370</v>
      </c>
      <c r="M105" s="279">
        <f t="shared" si="26"/>
        <v>8</v>
      </c>
      <c r="N105" s="279">
        <f t="shared" si="27"/>
        <v>1</v>
      </c>
      <c r="O105" s="279">
        <f t="shared" si="28"/>
        <v>14</v>
      </c>
      <c r="P105" s="280" t="s">
        <v>7371</v>
      </c>
      <c r="Q105" s="281">
        <f t="shared" si="25"/>
        <v>10811402</v>
      </c>
      <c r="R105" s="281" t="s">
        <v>383</v>
      </c>
      <c r="S105" s="278" t="str">
        <f t="shared" si="17"/>
        <v>Sri Kasisvara Pandita - Disappearance</v>
      </c>
      <c r="T105" s="278"/>
      <c r="U105" s="282"/>
      <c r="V105" s="278">
        <v>3</v>
      </c>
      <c r="W105" s="278" t="s">
        <v>171</v>
      </c>
      <c r="X105" s="266"/>
    </row>
    <row r="106" spans="1:24" x14ac:dyDescent="0.25">
      <c r="A106" s="278">
        <v>84</v>
      </c>
      <c r="B106" s="278">
        <f t="shared" si="21"/>
        <v>1</v>
      </c>
      <c r="C106" s="311">
        <f>IFERROR(INDEX('GCal-Year'!$A$40:$A$435,D106),"---")</f>
        <v>43781</v>
      </c>
      <c r="D106" s="279">
        <f>IFERROR(MATCH(H106,'GCal-Year'!$E$40:$E$435,0),"---")</f>
        <v>316</v>
      </c>
      <c r="E106" s="279" t="str">
        <f>IF(ISERROR(MATCH(F106,'GCal-Year'!$E$40:$E$435,0)),"A","")</f>
        <v/>
      </c>
      <c r="F106" s="279">
        <f t="shared" si="22"/>
        <v>108115</v>
      </c>
      <c r="G106" s="279">
        <f t="shared" si="23"/>
        <v>19001</v>
      </c>
      <c r="H106" s="279">
        <f t="shared" si="24"/>
        <v>108115</v>
      </c>
      <c r="I106" s="279" t="s">
        <v>9545</v>
      </c>
      <c r="J106" s="279" t="s">
        <v>24</v>
      </c>
      <c r="K106" s="279" t="s">
        <v>10</v>
      </c>
      <c r="L106" s="278" t="s">
        <v>7372</v>
      </c>
      <c r="M106" s="279">
        <f t="shared" si="26"/>
        <v>8</v>
      </c>
      <c r="N106" s="279">
        <f t="shared" si="27"/>
        <v>1</v>
      </c>
      <c r="O106" s="279">
        <f t="shared" si="28"/>
        <v>15</v>
      </c>
      <c r="P106" s="280" t="s">
        <v>7373</v>
      </c>
      <c r="Q106" s="281">
        <f t="shared" si="25"/>
        <v>10811501</v>
      </c>
      <c r="R106" s="281" t="s">
        <v>7227</v>
      </c>
      <c r="S106" s="278" t="str">
        <f t="shared" si="17"/>
        <v>Sri Krsna Rasayatra</v>
      </c>
      <c r="T106" s="278"/>
      <c r="U106" s="282"/>
      <c r="V106" s="278">
        <v>1</v>
      </c>
      <c r="W106" s="278" t="s">
        <v>168</v>
      </c>
      <c r="X106" s="266"/>
    </row>
    <row r="107" spans="1:24" x14ac:dyDescent="0.25">
      <c r="A107" s="278">
        <v>85</v>
      </c>
      <c r="B107" s="278">
        <f t="shared" si="21"/>
        <v>2</v>
      </c>
      <c r="C107" s="311">
        <f>IFERROR(INDEX('GCal-Year'!$A$40:$A$435,D107),"---")</f>
        <v>43781</v>
      </c>
      <c r="D107" s="279">
        <f>IFERROR(MATCH(H107,'GCal-Year'!$E$40:$E$435,0),"---")</f>
        <v>316</v>
      </c>
      <c r="E107" s="279" t="str">
        <f>IF(ISERROR(MATCH(F107,'GCal-Year'!$E$40:$E$435,0)),"A","")</f>
        <v/>
      </c>
      <c r="F107" s="279">
        <f t="shared" si="22"/>
        <v>108115</v>
      </c>
      <c r="G107" s="279">
        <f t="shared" si="23"/>
        <v>19001</v>
      </c>
      <c r="H107" s="279">
        <f t="shared" si="24"/>
        <v>108115</v>
      </c>
      <c r="I107" s="279" t="s">
        <v>9545</v>
      </c>
      <c r="J107" s="279" t="s">
        <v>24</v>
      </c>
      <c r="K107" s="279" t="s">
        <v>10</v>
      </c>
      <c r="L107" s="278" t="s">
        <v>7372</v>
      </c>
      <c r="M107" s="279">
        <f t="shared" si="26"/>
        <v>8</v>
      </c>
      <c r="N107" s="279">
        <f t="shared" si="27"/>
        <v>1</v>
      </c>
      <c r="O107" s="279">
        <f t="shared" si="28"/>
        <v>15</v>
      </c>
      <c r="P107" s="280" t="s">
        <v>7373</v>
      </c>
      <c r="Q107" s="281">
        <f t="shared" si="25"/>
        <v>10811502</v>
      </c>
      <c r="R107" s="281" t="s">
        <v>386</v>
      </c>
      <c r="S107" s="278" t="str">
        <f t="shared" si="17"/>
        <v>Tulasi-Saligrama Vivaha (marriage)</v>
      </c>
      <c r="T107" s="278"/>
      <c r="U107" s="282"/>
      <c r="V107" s="278">
        <v>1</v>
      </c>
      <c r="W107" s="278" t="s">
        <v>168</v>
      </c>
      <c r="X107" s="266"/>
    </row>
    <row r="108" spans="1:24" x14ac:dyDescent="0.25">
      <c r="A108" s="278">
        <v>86</v>
      </c>
      <c r="B108" s="278">
        <f t="shared" ref="B108:B145" si="29">IF(H108&lt;&gt;H107,1,B107+1)</f>
        <v>3</v>
      </c>
      <c r="C108" s="311">
        <f>IFERROR(INDEX('GCal-Year'!$A$40:$A$435,D108),"---")</f>
        <v>43781</v>
      </c>
      <c r="D108" s="279">
        <f>IFERROR(MATCH(H108,'GCal-Year'!$E$40:$E$435,0),"---")</f>
        <v>316</v>
      </c>
      <c r="E108" s="279" t="str">
        <f>IF(ISERROR(MATCH(F108,'GCal-Year'!$E$40:$E$435,0)),"A","")</f>
        <v/>
      </c>
      <c r="F108" s="279">
        <f t="shared" ref="F108:F140" si="30">VALUE("1" &amp;  Masacod(I108) &amp; PaksaCod(J108) &amp; TithiCod(K108))</f>
        <v>108115</v>
      </c>
      <c r="G108" s="279">
        <f t="shared" ref="G108:G140" si="31">VALUE("1" &amp;  IF(AND(VALUE(RIGHT(F108,2))&gt;14,MID(F108,4,1)="1"),IF(VALUE(MID(F108,2,2))&gt;11,"01",VALUE(MID(F108,2,2))+1),MID(F108,2,2)) &amp; IF(VALUE(RIGHT(F108,2))&gt;14,IF(MID(F108,4,1)="0","1","0"),MID(F108,4,1)) &amp; IF(VALUE(RIGHT(F108,2))&gt;14,"01",TEXT(VALUE(TithiCod(K108))+1,"00")))</f>
        <v>19001</v>
      </c>
      <c r="H108" s="279">
        <f t="shared" ref="H108:H140" si="32">IF(E108="",F108,G108)</f>
        <v>108115</v>
      </c>
      <c r="I108" s="279" t="s">
        <v>9545</v>
      </c>
      <c r="J108" s="279" t="s">
        <v>24</v>
      </c>
      <c r="K108" s="279" t="s">
        <v>10</v>
      </c>
      <c r="L108" s="278" t="s">
        <v>7372</v>
      </c>
      <c r="M108" s="279">
        <f t="shared" si="26"/>
        <v>8</v>
      </c>
      <c r="N108" s="279">
        <f t="shared" si="27"/>
        <v>1</v>
      </c>
      <c r="O108" s="279">
        <f t="shared" si="28"/>
        <v>15</v>
      </c>
      <c r="P108" s="280" t="s">
        <v>7373</v>
      </c>
      <c r="Q108" s="281">
        <f t="shared" ref="Q108:Q140" si="33">VALUE(H108&amp;TEXT(B108,"00"))</f>
        <v>10811503</v>
      </c>
      <c r="R108" s="281" t="s">
        <v>388</v>
      </c>
      <c r="S108" s="278" t="str">
        <f t="shared" si="17"/>
        <v>Sri Nimbarkacarya - Appearance</v>
      </c>
      <c r="T108" s="278"/>
      <c r="U108" s="282"/>
      <c r="V108" s="278">
        <v>3</v>
      </c>
      <c r="W108" s="278" t="s">
        <v>171</v>
      </c>
      <c r="X108" s="266"/>
    </row>
    <row r="109" spans="1:24" x14ac:dyDescent="0.25">
      <c r="A109" s="273">
        <v>87</v>
      </c>
      <c r="B109" s="273">
        <f t="shared" si="29"/>
        <v>1</v>
      </c>
      <c r="C109" s="301">
        <f>IFERROR(INDEX('GCal-Year'!$A$40:$A$435,D109),"---")</f>
        <v>43782</v>
      </c>
      <c r="D109" s="274">
        <f>IFERROR(MATCH(H109,'GCal-Year'!$E$40:$E$435,0),"---")</f>
        <v>317</v>
      </c>
      <c r="E109" s="274" t="str">
        <f>IF(ISERROR(MATCH(F109,'GCal-Year'!$E$40:$E$435,0)),"A","")</f>
        <v/>
      </c>
      <c r="F109" s="274">
        <f t="shared" si="30"/>
        <v>109001</v>
      </c>
      <c r="G109" s="274">
        <f t="shared" si="31"/>
        <v>109002</v>
      </c>
      <c r="H109" s="274">
        <f t="shared" si="32"/>
        <v>109001</v>
      </c>
      <c r="I109" s="274" t="s">
        <v>9533</v>
      </c>
      <c r="J109" s="274" t="s">
        <v>25</v>
      </c>
      <c r="K109" s="274" t="s">
        <v>11</v>
      </c>
      <c r="L109" s="273" t="s">
        <v>7374</v>
      </c>
      <c r="M109" s="274">
        <f t="shared" si="26"/>
        <v>9</v>
      </c>
      <c r="N109" s="274">
        <f t="shared" si="27"/>
        <v>0</v>
      </c>
      <c r="O109" s="274">
        <f t="shared" si="28"/>
        <v>1</v>
      </c>
      <c r="P109" s="275" t="s">
        <v>7375</v>
      </c>
      <c r="Q109" s="276">
        <f t="shared" si="33"/>
        <v>10900101</v>
      </c>
      <c r="R109" s="276" t="s">
        <v>391</v>
      </c>
      <c r="S109" s="273" t="str">
        <f t="shared" si="17"/>
        <v>Katyayani vrata begins</v>
      </c>
      <c r="T109" s="273"/>
      <c r="U109" s="277"/>
      <c r="V109" s="273">
        <v>1</v>
      </c>
      <c r="W109" s="273" t="s">
        <v>168</v>
      </c>
      <c r="X109" s="266"/>
    </row>
    <row r="110" spans="1:24" x14ac:dyDescent="0.25">
      <c r="A110" s="273">
        <v>88</v>
      </c>
      <c r="B110" s="273">
        <f t="shared" si="29"/>
        <v>1</v>
      </c>
      <c r="C110" s="301">
        <f>IFERROR(INDEX('GCal-Year'!$A$40:$A$435,D110),"---")</f>
        <v>43791</v>
      </c>
      <c r="D110" s="274">
        <f>IFERROR(MATCH(H110,'GCal-Year'!$E$40:$E$435,0),"---")</f>
        <v>326</v>
      </c>
      <c r="E110" s="274" t="str">
        <f>IF(ISERROR(MATCH(F110,'GCal-Year'!$E$40:$E$435,0)),"A","")</f>
        <v/>
      </c>
      <c r="F110" s="274">
        <f t="shared" si="30"/>
        <v>109011</v>
      </c>
      <c r="G110" s="274">
        <f t="shared" si="31"/>
        <v>109012</v>
      </c>
      <c r="H110" s="274">
        <f t="shared" si="32"/>
        <v>109011</v>
      </c>
      <c r="I110" s="274" t="s">
        <v>9533</v>
      </c>
      <c r="J110" s="274" t="s">
        <v>25</v>
      </c>
      <c r="K110" s="274" t="s">
        <v>20</v>
      </c>
      <c r="L110" s="273" t="s">
        <v>7376</v>
      </c>
      <c r="M110" s="274">
        <f t="shared" si="26"/>
        <v>9</v>
      </c>
      <c r="N110" s="274">
        <f t="shared" si="27"/>
        <v>0</v>
      </c>
      <c r="O110" s="274">
        <f t="shared" si="28"/>
        <v>11</v>
      </c>
      <c r="P110" s="275" t="s">
        <v>7377</v>
      </c>
      <c r="Q110" s="276">
        <f t="shared" si="33"/>
        <v>10901101</v>
      </c>
      <c r="R110" s="276" t="s">
        <v>393</v>
      </c>
      <c r="S110" s="273" t="str">
        <f t="shared" si="17"/>
        <v>Sri Narahari Sarakara Thakura - Disappearance</v>
      </c>
      <c r="T110" s="273"/>
      <c r="U110" s="277"/>
      <c r="V110" s="273">
        <v>3</v>
      </c>
      <c r="W110" s="273" t="s">
        <v>171</v>
      </c>
      <c r="X110" s="266"/>
    </row>
    <row r="111" spans="1:24" x14ac:dyDescent="0.25">
      <c r="A111" s="273">
        <v>89</v>
      </c>
      <c r="B111" s="273">
        <f t="shared" si="29"/>
        <v>1</v>
      </c>
      <c r="C111" s="301">
        <f>IFERROR(INDEX('GCal-Year'!$A$40:$A$435,D111),"---")</f>
        <v>43792</v>
      </c>
      <c r="D111" s="274">
        <f>IFERROR(MATCH(H111,'GCal-Year'!$E$40:$E$435,0),"---")</f>
        <v>327</v>
      </c>
      <c r="E111" s="274" t="str">
        <f>IF(ISERROR(MATCH(F111,'GCal-Year'!$E$40:$E$435,0)),"A","")</f>
        <v/>
      </c>
      <c r="F111" s="274">
        <f t="shared" si="30"/>
        <v>109012</v>
      </c>
      <c r="G111" s="274">
        <f t="shared" si="31"/>
        <v>109013</v>
      </c>
      <c r="H111" s="274">
        <f t="shared" si="32"/>
        <v>109012</v>
      </c>
      <c r="I111" s="274" t="s">
        <v>9533</v>
      </c>
      <c r="J111" s="274" t="s">
        <v>25</v>
      </c>
      <c r="K111" s="274" t="s">
        <v>21</v>
      </c>
      <c r="L111" s="273" t="s">
        <v>7378</v>
      </c>
      <c r="M111" s="274">
        <f t="shared" si="26"/>
        <v>9</v>
      </c>
      <c r="N111" s="274">
        <f t="shared" si="27"/>
        <v>0</v>
      </c>
      <c r="O111" s="274">
        <f t="shared" si="28"/>
        <v>12</v>
      </c>
      <c r="P111" s="275" t="s">
        <v>7379</v>
      </c>
      <c r="Q111" s="276">
        <f t="shared" si="33"/>
        <v>10901201</v>
      </c>
      <c r="R111" s="276" t="s">
        <v>396</v>
      </c>
      <c r="S111" s="273" t="str">
        <f t="shared" si="17"/>
        <v>Sri Kaliya Krsnadasa - Disappearance</v>
      </c>
      <c r="T111" s="273"/>
      <c r="U111" s="277"/>
      <c r="V111" s="273">
        <v>3</v>
      </c>
      <c r="W111" s="273" t="s">
        <v>171</v>
      </c>
      <c r="X111" s="266"/>
    </row>
    <row r="112" spans="1:24" x14ac:dyDescent="0.25">
      <c r="A112" s="273">
        <v>90</v>
      </c>
      <c r="B112" s="273">
        <f t="shared" si="29"/>
        <v>1</v>
      </c>
      <c r="C112" s="301">
        <f>IFERROR(INDEX('GCal-Year'!$A$40:$A$435,D112),"---")</f>
        <v>43793</v>
      </c>
      <c r="D112" s="274">
        <f>IFERROR(MATCH(H112,'GCal-Year'!$E$40:$E$435,0),"---")</f>
        <v>328</v>
      </c>
      <c r="E112" s="274" t="str">
        <f>IF(ISERROR(MATCH(F112,'GCal-Year'!$E$40:$E$435,0)),"A","")</f>
        <v/>
      </c>
      <c r="F112" s="274">
        <f t="shared" si="30"/>
        <v>109013</v>
      </c>
      <c r="G112" s="274">
        <f t="shared" si="31"/>
        <v>109014</v>
      </c>
      <c r="H112" s="274">
        <f t="shared" si="32"/>
        <v>109013</v>
      </c>
      <c r="I112" s="274" t="s">
        <v>9533</v>
      </c>
      <c r="J112" s="274" t="s">
        <v>25</v>
      </c>
      <c r="K112" s="274" t="s">
        <v>8</v>
      </c>
      <c r="L112" s="273" t="s">
        <v>7380</v>
      </c>
      <c r="M112" s="274">
        <f t="shared" si="26"/>
        <v>9</v>
      </c>
      <c r="N112" s="274">
        <f t="shared" si="27"/>
        <v>0</v>
      </c>
      <c r="O112" s="274">
        <f t="shared" si="28"/>
        <v>13</v>
      </c>
      <c r="P112" s="275" t="s">
        <v>7381</v>
      </c>
      <c r="Q112" s="276">
        <f t="shared" si="33"/>
        <v>10901301</v>
      </c>
      <c r="R112" s="276" t="s">
        <v>399</v>
      </c>
      <c r="S112" s="273" t="str">
        <f t="shared" si="17"/>
        <v>Sri Saranga Thakura - Disappearance</v>
      </c>
      <c r="T112" s="273"/>
      <c r="U112" s="277"/>
      <c r="V112" s="273">
        <v>3</v>
      </c>
      <c r="W112" s="273" t="s">
        <v>171</v>
      </c>
      <c r="X112" s="266"/>
    </row>
    <row r="113" spans="1:24" x14ac:dyDescent="0.25">
      <c r="A113" s="273">
        <v>91</v>
      </c>
      <c r="B113" s="273">
        <f t="shared" si="29"/>
        <v>1</v>
      </c>
      <c r="C113" s="301">
        <f>IFERROR(INDEX('GCal-Year'!$A$40:$A$435,D113),"---")</f>
        <v>43801</v>
      </c>
      <c r="D113" s="274">
        <f>IFERROR(MATCH(H113,'GCal-Year'!$E$40:$E$435,0),"---")</f>
        <v>336</v>
      </c>
      <c r="E113" s="274" t="str">
        <f>IF(ISERROR(MATCH(F113,'GCal-Year'!$E$40:$E$435,0)),"A","")</f>
        <v/>
      </c>
      <c r="F113" s="274">
        <f t="shared" si="30"/>
        <v>109106</v>
      </c>
      <c r="G113" s="274">
        <f t="shared" si="31"/>
        <v>109107</v>
      </c>
      <c r="H113" s="274">
        <f t="shared" si="32"/>
        <v>109106</v>
      </c>
      <c r="I113" s="274" t="s">
        <v>9533</v>
      </c>
      <c r="J113" s="274" t="s">
        <v>24</v>
      </c>
      <c r="K113" s="274" t="s">
        <v>15</v>
      </c>
      <c r="L113" s="273" t="s">
        <v>7382</v>
      </c>
      <c r="M113" s="274">
        <f t="shared" si="26"/>
        <v>9</v>
      </c>
      <c r="N113" s="274">
        <f t="shared" si="27"/>
        <v>1</v>
      </c>
      <c r="O113" s="274">
        <f t="shared" si="28"/>
        <v>6</v>
      </c>
      <c r="P113" s="275" t="s">
        <v>7383</v>
      </c>
      <c r="Q113" s="276">
        <f t="shared" si="33"/>
        <v>10910601</v>
      </c>
      <c r="R113" s="276" t="s">
        <v>7384</v>
      </c>
      <c r="S113" s="273" t="str">
        <f t="shared" si="17"/>
        <v>Odana sasthi</v>
      </c>
      <c r="T113" s="273"/>
      <c r="U113" s="277"/>
      <c r="V113" s="273">
        <v>1</v>
      </c>
      <c r="W113" s="273" t="s">
        <v>168</v>
      </c>
      <c r="X113" s="266"/>
    </row>
    <row r="114" spans="1:24" x14ac:dyDescent="0.25">
      <c r="A114" s="273">
        <v>92</v>
      </c>
      <c r="B114" s="273">
        <f t="shared" si="29"/>
        <v>1</v>
      </c>
      <c r="C114" s="301">
        <f>IFERROR(INDEX('GCal-Year'!$A$40:$A$435,D114),"---")</f>
        <v>43806</v>
      </c>
      <c r="D114" s="274">
        <f>IFERROR(MATCH(H114,'GCal-Year'!$E$40:$E$435,0),"---")</f>
        <v>341</v>
      </c>
      <c r="E114" s="274" t="str">
        <f>IF(ISERROR(MATCH(F114,'GCal-Year'!$E$40:$E$435,0)),"A","")</f>
        <v/>
      </c>
      <c r="F114" s="274">
        <f t="shared" si="30"/>
        <v>109111</v>
      </c>
      <c r="G114" s="274">
        <f t="shared" si="31"/>
        <v>109112</v>
      </c>
      <c r="H114" s="274">
        <f t="shared" si="32"/>
        <v>109111</v>
      </c>
      <c r="I114" s="274" t="s">
        <v>9533</v>
      </c>
      <c r="J114" s="274" t="s">
        <v>24</v>
      </c>
      <c r="K114" s="274" t="s">
        <v>20</v>
      </c>
      <c r="L114" s="273" t="s">
        <v>7385</v>
      </c>
      <c r="M114" s="274">
        <f t="shared" si="26"/>
        <v>9</v>
      </c>
      <c r="N114" s="274">
        <f t="shared" si="27"/>
        <v>1</v>
      </c>
      <c r="O114" s="274">
        <f t="shared" si="28"/>
        <v>11</v>
      </c>
      <c r="P114" s="275" t="s">
        <v>7386</v>
      </c>
      <c r="Q114" s="276">
        <f t="shared" si="33"/>
        <v>10911101</v>
      </c>
      <c r="R114" s="276" t="s">
        <v>402</v>
      </c>
      <c r="S114" s="273" t="str">
        <f t="shared" si="17"/>
        <v>Advent of Srimad Bhagavad-gita</v>
      </c>
      <c r="T114" s="273"/>
      <c r="U114" s="277"/>
      <c r="V114" s="273">
        <v>1</v>
      </c>
      <c r="W114" s="273" t="s">
        <v>168</v>
      </c>
      <c r="X114" s="266"/>
    </row>
    <row r="115" spans="1:24" x14ac:dyDescent="0.25">
      <c r="A115" s="273">
        <v>93</v>
      </c>
      <c r="B115" s="273">
        <f t="shared" si="29"/>
        <v>1</v>
      </c>
      <c r="C115" s="301">
        <f>IFERROR(INDEX('GCal-Year'!$A$40:$A$435,D115),"---")</f>
        <v>43810</v>
      </c>
      <c r="D115" s="274">
        <f>IFERROR(MATCH(H115,'GCal-Year'!$E$40:$E$435,0),"---")</f>
        <v>345</v>
      </c>
      <c r="E115" s="274" t="str">
        <f>IF(ISERROR(MATCH(F115,'GCal-Year'!$E$40:$E$435,0)),"A","")</f>
        <v/>
      </c>
      <c r="F115" s="274">
        <f t="shared" si="30"/>
        <v>109115</v>
      </c>
      <c r="G115" s="274">
        <f t="shared" si="31"/>
        <v>110001</v>
      </c>
      <c r="H115" s="274">
        <f t="shared" si="32"/>
        <v>109115</v>
      </c>
      <c r="I115" s="274" t="s">
        <v>9533</v>
      </c>
      <c r="J115" s="274" t="s">
        <v>24</v>
      </c>
      <c r="K115" s="274" t="s">
        <v>10</v>
      </c>
      <c r="L115" s="273" t="s">
        <v>7387</v>
      </c>
      <c r="M115" s="274">
        <f t="shared" si="26"/>
        <v>9</v>
      </c>
      <c r="N115" s="274">
        <f t="shared" si="27"/>
        <v>1</v>
      </c>
      <c r="O115" s="274">
        <f t="shared" si="28"/>
        <v>15</v>
      </c>
      <c r="P115" s="275" t="s">
        <v>7388</v>
      </c>
      <c r="Q115" s="276">
        <f t="shared" si="33"/>
        <v>10911501</v>
      </c>
      <c r="R115" s="276" t="s">
        <v>404</v>
      </c>
      <c r="S115" s="273" t="str">
        <f t="shared" si="17"/>
        <v>Katyayani vrata ends</v>
      </c>
      <c r="T115" s="273"/>
      <c r="U115" s="277"/>
      <c r="V115" s="273">
        <v>1</v>
      </c>
      <c r="W115" s="273" t="s">
        <v>168</v>
      </c>
      <c r="X115" s="266"/>
    </row>
    <row r="116" spans="1:24" x14ac:dyDescent="0.25">
      <c r="A116" s="278">
        <v>94.3</v>
      </c>
      <c r="B116" s="278">
        <f t="shared" si="29"/>
        <v>1</v>
      </c>
      <c r="C116" s="311">
        <f>IFERROR(INDEX('GCal-Year'!$A$40:$A$435,D116),"---")</f>
        <v>43814</v>
      </c>
      <c r="D116" s="279">
        <f>IFERROR(MATCH(H116,'GCal-Year'!$E$40:$E$435,0),"---")</f>
        <v>349</v>
      </c>
      <c r="E116" s="279" t="str">
        <f>IF(ISERROR(MATCH(F116,'GCal-Year'!$E$40:$E$435,0)),"A","")</f>
        <v/>
      </c>
      <c r="F116" s="279">
        <f t="shared" si="30"/>
        <v>110004</v>
      </c>
      <c r="G116" s="279">
        <f t="shared" si="31"/>
        <v>110005</v>
      </c>
      <c r="H116" s="279">
        <f t="shared" si="32"/>
        <v>110004</v>
      </c>
      <c r="I116" s="279" t="s">
        <v>9534</v>
      </c>
      <c r="J116" s="279" t="s">
        <v>25</v>
      </c>
      <c r="K116" s="279" t="s">
        <v>13</v>
      </c>
      <c r="L116" s="278" t="s">
        <v>7389</v>
      </c>
      <c r="M116" s="279">
        <f t="shared" si="26"/>
        <v>10</v>
      </c>
      <c r="N116" s="279">
        <f t="shared" si="27"/>
        <v>0</v>
      </c>
      <c r="O116" s="279">
        <f t="shared" si="28"/>
        <v>4</v>
      </c>
      <c r="P116" s="280" t="s">
        <v>7390</v>
      </c>
      <c r="Q116" s="281">
        <f t="shared" si="33"/>
        <v>11000401</v>
      </c>
      <c r="R116" s="281" t="s">
        <v>406</v>
      </c>
      <c r="S116" s="278" t="str">
        <f t="shared" si="17"/>
        <v>Srila Bhaktisiddhanta Sarasvati Thakura - Disappearance</v>
      </c>
      <c r="T116" s="278"/>
      <c r="U116" s="282" t="s">
        <v>7595</v>
      </c>
      <c r="V116" s="278">
        <v>2</v>
      </c>
      <c r="W116" s="278" t="s">
        <v>169</v>
      </c>
      <c r="X116" s="266"/>
    </row>
    <row r="117" spans="1:24" x14ac:dyDescent="0.25">
      <c r="A117" s="278">
        <v>94.5</v>
      </c>
      <c r="B117" s="278">
        <f>IF(H117&lt;&gt;H116,1,B116+1)</f>
        <v>2</v>
      </c>
      <c r="C117" s="311">
        <f>IFERROR(INDEX('GCal-Year'!$A$40:$A$435,D117),"---")</f>
        <v>43814</v>
      </c>
      <c r="D117" s="279">
        <f>IFERROR(MATCH(H117,'GCal-Year'!$E$40:$E$435,0),"---")</f>
        <v>349</v>
      </c>
      <c r="E117" s="279" t="str">
        <f>IF(ISERROR(MATCH(F117,'GCal-Year'!$E$40:$E$435,0)),"A","")</f>
        <v/>
      </c>
      <c r="F117" s="279">
        <f>VALUE("1" &amp;  Masacod(I117) &amp; PaksaCod(J117) &amp; TithiCod(K117))</f>
        <v>110004</v>
      </c>
      <c r="G117" s="279">
        <f>VALUE("1" &amp;  IF(AND(VALUE(RIGHT(F117,2))&gt;14,MID(F117,4,1)="1"),IF(VALUE(MID(F117,2,2))&gt;11,"01",VALUE(MID(F117,2,2))+1),MID(F117,2,2)) &amp; IF(VALUE(RIGHT(F117,2))&gt;14,IF(MID(F117,4,1)="0","1","0"),MID(F117,4,1)) &amp; IF(VALUE(RIGHT(F117,2))&gt;14,"01",TEXT(VALUE(TithiCod(K117))+1,"00")))</f>
        <v>110005</v>
      </c>
      <c r="H117" s="279">
        <f>IF(E117="",F117,G117)</f>
        <v>110004</v>
      </c>
      <c r="I117" s="279" t="s">
        <v>9534</v>
      </c>
      <c r="J117" s="279" t="s">
        <v>25</v>
      </c>
      <c r="K117" s="279" t="s">
        <v>13</v>
      </c>
      <c r="L117" s="278" t="s">
        <v>7389</v>
      </c>
      <c r="M117" s="279">
        <f>VALUE(Masacod(I117))</f>
        <v>10</v>
      </c>
      <c r="N117" s="279">
        <f>VALUE(PaksaCod(J117))</f>
        <v>0</v>
      </c>
      <c r="O117" s="279">
        <f>VALUE(TithiCod(K117))</f>
        <v>4</v>
      </c>
      <c r="P117" s="280" t="s">
        <v>7390</v>
      </c>
      <c r="Q117" s="281">
        <f>VALUE(H117&amp;TEXT(B117,"00"))</f>
        <v>11000402</v>
      </c>
      <c r="R117" s="281" t="s">
        <v>571</v>
      </c>
      <c r="S117" s="278" t="str">
        <f t="shared" si="17"/>
        <v>(Fast till noon)</v>
      </c>
      <c r="T117" s="278" t="s">
        <v>37</v>
      </c>
      <c r="U117" s="282" t="s">
        <v>7595</v>
      </c>
      <c r="V117" s="278">
        <v>-1</v>
      </c>
      <c r="W117" s="278" t="s">
        <v>1393</v>
      </c>
      <c r="X117" s="266"/>
    </row>
    <row r="118" spans="1:24" x14ac:dyDescent="0.25">
      <c r="A118" s="278">
        <v>95</v>
      </c>
      <c r="B118" s="278">
        <f>IF(H118&lt;&gt;H116,1,B116+1)</f>
        <v>1</v>
      </c>
      <c r="C118" s="311">
        <f>IFERROR(INDEX('GCal-Year'!$A$40:$A$435,D118),"---")</f>
        <v>43466</v>
      </c>
      <c r="D118" s="279">
        <f>IFERROR(MATCH(H118,'GCal-Year'!$E$40:$E$435,0),"---")</f>
        <v>1</v>
      </c>
      <c r="E118" s="279" t="str">
        <f>IF(ISERROR(MATCH(F118,'GCal-Year'!$E$40:$E$435,0)),"A","")</f>
        <v/>
      </c>
      <c r="F118" s="279">
        <f t="shared" si="30"/>
        <v>110011</v>
      </c>
      <c r="G118" s="279">
        <f t="shared" si="31"/>
        <v>110012</v>
      </c>
      <c r="H118" s="279">
        <f t="shared" si="32"/>
        <v>110011</v>
      </c>
      <c r="I118" s="279" t="s">
        <v>9534</v>
      </c>
      <c r="J118" s="279" t="s">
        <v>25</v>
      </c>
      <c r="K118" s="279" t="s">
        <v>20</v>
      </c>
      <c r="L118" s="278" t="s">
        <v>7391</v>
      </c>
      <c r="M118" s="279">
        <f t="shared" si="26"/>
        <v>10</v>
      </c>
      <c r="N118" s="279">
        <f t="shared" si="27"/>
        <v>0</v>
      </c>
      <c r="O118" s="279">
        <f t="shared" si="28"/>
        <v>11</v>
      </c>
      <c r="P118" s="280" t="s">
        <v>7392</v>
      </c>
      <c r="Q118" s="281">
        <f t="shared" si="33"/>
        <v>11001101</v>
      </c>
      <c r="R118" s="281" t="s">
        <v>409</v>
      </c>
      <c r="S118" s="278" t="str">
        <f t="shared" si="17"/>
        <v>Sri Devananda Pandita - Disappearance</v>
      </c>
      <c r="T118" s="278"/>
      <c r="U118" s="282"/>
      <c r="V118" s="278">
        <v>3</v>
      </c>
      <c r="W118" s="278" t="s">
        <v>171</v>
      </c>
      <c r="X118" s="266"/>
    </row>
    <row r="119" spans="1:24" x14ac:dyDescent="0.25">
      <c r="A119" s="278">
        <v>96</v>
      </c>
      <c r="B119" s="278">
        <f t="shared" si="29"/>
        <v>1</v>
      </c>
      <c r="C119" s="311">
        <f>IFERROR(INDEX('GCal-Year'!$A$40:$A$435,D119),"---")</f>
        <v>43468</v>
      </c>
      <c r="D119" s="279">
        <f>IFERROR(MATCH(H119,'GCal-Year'!$E$40:$E$435,0),"---")</f>
        <v>3</v>
      </c>
      <c r="E119" s="279" t="str">
        <f>IF(ISERROR(MATCH(F119,'GCal-Year'!$E$40:$E$435,0)),"A","")</f>
        <v/>
      </c>
      <c r="F119" s="279">
        <f t="shared" si="30"/>
        <v>110013</v>
      </c>
      <c r="G119" s="279">
        <f t="shared" si="31"/>
        <v>110014</v>
      </c>
      <c r="H119" s="279">
        <f t="shared" si="32"/>
        <v>110013</v>
      </c>
      <c r="I119" s="279" t="s">
        <v>9534</v>
      </c>
      <c r="J119" s="279" t="s">
        <v>25</v>
      </c>
      <c r="K119" s="279" t="s">
        <v>8</v>
      </c>
      <c r="L119" s="278" t="s">
        <v>7393</v>
      </c>
      <c r="M119" s="279">
        <f t="shared" si="26"/>
        <v>10</v>
      </c>
      <c r="N119" s="279">
        <f t="shared" si="27"/>
        <v>0</v>
      </c>
      <c r="O119" s="279">
        <f t="shared" si="28"/>
        <v>13</v>
      </c>
      <c r="P119" s="280" t="s">
        <v>7394</v>
      </c>
      <c r="Q119" s="281">
        <f t="shared" si="33"/>
        <v>11001301</v>
      </c>
      <c r="R119" s="281" t="s">
        <v>412</v>
      </c>
      <c r="S119" s="278" t="str">
        <f t="shared" si="17"/>
        <v>Sri Mahesa Pandita - Disappearance</v>
      </c>
      <c r="T119" s="278"/>
      <c r="U119" s="282"/>
      <c r="V119" s="278">
        <v>3</v>
      </c>
      <c r="W119" s="278" t="s">
        <v>171</v>
      </c>
      <c r="X119" s="266"/>
    </row>
    <row r="120" spans="1:24" x14ac:dyDescent="0.25">
      <c r="A120" s="278">
        <v>97</v>
      </c>
      <c r="B120" s="278">
        <f t="shared" si="29"/>
        <v>2</v>
      </c>
      <c r="C120" s="311">
        <f>IFERROR(INDEX('GCal-Year'!$A$40:$A$435,D120),"---")</f>
        <v>43468</v>
      </c>
      <c r="D120" s="279">
        <f>IFERROR(MATCH(H120,'GCal-Year'!$E$40:$E$435,0),"---")</f>
        <v>3</v>
      </c>
      <c r="E120" s="279" t="str">
        <f>IF(ISERROR(MATCH(F120,'GCal-Year'!$E$40:$E$435,0)),"A","")</f>
        <v/>
      </c>
      <c r="F120" s="279">
        <f t="shared" si="30"/>
        <v>110013</v>
      </c>
      <c r="G120" s="279">
        <f t="shared" si="31"/>
        <v>110014</v>
      </c>
      <c r="H120" s="279">
        <f t="shared" si="32"/>
        <v>110013</v>
      </c>
      <c r="I120" s="279" t="s">
        <v>9534</v>
      </c>
      <c r="J120" s="279" t="s">
        <v>25</v>
      </c>
      <c r="K120" s="279" t="s">
        <v>8</v>
      </c>
      <c r="L120" s="278" t="s">
        <v>7393</v>
      </c>
      <c r="M120" s="279">
        <f t="shared" si="26"/>
        <v>10</v>
      </c>
      <c r="N120" s="279">
        <f t="shared" si="27"/>
        <v>0</v>
      </c>
      <c r="O120" s="279">
        <f t="shared" si="28"/>
        <v>13</v>
      </c>
      <c r="P120" s="280" t="s">
        <v>7394</v>
      </c>
      <c r="Q120" s="281">
        <f t="shared" si="33"/>
        <v>11001302</v>
      </c>
      <c r="R120" s="281" t="s">
        <v>415</v>
      </c>
      <c r="S120" s="278" t="str">
        <f t="shared" si="17"/>
        <v>Sri Uddharana Datta Thakura - Disappearance</v>
      </c>
      <c r="T120" s="278"/>
      <c r="U120" s="282"/>
      <c r="V120" s="278">
        <v>3</v>
      </c>
      <c r="W120" s="278" t="s">
        <v>171</v>
      </c>
      <c r="X120" s="266"/>
    </row>
    <row r="121" spans="1:24" x14ac:dyDescent="0.25">
      <c r="A121" s="278">
        <v>98</v>
      </c>
      <c r="B121" s="278">
        <f t="shared" si="29"/>
        <v>1</v>
      </c>
      <c r="C121" s="311">
        <f>IFERROR(INDEX('GCal-Year'!$A$40:$A$435,D121),"---")</f>
        <v>43471</v>
      </c>
      <c r="D121" s="279">
        <f>IFERROR(MATCH(H121,'GCal-Year'!$E$40:$E$435,0),"---")</f>
        <v>6</v>
      </c>
      <c r="E121" s="279" t="str">
        <f>IF(ISERROR(MATCH(F121,'GCal-Year'!$E$40:$E$435,0)),"A","")</f>
        <v/>
      </c>
      <c r="F121" s="279">
        <f t="shared" si="30"/>
        <v>110101</v>
      </c>
      <c r="G121" s="279">
        <f t="shared" si="31"/>
        <v>110102</v>
      </c>
      <c r="H121" s="279">
        <f t="shared" si="32"/>
        <v>110101</v>
      </c>
      <c r="I121" s="279" t="s">
        <v>9534</v>
      </c>
      <c r="J121" s="279" t="s">
        <v>24</v>
      </c>
      <c r="K121" s="279" t="s">
        <v>11</v>
      </c>
      <c r="L121" s="278" t="s">
        <v>7395</v>
      </c>
      <c r="M121" s="279">
        <f t="shared" si="26"/>
        <v>10</v>
      </c>
      <c r="N121" s="279">
        <f t="shared" si="27"/>
        <v>1</v>
      </c>
      <c r="O121" s="279">
        <f t="shared" si="28"/>
        <v>1</v>
      </c>
      <c r="P121" s="280" t="s">
        <v>7396</v>
      </c>
      <c r="Q121" s="281">
        <f t="shared" si="33"/>
        <v>11010101</v>
      </c>
      <c r="R121" s="281" t="s">
        <v>418</v>
      </c>
      <c r="S121" s="278" t="str">
        <f t="shared" si="17"/>
        <v>Sri Locana Dasa Thakura - Appearance</v>
      </c>
      <c r="T121" s="278"/>
      <c r="U121" s="282"/>
      <c r="V121" s="278">
        <v>3</v>
      </c>
      <c r="W121" s="278" t="s">
        <v>171</v>
      </c>
      <c r="X121" s="266"/>
    </row>
    <row r="122" spans="1:24" x14ac:dyDescent="0.25">
      <c r="A122" s="278">
        <v>99</v>
      </c>
      <c r="B122" s="278">
        <f t="shared" si="29"/>
        <v>1</v>
      </c>
      <c r="C122" s="311">
        <f>IFERROR(INDEX('GCal-Year'!$A$40:$A$435,D122),"---")</f>
        <v>43473</v>
      </c>
      <c r="D122" s="279">
        <f>IFERROR(MATCH(H122,'GCal-Year'!$E$40:$E$435,0),"---")</f>
        <v>8</v>
      </c>
      <c r="E122" s="279" t="str">
        <f>IF(ISERROR(MATCH(F122,'GCal-Year'!$E$40:$E$435,0)),"A","")</f>
        <v/>
      </c>
      <c r="F122" s="279">
        <f t="shared" si="30"/>
        <v>110103</v>
      </c>
      <c r="G122" s="279">
        <f t="shared" si="31"/>
        <v>110104</v>
      </c>
      <c r="H122" s="279">
        <f t="shared" si="32"/>
        <v>110103</v>
      </c>
      <c r="I122" s="279" t="s">
        <v>9534</v>
      </c>
      <c r="J122" s="279" t="s">
        <v>24</v>
      </c>
      <c r="K122" s="279" t="s">
        <v>23</v>
      </c>
      <c r="L122" s="278" t="s">
        <v>7397</v>
      </c>
      <c r="M122" s="279">
        <f t="shared" si="26"/>
        <v>10</v>
      </c>
      <c r="N122" s="279">
        <f t="shared" si="27"/>
        <v>1</v>
      </c>
      <c r="O122" s="279">
        <f t="shared" si="28"/>
        <v>3</v>
      </c>
      <c r="P122" s="280" t="s">
        <v>7398</v>
      </c>
      <c r="Q122" s="281">
        <f t="shared" si="33"/>
        <v>11010301</v>
      </c>
      <c r="R122" s="281" t="s">
        <v>421</v>
      </c>
      <c r="S122" s="278" t="str">
        <f t="shared" si="17"/>
        <v>Srila Jiva Gosvami - Disappearance</v>
      </c>
      <c r="T122" s="278"/>
      <c r="U122" s="282"/>
      <c r="V122" s="278">
        <v>3</v>
      </c>
      <c r="W122" s="278" t="s">
        <v>171</v>
      </c>
      <c r="X122" s="266"/>
    </row>
    <row r="123" spans="1:24" x14ac:dyDescent="0.25">
      <c r="A123" s="278">
        <v>100</v>
      </c>
      <c r="B123" s="278">
        <f t="shared" si="29"/>
        <v>2</v>
      </c>
      <c r="C123" s="311">
        <f>IFERROR(INDEX('GCal-Year'!$A$40:$A$435,D123),"---")</f>
        <v>43473</v>
      </c>
      <c r="D123" s="279">
        <f>IFERROR(MATCH(H123,'GCal-Year'!$E$40:$E$435,0),"---")</f>
        <v>8</v>
      </c>
      <c r="E123" s="279" t="str">
        <f>IF(ISERROR(MATCH(F123,'GCal-Year'!$E$40:$E$435,0)),"A","")</f>
        <v/>
      </c>
      <c r="F123" s="279">
        <f t="shared" si="30"/>
        <v>110103</v>
      </c>
      <c r="G123" s="279">
        <f t="shared" si="31"/>
        <v>110104</v>
      </c>
      <c r="H123" s="279">
        <f t="shared" si="32"/>
        <v>110103</v>
      </c>
      <c r="I123" s="279" t="s">
        <v>9534</v>
      </c>
      <c r="J123" s="279" t="s">
        <v>24</v>
      </c>
      <c r="K123" s="279" t="s">
        <v>23</v>
      </c>
      <c r="L123" s="278" t="s">
        <v>7397</v>
      </c>
      <c r="M123" s="279">
        <f t="shared" si="26"/>
        <v>10</v>
      </c>
      <c r="N123" s="279">
        <f t="shared" si="27"/>
        <v>1</v>
      </c>
      <c r="O123" s="279">
        <f t="shared" si="28"/>
        <v>3</v>
      </c>
      <c r="P123" s="280" t="s">
        <v>7398</v>
      </c>
      <c r="Q123" s="281">
        <f t="shared" si="33"/>
        <v>11010302</v>
      </c>
      <c r="R123" s="281" t="s">
        <v>424</v>
      </c>
      <c r="S123" s="278" t="str">
        <f t="shared" si="17"/>
        <v>Sri Jagadisa Pandita - Disappearance</v>
      </c>
      <c r="T123" s="278"/>
      <c r="U123" s="282"/>
      <c r="V123" s="278">
        <v>3</v>
      </c>
      <c r="W123" s="278" t="s">
        <v>171</v>
      </c>
      <c r="X123" s="266"/>
    </row>
    <row r="124" spans="1:24" x14ac:dyDescent="0.25">
      <c r="A124" s="278">
        <v>101</v>
      </c>
      <c r="B124" s="278">
        <f t="shared" si="29"/>
        <v>1</v>
      </c>
      <c r="C124" s="311">
        <f>IFERROR(INDEX('GCal-Year'!$A$40:$A$435,D124),"---")</f>
        <v>43483</v>
      </c>
      <c r="D124" s="279">
        <f>IFERROR(MATCH(H124,'GCal-Year'!$E$40:$E$435,0),"---")</f>
        <v>18</v>
      </c>
      <c r="E124" s="279" t="str">
        <f>IF(ISERROR(MATCH(F124,'GCal-Year'!$E$40:$E$435,0)),"A","")</f>
        <v/>
      </c>
      <c r="F124" s="279">
        <f t="shared" si="30"/>
        <v>110112</v>
      </c>
      <c r="G124" s="279">
        <f t="shared" si="31"/>
        <v>110113</v>
      </c>
      <c r="H124" s="279">
        <f t="shared" si="32"/>
        <v>110112</v>
      </c>
      <c r="I124" s="279" t="s">
        <v>9534</v>
      </c>
      <c r="J124" s="279" t="s">
        <v>24</v>
      </c>
      <c r="K124" s="279" t="s">
        <v>21</v>
      </c>
      <c r="L124" s="278" t="s">
        <v>7399</v>
      </c>
      <c r="M124" s="279">
        <f t="shared" si="26"/>
        <v>10</v>
      </c>
      <c r="N124" s="279">
        <f t="shared" si="27"/>
        <v>1</v>
      </c>
      <c r="O124" s="279">
        <f t="shared" si="28"/>
        <v>12</v>
      </c>
      <c r="P124" s="280" t="s">
        <v>7400</v>
      </c>
      <c r="Q124" s="281">
        <f t="shared" si="33"/>
        <v>11011201</v>
      </c>
      <c r="R124" s="281" t="s">
        <v>427</v>
      </c>
      <c r="S124" s="278" t="str">
        <f t="shared" si="17"/>
        <v>Sri Jagadisa Pandita - Appearance</v>
      </c>
      <c r="T124" s="278"/>
      <c r="U124" s="282"/>
      <c r="V124" s="278">
        <v>3</v>
      </c>
      <c r="W124" s="278" t="s">
        <v>171</v>
      </c>
      <c r="X124" s="266"/>
    </row>
    <row r="125" spans="1:24" x14ac:dyDescent="0.25">
      <c r="A125" s="278">
        <v>102</v>
      </c>
      <c r="B125" s="278">
        <f t="shared" si="29"/>
        <v>1</v>
      </c>
      <c r="C125" s="311">
        <f>IFERROR(INDEX('GCal-Year'!$A$40:$A$435,D125),"---")</f>
        <v>43840</v>
      </c>
      <c r="D125" s="279">
        <f>IFERROR(MATCH(H125,'GCal-Year'!$E$40:$E$435,0),"---")</f>
        <v>375</v>
      </c>
      <c r="E125" s="279" t="str">
        <f>IF(ISERROR(MATCH(F125,'GCal-Year'!$E$40:$E$435,0)),"A","")</f>
        <v/>
      </c>
      <c r="F125" s="279">
        <f t="shared" si="30"/>
        <v>110115</v>
      </c>
      <c r="G125" s="279">
        <f t="shared" si="31"/>
        <v>111001</v>
      </c>
      <c r="H125" s="279">
        <f t="shared" si="32"/>
        <v>110115</v>
      </c>
      <c r="I125" s="279" t="s">
        <v>9534</v>
      </c>
      <c r="J125" s="279" t="s">
        <v>24</v>
      </c>
      <c r="K125" s="279" t="s">
        <v>10</v>
      </c>
      <c r="L125" s="278" t="s">
        <v>7401</v>
      </c>
      <c r="M125" s="279">
        <f t="shared" si="26"/>
        <v>10</v>
      </c>
      <c r="N125" s="279">
        <f t="shared" si="27"/>
        <v>1</v>
      </c>
      <c r="O125" s="279">
        <f t="shared" si="28"/>
        <v>15</v>
      </c>
      <c r="P125" s="280" t="s">
        <v>7402</v>
      </c>
      <c r="Q125" s="281">
        <f t="shared" si="33"/>
        <v>11011501</v>
      </c>
      <c r="R125" s="281" t="s">
        <v>7211</v>
      </c>
      <c r="S125" s="278" t="str">
        <f t="shared" si="17"/>
        <v>Sri Krsna Pusya Abhiseka</v>
      </c>
      <c r="T125" s="278"/>
      <c r="U125" s="282"/>
      <c r="V125" s="278">
        <v>1</v>
      </c>
      <c r="W125" s="278" t="s">
        <v>168</v>
      </c>
      <c r="X125" s="266"/>
    </row>
    <row r="126" spans="1:24" x14ac:dyDescent="0.25">
      <c r="A126" s="273">
        <v>103</v>
      </c>
      <c r="B126" s="273">
        <f t="shared" si="29"/>
        <v>1</v>
      </c>
      <c r="C126" s="301">
        <f>IFERROR(INDEX('GCal-Year'!$A$40:$A$435,D126),"---")</f>
        <v>43490</v>
      </c>
      <c r="D126" s="274">
        <f>IFERROR(MATCH(H126,'GCal-Year'!$E$40:$E$435,0),"---")</f>
        <v>25</v>
      </c>
      <c r="E126" s="274" t="str">
        <f>IF(ISERROR(MATCH(F126,'GCal-Year'!$E$40:$E$435,0)),"A","")</f>
        <v/>
      </c>
      <c r="F126" s="274">
        <f t="shared" si="30"/>
        <v>111005</v>
      </c>
      <c r="G126" s="274">
        <f t="shared" si="31"/>
        <v>111006</v>
      </c>
      <c r="H126" s="274">
        <f t="shared" si="32"/>
        <v>111005</v>
      </c>
      <c r="I126" s="274" t="s">
        <v>9535</v>
      </c>
      <c r="J126" s="274" t="s">
        <v>25</v>
      </c>
      <c r="K126" s="274" t="s">
        <v>14</v>
      </c>
      <c r="L126" s="273" t="s">
        <v>7403</v>
      </c>
      <c r="M126" s="274">
        <f t="shared" si="26"/>
        <v>11</v>
      </c>
      <c r="N126" s="274">
        <f t="shared" si="27"/>
        <v>0</v>
      </c>
      <c r="O126" s="274">
        <f t="shared" si="28"/>
        <v>5</v>
      </c>
      <c r="P126" s="275" t="s">
        <v>7404</v>
      </c>
      <c r="Q126" s="276">
        <f t="shared" si="33"/>
        <v>11100501</v>
      </c>
      <c r="R126" s="276" t="s">
        <v>430</v>
      </c>
      <c r="S126" s="273" t="str">
        <f t="shared" si="17"/>
        <v>Sri Ramacandra Kaviraja - Disappearance</v>
      </c>
      <c r="T126" s="273"/>
      <c r="U126" s="277"/>
      <c r="V126" s="273">
        <v>3</v>
      </c>
      <c r="W126" s="273" t="s">
        <v>171</v>
      </c>
      <c r="X126" s="266"/>
    </row>
    <row r="127" spans="1:24" x14ac:dyDescent="0.25">
      <c r="A127" s="273">
        <v>104</v>
      </c>
      <c r="B127" s="273">
        <f t="shared" si="29"/>
        <v>2</v>
      </c>
      <c r="C127" s="301">
        <f>IFERROR(INDEX('GCal-Year'!$A$40:$A$435,D127),"---")</f>
        <v>43490</v>
      </c>
      <c r="D127" s="274">
        <f>IFERROR(MATCH(H127,'GCal-Year'!$E$40:$E$435,0),"---")</f>
        <v>25</v>
      </c>
      <c r="E127" s="274" t="str">
        <f>IF(ISERROR(MATCH(F127,'GCal-Year'!$E$40:$E$435,0)),"A","")</f>
        <v/>
      </c>
      <c r="F127" s="274">
        <f t="shared" si="30"/>
        <v>111005</v>
      </c>
      <c r="G127" s="274">
        <f t="shared" si="31"/>
        <v>111006</v>
      </c>
      <c r="H127" s="274">
        <f t="shared" si="32"/>
        <v>111005</v>
      </c>
      <c r="I127" s="274" t="s">
        <v>9535</v>
      </c>
      <c r="J127" s="274" t="s">
        <v>25</v>
      </c>
      <c r="K127" s="274" t="s">
        <v>14</v>
      </c>
      <c r="L127" s="273" t="s">
        <v>7403</v>
      </c>
      <c r="M127" s="274">
        <f t="shared" si="26"/>
        <v>11</v>
      </c>
      <c r="N127" s="274">
        <f t="shared" si="27"/>
        <v>0</v>
      </c>
      <c r="O127" s="274">
        <f t="shared" si="28"/>
        <v>5</v>
      </c>
      <c r="P127" s="275" t="s">
        <v>7404</v>
      </c>
      <c r="Q127" s="276">
        <f t="shared" si="33"/>
        <v>11100502</v>
      </c>
      <c r="R127" s="276" t="s">
        <v>433</v>
      </c>
      <c r="S127" s="273" t="str">
        <f t="shared" si="17"/>
        <v>Srila Gopala Bhatta Gosvami - Appearance</v>
      </c>
      <c r="T127" s="273"/>
      <c r="U127" s="277"/>
      <c r="V127" s="273">
        <v>3</v>
      </c>
      <c r="W127" s="273" t="s">
        <v>171</v>
      </c>
      <c r="X127" s="266"/>
    </row>
    <row r="128" spans="1:24" x14ac:dyDescent="0.25">
      <c r="A128" s="273">
        <v>105</v>
      </c>
      <c r="B128" s="273">
        <f t="shared" si="29"/>
        <v>1</v>
      </c>
      <c r="C128" s="301">
        <f>IFERROR(INDEX('GCal-Year'!$A$40:$A$435,D128),"---")</f>
        <v>43491</v>
      </c>
      <c r="D128" s="274">
        <f>IFERROR(MATCH(H128,'GCal-Year'!$E$40:$E$435,0),"---")</f>
        <v>26</v>
      </c>
      <c r="E128" s="274" t="str">
        <f>IF(ISERROR(MATCH(F128,'GCal-Year'!$E$40:$E$435,0)),"A","")</f>
        <v/>
      </c>
      <c r="F128" s="274">
        <f t="shared" si="30"/>
        <v>111006</v>
      </c>
      <c r="G128" s="274">
        <f t="shared" si="31"/>
        <v>111007</v>
      </c>
      <c r="H128" s="274">
        <f t="shared" si="32"/>
        <v>111006</v>
      </c>
      <c r="I128" s="274" t="s">
        <v>9535</v>
      </c>
      <c r="J128" s="274" t="s">
        <v>25</v>
      </c>
      <c r="K128" s="274" t="s">
        <v>15</v>
      </c>
      <c r="L128" s="273" t="s">
        <v>7405</v>
      </c>
      <c r="M128" s="274">
        <f t="shared" si="26"/>
        <v>11</v>
      </c>
      <c r="N128" s="274">
        <f t="shared" si="27"/>
        <v>0</v>
      </c>
      <c r="O128" s="274">
        <f t="shared" si="28"/>
        <v>6</v>
      </c>
      <c r="P128" s="275" t="s">
        <v>7406</v>
      </c>
      <c r="Q128" s="276">
        <f t="shared" si="33"/>
        <v>11100601</v>
      </c>
      <c r="R128" s="276" t="s">
        <v>436</v>
      </c>
      <c r="S128" s="273" t="str">
        <f t="shared" si="17"/>
        <v>Sri Jayadeva Gosvami - Disappearance</v>
      </c>
      <c r="T128" s="273"/>
      <c r="U128" s="277"/>
      <c r="V128" s="273">
        <v>3</v>
      </c>
      <c r="W128" s="273" t="s">
        <v>171</v>
      </c>
      <c r="X128" s="266"/>
    </row>
    <row r="129" spans="1:24" x14ac:dyDescent="0.25">
      <c r="A129" s="273">
        <v>106</v>
      </c>
      <c r="B129" s="273">
        <f t="shared" si="29"/>
        <v>1</v>
      </c>
      <c r="C129" s="301">
        <f>IFERROR(INDEX('GCal-Year'!$A$40:$A$435,D129),"---")</f>
        <v>43492</v>
      </c>
      <c r="D129" s="274">
        <f>IFERROR(MATCH(H129,'GCal-Year'!$E$40:$E$435,0),"---")</f>
        <v>27</v>
      </c>
      <c r="E129" s="274" t="str">
        <f>IF(ISERROR(MATCH(F129,'GCal-Year'!$E$40:$E$435,0)),"A","")</f>
        <v/>
      </c>
      <c r="F129" s="274">
        <f t="shared" si="30"/>
        <v>111007</v>
      </c>
      <c r="G129" s="274">
        <f t="shared" si="31"/>
        <v>111008</v>
      </c>
      <c r="H129" s="274">
        <f t="shared" si="32"/>
        <v>111007</v>
      </c>
      <c r="I129" s="274" t="s">
        <v>9535</v>
      </c>
      <c r="J129" s="274" t="s">
        <v>25</v>
      </c>
      <c r="K129" s="274" t="s">
        <v>16</v>
      </c>
      <c r="L129" s="273" t="s">
        <v>7407</v>
      </c>
      <c r="M129" s="274">
        <f t="shared" si="26"/>
        <v>11</v>
      </c>
      <c r="N129" s="274">
        <f t="shared" si="27"/>
        <v>0</v>
      </c>
      <c r="O129" s="274">
        <f t="shared" si="28"/>
        <v>7</v>
      </c>
      <c r="P129" s="275" t="s">
        <v>7408</v>
      </c>
      <c r="Q129" s="276">
        <f t="shared" si="33"/>
        <v>11100701</v>
      </c>
      <c r="R129" s="276" t="s">
        <v>439</v>
      </c>
      <c r="S129" s="273" t="str">
        <f t="shared" ref="S129:S160" si="34">SUBSTITUTE(R129,"--","-",1)</f>
        <v>Sri Locana Dasa Thakura - Disappearance</v>
      </c>
      <c r="T129" s="273"/>
      <c r="U129" s="277"/>
      <c r="V129" s="273">
        <v>3</v>
      </c>
      <c r="W129" s="273" t="s">
        <v>171</v>
      </c>
      <c r="X129" s="266"/>
    </row>
    <row r="130" spans="1:24" x14ac:dyDescent="0.25">
      <c r="A130" s="273">
        <v>107</v>
      </c>
      <c r="B130" s="273">
        <f t="shared" si="29"/>
        <v>1</v>
      </c>
      <c r="C130" s="301">
        <f>IFERROR(INDEX('GCal-Year'!$A$40:$A$435,D130),"---")</f>
        <v>43505</v>
      </c>
      <c r="D130" s="274">
        <f>IFERROR(MATCH(H130,'GCal-Year'!$E$40:$E$435,0),"---")</f>
        <v>40</v>
      </c>
      <c r="E130" s="274" t="str">
        <f>IF(ISERROR(MATCH(F130,'GCal-Year'!$E$40:$E$435,0)),"A","")</f>
        <v/>
      </c>
      <c r="F130" s="274">
        <f t="shared" si="30"/>
        <v>111105</v>
      </c>
      <c r="G130" s="274">
        <f t="shared" si="31"/>
        <v>111106</v>
      </c>
      <c r="H130" s="274">
        <f t="shared" si="32"/>
        <v>111105</v>
      </c>
      <c r="I130" s="274" t="s">
        <v>9535</v>
      </c>
      <c r="J130" s="274" t="s">
        <v>24</v>
      </c>
      <c r="K130" s="274" t="s">
        <v>14</v>
      </c>
      <c r="L130" s="273" t="s">
        <v>7409</v>
      </c>
      <c r="M130" s="274">
        <f t="shared" si="26"/>
        <v>11</v>
      </c>
      <c r="N130" s="274">
        <f t="shared" si="27"/>
        <v>1</v>
      </c>
      <c r="O130" s="274">
        <f t="shared" si="28"/>
        <v>5</v>
      </c>
      <c r="P130" s="275" t="s">
        <v>7410</v>
      </c>
      <c r="Q130" s="276">
        <f t="shared" si="33"/>
        <v>11110501</v>
      </c>
      <c r="R130" s="276" t="s">
        <v>7411</v>
      </c>
      <c r="S130" s="273" t="str">
        <f t="shared" si="34"/>
        <v>Vasanta Pancami</v>
      </c>
      <c r="T130" s="273"/>
      <c r="U130" s="277"/>
      <c r="V130" s="273">
        <v>1</v>
      </c>
      <c r="W130" s="273" t="s">
        <v>168</v>
      </c>
      <c r="X130" s="266"/>
    </row>
    <row r="131" spans="1:24" x14ac:dyDescent="0.25">
      <c r="A131" s="273">
        <v>108</v>
      </c>
      <c r="B131" s="273">
        <f t="shared" si="29"/>
        <v>2</v>
      </c>
      <c r="C131" s="301">
        <f>IFERROR(INDEX('GCal-Year'!$A$40:$A$435,D131),"---")</f>
        <v>43505</v>
      </c>
      <c r="D131" s="274">
        <f>IFERROR(MATCH(H131,'GCal-Year'!$E$40:$E$435,0),"---")</f>
        <v>40</v>
      </c>
      <c r="E131" s="274" t="str">
        <f>IF(ISERROR(MATCH(F131,'GCal-Year'!$E$40:$E$435,0)),"A","")</f>
        <v/>
      </c>
      <c r="F131" s="274">
        <f t="shared" si="30"/>
        <v>111105</v>
      </c>
      <c r="G131" s="274">
        <f t="shared" si="31"/>
        <v>111106</v>
      </c>
      <c r="H131" s="274">
        <f t="shared" si="32"/>
        <v>111105</v>
      </c>
      <c r="I131" s="274" t="s">
        <v>9535</v>
      </c>
      <c r="J131" s="274" t="s">
        <v>24</v>
      </c>
      <c r="K131" s="274" t="s">
        <v>14</v>
      </c>
      <c r="L131" s="273" t="s">
        <v>7409</v>
      </c>
      <c r="M131" s="274">
        <f t="shared" si="26"/>
        <v>11</v>
      </c>
      <c r="N131" s="274">
        <f t="shared" si="27"/>
        <v>1</v>
      </c>
      <c r="O131" s="274">
        <f t="shared" si="28"/>
        <v>5</v>
      </c>
      <c r="P131" s="275" t="s">
        <v>7410</v>
      </c>
      <c r="Q131" s="276">
        <f t="shared" si="33"/>
        <v>11110502</v>
      </c>
      <c r="R131" s="276" t="s">
        <v>442</v>
      </c>
      <c r="S131" s="273" t="str">
        <f t="shared" si="34"/>
        <v>Srimati Visnupriya Devi - Appearance</v>
      </c>
      <c r="T131" s="273"/>
      <c r="U131" s="277"/>
      <c r="V131" s="273">
        <v>3</v>
      </c>
      <c r="W131" s="273" t="s">
        <v>171</v>
      </c>
      <c r="X131" s="266"/>
    </row>
    <row r="132" spans="1:24" x14ac:dyDescent="0.25">
      <c r="A132" s="273">
        <v>109</v>
      </c>
      <c r="B132" s="273">
        <f t="shared" si="29"/>
        <v>3</v>
      </c>
      <c r="C132" s="301">
        <f>IFERROR(INDEX('GCal-Year'!$A$40:$A$435,D132),"---")</f>
        <v>43505</v>
      </c>
      <c r="D132" s="274">
        <f>IFERROR(MATCH(H132,'GCal-Year'!$E$40:$E$435,0),"---")</f>
        <v>40</v>
      </c>
      <c r="E132" s="274" t="str">
        <f>IF(ISERROR(MATCH(F132,'GCal-Year'!$E$40:$E$435,0)),"A","")</f>
        <v/>
      </c>
      <c r="F132" s="274">
        <f t="shared" si="30"/>
        <v>111105</v>
      </c>
      <c r="G132" s="274">
        <f t="shared" si="31"/>
        <v>111106</v>
      </c>
      <c r="H132" s="274">
        <f t="shared" si="32"/>
        <v>111105</v>
      </c>
      <c r="I132" s="274" t="s">
        <v>9535</v>
      </c>
      <c r="J132" s="274" t="s">
        <v>24</v>
      </c>
      <c r="K132" s="274" t="s">
        <v>14</v>
      </c>
      <c r="L132" s="273" t="s">
        <v>7409</v>
      </c>
      <c r="M132" s="274">
        <f t="shared" si="26"/>
        <v>11</v>
      </c>
      <c r="N132" s="274">
        <f t="shared" si="27"/>
        <v>1</v>
      </c>
      <c r="O132" s="274">
        <f t="shared" si="28"/>
        <v>5</v>
      </c>
      <c r="P132" s="275" t="s">
        <v>7410</v>
      </c>
      <c r="Q132" s="276">
        <f t="shared" si="33"/>
        <v>11110503</v>
      </c>
      <c r="R132" s="276" t="s">
        <v>7412</v>
      </c>
      <c r="S132" s="273" t="str">
        <f t="shared" si="34"/>
        <v>Sarasvati Puja</v>
      </c>
      <c r="T132" s="273"/>
      <c r="U132" s="277"/>
      <c r="V132" s="273">
        <v>5</v>
      </c>
      <c r="W132" s="273" t="s">
        <v>174</v>
      </c>
      <c r="X132" s="266"/>
    </row>
    <row r="133" spans="1:24" x14ac:dyDescent="0.25">
      <c r="A133" s="273">
        <v>110</v>
      </c>
      <c r="B133" s="273">
        <f t="shared" si="29"/>
        <v>4</v>
      </c>
      <c r="C133" s="301">
        <f>IFERROR(INDEX('GCal-Year'!$A$40:$A$435,D133),"---")</f>
        <v>43505</v>
      </c>
      <c r="D133" s="274">
        <f>IFERROR(MATCH(H133,'GCal-Year'!$E$40:$E$435,0),"---")</f>
        <v>40</v>
      </c>
      <c r="E133" s="274" t="str">
        <f>IF(ISERROR(MATCH(F133,'GCal-Year'!$E$40:$E$435,0)),"A","")</f>
        <v/>
      </c>
      <c r="F133" s="274">
        <f t="shared" si="30"/>
        <v>111105</v>
      </c>
      <c r="G133" s="274">
        <f t="shared" si="31"/>
        <v>111106</v>
      </c>
      <c r="H133" s="274">
        <f t="shared" si="32"/>
        <v>111105</v>
      </c>
      <c r="I133" s="274" t="s">
        <v>9535</v>
      </c>
      <c r="J133" s="274" t="s">
        <v>24</v>
      </c>
      <c r="K133" s="274" t="s">
        <v>14</v>
      </c>
      <c r="L133" s="273" t="s">
        <v>7409</v>
      </c>
      <c r="M133" s="274">
        <f t="shared" si="26"/>
        <v>11</v>
      </c>
      <c r="N133" s="274">
        <f t="shared" si="27"/>
        <v>1</v>
      </c>
      <c r="O133" s="274">
        <f t="shared" si="28"/>
        <v>5</v>
      </c>
      <c r="P133" s="275" t="s">
        <v>7410</v>
      </c>
      <c r="Q133" s="276">
        <f t="shared" si="33"/>
        <v>11110504</v>
      </c>
      <c r="R133" s="276" t="s">
        <v>445</v>
      </c>
      <c r="S133" s="273" t="str">
        <f t="shared" si="34"/>
        <v>Srila Visvanatha Cakravarti Thakura - Disappearance</v>
      </c>
      <c r="T133" s="273"/>
      <c r="U133" s="277"/>
      <c r="V133" s="273">
        <v>3</v>
      </c>
      <c r="W133" s="273" t="s">
        <v>171</v>
      </c>
      <c r="X133" s="266"/>
    </row>
    <row r="134" spans="1:24" x14ac:dyDescent="0.25">
      <c r="A134" s="273">
        <v>111</v>
      </c>
      <c r="B134" s="273">
        <f t="shared" si="29"/>
        <v>5</v>
      </c>
      <c r="C134" s="301">
        <f>IFERROR(INDEX('GCal-Year'!$A$40:$A$435,D134),"---")</f>
        <v>43505</v>
      </c>
      <c r="D134" s="274">
        <f>IFERROR(MATCH(H134,'GCal-Year'!$E$40:$E$435,0),"---")</f>
        <v>40</v>
      </c>
      <c r="E134" s="274" t="str">
        <f>IF(ISERROR(MATCH(F134,'GCal-Year'!$E$40:$E$435,0)),"A","")</f>
        <v/>
      </c>
      <c r="F134" s="274">
        <f t="shared" si="30"/>
        <v>111105</v>
      </c>
      <c r="G134" s="274">
        <f t="shared" si="31"/>
        <v>111106</v>
      </c>
      <c r="H134" s="274">
        <f t="shared" si="32"/>
        <v>111105</v>
      </c>
      <c r="I134" s="274" t="s">
        <v>9535</v>
      </c>
      <c r="J134" s="274" t="s">
        <v>24</v>
      </c>
      <c r="K134" s="274" t="s">
        <v>14</v>
      </c>
      <c r="L134" s="273" t="s">
        <v>7409</v>
      </c>
      <c r="M134" s="274">
        <f t="shared" ref="M134:M160" si="35">VALUE(Masacod(I134))</f>
        <v>11</v>
      </c>
      <c r="N134" s="274">
        <f t="shared" ref="N134:N160" si="36">VALUE(PaksaCod(J134))</f>
        <v>1</v>
      </c>
      <c r="O134" s="274">
        <f t="shared" ref="O134:O160" si="37">VALUE(TithiCod(K134))</f>
        <v>5</v>
      </c>
      <c r="P134" s="275" t="s">
        <v>7410</v>
      </c>
      <c r="Q134" s="276">
        <f t="shared" si="33"/>
        <v>11110505</v>
      </c>
      <c r="R134" s="276" t="s">
        <v>448</v>
      </c>
      <c r="S134" s="273" t="str">
        <f t="shared" si="34"/>
        <v>Sri Pundarika Vidyanidhi - Appearance</v>
      </c>
      <c r="T134" s="273"/>
      <c r="U134" s="277"/>
      <c r="V134" s="273">
        <v>3</v>
      </c>
      <c r="W134" s="273" t="s">
        <v>171</v>
      </c>
      <c r="X134" s="266"/>
    </row>
    <row r="135" spans="1:24" x14ac:dyDescent="0.25">
      <c r="A135" s="273">
        <v>112</v>
      </c>
      <c r="B135" s="273">
        <f t="shared" si="29"/>
        <v>6</v>
      </c>
      <c r="C135" s="301">
        <f>IFERROR(INDEX('GCal-Year'!$A$40:$A$435,D135),"---")</f>
        <v>43505</v>
      </c>
      <c r="D135" s="274">
        <f>IFERROR(MATCH(H135,'GCal-Year'!$E$40:$E$435,0),"---")</f>
        <v>40</v>
      </c>
      <c r="E135" s="274" t="str">
        <f>IF(ISERROR(MATCH(F135,'GCal-Year'!$E$40:$E$435,0)),"A","")</f>
        <v/>
      </c>
      <c r="F135" s="274">
        <f t="shared" si="30"/>
        <v>111105</v>
      </c>
      <c r="G135" s="274">
        <f t="shared" si="31"/>
        <v>111106</v>
      </c>
      <c r="H135" s="274">
        <f t="shared" si="32"/>
        <v>111105</v>
      </c>
      <c r="I135" s="274" t="s">
        <v>9535</v>
      </c>
      <c r="J135" s="274" t="s">
        <v>24</v>
      </c>
      <c r="K135" s="274" t="s">
        <v>14</v>
      </c>
      <c r="L135" s="273" t="s">
        <v>7409</v>
      </c>
      <c r="M135" s="274">
        <f t="shared" si="35"/>
        <v>11</v>
      </c>
      <c r="N135" s="274">
        <f t="shared" si="36"/>
        <v>1</v>
      </c>
      <c r="O135" s="274">
        <f t="shared" si="37"/>
        <v>5</v>
      </c>
      <c r="P135" s="275" t="s">
        <v>7410</v>
      </c>
      <c r="Q135" s="276">
        <f t="shared" si="33"/>
        <v>11110506</v>
      </c>
      <c r="R135" s="276" t="s">
        <v>451</v>
      </c>
      <c r="S135" s="273" t="str">
        <f t="shared" si="34"/>
        <v>Sri Raghunandana Thakura - Appearance</v>
      </c>
      <c r="T135" s="273"/>
      <c r="U135" s="277"/>
      <c r="V135" s="273">
        <v>3</v>
      </c>
      <c r="W135" s="273" t="s">
        <v>171</v>
      </c>
      <c r="X135" s="266"/>
    </row>
    <row r="136" spans="1:24" x14ac:dyDescent="0.25">
      <c r="A136" s="273">
        <v>113</v>
      </c>
      <c r="B136" s="273">
        <f t="shared" si="29"/>
        <v>7</v>
      </c>
      <c r="C136" s="301">
        <f>IFERROR(INDEX('GCal-Year'!$A$40:$A$435,D136),"---")</f>
        <v>43505</v>
      </c>
      <c r="D136" s="274">
        <f>IFERROR(MATCH(H136,'GCal-Year'!$E$40:$E$435,0),"---")</f>
        <v>40</v>
      </c>
      <c r="E136" s="274" t="str">
        <f>IF(ISERROR(MATCH(F136,'GCal-Year'!$E$40:$E$435,0)),"A","")</f>
        <v/>
      </c>
      <c r="F136" s="274">
        <f t="shared" si="30"/>
        <v>111105</v>
      </c>
      <c r="G136" s="274">
        <f t="shared" si="31"/>
        <v>111106</v>
      </c>
      <c r="H136" s="274">
        <f t="shared" si="32"/>
        <v>111105</v>
      </c>
      <c r="I136" s="274" t="s">
        <v>9535</v>
      </c>
      <c r="J136" s="274" t="s">
        <v>24</v>
      </c>
      <c r="K136" s="274" t="s">
        <v>14</v>
      </c>
      <c r="L136" s="273" t="s">
        <v>7409</v>
      </c>
      <c r="M136" s="274">
        <f t="shared" si="35"/>
        <v>11</v>
      </c>
      <c r="N136" s="274">
        <f t="shared" si="36"/>
        <v>1</v>
      </c>
      <c r="O136" s="274">
        <f t="shared" si="37"/>
        <v>5</v>
      </c>
      <c r="P136" s="275" t="s">
        <v>7410</v>
      </c>
      <c r="Q136" s="276">
        <f t="shared" si="33"/>
        <v>11110507</v>
      </c>
      <c r="R136" s="276" t="s">
        <v>454</v>
      </c>
      <c r="S136" s="273" t="str">
        <f t="shared" si="34"/>
        <v>Srila Raghunatha Dasa Gosvami - Appearance</v>
      </c>
      <c r="T136" s="273"/>
      <c r="U136" s="277"/>
      <c r="V136" s="273">
        <v>3</v>
      </c>
      <c r="W136" s="273" t="s">
        <v>171</v>
      </c>
      <c r="X136" s="266"/>
    </row>
    <row r="137" spans="1:24" x14ac:dyDescent="0.25">
      <c r="A137" s="273">
        <v>114.3</v>
      </c>
      <c r="B137" s="273">
        <f t="shared" si="29"/>
        <v>1</v>
      </c>
      <c r="C137" s="301">
        <f>IFERROR(INDEX('GCal-Year'!$A$40:$A$435,D137),"---")</f>
        <v>43508</v>
      </c>
      <c r="D137" s="274">
        <f>IFERROR(MATCH(H137,'GCal-Year'!$E$40:$E$435,0),"---")</f>
        <v>43</v>
      </c>
      <c r="E137" s="274" t="str">
        <f>IF(ISERROR(MATCH(F137,'GCal-Year'!$E$40:$E$435,0)),"A","")</f>
        <v/>
      </c>
      <c r="F137" s="274">
        <f t="shared" si="30"/>
        <v>111107</v>
      </c>
      <c r="G137" s="274">
        <f t="shared" si="31"/>
        <v>111108</v>
      </c>
      <c r="H137" s="274">
        <f t="shared" si="32"/>
        <v>111107</v>
      </c>
      <c r="I137" s="274" t="s">
        <v>9535</v>
      </c>
      <c r="J137" s="274" t="s">
        <v>24</v>
      </c>
      <c r="K137" s="274" t="s">
        <v>16</v>
      </c>
      <c r="L137" s="273" t="s">
        <v>7413</v>
      </c>
      <c r="M137" s="274">
        <f>VALUE(Masacod(I137))</f>
        <v>11</v>
      </c>
      <c r="N137" s="274">
        <f>VALUE(PaksaCod(J137))</f>
        <v>1</v>
      </c>
      <c r="O137" s="274">
        <f>VALUE(TithiCod(K137))</f>
        <v>7</v>
      </c>
      <c r="P137" s="275" t="s">
        <v>7414</v>
      </c>
      <c r="Q137" s="276">
        <f t="shared" si="33"/>
        <v>11110701</v>
      </c>
      <c r="R137" s="276" t="s">
        <v>457</v>
      </c>
      <c r="S137" s="273" t="str">
        <f t="shared" si="34"/>
        <v>Sri Advaita Acarya - Appearance</v>
      </c>
      <c r="T137" s="273" t="s">
        <v>37</v>
      </c>
      <c r="U137" s="277" t="s">
        <v>7415</v>
      </c>
      <c r="V137" s="273">
        <v>0</v>
      </c>
      <c r="W137" s="273" t="s">
        <v>167</v>
      </c>
      <c r="X137" s="266"/>
    </row>
    <row r="138" spans="1:24" x14ac:dyDescent="0.25">
      <c r="A138" s="273">
        <v>114.5</v>
      </c>
      <c r="B138" s="273">
        <f t="shared" si="29"/>
        <v>2</v>
      </c>
      <c r="C138" s="301">
        <f>IFERROR(INDEX('GCal-Year'!$A$40:$A$435,D138),"---")</f>
        <v>43508</v>
      </c>
      <c r="D138" s="274">
        <f>IFERROR(MATCH(H138,'GCal-Year'!$E$40:$E$435,0),"---")</f>
        <v>43</v>
      </c>
      <c r="E138" s="274" t="str">
        <f>IF(ISERROR(MATCH(F138,'GCal-Year'!$E$40:$E$435,0)),"A","")</f>
        <v/>
      </c>
      <c r="F138" s="274">
        <f t="shared" si="30"/>
        <v>111107</v>
      </c>
      <c r="G138" s="274">
        <f t="shared" si="31"/>
        <v>111108</v>
      </c>
      <c r="H138" s="274">
        <f t="shared" si="32"/>
        <v>111107</v>
      </c>
      <c r="I138" s="274" t="s">
        <v>9535</v>
      </c>
      <c r="J138" s="274" t="s">
        <v>24</v>
      </c>
      <c r="K138" s="274" t="s">
        <v>16</v>
      </c>
      <c r="L138" s="273" t="s">
        <v>7413</v>
      </c>
      <c r="M138" s="274">
        <f t="shared" si="35"/>
        <v>11</v>
      </c>
      <c r="N138" s="274">
        <f t="shared" si="36"/>
        <v>1</v>
      </c>
      <c r="O138" s="274">
        <f t="shared" si="37"/>
        <v>7</v>
      </c>
      <c r="P138" s="275" t="s">
        <v>7414</v>
      </c>
      <c r="Q138" s="276">
        <f t="shared" si="33"/>
        <v>11110702</v>
      </c>
      <c r="R138" s="276" t="s">
        <v>571</v>
      </c>
      <c r="S138" s="273" t="str">
        <f t="shared" si="34"/>
        <v>(Fast till noon)</v>
      </c>
      <c r="T138" s="273" t="s">
        <v>37</v>
      </c>
      <c r="U138" s="277" t="s">
        <v>7415</v>
      </c>
      <c r="V138" s="273">
        <v>-1</v>
      </c>
      <c r="W138" s="273" t="s">
        <v>1393</v>
      </c>
      <c r="X138" s="266"/>
    </row>
    <row r="139" spans="1:24" x14ac:dyDescent="0.25">
      <c r="A139" s="273">
        <v>115</v>
      </c>
      <c r="B139" s="273">
        <f t="shared" si="29"/>
        <v>1</v>
      </c>
      <c r="C139" s="301">
        <f>IFERROR(INDEX('GCal-Year'!$A$40:$A$435,D139),"---")</f>
        <v>43509</v>
      </c>
      <c r="D139" s="274">
        <f>IFERROR(MATCH(H139,'GCal-Year'!$E$40:$E$435,0),"---")</f>
        <v>44</v>
      </c>
      <c r="E139" s="274" t="str">
        <f>IF(ISERROR(MATCH(F139,'GCal-Year'!$E$40:$E$435,0)),"A","")</f>
        <v/>
      </c>
      <c r="F139" s="274">
        <f t="shared" si="30"/>
        <v>111108</v>
      </c>
      <c r="G139" s="274">
        <f t="shared" si="31"/>
        <v>111109</v>
      </c>
      <c r="H139" s="274">
        <f t="shared" si="32"/>
        <v>111108</v>
      </c>
      <c r="I139" s="274" t="s">
        <v>9535</v>
      </c>
      <c r="J139" s="274" t="s">
        <v>24</v>
      </c>
      <c r="K139" s="274" t="s">
        <v>17</v>
      </c>
      <c r="L139" s="273" t="s">
        <v>7416</v>
      </c>
      <c r="M139" s="274">
        <f t="shared" si="35"/>
        <v>11</v>
      </c>
      <c r="N139" s="274">
        <f t="shared" si="36"/>
        <v>1</v>
      </c>
      <c r="O139" s="274">
        <f t="shared" si="37"/>
        <v>8</v>
      </c>
      <c r="P139" s="275" t="s">
        <v>7417</v>
      </c>
      <c r="Q139" s="276">
        <f t="shared" si="33"/>
        <v>11110801</v>
      </c>
      <c r="R139" s="276" t="s">
        <v>7418</v>
      </c>
      <c r="S139" s="273" t="str">
        <f t="shared" si="34"/>
        <v>Bhismastami</v>
      </c>
      <c r="T139" s="273"/>
      <c r="U139" s="277"/>
      <c r="V139" s="273">
        <v>1</v>
      </c>
      <c r="W139" s="273" t="s">
        <v>168</v>
      </c>
      <c r="X139" s="266"/>
    </row>
    <row r="140" spans="1:24" x14ac:dyDescent="0.25">
      <c r="A140" s="273">
        <v>116</v>
      </c>
      <c r="B140" s="273">
        <f t="shared" si="29"/>
        <v>1</v>
      </c>
      <c r="C140" s="301">
        <f>IFERROR(INDEX('GCal-Year'!$A$40:$A$435,D140),"---")</f>
        <v>43510</v>
      </c>
      <c r="D140" s="274">
        <f>IFERROR(MATCH(H140,'GCal-Year'!$E$40:$E$435,0),"---")</f>
        <v>45</v>
      </c>
      <c r="E140" s="274" t="str">
        <f>IF(ISERROR(MATCH(F140,'GCal-Year'!$E$40:$E$435,0)),"A","")</f>
        <v/>
      </c>
      <c r="F140" s="274">
        <f t="shared" si="30"/>
        <v>111109</v>
      </c>
      <c r="G140" s="274">
        <f t="shared" si="31"/>
        <v>111110</v>
      </c>
      <c r="H140" s="274">
        <f t="shared" si="32"/>
        <v>111109</v>
      </c>
      <c r="I140" s="274" t="s">
        <v>9535</v>
      </c>
      <c r="J140" s="274" t="s">
        <v>24</v>
      </c>
      <c r="K140" s="274" t="s">
        <v>18</v>
      </c>
      <c r="L140" s="273" t="s">
        <v>7419</v>
      </c>
      <c r="M140" s="274">
        <f t="shared" si="35"/>
        <v>11</v>
      </c>
      <c r="N140" s="274">
        <f t="shared" si="36"/>
        <v>1</v>
      </c>
      <c r="O140" s="274">
        <f t="shared" si="37"/>
        <v>9</v>
      </c>
      <c r="P140" s="275" t="s">
        <v>7420</v>
      </c>
      <c r="Q140" s="276">
        <f t="shared" si="33"/>
        <v>11110901</v>
      </c>
      <c r="R140" s="276" t="s">
        <v>460</v>
      </c>
      <c r="S140" s="273" t="str">
        <f t="shared" si="34"/>
        <v>Sri Madhvacarya - Disappearance</v>
      </c>
      <c r="T140" s="273"/>
      <c r="U140" s="277"/>
      <c r="V140" s="273">
        <v>3</v>
      </c>
      <c r="W140" s="273" t="s">
        <v>171</v>
      </c>
      <c r="X140" s="266"/>
    </row>
    <row r="141" spans="1:24" x14ac:dyDescent="0.25">
      <c r="A141" s="273">
        <v>117</v>
      </c>
      <c r="B141" s="273">
        <f t="shared" si="29"/>
        <v>1</v>
      </c>
      <c r="C141" s="301">
        <f>IFERROR(INDEX('GCal-Year'!$A$40:$A$435,D141),"---")</f>
        <v>43511</v>
      </c>
      <c r="D141" s="274">
        <f>IFERROR(MATCH(H141,'GCal-Year'!$E$40:$E$435,0),"---")</f>
        <v>46</v>
      </c>
      <c r="E141" s="274" t="str">
        <f>IF(ISERROR(MATCH(F141,'GCal-Year'!$E$40:$E$435,0)),"A","")</f>
        <v>A</v>
      </c>
      <c r="F141" s="274">
        <f t="shared" ref="F141:F160" si="38">VALUE("1" &amp;  Masacod(I141) &amp; PaksaCod(J141) &amp; TithiCod(K141))</f>
        <v>111110</v>
      </c>
      <c r="G141" s="274">
        <f t="shared" ref="G141:G160" si="39">VALUE("1" &amp;  IF(AND(VALUE(RIGHT(F141,2))&gt;14,MID(F141,4,1)="1"),IF(VALUE(MID(F141,2,2))&gt;11,"01",VALUE(MID(F141,2,2))+1),MID(F141,2,2)) &amp; IF(VALUE(RIGHT(F141,2))&gt;14,IF(MID(F141,4,1)="0","1","0"),MID(F141,4,1)) &amp; IF(VALUE(RIGHT(F141,2))&gt;14,"01",TEXT(VALUE(TithiCod(K141))+1,"00")))</f>
        <v>111111</v>
      </c>
      <c r="H141" s="274">
        <f>IF(E141="",F141,G141)</f>
        <v>111111</v>
      </c>
      <c r="I141" s="274" t="s">
        <v>9535</v>
      </c>
      <c r="J141" s="274" t="s">
        <v>24</v>
      </c>
      <c r="K141" s="274" t="s">
        <v>19</v>
      </c>
      <c r="L141" s="273" t="s">
        <v>7421</v>
      </c>
      <c r="M141" s="274">
        <f t="shared" si="35"/>
        <v>11</v>
      </c>
      <c r="N141" s="274">
        <f t="shared" si="36"/>
        <v>1</v>
      </c>
      <c r="O141" s="274">
        <f t="shared" si="37"/>
        <v>10</v>
      </c>
      <c r="P141" s="275" t="s">
        <v>7422</v>
      </c>
      <c r="Q141" s="276">
        <f t="shared" ref="Q141:Q160" si="40">VALUE(H141&amp;TEXT(B141,"00"))</f>
        <v>11111101</v>
      </c>
      <c r="R141" s="276" t="s">
        <v>463</v>
      </c>
      <c r="S141" s="273" t="str">
        <f t="shared" si="34"/>
        <v>Sri Ramanujacarya - Disappearance</v>
      </c>
      <c r="T141" s="273"/>
      <c r="U141" s="277"/>
      <c r="V141" s="273">
        <v>3</v>
      </c>
      <c r="W141" s="273" t="s">
        <v>171</v>
      </c>
      <c r="X141" s="266"/>
    </row>
    <row r="142" spans="1:24" customFormat="1" x14ac:dyDescent="0.25"/>
    <row r="143" spans="1:24" x14ac:dyDescent="0.25">
      <c r="A143" s="439">
        <v>118.2</v>
      </c>
      <c r="B143" s="439">
        <f>IF(H143&lt;&gt;H141,1,B141+1)</f>
        <v>2</v>
      </c>
      <c r="C143" s="431">
        <f>C144-1</f>
        <v>43511</v>
      </c>
      <c r="D143" s="327">
        <f>IFERROR(MATCH(C143,'GCal-Year'!$A$40:$A$435,0),"---")</f>
        <v>46</v>
      </c>
      <c r="E143" s="327">
        <f>INDEX('GCal-Year'!$G$40:$G$435,D143)</f>
        <v>0</v>
      </c>
      <c r="F143" s="824"/>
      <c r="G143" s="824"/>
      <c r="H143" s="327">
        <f>IFERROR(INDEX('GCal-Year'!$E$40:$E$435,D143),"---")</f>
        <v>111111</v>
      </c>
      <c r="I143" s="824"/>
      <c r="J143" s="824"/>
      <c r="K143" s="824"/>
      <c r="L143" s="121"/>
      <c r="M143" s="824"/>
      <c r="N143" s="824"/>
      <c r="O143" s="824"/>
      <c r="P143" s="827"/>
      <c r="Q143" s="440">
        <f t="shared" si="40"/>
        <v>11111102</v>
      </c>
      <c r="R143" s="121"/>
      <c r="S143" s="439" t="str">
        <f>IF(E143="*",T143,"")</f>
        <v/>
      </c>
      <c r="T143" s="442" t="str">
        <f>"(Fast till noon for " &amp; U144 &amp; ", with feast tomorrow)"</f>
        <v>(Fast till noon for Varahadeva, with feast tomorrow)</v>
      </c>
      <c r="U143" s="441"/>
      <c r="V143" s="439" t="str">
        <f>"---"</f>
        <v>---</v>
      </c>
      <c r="W143" s="439"/>
      <c r="X143" s="266"/>
    </row>
    <row r="144" spans="1:24" x14ac:dyDescent="0.25">
      <c r="A144" s="273">
        <v>118.3</v>
      </c>
      <c r="B144" s="273">
        <f t="shared" si="29"/>
        <v>1</v>
      </c>
      <c r="C144" s="301">
        <f>IFERROR(INDEX('GCal-Year'!$A$40:$A$435,D144),"---")</f>
        <v>43512</v>
      </c>
      <c r="D144" s="274">
        <f>IFERROR(MATCH(H144,'GCal-Year'!$E$40:$E$435,0),"---")</f>
        <v>47</v>
      </c>
      <c r="E144" s="274" t="str">
        <f>IF(ISERROR(MATCH(F144,'GCal-Year'!$E$40:$E$435,0)),"A","")</f>
        <v/>
      </c>
      <c r="F144" s="274">
        <f t="shared" si="38"/>
        <v>111112</v>
      </c>
      <c r="G144" s="274">
        <f t="shared" si="39"/>
        <v>111113</v>
      </c>
      <c r="H144" s="274">
        <f t="shared" ref="H144:H160" si="41">IF(E144="",F144,G144)</f>
        <v>111112</v>
      </c>
      <c r="I144" s="274" t="s">
        <v>9535</v>
      </c>
      <c r="J144" s="274" t="s">
        <v>24</v>
      </c>
      <c r="K144" s="274" t="s">
        <v>21</v>
      </c>
      <c r="L144" s="273" t="s">
        <v>7423</v>
      </c>
      <c r="M144" s="274">
        <f>VALUE(Masacod(I144))</f>
        <v>11</v>
      </c>
      <c r="N144" s="274">
        <f>VALUE(PaksaCod(J144))</f>
        <v>1</v>
      </c>
      <c r="O144" s="274">
        <f>VALUE(TithiCod(K144))</f>
        <v>12</v>
      </c>
      <c r="P144" s="275" t="s">
        <v>7424</v>
      </c>
      <c r="Q144" s="276">
        <f t="shared" si="40"/>
        <v>11111201</v>
      </c>
      <c r="R144" s="276" t="s">
        <v>466</v>
      </c>
      <c r="S144" s="273" t="str">
        <f>R144</f>
        <v>Varaha Dvadasi: Appearance of Lord Varahadeva</v>
      </c>
      <c r="T144" s="273" t="str">
        <f>"(Fast till noon for " &amp; U144 &amp; ", with feast tomorrow)"</f>
        <v>(Fast till noon for Varahadeva, with feast tomorrow)</v>
      </c>
      <c r="U144" s="277" t="s">
        <v>7522</v>
      </c>
      <c r="V144" s="273">
        <v>0</v>
      </c>
      <c r="W144" s="273" t="s">
        <v>167</v>
      </c>
      <c r="X144" s="266"/>
    </row>
    <row r="145" spans="1:24" x14ac:dyDescent="0.25">
      <c r="A145" s="434">
        <v>118.5</v>
      </c>
      <c r="B145" s="434">
        <f t="shared" si="29"/>
        <v>2</v>
      </c>
      <c r="C145" s="435">
        <f>C144</f>
        <v>43512</v>
      </c>
      <c r="D145" s="416">
        <f>D144</f>
        <v>47</v>
      </c>
      <c r="E145" s="826">
        <f>INDEX('GCal-Year'!$AT$40:$AT$435,D145)</f>
        <v>-2</v>
      </c>
      <c r="F145" s="824"/>
      <c r="G145" s="824"/>
      <c r="H145" s="416">
        <f>H144</f>
        <v>111112</v>
      </c>
      <c r="I145" s="824"/>
      <c r="J145" s="824"/>
      <c r="K145" s="824"/>
      <c r="L145" s="121"/>
      <c r="M145" s="824"/>
      <c r="N145" s="824"/>
      <c r="O145" s="824"/>
      <c r="P145" s="827"/>
      <c r="Q145" s="436">
        <f t="shared" si="40"/>
        <v>11111202</v>
      </c>
      <c r="R145" s="436" t="s">
        <v>7594</v>
      </c>
      <c r="S145" s="434" t="str">
        <f>IF(E145=-2,T144,IF(E145=-0.3,T145,R145))</f>
        <v>(Fast till noon for Varahadeva, with feast tomorrow)</v>
      </c>
      <c r="T145" s="437" t="s">
        <v>521</v>
      </c>
      <c r="U145" s="438"/>
      <c r="V145" s="434">
        <v>-1</v>
      </c>
      <c r="W145" s="434" t="s">
        <v>1393</v>
      </c>
      <c r="X145" s="266"/>
    </row>
    <row r="146" spans="1:24" x14ac:dyDescent="0.25">
      <c r="A146" s="439">
        <v>119.2</v>
      </c>
      <c r="B146" s="439">
        <f>IF(H146&lt;&gt;H145,1,B145+1)</f>
        <v>3</v>
      </c>
      <c r="C146" s="431">
        <f>C147-1</f>
        <v>43512</v>
      </c>
      <c r="D146" s="327">
        <f>IFERROR(MATCH(C146,'GCal-Year'!$A$40:$A$435,0),"---")</f>
        <v>47</v>
      </c>
      <c r="E146" s="327" t="str">
        <f>INDEX('GCal-Year'!$G$40:$G$435,D146)</f>
        <v>*</v>
      </c>
      <c r="F146" s="824"/>
      <c r="G146" s="824"/>
      <c r="H146" s="327">
        <f>IFERROR(INDEX('GCal-Year'!$E$40:$E$435,D146),"---")</f>
        <v>111112</v>
      </c>
      <c r="I146" s="824"/>
      <c r="J146" s="824"/>
      <c r="K146" s="824"/>
      <c r="L146" s="121"/>
      <c r="M146" s="824"/>
      <c r="N146" s="824"/>
      <c r="O146" s="824"/>
      <c r="P146" s="827"/>
      <c r="Q146" s="440">
        <f>VALUE(H146&amp;TEXT(B146,"00"))</f>
        <v>11111203</v>
      </c>
      <c r="R146" s="121"/>
      <c r="S146" s="439" t="str">
        <f>IF(E146="*",T146,"")</f>
        <v>(Fast till noon for Sri Nityananda, with feast tomorrow)</v>
      </c>
      <c r="T146" s="442" t="str">
        <f>"(Fast till noon for " &amp; U147 &amp; ", with feast tomorrow)"</f>
        <v>(Fast till noon for Sri Nityananda, with feast tomorrow)</v>
      </c>
      <c r="U146" s="441"/>
      <c r="V146" s="439" t="str">
        <f>"---"</f>
        <v>---</v>
      </c>
      <c r="W146" s="439"/>
      <c r="X146" s="266"/>
    </row>
    <row r="147" spans="1:24" x14ac:dyDescent="0.25">
      <c r="A147" s="273">
        <v>119.3</v>
      </c>
      <c r="B147" s="273">
        <f>IF(H147&lt;&gt;H145,1,B145+1)</f>
        <v>1</v>
      </c>
      <c r="C147" s="301">
        <f>IFERROR(INDEX('GCal-Year'!$A$40:$A$435,D147),"---")</f>
        <v>43513</v>
      </c>
      <c r="D147" s="274">
        <f>IFERROR(MATCH(H147,'GCal-Year'!$E$40:$E$435,0),"---")</f>
        <v>48</v>
      </c>
      <c r="E147" s="274" t="str">
        <f>IF(ISERROR(MATCH(F147,'GCal-Year'!$E$40:$E$435,0)),"A","")</f>
        <v/>
      </c>
      <c r="F147" s="274">
        <f t="shared" si="38"/>
        <v>111113</v>
      </c>
      <c r="G147" s="274">
        <f t="shared" si="39"/>
        <v>111114</v>
      </c>
      <c r="H147" s="274">
        <f t="shared" si="41"/>
        <v>111113</v>
      </c>
      <c r="I147" s="274" t="s">
        <v>9535</v>
      </c>
      <c r="J147" s="274" t="s">
        <v>24</v>
      </c>
      <c r="K147" s="274" t="s">
        <v>8</v>
      </c>
      <c r="L147" s="273" t="s">
        <v>7425</v>
      </c>
      <c r="M147" s="274">
        <f>VALUE(Masacod(I147))</f>
        <v>11</v>
      </c>
      <c r="N147" s="274">
        <f>VALUE(PaksaCod(J147))</f>
        <v>1</v>
      </c>
      <c r="O147" s="274">
        <f>VALUE(TithiCod(K147))</f>
        <v>13</v>
      </c>
      <c r="P147" s="275" t="s">
        <v>7426</v>
      </c>
      <c r="Q147" s="276">
        <f t="shared" si="40"/>
        <v>11111301</v>
      </c>
      <c r="R147" s="276" t="s">
        <v>468</v>
      </c>
      <c r="S147" s="273" t="str">
        <f t="shared" si="34"/>
        <v>Nityananda Trayodasi: Appearance of Sri Nityananda Prabhu</v>
      </c>
      <c r="T147" s="273" t="str">
        <f>"(Fast till noon for " &amp; U147 &amp; ", with feast tomorrow)"</f>
        <v>(Fast till noon for Sri Nityananda, with feast tomorrow)</v>
      </c>
      <c r="U147" s="277" t="s">
        <v>7427</v>
      </c>
      <c r="V147" s="273">
        <v>0</v>
      </c>
      <c r="W147" s="273" t="s">
        <v>167</v>
      </c>
      <c r="X147" s="266"/>
    </row>
    <row r="148" spans="1:24" x14ac:dyDescent="0.25">
      <c r="A148" s="434">
        <v>119.5</v>
      </c>
      <c r="B148" s="434">
        <f>IF(H148&lt;&gt;H147,1,B147+1)</f>
        <v>2</v>
      </c>
      <c r="C148" s="435">
        <f>C147</f>
        <v>43513</v>
      </c>
      <c r="D148" s="416">
        <f>D147</f>
        <v>48</v>
      </c>
      <c r="E148" s="826">
        <f>INDEX('GCal-Year'!$AT$40:$AT$435,D148)</f>
        <v>-0.3</v>
      </c>
      <c r="F148" s="824"/>
      <c r="G148" s="824"/>
      <c r="H148" s="416">
        <f>H147</f>
        <v>111113</v>
      </c>
      <c r="I148" s="824"/>
      <c r="J148" s="824"/>
      <c r="K148" s="824"/>
      <c r="L148" s="121"/>
      <c r="M148" s="824"/>
      <c r="N148" s="824"/>
      <c r="O148" s="824"/>
      <c r="P148" s="827"/>
      <c r="Q148" s="436">
        <f>VALUE(H148&amp;TEXT(B148,"00"))</f>
        <v>11111302</v>
      </c>
      <c r="R148" s="436" t="s">
        <v>7594</v>
      </c>
      <c r="S148" s="434" t="str">
        <f>IF(E148=-0.3,T148,IF(E148=-1,R148,T147))</f>
        <v>(Fasting is done yesterday, today is feast)</v>
      </c>
      <c r="T148" s="437" t="s">
        <v>521</v>
      </c>
      <c r="U148" s="438"/>
      <c r="V148" s="434">
        <v>-1</v>
      </c>
      <c r="W148" s="434" t="s">
        <v>1393</v>
      </c>
      <c r="X148" s="266"/>
    </row>
    <row r="149" spans="1:24" customFormat="1" x14ac:dyDescent="0.25"/>
    <row r="150" spans="1:24" x14ac:dyDescent="0.25">
      <c r="A150" s="273">
        <v>120</v>
      </c>
      <c r="B150" s="273">
        <f>IF(H150&lt;&gt;H148,1,B148+1)</f>
        <v>1</v>
      </c>
      <c r="C150" s="301">
        <f>IFERROR(INDEX('GCal-Year'!$A$40:$A$435,D150),"---")</f>
        <v>43515</v>
      </c>
      <c r="D150" s="274">
        <f>IFERROR(MATCH(H150,'GCal-Year'!$E$40:$E$435,0),"---")</f>
        <v>50</v>
      </c>
      <c r="E150" s="274" t="str">
        <f>IF(ISERROR(MATCH(F150,'GCal-Year'!$E$40:$E$435,0)),"A","")</f>
        <v/>
      </c>
      <c r="F150" s="274">
        <f t="shared" si="38"/>
        <v>111115</v>
      </c>
      <c r="G150" s="274">
        <f t="shared" si="39"/>
        <v>112001</v>
      </c>
      <c r="H150" s="274">
        <f t="shared" si="41"/>
        <v>111115</v>
      </c>
      <c r="I150" s="274" t="s">
        <v>9535</v>
      </c>
      <c r="J150" s="274" t="s">
        <v>24</v>
      </c>
      <c r="K150" s="274" t="s">
        <v>10</v>
      </c>
      <c r="L150" s="273" t="s">
        <v>7428</v>
      </c>
      <c r="M150" s="274">
        <f t="shared" si="35"/>
        <v>11</v>
      </c>
      <c r="N150" s="274">
        <f t="shared" si="36"/>
        <v>1</v>
      </c>
      <c r="O150" s="274">
        <f t="shared" si="37"/>
        <v>15</v>
      </c>
      <c r="P150" s="275" t="s">
        <v>7429</v>
      </c>
      <c r="Q150" s="276">
        <f t="shared" si="40"/>
        <v>11111501</v>
      </c>
      <c r="R150" s="276" t="s">
        <v>7217</v>
      </c>
      <c r="S150" s="273" t="str">
        <f t="shared" si="34"/>
        <v>Sri Krsna Madhura Utsava</v>
      </c>
      <c r="T150" s="273"/>
      <c r="U150" s="277"/>
      <c r="V150" s="273">
        <v>1</v>
      </c>
      <c r="W150" s="273" t="s">
        <v>168</v>
      </c>
      <c r="X150" s="266"/>
    </row>
    <row r="151" spans="1:24" x14ac:dyDescent="0.25">
      <c r="A151" s="273">
        <v>121</v>
      </c>
      <c r="B151" s="273">
        <f t="shared" ref="B151:B180" si="42">IF(H151&lt;&gt;H150,1,B150+1)</f>
        <v>2</v>
      </c>
      <c r="C151" s="301">
        <f>IFERROR(INDEX('GCal-Year'!$A$40:$A$435,D151),"---")</f>
        <v>43515</v>
      </c>
      <c r="D151" s="274">
        <f>IFERROR(MATCH(H151,'GCal-Year'!$E$40:$E$435,0),"---")</f>
        <v>50</v>
      </c>
      <c r="E151" s="274" t="str">
        <f>IF(ISERROR(MATCH(F151,'GCal-Year'!$E$40:$E$435,0)),"A","")</f>
        <v/>
      </c>
      <c r="F151" s="274">
        <f t="shared" si="38"/>
        <v>111115</v>
      </c>
      <c r="G151" s="274">
        <f t="shared" si="39"/>
        <v>112001</v>
      </c>
      <c r="H151" s="274">
        <f t="shared" si="41"/>
        <v>111115</v>
      </c>
      <c r="I151" s="274" t="s">
        <v>9535</v>
      </c>
      <c r="J151" s="274" t="s">
        <v>24</v>
      </c>
      <c r="K151" s="274" t="s">
        <v>10</v>
      </c>
      <c r="L151" s="273" t="s">
        <v>7428</v>
      </c>
      <c r="M151" s="274">
        <f t="shared" si="35"/>
        <v>11</v>
      </c>
      <c r="N151" s="274">
        <f t="shared" si="36"/>
        <v>1</v>
      </c>
      <c r="O151" s="274">
        <f t="shared" si="37"/>
        <v>15</v>
      </c>
      <c r="P151" s="275" t="s">
        <v>7429</v>
      </c>
      <c r="Q151" s="276">
        <f t="shared" si="40"/>
        <v>11111502</v>
      </c>
      <c r="R151" s="276" t="s">
        <v>470</v>
      </c>
      <c r="S151" s="273" t="str">
        <f t="shared" si="34"/>
        <v>Srila Narottama Dasa Thakura - Appearance</v>
      </c>
      <c r="T151" s="273"/>
      <c r="U151" s="277"/>
      <c r="V151" s="273">
        <v>3</v>
      </c>
      <c r="W151" s="273" t="s">
        <v>171</v>
      </c>
      <c r="X151" s="266"/>
    </row>
    <row r="152" spans="1:24" x14ac:dyDescent="0.25">
      <c r="A152" s="278">
        <v>122</v>
      </c>
      <c r="B152" s="278">
        <f t="shared" si="42"/>
        <v>1</v>
      </c>
      <c r="C152" s="311">
        <f>IFERROR(INDEX('GCal-Year'!$A$40:$A$435,D152),"---")</f>
        <v>43519</v>
      </c>
      <c r="D152" s="279">
        <f>IFERROR(MATCH(H152,'GCal-Year'!$E$40:$E$435,0),"---")</f>
        <v>54</v>
      </c>
      <c r="E152" s="279" t="str">
        <f>IF(ISERROR(MATCH(F152,'GCal-Year'!$E$40:$E$435,0)),"A","")</f>
        <v/>
      </c>
      <c r="F152" s="279">
        <f t="shared" si="38"/>
        <v>112005</v>
      </c>
      <c r="G152" s="279">
        <f t="shared" si="39"/>
        <v>112006</v>
      </c>
      <c r="H152" s="279">
        <f t="shared" si="41"/>
        <v>112005</v>
      </c>
      <c r="I152" s="279" t="s">
        <v>9536</v>
      </c>
      <c r="J152" s="279" t="s">
        <v>25</v>
      </c>
      <c r="K152" s="279" t="s">
        <v>14</v>
      </c>
      <c r="L152" s="278" t="s">
        <v>7430</v>
      </c>
      <c r="M152" s="279">
        <f t="shared" si="35"/>
        <v>12</v>
      </c>
      <c r="N152" s="279">
        <f t="shared" si="36"/>
        <v>0</v>
      </c>
      <c r="O152" s="279">
        <f t="shared" si="37"/>
        <v>5</v>
      </c>
      <c r="P152" s="280" t="s">
        <v>7431</v>
      </c>
      <c r="Q152" s="281">
        <f t="shared" si="40"/>
        <v>11200501</v>
      </c>
      <c r="R152" s="281" t="s">
        <v>473</v>
      </c>
      <c r="S152" s="278" t="str">
        <f t="shared" si="34"/>
        <v>Sri Purusottama Das Thakura - Disappearance</v>
      </c>
      <c r="T152" s="278"/>
      <c r="U152" s="282"/>
      <c r="V152" s="278">
        <v>3</v>
      </c>
      <c r="W152" s="278" t="s">
        <v>171</v>
      </c>
      <c r="X152" s="266"/>
    </row>
    <row r="153" spans="1:24" x14ac:dyDescent="0.25">
      <c r="A153" s="278">
        <v>123.2</v>
      </c>
      <c r="B153" s="278">
        <f t="shared" si="42"/>
        <v>2</v>
      </c>
      <c r="C153" s="311">
        <f>IFERROR(INDEX('GCal-Year'!$A$40:$A$435,D153),"---")</f>
        <v>43519</v>
      </c>
      <c r="D153" s="279">
        <f>IFERROR(MATCH(H153,'GCal-Year'!$E$40:$E$435,0),"---")</f>
        <v>54</v>
      </c>
      <c r="E153" s="279" t="str">
        <f>IF(ISERROR(MATCH(F153,'GCal-Year'!$E$40:$E$435,0)),"A","")</f>
        <v/>
      </c>
      <c r="F153" s="279">
        <f t="shared" si="38"/>
        <v>112005</v>
      </c>
      <c r="G153" s="279">
        <f t="shared" si="39"/>
        <v>112006</v>
      </c>
      <c r="H153" s="279">
        <f t="shared" si="41"/>
        <v>112005</v>
      </c>
      <c r="I153" s="279" t="s">
        <v>9536</v>
      </c>
      <c r="J153" s="279" t="s">
        <v>25</v>
      </c>
      <c r="K153" s="279" t="s">
        <v>14</v>
      </c>
      <c r="L153" s="278" t="s">
        <v>7430</v>
      </c>
      <c r="M153" s="279">
        <f t="shared" si="35"/>
        <v>12</v>
      </c>
      <c r="N153" s="279">
        <f t="shared" si="36"/>
        <v>0</v>
      </c>
      <c r="O153" s="279">
        <f t="shared" si="37"/>
        <v>5</v>
      </c>
      <c r="P153" s="280" t="s">
        <v>7431</v>
      </c>
      <c r="Q153" s="281">
        <f t="shared" si="40"/>
        <v>11200502</v>
      </c>
      <c r="R153" s="281" t="s">
        <v>476</v>
      </c>
      <c r="S153" s="278" t="str">
        <f t="shared" si="34"/>
        <v>Srila Bhaktisiddhanta Sarasvati Thakura - Appearance</v>
      </c>
      <c r="T153" s="278"/>
      <c r="U153" s="282" t="s">
        <v>7595</v>
      </c>
      <c r="V153" s="278">
        <v>2</v>
      </c>
      <c r="W153" s="278" t="s">
        <v>169</v>
      </c>
      <c r="X153" s="266"/>
    </row>
    <row r="154" spans="1:24" x14ac:dyDescent="0.25">
      <c r="A154" s="278">
        <v>124.5</v>
      </c>
      <c r="B154" s="278">
        <f t="shared" si="42"/>
        <v>3</v>
      </c>
      <c r="C154" s="311">
        <f>IFERROR(INDEX('GCal-Year'!$A$40:$A$435,D154),"---")</f>
        <v>43519</v>
      </c>
      <c r="D154" s="279">
        <f>IFERROR(MATCH(H154,'GCal-Year'!$E$40:$E$435,0),"---")</f>
        <v>54</v>
      </c>
      <c r="E154" s="279" t="str">
        <f>IF(ISERROR(MATCH(F154,'GCal-Year'!$E$40:$E$435,0)),"A","")</f>
        <v/>
      </c>
      <c r="F154" s="279">
        <f>VALUE("1" &amp;  Masacod(I154) &amp; PaksaCod(J154) &amp; TithiCod(K154))</f>
        <v>112005</v>
      </c>
      <c r="G154" s="279">
        <f>VALUE("1" &amp;  IF(AND(VALUE(RIGHT(F154,2))&gt;14,MID(F154,4,1)="1"),IF(VALUE(MID(F154,2,2))&gt;11,"01",VALUE(MID(F154,2,2))+1),MID(F154,2,2)) &amp; IF(VALUE(RIGHT(F154,2))&gt;14,IF(MID(F154,4,1)="0","1","0"),MID(F154,4,1)) &amp; IF(VALUE(RIGHT(F154,2))&gt;14,"01",TEXT(VALUE(TithiCod(K154))+1,"00")))</f>
        <v>112006</v>
      </c>
      <c r="H154" s="279">
        <f>IF(E154="",F154,G154)</f>
        <v>112005</v>
      </c>
      <c r="I154" s="279" t="s">
        <v>9536</v>
      </c>
      <c r="J154" s="279" t="s">
        <v>25</v>
      </c>
      <c r="K154" s="279" t="s">
        <v>14</v>
      </c>
      <c r="L154" s="278" t="s">
        <v>7430</v>
      </c>
      <c r="M154" s="279">
        <f>VALUE(Masacod(I154))</f>
        <v>12</v>
      </c>
      <c r="N154" s="279">
        <f>VALUE(PaksaCod(J154))</f>
        <v>0</v>
      </c>
      <c r="O154" s="279">
        <f>VALUE(TithiCod(K154))</f>
        <v>5</v>
      </c>
      <c r="P154" s="280" t="s">
        <v>7431</v>
      </c>
      <c r="Q154" s="281">
        <f>VALUE(H154&amp;TEXT(B154,"00"))</f>
        <v>11200503</v>
      </c>
      <c r="R154" s="281" t="s">
        <v>571</v>
      </c>
      <c r="S154" s="278" t="str">
        <f>SUBSTITUTE(R154,"--","-",1)</f>
        <v>(Fast till noon)</v>
      </c>
      <c r="T154" s="278" t="s">
        <v>37</v>
      </c>
      <c r="U154" s="282" t="s">
        <v>7595</v>
      </c>
      <c r="V154" s="278">
        <v>-1</v>
      </c>
      <c r="W154" s="278" t="s">
        <v>1393</v>
      </c>
      <c r="X154" s="266"/>
    </row>
    <row r="155" spans="1:24" x14ac:dyDescent="0.25">
      <c r="A155" s="278">
        <v>124</v>
      </c>
      <c r="B155" s="278">
        <f t="shared" si="42"/>
        <v>1</v>
      </c>
      <c r="C155" s="311">
        <f>IFERROR(INDEX('GCal-Year'!$A$40:$A$435,D155),"---")</f>
        <v>43526</v>
      </c>
      <c r="D155" s="279">
        <f>IFERROR(MATCH(H155,'GCal-Year'!$E$40:$E$435,0),"---")</f>
        <v>61</v>
      </c>
      <c r="E155" s="279" t="str">
        <f>IF(ISERROR(MATCH(F155,'GCal-Year'!$E$40:$E$435,0)),"A","")</f>
        <v/>
      </c>
      <c r="F155" s="279">
        <f t="shared" si="38"/>
        <v>112012</v>
      </c>
      <c r="G155" s="279">
        <f t="shared" si="39"/>
        <v>112013</v>
      </c>
      <c r="H155" s="279">
        <f t="shared" si="41"/>
        <v>112012</v>
      </c>
      <c r="I155" s="279" t="s">
        <v>9536</v>
      </c>
      <c r="J155" s="279" t="s">
        <v>25</v>
      </c>
      <c r="K155" s="279" t="s">
        <v>21</v>
      </c>
      <c r="L155" s="278" t="s">
        <v>7432</v>
      </c>
      <c r="M155" s="279">
        <f t="shared" si="35"/>
        <v>12</v>
      </c>
      <c r="N155" s="279">
        <f t="shared" si="36"/>
        <v>0</v>
      </c>
      <c r="O155" s="279">
        <f t="shared" si="37"/>
        <v>12</v>
      </c>
      <c r="P155" s="280" t="s">
        <v>7433</v>
      </c>
      <c r="Q155" s="281">
        <f t="shared" si="40"/>
        <v>11201201</v>
      </c>
      <c r="R155" s="281" t="s">
        <v>479</v>
      </c>
      <c r="S155" s="278" t="str">
        <f t="shared" si="34"/>
        <v>Sri Isvara Puri - Disappearance</v>
      </c>
      <c r="T155" s="278"/>
      <c r="U155" s="282"/>
      <c r="V155" s="278">
        <v>3</v>
      </c>
      <c r="W155" s="278" t="s">
        <v>171</v>
      </c>
      <c r="X155" s="266"/>
    </row>
    <row r="156" spans="1:24" x14ac:dyDescent="0.25">
      <c r="A156" s="278">
        <v>125</v>
      </c>
      <c r="B156" s="278">
        <f t="shared" si="42"/>
        <v>1</v>
      </c>
      <c r="C156" s="311">
        <f>IFERROR(INDEX('GCal-Year'!$A$40:$A$435,D156),"---")</f>
        <v>43529</v>
      </c>
      <c r="D156" s="279">
        <f>IFERROR(MATCH(H156,'GCal-Year'!$E$40:$E$435,0),"---")</f>
        <v>64</v>
      </c>
      <c r="E156" s="279" t="str">
        <f>IF(ISERROR(MATCH(F156,'GCal-Year'!$E$40:$E$435,0)),"A","")</f>
        <v/>
      </c>
      <c r="F156" s="279">
        <f t="shared" si="38"/>
        <v>112014</v>
      </c>
      <c r="G156" s="279">
        <f t="shared" si="39"/>
        <v>112015</v>
      </c>
      <c r="H156" s="279">
        <f t="shared" si="41"/>
        <v>112014</v>
      </c>
      <c r="I156" s="279" t="s">
        <v>9536</v>
      </c>
      <c r="J156" s="279" t="s">
        <v>25</v>
      </c>
      <c r="K156" s="279" t="s">
        <v>9</v>
      </c>
      <c r="L156" s="278" t="s">
        <v>7434</v>
      </c>
      <c r="M156" s="279">
        <f t="shared" si="35"/>
        <v>12</v>
      </c>
      <c r="N156" s="279">
        <f t="shared" si="36"/>
        <v>0</v>
      </c>
      <c r="O156" s="279">
        <f t="shared" si="37"/>
        <v>14</v>
      </c>
      <c r="P156" s="280" t="s">
        <v>7435</v>
      </c>
      <c r="Q156" s="281">
        <f t="shared" si="40"/>
        <v>11201401</v>
      </c>
      <c r="R156" s="281" t="s">
        <v>7436</v>
      </c>
      <c r="S156" s="278" t="str">
        <f t="shared" si="34"/>
        <v>Siva Ratri</v>
      </c>
      <c r="T156" s="278"/>
      <c r="U156" s="282"/>
      <c r="V156" s="278">
        <v>1</v>
      </c>
      <c r="W156" s="278" t="s">
        <v>168</v>
      </c>
      <c r="X156" s="266"/>
    </row>
    <row r="157" spans="1:24" x14ac:dyDescent="0.25">
      <c r="A157" s="278">
        <v>126</v>
      </c>
      <c r="B157" s="278">
        <f t="shared" si="42"/>
        <v>1</v>
      </c>
      <c r="C157" s="311">
        <f>IFERROR(INDEX('GCal-Year'!$A$40:$A$435,D157),"---")</f>
        <v>43531</v>
      </c>
      <c r="D157" s="279">
        <f>IFERROR(MATCH(H157,'GCal-Year'!$E$40:$E$435,0),"---")</f>
        <v>66</v>
      </c>
      <c r="E157" s="279" t="str">
        <f>IF(ISERROR(MATCH(F157,'GCal-Year'!$E$40:$E$435,0)),"A","")</f>
        <v/>
      </c>
      <c r="F157" s="279">
        <f t="shared" si="38"/>
        <v>112101</v>
      </c>
      <c r="G157" s="279">
        <f t="shared" si="39"/>
        <v>112102</v>
      </c>
      <c r="H157" s="279">
        <f t="shared" si="41"/>
        <v>112101</v>
      </c>
      <c r="I157" s="279" t="s">
        <v>9536</v>
      </c>
      <c r="J157" s="279" t="s">
        <v>24</v>
      </c>
      <c r="K157" s="279" t="s">
        <v>11</v>
      </c>
      <c r="L157" s="278" t="s">
        <v>7437</v>
      </c>
      <c r="M157" s="279">
        <f t="shared" si="35"/>
        <v>12</v>
      </c>
      <c r="N157" s="279">
        <f t="shared" si="36"/>
        <v>1</v>
      </c>
      <c r="O157" s="279">
        <f t="shared" si="37"/>
        <v>1</v>
      </c>
      <c r="P157" s="280" t="s">
        <v>7438</v>
      </c>
      <c r="Q157" s="281">
        <f t="shared" si="40"/>
        <v>11210101</v>
      </c>
      <c r="R157" s="281" t="s">
        <v>482</v>
      </c>
      <c r="S157" s="278" t="str">
        <f t="shared" si="34"/>
        <v>Srila Jagannatha Dasa Babaji - Disappearance</v>
      </c>
      <c r="T157" s="278"/>
      <c r="U157" s="282"/>
      <c r="V157" s="278">
        <v>2</v>
      </c>
      <c r="W157" s="278" t="s">
        <v>169</v>
      </c>
      <c r="X157" s="266"/>
    </row>
    <row r="158" spans="1:24" x14ac:dyDescent="0.25">
      <c r="A158" s="278">
        <v>127</v>
      </c>
      <c r="B158" s="278">
        <f t="shared" si="42"/>
        <v>2</v>
      </c>
      <c r="C158" s="311">
        <f>IFERROR(INDEX('GCal-Year'!$A$40:$A$435,D158),"---")</f>
        <v>43531</v>
      </c>
      <c r="D158" s="279">
        <f>IFERROR(MATCH(H158,'GCal-Year'!$E$40:$E$435,0),"---")</f>
        <v>66</v>
      </c>
      <c r="E158" s="279" t="str">
        <f>IF(ISERROR(MATCH(F158,'GCal-Year'!$E$40:$E$435,0)),"A","")</f>
        <v/>
      </c>
      <c r="F158" s="279">
        <f t="shared" si="38"/>
        <v>112101</v>
      </c>
      <c r="G158" s="279">
        <f t="shared" si="39"/>
        <v>112102</v>
      </c>
      <c r="H158" s="279">
        <f t="shared" si="41"/>
        <v>112101</v>
      </c>
      <c r="I158" s="279" t="s">
        <v>9536</v>
      </c>
      <c r="J158" s="279" t="s">
        <v>24</v>
      </c>
      <c r="K158" s="279" t="s">
        <v>11</v>
      </c>
      <c r="L158" s="278" t="s">
        <v>7437</v>
      </c>
      <c r="M158" s="279">
        <f t="shared" si="35"/>
        <v>12</v>
      </c>
      <c r="N158" s="279">
        <f t="shared" si="36"/>
        <v>1</v>
      </c>
      <c r="O158" s="279">
        <f t="shared" si="37"/>
        <v>1</v>
      </c>
      <c r="P158" s="280" t="s">
        <v>7438</v>
      </c>
      <c r="Q158" s="281">
        <f t="shared" si="40"/>
        <v>11210102</v>
      </c>
      <c r="R158" s="281" t="s">
        <v>485</v>
      </c>
      <c r="S158" s="278" t="str">
        <f t="shared" si="34"/>
        <v>Sri Rasikananda - Disappearance</v>
      </c>
      <c r="T158" s="278"/>
      <c r="U158" s="282"/>
      <c r="V158" s="278">
        <v>3</v>
      </c>
      <c r="W158" s="278" t="s">
        <v>171</v>
      </c>
      <c r="X158" s="266"/>
    </row>
    <row r="159" spans="1:24" x14ac:dyDescent="0.25">
      <c r="A159" s="278">
        <v>128</v>
      </c>
      <c r="B159" s="278">
        <f t="shared" si="42"/>
        <v>1</v>
      </c>
      <c r="C159" s="311">
        <f>IFERROR(INDEX('GCal-Year'!$A$40:$A$435,D159),"---")</f>
        <v>43534</v>
      </c>
      <c r="D159" s="279">
        <f>IFERROR(MATCH(H159,'GCal-Year'!$E$40:$E$435,0),"---")</f>
        <v>69</v>
      </c>
      <c r="E159" s="279" t="str">
        <f>IF(ISERROR(MATCH(F159,'GCal-Year'!$E$40:$E$435,0)),"A","")</f>
        <v/>
      </c>
      <c r="F159" s="279">
        <f t="shared" si="38"/>
        <v>112104</v>
      </c>
      <c r="G159" s="279">
        <f t="shared" si="39"/>
        <v>112105</v>
      </c>
      <c r="H159" s="279">
        <f t="shared" si="41"/>
        <v>112104</v>
      </c>
      <c r="I159" s="279" t="s">
        <v>9536</v>
      </c>
      <c r="J159" s="279" t="s">
        <v>24</v>
      </c>
      <c r="K159" s="279" t="s">
        <v>13</v>
      </c>
      <c r="L159" s="278" t="s">
        <v>7439</v>
      </c>
      <c r="M159" s="279">
        <f t="shared" si="35"/>
        <v>12</v>
      </c>
      <c r="N159" s="279">
        <f t="shared" si="36"/>
        <v>1</v>
      </c>
      <c r="O159" s="279">
        <f t="shared" si="37"/>
        <v>4</v>
      </c>
      <c r="P159" s="280" t="s">
        <v>7440</v>
      </c>
      <c r="Q159" s="281">
        <f t="shared" si="40"/>
        <v>11210401</v>
      </c>
      <c r="R159" s="281" t="s">
        <v>488</v>
      </c>
      <c r="S159" s="278" t="str">
        <f t="shared" si="34"/>
        <v>Sri Purusottama Dasa Thakura - Appearance</v>
      </c>
      <c r="T159" s="278"/>
      <c r="U159" s="282"/>
      <c r="V159" s="278">
        <v>3</v>
      </c>
      <c r="W159" s="278" t="s">
        <v>171</v>
      </c>
      <c r="X159" s="266"/>
    </row>
    <row r="160" spans="1:24" x14ac:dyDescent="0.25">
      <c r="A160" s="278">
        <v>129</v>
      </c>
      <c r="B160" s="278">
        <f t="shared" si="42"/>
        <v>1</v>
      </c>
      <c r="C160" s="311">
        <f>IFERROR(INDEX('GCal-Year'!$A$40:$A$435,D160),"---")</f>
        <v>43542</v>
      </c>
      <c r="D160" s="279">
        <f>IFERROR(MATCH(H160,'GCal-Year'!$E$40:$E$435,0),"---")</f>
        <v>77</v>
      </c>
      <c r="E160" s="279" t="str">
        <f>IF(ISERROR(MATCH(F160,'GCal-Year'!$E$40:$E$435,0)),"A","")</f>
        <v/>
      </c>
      <c r="F160" s="279">
        <f t="shared" si="38"/>
        <v>112112</v>
      </c>
      <c r="G160" s="279">
        <f t="shared" si="39"/>
        <v>112113</v>
      </c>
      <c r="H160" s="279">
        <f t="shared" si="41"/>
        <v>112112</v>
      </c>
      <c r="I160" s="279" t="s">
        <v>9536</v>
      </c>
      <c r="J160" s="279" t="s">
        <v>24</v>
      </c>
      <c r="K160" s="279" t="s">
        <v>21</v>
      </c>
      <c r="L160" s="278" t="s">
        <v>7441</v>
      </c>
      <c r="M160" s="279">
        <f t="shared" si="35"/>
        <v>12</v>
      </c>
      <c r="N160" s="279">
        <f t="shared" si="36"/>
        <v>1</v>
      </c>
      <c r="O160" s="279">
        <f t="shared" si="37"/>
        <v>12</v>
      </c>
      <c r="P160" s="280" t="s">
        <v>7442</v>
      </c>
      <c r="Q160" s="281">
        <f t="shared" si="40"/>
        <v>11211201</v>
      </c>
      <c r="R160" s="281" t="s">
        <v>491</v>
      </c>
      <c r="S160" s="278" t="str">
        <f t="shared" si="34"/>
        <v>Sri Madhavendra Puri - Disappearance</v>
      </c>
      <c r="T160" s="278"/>
      <c r="U160" s="282"/>
      <c r="V160" s="278">
        <v>3</v>
      </c>
      <c r="W160" s="278" t="s">
        <v>171</v>
      </c>
      <c r="X160" s="266"/>
    </row>
    <row r="161" spans="1:24" customFormat="1" x14ac:dyDescent="0.25"/>
    <row r="162" spans="1:24" x14ac:dyDescent="0.25">
      <c r="A162" s="325">
        <v>149</v>
      </c>
      <c r="B162" s="325">
        <f>IF(H162&lt;&gt;H160,1,B160+1)</f>
        <v>1</v>
      </c>
      <c r="C162" s="328">
        <f>IFERROR(INDEX(GCalXMLT[daydate],D162),"---")</f>
        <v>43479</v>
      </c>
      <c r="D162" s="326">
        <f>CHOOSE(E162,F162,G162,H162)</f>
        <v>52</v>
      </c>
      <c r="E162" s="331">
        <f>Parameters!$B$19</f>
        <v>1</v>
      </c>
      <c r="F162" s="326">
        <f>IFERROR(MatchNthOccurrence(GCalXMLT[sankrantirasi],R162,1),"---")</f>
        <v>52</v>
      </c>
      <c r="G162" s="326">
        <f>IFERROR(MatchNthOccurrence(GCalXMLT[sankrantirasi],R162,2),"---")</f>
        <v>418</v>
      </c>
      <c r="H162" s="326">
        <f>IFERROR(MatchNthOccurrence(GCalXMLT[sankrantirasi],R162,3),"---")</f>
        <v>783</v>
      </c>
      <c r="I162" s="824"/>
      <c r="J162" s="824"/>
      <c r="K162" s="824"/>
      <c r="L162" s="121"/>
      <c r="M162" s="824"/>
      <c r="N162" s="824"/>
      <c r="O162" s="824"/>
      <c r="P162" s="121"/>
      <c r="Q162" s="333" t="s">
        <v>7476</v>
      </c>
      <c r="R162" s="330" t="s">
        <v>74</v>
      </c>
      <c r="S162" s="332" t="s">
        <v>32</v>
      </c>
      <c r="T162" s="825"/>
      <c r="U162" s="825"/>
      <c r="V162" s="325">
        <v>6</v>
      </c>
      <c r="W162" s="325" t="s">
        <v>7552</v>
      </c>
      <c r="X162" s="266"/>
    </row>
    <row r="163" spans="1:24" x14ac:dyDescent="0.25">
      <c r="A163" s="325">
        <v>150</v>
      </c>
      <c r="B163" s="325">
        <f t="shared" si="42"/>
        <v>1</v>
      </c>
      <c r="C163" s="328">
        <f>IFERROR(INDEX(GCalXMLT[daydate],D163),"---")</f>
        <v>43569</v>
      </c>
      <c r="D163" s="326">
        <f t="shared" ref="D163:D179" si="43">CHOOSE(E163,F163,G163,H163)</f>
        <v>142</v>
      </c>
      <c r="E163" s="326">
        <f>E$162</f>
        <v>1</v>
      </c>
      <c r="F163" s="326">
        <f>IFERROR(MatchNthOccurrence(GCalXMLT[sankrantirasi],R163,1),"---")</f>
        <v>142</v>
      </c>
      <c r="G163" s="326">
        <f>IFERROR(MatchNthOccurrence(GCalXMLT[sankrantirasi],R163,2),"---")</f>
        <v>508</v>
      </c>
      <c r="H163" s="326">
        <f>IFERROR(MatchNthOccurrence(GCalXMLT[sankrantirasi],R163,3),"---")</f>
        <v>142</v>
      </c>
      <c r="I163" s="824"/>
      <c r="J163" s="824"/>
      <c r="K163" s="824"/>
      <c r="L163" s="121"/>
      <c r="M163" s="824"/>
      <c r="N163" s="824"/>
      <c r="O163" s="824"/>
      <c r="P163" s="121"/>
      <c r="Q163" s="333" t="s">
        <v>7477</v>
      </c>
      <c r="R163" s="330" t="s">
        <v>77</v>
      </c>
      <c r="S163" s="332" t="s">
        <v>42</v>
      </c>
      <c r="T163" s="825"/>
      <c r="U163" s="825"/>
      <c r="V163" s="325">
        <v>6</v>
      </c>
      <c r="W163" s="325" t="s">
        <v>7552</v>
      </c>
      <c r="X163" s="266"/>
    </row>
    <row r="164" spans="1:24" x14ac:dyDescent="0.25">
      <c r="A164" s="325">
        <v>151</v>
      </c>
      <c r="B164" s="325">
        <f t="shared" si="42"/>
        <v>1</v>
      </c>
      <c r="C164" s="329">
        <f>IFERROR(INDEX(GCalXMLT[daydate],D164)-1,"---")</f>
        <v>43599</v>
      </c>
      <c r="D164" s="326">
        <f t="shared" si="43"/>
        <v>173</v>
      </c>
      <c r="E164" s="326">
        <f>E$162</f>
        <v>1</v>
      </c>
      <c r="F164" s="326">
        <f>IFERROR(MatchNthOccurrence(GCalXMLT[sankrantirasi],R164,1),"---")</f>
        <v>173</v>
      </c>
      <c r="G164" s="326">
        <f>IFERROR(MatchNthOccurrence(GCalXMLT[sankrantirasi],R164,2),"---")</f>
        <v>538</v>
      </c>
      <c r="H164" s="326">
        <f>IFERROR(MatchNthOccurrence(GCalXMLT[sankrantirasi],R164,3),"---")</f>
        <v>173</v>
      </c>
      <c r="I164" s="824"/>
      <c r="J164" s="824"/>
      <c r="K164" s="824"/>
      <c r="L164" s="121"/>
      <c r="M164" s="824"/>
      <c r="N164" s="824"/>
      <c r="O164" s="824"/>
      <c r="P164" s="121"/>
      <c r="Q164" s="333" t="s">
        <v>7478</v>
      </c>
      <c r="R164" s="330" t="s">
        <v>78</v>
      </c>
      <c r="S164" s="332" t="s">
        <v>45</v>
      </c>
      <c r="T164" s="825"/>
      <c r="U164" s="825"/>
      <c r="V164" s="325">
        <v>6</v>
      </c>
      <c r="W164" s="325" t="s">
        <v>7552</v>
      </c>
      <c r="X164" s="266"/>
    </row>
    <row r="165" spans="1:24" customFormat="1" x14ac:dyDescent="0.25"/>
    <row r="166" spans="1:24" x14ac:dyDescent="0.25">
      <c r="A166" s="312">
        <v>148</v>
      </c>
      <c r="B166" s="312">
        <f>IF(H166&lt;&gt;H164,1,B164+1)</f>
        <v>1</v>
      </c>
      <c r="C166" s="313">
        <f>IFERROR(INDEX(GCalXMLT[daydate],D166),"---")</f>
        <v>43545</v>
      </c>
      <c r="D166" s="290">
        <f t="shared" si="43"/>
        <v>118</v>
      </c>
      <c r="E166" s="290">
        <f>E$162</f>
        <v>1</v>
      </c>
      <c r="F166" s="290">
        <f>IFERROR(MatchNthOccurrence(GCalXMLT[dfestival1],R166,1),"---")</f>
        <v>118</v>
      </c>
      <c r="G166" s="290">
        <f>IFERROR(MatchNthOccurrence(GCalXMLT[dfestival1],R166,2),"---")</f>
        <v>473</v>
      </c>
      <c r="H166" s="290">
        <f>IFERROR(MatchNthOccurrence(GCalXMLT[dfestival1],R166,3),"---")</f>
        <v>118</v>
      </c>
      <c r="I166" s="290" t="s">
        <v>9537</v>
      </c>
      <c r="J166" s="290" t="s">
        <v>24</v>
      </c>
      <c r="K166" s="290" t="s">
        <v>11</v>
      </c>
      <c r="L166" s="312" t="s">
        <v>7474</v>
      </c>
      <c r="M166" s="290">
        <f t="shared" ref="M166:M180" si="44">VALUE(Masacod(I166))</f>
        <v>1</v>
      </c>
      <c r="N166" s="290">
        <f t="shared" ref="N166:N180" si="45">VALUE(PaksaCod(J166))</f>
        <v>1</v>
      </c>
      <c r="O166" s="290">
        <f t="shared" ref="O166:O180" si="46">VALUE(TithiCod(K166))</f>
        <v>1</v>
      </c>
      <c r="P166" s="317" t="s">
        <v>7475</v>
      </c>
      <c r="Q166" s="315">
        <f t="shared" ref="Q166:Q180" si="47">VALUE(H166&amp;TEXT(B166,"00"))</f>
        <v>11801</v>
      </c>
      <c r="R166" s="315" t="s">
        <v>38</v>
      </c>
      <c r="S166" s="312" t="str">
        <f t="shared" ref="S166:S180" si="48">SUBSTITUTE(R166,"--","-",1)</f>
        <v>Festival of Jagannatha Misra</v>
      </c>
      <c r="T166" s="312"/>
      <c r="U166" s="316"/>
      <c r="V166" s="312">
        <v>1</v>
      </c>
      <c r="W166" s="312" t="s">
        <v>168</v>
      </c>
      <c r="X166" s="266"/>
    </row>
    <row r="167" spans="1:24" x14ac:dyDescent="0.25">
      <c r="A167" s="312">
        <v>144.30000000000001</v>
      </c>
      <c r="B167" s="312">
        <f t="shared" si="42"/>
        <v>1</v>
      </c>
      <c r="C167" s="313">
        <f>IFERROR(INDEX(GCalXMLT[daydate],D167),"---")</f>
        <v>43568</v>
      </c>
      <c r="D167" s="290">
        <f t="shared" si="43"/>
        <v>141</v>
      </c>
      <c r="E167" s="290">
        <f>E$162</f>
        <v>1</v>
      </c>
      <c r="F167" s="290">
        <f>IFERROR(MatchNthOccurrence(GCalXMLT[dfestival1],R167,1),"---")</f>
        <v>141</v>
      </c>
      <c r="G167" s="290">
        <f>IFERROR(MatchNthOccurrence(GCalXMLT[dfestival1],R167,2),"---")</f>
        <v>496</v>
      </c>
      <c r="H167" s="290">
        <f>IFERROR(MatchNthOccurrence(GCalXMLT[dfestival1],R167,3),"---")</f>
        <v>141</v>
      </c>
      <c r="I167" s="290" t="s">
        <v>9537</v>
      </c>
      <c r="J167" s="290" t="s">
        <v>24</v>
      </c>
      <c r="K167" s="290" t="s">
        <v>18</v>
      </c>
      <c r="L167" s="312" t="s">
        <v>7465</v>
      </c>
      <c r="M167" s="290">
        <f t="shared" si="44"/>
        <v>1</v>
      </c>
      <c r="N167" s="290">
        <f t="shared" si="45"/>
        <v>1</v>
      </c>
      <c r="O167" s="290">
        <f t="shared" si="46"/>
        <v>9</v>
      </c>
      <c r="P167" s="317" t="s">
        <v>7466</v>
      </c>
      <c r="Q167" s="315">
        <f t="shared" si="47"/>
        <v>14101</v>
      </c>
      <c r="R167" s="315" t="s">
        <v>40</v>
      </c>
      <c r="S167" s="312" t="str">
        <f t="shared" si="48"/>
        <v>Rama Navami: Appearance of Lord Sri Ramacandra</v>
      </c>
      <c r="T167" s="312" t="s">
        <v>37</v>
      </c>
      <c r="U167" s="316" t="s">
        <v>7467</v>
      </c>
      <c r="V167" s="312">
        <v>0</v>
      </c>
      <c r="W167" s="312" t="s">
        <v>167</v>
      </c>
      <c r="X167" s="266"/>
    </row>
    <row r="168" spans="1:24" x14ac:dyDescent="0.25">
      <c r="A168" s="312">
        <v>144.5</v>
      </c>
      <c r="B168" s="312">
        <f t="shared" si="42"/>
        <v>1</v>
      </c>
      <c r="C168" s="421">
        <f>C167</f>
        <v>43568</v>
      </c>
      <c r="D168" s="824"/>
      <c r="E168" s="824"/>
      <c r="F168" s="824"/>
      <c r="G168" s="824"/>
      <c r="H168" s="824"/>
      <c r="I168" s="290" t="s">
        <v>9537</v>
      </c>
      <c r="J168" s="290" t="s">
        <v>24</v>
      </c>
      <c r="K168" s="290" t="s">
        <v>18</v>
      </c>
      <c r="L168" s="312" t="s">
        <v>7465</v>
      </c>
      <c r="M168" s="290">
        <f t="shared" si="44"/>
        <v>1</v>
      </c>
      <c r="N168" s="290">
        <f t="shared" si="45"/>
        <v>1</v>
      </c>
      <c r="O168" s="290">
        <f t="shared" si="46"/>
        <v>9</v>
      </c>
      <c r="P168" s="317" t="s">
        <v>7466</v>
      </c>
      <c r="Q168" s="315">
        <f t="shared" si="47"/>
        <v>1</v>
      </c>
      <c r="R168" s="315" t="s">
        <v>573</v>
      </c>
      <c r="S168" s="312" t="str">
        <f t="shared" si="48"/>
        <v>(Fast till sunset)</v>
      </c>
      <c r="T168" s="312" t="s">
        <v>37</v>
      </c>
      <c r="U168" s="316" t="s">
        <v>7467</v>
      </c>
      <c r="V168" s="312">
        <v>-1</v>
      </c>
      <c r="W168" s="312" t="s">
        <v>1393</v>
      </c>
      <c r="X168" s="266"/>
    </row>
    <row r="169" spans="1:24" x14ac:dyDescent="0.25">
      <c r="A169" s="318">
        <v>142</v>
      </c>
      <c r="B169" s="318">
        <f t="shared" si="42"/>
        <v>1</v>
      </c>
      <c r="C169" s="319">
        <f>IFERROR(INDEX(GCalXMLT[daydate],D169),"---")</f>
        <v>43649</v>
      </c>
      <c r="D169" s="320">
        <f t="shared" si="43"/>
        <v>222</v>
      </c>
      <c r="E169" s="320">
        <f>E$162</f>
        <v>1</v>
      </c>
      <c r="F169" s="320">
        <f>IFERROR(MatchNthOccurrence(GCalXMLT[dfestival1],R169,1),"---")</f>
        <v>222</v>
      </c>
      <c r="G169" s="320">
        <f>IFERROR(MatchNthOccurrence(GCalXMLT[dfestival1],R169,2),"---")</f>
        <v>576</v>
      </c>
      <c r="H169" s="320">
        <f>IFERROR(MatchNthOccurrence(GCalXMLT[dfestival1],R169,3),"---")</f>
        <v>222</v>
      </c>
      <c r="I169" s="320" t="s">
        <v>9541</v>
      </c>
      <c r="J169" s="320" t="s">
        <v>25</v>
      </c>
      <c r="K169" s="320" t="s">
        <v>11</v>
      </c>
      <c r="L169" s="318" t="s">
        <v>7284</v>
      </c>
      <c r="M169" s="320">
        <f t="shared" si="44"/>
        <v>4</v>
      </c>
      <c r="N169" s="320">
        <f t="shared" si="45"/>
        <v>0</v>
      </c>
      <c r="O169" s="320">
        <f t="shared" si="46"/>
        <v>1</v>
      </c>
      <c r="P169" s="321" t="s">
        <v>7285</v>
      </c>
      <c r="Q169" s="322">
        <f t="shared" si="47"/>
        <v>22201</v>
      </c>
      <c r="R169" s="322" t="s">
        <v>51</v>
      </c>
      <c r="S169" s="318" t="str">
        <f t="shared" si="48"/>
        <v>Gundica Marjana</v>
      </c>
      <c r="T169" s="318"/>
      <c r="U169" s="323"/>
      <c r="V169" s="318">
        <v>1</v>
      </c>
      <c r="W169" s="318" t="s">
        <v>168</v>
      </c>
      <c r="X169" s="266"/>
    </row>
    <row r="170" spans="1:24" x14ac:dyDescent="0.25">
      <c r="A170" s="318">
        <v>145</v>
      </c>
      <c r="B170" s="318">
        <f t="shared" si="42"/>
        <v>1</v>
      </c>
      <c r="C170" s="319">
        <f>IFERROR(INDEX(GCalXMLT[daydate],D170),"---")</f>
        <v>43650</v>
      </c>
      <c r="D170" s="320">
        <f t="shared" si="43"/>
        <v>223</v>
      </c>
      <c r="E170" s="320">
        <f>E$162</f>
        <v>1</v>
      </c>
      <c r="F170" s="320">
        <f>IFERROR(MatchNthOccurrence(GCalXMLT[dfestival1],R170,1),"---")</f>
        <v>223</v>
      </c>
      <c r="G170" s="320">
        <f>IFERROR(MatchNthOccurrence(GCalXMLT[dfestival1],R170,2),"---")</f>
        <v>577</v>
      </c>
      <c r="H170" s="320">
        <f>IFERROR(MatchNthOccurrence(GCalXMLT[dfestival1],R170,3),"---")</f>
        <v>223</v>
      </c>
      <c r="I170" s="320" t="s">
        <v>9541</v>
      </c>
      <c r="J170" s="320" t="s">
        <v>25</v>
      </c>
      <c r="K170" s="320" t="s">
        <v>12</v>
      </c>
      <c r="L170" s="318" t="s">
        <v>7468</v>
      </c>
      <c r="M170" s="320">
        <f t="shared" si="44"/>
        <v>4</v>
      </c>
      <c r="N170" s="320">
        <f t="shared" si="45"/>
        <v>0</v>
      </c>
      <c r="O170" s="320">
        <f t="shared" si="46"/>
        <v>2</v>
      </c>
      <c r="P170" s="321" t="s">
        <v>7469</v>
      </c>
      <c r="Q170" s="322">
        <f t="shared" si="47"/>
        <v>22301</v>
      </c>
      <c r="R170" s="322" t="s">
        <v>52</v>
      </c>
      <c r="S170" s="318" t="str">
        <f t="shared" si="48"/>
        <v>Ratha Yatra</v>
      </c>
      <c r="T170" s="318"/>
      <c r="U170" s="323"/>
      <c r="V170" s="318">
        <v>1</v>
      </c>
      <c r="W170" s="318" t="s">
        <v>168</v>
      </c>
      <c r="X170" s="266"/>
    </row>
    <row r="171" spans="1:24" x14ac:dyDescent="0.25">
      <c r="A171" s="318">
        <v>141</v>
      </c>
      <c r="B171" s="318">
        <f t="shared" si="42"/>
        <v>1</v>
      </c>
      <c r="C171" s="319">
        <f>IFERROR(INDEX(GCalXMLT[daydate],D171),"---")</f>
        <v>43654</v>
      </c>
      <c r="D171" s="320">
        <f t="shared" si="43"/>
        <v>227</v>
      </c>
      <c r="E171" s="320">
        <f>E$162</f>
        <v>1</v>
      </c>
      <c r="F171" s="320">
        <f>IFERROR(MatchNthOccurrence(GCalXMLT[dfestival1],R171,1),"---")</f>
        <v>227</v>
      </c>
      <c r="G171" s="320">
        <f>IFERROR(MatchNthOccurrence(GCalXMLT[dfestival1],R171,2),"---")</f>
        <v>581</v>
      </c>
      <c r="H171" s="320">
        <f>IFERROR(MatchNthOccurrence(GCalXMLT[dfestival1],R171,3),"---")</f>
        <v>227</v>
      </c>
      <c r="I171" s="320" t="s">
        <v>9541</v>
      </c>
      <c r="J171" s="320" t="s">
        <v>25</v>
      </c>
      <c r="K171" s="320" t="s">
        <v>14</v>
      </c>
      <c r="L171" s="318" t="s">
        <v>7286</v>
      </c>
      <c r="M171" s="320">
        <f t="shared" si="44"/>
        <v>4</v>
      </c>
      <c r="N171" s="320">
        <f t="shared" si="45"/>
        <v>0</v>
      </c>
      <c r="O171" s="320">
        <f t="shared" si="46"/>
        <v>5</v>
      </c>
      <c r="P171" s="321" t="s">
        <v>7287</v>
      </c>
      <c r="Q171" s="322">
        <f t="shared" si="47"/>
        <v>22701</v>
      </c>
      <c r="R171" s="322" t="s">
        <v>53</v>
      </c>
      <c r="S171" s="318" t="str">
        <f t="shared" si="48"/>
        <v>Hera Pancami (4 days after Ratha Yatra)</v>
      </c>
      <c r="T171" s="318"/>
      <c r="U171" s="323"/>
      <c r="V171" s="318">
        <v>1</v>
      </c>
      <c r="W171" s="318" t="s">
        <v>168</v>
      </c>
      <c r="X171" s="266"/>
    </row>
    <row r="172" spans="1:24" x14ac:dyDescent="0.25">
      <c r="A172" s="318">
        <v>140</v>
      </c>
      <c r="B172" s="318">
        <f t="shared" si="42"/>
        <v>1</v>
      </c>
      <c r="C172" s="319">
        <f>IFERROR(INDEX(GCalXMLT[daydate],D172),"---")</f>
        <v>44012</v>
      </c>
      <c r="D172" s="320">
        <f t="shared" si="43"/>
        <v>585</v>
      </c>
      <c r="E172" s="320">
        <f>E$162</f>
        <v>1</v>
      </c>
      <c r="F172" s="320">
        <f>IFERROR(MatchNthOccurrence(GCalXMLT[dfestival1],R172,1),"---")</f>
        <v>585</v>
      </c>
      <c r="G172" s="320">
        <f>IFERROR(MatchNthOccurrence(GCalXMLT[dfestival1],R172,2),"---")</f>
        <v>585</v>
      </c>
      <c r="H172" s="320">
        <f>IFERROR(MatchNthOccurrence(GCalXMLT[dfestival1],R172,3),"---")</f>
        <v>585</v>
      </c>
      <c r="I172" s="320" t="s">
        <v>9541</v>
      </c>
      <c r="J172" s="320" t="s">
        <v>25</v>
      </c>
      <c r="K172" s="320" t="s">
        <v>18</v>
      </c>
      <c r="L172" s="318" t="s">
        <v>7461</v>
      </c>
      <c r="M172" s="320">
        <f t="shared" si="44"/>
        <v>4</v>
      </c>
      <c r="N172" s="320">
        <f t="shared" si="45"/>
        <v>0</v>
      </c>
      <c r="O172" s="320">
        <f t="shared" si="46"/>
        <v>9</v>
      </c>
      <c r="P172" s="321" t="s">
        <v>7462</v>
      </c>
      <c r="Q172" s="322">
        <f t="shared" si="47"/>
        <v>58501</v>
      </c>
      <c r="R172" s="322" t="s">
        <v>54</v>
      </c>
      <c r="S172" s="318" t="str">
        <f t="shared" si="48"/>
        <v>Return Ratha (8 days after Ratha Yatra)</v>
      </c>
      <c r="T172" s="318"/>
      <c r="U172" s="323"/>
      <c r="V172" s="318">
        <v>1</v>
      </c>
      <c r="W172" s="318" t="s">
        <v>168</v>
      </c>
      <c r="X172" s="266"/>
    </row>
    <row r="173" spans="1:24" x14ac:dyDescent="0.25">
      <c r="A173" s="312">
        <v>138.30000000000001</v>
      </c>
      <c r="B173" s="312">
        <f t="shared" si="42"/>
        <v>1</v>
      </c>
      <c r="C173" s="313">
        <f>IFERROR(INDEX(GCalXMLT[daydate],D173),"---")</f>
        <v>43700</v>
      </c>
      <c r="D173" s="290">
        <f t="shared" si="43"/>
        <v>273</v>
      </c>
      <c r="E173" s="290">
        <f>E$162</f>
        <v>1</v>
      </c>
      <c r="F173" s="290">
        <f>IFERROR(MatchNthOccurrence(GCalXMLT[dfestival1],R173,1),"---")</f>
        <v>273</v>
      </c>
      <c r="G173" s="290">
        <f>IFERROR(MatchNthOccurrence(GCalXMLT[dfestival1],R173,2),"---")</f>
        <v>627</v>
      </c>
      <c r="H173" s="290">
        <f>IFERROR(MatchNthOccurrence(GCalXMLT[dfestival1],R173,3),"---")</f>
        <v>273</v>
      </c>
      <c r="I173" s="290" t="s">
        <v>9543</v>
      </c>
      <c r="J173" s="290" t="s">
        <v>25</v>
      </c>
      <c r="K173" s="290" t="s">
        <v>17</v>
      </c>
      <c r="L173" s="312" t="s">
        <v>7455</v>
      </c>
      <c r="M173" s="290">
        <f t="shared" si="44"/>
        <v>6</v>
      </c>
      <c r="N173" s="290">
        <f t="shared" si="45"/>
        <v>0</v>
      </c>
      <c r="O173" s="290">
        <f t="shared" si="46"/>
        <v>8</v>
      </c>
      <c r="P173" s="314" t="s">
        <v>7456</v>
      </c>
      <c r="Q173" s="315">
        <f t="shared" si="47"/>
        <v>27301</v>
      </c>
      <c r="R173" s="315" t="s">
        <v>58</v>
      </c>
      <c r="S173" s="312" t="str">
        <f t="shared" si="48"/>
        <v>Sri Krsna Janmastami: Appearance of Lord Sri Krsna</v>
      </c>
      <c r="T173" s="312" t="s">
        <v>37</v>
      </c>
      <c r="U173" s="316" t="s">
        <v>7457</v>
      </c>
      <c r="V173" s="312">
        <v>0</v>
      </c>
      <c r="W173" s="312" t="s">
        <v>167</v>
      </c>
      <c r="X173" s="266"/>
    </row>
    <row r="174" spans="1:24" x14ac:dyDescent="0.25">
      <c r="A174" s="312">
        <v>138.5</v>
      </c>
      <c r="B174" s="312">
        <f t="shared" si="42"/>
        <v>1</v>
      </c>
      <c r="C174" s="421">
        <f>C173</f>
        <v>43700</v>
      </c>
      <c r="D174" s="824"/>
      <c r="E174" s="824"/>
      <c r="F174" s="824"/>
      <c r="G174" s="824"/>
      <c r="H174" s="824"/>
      <c r="I174" s="290" t="s">
        <v>9543</v>
      </c>
      <c r="J174" s="290" t="s">
        <v>25</v>
      </c>
      <c r="K174" s="290" t="s">
        <v>17</v>
      </c>
      <c r="L174" s="312" t="s">
        <v>7455</v>
      </c>
      <c r="M174" s="290">
        <f t="shared" si="44"/>
        <v>6</v>
      </c>
      <c r="N174" s="290">
        <f t="shared" si="45"/>
        <v>0</v>
      </c>
      <c r="O174" s="290">
        <f t="shared" si="46"/>
        <v>8</v>
      </c>
      <c r="P174" s="314" t="s">
        <v>7456</v>
      </c>
      <c r="Q174" s="315">
        <f t="shared" si="47"/>
        <v>1</v>
      </c>
      <c r="R174" s="315" t="s">
        <v>579</v>
      </c>
      <c r="S174" s="312" t="str">
        <f t="shared" si="48"/>
        <v>(Fast till midnight)</v>
      </c>
      <c r="T174" s="312" t="s">
        <v>37</v>
      </c>
      <c r="U174" s="316" t="s">
        <v>7457</v>
      </c>
      <c r="V174" s="312">
        <v>-1</v>
      </c>
      <c r="W174" s="312" t="s">
        <v>1393</v>
      </c>
      <c r="X174" s="266"/>
    </row>
    <row r="175" spans="1:24" x14ac:dyDescent="0.25">
      <c r="A175" s="312">
        <v>146</v>
      </c>
      <c r="B175" s="312">
        <f t="shared" si="42"/>
        <v>1</v>
      </c>
      <c r="C175" s="313">
        <f>IFERROR(INDEX(GCalXMLT[daydate],D175),"---")</f>
        <v>43701</v>
      </c>
      <c r="D175" s="290">
        <f t="shared" si="43"/>
        <v>274</v>
      </c>
      <c r="E175" s="290">
        <f>E$162</f>
        <v>1</v>
      </c>
      <c r="F175" s="290">
        <f>IFERROR(MatchNthOccurrence(GCalXMLT[dfestival1],R175,1),"---")</f>
        <v>274</v>
      </c>
      <c r="G175" s="290">
        <f>IFERROR(MatchNthOccurrence(GCalXMLT[dfestival1],R175,2),"---")</f>
        <v>628</v>
      </c>
      <c r="H175" s="290">
        <f>IFERROR(MatchNthOccurrence(GCalXMLT[dfestival1],R175,3),"---")</f>
        <v>274</v>
      </c>
      <c r="I175" s="290" t="s">
        <v>9543</v>
      </c>
      <c r="J175" s="290" t="s">
        <v>24</v>
      </c>
      <c r="K175" s="290" t="s">
        <v>18</v>
      </c>
      <c r="L175" s="312" t="s">
        <v>7470</v>
      </c>
      <c r="M175" s="290">
        <f t="shared" si="44"/>
        <v>6</v>
      </c>
      <c r="N175" s="290">
        <f t="shared" si="45"/>
        <v>1</v>
      </c>
      <c r="O175" s="290">
        <f t="shared" si="46"/>
        <v>9</v>
      </c>
      <c r="P175" s="317" t="s">
        <v>7471</v>
      </c>
      <c r="Q175" s="315">
        <f t="shared" si="47"/>
        <v>27401</v>
      </c>
      <c r="R175" s="315" t="s">
        <v>59</v>
      </c>
      <c r="S175" s="312" t="str">
        <f t="shared" si="48"/>
        <v>Nandotsava</v>
      </c>
      <c r="T175" s="312"/>
      <c r="U175" s="316"/>
      <c r="V175" s="312">
        <v>1</v>
      </c>
      <c r="W175" s="312" t="s">
        <v>168</v>
      </c>
      <c r="X175" s="266"/>
    </row>
    <row r="176" spans="1:24" x14ac:dyDescent="0.25">
      <c r="A176" s="312">
        <v>147.30000000000001</v>
      </c>
      <c r="B176" s="312">
        <f t="shared" si="42"/>
        <v>2</v>
      </c>
      <c r="C176" s="313">
        <f>IFERROR(INDEX(GCalXMLT[daydate],D176),"---")</f>
        <v>43701</v>
      </c>
      <c r="D176" s="290">
        <f t="shared" si="43"/>
        <v>274</v>
      </c>
      <c r="E176" s="290">
        <f>E$162</f>
        <v>1</v>
      </c>
      <c r="F176" s="320">
        <f>IFERROR(MatchNthOccurrence(GCalXMLT[dfestival2],R176,1),"---")</f>
        <v>274</v>
      </c>
      <c r="G176" s="320">
        <f>IFERROR(MatchNthOccurrence(GCalXMLT[dfestival2],R176,2),"---")</f>
        <v>628</v>
      </c>
      <c r="H176" s="320">
        <f>IFERROR(MatchNthOccurrence(GCalXMLT[dfestival2],R176,3),"---")</f>
        <v>274</v>
      </c>
      <c r="I176" s="290" t="s">
        <v>9543</v>
      </c>
      <c r="J176" s="290" t="s">
        <v>25</v>
      </c>
      <c r="K176" s="290" t="s">
        <v>18</v>
      </c>
      <c r="L176" s="312" t="s">
        <v>7472</v>
      </c>
      <c r="M176" s="290">
        <f t="shared" si="44"/>
        <v>6</v>
      </c>
      <c r="N176" s="290">
        <f t="shared" si="45"/>
        <v>0</v>
      </c>
      <c r="O176" s="290">
        <f t="shared" si="46"/>
        <v>9</v>
      </c>
      <c r="P176" s="317" t="s">
        <v>7473</v>
      </c>
      <c r="Q176" s="315">
        <f t="shared" si="47"/>
        <v>27402</v>
      </c>
      <c r="R176" s="315" t="s">
        <v>60</v>
      </c>
      <c r="S176" s="312" t="str">
        <f t="shared" si="48"/>
        <v>Srila Prabhupada - Appearance</v>
      </c>
      <c r="T176" s="312"/>
      <c r="U176" s="316"/>
      <c r="V176" s="312">
        <v>2</v>
      </c>
      <c r="W176" s="312" t="s">
        <v>169</v>
      </c>
      <c r="X176" s="266"/>
    </row>
    <row r="177" spans="1:24" x14ac:dyDescent="0.25">
      <c r="A177" s="312">
        <v>147.5</v>
      </c>
      <c r="B177" s="312">
        <f>IF(H177&lt;&gt;H176,1,B176+1)</f>
        <v>1</v>
      </c>
      <c r="C177" s="313">
        <f>C176</f>
        <v>43701</v>
      </c>
      <c r="D177" s="824"/>
      <c r="E177" s="824"/>
      <c r="F177" s="824"/>
      <c r="G177" s="824"/>
      <c r="H177" s="824"/>
      <c r="I177" s="290" t="s">
        <v>9543</v>
      </c>
      <c r="J177" s="290" t="s">
        <v>25</v>
      </c>
      <c r="K177" s="290" t="s">
        <v>18</v>
      </c>
      <c r="L177" s="312" t="s">
        <v>7472</v>
      </c>
      <c r="M177" s="290">
        <f t="shared" si="44"/>
        <v>6</v>
      </c>
      <c r="N177" s="290">
        <f t="shared" si="45"/>
        <v>0</v>
      </c>
      <c r="O177" s="290">
        <f t="shared" si="46"/>
        <v>9</v>
      </c>
      <c r="P177" s="317" t="s">
        <v>7473</v>
      </c>
      <c r="Q177" s="315">
        <f t="shared" si="47"/>
        <v>1</v>
      </c>
      <c r="R177" s="315" t="s">
        <v>571</v>
      </c>
      <c r="S177" s="312" t="s">
        <v>571</v>
      </c>
      <c r="T177" s="312" t="s">
        <v>37</v>
      </c>
      <c r="U177" s="316" t="s">
        <v>7597</v>
      </c>
      <c r="V177" s="312">
        <v>-1</v>
      </c>
      <c r="W177" s="312" t="s">
        <v>1393</v>
      </c>
      <c r="X177" s="266"/>
    </row>
    <row r="178" spans="1:24" x14ac:dyDescent="0.25">
      <c r="A178" s="318">
        <v>143</v>
      </c>
      <c r="B178" s="318">
        <f>IF(H178&lt;&gt;H176,1,B176+1)</f>
        <v>1</v>
      </c>
      <c r="C178" s="319">
        <f>IFERROR(INDEX(GCalXMLT[daydate],D178),"---")</f>
        <v>43766</v>
      </c>
      <c r="D178" s="320">
        <f t="shared" si="43"/>
        <v>339</v>
      </c>
      <c r="E178" s="320">
        <f>E$162</f>
        <v>1</v>
      </c>
      <c r="F178" s="320">
        <f>IFERROR(MatchNthOccurrence(GCalXMLT[dfestival1],R178,1),"---")</f>
        <v>339</v>
      </c>
      <c r="G178" s="320">
        <f>IFERROR(MatchNthOccurrence(GCalXMLT[dfestival1],R178,2),"---")</f>
        <v>723</v>
      </c>
      <c r="H178" s="320">
        <f>IFERROR(MatchNthOccurrence(GCalXMLT[dfestival1],R178,3),"---")</f>
        <v>339</v>
      </c>
      <c r="I178" s="320" t="s">
        <v>9545</v>
      </c>
      <c r="J178" s="320" t="s">
        <v>25</v>
      </c>
      <c r="K178" s="320" t="s">
        <v>11</v>
      </c>
      <c r="L178" s="318" t="s">
        <v>7463</v>
      </c>
      <c r="M178" s="320">
        <f t="shared" si="44"/>
        <v>8</v>
      </c>
      <c r="N178" s="320">
        <f t="shared" si="45"/>
        <v>0</v>
      </c>
      <c r="O178" s="320">
        <f t="shared" si="46"/>
        <v>1</v>
      </c>
      <c r="P178" s="321" t="s">
        <v>7464</v>
      </c>
      <c r="Q178" s="322">
        <f t="shared" si="47"/>
        <v>33901</v>
      </c>
      <c r="R178" s="322" t="s">
        <v>66</v>
      </c>
      <c r="S178" s="318" t="str">
        <f t="shared" si="48"/>
        <v>Go Puja. Go Krda. Govardhana Puja.</v>
      </c>
      <c r="T178" s="318"/>
      <c r="U178" s="323"/>
      <c r="V178" s="318">
        <v>1</v>
      </c>
      <c r="W178" s="318" t="s">
        <v>168</v>
      </c>
      <c r="X178" s="266"/>
    </row>
    <row r="179" spans="1:24" x14ac:dyDescent="0.25">
      <c r="A179" s="318">
        <v>139.30000000000001</v>
      </c>
      <c r="B179" s="318">
        <f t="shared" si="42"/>
        <v>1</v>
      </c>
      <c r="C179" s="319">
        <f>IFERROR(INDEX(GCalXMLT[daydate],D179),"---")</f>
        <v>43544</v>
      </c>
      <c r="D179" s="320">
        <f t="shared" si="43"/>
        <v>117</v>
      </c>
      <c r="E179" s="320">
        <f>E$162</f>
        <v>1</v>
      </c>
      <c r="F179" s="320">
        <f>IFERROR(MatchNthOccurrence(GCalXMLT[dfestival1],R179,1),"---")</f>
        <v>117</v>
      </c>
      <c r="G179" s="320">
        <f>IFERROR(MatchNthOccurrence(GCalXMLT[dfestival1],R179,2),"---")</f>
        <v>472</v>
      </c>
      <c r="H179" s="320">
        <f>IFERROR(MatchNthOccurrence(GCalXMLT[dfestival1],R179,3),"---")</f>
        <v>117</v>
      </c>
      <c r="I179" s="320" t="s">
        <v>9536</v>
      </c>
      <c r="J179" s="320" t="s">
        <v>24</v>
      </c>
      <c r="K179" s="320" t="s">
        <v>10</v>
      </c>
      <c r="L179" s="318" t="s">
        <v>7458</v>
      </c>
      <c r="M179" s="320">
        <f t="shared" si="44"/>
        <v>12</v>
      </c>
      <c r="N179" s="320">
        <f t="shared" si="45"/>
        <v>1</v>
      </c>
      <c r="O179" s="320">
        <f t="shared" si="46"/>
        <v>15</v>
      </c>
      <c r="P179" s="321" t="s">
        <v>7459</v>
      </c>
      <c r="Q179" s="322">
        <f t="shared" si="47"/>
        <v>11701</v>
      </c>
      <c r="R179" s="322" t="s">
        <v>36</v>
      </c>
      <c r="S179" s="318" t="str">
        <f t="shared" si="48"/>
        <v>Gaura Purnima: Appearance of Sri Caitanya Mahaprabhu</v>
      </c>
      <c r="T179" s="318" t="s">
        <v>37</v>
      </c>
      <c r="U179" s="323" t="s">
        <v>7460</v>
      </c>
      <c r="V179" s="318">
        <v>0</v>
      </c>
      <c r="W179" s="324" t="s">
        <v>167</v>
      </c>
      <c r="X179" s="266"/>
    </row>
    <row r="180" spans="1:24" x14ac:dyDescent="0.25">
      <c r="A180" s="318">
        <v>139.5</v>
      </c>
      <c r="B180" s="318">
        <f t="shared" si="42"/>
        <v>1</v>
      </c>
      <c r="C180" s="421">
        <f>C179</f>
        <v>43544</v>
      </c>
      <c r="D180" s="824"/>
      <c r="E180" s="824"/>
      <c r="F180" s="824"/>
      <c r="G180" s="824"/>
      <c r="H180" s="824"/>
      <c r="I180" s="320" t="s">
        <v>9536</v>
      </c>
      <c r="J180" s="320" t="s">
        <v>24</v>
      </c>
      <c r="K180" s="320" t="s">
        <v>10</v>
      </c>
      <c r="L180" s="318" t="s">
        <v>7458</v>
      </c>
      <c r="M180" s="320">
        <f t="shared" si="44"/>
        <v>12</v>
      </c>
      <c r="N180" s="320">
        <f t="shared" si="45"/>
        <v>1</v>
      </c>
      <c r="O180" s="320">
        <f t="shared" si="46"/>
        <v>15</v>
      </c>
      <c r="P180" s="321" t="s">
        <v>7459</v>
      </c>
      <c r="Q180" s="322">
        <f t="shared" si="47"/>
        <v>1</v>
      </c>
      <c r="R180" s="322" t="s">
        <v>575</v>
      </c>
      <c r="S180" s="318" t="str">
        <f t="shared" si="48"/>
        <v>(Fast till moonrise)</v>
      </c>
      <c r="T180" s="318" t="s">
        <v>37</v>
      </c>
      <c r="U180" s="323" t="s">
        <v>7460</v>
      </c>
      <c r="V180" s="318">
        <v>-1</v>
      </c>
      <c r="W180" s="324" t="s">
        <v>1393</v>
      </c>
      <c r="X180" s="266"/>
    </row>
  </sheetData>
  <sortState ref="A2:Z156">
    <sortCondition ref="M2:M156"/>
    <sortCondition ref="N2:N156"/>
    <sortCondition ref="O2:O156"/>
  </sortState>
  <pageMargins left="0.511811024" right="0.511811024" top="0.78740157499999996" bottom="0.78740157499999996" header="0.31496062000000002" footer="0.3149606200000000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wksHolidaysCalc"/>
  <dimension ref="A1:K233"/>
  <sheetViews>
    <sheetView workbookViewId="0"/>
  </sheetViews>
  <sheetFormatPr defaultRowHeight="15" x14ac:dyDescent="0.25"/>
  <cols>
    <col min="2" max="2" width="10.7109375" bestFit="1" customWidth="1"/>
    <col min="3" max="3" width="10.7109375" customWidth="1"/>
    <col min="7" max="7" width="6.140625" bestFit="1" customWidth="1"/>
    <col min="8" max="8" width="7.85546875" bestFit="1" customWidth="1"/>
    <col min="9" max="9" width="10.7109375" bestFit="1" customWidth="1"/>
    <col min="10" max="10" width="8.7109375" bestFit="1" customWidth="1"/>
    <col min="11" max="11" width="33.140625" bestFit="1" customWidth="1"/>
  </cols>
  <sheetData>
    <row r="1" spans="1:11" x14ac:dyDescent="0.25">
      <c r="A1" t="str">
        <f ca="1">Holidays!B1</f>
        <v>FERIADOS, COMEMORAÇÕES E ANIVERSÁRIOS</v>
      </c>
      <c r="B1" s="267"/>
      <c r="C1" s="267"/>
      <c r="E1" s="336" t="s">
        <v>7558</v>
      </c>
      <c r="F1" s="336" t="s">
        <v>7559</v>
      </c>
      <c r="G1" s="336" t="s">
        <v>7526</v>
      </c>
      <c r="H1" s="336" t="s">
        <v>7539</v>
      </c>
      <c r="I1" s="336" t="s">
        <v>1240</v>
      </c>
      <c r="J1" s="336" t="s">
        <v>7541</v>
      </c>
      <c r="K1" s="336" t="s">
        <v>1011</v>
      </c>
    </row>
    <row r="2" spans="1:11" x14ac:dyDescent="0.25">
      <c r="B2" s="267" t="str">
        <f>Holidays!J2</f>
        <v>Data1</v>
      </c>
      <c r="C2" s="267" t="str">
        <f ca="1">Holidays!E2</f>
        <v>Nome</v>
      </c>
      <c r="D2" t="str">
        <f>Holidays!I2</f>
        <v>CodType</v>
      </c>
      <c r="E2">
        <f>IF(ISNUMBER(B2),IFERROR(RANK(B2,$B$1:$B$233,1),1000),2000)+(ROW(E2)/100)</f>
        <v>2000.02</v>
      </c>
      <c r="F2" t="str">
        <f>IF(E2&gt;2000,"",RANK(E2,$E$1:$E$233,1))</f>
        <v/>
      </c>
      <c r="G2">
        <v>1</v>
      </c>
      <c r="H2">
        <f ca="1">IFERROR(MATCH(G2,$F$1:$F$233,0),"---")</f>
        <v>4</v>
      </c>
      <c r="I2" s="265">
        <f ca="1">IFERROR(INDEX(B$1:B$233,$H2),"---")</f>
        <v>43101</v>
      </c>
      <c r="J2" s="267">
        <f ca="1">IFERROR(INDEX(D$1:D$233,$H2),"---")</f>
        <v>-11</v>
      </c>
      <c r="K2" s="267" t="str">
        <f ca="1">IFERROR(INDEX(C$1:C$233,$H2),"---")</f>
        <v>Confraternização Universal</v>
      </c>
    </row>
    <row r="3" spans="1:11" x14ac:dyDescent="0.25">
      <c r="A3" t="str">
        <f ca="1">Holidays!B3</f>
        <v>FIXOS</v>
      </c>
      <c r="B3" s="267"/>
      <c r="C3" s="267"/>
      <c r="E3">
        <f t="shared" ref="E3:E66" si="0">IF(ISNUMBER(B3),IFERROR(RANK(B3,$B$1:$B$233,1),1000),2000)+(ROW(E3)/100)</f>
        <v>2000.03</v>
      </c>
      <c r="F3" t="str">
        <f t="shared" ref="F3:F66" si="1">IF(E3&gt;2000,"",RANK(E3,$E$1:$E$233,1))</f>
        <v/>
      </c>
      <c r="G3">
        <v>2</v>
      </c>
      <c r="H3">
        <f t="shared" ref="H3:H66" ca="1" si="2">IFERROR(MATCH(G3,$F$1:$F$233,0),"---")</f>
        <v>29</v>
      </c>
      <c r="I3" s="265">
        <f t="shared" ref="I3:I66" ca="1" si="3">IFERROR(INDEX(B$1:B$233,$H3),"---")</f>
        <v>43144</v>
      </c>
      <c r="J3" s="267">
        <f t="shared" ref="J3:J66" ca="1" si="4">IFERROR(INDEX(D$1:D$233,$H3),"---")</f>
        <v>-11</v>
      </c>
      <c r="K3" s="267" t="str">
        <f t="shared" ref="K3:K66" ca="1" si="5">IFERROR(INDEX(C$1:C$233,$H3),"---")</f>
        <v>Carnaval</v>
      </c>
    </row>
    <row r="4" spans="1:11" x14ac:dyDescent="0.25">
      <c r="B4" s="265">
        <f>Holidays!J4</f>
        <v>43101</v>
      </c>
      <c r="C4" s="267" t="str">
        <f>Holidays!E4</f>
        <v>Confraternização Universal</v>
      </c>
      <c r="D4">
        <f ca="1">Holidays!I4</f>
        <v>-11</v>
      </c>
      <c r="E4">
        <f t="shared" ca="1" si="0"/>
        <v>1.04</v>
      </c>
      <c r="F4">
        <f t="shared" ca="1" si="1"/>
        <v>1</v>
      </c>
      <c r="G4">
        <v>3</v>
      </c>
      <c r="H4">
        <f t="shared" ca="1" si="2"/>
        <v>30</v>
      </c>
      <c r="I4" s="265">
        <f t="shared" ca="1" si="3"/>
        <v>43145</v>
      </c>
      <c r="J4" s="267">
        <f t="shared" ca="1" si="4"/>
        <v>0.5</v>
      </c>
      <c r="K4" s="267" t="str">
        <f t="shared" ca="1" si="5"/>
        <v>Quarta-feira de Cinzas</v>
      </c>
    </row>
    <row r="5" spans="1:11" x14ac:dyDescent="0.25">
      <c r="B5" s="265">
        <f>Holidays!J5</f>
        <v>43167</v>
      </c>
      <c r="C5" s="267" t="str">
        <f>Holidays!E5</f>
        <v>Dia Internacional da Mulher</v>
      </c>
      <c r="D5">
        <f ca="1">Holidays!I5</f>
        <v>0.5</v>
      </c>
      <c r="E5">
        <f t="shared" ca="1" si="0"/>
        <v>4.05</v>
      </c>
      <c r="F5">
        <f t="shared" ca="1" si="1"/>
        <v>4</v>
      </c>
      <c r="G5">
        <v>4</v>
      </c>
      <c r="H5">
        <f t="shared" ca="1" si="2"/>
        <v>5</v>
      </c>
      <c r="I5" s="265">
        <f t="shared" ca="1" si="3"/>
        <v>43167</v>
      </c>
      <c r="J5" s="267">
        <f t="shared" ca="1" si="4"/>
        <v>0.5</v>
      </c>
      <c r="K5" s="267" t="str">
        <f t="shared" ca="1" si="5"/>
        <v>Dia Internacional da Mulher</v>
      </c>
    </row>
    <row r="6" spans="1:11" x14ac:dyDescent="0.25">
      <c r="B6" s="265">
        <f>Holidays!J6</f>
        <v>43208</v>
      </c>
      <c r="C6" s="267" t="str">
        <f>Holidays!E6</f>
        <v>Dia do Amigo</v>
      </c>
      <c r="D6">
        <f ca="1">Holidays!I6</f>
        <v>0.5</v>
      </c>
      <c r="E6">
        <f t="shared" ca="1" si="0"/>
        <v>10.06</v>
      </c>
      <c r="F6">
        <f t="shared" ca="1" si="1"/>
        <v>10</v>
      </c>
      <c r="G6">
        <v>5</v>
      </c>
      <c r="H6">
        <f t="shared" ca="1" si="2"/>
        <v>50</v>
      </c>
      <c r="I6" s="265">
        <f t="shared" ca="1" si="3"/>
        <v>43179</v>
      </c>
      <c r="J6" s="267">
        <f t="shared" ca="1" si="4"/>
        <v>0.5</v>
      </c>
      <c r="K6" s="267" t="str">
        <f t="shared" ca="1" si="5"/>
        <v>Outono</v>
      </c>
    </row>
    <row r="7" spans="1:11" x14ac:dyDescent="0.25">
      <c r="B7" s="265">
        <f>Holidays!J7</f>
        <v>43209</v>
      </c>
      <c r="C7" s="267" t="str">
        <f>Holidays!E7</f>
        <v>Dia do Índio</v>
      </c>
      <c r="D7">
        <f ca="1">Holidays!I7</f>
        <v>0.5</v>
      </c>
      <c r="E7">
        <f t="shared" ca="1" si="0"/>
        <v>11.07</v>
      </c>
      <c r="F7">
        <f t="shared" ca="1" si="1"/>
        <v>11</v>
      </c>
      <c r="G7">
        <v>6</v>
      </c>
      <c r="H7">
        <f t="shared" ca="1" si="2"/>
        <v>31</v>
      </c>
      <c r="I7" s="265">
        <f t="shared" ca="1" si="3"/>
        <v>43184</v>
      </c>
      <c r="J7" s="267">
        <f t="shared" ca="1" si="4"/>
        <v>0.5</v>
      </c>
      <c r="K7" s="267" t="str">
        <f t="shared" ca="1" si="5"/>
        <v>Domingo de Ramos</v>
      </c>
    </row>
    <row r="8" spans="1:11" x14ac:dyDescent="0.25">
      <c r="B8" s="265">
        <f>Holidays!J8</f>
        <v>43211</v>
      </c>
      <c r="C8" s="267" t="str">
        <f>Holidays!E8</f>
        <v>Tiradentes</v>
      </c>
      <c r="D8">
        <f ca="1">Holidays!I8</f>
        <v>-11</v>
      </c>
      <c r="E8">
        <f t="shared" ca="1" si="0"/>
        <v>12.08</v>
      </c>
      <c r="F8">
        <f t="shared" ca="1" si="1"/>
        <v>12</v>
      </c>
      <c r="G8">
        <v>7</v>
      </c>
      <c r="H8">
        <f t="shared" ca="1" si="2"/>
        <v>32</v>
      </c>
      <c r="I8" s="265">
        <f t="shared" ca="1" si="3"/>
        <v>43189</v>
      </c>
      <c r="J8" s="267">
        <f t="shared" ca="1" si="4"/>
        <v>-11</v>
      </c>
      <c r="K8" s="267" t="str">
        <f t="shared" ca="1" si="5"/>
        <v>Paixão de Cristo</v>
      </c>
    </row>
    <row r="9" spans="1:11" x14ac:dyDescent="0.25">
      <c r="B9" s="265">
        <f>Holidays!J9</f>
        <v>43212</v>
      </c>
      <c r="C9" s="267" t="str">
        <f>Holidays!E9</f>
        <v>Dia do Descobrimento do Brasil</v>
      </c>
      <c r="D9">
        <f ca="1">Holidays!I9</f>
        <v>0.5</v>
      </c>
      <c r="E9">
        <f t="shared" ca="1" si="0"/>
        <v>13.09</v>
      </c>
      <c r="F9">
        <f t="shared" ca="1" si="1"/>
        <v>13</v>
      </c>
      <c r="G9">
        <v>8</v>
      </c>
      <c r="H9">
        <f t="shared" ca="1" si="2"/>
        <v>33</v>
      </c>
      <c r="I9" s="265">
        <f t="shared" ca="1" si="3"/>
        <v>43190</v>
      </c>
      <c r="J9" s="267">
        <f t="shared" ca="1" si="4"/>
        <v>0.5</v>
      </c>
      <c r="K9" s="267" t="str">
        <f t="shared" ca="1" si="5"/>
        <v>Sábado de Aleluia</v>
      </c>
    </row>
    <row r="10" spans="1:11" x14ac:dyDescent="0.25">
      <c r="B10" s="265">
        <f>Holidays!J10</f>
        <v>43221</v>
      </c>
      <c r="C10" s="267" t="str">
        <f>Holidays!E10</f>
        <v>Dia do Trabalho</v>
      </c>
      <c r="D10">
        <f ca="1">Holidays!I10</f>
        <v>-11</v>
      </c>
      <c r="E10">
        <f t="shared" ca="1" si="0"/>
        <v>14.1</v>
      </c>
      <c r="F10">
        <f t="shared" ca="1" si="1"/>
        <v>14</v>
      </c>
      <c r="G10">
        <v>9</v>
      </c>
      <c r="H10">
        <f t="shared" ca="1" si="2"/>
        <v>34</v>
      </c>
      <c r="I10" s="265">
        <f t="shared" ca="1" si="3"/>
        <v>43191</v>
      </c>
      <c r="J10" s="267">
        <f t="shared" ca="1" si="4"/>
        <v>-11</v>
      </c>
      <c r="K10" s="267" t="str">
        <f t="shared" ca="1" si="5"/>
        <v>Páscoa</v>
      </c>
    </row>
    <row r="11" spans="1:11" x14ac:dyDescent="0.25">
      <c r="B11" s="265">
        <f>Holidays!J11</f>
        <v>43233</v>
      </c>
      <c r="C11" s="267" t="str">
        <f>Holidays!E11</f>
        <v>Dia da Abolição da Escravidão</v>
      </c>
      <c r="D11">
        <f ca="1">Holidays!I11</f>
        <v>0.5</v>
      </c>
      <c r="E11">
        <f t="shared" ca="1" si="0"/>
        <v>15.11</v>
      </c>
      <c r="F11">
        <f t="shared" ca="1" si="1"/>
        <v>15</v>
      </c>
      <c r="G11">
        <v>10</v>
      </c>
      <c r="H11">
        <f t="shared" ca="1" si="2"/>
        <v>6</v>
      </c>
      <c r="I11" s="265">
        <f t="shared" ca="1" si="3"/>
        <v>43208</v>
      </c>
      <c r="J11" s="267">
        <f t="shared" ca="1" si="4"/>
        <v>0.5</v>
      </c>
      <c r="K11" s="267" t="str">
        <f t="shared" ca="1" si="5"/>
        <v>Dia do Amigo</v>
      </c>
    </row>
    <row r="12" spans="1:11" x14ac:dyDescent="0.25">
      <c r="B12" s="265">
        <f>Holidays!J12</f>
        <v>43263</v>
      </c>
      <c r="C12" s="267" t="str">
        <f>Holidays!E12</f>
        <v>Dia dos Namorados</v>
      </c>
      <c r="D12">
        <f ca="1">Holidays!I12</f>
        <v>0.5</v>
      </c>
      <c r="E12">
        <f t="shared" ca="1" si="0"/>
        <v>18.12</v>
      </c>
      <c r="F12">
        <f t="shared" ca="1" si="1"/>
        <v>18</v>
      </c>
      <c r="G12">
        <v>11</v>
      </c>
      <c r="H12">
        <f t="shared" ca="1" si="2"/>
        <v>7</v>
      </c>
      <c r="I12" s="265">
        <f t="shared" ca="1" si="3"/>
        <v>43209</v>
      </c>
      <c r="J12" s="267">
        <f t="shared" ca="1" si="4"/>
        <v>0.5</v>
      </c>
      <c r="K12" s="267" t="str">
        <f t="shared" ca="1" si="5"/>
        <v>Dia do Índio</v>
      </c>
    </row>
    <row r="13" spans="1:11" x14ac:dyDescent="0.25">
      <c r="B13" s="265">
        <f>Holidays!J13</f>
        <v>43307</v>
      </c>
      <c r="C13" s="267" t="str">
        <f>Holidays!E13</f>
        <v>Dia da Vovó</v>
      </c>
      <c r="D13">
        <f ca="1">Holidays!I13</f>
        <v>0.5</v>
      </c>
      <c r="E13">
        <f t="shared" ca="1" si="0"/>
        <v>20.13</v>
      </c>
      <c r="F13">
        <f t="shared" ca="1" si="1"/>
        <v>20</v>
      </c>
      <c r="G13">
        <v>12</v>
      </c>
      <c r="H13">
        <f t="shared" ca="1" si="2"/>
        <v>8</v>
      </c>
      <c r="I13" s="265">
        <f t="shared" ca="1" si="3"/>
        <v>43211</v>
      </c>
      <c r="J13" s="267">
        <f t="shared" ca="1" si="4"/>
        <v>-11</v>
      </c>
      <c r="K13" s="267" t="str">
        <f t="shared" ca="1" si="5"/>
        <v>Tiradentes</v>
      </c>
    </row>
    <row r="14" spans="1:11" x14ac:dyDescent="0.25">
      <c r="B14" s="265">
        <f>Holidays!J14</f>
        <v>43323</v>
      </c>
      <c r="C14" s="267" t="str">
        <f>Holidays!E14</f>
        <v>Dia Nacional do Estudante</v>
      </c>
      <c r="D14">
        <f ca="1">Holidays!I14</f>
        <v>0.5</v>
      </c>
      <c r="E14">
        <f t="shared" ca="1" si="0"/>
        <v>21.14</v>
      </c>
      <c r="F14">
        <f t="shared" ca="1" si="1"/>
        <v>21</v>
      </c>
      <c r="G14">
        <v>13</v>
      </c>
      <c r="H14">
        <f t="shared" ca="1" si="2"/>
        <v>9</v>
      </c>
      <c r="I14" s="265">
        <f t="shared" ca="1" si="3"/>
        <v>43212</v>
      </c>
      <c r="J14" s="267">
        <f t="shared" ca="1" si="4"/>
        <v>0.5</v>
      </c>
      <c r="K14" s="267" t="str">
        <f t="shared" ca="1" si="5"/>
        <v>Dia do Descobrimento do Brasil</v>
      </c>
    </row>
    <row r="15" spans="1:11" x14ac:dyDescent="0.25">
      <c r="B15" s="265">
        <f>Holidays!J15</f>
        <v>43350</v>
      </c>
      <c r="C15" s="267" t="str">
        <f>Holidays!E15</f>
        <v>Independência</v>
      </c>
      <c r="D15">
        <f ca="1">Holidays!I15</f>
        <v>-11</v>
      </c>
      <c r="E15">
        <f t="shared" ca="1" si="0"/>
        <v>23.15</v>
      </c>
      <c r="F15">
        <f t="shared" ca="1" si="1"/>
        <v>23</v>
      </c>
      <c r="G15">
        <v>14</v>
      </c>
      <c r="H15">
        <f t="shared" ca="1" si="2"/>
        <v>10</v>
      </c>
      <c r="I15" s="265">
        <f t="shared" ca="1" si="3"/>
        <v>43221</v>
      </c>
      <c r="J15" s="267">
        <f t="shared" ca="1" si="4"/>
        <v>-11</v>
      </c>
      <c r="K15" s="267" t="str">
        <f t="shared" ca="1" si="5"/>
        <v>Dia do Trabalho</v>
      </c>
    </row>
    <row r="16" spans="1:11" x14ac:dyDescent="0.25">
      <c r="B16" s="265">
        <f>Holidays!J16</f>
        <v>43374</v>
      </c>
      <c r="C16" s="267" t="str">
        <f>Holidays!E16</f>
        <v>Dia Internacional do Idoso</v>
      </c>
      <c r="D16">
        <f ca="1">Holidays!I16</f>
        <v>0.5</v>
      </c>
      <c r="E16">
        <f t="shared" ca="1" si="0"/>
        <v>25.16</v>
      </c>
      <c r="F16">
        <f t="shared" ca="1" si="1"/>
        <v>25</v>
      </c>
      <c r="G16">
        <v>15</v>
      </c>
      <c r="H16">
        <f t="shared" ca="1" si="2"/>
        <v>11</v>
      </c>
      <c r="I16" s="265">
        <f t="shared" ca="1" si="3"/>
        <v>43233</v>
      </c>
      <c r="J16" s="267">
        <f t="shared" ca="1" si="4"/>
        <v>0.5</v>
      </c>
      <c r="K16" s="267" t="str">
        <f t="shared" ca="1" si="5"/>
        <v>Dia da Abolição da Escravidão</v>
      </c>
    </row>
    <row r="17" spans="1:11" x14ac:dyDescent="0.25">
      <c r="B17" s="265">
        <f>Holidays!J17</f>
        <v>43385</v>
      </c>
      <c r="C17" s="267" t="str">
        <f>Holidays!E17</f>
        <v>N. Sra. Aparecida / Dia das Crianças</v>
      </c>
      <c r="D17">
        <f ca="1">Holidays!I17</f>
        <v>-11</v>
      </c>
      <c r="E17">
        <f t="shared" ca="1" si="0"/>
        <v>26.17</v>
      </c>
      <c r="F17">
        <f t="shared" ca="1" si="1"/>
        <v>26</v>
      </c>
      <c r="G17">
        <v>16</v>
      </c>
      <c r="H17">
        <f t="shared" ca="1" si="2"/>
        <v>43</v>
      </c>
      <c r="I17" s="265">
        <f t="shared" ca="1" si="3"/>
        <v>43233</v>
      </c>
      <c r="J17" s="267">
        <f t="shared" ca="1" si="4"/>
        <v>0.5</v>
      </c>
      <c r="K17" s="267" t="str">
        <f t="shared" ca="1" si="5"/>
        <v>Dia das Mães (2º domingo de maio)</v>
      </c>
    </row>
    <row r="18" spans="1:11" x14ac:dyDescent="0.25">
      <c r="B18" s="265">
        <f>Holidays!J18</f>
        <v>43388</v>
      </c>
      <c r="C18" s="267" t="str">
        <f>Holidays!E18</f>
        <v>Dia do Professor</v>
      </c>
      <c r="D18">
        <f ca="1">Holidays!I18</f>
        <v>0.5</v>
      </c>
      <c r="E18">
        <f t="shared" ca="1" si="0"/>
        <v>27.18</v>
      </c>
      <c r="F18">
        <f t="shared" ca="1" si="1"/>
        <v>27</v>
      </c>
      <c r="G18">
        <v>17</v>
      </c>
      <c r="H18">
        <f t="shared" ca="1" si="2"/>
        <v>35</v>
      </c>
      <c r="I18" s="265">
        <f t="shared" ca="1" si="3"/>
        <v>43251</v>
      </c>
      <c r="J18" s="267">
        <f t="shared" ca="1" si="4"/>
        <v>-11</v>
      </c>
      <c r="K18" s="267" t="str">
        <f t="shared" ca="1" si="5"/>
        <v>Corpus Christi</v>
      </c>
    </row>
    <row r="19" spans="1:11" x14ac:dyDescent="0.25">
      <c r="B19" s="265">
        <f>Holidays!J19</f>
        <v>43401</v>
      </c>
      <c r="C19" s="267" t="str">
        <f>Holidays!E19</f>
        <v>Dia do Servidor Público</v>
      </c>
      <c r="D19">
        <f ca="1">Holidays!I19</f>
        <v>0.5</v>
      </c>
      <c r="E19">
        <f t="shared" ca="1" si="0"/>
        <v>28.19</v>
      </c>
      <c r="F19">
        <f t="shared" ca="1" si="1"/>
        <v>28</v>
      </c>
      <c r="G19">
        <v>18</v>
      </c>
      <c r="H19">
        <f t="shared" ca="1" si="2"/>
        <v>12</v>
      </c>
      <c r="I19" s="265">
        <f t="shared" ca="1" si="3"/>
        <v>43263</v>
      </c>
      <c r="J19" s="267">
        <f t="shared" ca="1" si="4"/>
        <v>0.5</v>
      </c>
      <c r="K19" s="267" t="str">
        <f t="shared" ca="1" si="5"/>
        <v>Dia dos Namorados</v>
      </c>
    </row>
    <row r="20" spans="1:11" x14ac:dyDescent="0.25">
      <c r="B20" s="265">
        <f>Holidays!J20</f>
        <v>43403</v>
      </c>
      <c r="C20" s="267" t="str">
        <f>Holidays!E20</f>
        <v>Dia do Comerciário</v>
      </c>
      <c r="D20">
        <f ca="1">Holidays!I20</f>
        <v>0.5</v>
      </c>
      <c r="E20">
        <f t="shared" ca="1" si="0"/>
        <v>29.2</v>
      </c>
      <c r="F20">
        <f t="shared" ca="1" si="1"/>
        <v>29</v>
      </c>
      <c r="G20">
        <v>19</v>
      </c>
      <c r="H20">
        <f t="shared" ca="1" si="2"/>
        <v>51</v>
      </c>
      <c r="I20" s="265">
        <f t="shared" ca="1" si="3"/>
        <v>43271</v>
      </c>
      <c r="J20" s="267">
        <f t="shared" ca="1" si="4"/>
        <v>0.5</v>
      </c>
      <c r="K20" s="267" t="str">
        <f t="shared" ca="1" si="5"/>
        <v>Inverno</v>
      </c>
    </row>
    <row r="21" spans="1:11" x14ac:dyDescent="0.25">
      <c r="B21" s="265">
        <f>Holidays!J21</f>
        <v>43405</v>
      </c>
      <c r="C21" s="267" t="str">
        <f>Holidays!E21</f>
        <v>Dia de Todos os Santos</v>
      </c>
      <c r="D21">
        <f ca="1">Holidays!I21</f>
        <v>0.5</v>
      </c>
      <c r="E21">
        <f t="shared" ca="1" si="0"/>
        <v>30.21</v>
      </c>
      <c r="F21">
        <f t="shared" ca="1" si="1"/>
        <v>30</v>
      </c>
      <c r="G21">
        <v>20</v>
      </c>
      <c r="H21">
        <f t="shared" ca="1" si="2"/>
        <v>13</v>
      </c>
      <c r="I21" s="265">
        <f t="shared" ca="1" si="3"/>
        <v>43307</v>
      </c>
      <c r="J21" s="267">
        <f t="shared" ca="1" si="4"/>
        <v>0.5</v>
      </c>
      <c r="K21" s="267" t="str">
        <f t="shared" ca="1" si="5"/>
        <v>Dia da Vovó</v>
      </c>
    </row>
    <row r="22" spans="1:11" x14ac:dyDescent="0.25">
      <c r="B22" s="265">
        <f>Holidays!J22</f>
        <v>43406</v>
      </c>
      <c r="C22" s="267" t="str">
        <f>Holidays!E22</f>
        <v>Finados</v>
      </c>
      <c r="D22">
        <f ca="1">Holidays!I22</f>
        <v>-11</v>
      </c>
      <c r="E22">
        <f t="shared" ca="1" si="0"/>
        <v>31.22</v>
      </c>
      <c r="F22">
        <f t="shared" ca="1" si="1"/>
        <v>31</v>
      </c>
      <c r="G22">
        <v>21</v>
      </c>
      <c r="H22">
        <f t="shared" ca="1" si="2"/>
        <v>14</v>
      </c>
      <c r="I22" s="265">
        <f t="shared" ca="1" si="3"/>
        <v>43323</v>
      </c>
      <c r="J22" s="267">
        <f t="shared" ca="1" si="4"/>
        <v>0.5</v>
      </c>
      <c r="K22" s="267" t="str">
        <f t="shared" ca="1" si="5"/>
        <v>Dia Nacional do Estudante</v>
      </c>
    </row>
    <row r="23" spans="1:11" x14ac:dyDescent="0.25">
      <c r="B23" s="265">
        <f>Holidays!J23</f>
        <v>43419</v>
      </c>
      <c r="C23" s="267" t="str">
        <f>Holidays!E23</f>
        <v>Proc. da República</v>
      </c>
      <c r="D23">
        <f ca="1">Holidays!I23</f>
        <v>-11</v>
      </c>
      <c r="E23">
        <f t="shared" ca="1" si="0"/>
        <v>32.229999999999997</v>
      </c>
      <c r="F23">
        <f t="shared" ca="1" si="1"/>
        <v>32</v>
      </c>
      <c r="G23">
        <v>22</v>
      </c>
      <c r="H23">
        <f t="shared" ca="1" si="2"/>
        <v>44</v>
      </c>
      <c r="I23" s="265">
        <f t="shared" ca="1" si="3"/>
        <v>43324</v>
      </c>
      <c r="J23" s="267">
        <f t="shared" ca="1" si="4"/>
        <v>0.5</v>
      </c>
      <c r="K23" s="267" t="str">
        <f t="shared" ca="1" si="5"/>
        <v>Dia dos Pais (2º domingo de agosto)</v>
      </c>
    </row>
    <row r="24" spans="1:11" x14ac:dyDescent="0.25">
      <c r="B24" s="265">
        <f>Holidays!J24</f>
        <v>43423</v>
      </c>
      <c r="C24" s="267" t="str">
        <f>Holidays!E24</f>
        <v>Dia da Bandeira</v>
      </c>
      <c r="D24">
        <f ca="1">Holidays!I24</f>
        <v>0.5</v>
      </c>
      <c r="E24">
        <f t="shared" ca="1" si="0"/>
        <v>33.24</v>
      </c>
      <c r="F24">
        <f t="shared" ca="1" si="1"/>
        <v>33</v>
      </c>
      <c r="G24">
        <v>23</v>
      </c>
      <c r="H24">
        <f t="shared" ca="1" si="2"/>
        <v>15</v>
      </c>
      <c r="I24" s="265">
        <f t="shared" ca="1" si="3"/>
        <v>43350</v>
      </c>
      <c r="J24" s="267">
        <f t="shared" ca="1" si="4"/>
        <v>-11</v>
      </c>
      <c r="K24" s="267" t="str">
        <f t="shared" ca="1" si="5"/>
        <v>Independência</v>
      </c>
    </row>
    <row r="25" spans="1:11" x14ac:dyDescent="0.25">
      <c r="B25" s="265">
        <f>Holidays!J25</f>
        <v>43424</v>
      </c>
      <c r="C25" s="267" t="str">
        <f>Holidays!E25</f>
        <v>Dia da Consciência Negra</v>
      </c>
      <c r="D25">
        <f ca="1">Holidays!I25</f>
        <v>0.5</v>
      </c>
      <c r="E25">
        <f t="shared" ca="1" si="0"/>
        <v>34.25</v>
      </c>
      <c r="F25">
        <f t="shared" ca="1" si="1"/>
        <v>34</v>
      </c>
      <c r="G25">
        <v>24</v>
      </c>
      <c r="H25">
        <f t="shared" ca="1" si="2"/>
        <v>52</v>
      </c>
      <c r="I25" s="265">
        <f t="shared" ca="1" si="3"/>
        <v>43365</v>
      </c>
      <c r="J25" s="267">
        <f t="shared" ca="1" si="4"/>
        <v>0.5</v>
      </c>
      <c r="K25" s="267" t="str">
        <f t="shared" ca="1" si="5"/>
        <v>Primavera</v>
      </c>
    </row>
    <row r="26" spans="1:11" x14ac:dyDescent="0.25">
      <c r="B26" s="265">
        <f>Holidays!J26</f>
        <v>43459</v>
      </c>
      <c r="C26" s="267" t="str">
        <f>Holidays!E26</f>
        <v>Natal</v>
      </c>
      <c r="D26">
        <f ca="1">Holidays!I26</f>
        <v>-11</v>
      </c>
      <c r="E26">
        <f t="shared" ca="1" si="0"/>
        <v>36.26</v>
      </c>
      <c r="F26">
        <f t="shared" ca="1" si="1"/>
        <v>36</v>
      </c>
      <c r="G26">
        <v>25</v>
      </c>
      <c r="H26">
        <f t="shared" ca="1" si="2"/>
        <v>16</v>
      </c>
      <c r="I26" s="265">
        <f t="shared" ca="1" si="3"/>
        <v>43374</v>
      </c>
      <c r="J26" s="267">
        <f t="shared" ca="1" si="4"/>
        <v>0.5</v>
      </c>
      <c r="K26" s="267" t="str">
        <f t="shared" ca="1" si="5"/>
        <v>Dia Internacional do Idoso</v>
      </c>
    </row>
    <row r="27" spans="1:11" x14ac:dyDescent="0.25">
      <c r="B27" s="265" t="str">
        <f>Holidays!J27</f>
        <v/>
      </c>
      <c r="C27" s="267">
        <f>Holidays!E27</f>
        <v>0</v>
      </c>
      <c r="D27" t="str">
        <f ca="1">Holidays!I27</f>
        <v/>
      </c>
      <c r="E27">
        <f t="shared" si="0"/>
        <v>2000.27</v>
      </c>
      <c r="F27" t="str">
        <f t="shared" si="1"/>
        <v/>
      </c>
      <c r="G27">
        <v>26</v>
      </c>
      <c r="H27">
        <f t="shared" ca="1" si="2"/>
        <v>17</v>
      </c>
      <c r="I27" s="265">
        <f t="shared" ca="1" si="3"/>
        <v>43385</v>
      </c>
      <c r="J27" s="267">
        <f t="shared" ca="1" si="4"/>
        <v>-11</v>
      </c>
      <c r="K27" s="267" t="str">
        <f t="shared" ca="1" si="5"/>
        <v>N. Sra. Aparecida / Dia das Crianças</v>
      </c>
    </row>
    <row r="28" spans="1:11" x14ac:dyDescent="0.25">
      <c r="A28" t="str">
        <f ca="1">Holidays!B28</f>
        <v>MÓVEIS COM A PÁSCOA</v>
      </c>
      <c r="B28" s="265"/>
      <c r="C28" s="267"/>
      <c r="E28">
        <f t="shared" si="0"/>
        <v>2000.28</v>
      </c>
      <c r="F28" t="str">
        <f t="shared" si="1"/>
        <v/>
      </c>
      <c r="G28">
        <v>27</v>
      </c>
      <c r="H28">
        <f t="shared" ca="1" si="2"/>
        <v>18</v>
      </c>
      <c r="I28" s="265">
        <f t="shared" ca="1" si="3"/>
        <v>43388</v>
      </c>
      <c r="J28" s="267">
        <f t="shared" ca="1" si="4"/>
        <v>0.5</v>
      </c>
      <c r="K28" s="267" t="str">
        <f t="shared" ca="1" si="5"/>
        <v>Dia do Professor</v>
      </c>
    </row>
    <row r="29" spans="1:11" x14ac:dyDescent="0.25">
      <c r="B29" s="265">
        <f ca="1">Holidays!J29</f>
        <v>43144</v>
      </c>
      <c r="C29" s="267" t="str">
        <f>Holidays!E29</f>
        <v>Carnaval</v>
      </c>
      <c r="D29">
        <f ca="1">Holidays!I29</f>
        <v>-11</v>
      </c>
      <c r="E29">
        <f t="shared" ca="1" si="0"/>
        <v>2.29</v>
      </c>
      <c r="F29">
        <f t="shared" ca="1" si="1"/>
        <v>2</v>
      </c>
      <c r="G29">
        <v>28</v>
      </c>
      <c r="H29">
        <f t="shared" ca="1" si="2"/>
        <v>19</v>
      </c>
      <c r="I29" s="265">
        <f t="shared" ca="1" si="3"/>
        <v>43401</v>
      </c>
      <c r="J29" s="267">
        <f t="shared" ca="1" si="4"/>
        <v>0.5</v>
      </c>
      <c r="K29" s="267" t="str">
        <f t="shared" ca="1" si="5"/>
        <v>Dia do Servidor Público</v>
      </c>
    </row>
    <row r="30" spans="1:11" x14ac:dyDescent="0.25">
      <c r="B30" s="265">
        <f ca="1">Holidays!J30</f>
        <v>43145</v>
      </c>
      <c r="C30" s="267" t="str">
        <f>Holidays!E30</f>
        <v>Quarta-feira de Cinzas</v>
      </c>
      <c r="D30">
        <f ca="1">Holidays!I30</f>
        <v>0.5</v>
      </c>
      <c r="E30">
        <f t="shared" ca="1" si="0"/>
        <v>3.3</v>
      </c>
      <c r="F30">
        <f t="shared" ca="1" si="1"/>
        <v>3</v>
      </c>
      <c r="G30">
        <v>29</v>
      </c>
      <c r="H30">
        <f t="shared" ca="1" si="2"/>
        <v>20</v>
      </c>
      <c r="I30" s="265">
        <f t="shared" ca="1" si="3"/>
        <v>43403</v>
      </c>
      <c r="J30" s="267">
        <f t="shared" ca="1" si="4"/>
        <v>0.5</v>
      </c>
      <c r="K30" s="267" t="str">
        <f t="shared" ca="1" si="5"/>
        <v>Dia do Comerciário</v>
      </c>
    </row>
    <row r="31" spans="1:11" x14ac:dyDescent="0.25">
      <c r="B31" s="265">
        <f ca="1">Holidays!J31</f>
        <v>43184</v>
      </c>
      <c r="C31" s="267" t="str">
        <f>Holidays!E31</f>
        <v>Domingo de Ramos</v>
      </c>
      <c r="D31">
        <f ca="1">Holidays!I31</f>
        <v>0.5</v>
      </c>
      <c r="E31">
        <f t="shared" ca="1" si="0"/>
        <v>6.31</v>
      </c>
      <c r="F31">
        <f t="shared" ca="1" si="1"/>
        <v>6</v>
      </c>
      <c r="G31">
        <v>30</v>
      </c>
      <c r="H31">
        <f t="shared" ca="1" si="2"/>
        <v>21</v>
      </c>
      <c r="I31" s="265">
        <f t="shared" ca="1" si="3"/>
        <v>43405</v>
      </c>
      <c r="J31" s="267">
        <f t="shared" ca="1" si="4"/>
        <v>0.5</v>
      </c>
      <c r="K31" s="267" t="str">
        <f t="shared" ca="1" si="5"/>
        <v>Dia de Todos os Santos</v>
      </c>
    </row>
    <row r="32" spans="1:11" x14ac:dyDescent="0.25">
      <c r="B32" s="265">
        <f ca="1">Holidays!J32</f>
        <v>43189</v>
      </c>
      <c r="C32" s="267" t="str">
        <f>Holidays!E32</f>
        <v>Paixão de Cristo</v>
      </c>
      <c r="D32">
        <f ca="1">Holidays!I32</f>
        <v>-11</v>
      </c>
      <c r="E32">
        <f t="shared" ca="1" si="0"/>
        <v>7.32</v>
      </c>
      <c r="F32">
        <f t="shared" ca="1" si="1"/>
        <v>7</v>
      </c>
      <c r="G32">
        <v>31</v>
      </c>
      <c r="H32">
        <f t="shared" ca="1" si="2"/>
        <v>22</v>
      </c>
      <c r="I32" s="265">
        <f t="shared" ca="1" si="3"/>
        <v>43406</v>
      </c>
      <c r="J32" s="267">
        <f t="shared" ca="1" si="4"/>
        <v>-11</v>
      </c>
      <c r="K32" s="267" t="str">
        <f t="shared" ca="1" si="5"/>
        <v>Finados</v>
      </c>
    </row>
    <row r="33" spans="1:11" x14ac:dyDescent="0.25">
      <c r="B33" s="265">
        <f ca="1">Holidays!J33</f>
        <v>43190</v>
      </c>
      <c r="C33" s="267" t="str">
        <f>Holidays!E33</f>
        <v>Sábado de Aleluia</v>
      </c>
      <c r="D33">
        <f ca="1">Holidays!I33</f>
        <v>0.5</v>
      </c>
      <c r="E33">
        <f t="shared" ca="1" si="0"/>
        <v>8.33</v>
      </c>
      <c r="F33">
        <f t="shared" ca="1" si="1"/>
        <v>8</v>
      </c>
      <c r="G33">
        <v>32</v>
      </c>
      <c r="H33">
        <f t="shared" ca="1" si="2"/>
        <v>23</v>
      </c>
      <c r="I33" s="265">
        <f t="shared" ca="1" si="3"/>
        <v>43419</v>
      </c>
      <c r="J33" s="267">
        <f t="shared" ca="1" si="4"/>
        <v>-11</v>
      </c>
      <c r="K33" s="267" t="str">
        <f t="shared" ca="1" si="5"/>
        <v>Proc. da República</v>
      </c>
    </row>
    <row r="34" spans="1:11" x14ac:dyDescent="0.25">
      <c r="B34" s="265">
        <f ca="1">Holidays!J34</f>
        <v>43191</v>
      </c>
      <c r="C34" s="267" t="str">
        <f>Holidays!E34</f>
        <v>Páscoa</v>
      </c>
      <c r="D34">
        <f ca="1">Holidays!I34</f>
        <v>-11</v>
      </c>
      <c r="E34">
        <f t="shared" ca="1" si="0"/>
        <v>9.34</v>
      </c>
      <c r="F34">
        <f t="shared" ca="1" si="1"/>
        <v>9</v>
      </c>
      <c r="G34">
        <v>33</v>
      </c>
      <c r="H34">
        <f t="shared" ca="1" si="2"/>
        <v>24</v>
      </c>
      <c r="I34" s="265">
        <f t="shared" ca="1" si="3"/>
        <v>43423</v>
      </c>
      <c r="J34" s="267">
        <f t="shared" ca="1" si="4"/>
        <v>0.5</v>
      </c>
      <c r="K34" s="267" t="str">
        <f t="shared" ca="1" si="5"/>
        <v>Dia da Bandeira</v>
      </c>
    </row>
    <row r="35" spans="1:11" x14ac:dyDescent="0.25">
      <c r="B35" s="265">
        <f ca="1">Holidays!J35</f>
        <v>43251</v>
      </c>
      <c r="C35" s="267" t="str">
        <f>Holidays!E35</f>
        <v>Corpus Christi</v>
      </c>
      <c r="D35">
        <f ca="1">Holidays!I35</f>
        <v>-11</v>
      </c>
      <c r="E35">
        <f t="shared" ca="1" si="0"/>
        <v>17.350000000000001</v>
      </c>
      <c r="F35">
        <f t="shared" ca="1" si="1"/>
        <v>17</v>
      </c>
      <c r="G35">
        <v>34</v>
      </c>
      <c r="H35">
        <f t="shared" ca="1" si="2"/>
        <v>25</v>
      </c>
      <c r="I35" s="265">
        <f t="shared" ca="1" si="3"/>
        <v>43424</v>
      </c>
      <c r="J35" s="267">
        <f t="shared" ca="1" si="4"/>
        <v>0.5</v>
      </c>
      <c r="K35" s="267" t="str">
        <f t="shared" ca="1" si="5"/>
        <v>Dia da Consciência Negra</v>
      </c>
    </row>
    <row r="36" spans="1:11" x14ac:dyDescent="0.25">
      <c r="B36" s="265" t="str">
        <f ca="1">Holidays!J36</f>
        <v/>
      </c>
      <c r="C36" s="267">
        <f>Holidays!E36</f>
        <v>0</v>
      </c>
      <c r="D36" t="str">
        <f ca="1">Holidays!I36</f>
        <v/>
      </c>
      <c r="E36">
        <f t="shared" ca="1" si="0"/>
        <v>2000.36</v>
      </c>
      <c r="F36" t="str">
        <f t="shared" ca="1" si="1"/>
        <v/>
      </c>
      <c r="G36">
        <v>35</v>
      </c>
      <c r="H36">
        <f t="shared" ca="1" si="2"/>
        <v>53</v>
      </c>
      <c r="I36" s="265">
        <f t="shared" ca="1" si="3"/>
        <v>43455</v>
      </c>
      <c r="J36" s="267">
        <f t="shared" ca="1" si="4"/>
        <v>0.5</v>
      </c>
      <c r="K36" s="267" t="str">
        <f t="shared" ca="1" si="5"/>
        <v>Verão</v>
      </c>
    </row>
    <row r="37" spans="1:11" x14ac:dyDescent="0.25">
      <c r="B37" s="265" t="str">
        <f ca="1">Holidays!J37</f>
        <v/>
      </c>
      <c r="C37" s="267">
        <f>Holidays!E37</f>
        <v>0</v>
      </c>
      <c r="D37" t="str">
        <f ca="1">Holidays!I37</f>
        <v/>
      </c>
      <c r="E37">
        <f t="shared" ca="1" si="0"/>
        <v>2000.37</v>
      </c>
      <c r="F37" t="str">
        <f t="shared" ca="1" si="1"/>
        <v/>
      </c>
      <c r="G37">
        <v>36</v>
      </c>
      <c r="H37">
        <f t="shared" ca="1" si="2"/>
        <v>26</v>
      </c>
      <c r="I37" s="265">
        <f t="shared" ca="1" si="3"/>
        <v>43459</v>
      </c>
      <c r="J37" s="267">
        <f t="shared" ca="1" si="4"/>
        <v>-11</v>
      </c>
      <c r="K37" s="267" t="str">
        <f t="shared" ca="1" si="5"/>
        <v>Natal</v>
      </c>
    </row>
    <row r="38" spans="1:11" x14ac:dyDescent="0.25">
      <c r="B38" s="265" t="str">
        <f ca="1">Holidays!J38</f>
        <v/>
      </c>
      <c r="C38" s="267">
        <f>Holidays!E38</f>
        <v>0</v>
      </c>
      <c r="D38" t="str">
        <f ca="1">Holidays!I38</f>
        <v/>
      </c>
      <c r="E38">
        <f t="shared" ca="1" si="0"/>
        <v>2000.38</v>
      </c>
      <c r="F38" t="str">
        <f t="shared" ca="1" si="1"/>
        <v/>
      </c>
      <c r="G38">
        <v>37</v>
      </c>
      <c r="H38">
        <f t="shared" ca="1" si="2"/>
        <v>64</v>
      </c>
      <c r="I38" s="265">
        <f t="shared" ca="1" si="3"/>
        <v>43466</v>
      </c>
      <c r="J38" s="267">
        <f t="shared" ca="1" si="4"/>
        <v>-11</v>
      </c>
      <c r="K38" s="267" t="str">
        <f t="shared" ca="1" si="5"/>
        <v>Confraternização Universal</v>
      </c>
    </row>
    <row r="39" spans="1:11" x14ac:dyDescent="0.25">
      <c r="B39" s="265" t="str">
        <f ca="1">Holidays!J39</f>
        <v/>
      </c>
      <c r="C39" s="267">
        <f>Holidays!E39</f>
        <v>0</v>
      </c>
      <c r="D39" t="str">
        <f ca="1">Holidays!I39</f>
        <v/>
      </c>
      <c r="E39">
        <f t="shared" ca="1" si="0"/>
        <v>2000.39</v>
      </c>
      <c r="F39" t="str">
        <f t="shared" ca="1" si="1"/>
        <v/>
      </c>
      <c r="G39">
        <v>38</v>
      </c>
      <c r="H39">
        <f t="shared" ca="1" si="2"/>
        <v>89</v>
      </c>
      <c r="I39" s="265">
        <f t="shared" ca="1" si="3"/>
        <v>43529</v>
      </c>
      <c r="J39" s="267">
        <f t="shared" ca="1" si="4"/>
        <v>-11</v>
      </c>
      <c r="K39" s="267" t="str">
        <f t="shared" ca="1" si="5"/>
        <v>Carnaval</v>
      </c>
    </row>
    <row r="40" spans="1:11" x14ac:dyDescent="0.25">
      <c r="B40" s="265" t="str">
        <f ca="1">Holidays!J40</f>
        <v/>
      </c>
      <c r="C40" s="267">
        <f>Holidays!E40</f>
        <v>0</v>
      </c>
      <c r="D40" t="str">
        <f ca="1">Holidays!I40</f>
        <v/>
      </c>
      <c r="E40">
        <f t="shared" ca="1" si="0"/>
        <v>2000.4</v>
      </c>
      <c r="F40" t="str">
        <f t="shared" ca="1" si="1"/>
        <v/>
      </c>
      <c r="G40">
        <v>39</v>
      </c>
      <c r="H40">
        <f t="shared" ca="1" si="2"/>
        <v>90</v>
      </c>
      <c r="I40" s="265">
        <f t="shared" ca="1" si="3"/>
        <v>43530</v>
      </c>
      <c r="J40" s="267">
        <f t="shared" ca="1" si="4"/>
        <v>0.5</v>
      </c>
      <c r="K40" s="267" t="str">
        <f t="shared" ca="1" si="5"/>
        <v>Quarta-feira de Cinzas</v>
      </c>
    </row>
    <row r="41" spans="1:11" x14ac:dyDescent="0.25">
      <c r="B41" s="265" t="str">
        <f ca="1">Holidays!J41</f>
        <v/>
      </c>
      <c r="C41" s="267">
        <f>Holidays!E41</f>
        <v>0</v>
      </c>
      <c r="D41" t="str">
        <f ca="1">Holidays!I41</f>
        <v/>
      </c>
      <c r="E41">
        <f t="shared" ca="1" si="0"/>
        <v>2000.41</v>
      </c>
      <c r="F41" t="str">
        <f t="shared" ca="1" si="1"/>
        <v/>
      </c>
      <c r="G41">
        <v>40</v>
      </c>
      <c r="H41">
        <f t="shared" ca="1" si="2"/>
        <v>65</v>
      </c>
      <c r="I41" s="265">
        <f t="shared" ca="1" si="3"/>
        <v>43532</v>
      </c>
      <c r="J41" s="267">
        <f t="shared" ca="1" si="4"/>
        <v>0.5</v>
      </c>
      <c r="K41" s="267" t="str">
        <f t="shared" ca="1" si="5"/>
        <v>Dia Internacional da Mulher</v>
      </c>
    </row>
    <row r="42" spans="1:11" x14ac:dyDescent="0.25">
      <c r="A42" t="str">
        <f ca="1">Holidays!B42</f>
        <v>MÓVEIS - CERTO DIA DA SEMANA DE CERTO MÊS</v>
      </c>
      <c r="B42" s="265"/>
      <c r="C42" s="267"/>
      <c r="E42">
        <f t="shared" si="0"/>
        <v>2000.42</v>
      </c>
      <c r="F42" t="str">
        <f t="shared" si="1"/>
        <v/>
      </c>
      <c r="G42">
        <v>41</v>
      </c>
      <c r="H42">
        <f t="shared" ca="1" si="2"/>
        <v>110</v>
      </c>
      <c r="I42" s="265">
        <f t="shared" ca="1" si="3"/>
        <v>43544</v>
      </c>
      <c r="J42" s="267">
        <f t="shared" ca="1" si="4"/>
        <v>0.5</v>
      </c>
      <c r="K42" s="267" t="str">
        <f t="shared" ca="1" si="5"/>
        <v>Outono</v>
      </c>
    </row>
    <row r="43" spans="1:11" x14ac:dyDescent="0.25">
      <c r="B43" s="265">
        <f>Holidays!J43</f>
        <v>43233</v>
      </c>
      <c r="C43" s="267" t="str">
        <f>Holidays!E43</f>
        <v>Dia das Mães (2º domingo de maio)</v>
      </c>
      <c r="D43">
        <f ca="1">Holidays!I43</f>
        <v>0.5</v>
      </c>
      <c r="E43">
        <f t="shared" ca="1" si="0"/>
        <v>15.43</v>
      </c>
      <c r="F43">
        <f t="shared" ca="1" si="1"/>
        <v>16</v>
      </c>
      <c r="G43">
        <v>42</v>
      </c>
      <c r="H43">
        <f t="shared" ca="1" si="2"/>
        <v>91</v>
      </c>
      <c r="I43" s="265">
        <f t="shared" ca="1" si="3"/>
        <v>43569</v>
      </c>
      <c r="J43" s="267">
        <f t="shared" ca="1" si="4"/>
        <v>0.5</v>
      </c>
      <c r="K43" s="267" t="str">
        <f t="shared" ca="1" si="5"/>
        <v>Domingo de Ramos</v>
      </c>
    </row>
    <row r="44" spans="1:11" x14ac:dyDescent="0.25">
      <c r="B44" s="265">
        <f>Holidays!J44</f>
        <v>43324</v>
      </c>
      <c r="C44" s="267" t="str">
        <f>Holidays!E44</f>
        <v>Dia dos Pais (2º domingo de agosto)</v>
      </c>
      <c r="D44">
        <f ca="1">Holidays!I44</f>
        <v>0.5</v>
      </c>
      <c r="E44">
        <f t="shared" ca="1" si="0"/>
        <v>22.44</v>
      </c>
      <c r="F44">
        <f t="shared" ca="1" si="1"/>
        <v>22</v>
      </c>
      <c r="G44">
        <v>43</v>
      </c>
      <c r="H44">
        <f t="shared" ca="1" si="2"/>
        <v>66</v>
      </c>
      <c r="I44" s="265">
        <f t="shared" ca="1" si="3"/>
        <v>43573</v>
      </c>
      <c r="J44" s="267">
        <f t="shared" ca="1" si="4"/>
        <v>0.5</v>
      </c>
      <c r="K44" s="267" t="str">
        <f t="shared" ca="1" si="5"/>
        <v>Dia do Amigo</v>
      </c>
    </row>
    <row r="45" spans="1:11" x14ac:dyDescent="0.25">
      <c r="B45" s="265" t="str">
        <f>Holidays!J45</f>
        <v/>
      </c>
      <c r="C45" s="267">
        <f>Holidays!E45</f>
        <v>0</v>
      </c>
      <c r="D45" t="str">
        <f ca="1">Holidays!I45</f>
        <v/>
      </c>
      <c r="E45">
        <f t="shared" si="0"/>
        <v>2000.45</v>
      </c>
      <c r="F45" t="str">
        <f t="shared" si="1"/>
        <v/>
      </c>
      <c r="G45">
        <v>44</v>
      </c>
      <c r="H45">
        <f t="shared" ca="1" si="2"/>
        <v>67</v>
      </c>
      <c r="I45" s="265">
        <f t="shared" ca="1" si="3"/>
        <v>43574</v>
      </c>
      <c r="J45" s="267">
        <f t="shared" ca="1" si="4"/>
        <v>0.5</v>
      </c>
      <c r="K45" s="267" t="str">
        <f t="shared" ca="1" si="5"/>
        <v>Dia do Índio</v>
      </c>
    </row>
    <row r="46" spans="1:11" x14ac:dyDescent="0.25">
      <c r="B46" s="265" t="str">
        <f>Holidays!J46</f>
        <v/>
      </c>
      <c r="C46" s="267">
        <f>Holidays!E46</f>
        <v>0</v>
      </c>
      <c r="D46" t="str">
        <f ca="1">Holidays!I46</f>
        <v/>
      </c>
      <c r="E46">
        <f t="shared" si="0"/>
        <v>2000.46</v>
      </c>
      <c r="F46" t="str">
        <f t="shared" si="1"/>
        <v/>
      </c>
      <c r="G46">
        <v>45</v>
      </c>
      <c r="H46">
        <f t="shared" ca="1" si="2"/>
        <v>92</v>
      </c>
      <c r="I46" s="265">
        <f t="shared" ca="1" si="3"/>
        <v>43574</v>
      </c>
      <c r="J46" s="267">
        <f t="shared" ca="1" si="4"/>
        <v>-11</v>
      </c>
      <c r="K46" s="267" t="str">
        <f t="shared" ca="1" si="5"/>
        <v>Paixão de Cristo</v>
      </c>
    </row>
    <row r="47" spans="1:11" x14ac:dyDescent="0.25">
      <c r="B47" s="265" t="str">
        <f>Holidays!J47</f>
        <v/>
      </c>
      <c r="C47" s="267">
        <f>Holidays!E47</f>
        <v>0</v>
      </c>
      <c r="D47" t="str">
        <f ca="1">Holidays!I47</f>
        <v/>
      </c>
      <c r="E47">
        <f t="shared" si="0"/>
        <v>2000.47</v>
      </c>
      <c r="F47" t="str">
        <f t="shared" si="1"/>
        <v/>
      </c>
      <c r="G47">
        <v>46</v>
      </c>
      <c r="H47">
        <f t="shared" ca="1" si="2"/>
        <v>93</v>
      </c>
      <c r="I47" s="265">
        <f t="shared" ca="1" si="3"/>
        <v>43575</v>
      </c>
      <c r="J47" s="267">
        <f t="shared" ca="1" si="4"/>
        <v>0.5</v>
      </c>
      <c r="K47" s="267" t="str">
        <f t="shared" ca="1" si="5"/>
        <v>Sábado de Aleluia</v>
      </c>
    </row>
    <row r="48" spans="1:11" x14ac:dyDescent="0.25">
      <c r="B48" s="265" t="str">
        <f>Holidays!J48</f>
        <v/>
      </c>
      <c r="C48" s="267">
        <f>Holidays!E48</f>
        <v>0</v>
      </c>
      <c r="D48" t="str">
        <f ca="1">Holidays!I48</f>
        <v/>
      </c>
      <c r="E48">
        <f t="shared" si="0"/>
        <v>2000.48</v>
      </c>
      <c r="F48" t="str">
        <f t="shared" si="1"/>
        <v/>
      </c>
      <c r="G48">
        <v>47</v>
      </c>
      <c r="H48">
        <f t="shared" ca="1" si="2"/>
        <v>68</v>
      </c>
      <c r="I48" s="265">
        <f t="shared" ca="1" si="3"/>
        <v>43576</v>
      </c>
      <c r="J48" s="267">
        <f t="shared" ca="1" si="4"/>
        <v>-11</v>
      </c>
      <c r="K48" s="267" t="str">
        <f t="shared" ca="1" si="5"/>
        <v>Tiradentes</v>
      </c>
    </row>
    <row r="49" spans="1:11" x14ac:dyDescent="0.25">
      <c r="A49" t="str">
        <f ca="1">Holidays!B49</f>
        <v>ESTAÇÕES DO ANO</v>
      </c>
      <c r="B49" s="265"/>
      <c r="C49" s="267"/>
      <c r="E49">
        <f t="shared" si="0"/>
        <v>2000.49</v>
      </c>
      <c r="F49" t="str">
        <f t="shared" si="1"/>
        <v/>
      </c>
      <c r="G49">
        <v>48</v>
      </c>
      <c r="H49">
        <f t="shared" ca="1" si="2"/>
        <v>94</v>
      </c>
      <c r="I49" s="265">
        <f t="shared" ca="1" si="3"/>
        <v>43576</v>
      </c>
      <c r="J49" s="267">
        <f t="shared" ca="1" si="4"/>
        <v>-11</v>
      </c>
      <c r="K49" s="267" t="str">
        <f t="shared" ca="1" si="5"/>
        <v>Páscoa</v>
      </c>
    </row>
    <row r="50" spans="1:11" x14ac:dyDescent="0.25">
      <c r="B50" s="265">
        <f ca="1">Holidays!J50</f>
        <v>43179</v>
      </c>
      <c r="C50" s="267" t="str">
        <f ca="1">Holidays!E50</f>
        <v>Outono</v>
      </c>
      <c r="D50">
        <f ca="1">Holidays!I50</f>
        <v>0.5</v>
      </c>
      <c r="E50">
        <f t="shared" ca="1" si="0"/>
        <v>5.5</v>
      </c>
      <c r="F50">
        <f t="shared" ca="1" si="1"/>
        <v>5</v>
      </c>
      <c r="G50">
        <v>49</v>
      </c>
      <c r="H50">
        <f t="shared" ca="1" si="2"/>
        <v>69</v>
      </c>
      <c r="I50" s="265">
        <f t="shared" ca="1" si="3"/>
        <v>43577</v>
      </c>
      <c r="J50" s="267">
        <f t="shared" ca="1" si="4"/>
        <v>0.5</v>
      </c>
      <c r="K50" s="267" t="str">
        <f t="shared" ca="1" si="5"/>
        <v>Dia do Descobrimento do Brasil</v>
      </c>
    </row>
    <row r="51" spans="1:11" x14ac:dyDescent="0.25">
      <c r="B51" s="265">
        <f ca="1">Holidays!J51</f>
        <v>43271</v>
      </c>
      <c r="C51" s="267" t="str">
        <f ca="1">Holidays!E51</f>
        <v>Inverno</v>
      </c>
      <c r="D51">
        <f ca="1">Holidays!I51</f>
        <v>0.5</v>
      </c>
      <c r="E51">
        <f t="shared" ca="1" si="0"/>
        <v>19.510000000000002</v>
      </c>
      <c r="F51">
        <f t="shared" ca="1" si="1"/>
        <v>19</v>
      </c>
      <c r="G51">
        <v>50</v>
      </c>
      <c r="H51">
        <f t="shared" ca="1" si="2"/>
        <v>70</v>
      </c>
      <c r="I51" s="265">
        <f t="shared" ca="1" si="3"/>
        <v>43586</v>
      </c>
      <c r="J51" s="267">
        <f t="shared" ca="1" si="4"/>
        <v>-11</v>
      </c>
      <c r="K51" s="267" t="str">
        <f t="shared" ca="1" si="5"/>
        <v>Dia do Trabalho</v>
      </c>
    </row>
    <row r="52" spans="1:11" x14ac:dyDescent="0.25">
      <c r="B52" s="265">
        <f ca="1">Holidays!J52</f>
        <v>43365</v>
      </c>
      <c r="C52" s="267" t="str">
        <f ca="1">Holidays!E52</f>
        <v>Primavera</v>
      </c>
      <c r="D52">
        <f ca="1">Holidays!I52</f>
        <v>0.5</v>
      </c>
      <c r="E52">
        <f t="shared" ca="1" si="0"/>
        <v>24.52</v>
      </c>
      <c r="F52">
        <f t="shared" ca="1" si="1"/>
        <v>24</v>
      </c>
      <c r="G52">
        <v>51</v>
      </c>
      <c r="H52">
        <f t="shared" ca="1" si="2"/>
        <v>103</v>
      </c>
      <c r="I52" s="265">
        <f t="shared" ca="1" si="3"/>
        <v>43597</v>
      </c>
      <c r="J52" s="267">
        <f t="shared" ca="1" si="4"/>
        <v>0.5</v>
      </c>
      <c r="K52" s="267" t="str">
        <f t="shared" ca="1" si="5"/>
        <v>Dia das Mães (2º domingo de maio)</v>
      </c>
    </row>
    <row r="53" spans="1:11" x14ac:dyDescent="0.25">
      <c r="B53" s="265">
        <f ca="1">Holidays!J53</f>
        <v>43455</v>
      </c>
      <c r="C53" s="267" t="str">
        <f ca="1">Holidays!E53</f>
        <v>Verão</v>
      </c>
      <c r="D53">
        <f ca="1">Holidays!I53</f>
        <v>0.5</v>
      </c>
      <c r="E53">
        <f t="shared" ca="1" si="0"/>
        <v>35.53</v>
      </c>
      <c r="F53">
        <f t="shared" ca="1" si="1"/>
        <v>35</v>
      </c>
      <c r="G53">
        <v>52</v>
      </c>
      <c r="H53">
        <f t="shared" ca="1" si="2"/>
        <v>71</v>
      </c>
      <c r="I53" s="265">
        <f t="shared" ca="1" si="3"/>
        <v>43598</v>
      </c>
      <c r="J53" s="267">
        <f t="shared" ca="1" si="4"/>
        <v>0.5</v>
      </c>
      <c r="K53" s="267" t="str">
        <f t="shared" ca="1" si="5"/>
        <v>Dia da Abolição da Escravidão</v>
      </c>
    </row>
    <row r="54" spans="1:11" x14ac:dyDescent="0.25">
      <c r="C54" s="267"/>
      <c r="E54">
        <f t="shared" si="0"/>
        <v>2000.54</v>
      </c>
      <c r="F54" t="str">
        <f t="shared" si="1"/>
        <v/>
      </c>
      <c r="G54">
        <v>53</v>
      </c>
      <c r="H54">
        <f t="shared" ca="1" si="2"/>
        <v>72</v>
      </c>
      <c r="I54" s="265">
        <f t="shared" ca="1" si="3"/>
        <v>43628</v>
      </c>
      <c r="J54" s="267">
        <f t="shared" ca="1" si="4"/>
        <v>0.5</v>
      </c>
      <c r="K54" s="267" t="str">
        <f t="shared" ca="1" si="5"/>
        <v>Dia dos Namorados</v>
      </c>
    </row>
    <row r="55" spans="1:11" x14ac:dyDescent="0.25">
      <c r="E55">
        <f t="shared" si="0"/>
        <v>2000.55</v>
      </c>
      <c r="F55" t="str">
        <f t="shared" si="1"/>
        <v/>
      </c>
      <c r="G55">
        <v>54</v>
      </c>
      <c r="H55">
        <f t="shared" ca="1" si="2"/>
        <v>95</v>
      </c>
      <c r="I55" s="265">
        <f t="shared" ca="1" si="3"/>
        <v>43636</v>
      </c>
      <c r="J55" s="267">
        <f t="shared" ca="1" si="4"/>
        <v>-11</v>
      </c>
      <c r="K55" s="267" t="str">
        <f t="shared" ca="1" si="5"/>
        <v>Corpus Christi</v>
      </c>
    </row>
    <row r="56" spans="1:11" x14ac:dyDescent="0.25">
      <c r="E56">
        <f t="shared" si="0"/>
        <v>2000.56</v>
      </c>
      <c r="F56" t="str">
        <f t="shared" si="1"/>
        <v/>
      </c>
      <c r="G56">
        <v>55</v>
      </c>
      <c r="H56">
        <f t="shared" ca="1" si="2"/>
        <v>111</v>
      </c>
      <c r="I56" s="265">
        <f t="shared" ca="1" si="3"/>
        <v>43636</v>
      </c>
      <c r="J56" s="267">
        <f t="shared" ca="1" si="4"/>
        <v>0.5</v>
      </c>
      <c r="K56" s="267" t="str">
        <f t="shared" ca="1" si="5"/>
        <v>Inverno</v>
      </c>
    </row>
    <row r="57" spans="1:11" x14ac:dyDescent="0.25">
      <c r="E57">
        <f t="shared" si="0"/>
        <v>2000.57</v>
      </c>
      <c r="F57" t="str">
        <f t="shared" si="1"/>
        <v/>
      </c>
      <c r="G57">
        <v>56</v>
      </c>
      <c r="H57">
        <f t="shared" ca="1" si="2"/>
        <v>73</v>
      </c>
      <c r="I57" s="265">
        <f t="shared" ca="1" si="3"/>
        <v>43672</v>
      </c>
      <c r="J57" s="267">
        <f t="shared" ca="1" si="4"/>
        <v>0.5</v>
      </c>
      <c r="K57" s="267" t="str">
        <f t="shared" ca="1" si="5"/>
        <v>Dia da Vovó</v>
      </c>
    </row>
    <row r="58" spans="1:11" x14ac:dyDescent="0.25">
      <c r="E58">
        <f t="shared" si="0"/>
        <v>2000.58</v>
      </c>
      <c r="F58" t="str">
        <f t="shared" si="1"/>
        <v/>
      </c>
      <c r="G58">
        <v>57</v>
      </c>
      <c r="H58">
        <f t="shared" ca="1" si="2"/>
        <v>74</v>
      </c>
      <c r="I58" s="265">
        <f t="shared" ca="1" si="3"/>
        <v>43688</v>
      </c>
      <c r="J58" s="267">
        <f t="shared" ca="1" si="4"/>
        <v>0.5</v>
      </c>
      <c r="K58" s="267" t="str">
        <f t="shared" ca="1" si="5"/>
        <v>Dia Nacional do Estudante</v>
      </c>
    </row>
    <row r="59" spans="1:11" x14ac:dyDescent="0.25">
      <c r="E59">
        <f t="shared" si="0"/>
        <v>2000.59</v>
      </c>
      <c r="F59" t="str">
        <f t="shared" si="1"/>
        <v/>
      </c>
      <c r="G59">
        <v>58</v>
      </c>
      <c r="H59">
        <f t="shared" ca="1" si="2"/>
        <v>104</v>
      </c>
      <c r="I59" s="265">
        <f t="shared" ca="1" si="3"/>
        <v>43688</v>
      </c>
      <c r="J59" s="267">
        <f t="shared" ca="1" si="4"/>
        <v>0.5</v>
      </c>
      <c r="K59" s="267" t="str">
        <f t="shared" ca="1" si="5"/>
        <v>Dia dos Pais (2º domingo de agosto)</v>
      </c>
    </row>
    <row r="60" spans="1:11" x14ac:dyDescent="0.25">
      <c r="E60">
        <f t="shared" si="0"/>
        <v>2000.6</v>
      </c>
      <c r="F60" t="str">
        <f t="shared" si="1"/>
        <v/>
      </c>
      <c r="G60">
        <v>59</v>
      </c>
      <c r="H60">
        <f t="shared" ca="1" si="2"/>
        <v>75</v>
      </c>
      <c r="I60" s="265">
        <f t="shared" ca="1" si="3"/>
        <v>43715</v>
      </c>
      <c r="J60" s="267">
        <f t="shared" ca="1" si="4"/>
        <v>-11</v>
      </c>
      <c r="K60" s="267" t="str">
        <f t="shared" ca="1" si="5"/>
        <v>Independência</v>
      </c>
    </row>
    <row r="61" spans="1:11" x14ac:dyDescent="0.25">
      <c r="A61" t="str">
        <f ca="1">A1</f>
        <v>FERIADOS, COMEMORAÇÕES E ANIVERSÁRIOS</v>
      </c>
      <c r="B61" s="267"/>
      <c r="E61">
        <f t="shared" si="0"/>
        <v>2000.61</v>
      </c>
      <c r="F61" t="str">
        <f t="shared" si="1"/>
        <v/>
      </c>
      <c r="G61">
        <v>60</v>
      </c>
      <c r="H61">
        <f t="shared" ca="1" si="2"/>
        <v>112</v>
      </c>
      <c r="I61" s="265">
        <f t="shared" ca="1" si="3"/>
        <v>43730</v>
      </c>
      <c r="J61" s="267">
        <f t="shared" ca="1" si="4"/>
        <v>0.5</v>
      </c>
      <c r="K61" s="267" t="str">
        <f t="shared" ca="1" si="5"/>
        <v>Primavera</v>
      </c>
    </row>
    <row r="62" spans="1:11" x14ac:dyDescent="0.25">
      <c r="B62" s="267" t="str">
        <f ca="1">Holidays!D2</f>
        <v>Data</v>
      </c>
      <c r="C62" t="str">
        <f t="shared" ref="C62:D113" ca="1" si="6">C2</f>
        <v>Nome</v>
      </c>
      <c r="D62" t="str">
        <f t="shared" si="6"/>
        <v>CodType</v>
      </c>
      <c r="E62">
        <f t="shared" ca="1" si="0"/>
        <v>2000.62</v>
      </c>
      <c r="F62" t="str">
        <f t="shared" ca="1" si="1"/>
        <v/>
      </c>
      <c r="G62">
        <v>61</v>
      </c>
      <c r="H62">
        <f t="shared" ca="1" si="2"/>
        <v>76</v>
      </c>
      <c r="I62" s="265">
        <f t="shared" ca="1" si="3"/>
        <v>43739</v>
      </c>
      <c r="J62" s="267">
        <f t="shared" ca="1" si="4"/>
        <v>0.5</v>
      </c>
      <c r="K62" s="267" t="str">
        <f t="shared" ca="1" si="5"/>
        <v>Dia Internacional do Idoso</v>
      </c>
    </row>
    <row r="63" spans="1:11" x14ac:dyDescent="0.25">
      <c r="A63" t="str">
        <f ca="1">A3</f>
        <v>FIXOS</v>
      </c>
      <c r="B63" s="267"/>
      <c r="E63">
        <f t="shared" si="0"/>
        <v>2000.63</v>
      </c>
      <c r="F63" t="str">
        <f t="shared" si="1"/>
        <v/>
      </c>
      <c r="G63">
        <v>62</v>
      </c>
      <c r="H63">
        <f t="shared" ca="1" si="2"/>
        <v>77</v>
      </c>
      <c r="I63" s="265">
        <f t="shared" ca="1" si="3"/>
        <v>43750</v>
      </c>
      <c r="J63" s="267">
        <f t="shared" ca="1" si="4"/>
        <v>-11</v>
      </c>
      <c r="K63" s="267" t="str">
        <f t="shared" ca="1" si="5"/>
        <v>N. Sra. Aparecida / Dia das Crianças</v>
      </c>
    </row>
    <row r="64" spans="1:11" x14ac:dyDescent="0.25">
      <c r="B64" s="265">
        <f>Holidays!D4</f>
        <v>43466</v>
      </c>
      <c r="C64" t="str">
        <f t="shared" si="6"/>
        <v>Confraternização Universal</v>
      </c>
      <c r="D64">
        <f t="shared" ca="1" si="6"/>
        <v>-11</v>
      </c>
      <c r="E64">
        <f t="shared" ca="1" si="0"/>
        <v>37.64</v>
      </c>
      <c r="F64">
        <f t="shared" ca="1" si="1"/>
        <v>37</v>
      </c>
      <c r="G64">
        <v>63</v>
      </c>
      <c r="H64">
        <f t="shared" ca="1" si="2"/>
        <v>78</v>
      </c>
      <c r="I64" s="265">
        <f t="shared" ca="1" si="3"/>
        <v>43753</v>
      </c>
      <c r="J64" s="267">
        <f t="shared" ca="1" si="4"/>
        <v>0.5</v>
      </c>
      <c r="K64" s="267" t="str">
        <f t="shared" ca="1" si="5"/>
        <v>Dia do Professor</v>
      </c>
    </row>
    <row r="65" spans="2:11" x14ac:dyDescent="0.25">
      <c r="B65" s="265">
        <f>Holidays!D5</f>
        <v>43532</v>
      </c>
      <c r="C65" t="str">
        <f t="shared" si="6"/>
        <v>Dia Internacional da Mulher</v>
      </c>
      <c r="D65">
        <f t="shared" ca="1" si="6"/>
        <v>0.5</v>
      </c>
      <c r="E65">
        <f t="shared" ca="1" si="0"/>
        <v>40.65</v>
      </c>
      <c r="F65">
        <f t="shared" ca="1" si="1"/>
        <v>40</v>
      </c>
      <c r="G65">
        <v>64</v>
      </c>
      <c r="H65">
        <f t="shared" ca="1" si="2"/>
        <v>79</v>
      </c>
      <c r="I65" s="265">
        <f t="shared" ca="1" si="3"/>
        <v>43766</v>
      </c>
      <c r="J65" s="267">
        <f t="shared" ca="1" si="4"/>
        <v>0.5</v>
      </c>
      <c r="K65" s="267" t="str">
        <f t="shared" ca="1" si="5"/>
        <v>Dia do Servidor Público</v>
      </c>
    </row>
    <row r="66" spans="2:11" x14ac:dyDescent="0.25">
      <c r="B66" s="265">
        <f>Holidays!D6</f>
        <v>43573</v>
      </c>
      <c r="C66" t="str">
        <f t="shared" si="6"/>
        <v>Dia do Amigo</v>
      </c>
      <c r="D66">
        <f t="shared" ca="1" si="6"/>
        <v>0.5</v>
      </c>
      <c r="E66">
        <f t="shared" ca="1" si="0"/>
        <v>43.66</v>
      </c>
      <c r="F66">
        <f t="shared" ca="1" si="1"/>
        <v>43</v>
      </c>
      <c r="G66">
        <v>65</v>
      </c>
      <c r="H66">
        <f t="shared" ca="1" si="2"/>
        <v>80</v>
      </c>
      <c r="I66" s="265">
        <f t="shared" ca="1" si="3"/>
        <v>43768</v>
      </c>
      <c r="J66" s="267">
        <f t="shared" ca="1" si="4"/>
        <v>0.5</v>
      </c>
      <c r="K66" s="267" t="str">
        <f t="shared" ca="1" si="5"/>
        <v>Dia do Comerciário</v>
      </c>
    </row>
    <row r="67" spans="2:11" x14ac:dyDescent="0.25">
      <c r="B67" s="265">
        <f>Holidays!D7</f>
        <v>43574</v>
      </c>
      <c r="C67" t="str">
        <f t="shared" si="6"/>
        <v>Dia do Índio</v>
      </c>
      <c r="D67">
        <f t="shared" ca="1" si="6"/>
        <v>0.5</v>
      </c>
      <c r="E67">
        <f t="shared" ref="E67:E130" ca="1" si="7">IF(ISNUMBER(B67),IFERROR(RANK(B67,$B$1:$B$233,1),1000),2000)+(ROW(E67)/100)</f>
        <v>44.67</v>
      </c>
      <c r="F67">
        <f t="shared" ref="F67:F130" ca="1" si="8">IF(E67&gt;2000,"",RANK(E67,$E$1:$E$233,1))</f>
        <v>44</v>
      </c>
      <c r="G67">
        <v>66</v>
      </c>
      <c r="H67">
        <f t="shared" ref="H67:H130" ca="1" si="9">IFERROR(MATCH(G67,$F$1:$F$233,0),"---")</f>
        <v>81</v>
      </c>
      <c r="I67" s="265">
        <f t="shared" ref="I67:I130" ca="1" si="10">IFERROR(INDEX(B$1:B$233,$H67),"---")</f>
        <v>43770</v>
      </c>
      <c r="J67" s="267">
        <f t="shared" ref="J67:J130" ca="1" si="11">IFERROR(INDEX(D$1:D$233,$H67),"---")</f>
        <v>0.5</v>
      </c>
      <c r="K67" s="267" t="str">
        <f t="shared" ref="K67:K130" ca="1" si="12">IFERROR(INDEX(C$1:C$233,$H67),"---")</f>
        <v>Dia de Todos os Santos</v>
      </c>
    </row>
    <row r="68" spans="2:11" x14ac:dyDescent="0.25">
      <c r="B68" s="265">
        <f>Holidays!D8</f>
        <v>43576</v>
      </c>
      <c r="C68" t="str">
        <f t="shared" si="6"/>
        <v>Tiradentes</v>
      </c>
      <c r="D68">
        <f t="shared" ca="1" si="6"/>
        <v>-11</v>
      </c>
      <c r="E68">
        <f t="shared" ca="1" si="7"/>
        <v>47.68</v>
      </c>
      <c r="F68">
        <f t="shared" ca="1" si="8"/>
        <v>47</v>
      </c>
      <c r="G68">
        <v>67</v>
      </c>
      <c r="H68">
        <f t="shared" ca="1" si="9"/>
        <v>82</v>
      </c>
      <c r="I68" s="265">
        <f t="shared" ca="1" si="10"/>
        <v>43771</v>
      </c>
      <c r="J68" s="267">
        <f t="shared" ca="1" si="11"/>
        <v>-11</v>
      </c>
      <c r="K68" s="267" t="str">
        <f t="shared" ca="1" si="12"/>
        <v>Finados</v>
      </c>
    </row>
    <row r="69" spans="2:11" x14ac:dyDescent="0.25">
      <c r="B69" s="265">
        <f>Holidays!D9</f>
        <v>43577</v>
      </c>
      <c r="C69" t="str">
        <f t="shared" si="6"/>
        <v>Dia do Descobrimento do Brasil</v>
      </c>
      <c r="D69">
        <f t="shared" ca="1" si="6"/>
        <v>0.5</v>
      </c>
      <c r="E69">
        <f t="shared" ca="1" si="7"/>
        <v>49.69</v>
      </c>
      <c r="F69">
        <f t="shared" ca="1" si="8"/>
        <v>49</v>
      </c>
      <c r="G69">
        <v>68</v>
      </c>
      <c r="H69">
        <f t="shared" ca="1" si="9"/>
        <v>83</v>
      </c>
      <c r="I69" s="265">
        <f t="shared" ca="1" si="10"/>
        <v>43784</v>
      </c>
      <c r="J69" s="267">
        <f t="shared" ca="1" si="11"/>
        <v>-11</v>
      </c>
      <c r="K69" s="267" t="str">
        <f t="shared" ca="1" si="12"/>
        <v>Proc. da República</v>
      </c>
    </row>
    <row r="70" spans="2:11" x14ac:dyDescent="0.25">
      <c r="B70" s="265">
        <f>Holidays!D10</f>
        <v>43586</v>
      </c>
      <c r="C70" t="str">
        <f t="shared" si="6"/>
        <v>Dia do Trabalho</v>
      </c>
      <c r="D70">
        <f t="shared" ca="1" si="6"/>
        <v>-11</v>
      </c>
      <c r="E70">
        <f t="shared" ca="1" si="7"/>
        <v>50.7</v>
      </c>
      <c r="F70">
        <f t="shared" ca="1" si="8"/>
        <v>50</v>
      </c>
      <c r="G70">
        <v>69</v>
      </c>
      <c r="H70">
        <f t="shared" ca="1" si="9"/>
        <v>84</v>
      </c>
      <c r="I70" s="265">
        <f t="shared" ca="1" si="10"/>
        <v>43788</v>
      </c>
      <c r="J70" s="267">
        <f t="shared" ca="1" si="11"/>
        <v>0.5</v>
      </c>
      <c r="K70" s="267" t="str">
        <f t="shared" ca="1" si="12"/>
        <v>Dia da Bandeira</v>
      </c>
    </row>
    <row r="71" spans="2:11" x14ac:dyDescent="0.25">
      <c r="B71" s="265">
        <f>Holidays!D11</f>
        <v>43598</v>
      </c>
      <c r="C71" t="str">
        <f t="shared" si="6"/>
        <v>Dia da Abolição da Escravidão</v>
      </c>
      <c r="D71">
        <f t="shared" ca="1" si="6"/>
        <v>0.5</v>
      </c>
      <c r="E71">
        <f t="shared" ca="1" si="7"/>
        <v>52.71</v>
      </c>
      <c r="F71">
        <f t="shared" ca="1" si="8"/>
        <v>52</v>
      </c>
      <c r="G71">
        <v>70</v>
      </c>
      <c r="H71">
        <f t="shared" ca="1" si="9"/>
        <v>85</v>
      </c>
      <c r="I71" s="265">
        <f t="shared" ca="1" si="10"/>
        <v>43789</v>
      </c>
      <c r="J71" s="267">
        <f t="shared" ca="1" si="11"/>
        <v>0.5</v>
      </c>
      <c r="K71" s="267" t="str">
        <f t="shared" ca="1" si="12"/>
        <v>Dia da Consciência Negra</v>
      </c>
    </row>
    <row r="72" spans="2:11" x14ac:dyDescent="0.25">
      <c r="B72" s="265">
        <f>Holidays!D12</f>
        <v>43628</v>
      </c>
      <c r="C72" t="str">
        <f t="shared" si="6"/>
        <v>Dia dos Namorados</v>
      </c>
      <c r="D72">
        <f t="shared" ca="1" si="6"/>
        <v>0.5</v>
      </c>
      <c r="E72">
        <f t="shared" ca="1" si="7"/>
        <v>53.72</v>
      </c>
      <c r="F72">
        <f t="shared" ca="1" si="8"/>
        <v>53</v>
      </c>
      <c r="G72">
        <v>71</v>
      </c>
      <c r="H72">
        <f t="shared" ca="1" si="9"/>
        <v>113</v>
      </c>
      <c r="I72" s="265">
        <f t="shared" ca="1" si="10"/>
        <v>43820</v>
      </c>
      <c r="J72" s="267">
        <f t="shared" ca="1" si="11"/>
        <v>0.5</v>
      </c>
      <c r="K72" s="267" t="str">
        <f t="shared" ca="1" si="12"/>
        <v>Verão</v>
      </c>
    </row>
    <row r="73" spans="2:11" x14ac:dyDescent="0.25">
      <c r="B73" s="265">
        <f>Holidays!D13</f>
        <v>43672</v>
      </c>
      <c r="C73" t="str">
        <f t="shared" si="6"/>
        <v>Dia da Vovó</v>
      </c>
      <c r="D73">
        <f t="shared" ca="1" si="6"/>
        <v>0.5</v>
      </c>
      <c r="E73">
        <f t="shared" ca="1" si="7"/>
        <v>56.73</v>
      </c>
      <c r="F73">
        <f t="shared" ca="1" si="8"/>
        <v>56</v>
      </c>
      <c r="G73">
        <v>72</v>
      </c>
      <c r="H73">
        <f t="shared" ca="1" si="9"/>
        <v>86</v>
      </c>
      <c r="I73" s="265">
        <f t="shared" ca="1" si="10"/>
        <v>43824</v>
      </c>
      <c r="J73" s="267">
        <f t="shared" ca="1" si="11"/>
        <v>-11</v>
      </c>
      <c r="K73" s="267" t="str">
        <f t="shared" ca="1" si="12"/>
        <v>Natal</v>
      </c>
    </row>
    <row r="74" spans="2:11" x14ac:dyDescent="0.25">
      <c r="B74" s="265">
        <f>Holidays!D14</f>
        <v>43688</v>
      </c>
      <c r="C74" t="str">
        <f t="shared" si="6"/>
        <v>Dia Nacional do Estudante</v>
      </c>
      <c r="D74">
        <f t="shared" ca="1" si="6"/>
        <v>0.5</v>
      </c>
      <c r="E74">
        <f t="shared" ca="1" si="7"/>
        <v>57.74</v>
      </c>
      <c r="F74">
        <f t="shared" ca="1" si="8"/>
        <v>57</v>
      </c>
      <c r="G74">
        <v>73</v>
      </c>
      <c r="H74">
        <f t="shared" ca="1" si="9"/>
        <v>124</v>
      </c>
      <c r="I74" s="265">
        <f t="shared" ca="1" si="10"/>
        <v>43831</v>
      </c>
      <c r="J74" s="267">
        <f t="shared" ca="1" si="11"/>
        <v>-11</v>
      </c>
      <c r="K74" s="267" t="str">
        <f t="shared" ca="1" si="12"/>
        <v>Confraternização Universal</v>
      </c>
    </row>
    <row r="75" spans="2:11" x14ac:dyDescent="0.25">
      <c r="B75" s="265">
        <f>Holidays!D15</f>
        <v>43715</v>
      </c>
      <c r="C75" t="str">
        <f t="shared" si="6"/>
        <v>Independência</v>
      </c>
      <c r="D75">
        <f t="shared" ca="1" si="6"/>
        <v>-11</v>
      </c>
      <c r="E75">
        <f t="shared" ca="1" si="7"/>
        <v>59.75</v>
      </c>
      <c r="F75">
        <f t="shared" ca="1" si="8"/>
        <v>59</v>
      </c>
      <c r="G75">
        <v>74</v>
      </c>
      <c r="H75">
        <f t="shared" ca="1" si="9"/>
        <v>149</v>
      </c>
      <c r="I75" s="265">
        <f t="shared" ca="1" si="10"/>
        <v>43886</v>
      </c>
      <c r="J75" s="267">
        <f t="shared" ca="1" si="11"/>
        <v>-11</v>
      </c>
      <c r="K75" s="267" t="str">
        <f t="shared" ca="1" si="12"/>
        <v>Carnaval</v>
      </c>
    </row>
    <row r="76" spans="2:11" x14ac:dyDescent="0.25">
      <c r="B76" s="265">
        <f>Holidays!D16</f>
        <v>43739</v>
      </c>
      <c r="C76" t="str">
        <f t="shared" si="6"/>
        <v>Dia Internacional do Idoso</v>
      </c>
      <c r="D76">
        <f t="shared" ca="1" si="6"/>
        <v>0.5</v>
      </c>
      <c r="E76">
        <f t="shared" ca="1" si="7"/>
        <v>61.76</v>
      </c>
      <c r="F76">
        <f t="shared" ca="1" si="8"/>
        <v>61</v>
      </c>
      <c r="G76">
        <v>75</v>
      </c>
      <c r="H76">
        <f t="shared" ca="1" si="9"/>
        <v>150</v>
      </c>
      <c r="I76" s="265">
        <f t="shared" ca="1" si="10"/>
        <v>43887</v>
      </c>
      <c r="J76" s="267">
        <f t="shared" ca="1" si="11"/>
        <v>0.5</v>
      </c>
      <c r="K76" s="267" t="str">
        <f t="shared" ca="1" si="12"/>
        <v>Quarta-feira de Cinzas</v>
      </c>
    </row>
    <row r="77" spans="2:11" x14ac:dyDescent="0.25">
      <c r="B77" s="265">
        <f>Holidays!D17</f>
        <v>43750</v>
      </c>
      <c r="C77" t="str">
        <f t="shared" si="6"/>
        <v>N. Sra. Aparecida / Dia das Crianças</v>
      </c>
      <c r="D77">
        <f t="shared" ca="1" si="6"/>
        <v>-11</v>
      </c>
      <c r="E77">
        <f t="shared" ca="1" si="7"/>
        <v>62.77</v>
      </c>
      <c r="F77">
        <f t="shared" ca="1" si="8"/>
        <v>62</v>
      </c>
      <c r="G77">
        <v>76</v>
      </c>
      <c r="H77">
        <f t="shared" ca="1" si="9"/>
        <v>125</v>
      </c>
      <c r="I77" s="265">
        <f t="shared" ca="1" si="10"/>
        <v>43898</v>
      </c>
      <c r="J77" s="267">
        <f t="shared" ca="1" si="11"/>
        <v>0.5</v>
      </c>
      <c r="K77" s="267" t="str">
        <f t="shared" ca="1" si="12"/>
        <v>Dia Internacional da Mulher</v>
      </c>
    </row>
    <row r="78" spans="2:11" x14ac:dyDescent="0.25">
      <c r="B78" s="265">
        <f>Holidays!D18</f>
        <v>43753</v>
      </c>
      <c r="C78" t="str">
        <f t="shared" si="6"/>
        <v>Dia do Professor</v>
      </c>
      <c r="D78">
        <f t="shared" ca="1" si="6"/>
        <v>0.5</v>
      </c>
      <c r="E78">
        <f t="shared" ca="1" si="7"/>
        <v>63.78</v>
      </c>
      <c r="F78">
        <f t="shared" ca="1" si="8"/>
        <v>63</v>
      </c>
      <c r="G78">
        <v>77</v>
      </c>
      <c r="H78">
        <f t="shared" ca="1" si="9"/>
        <v>170</v>
      </c>
      <c r="I78" s="265">
        <f t="shared" ca="1" si="10"/>
        <v>43910</v>
      </c>
      <c r="J78" s="267">
        <f t="shared" ca="1" si="11"/>
        <v>0.5</v>
      </c>
      <c r="K78" s="267" t="str">
        <f t="shared" ca="1" si="12"/>
        <v>Outono</v>
      </c>
    </row>
    <row r="79" spans="2:11" x14ac:dyDescent="0.25">
      <c r="B79" s="265">
        <f>Holidays!D19</f>
        <v>43766</v>
      </c>
      <c r="C79" t="str">
        <f t="shared" si="6"/>
        <v>Dia do Servidor Público</v>
      </c>
      <c r="D79">
        <f t="shared" ca="1" si="6"/>
        <v>0.5</v>
      </c>
      <c r="E79">
        <f t="shared" ca="1" si="7"/>
        <v>64.790000000000006</v>
      </c>
      <c r="F79">
        <f t="shared" ca="1" si="8"/>
        <v>64</v>
      </c>
      <c r="G79">
        <v>78</v>
      </c>
      <c r="H79">
        <f t="shared" ca="1" si="9"/>
        <v>151</v>
      </c>
      <c r="I79" s="265">
        <f t="shared" ca="1" si="10"/>
        <v>43926</v>
      </c>
      <c r="J79" s="267">
        <f t="shared" ca="1" si="11"/>
        <v>0.5</v>
      </c>
      <c r="K79" s="267" t="str">
        <f t="shared" ca="1" si="12"/>
        <v>Domingo de Ramos</v>
      </c>
    </row>
    <row r="80" spans="2:11" x14ac:dyDescent="0.25">
      <c r="B80" s="265">
        <f>Holidays!D20</f>
        <v>43768</v>
      </c>
      <c r="C80" t="str">
        <f t="shared" si="6"/>
        <v>Dia do Comerciário</v>
      </c>
      <c r="D80">
        <f t="shared" ca="1" si="6"/>
        <v>0.5</v>
      </c>
      <c r="E80">
        <f t="shared" ca="1" si="7"/>
        <v>65.8</v>
      </c>
      <c r="F80">
        <f t="shared" ca="1" si="8"/>
        <v>65</v>
      </c>
      <c r="G80">
        <v>79</v>
      </c>
      <c r="H80">
        <f t="shared" ca="1" si="9"/>
        <v>152</v>
      </c>
      <c r="I80" s="265">
        <f t="shared" ca="1" si="10"/>
        <v>43931</v>
      </c>
      <c r="J80" s="267">
        <f t="shared" ca="1" si="11"/>
        <v>-11</v>
      </c>
      <c r="K80" s="267" t="str">
        <f t="shared" ca="1" si="12"/>
        <v>Paixão de Cristo</v>
      </c>
    </row>
    <row r="81" spans="1:11" x14ac:dyDescent="0.25">
      <c r="B81" s="265">
        <f>Holidays!D21</f>
        <v>43770</v>
      </c>
      <c r="C81" t="str">
        <f t="shared" si="6"/>
        <v>Dia de Todos os Santos</v>
      </c>
      <c r="D81">
        <f t="shared" ca="1" si="6"/>
        <v>0.5</v>
      </c>
      <c r="E81">
        <f t="shared" ca="1" si="7"/>
        <v>66.81</v>
      </c>
      <c r="F81">
        <f t="shared" ca="1" si="8"/>
        <v>66</v>
      </c>
      <c r="G81">
        <v>80</v>
      </c>
      <c r="H81">
        <f t="shared" ca="1" si="9"/>
        <v>153</v>
      </c>
      <c r="I81" s="265">
        <f t="shared" ca="1" si="10"/>
        <v>43932</v>
      </c>
      <c r="J81" s="267">
        <f t="shared" ca="1" si="11"/>
        <v>0.5</v>
      </c>
      <c r="K81" s="267" t="str">
        <f t="shared" ca="1" si="12"/>
        <v>Sábado de Aleluia</v>
      </c>
    </row>
    <row r="82" spans="1:11" x14ac:dyDescent="0.25">
      <c r="B82" s="265">
        <f>Holidays!D22</f>
        <v>43771</v>
      </c>
      <c r="C82" t="str">
        <f t="shared" si="6"/>
        <v>Finados</v>
      </c>
      <c r="D82">
        <f t="shared" ca="1" si="6"/>
        <v>-11</v>
      </c>
      <c r="E82">
        <f t="shared" ca="1" si="7"/>
        <v>67.819999999999993</v>
      </c>
      <c r="F82">
        <f t="shared" ca="1" si="8"/>
        <v>67</v>
      </c>
      <c r="G82">
        <v>81</v>
      </c>
      <c r="H82">
        <f t="shared" ca="1" si="9"/>
        <v>154</v>
      </c>
      <c r="I82" s="265">
        <f t="shared" ca="1" si="10"/>
        <v>43933</v>
      </c>
      <c r="J82" s="267">
        <f t="shared" ca="1" si="11"/>
        <v>-11</v>
      </c>
      <c r="K82" s="267" t="str">
        <f t="shared" ca="1" si="12"/>
        <v>Páscoa</v>
      </c>
    </row>
    <row r="83" spans="1:11" x14ac:dyDescent="0.25">
      <c r="B83" s="265">
        <f>Holidays!D23</f>
        <v>43784</v>
      </c>
      <c r="C83" t="str">
        <f t="shared" si="6"/>
        <v>Proc. da República</v>
      </c>
      <c r="D83">
        <f t="shared" ca="1" si="6"/>
        <v>-11</v>
      </c>
      <c r="E83">
        <f t="shared" ca="1" si="7"/>
        <v>68.83</v>
      </c>
      <c r="F83">
        <f t="shared" ca="1" si="8"/>
        <v>68</v>
      </c>
      <c r="G83">
        <v>82</v>
      </c>
      <c r="H83">
        <f t="shared" ca="1" si="9"/>
        <v>126</v>
      </c>
      <c r="I83" s="265">
        <f t="shared" ca="1" si="10"/>
        <v>43939</v>
      </c>
      <c r="J83" s="267">
        <f t="shared" ca="1" si="11"/>
        <v>0.5</v>
      </c>
      <c r="K83" s="267" t="str">
        <f t="shared" ca="1" si="12"/>
        <v>Dia do Amigo</v>
      </c>
    </row>
    <row r="84" spans="1:11" x14ac:dyDescent="0.25">
      <c r="B84" s="265">
        <f>Holidays!D24</f>
        <v>43788</v>
      </c>
      <c r="C84" t="str">
        <f t="shared" si="6"/>
        <v>Dia da Bandeira</v>
      </c>
      <c r="D84">
        <f t="shared" ca="1" si="6"/>
        <v>0.5</v>
      </c>
      <c r="E84">
        <f t="shared" ca="1" si="7"/>
        <v>69.84</v>
      </c>
      <c r="F84">
        <f t="shared" ca="1" si="8"/>
        <v>69</v>
      </c>
      <c r="G84">
        <v>83</v>
      </c>
      <c r="H84">
        <f t="shared" ca="1" si="9"/>
        <v>127</v>
      </c>
      <c r="I84" s="265">
        <f t="shared" ca="1" si="10"/>
        <v>43940</v>
      </c>
      <c r="J84" s="267">
        <f t="shared" ca="1" si="11"/>
        <v>0.5</v>
      </c>
      <c r="K84" s="267" t="str">
        <f t="shared" ca="1" si="12"/>
        <v>Dia do Índio</v>
      </c>
    </row>
    <row r="85" spans="1:11" x14ac:dyDescent="0.25">
      <c r="B85" s="265">
        <f>Holidays!D25</f>
        <v>43789</v>
      </c>
      <c r="C85" t="str">
        <f t="shared" si="6"/>
        <v>Dia da Consciência Negra</v>
      </c>
      <c r="D85">
        <f t="shared" ca="1" si="6"/>
        <v>0.5</v>
      </c>
      <c r="E85">
        <f t="shared" ca="1" si="7"/>
        <v>70.849999999999994</v>
      </c>
      <c r="F85">
        <f t="shared" ca="1" si="8"/>
        <v>70</v>
      </c>
      <c r="G85">
        <v>84</v>
      </c>
      <c r="H85">
        <f t="shared" ca="1" si="9"/>
        <v>128</v>
      </c>
      <c r="I85" s="265">
        <f t="shared" ca="1" si="10"/>
        <v>43942</v>
      </c>
      <c r="J85" s="267">
        <f t="shared" ca="1" si="11"/>
        <v>-11</v>
      </c>
      <c r="K85" s="267" t="str">
        <f t="shared" ca="1" si="12"/>
        <v>Tiradentes</v>
      </c>
    </row>
    <row r="86" spans="1:11" x14ac:dyDescent="0.25">
      <c r="B86" s="265">
        <f>Holidays!D26</f>
        <v>43824</v>
      </c>
      <c r="C86" t="str">
        <f t="shared" si="6"/>
        <v>Natal</v>
      </c>
      <c r="D86">
        <f t="shared" ca="1" si="6"/>
        <v>-11</v>
      </c>
      <c r="E86">
        <f t="shared" ca="1" si="7"/>
        <v>72.86</v>
      </c>
      <c r="F86">
        <f t="shared" ca="1" si="8"/>
        <v>72</v>
      </c>
      <c r="G86">
        <v>85</v>
      </c>
      <c r="H86">
        <f t="shared" ca="1" si="9"/>
        <v>129</v>
      </c>
      <c r="I86" s="265">
        <f t="shared" ca="1" si="10"/>
        <v>43943</v>
      </c>
      <c r="J86" s="267">
        <f t="shared" ca="1" si="11"/>
        <v>0.5</v>
      </c>
      <c r="K86" s="267" t="str">
        <f t="shared" ca="1" si="12"/>
        <v>Dia do Descobrimento do Brasil</v>
      </c>
    </row>
    <row r="87" spans="1:11" x14ac:dyDescent="0.25">
      <c r="B87" s="265" t="str">
        <f>Holidays!D27</f>
        <v/>
      </c>
      <c r="C87">
        <f t="shared" si="6"/>
        <v>0</v>
      </c>
      <c r="D87" t="str">
        <f t="shared" ca="1" si="6"/>
        <v/>
      </c>
      <c r="E87">
        <f t="shared" si="7"/>
        <v>2000.87</v>
      </c>
      <c r="F87" t="str">
        <f t="shared" si="8"/>
        <v/>
      </c>
      <c r="G87">
        <v>86</v>
      </c>
      <c r="H87">
        <f t="shared" ca="1" si="9"/>
        <v>130</v>
      </c>
      <c r="I87" s="265">
        <f t="shared" ca="1" si="10"/>
        <v>43952</v>
      </c>
      <c r="J87" s="267">
        <f t="shared" ca="1" si="11"/>
        <v>-11</v>
      </c>
      <c r="K87" s="267" t="str">
        <f t="shared" ca="1" si="12"/>
        <v>Dia do Trabalho</v>
      </c>
    </row>
    <row r="88" spans="1:11" x14ac:dyDescent="0.25">
      <c r="A88" t="str">
        <f ca="1">A28</f>
        <v>MÓVEIS COM A PÁSCOA</v>
      </c>
      <c r="B88" s="265"/>
      <c r="E88">
        <f t="shared" si="7"/>
        <v>2000.88</v>
      </c>
      <c r="F88" t="str">
        <f t="shared" si="8"/>
        <v/>
      </c>
      <c r="G88">
        <v>87</v>
      </c>
      <c r="H88">
        <f t="shared" ca="1" si="9"/>
        <v>163</v>
      </c>
      <c r="I88" s="265">
        <f t="shared" ca="1" si="10"/>
        <v>43961</v>
      </c>
      <c r="J88" s="267">
        <f t="shared" ca="1" si="11"/>
        <v>0.5</v>
      </c>
      <c r="K88" s="267" t="str">
        <f t="shared" ca="1" si="12"/>
        <v>Dia das Mães (2º domingo de maio)</v>
      </c>
    </row>
    <row r="89" spans="1:11" x14ac:dyDescent="0.25">
      <c r="B89" s="265">
        <f ca="1">Holidays!D29</f>
        <v>43529</v>
      </c>
      <c r="C89" t="str">
        <f t="shared" si="6"/>
        <v>Carnaval</v>
      </c>
      <c r="D89">
        <f t="shared" ca="1" si="6"/>
        <v>-11</v>
      </c>
      <c r="E89">
        <f t="shared" ca="1" si="7"/>
        <v>38.89</v>
      </c>
      <c r="F89">
        <f t="shared" ca="1" si="8"/>
        <v>38</v>
      </c>
      <c r="G89">
        <v>88</v>
      </c>
      <c r="H89">
        <f t="shared" ca="1" si="9"/>
        <v>131</v>
      </c>
      <c r="I89" s="265">
        <f t="shared" ca="1" si="10"/>
        <v>43964</v>
      </c>
      <c r="J89" s="267">
        <f t="shared" ca="1" si="11"/>
        <v>0.5</v>
      </c>
      <c r="K89" s="267" t="str">
        <f t="shared" ca="1" si="12"/>
        <v>Dia da Abolição da Escravidão</v>
      </c>
    </row>
    <row r="90" spans="1:11" x14ac:dyDescent="0.25">
      <c r="B90" s="265">
        <f ca="1">Holidays!D30</f>
        <v>43530</v>
      </c>
      <c r="C90" t="str">
        <f t="shared" si="6"/>
        <v>Quarta-feira de Cinzas</v>
      </c>
      <c r="D90">
        <f t="shared" ca="1" si="6"/>
        <v>0.5</v>
      </c>
      <c r="E90">
        <f t="shared" ca="1" si="7"/>
        <v>39.9</v>
      </c>
      <c r="F90">
        <f t="shared" ca="1" si="8"/>
        <v>39</v>
      </c>
      <c r="G90">
        <v>89</v>
      </c>
      <c r="H90">
        <f t="shared" ca="1" si="9"/>
        <v>155</v>
      </c>
      <c r="I90" s="265">
        <f t="shared" ca="1" si="10"/>
        <v>43993</v>
      </c>
      <c r="J90" s="267">
        <f t="shared" ca="1" si="11"/>
        <v>-11</v>
      </c>
      <c r="K90" s="267" t="str">
        <f t="shared" ca="1" si="12"/>
        <v>Corpus Christi</v>
      </c>
    </row>
    <row r="91" spans="1:11" x14ac:dyDescent="0.25">
      <c r="B91" s="265">
        <f ca="1">Holidays!D31</f>
        <v>43569</v>
      </c>
      <c r="C91" t="str">
        <f t="shared" si="6"/>
        <v>Domingo de Ramos</v>
      </c>
      <c r="D91">
        <f t="shared" ca="1" si="6"/>
        <v>0.5</v>
      </c>
      <c r="E91">
        <f t="shared" ca="1" si="7"/>
        <v>42.91</v>
      </c>
      <c r="F91">
        <f t="shared" ca="1" si="8"/>
        <v>42</v>
      </c>
      <c r="G91">
        <v>90</v>
      </c>
      <c r="H91">
        <f t="shared" ca="1" si="9"/>
        <v>132</v>
      </c>
      <c r="I91" s="265">
        <f t="shared" ca="1" si="10"/>
        <v>43994</v>
      </c>
      <c r="J91" s="267">
        <f t="shared" ca="1" si="11"/>
        <v>0.5</v>
      </c>
      <c r="K91" s="267" t="str">
        <f t="shared" ca="1" si="12"/>
        <v>Dia dos Namorados</v>
      </c>
    </row>
    <row r="92" spans="1:11" x14ac:dyDescent="0.25">
      <c r="B92" s="265">
        <f ca="1">Holidays!D32</f>
        <v>43574</v>
      </c>
      <c r="C92" t="str">
        <f t="shared" si="6"/>
        <v>Paixão de Cristo</v>
      </c>
      <c r="D92">
        <f t="shared" ca="1" si="6"/>
        <v>-11</v>
      </c>
      <c r="E92">
        <f t="shared" ca="1" si="7"/>
        <v>44.92</v>
      </c>
      <c r="F92">
        <f t="shared" ca="1" si="8"/>
        <v>45</v>
      </c>
      <c r="G92">
        <v>91</v>
      </c>
      <c r="H92">
        <f t="shared" ca="1" si="9"/>
        <v>171</v>
      </c>
      <c r="I92" s="265">
        <f t="shared" ca="1" si="10"/>
        <v>44002</v>
      </c>
      <c r="J92" s="267">
        <f t="shared" ca="1" si="11"/>
        <v>0.5</v>
      </c>
      <c r="K92" s="267" t="str">
        <f t="shared" ca="1" si="12"/>
        <v>Inverno</v>
      </c>
    </row>
    <row r="93" spans="1:11" x14ac:dyDescent="0.25">
      <c r="B93" s="265">
        <f ca="1">Holidays!D33</f>
        <v>43575</v>
      </c>
      <c r="C93" t="str">
        <f t="shared" si="6"/>
        <v>Sábado de Aleluia</v>
      </c>
      <c r="D93">
        <f t="shared" ca="1" si="6"/>
        <v>0.5</v>
      </c>
      <c r="E93">
        <f t="shared" ca="1" si="7"/>
        <v>46.93</v>
      </c>
      <c r="F93">
        <f t="shared" ca="1" si="8"/>
        <v>46</v>
      </c>
      <c r="G93">
        <v>92</v>
      </c>
      <c r="H93">
        <f t="shared" ca="1" si="9"/>
        <v>133</v>
      </c>
      <c r="I93" s="265">
        <f t="shared" ca="1" si="10"/>
        <v>44038</v>
      </c>
      <c r="J93" s="267">
        <f t="shared" ca="1" si="11"/>
        <v>0.5</v>
      </c>
      <c r="K93" s="267" t="str">
        <f t="shared" ca="1" si="12"/>
        <v>Dia da Vovó</v>
      </c>
    </row>
    <row r="94" spans="1:11" x14ac:dyDescent="0.25">
      <c r="B94" s="265">
        <f ca="1">Holidays!D34</f>
        <v>43576</v>
      </c>
      <c r="C94" t="str">
        <f t="shared" si="6"/>
        <v>Páscoa</v>
      </c>
      <c r="D94">
        <f t="shared" ca="1" si="6"/>
        <v>-11</v>
      </c>
      <c r="E94">
        <f t="shared" ca="1" si="7"/>
        <v>47.94</v>
      </c>
      <c r="F94">
        <f t="shared" ca="1" si="8"/>
        <v>48</v>
      </c>
      <c r="G94">
        <v>93</v>
      </c>
      <c r="H94">
        <f t="shared" ca="1" si="9"/>
        <v>164</v>
      </c>
      <c r="I94" s="265">
        <f t="shared" ca="1" si="10"/>
        <v>44052</v>
      </c>
      <c r="J94" s="267">
        <f t="shared" ca="1" si="11"/>
        <v>0.5</v>
      </c>
      <c r="K94" s="267" t="str">
        <f t="shared" ca="1" si="12"/>
        <v>Dia dos Pais (2º domingo de agosto)</v>
      </c>
    </row>
    <row r="95" spans="1:11" x14ac:dyDescent="0.25">
      <c r="B95" s="265">
        <f ca="1">Holidays!D35</f>
        <v>43636</v>
      </c>
      <c r="C95" t="str">
        <f t="shared" si="6"/>
        <v>Corpus Christi</v>
      </c>
      <c r="D95">
        <f t="shared" ca="1" si="6"/>
        <v>-11</v>
      </c>
      <c r="E95">
        <f t="shared" ca="1" si="7"/>
        <v>54.95</v>
      </c>
      <c r="F95">
        <f t="shared" ca="1" si="8"/>
        <v>54</v>
      </c>
      <c r="G95">
        <v>94</v>
      </c>
      <c r="H95">
        <f t="shared" ca="1" si="9"/>
        <v>134</v>
      </c>
      <c r="I95" s="265">
        <f t="shared" ca="1" si="10"/>
        <v>44054</v>
      </c>
      <c r="J95" s="267">
        <f t="shared" ca="1" si="11"/>
        <v>0.5</v>
      </c>
      <c r="K95" s="267" t="str">
        <f t="shared" ca="1" si="12"/>
        <v>Dia Nacional do Estudante</v>
      </c>
    </row>
    <row r="96" spans="1:11" x14ac:dyDescent="0.25">
      <c r="B96" s="265" t="str">
        <f ca="1">Holidays!D36</f>
        <v/>
      </c>
      <c r="C96">
        <f t="shared" si="6"/>
        <v>0</v>
      </c>
      <c r="D96" t="str">
        <f t="shared" ca="1" si="6"/>
        <v/>
      </c>
      <c r="E96">
        <f t="shared" ca="1" si="7"/>
        <v>2000.96</v>
      </c>
      <c r="F96" t="str">
        <f t="shared" ca="1" si="8"/>
        <v/>
      </c>
      <c r="G96">
        <v>95</v>
      </c>
      <c r="H96">
        <f t="shared" ca="1" si="9"/>
        <v>135</v>
      </c>
      <c r="I96" s="265">
        <f t="shared" ca="1" si="10"/>
        <v>44081</v>
      </c>
      <c r="J96" s="267">
        <f t="shared" ca="1" si="11"/>
        <v>-11</v>
      </c>
      <c r="K96" s="267" t="str">
        <f t="shared" ca="1" si="12"/>
        <v>Independência</v>
      </c>
    </row>
    <row r="97" spans="1:11" x14ac:dyDescent="0.25">
      <c r="B97" s="265" t="str">
        <f ca="1">Holidays!D37</f>
        <v/>
      </c>
      <c r="C97">
        <f t="shared" si="6"/>
        <v>0</v>
      </c>
      <c r="D97" t="str">
        <f t="shared" ca="1" si="6"/>
        <v/>
      </c>
      <c r="E97">
        <f t="shared" ca="1" si="7"/>
        <v>2000.97</v>
      </c>
      <c r="F97" t="str">
        <f t="shared" ca="1" si="8"/>
        <v/>
      </c>
      <c r="G97">
        <v>96</v>
      </c>
      <c r="H97">
        <f t="shared" ca="1" si="9"/>
        <v>172</v>
      </c>
      <c r="I97" s="265">
        <f t="shared" ca="1" si="10"/>
        <v>44096</v>
      </c>
      <c r="J97" s="267">
        <f t="shared" ca="1" si="11"/>
        <v>0.5</v>
      </c>
      <c r="K97" s="267" t="str">
        <f t="shared" ca="1" si="12"/>
        <v>Primavera</v>
      </c>
    </row>
    <row r="98" spans="1:11" x14ac:dyDescent="0.25">
      <c r="B98" s="265" t="str">
        <f ca="1">Holidays!D38</f>
        <v/>
      </c>
      <c r="C98">
        <f t="shared" si="6"/>
        <v>0</v>
      </c>
      <c r="D98" t="str">
        <f t="shared" ca="1" si="6"/>
        <v/>
      </c>
      <c r="E98">
        <f t="shared" ca="1" si="7"/>
        <v>2000.98</v>
      </c>
      <c r="F98" t="str">
        <f t="shared" ca="1" si="8"/>
        <v/>
      </c>
      <c r="G98">
        <v>97</v>
      </c>
      <c r="H98">
        <f t="shared" ca="1" si="9"/>
        <v>136</v>
      </c>
      <c r="I98" s="265">
        <f t="shared" ca="1" si="10"/>
        <v>44105</v>
      </c>
      <c r="J98" s="267">
        <f t="shared" ca="1" si="11"/>
        <v>0.5</v>
      </c>
      <c r="K98" s="267" t="str">
        <f t="shared" ca="1" si="12"/>
        <v>Dia Internacional do Idoso</v>
      </c>
    </row>
    <row r="99" spans="1:11" x14ac:dyDescent="0.25">
      <c r="B99" s="265" t="str">
        <f ca="1">Holidays!D39</f>
        <v/>
      </c>
      <c r="C99">
        <f t="shared" si="6"/>
        <v>0</v>
      </c>
      <c r="D99" t="str">
        <f t="shared" ca="1" si="6"/>
        <v/>
      </c>
      <c r="E99">
        <f t="shared" ca="1" si="7"/>
        <v>2000.99</v>
      </c>
      <c r="F99" t="str">
        <f t="shared" ca="1" si="8"/>
        <v/>
      </c>
      <c r="G99">
        <v>98</v>
      </c>
      <c r="H99">
        <f t="shared" ca="1" si="9"/>
        <v>137</v>
      </c>
      <c r="I99" s="265">
        <f t="shared" ca="1" si="10"/>
        <v>44116</v>
      </c>
      <c r="J99" s="267">
        <f t="shared" ca="1" si="11"/>
        <v>-11</v>
      </c>
      <c r="K99" s="267" t="str">
        <f t="shared" ca="1" si="12"/>
        <v>N. Sra. Aparecida / Dia das Crianças</v>
      </c>
    </row>
    <row r="100" spans="1:11" x14ac:dyDescent="0.25">
      <c r="B100" s="265" t="str">
        <f ca="1">Holidays!D40</f>
        <v/>
      </c>
      <c r="C100">
        <f t="shared" si="6"/>
        <v>0</v>
      </c>
      <c r="D100" t="str">
        <f t="shared" ca="1" si="6"/>
        <v/>
      </c>
      <c r="E100">
        <f t="shared" ca="1" si="7"/>
        <v>2001</v>
      </c>
      <c r="F100" t="str">
        <f t="shared" ca="1" si="8"/>
        <v/>
      </c>
      <c r="G100">
        <v>99</v>
      </c>
      <c r="H100">
        <f t="shared" ca="1" si="9"/>
        <v>138</v>
      </c>
      <c r="I100" s="265">
        <f t="shared" ca="1" si="10"/>
        <v>44119</v>
      </c>
      <c r="J100" s="267">
        <f t="shared" ca="1" si="11"/>
        <v>0.5</v>
      </c>
      <c r="K100" s="267" t="str">
        <f t="shared" ca="1" si="12"/>
        <v>Dia do Professor</v>
      </c>
    </row>
    <row r="101" spans="1:11" x14ac:dyDescent="0.25">
      <c r="B101" s="265" t="str">
        <f ca="1">Holidays!D41</f>
        <v/>
      </c>
      <c r="C101">
        <f t="shared" si="6"/>
        <v>0</v>
      </c>
      <c r="D101" t="str">
        <f t="shared" ca="1" si="6"/>
        <v/>
      </c>
      <c r="E101">
        <f t="shared" ca="1" si="7"/>
        <v>2001.01</v>
      </c>
      <c r="F101" t="str">
        <f t="shared" ca="1" si="8"/>
        <v/>
      </c>
      <c r="G101">
        <v>100</v>
      </c>
      <c r="H101">
        <f t="shared" ca="1" si="9"/>
        <v>139</v>
      </c>
      <c r="I101" s="265">
        <f t="shared" ca="1" si="10"/>
        <v>44132</v>
      </c>
      <c r="J101" s="267">
        <f t="shared" ca="1" si="11"/>
        <v>0.5</v>
      </c>
      <c r="K101" s="267" t="str">
        <f t="shared" ca="1" si="12"/>
        <v>Dia do Servidor Público</v>
      </c>
    </row>
    <row r="102" spans="1:11" x14ac:dyDescent="0.25">
      <c r="A102" t="str">
        <f ca="1">A42</f>
        <v>MÓVEIS - CERTO DIA DA SEMANA DE CERTO MÊS</v>
      </c>
      <c r="B102" s="265"/>
      <c r="E102">
        <f t="shared" si="7"/>
        <v>2001.02</v>
      </c>
      <c r="F102" t="str">
        <f t="shared" si="8"/>
        <v/>
      </c>
      <c r="G102">
        <v>101</v>
      </c>
      <c r="H102">
        <f t="shared" ca="1" si="9"/>
        <v>140</v>
      </c>
      <c r="I102" s="265">
        <f t="shared" ca="1" si="10"/>
        <v>44134</v>
      </c>
      <c r="J102" s="267">
        <f t="shared" ca="1" si="11"/>
        <v>0.5</v>
      </c>
      <c r="K102" s="267" t="str">
        <f t="shared" ca="1" si="12"/>
        <v>Dia do Comerciário</v>
      </c>
    </row>
    <row r="103" spans="1:11" x14ac:dyDescent="0.25">
      <c r="B103" s="265">
        <f>Holidays!D43</f>
        <v>43597</v>
      </c>
      <c r="C103" t="str">
        <f t="shared" si="6"/>
        <v>Dia das Mães (2º domingo de maio)</v>
      </c>
      <c r="D103">
        <f t="shared" ca="1" si="6"/>
        <v>0.5</v>
      </c>
      <c r="E103">
        <f t="shared" ca="1" si="7"/>
        <v>52.03</v>
      </c>
      <c r="F103">
        <f t="shared" ca="1" si="8"/>
        <v>51</v>
      </c>
      <c r="G103">
        <v>102</v>
      </c>
      <c r="H103">
        <f t="shared" ca="1" si="9"/>
        <v>141</v>
      </c>
      <c r="I103" s="265">
        <f t="shared" ca="1" si="10"/>
        <v>44136</v>
      </c>
      <c r="J103" s="267">
        <f t="shared" ca="1" si="11"/>
        <v>0.5</v>
      </c>
      <c r="K103" s="267" t="str">
        <f t="shared" ca="1" si="12"/>
        <v>Dia de Todos os Santos</v>
      </c>
    </row>
    <row r="104" spans="1:11" x14ac:dyDescent="0.25">
      <c r="B104" s="265">
        <f>Holidays!D44</f>
        <v>43688</v>
      </c>
      <c r="C104" t="str">
        <f t="shared" si="6"/>
        <v>Dia dos Pais (2º domingo de agosto)</v>
      </c>
      <c r="D104">
        <f t="shared" ca="1" si="6"/>
        <v>0.5</v>
      </c>
      <c r="E104">
        <f t="shared" ca="1" si="7"/>
        <v>58.04</v>
      </c>
      <c r="F104">
        <f t="shared" ca="1" si="8"/>
        <v>58</v>
      </c>
      <c r="G104">
        <v>103</v>
      </c>
      <c r="H104">
        <f t="shared" ca="1" si="9"/>
        <v>142</v>
      </c>
      <c r="I104" s="265">
        <f t="shared" ca="1" si="10"/>
        <v>44137</v>
      </c>
      <c r="J104" s="267">
        <f t="shared" ca="1" si="11"/>
        <v>-11</v>
      </c>
      <c r="K104" s="267" t="str">
        <f t="shared" ca="1" si="12"/>
        <v>Finados</v>
      </c>
    </row>
    <row r="105" spans="1:11" x14ac:dyDescent="0.25">
      <c r="B105" s="265" t="str">
        <f>Holidays!D45</f>
        <v/>
      </c>
      <c r="C105">
        <f t="shared" si="6"/>
        <v>0</v>
      </c>
      <c r="D105" t="str">
        <f t="shared" ca="1" si="6"/>
        <v/>
      </c>
      <c r="E105">
        <f t="shared" si="7"/>
        <v>2001.05</v>
      </c>
      <c r="F105" t="str">
        <f t="shared" si="8"/>
        <v/>
      </c>
      <c r="G105">
        <v>104</v>
      </c>
      <c r="H105">
        <f t="shared" ca="1" si="9"/>
        <v>143</v>
      </c>
      <c r="I105" s="265">
        <f t="shared" ca="1" si="10"/>
        <v>44150</v>
      </c>
      <c r="J105" s="267">
        <f t="shared" ca="1" si="11"/>
        <v>-11</v>
      </c>
      <c r="K105" s="267" t="str">
        <f t="shared" ca="1" si="12"/>
        <v>Proc. da República</v>
      </c>
    </row>
    <row r="106" spans="1:11" x14ac:dyDescent="0.25">
      <c r="B106" s="265" t="str">
        <f>Holidays!D46</f>
        <v/>
      </c>
      <c r="C106">
        <f t="shared" si="6"/>
        <v>0</v>
      </c>
      <c r="D106" t="str">
        <f t="shared" ca="1" si="6"/>
        <v/>
      </c>
      <c r="E106">
        <f t="shared" si="7"/>
        <v>2001.06</v>
      </c>
      <c r="F106" t="str">
        <f t="shared" si="8"/>
        <v/>
      </c>
      <c r="G106">
        <v>105</v>
      </c>
      <c r="H106">
        <f t="shared" ca="1" si="9"/>
        <v>144</v>
      </c>
      <c r="I106" s="265">
        <f t="shared" ca="1" si="10"/>
        <v>44154</v>
      </c>
      <c r="J106" s="267">
        <f t="shared" ca="1" si="11"/>
        <v>0.5</v>
      </c>
      <c r="K106" s="267" t="str">
        <f t="shared" ca="1" si="12"/>
        <v>Dia da Bandeira</v>
      </c>
    </row>
    <row r="107" spans="1:11" x14ac:dyDescent="0.25">
      <c r="B107" s="265" t="str">
        <f>Holidays!D47</f>
        <v/>
      </c>
      <c r="C107">
        <f t="shared" si="6"/>
        <v>0</v>
      </c>
      <c r="D107" t="str">
        <f t="shared" ca="1" si="6"/>
        <v/>
      </c>
      <c r="E107">
        <f t="shared" si="7"/>
        <v>2001.07</v>
      </c>
      <c r="F107" t="str">
        <f t="shared" si="8"/>
        <v/>
      </c>
      <c r="G107">
        <v>106</v>
      </c>
      <c r="H107">
        <f t="shared" ca="1" si="9"/>
        <v>145</v>
      </c>
      <c r="I107" s="265">
        <f t="shared" ca="1" si="10"/>
        <v>44155</v>
      </c>
      <c r="J107" s="267">
        <f t="shared" ca="1" si="11"/>
        <v>0.5</v>
      </c>
      <c r="K107" s="267" t="str">
        <f t="shared" ca="1" si="12"/>
        <v>Dia da Consciência Negra</v>
      </c>
    </row>
    <row r="108" spans="1:11" x14ac:dyDescent="0.25">
      <c r="B108" s="265" t="str">
        <f>Holidays!D48</f>
        <v/>
      </c>
      <c r="C108">
        <f t="shared" si="6"/>
        <v>0</v>
      </c>
      <c r="D108" t="str">
        <f t="shared" ca="1" si="6"/>
        <v/>
      </c>
      <c r="E108">
        <f t="shared" si="7"/>
        <v>2001.08</v>
      </c>
      <c r="F108" t="str">
        <f t="shared" si="8"/>
        <v/>
      </c>
      <c r="G108">
        <v>107</v>
      </c>
      <c r="H108">
        <f t="shared" ca="1" si="9"/>
        <v>173</v>
      </c>
      <c r="I108" s="265">
        <f t="shared" ca="1" si="10"/>
        <v>44186</v>
      </c>
      <c r="J108" s="267">
        <f t="shared" ca="1" si="11"/>
        <v>0.5</v>
      </c>
      <c r="K108" s="267" t="str">
        <f t="shared" ca="1" si="12"/>
        <v>Verão</v>
      </c>
    </row>
    <row r="109" spans="1:11" x14ac:dyDescent="0.25">
      <c r="A109" t="str">
        <f ca="1">A49</f>
        <v>ESTAÇÕES DO ANO</v>
      </c>
      <c r="B109" s="265"/>
      <c r="E109">
        <f t="shared" si="7"/>
        <v>2001.09</v>
      </c>
      <c r="F109" t="str">
        <f t="shared" si="8"/>
        <v/>
      </c>
      <c r="G109">
        <v>108</v>
      </c>
      <c r="H109">
        <f t="shared" ca="1" si="9"/>
        <v>146</v>
      </c>
      <c r="I109" s="265">
        <f t="shared" ca="1" si="10"/>
        <v>44190</v>
      </c>
      <c r="J109" s="267">
        <f t="shared" ca="1" si="11"/>
        <v>-11</v>
      </c>
      <c r="K109" s="267" t="str">
        <f t="shared" ca="1" si="12"/>
        <v>Natal</v>
      </c>
    </row>
    <row r="110" spans="1:11" x14ac:dyDescent="0.25">
      <c r="B110" s="265">
        <f>Holidays!D50</f>
        <v>43544</v>
      </c>
      <c r="C110" t="str">
        <f t="shared" ca="1" si="6"/>
        <v>Outono</v>
      </c>
      <c r="D110">
        <f t="shared" ca="1" si="6"/>
        <v>0.5</v>
      </c>
      <c r="E110">
        <f t="shared" ca="1" si="7"/>
        <v>42.1</v>
      </c>
      <c r="F110">
        <f t="shared" ca="1" si="8"/>
        <v>41</v>
      </c>
      <c r="G110">
        <v>109</v>
      </c>
      <c r="H110">
        <f t="shared" ca="1" si="9"/>
        <v>184</v>
      </c>
      <c r="I110" s="265">
        <f t="shared" ca="1" si="10"/>
        <v>44197</v>
      </c>
      <c r="J110" s="267">
        <f t="shared" ca="1" si="11"/>
        <v>-11</v>
      </c>
      <c r="K110" s="267" t="str">
        <f t="shared" ca="1" si="12"/>
        <v>Confraternização Universal</v>
      </c>
    </row>
    <row r="111" spans="1:11" x14ac:dyDescent="0.25">
      <c r="B111" s="265">
        <f>Holidays!D51</f>
        <v>43636</v>
      </c>
      <c r="C111" t="str">
        <f t="shared" ca="1" si="6"/>
        <v>Inverno</v>
      </c>
      <c r="D111">
        <f t="shared" ca="1" si="6"/>
        <v>0.5</v>
      </c>
      <c r="E111">
        <f t="shared" ca="1" si="7"/>
        <v>55.11</v>
      </c>
      <c r="F111">
        <f t="shared" ca="1" si="8"/>
        <v>55</v>
      </c>
      <c r="G111">
        <v>110</v>
      </c>
      <c r="H111">
        <f t="shared" ca="1" si="9"/>
        <v>209</v>
      </c>
      <c r="I111" s="265">
        <f t="shared" ca="1" si="10"/>
        <v>44243</v>
      </c>
      <c r="J111" s="267">
        <f t="shared" ca="1" si="11"/>
        <v>-11</v>
      </c>
      <c r="K111" s="267" t="str">
        <f t="shared" ca="1" si="12"/>
        <v>Carnaval</v>
      </c>
    </row>
    <row r="112" spans="1:11" x14ac:dyDescent="0.25">
      <c r="B112" s="265">
        <f>Holidays!D52</f>
        <v>43730</v>
      </c>
      <c r="C112" t="str">
        <f t="shared" ca="1" si="6"/>
        <v>Primavera</v>
      </c>
      <c r="D112">
        <f t="shared" ca="1" si="6"/>
        <v>0.5</v>
      </c>
      <c r="E112">
        <f t="shared" ca="1" si="7"/>
        <v>61.12</v>
      </c>
      <c r="F112">
        <f t="shared" ca="1" si="8"/>
        <v>60</v>
      </c>
      <c r="G112">
        <v>111</v>
      </c>
      <c r="H112">
        <f t="shared" ca="1" si="9"/>
        <v>210</v>
      </c>
      <c r="I112" s="265">
        <f t="shared" ca="1" si="10"/>
        <v>44244</v>
      </c>
      <c r="J112" s="267">
        <f t="shared" ca="1" si="11"/>
        <v>0.5</v>
      </c>
      <c r="K112" s="267" t="str">
        <f t="shared" ca="1" si="12"/>
        <v>Quarta-feira de Cinzas</v>
      </c>
    </row>
    <row r="113" spans="1:11" x14ac:dyDescent="0.25">
      <c r="B113" s="265">
        <f>Holidays!D53</f>
        <v>43820</v>
      </c>
      <c r="C113" t="str">
        <f t="shared" ca="1" si="6"/>
        <v>Verão</v>
      </c>
      <c r="D113">
        <f t="shared" ca="1" si="6"/>
        <v>0.5</v>
      </c>
      <c r="E113">
        <f t="shared" ca="1" si="7"/>
        <v>72.13</v>
      </c>
      <c r="F113">
        <f t="shared" ca="1" si="8"/>
        <v>71</v>
      </c>
      <c r="G113">
        <v>112</v>
      </c>
      <c r="H113">
        <f t="shared" ca="1" si="9"/>
        <v>185</v>
      </c>
      <c r="I113" s="265">
        <f t="shared" ca="1" si="10"/>
        <v>44263</v>
      </c>
      <c r="J113" s="267">
        <f t="shared" ca="1" si="11"/>
        <v>0.5</v>
      </c>
      <c r="K113" s="267" t="str">
        <f t="shared" ca="1" si="12"/>
        <v>Dia Internacional da Mulher</v>
      </c>
    </row>
    <row r="114" spans="1:11" x14ac:dyDescent="0.25">
      <c r="E114">
        <f t="shared" si="7"/>
        <v>2001.14</v>
      </c>
      <c r="F114" t="str">
        <f t="shared" si="8"/>
        <v/>
      </c>
      <c r="G114">
        <v>113</v>
      </c>
      <c r="H114">
        <f t="shared" ca="1" si="9"/>
        <v>230</v>
      </c>
      <c r="I114" s="265">
        <f t="shared" ca="1" si="10"/>
        <v>44275</v>
      </c>
      <c r="J114" s="267">
        <f t="shared" ca="1" si="11"/>
        <v>0.5</v>
      </c>
      <c r="K114" s="267" t="str">
        <f t="shared" ca="1" si="12"/>
        <v>Outono</v>
      </c>
    </row>
    <row r="115" spans="1:11" x14ac:dyDescent="0.25">
      <c r="E115">
        <f t="shared" si="7"/>
        <v>2001.15</v>
      </c>
      <c r="F115" t="str">
        <f t="shared" si="8"/>
        <v/>
      </c>
      <c r="G115">
        <v>114</v>
      </c>
      <c r="H115">
        <f t="shared" ca="1" si="9"/>
        <v>211</v>
      </c>
      <c r="I115" s="265">
        <f t="shared" ca="1" si="10"/>
        <v>44283</v>
      </c>
      <c r="J115" s="267">
        <f t="shared" ca="1" si="11"/>
        <v>0.5</v>
      </c>
      <c r="K115" s="267" t="str">
        <f t="shared" ca="1" si="12"/>
        <v>Domingo de Ramos</v>
      </c>
    </row>
    <row r="116" spans="1:11" x14ac:dyDescent="0.25">
      <c r="E116">
        <f t="shared" si="7"/>
        <v>2001.16</v>
      </c>
      <c r="F116" t="str">
        <f t="shared" si="8"/>
        <v/>
      </c>
      <c r="G116">
        <v>115</v>
      </c>
      <c r="H116">
        <f t="shared" ca="1" si="9"/>
        <v>212</v>
      </c>
      <c r="I116" s="265">
        <f t="shared" ca="1" si="10"/>
        <v>44288</v>
      </c>
      <c r="J116" s="267">
        <f t="shared" ca="1" si="11"/>
        <v>-11</v>
      </c>
      <c r="K116" s="267" t="str">
        <f t="shared" ca="1" si="12"/>
        <v>Paixão de Cristo</v>
      </c>
    </row>
    <row r="117" spans="1:11" x14ac:dyDescent="0.25">
      <c r="E117">
        <f t="shared" si="7"/>
        <v>2001.17</v>
      </c>
      <c r="F117" t="str">
        <f t="shared" si="8"/>
        <v/>
      </c>
      <c r="G117">
        <v>116</v>
      </c>
      <c r="H117">
        <f t="shared" ca="1" si="9"/>
        <v>213</v>
      </c>
      <c r="I117" s="265">
        <f t="shared" ca="1" si="10"/>
        <v>44289</v>
      </c>
      <c r="J117" s="267">
        <f t="shared" ca="1" si="11"/>
        <v>0.5</v>
      </c>
      <c r="K117" s="267" t="str">
        <f t="shared" ca="1" si="12"/>
        <v>Sábado de Aleluia</v>
      </c>
    </row>
    <row r="118" spans="1:11" x14ac:dyDescent="0.25">
      <c r="E118">
        <f t="shared" si="7"/>
        <v>2001.18</v>
      </c>
      <c r="F118" t="str">
        <f t="shared" si="8"/>
        <v/>
      </c>
      <c r="G118">
        <v>117</v>
      </c>
      <c r="H118">
        <f t="shared" ca="1" si="9"/>
        <v>214</v>
      </c>
      <c r="I118" s="265">
        <f t="shared" ca="1" si="10"/>
        <v>44290</v>
      </c>
      <c r="J118" s="267">
        <f t="shared" ca="1" si="11"/>
        <v>-11</v>
      </c>
      <c r="K118" s="267" t="str">
        <f t="shared" ca="1" si="12"/>
        <v>Páscoa</v>
      </c>
    </row>
    <row r="119" spans="1:11" x14ac:dyDescent="0.25">
      <c r="E119">
        <f t="shared" si="7"/>
        <v>2001.19</v>
      </c>
      <c r="F119" t="str">
        <f t="shared" si="8"/>
        <v/>
      </c>
      <c r="G119">
        <v>118</v>
      </c>
      <c r="H119">
        <f t="shared" ca="1" si="9"/>
        <v>186</v>
      </c>
      <c r="I119" s="265">
        <f t="shared" ca="1" si="10"/>
        <v>44304</v>
      </c>
      <c r="J119" s="267">
        <f t="shared" ca="1" si="11"/>
        <v>0.5</v>
      </c>
      <c r="K119" s="267" t="str">
        <f t="shared" ca="1" si="12"/>
        <v>Dia do Amigo</v>
      </c>
    </row>
    <row r="120" spans="1:11" x14ac:dyDescent="0.25">
      <c r="E120">
        <f t="shared" si="7"/>
        <v>2001.2</v>
      </c>
      <c r="F120" t="str">
        <f t="shared" si="8"/>
        <v/>
      </c>
      <c r="G120">
        <v>119</v>
      </c>
      <c r="H120">
        <f t="shared" ca="1" si="9"/>
        <v>187</v>
      </c>
      <c r="I120" s="265">
        <f t="shared" ca="1" si="10"/>
        <v>44305</v>
      </c>
      <c r="J120" s="267">
        <f t="shared" ca="1" si="11"/>
        <v>0.5</v>
      </c>
      <c r="K120" s="267" t="str">
        <f t="shared" ca="1" si="12"/>
        <v>Dia do Índio</v>
      </c>
    </row>
    <row r="121" spans="1:11" x14ac:dyDescent="0.25">
      <c r="A121" t="str">
        <f ca="1">A61</f>
        <v>FERIADOS, COMEMORAÇÕES E ANIVERSÁRIOS</v>
      </c>
      <c r="E121">
        <f t="shared" si="7"/>
        <v>2001.21</v>
      </c>
      <c r="F121" t="str">
        <f t="shared" si="8"/>
        <v/>
      </c>
      <c r="G121">
        <v>120</v>
      </c>
      <c r="H121">
        <f t="shared" ca="1" si="9"/>
        <v>188</v>
      </c>
      <c r="I121" s="265">
        <f t="shared" ca="1" si="10"/>
        <v>44307</v>
      </c>
      <c r="J121" s="267">
        <f t="shared" ca="1" si="11"/>
        <v>-11</v>
      </c>
      <c r="K121" s="267" t="str">
        <f t="shared" ca="1" si="12"/>
        <v>Tiradentes</v>
      </c>
    </row>
    <row r="122" spans="1:11" x14ac:dyDescent="0.25">
      <c r="B122" t="str">
        <f>Holidays!K2</f>
        <v>Data2</v>
      </c>
      <c r="C122" t="str">
        <f ca="1">C62</f>
        <v>Nome</v>
      </c>
      <c r="D122" t="str">
        <f>D62</f>
        <v>CodType</v>
      </c>
      <c r="E122">
        <f t="shared" si="7"/>
        <v>2001.22</v>
      </c>
      <c r="F122" t="str">
        <f t="shared" si="8"/>
        <v/>
      </c>
      <c r="G122">
        <v>121</v>
      </c>
      <c r="H122">
        <f t="shared" ca="1" si="9"/>
        <v>189</v>
      </c>
      <c r="I122" s="265">
        <f t="shared" ca="1" si="10"/>
        <v>44308</v>
      </c>
      <c r="J122" s="267">
        <f t="shared" ca="1" si="11"/>
        <v>0.5</v>
      </c>
      <c r="K122" s="267" t="str">
        <f t="shared" ca="1" si="12"/>
        <v>Dia do Descobrimento do Brasil</v>
      </c>
    </row>
    <row r="123" spans="1:11" x14ac:dyDescent="0.25">
      <c r="A123" t="str">
        <f ca="1">A63</f>
        <v>FIXOS</v>
      </c>
      <c r="E123">
        <f t="shared" si="7"/>
        <v>2001.23</v>
      </c>
      <c r="F123" t="str">
        <f t="shared" si="8"/>
        <v/>
      </c>
      <c r="G123">
        <v>122</v>
      </c>
      <c r="H123">
        <f t="shared" ca="1" si="9"/>
        <v>190</v>
      </c>
      <c r="I123" s="265">
        <f t="shared" ca="1" si="10"/>
        <v>44317</v>
      </c>
      <c r="J123" s="267">
        <f t="shared" ca="1" si="11"/>
        <v>-11</v>
      </c>
      <c r="K123" s="267" t="str">
        <f t="shared" ca="1" si="12"/>
        <v>Dia do Trabalho</v>
      </c>
    </row>
    <row r="124" spans="1:11" x14ac:dyDescent="0.25">
      <c r="B124" s="265">
        <f>Holidays!K4</f>
        <v>43831</v>
      </c>
      <c r="C124" t="str">
        <f t="shared" ref="C124:D147" si="13">C64</f>
        <v>Confraternização Universal</v>
      </c>
      <c r="D124">
        <f t="shared" ca="1" si="13"/>
        <v>-11</v>
      </c>
      <c r="E124">
        <f t="shared" ca="1" si="7"/>
        <v>74.239999999999995</v>
      </c>
      <c r="F124">
        <f t="shared" ca="1" si="8"/>
        <v>73</v>
      </c>
      <c r="G124">
        <v>123</v>
      </c>
      <c r="H124">
        <f t="shared" ca="1" si="9"/>
        <v>223</v>
      </c>
      <c r="I124" s="265">
        <f t="shared" ca="1" si="10"/>
        <v>44325</v>
      </c>
      <c r="J124" s="267">
        <f t="shared" ca="1" si="11"/>
        <v>0.5</v>
      </c>
      <c r="K124" s="267" t="str">
        <f t="shared" ca="1" si="12"/>
        <v>Dia das Mães (2º domingo de maio)</v>
      </c>
    </row>
    <row r="125" spans="1:11" x14ac:dyDescent="0.25">
      <c r="B125" s="265">
        <f>Holidays!K5</f>
        <v>43898</v>
      </c>
      <c r="C125" t="str">
        <f t="shared" si="13"/>
        <v>Dia Internacional da Mulher</v>
      </c>
      <c r="D125">
        <f t="shared" ca="1" si="13"/>
        <v>0.5</v>
      </c>
      <c r="E125">
        <f t="shared" ca="1" si="7"/>
        <v>77.25</v>
      </c>
      <c r="F125">
        <f t="shared" ca="1" si="8"/>
        <v>76</v>
      </c>
      <c r="G125">
        <v>124</v>
      </c>
      <c r="H125">
        <f t="shared" ca="1" si="9"/>
        <v>191</v>
      </c>
      <c r="I125" s="265">
        <f t="shared" ca="1" si="10"/>
        <v>44329</v>
      </c>
      <c r="J125" s="267">
        <f t="shared" ca="1" si="11"/>
        <v>0.5</v>
      </c>
      <c r="K125" s="267" t="str">
        <f t="shared" ca="1" si="12"/>
        <v>Dia da Abolição da Escravidão</v>
      </c>
    </row>
    <row r="126" spans="1:11" x14ac:dyDescent="0.25">
      <c r="B126" s="265">
        <f>Holidays!K6</f>
        <v>43939</v>
      </c>
      <c r="C126" t="str">
        <f t="shared" si="13"/>
        <v>Dia do Amigo</v>
      </c>
      <c r="D126">
        <f t="shared" ca="1" si="13"/>
        <v>0.5</v>
      </c>
      <c r="E126">
        <f t="shared" ca="1" si="7"/>
        <v>83.26</v>
      </c>
      <c r="F126">
        <f t="shared" ca="1" si="8"/>
        <v>82</v>
      </c>
      <c r="G126">
        <v>125</v>
      </c>
      <c r="H126">
        <f t="shared" ca="1" si="9"/>
        <v>215</v>
      </c>
      <c r="I126" s="265">
        <f t="shared" ca="1" si="10"/>
        <v>44350</v>
      </c>
      <c r="J126" s="267">
        <f t="shared" ca="1" si="11"/>
        <v>-11</v>
      </c>
      <c r="K126" s="267" t="str">
        <f t="shared" ca="1" si="12"/>
        <v>Corpus Christi</v>
      </c>
    </row>
    <row r="127" spans="1:11" x14ac:dyDescent="0.25">
      <c r="B127" s="265">
        <f>Holidays!K7</f>
        <v>43940</v>
      </c>
      <c r="C127" t="str">
        <f t="shared" si="13"/>
        <v>Dia do Índio</v>
      </c>
      <c r="D127">
        <f t="shared" ca="1" si="13"/>
        <v>0.5</v>
      </c>
      <c r="E127">
        <f t="shared" ca="1" si="7"/>
        <v>84.27</v>
      </c>
      <c r="F127">
        <f t="shared" ca="1" si="8"/>
        <v>83</v>
      </c>
      <c r="G127">
        <v>126</v>
      </c>
      <c r="H127">
        <f t="shared" ca="1" si="9"/>
        <v>192</v>
      </c>
      <c r="I127" s="265">
        <f t="shared" ca="1" si="10"/>
        <v>44359</v>
      </c>
      <c r="J127" s="267">
        <f t="shared" ca="1" si="11"/>
        <v>0.5</v>
      </c>
      <c r="K127" s="267" t="str">
        <f t="shared" ca="1" si="12"/>
        <v>Dia dos Namorados</v>
      </c>
    </row>
    <row r="128" spans="1:11" x14ac:dyDescent="0.25">
      <c r="B128" s="265">
        <f>Holidays!K8</f>
        <v>43942</v>
      </c>
      <c r="C128" t="str">
        <f t="shared" si="13"/>
        <v>Tiradentes</v>
      </c>
      <c r="D128">
        <f t="shared" ca="1" si="13"/>
        <v>-11</v>
      </c>
      <c r="E128">
        <f t="shared" ca="1" si="7"/>
        <v>85.28</v>
      </c>
      <c r="F128">
        <f t="shared" ca="1" si="8"/>
        <v>84</v>
      </c>
      <c r="G128">
        <v>127</v>
      </c>
      <c r="H128">
        <f t="shared" ca="1" si="9"/>
        <v>231</v>
      </c>
      <c r="I128" s="265">
        <f t="shared" ca="1" si="10"/>
        <v>44367</v>
      </c>
      <c r="J128" s="267">
        <f t="shared" ca="1" si="11"/>
        <v>0.5</v>
      </c>
      <c r="K128" s="267" t="str">
        <f t="shared" ca="1" si="12"/>
        <v>Inverno</v>
      </c>
    </row>
    <row r="129" spans="2:11" x14ac:dyDescent="0.25">
      <c r="B129" s="265">
        <f>Holidays!K9</f>
        <v>43943</v>
      </c>
      <c r="C129" t="str">
        <f t="shared" si="13"/>
        <v>Dia do Descobrimento do Brasil</v>
      </c>
      <c r="D129">
        <f t="shared" ca="1" si="13"/>
        <v>0.5</v>
      </c>
      <c r="E129">
        <f t="shared" ca="1" si="7"/>
        <v>86.29</v>
      </c>
      <c r="F129">
        <f t="shared" ca="1" si="8"/>
        <v>85</v>
      </c>
      <c r="G129">
        <v>128</v>
      </c>
      <c r="H129">
        <f t="shared" ca="1" si="9"/>
        <v>193</v>
      </c>
      <c r="I129" s="265">
        <f t="shared" ca="1" si="10"/>
        <v>44403</v>
      </c>
      <c r="J129" s="267">
        <f t="shared" ca="1" si="11"/>
        <v>0.5</v>
      </c>
      <c r="K129" s="267" t="str">
        <f t="shared" ca="1" si="12"/>
        <v>Dia da Vovó</v>
      </c>
    </row>
    <row r="130" spans="2:11" x14ac:dyDescent="0.25">
      <c r="B130" s="265">
        <f>Holidays!K10</f>
        <v>43952</v>
      </c>
      <c r="C130" t="str">
        <f t="shared" si="13"/>
        <v>Dia do Trabalho</v>
      </c>
      <c r="D130">
        <f t="shared" ca="1" si="13"/>
        <v>-11</v>
      </c>
      <c r="E130">
        <f t="shared" ca="1" si="7"/>
        <v>87.3</v>
      </c>
      <c r="F130">
        <f t="shared" ca="1" si="8"/>
        <v>86</v>
      </c>
      <c r="G130">
        <v>129</v>
      </c>
      <c r="H130">
        <f t="shared" ca="1" si="9"/>
        <v>224</v>
      </c>
      <c r="I130" s="265">
        <f t="shared" ca="1" si="10"/>
        <v>44416</v>
      </c>
      <c r="J130" s="267">
        <f t="shared" ca="1" si="11"/>
        <v>0.5</v>
      </c>
      <c r="K130" s="267" t="str">
        <f t="shared" ca="1" si="12"/>
        <v>Dia dos Pais (2º domingo de agosto)</v>
      </c>
    </row>
    <row r="131" spans="2:11" x14ac:dyDescent="0.25">
      <c r="B131" s="265">
        <f>Holidays!K11</f>
        <v>43964</v>
      </c>
      <c r="C131" t="str">
        <f t="shared" si="13"/>
        <v>Dia da Abolição da Escravidão</v>
      </c>
      <c r="D131">
        <f t="shared" ca="1" si="13"/>
        <v>0.5</v>
      </c>
      <c r="E131">
        <f t="shared" ref="E131:E194" ca="1" si="14">IF(ISNUMBER(B131),IFERROR(RANK(B131,$B$1:$B$233,1),1000),2000)+(ROW(E131)/100)</f>
        <v>89.31</v>
      </c>
      <c r="F131">
        <f t="shared" ref="F131:F194" ca="1" si="15">IF(E131&gt;2000,"",RANK(E131,$E$1:$E$233,1))</f>
        <v>88</v>
      </c>
      <c r="G131">
        <v>130</v>
      </c>
      <c r="H131">
        <f t="shared" ref="H131:H194" ca="1" si="16">IFERROR(MATCH(G131,$F$1:$F$233,0),"---")</f>
        <v>194</v>
      </c>
      <c r="I131" s="265">
        <f t="shared" ref="I131:I194" ca="1" si="17">IFERROR(INDEX(B$1:B$233,$H131),"---")</f>
        <v>44419</v>
      </c>
      <c r="J131" s="267">
        <f t="shared" ref="J131:J194" ca="1" si="18">IFERROR(INDEX(D$1:D$233,$H131),"---")</f>
        <v>0.5</v>
      </c>
      <c r="K131" s="267" t="str">
        <f t="shared" ref="K131:K194" ca="1" si="19">IFERROR(INDEX(C$1:C$233,$H131),"---")</f>
        <v>Dia Nacional do Estudante</v>
      </c>
    </row>
    <row r="132" spans="2:11" x14ac:dyDescent="0.25">
      <c r="B132" s="265">
        <f>Holidays!K12</f>
        <v>43994</v>
      </c>
      <c r="C132" t="str">
        <f t="shared" si="13"/>
        <v>Dia dos Namorados</v>
      </c>
      <c r="D132">
        <f t="shared" ca="1" si="13"/>
        <v>0.5</v>
      </c>
      <c r="E132">
        <f t="shared" ca="1" si="14"/>
        <v>91.32</v>
      </c>
      <c r="F132">
        <f t="shared" ca="1" si="15"/>
        <v>90</v>
      </c>
      <c r="G132">
        <v>131</v>
      </c>
      <c r="H132">
        <f t="shared" ca="1" si="16"/>
        <v>195</v>
      </c>
      <c r="I132" s="265">
        <f t="shared" ca="1" si="17"/>
        <v>44446</v>
      </c>
      <c r="J132" s="267">
        <f t="shared" ca="1" si="18"/>
        <v>-11</v>
      </c>
      <c r="K132" s="267" t="str">
        <f t="shared" ca="1" si="19"/>
        <v>Independência</v>
      </c>
    </row>
    <row r="133" spans="2:11" x14ac:dyDescent="0.25">
      <c r="B133" s="265">
        <f>Holidays!K13</f>
        <v>44038</v>
      </c>
      <c r="C133" t="str">
        <f t="shared" si="13"/>
        <v>Dia da Vovó</v>
      </c>
      <c r="D133">
        <f t="shared" ca="1" si="13"/>
        <v>0.5</v>
      </c>
      <c r="E133">
        <f t="shared" ca="1" si="14"/>
        <v>93.33</v>
      </c>
      <c r="F133">
        <f t="shared" ca="1" si="15"/>
        <v>92</v>
      </c>
      <c r="G133">
        <v>132</v>
      </c>
      <c r="H133">
        <f t="shared" ca="1" si="16"/>
        <v>232</v>
      </c>
      <c r="I133" s="265">
        <f t="shared" ca="1" si="17"/>
        <v>44461</v>
      </c>
      <c r="J133" s="267">
        <f t="shared" ca="1" si="18"/>
        <v>0.5</v>
      </c>
      <c r="K133" s="267" t="str">
        <f t="shared" ca="1" si="19"/>
        <v>Primavera</v>
      </c>
    </row>
    <row r="134" spans="2:11" x14ac:dyDescent="0.25">
      <c r="B134" s="265">
        <f>Holidays!K14</f>
        <v>44054</v>
      </c>
      <c r="C134" t="str">
        <f t="shared" si="13"/>
        <v>Dia Nacional do Estudante</v>
      </c>
      <c r="D134">
        <f t="shared" ca="1" si="13"/>
        <v>0.5</v>
      </c>
      <c r="E134">
        <f t="shared" ca="1" si="14"/>
        <v>95.34</v>
      </c>
      <c r="F134">
        <f t="shared" ca="1" si="15"/>
        <v>94</v>
      </c>
      <c r="G134">
        <v>133</v>
      </c>
      <c r="H134">
        <f t="shared" ca="1" si="16"/>
        <v>196</v>
      </c>
      <c r="I134" s="265">
        <f t="shared" ca="1" si="17"/>
        <v>44470</v>
      </c>
      <c r="J134" s="267">
        <f t="shared" ca="1" si="18"/>
        <v>0.5</v>
      </c>
      <c r="K134" s="267" t="str">
        <f t="shared" ca="1" si="19"/>
        <v>Dia Internacional do Idoso</v>
      </c>
    </row>
    <row r="135" spans="2:11" x14ac:dyDescent="0.25">
      <c r="B135" s="265">
        <f>Holidays!K15</f>
        <v>44081</v>
      </c>
      <c r="C135" t="str">
        <f t="shared" si="13"/>
        <v>Independência</v>
      </c>
      <c r="D135">
        <f t="shared" ca="1" si="13"/>
        <v>-11</v>
      </c>
      <c r="E135">
        <f t="shared" ca="1" si="14"/>
        <v>96.35</v>
      </c>
      <c r="F135">
        <f t="shared" ca="1" si="15"/>
        <v>95</v>
      </c>
      <c r="G135">
        <v>134</v>
      </c>
      <c r="H135">
        <f t="shared" ca="1" si="16"/>
        <v>197</v>
      </c>
      <c r="I135" s="265">
        <f t="shared" ca="1" si="17"/>
        <v>44481</v>
      </c>
      <c r="J135" s="267">
        <f t="shared" ca="1" si="18"/>
        <v>-11</v>
      </c>
      <c r="K135" s="267" t="str">
        <f t="shared" ca="1" si="19"/>
        <v>N. Sra. Aparecida / Dia das Crianças</v>
      </c>
    </row>
    <row r="136" spans="2:11" x14ac:dyDescent="0.25">
      <c r="B136" s="265">
        <f>Holidays!K16</f>
        <v>44105</v>
      </c>
      <c r="C136" t="str">
        <f t="shared" si="13"/>
        <v>Dia Internacional do Idoso</v>
      </c>
      <c r="D136">
        <f t="shared" ca="1" si="13"/>
        <v>0.5</v>
      </c>
      <c r="E136">
        <f t="shared" ca="1" si="14"/>
        <v>98.36</v>
      </c>
      <c r="F136">
        <f t="shared" ca="1" si="15"/>
        <v>97</v>
      </c>
      <c r="G136">
        <v>135</v>
      </c>
      <c r="H136">
        <f t="shared" ca="1" si="16"/>
        <v>198</v>
      </c>
      <c r="I136" s="265">
        <f t="shared" ca="1" si="17"/>
        <v>44484</v>
      </c>
      <c r="J136" s="267">
        <f t="shared" ca="1" si="18"/>
        <v>0.5</v>
      </c>
      <c r="K136" s="267" t="str">
        <f t="shared" ca="1" si="19"/>
        <v>Dia do Professor</v>
      </c>
    </row>
    <row r="137" spans="2:11" x14ac:dyDescent="0.25">
      <c r="B137" s="265">
        <f>Holidays!K17</f>
        <v>44116</v>
      </c>
      <c r="C137" t="str">
        <f t="shared" si="13"/>
        <v>N. Sra. Aparecida / Dia das Crianças</v>
      </c>
      <c r="D137">
        <f t="shared" ca="1" si="13"/>
        <v>-11</v>
      </c>
      <c r="E137">
        <f t="shared" ca="1" si="14"/>
        <v>99.37</v>
      </c>
      <c r="F137">
        <f t="shared" ca="1" si="15"/>
        <v>98</v>
      </c>
      <c r="G137">
        <v>136</v>
      </c>
      <c r="H137">
        <f t="shared" ca="1" si="16"/>
        <v>199</v>
      </c>
      <c r="I137" s="265">
        <f t="shared" ca="1" si="17"/>
        <v>44497</v>
      </c>
      <c r="J137" s="267">
        <f t="shared" ca="1" si="18"/>
        <v>0.5</v>
      </c>
      <c r="K137" s="267" t="str">
        <f t="shared" ca="1" si="19"/>
        <v>Dia do Servidor Público</v>
      </c>
    </row>
    <row r="138" spans="2:11" x14ac:dyDescent="0.25">
      <c r="B138" s="265">
        <f>Holidays!K18</f>
        <v>44119</v>
      </c>
      <c r="C138" t="str">
        <f t="shared" si="13"/>
        <v>Dia do Professor</v>
      </c>
      <c r="D138">
        <f t="shared" ca="1" si="13"/>
        <v>0.5</v>
      </c>
      <c r="E138">
        <f t="shared" ca="1" si="14"/>
        <v>100.38</v>
      </c>
      <c r="F138">
        <f t="shared" ca="1" si="15"/>
        <v>99</v>
      </c>
      <c r="G138">
        <v>137</v>
      </c>
      <c r="H138">
        <f t="shared" ca="1" si="16"/>
        <v>200</v>
      </c>
      <c r="I138" s="265">
        <f t="shared" ca="1" si="17"/>
        <v>44499</v>
      </c>
      <c r="J138" s="267">
        <f t="shared" ca="1" si="18"/>
        <v>0.5</v>
      </c>
      <c r="K138" s="267" t="str">
        <f t="shared" ca="1" si="19"/>
        <v>Dia do Comerciário</v>
      </c>
    </row>
    <row r="139" spans="2:11" x14ac:dyDescent="0.25">
      <c r="B139" s="265">
        <f>Holidays!K19</f>
        <v>44132</v>
      </c>
      <c r="C139" t="str">
        <f t="shared" si="13"/>
        <v>Dia do Servidor Público</v>
      </c>
      <c r="D139">
        <f t="shared" ca="1" si="13"/>
        <v>0.5</v>
      </c>
      <c r="E139">
        <f t="shared" ca="1" si="14"/>
        <v>101.39</v>
      </c>
      <c r="F139">
        <f t="shared" ca="1" si="15"/>
        <v>100</v>
      </c>
      <c r="G139">
        <v>138</v>
      </c>
      <c r="H139">
        <f t="shared" ca="1" si="16"/>
        <v>201</v>
      </c>
      <c r="I139" s="265">
        <f t="shared" ca="1" si="17"/>
        <v>44501</v>
      </c>
      <c r="J139" s="267">
        <f t="shared" ca="1" si="18"/>
        <v>0.5</v>
      </c>
      <c r="K139" s="267" t="str">
        <f t="shared" ca="1" si="19"/>
        <v>Dia de Todos os Santos</v>
      </c>
    </row>
    <row r="140" spans="2:11" x14ac:dyDescent="0.25">
      <c r="B140" s="265">
        <f>Holidays!K20</f>
        <v>44134</v>
      </c>
      <c r="C140" t="str">
        <f t="shared" si="13"/>
        <v>Dia do Comerciário</v>
      </c>
      <c r="D140">
        <f t="shared" ca="1" si="13"/>
        <v>0.5</v>
      </c>
      <c r="E140">
        <f t="shared" ca="1" si="14"/>
        <v>102.4</v>
      </c>
      <c r="F140">
        <f t="shared" ca="1" si="15"/>
        <v>101</v>
      </c>
      <c r="G140">
        <v>139</v>
      </c>
      <c r="H140">
        <f t="shared" ca="1" si="16"/>
        <v>202</v>
      </c>
      <c r="I140" s="265">
        <f t="shared" ca="1" si="17"/>
        <v>44502</v>
      </c>
      <c r="J140" s="267">
        <f t="shared" ca="1" si="18"/>
        <v>-11</v>
      </c>
      <c r="K140" s="267" t="str">
        <f t="shared" ca="1" si="19"/>
        <v>Finados</v>
      </c>
    </row>
    <row r="141" spans="2:11" x14ac:dyDescent="0.25">
      <c r="B141" s="265">
        <f>Holidays!K21</f>
        <v>44136</v>
      </c>
      <c r="C141" t="str">
        <f t="shared" si="13"/>
        <v>Dia de Todos os Santos</v>
      </c>
      <c r="D141">
        <f t="shared" ca="1" si="13"/>
        <v>0.5</v>
      </c>
      <c r="E141">
        <f t="shared" ca="1" si="14"/>
        <v>103.41</v>
      </c>
      <c r="F141">
        <f t="shared" ca="1" si="15"/>
        <v>102</v>
      </c>
      <c r="G141">
        <v>140</v>
      </c>
      <c r="H141">
        <f t="shared" ca="1" si="16"/>
        <v>203</v>
      </c>
      <c r="I141" s="265">
        <f t="shared" ca="1" si="17"/>
        <v>44515</v>
      </c>
      <c r="J141" s="267">
        <f t="shared" ca="1" si="18"/>
        <v>-11</v>
      </c>
      <c r="K141" s="267" t="str">
        <f t="shared" ca="1" si="19"/>
        <v>Proc. da República</v>
      </c>
    </row>
    <row r="142" spans="2:11" x14ac:dyDescent="0.25">
      <c r="B142" s="265">
        <f>Holidays!K22</f>
        <v>44137</v>
      </c>
      <c r="C142" t="str">
        <f t="shared" si="13"/>
        <v>Finados</v>
      </c>
      <c r="D142">
        <f t="shared" ca="1" si="13"/>
        <v>-11</v>
      </c>
      <c r="E142">
        <f t="shared" ca="1" si="14"/>
        <v>104.42</v>
      </c>
      <c r="F142">
        <f t="shared" ca="1" si="15"/>
        <v>103</v>
      </c>
      <c r="G142">
        <v>141</v>
      </c>
      <c r="H142">
        <f t="shared" ca="1" si="16"/>
        <v>204</v>
      </c>
      <c r="I142" s="265">
        <f t="shared" ca="1" si="17"/>
        <v>44519</v>
      </c>
      <c r="J142" s="267">
        <f t="shared" ca="1" si="18"/>
        <v>0.5</v>
      </c>
      <c r="K142" s="267" t="str">
        <f t="shared" ca="1" si="19"/>
        <v>Dia da Bandeira</v>
      </c>
    </row>
    <row r="143" spans="2:11" x14ac:dyDescent="0.25">
      <c r="B143" s="265">
        <f>Holidays!K23</f>
        <v>44150</v>
      </c>
      <c r="C143" t="str">
        <f t="shared" si="13"/>
        <v>Proc. da República</v>
      </c>
      <c r="D143">
        <f t="shared" ca="1" si="13"/>
        <v>-11</v>
      </c>
      <c r="E143">
        <f t="shared" ca="1" si="14"/>
        <v>105.43</v>
      </c>
      <c r="F143">
        <f t="shared" ca="1" si="15"/>
        <v>104</v>
      </c>
      <c r="G143">
        <v>142</v>
      </c>
      <c r="H143">
        <f t="shared" ca="1" si="16"/>
        <v>205</v>
      </c>
      <c r="I143" s="265">
        <f t="shared" ca="1" si="17"/>
        <v>44520</v>
      </c>
      <c r="J143" s="267">
        <f t="shared" ca="1" si="18"/>
        <v>0.5</v>
      </c>
      <c r="K143" s="267" t="str">
        <f t="shared" ca="1" si="19"/>
        <v>Dia da Consciência Negra</v>
      </c>
    </row>
    <row r="144" spans="2:11" x14ac:dyDescent="0.25">
      <c r="B144" s="265">
        <f>Holidays!K24</f>
        <v>44154</v>
      </c>
      <c r="C144" t="str">
        <f t="shared" si="13"/>
        <v>Dia da Bandeira</v>
      </c>
      <c r="D144">
        <f t="shared" ca="1" si="13"/>
        <v>0.5</v>
      </c>
      <c r="E144">
        <f t="shared" ca="1" si="14"/>
        <v>106.44</v>
      </c>
      <c r="F144">
        <f t="shared" ca="1" si="15"/>
        <v>105</v>
      </c>
      <c r="G144">
        <v>143</v>
      </c>
      <c r="H144">
        <f t="shared" ca="1" si="16"/>
        <v>233</v>
      </c>
      <c r="I144" s="265">
        <f t="shared" ca="1" si="17"/>
        <v>44551</v>
      </c>
      <c r="J144" s="267">
        <f t="shared" ca="1" si="18"/>
        <v>0.5</v>
      </c>
      <c r="K144" s="267" t="str">
        <f t="shared" ca="1" si="19"/>
        <v>Verão</v>
      </c>
    </row>
    <row r="145" spans="1:11" x14ac:dyDescent="0.25">
      <c r="B145" s="265">
        <f>Holidays!K25</f>
        <v>44155</v>
      </c>
      <c r="C145" t="str">
        <f t="shared" si="13"/>
        <v>Dia da Consciência Negra</v>
      </c>
      <c r="D145">
        <f t="shared" ca="1" si="13"/>
        <v>0.5</v>
      </c>
      <c r="E145">
        <f t="shared" ca="1" si="14"/>
        <v>107.45</v>
      </c>
      <c r="F145">
        <f t="shared" ca="1" si="15"/>
        <v>106</v>
      </c>
      <c r="G145">
        <v>144</v>
      </c>
      <c r="H145">
        <f t="shared" ca="1" si="16"/>
        <v>206</v>
      </c>
      <c r="I145" s="265">
        <f t="shared" ca="1" si="17"/>
        <v>44555</v>
      </c>
      <c r="J145" s="267">
        <f t="shared" ca="1" si="18"/>
        <v>-11</v>
      </c>
      <c r="K145" s="267" t="str">
        <f t="shared" ca="1" si="19"/>
        <v>Natal</v>
      </c>
    </row>
    <row r="146" spans="1:11" x14ac:dyDescent="0.25">
      <c r="B146" s="265">
        <f>Holidays!K26</f>
        <v>44190</v>
      </c>
      <c r="C146" t="str">
        <f t="shared" si="13"/>
        <v>Natal</v>
      </c>
      <c r="D146">
        <f t="shared" ca="1" si="13"/>
        <v>-11</v>
      </c>
      <c r="E146">
        <f t="shared" ca="1" si="14"/>
        <v>109.46</v>
      </c>
      <c r="F146">
        <f t="shared" ca="1" si="15"/>
        <v>108</v>
      </c>
      <c r="G146">
        <v>145</v>
      </c>
      <c r="H146" t="str">
        <f t="shared" ca="1" si="16"/>
        <v>---</v>
      </c>
      <c r="I146" s="265" t="str">
        <f t="shared" ca="1" si="17"/>
        <v>---</v>
      </c>
      <c r="J146" s="267" t="str">
        <f t="shared" ca="1" si="18"/>
        <v>---</v>
      </c>
      <c r="K146" s="267" t="str">
        <f t="shared" ca="1" si="19"/>
        <v>---</v>
      </c>
    </row>
    <row r="147" spans="1:11" x14ac:dyDescent="0.25">
      <c r="B147" s="265" t="str">
        <f>Holidays!K27</f>
        <v/>
      </c>
      <c r="C147">
        <f t="shared" si="13"/>
        <v>0</v>
      </c>
      <c r="D147" t="str">
        <f t="shared" ca="1" si="13"/>
        <v/>
      </c>
      <c r="E147">
        <f t="shared" si="14"/>
        <v>2001.47</v>
      </c>
      <c r="F147" t="str">
        <f t="shared" si="15"/>
        <v/>
      </c>
      <c r="G147">
        <v>146</v>
      </c>
      <c r="H147" t="str">
        <f t="shared" ca="1" si="16"/>
        <v>---</v>
      </c>
      <c r="I147" s="265" t="str">
        <f t="shared" ca="1" si="17"/>
        <v>---</v>
      </c>
      <c r="J147" s="267" t="str">
        <f t="shared" ca="1" si="18"/>
        <v>---</v>
      </c>
      <c r="K147" s="267" t="str">
        <f t="shared" ca="1" si="19"/>
        <v>---</v>
      </c>
    </row>
    <row r="148" spans="1:11" x14ac:dyDescent="0.25">
      <c r="A148" t="str">
        <f ca="1">A88</f>
        <v>MÓVEIS COM A PÁSCOA</v>
      </c>
      <c r="B148" s="265"/>
      <c r="E148">
        <f t="shared" si="14"/>
        <v>2001.48</v>
      </c>
      <c r="F148" t="str">
        <f t="shared" si="15"/>
        <v/>
      </c>
      <c r="G148">
        <v>147</v>
      </c>
      <c r="H148" t="str">
        <f t="shared" ca="1" si="16"/>
        <v>---</v>
      </c>
      <c r="I148" s="265" t="str">
        <f t="shared" ca="1" si="17"/>
        <v>---</v>
      </c>
      <c r="J148" s="267" t="str">
        <f t="shared" ca="1" si="18"/>
        <v>---</v>
      </c>
      <c r="K148" s="267" t="str">
        <f t="shared" ca="1" si="19"/>
        <v>---</v>
      </c>
    </row>
    <row r="149" spans="1:11" x14ac:dyDescent="0.25">
      <c r="B149" s="265">
        <f ca="1">Holidays!K29</f>
        <v>43886</v>
      </c>
      <c r="C149" t="str">
        <f t="shared" ref="C149:D161" si="20">C89</f>
        <v>Carnaval</v>
      </c>
      <c r="D149">
        <f t="shared" ca="1" si="20"/>
        <v>-11</v>
      </c>
      <c r="E149">
        <f t="shared" ca="1" si="14"/>
        <v>75.489999999999995</v>
      </c>
      <c r="F149">
        <f t="shared" ca="1" si="15"/>
        <v>74</v>
      </c>
      <c r="G149">
        <v>148</v>
      </c>
      <c r="H149" t="str">
        <f t="shared" ca="1" si="16"/>
        <v>---</v>
      </c>
      <c r="I149" s="265" t="str">
        <f t="shared" ca="1" si="17"/>
        <v>---</v>
      </c>
      <c r="J149" s="267" t="str">
        <f t="shared" ca="1" si="18"/>
        <v>---</v>
      </c>
      <c r="K149" s="267" t="str">
        <f t="shared" ca="1" si="19"/>
        <v>---</v>
      </c>
    </row>
    <row r="150" spans="1:11" x14ac:dyDescent="0.25">
      <c r="B150" s="265">
        <f ca="1">Holidays!K30</f>
        <v>43887</v>
      </c>
      <c r="C150" t="str">
        <f t="shared" si="20"/>
        <v>Quarta-feira de Cinzas</v>
      </c>
      <c r="D150">
        <f t="shared" ca="1" si="20"/>
        <v>0.5</v>
      </c>
      <c r="E150">
        <f t="shared" ca="1" si="14"/>
        <v>76.5</v>
      </c>
      <c r="F150">
        <f t="shared" ca="1" si="15"/>
        <v>75</v>
      </c>
      <c r="G150">
        <v>149</v>
      </c>
      <c r="H150" t="str">
        <f t="shared" ca="1" si="16"/>
        <v>---</v>
      </c>
      <c r="I150" s="265" t="str">
        <f t="shared" ca="1" si="17"/>
        <v>---</v>
      </c>
      <c r="J150" s="267" t="str">
        <f t="shared" ca="1" si="18"/>
        <v>---</v>
      </c>
      <c r="K150" s="267" t="str">
        <f t="shared" ca="1" si="19"/>
        <v>---</v>
      </c>
    </row>
    <row r="151" spans="1:11" x14ac:dyDescent="0.25">
      <c r="B151" s="265">
        <f ca="1">Holidays!K31</f>
        <v>43926</v>
      </c>
      <c r="C151" t="str">
        <f t="shared" si="20"/>
        <v>Domingo de Ramos</v>
      </c>
      <c r="D151">
        <f t="shared" ca="1" si="20"/>
        <v>0.5</v>
      </c>
      <c r="E151">
        <f t="shared" ca="1" si="14"/>
        <v>79.510000000000005</v>
      </c>
      <c r="F151">
        <f t="shared" ca="1" si="15"/>
        <v>78</v>
      </c>
      <c r="G151">
        <v>150</v>
      </c>
      <c r="H151" t="str">
        <f t="shared" ca="1" si="16"/>
        <v>---</v>
      </c>
      <c r="I151" s="265" t="str">
        <f t="shared" ca="1" si="17"/>
        <v>---</v>
      </c>
      <c r="J151" s="267" t="str">
        <f t="shared" ca="1" si="18"/>
        <v>---</v>
      </c>
      <c r="K151" s="267" t="str">
        <f t="shared" ca="1" si="19"/>
        <v>---</v>
      </c>
    </row>
    <row r="152" spans="1:11" x14ac:dyDescent="0.25">
      <c r="B152" s="265">
        <f ca="1">Holidays!K32</f>
        <v>43931</v>
      </c>
      <c r="C152" t="str">
        <f t="shared" si="20"/>
        <v>Paixão de Cristo</v>
      </c>
      <c r="D152">
        <f t="shared" ca="1" si="20"/>
        <v>-11</v>
      </c>
      <c r="E152">
        <f t="shared" ca="1" si="14"/>
        <v>80.52</v>
      </c>
      <c r="F152">
        <f t="shared" ca="1" si="15"/>
        <v>79</v>
      </c>
      <c r="G152">
        <v>151</v>
      </c>
      <c r="H152" t="str">
        <f t="shared" ca="1" si="16"/>
        <v>---</v>
      </c>
      <c r="I152" s="265" t="str">
        <f t="shared" ca="1" si="17"/>
        <v>---</v>
      </c>
      <c r="J152" s="267" t="str">
        <f t="shared" ca="1" si="18"/>
        <v>---</v>
      </c>
      <c r="K152" s="267" t="str">
        <f t="shared" ca="1" si="19"/>
        <v>---</v>
      </c>
    </row>
    <row r="153" spans="1:11" x14ac:dyDescent="0.25">
      <c r="B153" s="265">
        <f ca="1">Holidays!K33</f>
        <v>43932</v>
      </c>
      <c r="C153" t="str">
        <f t="shared" si="20"/>
        <v>Sábado de Aleluia</v>
      </c>
      <c r="D153">
        <f t="shared" ca="1" si="20"/>
        <v>0.5</v>
      </c>
      <c r="E153">
        <f t="shared" ca="1" si="14"/>
        <v>81.53</v>
      </c>
      <c r="F153">
        <f t="shared" ca="1" si="15"/>
        <v>80</v>
      </c>
      <c r="G153">
        <v>152</v>
      </c>
      <c r="H153" t="str">
        <f t="shared" ca="1" si="16"/>
        <v>---</v>
      </c>
      <c r="I153" s="265" t="str">
        <f t="shared" ca="1" si="17"/>
        <v>---</v>
      </c>
      <c r="J153" s="267" t="str">
        <f t="shared" ca="1" si="18"/>
        <v>---</v>
      </c>
      <c r="K153" s="267" t="str">
        <f t="shared" ca="1" si="19"/>
        <v>---</v>
      </c>
    </row>
    <row r="154" spans="1:11" x14ac:dyDescent="0.25">
      <c r="B154" s="265">
        <f ca="1">Holidays!K34</f>
        <v>43933</v>
      </c>
      <c r="C154" t="str">
        <f t="shared" si="20"/>
        <v>Páscoa</v>
      </c>
      <c r="D154">
        <f t="shared" ca="1" si="20"/>
        <v>-11</v>
      </c>
      <c r="E154">
        <f t="shared" ca="1" si="14"/>
        <v>82.54</v>
      </c>
      <c r="F154">
        <f t="shared" ca="1" si="15"/>
        <v>81</v>
      </c>
      <c r="G154">
        <v>153</v>
      </c>
      <c r="H154" t="str">
        <f t="shared" ca="1" si="16"/>
        <v>---</v>
      </c>
      <c r="I154" s="265" t="str">
        <f t="shared" ca="1" si="17"/>
        <v>---</v>
      </c>
      <c r="J154" s="267" t="str">
        <f t="shared" ca="1" si="18"/>
        <v>---</v>
      </c>
      <c r="K154" s="267" t="str">
        <f t="shared" ca="1" si="19"/>
        <v>---</v>
      </c>
    </row>
    <row r="155" spans="1:11" x14ac:dyDescent="0.25">
      <c r="B155" s="265">
        <f ca="1">Holidays!K35</f>
        <v>43993</v>
      </c>
      <c r="C155" t="str">
        <f t="shared" si="20"/>
        <v>Corpus Christi</v>
      </c>
      <c r="D155">
        <f t="shared" ca="1" si="20"/>
        <v>-11</v>
      </c>
      <c r="E155">
        <f t="shared" ca="1" si="14"/>
        <v>90.55</v>
      </c>
      <c r="F155">
        <f t="shared" ca="1" si="15"/>
        <v>89</v>
      </c>
      <c r="G155">
        <v>154</v>
      </c>
      <c r="H155" t="str">
        <f t="shared" ca="1" si="16"/>
        <v>---</v>
      </c>
      <c r="I155" s="265" t="str">
        <f t="shared" ca="1" si="17"/>
        <v>---</v>
      </c>
      <c r="J155" s="267" t="str">
        <f t="shared" ca="1" si="18"/>
        <v>---</v>
      </c>
      <c r="K155" s="267" t="str">
        <f t="shared" ca="1" si="19"/>
        <v>---</v>
      </c>
    </row>
    <row r="156" spans="1:11" x14ac:dyDescent="0.25">
      <c r="B156" s="265" t="str">
        <f ca="1">Holidays!K36</f>
        <v/>
      </c>
      <c r="C156">
        <f t="shared" si="20"/>
        <v>0</v>
      </c>
      <c r="D156" t="str">
        <f t="shared" ca="1" si="20"/>
        <v/>
      </c>
      <c r="E156">
        <f t="shared" ca="1" si="14"/>
        <v>2001.56</v>
      </c>
      <c r="F156" t="str">
        <f t="shared" ca="1" si="15"/>
        <v/>
      </c>
      <c r="G156">
        <v>155</v>
      </c>
      <c r="H156" t="str">
        <f t="shared" ca="1" si="16"/>
        <v>---</v>
      </c>
      <c r="I156" s="265" t="str">
        <f t="shared" ca="1" si="17"/>
        <v>---</v>
      </c>
      <c r="J156" s="267" t="str">
        <f t="shared" ca="1" si="18"/>
        <v>---</v>
      </c>
      <c r="K156" s="267" t="str">
        <f t="shared" ca="1" si="19"/>
        <v>---</v>
      </c>
    </row>
    <row r="157" spans="1:11" x14ac:dyDescent="0.25">
      <c r="B157" s="265" t="str">
        <f ca="1">Holidays!K37</f>
        <v/>
      </c>
      <c r="C157">
        <f t="shared" si="20"/>
        <v>0</v>
      </c>
      <c r="D157" t="str">
        <f t="shared" ca="1" si="20"/>
        <v/>
      </c>
      <c r="E157">
        <f t="shared" ca="1" si="14"/>
        <v>2001.57</v>
      </c>
      <c r="F157" t="str">
        <f t="shared" ca="1" si="15"/>
        <v/>
      </c>
      <c r="G157">
        <v>156</v>
      </c>
      <c r="H157" t="str">
        <f t="shared" ca="1" si="16"/>
        <v>---</v>
      </c>
      <c r="I157" s="265" t="str">
        <f t="shared" ca="1" si="17"/>
        <v>---</v>
      </c>
      <c r="J157" s="267" t="str">
        <f t="shared" ca="1" si="18"/>
        <v>---</v>
      </c>
      <c r="K157" s="267" t="str">
        <f t="shared" ca="1" si="19"/>
        <v>---</v>
      </c>
    </row>
    <row r="158" spans="1:11" x14ac:dyDescent="0.25">
      <c r="B158" s="265" t="str">
        <f ca="1">Holidays!K38</f>
        <v/>
      </c>
      <c r="C158">
        <f t="shared" si="20"/>
        <v>0</v>
      </c>
      <c r="D158" t="str">
        <f t="shared" ca="1" si="20"/>
        <v/>
      </c>
      <c r="E158">
        <f t="shared" ca="1" si="14"/>
        <v>2001.58</v>
      </c>
      <c r="F158" t="str">
        <f t="shared" ca="1" si="15"/>
        <v/>
      </c>
      <c r="G158">
        <v>157</v>
      </c>
      <c r="H158" t="str">
        <f t="shared" ca="1" si="16"/>
        <v>---</v>
      </c>
      <c r="I158" s="265" t="str">
        <f t="shared" ca="1" si="17"/>
        <v>---</v>
      </c>
      <c r="J158" s="267" t="str">
        <f t="shared" ca="1" si="18"/>
        <v>---</v>
      </c>
      <c r="K158" s="267" t="str">
        <f t="shared" ca="1" si="19"/>
        <v>---</v>
      </c>
    </row>
    <row r="159" spans="1:11" x14ac:dyDescent="0.25">
      <c r="B159" s="265" t="str">
        <f ca="1">Holidays!K39</f>
        <v/>
      </c>
      <c r="C159">
        <f t="shared" si="20"/>
        <v>0</v>
      </c>
      <c r="D159" t="str">
        <f t="shared" ca="1" si="20"/>
        <v/>
      </c>
      <c r="E159">
        <f t="shared" ca="1" si="14"/>
        <v>2001.59</v>
      </c>
      <c r="F159" t="str">
        <f t="shared" ca="1" si="15"/>
        <v/>
      </c>
      <c r="G159">
        <v>158</v>
      </c>
      <c r="H159" t="str">
        <f t="shared" ca="1" si="16"/>
        <v>---</v>
      </c>
      <c r="I159" s="265" t="str">
        <f t="shared" ca="1" si="17"/>
        <v>---</v>
      </c>
      <c r="J159" s="267" t="str">
        <f t="shared" ca="1" si="18"/>
        <v>---</v>
      </c>
      <c r="K159" s="267" t="str">
        <f t="shared" ca="1" si="19"/>
        <v>---</v>
      </c>
    </row>
    <row r="160" spans="1:11" x14ac:dyDescent="0.25">
      <c r="B160" s="265" t="str">
        <f ca="1">Holidays!K40</f>
        <v/>
      </c>
      <c r="C160">
        <f t="shared" si="20"/>
        <v>0</v>
      </c>
      <c r="D160" t="str">
        <f t="shared" ca="1" si="20"/>
        <v/>
      </c>
      <c r="E160">
        <f t="shared" ca="1" si="14"/>
        <v>2001.6</v>
      </c>
      <c r="F160" t="str">
        <f t="shared" ca="1" si="15"/>
        <v/>
      </c>
      <c r="G160">
        <v>159</v>
      </c>
      <c r="H160" t="str">
        <f t="shared" ca="1" si="16"/>
        <v>---</v>
      </c>
      <c r="I160" s="265" t="str">
        <f t="shared" ca="1" si="17"/>
        <v>---</v>
      </c>
      <c r="J160" s="267" t="str">
        <f t="shared" ca="1" si="18"/>
        <v>---</v>
      </c>
      <c r="K160" s="267" t="str">
        <f t="shared" ca="1" si="19"/>
        <v>---</v>
      </c>
    </row>
    <row r="161" spans="1:11" x14ac:dyDescent="0.25">
      <c r="B161" s="265" t="str">
        <f ca="1">Holidays!K41</f>
        <v/>
      </c>
      <c r="C161">
        <f t="shared" si="20"/>
        <v>0</v>
      </c>
      <c r="D161" t="str">
        <f t="shared" ca="1" si="20"/>
        <v/>
      </c>
      <c r="E161">
        <f t="shared" ca="1" si="14"/>
        <v>2001.61</v>
      </c>
      <c r="F161" t="str">
        <f t="shared" ca="1" si="15"/>
        <v/>
      </c>
      <c r="G161">
        <v>160</v>
      </c>
      <c r="H161" t="str">
        <f t="shared" ca="1" si="16"/>
        <v>---</v>
      </c>
      <c r="I161" s="265" t="str">
        <f t="shared" ca="1" si="17"/>
        <v>---</v>
      </c>
      <c r="J161" s="267" t="str">
        <f t="shared" ca="1" si="18"/>
        <v>---</v>
      </c>
      <c r="K161" s="267" t="str">
        <f t="shared" ca="1" si="19"/>
        <v>---</v>
      </c>
    </row>
    <row r="162" spans="1:11" x14ac:dyDescent="0.25">
      <c r="A162" t="str">
        <f ca="1">A102</f>
        <v>MÓVEIS - CERTO DIA DA SEMANA DE CERTO MÊS</v>
      </c>
      <c r="B162" s="265"/>
      <c r="E162">
        <f t="shared" si="14"/>
        <v>2001.62</v>
      </c>
      <c r="F162" t="str">
        <f t="shared" si="15"/>
        <v/>
      </c>
      <c r="G162">
        <v>161</v>
      </c>
      <c r="H162" t="str">
        <f t="shared" ca="1" si="16"/>
        <v>---</v>
      </c>
      <c r="I162" s="265" t="str">
        <f t="shared" ca="1" si="17"/>
        <v>---</v>
      </c>
      <c r="J162" s="267" t="str">
        <f t="shared" ca="1" si="18"/>
        <v>---</v>
      </c>
      <c r="K162" s="267" t="str">
        <f t="shared" ca="1" si="19"/>
        <v>---</v>
      </c>
    </row>
    <row r="163" spans="1:11" x14ac:dyDescent="0.25">
      <c r="B163" s="265">
        <f>Holidays!K43</f>
        <v>43961</v>
      </c>
      <c r="C163" t="str">
        <f t="shared" ref="C163:D168" si="21">C103</f>
        <v>Dia das Mães (2º domingo de maio)</v>
      </c>
      <c r="D163">
        <f t="shared" ca="1" si="21"/>
        <v>0.5</v>
      </c>
      <c r="E163">
        <f t="shared" ca="1" si="14"/>
        <v>88.63</v>
      </c>
      <c r="F163">
        <f t="shared" ca="1" si="15"/>
        <v>87</v>
      </c>
      <c r="G163">
        <v>162</v>
      </c>
      <c r="H163" t="str">
        <f t="shared" ca="1" si="16"/>
        <v>---</v>
      </c>
      <c r="I163" s="265" t="str">
        <f t="shared" ca="1" si="17"/>
        <v>---</v>
      </c>
      <c r="J163" s="267" t="str">
        <f t="shared" ca="1" si="18"/>
        <v>---</v>
      </c>
      <c r="K163" s="267" t="str">
        <f t="shared" ca="1" si="19"/>
        <v>---</v>
      </c>
    </row>
    <row r="164" spans="1:11" x14ac:dyDescent="0.25">
      <c r="B164" s="265">
        <f>Holidays!K44</f>
        <v>44052</v>
      </c>
      <c r="C164" t="str">
        <f t="shared" si="21"/>
        <v>Dia dos Pais (2º domingo de agosto)</v>
      </c>
      <c r="D164">
        <f t="shared" ca="1" si="21"/>
        <v>0.5</v>
      </c>
      <c r="E164">
        <f t="shared" ca="1" si="14"/>
        <v>94.64</v>
      </c>
      <c r="F164">
        <f t="shared" ca="1" si="15"/>
        <v>93</v>
      </c>
      <c r="G164">
        <v>163</v>
      </c>
      <c r="H164" t="str">
        <f t="shared" ca="1" si="16"/>
        <v>---</v>
      </c>
      <c r="I164" s="265" t="str">
        <f t="shared" ca="1" si="17"/>
        <v>---</v>
      </c>
      <c r="J164" s="267" t="str">
        <f t="shared" ca="1" si="18"/>
        <v>---</v>
      </c>
      <c r="K164" s="267" t="str">
        <f t="shared" ca="1" si="19"/>
        <v>---</v>
      </c>
    </row>
    <row r="165" spans="1:11" x14ac:dyDescent="0.25">
      <c r="B165" s="265" t="str">
        <f>Holidays!K45</f>
        <v/>
      </c>
      <c r="C165">
        <f t="shared" si="21"/>
        <v>0</v>
      </c>
      <c r="D165" t="str">
        <f t="shared" ca="1" si="21"/>
        <v/>
      </c>
      <c r="E165">
        <f t="shared" si="14"/>
        <v>2001.65</v>
      </c>
      <c r="F165" t="str">
        <f t="shared" si="15"/>
        <v/>
      </c>
      <c r="G165">
        <v>164</v>
      </c>
      <c r="H165" t="str">
        <f t="shared" ca="1" si="16"/>
        <v>---</v>
      </c>
      <c r="I165" s="265" t="str">
        <f t="shared" ca="1" si="17"/>
        <v>---</v>
      </c>
      <c r="J165" s="267" t="str">
        <f t="shared" ca="1" si="18"/>
        <v>---</v>
      </c>
      <c r="K165" s="267" t="str">
        <f t="shared" ca="1" si="19"/>
        <v>---</v>
      </c>
    </row>
    <row r="166" spans="1:11" x14ac:dyDescent="0.25">
      <c r="B166" s="265" t="str">
        <f>Holidays!K46</f>
        <v/>
      </c>
      <c r="C166">
        <f t="shared" si="21"/>
        <v>0</v>
      </c>
      <c r="D166" t="str">
        <f t="shared" ca="1" si="21"/>
        <v/>
      </c>
      <c r="E166">
        <f t="shared" si="14"/>
        <v>2001.66</v>
      </c>
      <c r="F166" t="str">
        <f t="shared" si="15"/>
        <v/>
      </c>
      <c r="G166">
        <v>165</v>
      </c>
      <c r="H166" t="str">
        <f t="shared" ca="1" si="16"/>
        <v>---</v>
      </c>
      <c r="I166" s="265" t="str">
        <f t="shared" ca="1" si="17"/>
        <v>---</v>
      </c>
      <c r="J166" s="267" t="str">
        <f t="shared" ca="1" si="18"/>
        <v>---</v>
      </c>
      <c r="K166" s="267" t="str">
        <f t="shared" ca="1" si="19"/>
        <v>---</v>
      </c>
    </row>
    <row r="167" spans="1:11" x14ac:dyDescent="0.25">
      <c r="B167" s="265" t="str">
        <f>Holidays!K47</f>
        <v/>
      </c>
      <c r="C167">
        <f t="shared" si="21"/>
        <v>0</v>
      </c>
      <c r="D167" t="str">
        <f t="shared" ca="1" si="21"/>
        <v/>
      </c>
      <c r="E167">
        <f t="shared" si="14"/>
        <v>2001.67</v>
      </c>
      <c r="F167" t="str">
        <f t="shared" si="15"/>
        <v/>
      </c>
      <c r="G167">
        <v>166</v>
      </c>
      <c r="H167" t="str">
        <f t="shared" ca="1" si="16"/>
        <v>---</v>
      </c>
      <c r="I167" s="265" t="str">
        <f t="shared" ca="1" si="17"/>
        <v>---</v>
      </c>
      <c r="J167" s="267" t="str">
        <f t="shared" ca="1" si="18"/>
        <v>---</v>
      </c>
      <c r="K167" s="267" t="str">
        <f t="shared" ca="1" si="19"/>
        <v>---</v>
      </c>
    </row>
    <row r="168" spans="1:11" x14ac:dyDescent="0.25">
      <c r="B168" s="265" t="str">
        <f>Holidays!K48</f>
        <v/>
      </c>
      <c r="C168">
        <f t="shared" si="21"/>
        <v>0</v>
      </c>
      <c r="D168" t="str">
        <f t="shared" ca="1" si="21"/>
        <v/>
      </c>
      <c r="E168">
        <f t="shared" si="14"/>
        <v>2001.68</v>
      </c>
      <c r="F168" t="str">
        <f t="shared" si="15"/>
        <v/>
      </c>
      <c r="G168">
        <v>167</v>
      </c>
      <c r="H168" t="str">
        <f t="shared" ca="1" si="16"/>
        <v>---</v>
      </c>
      <c r="I168" s="265" t="str">
        <f t="shared" ca="1" si="17"/>
        <v>---</v>
      </c>
      <c r="J168" s="267" t="str">
        <f t="shared" ca="1" si="18"/>
        <v>---</v>
      </c>
      <c r="K168" s="267" t="str">
        <f t="shared" ca="1" si="19"/>
        <v>---</v>
      </c>
    </row>
    <row r="169" spans="1:11" x14ac:dyDescent="0.25">
      <c r="A169" t="str">
        <f ca="1">A109</f>
        <v>ESTAÇÕES DO ANO</v>
      </c>
      <c r="B169" s="265"/>
      <c r="E169">
        <f t="shared" si="14"/>
        <v>2001.69</v>
      </c>
      <c r="F169" t="str">
        <f t="shared" si="15"/>
        <v/>
      </c>
      <c r="G169">
        <v>168</v>
      </c>
      <c r="H169" t="str">
        <f t="shared" ca="1" si="16"/>
        <v>---</v>
      </c>
      <c r="I169" s="265" t="str">
        <f t="shared" ca="1" si="17"/>
        <v>---</v>
      </c>
      <c r="J169" s="267" t="str">
        <f t="shared" ca="1" si="18"/>
        <v>---</v>
      </c>
      <c r="K169" s="267" t="str">
        <f t="shared" ca="1" si="19"/>
        <v>---</v>
      </c>
    </row>
    <row r="170" spans="1:11" x14ac:dyDescent="0.25">
      <c r="B170" s="265">
        <f ca="1">Holidays!K50</f>
        <v>43910</v>
      </c>
      <c r="C170" t="str">
        <f t="shared" ref="C170:D173" ca="1" si="22">C110</f>
        <v>Outono</v>
      </c>
      <c r="D170">
        <f t="shared" ca="1" si="22"/>
        <v>0.5</v>
      </c>
      <c r="E170">
        <f t="shared" ca="1" si="14"/>
        <v>78.7</v>
      </c>
      <c r="F170">
        <f t="shared" ca="1" si="15"/>
        <v>77</v>
      </c>
      <c r="G170">
        <v>169</v>
      </c>
      <c r="H170" t="str">
        <f t="shared" ca="1" si="16"/>
        <v>---</v>
      </c>
      <c r="I170" s="265" t="str">
        <f t="shared" ca="1" si="17"/>
        <v>---</v>
      </c>
      <c r="J170" s="267" t="str">
        <f t="shared" ca="1" si="18"/>
        <v>---</v>
      </c>
      <c r="K170" s="267" t="str">
        <f t="shared" ca="1" si="19"/>
        <v>---</v>
      </c>
    </row>
    <row r="171" spans="1:11" x14ac:dyDescent="0.25">
      <c r="B171" s="265">
        <f ca="1">Holidays!K51</f>
        <v>44002</v>
      </c>
      <c r="C171" t="str">
        <f t="shared" ca="1" si="22"/>
        <v>Inverno</v>
      </c>
      <c r="D171">
        <f t="shared" ca="1" si="22"/>
        <v>0.5</v>
      </c>
      <c r="E171">
        <f t="shared" ca="1" si="14"/>
        <v>92.71</v>
      </c>
      <c r="F171">
        <f t="shared" ca="1" si="15"/>
        <v>91</v>
      </c>
      <c r="G171">
        <v>170</v>
      </c>
      <c r="H171" t="str">
        <f t="shared" ca="1" si="16"/>
        <v>---</v>
      </c>
      <c r="I171" s="265" t="str">
        <f t="shared" ca="1" si="17"/>
        <v>---</v>
      </c>
      <c r="J171" s="267" t="str">
        <f t="shared" ca="1" si="18"/>
        <v>---</v>
      </c>
      <c r="K171" s="267" t="str">
        <f t="shared" ca="1" si="19"/>
        <v>---</v>
      </c>
    </row>
    <row r="172" spans="1:11" x14ac:dyDescent="0.25">
      <c r="B172" s="265">
        <f ca="1">Holidays!K52</f>
        <v>44096</v>
      </c>
      <c r="C172" t="str">
        <f t="shared" ca="1" si="22"/>
        <v>Primavera</v>
      </c>
      <c r="D172">
        <f t="shared" ca="1" si="22"/>
        <v>0.5</v>
      </c>
      <c r="E172">
        <f t="shared" ca="1" si="14"/>
        <v>97.72</v>
      </c>
      <c r="F172">
        <f t="shared" ca="1" si="15"/>
        <v>96</v>
      </c>
      <c r="G172">
        <v>171</v>
      </c>
      <c r="H172" t="str">
        <f t="shared" ca="1" si="16"/>
        <v>---</v>
      </c>
      <c r="I172" s="265" t="str">
        <f t="shared" ca="1" si="17"/>
        <v>---</v>
      </c>
      <c r="J172" s="267" t="str">
        <f t="shared" ca="1" si="18"/>
        <v>---</v>
      </c>
      <c r="K172" s="267" t="str">
        <f t="shared" ca="1" si="19"/>
        <v>---</v>
      </c>
    </row>
    <row r="173" spans="1:11" x14ac:dyDescent="0.25">
      <c r="B173" s="265">
        <f ca="1">Holidays!K53</f>
        <v>44186</v>
      </c>
      <c r="C173" t="str">
        <f t="shared" ca="1" si="22"/>
        <v>Verão</v>
      </c>
      <c r="D173">
        <f t="shared" ca="1" si="22"/>
        <v>0.5</v>
      </c>
      <c r="E173">
        <f t="shared" ca="1" si="14"/>
        <v>108.73</v>
      </c>
      <c r="F173">
        <f t="shared" ca="1" si="15"/>
        <v>107</v>
      </c>
      <c r="G173">
        <v>172</v>
      </c>
      <c r="H173" t="str">
        <f t="shared" ca="1" si="16"/>
        <v>---</v>
      </c>
      <c r="I173" s="265" t="str">
        <f t="shared" ca="1" si="17"/>
        <v>---</v>
      </c>
      <c r="J173" s="267" t="str">
        <f t="shared" ca="1" si="18"/>
        <v>---</v>
      </c>
      <c r="K173" s="267" t="str">
        <f t="shared" ca="1" si="19"/>
        <v>---</v>
      </c>
    </row>
    <row r="174" spans="1:11" x14ac:dyDescent="0.25">
      <c r="E174">
        <f t="shared" si="14"/>
        <v>2001.74</v>
      </c>
      <c r="F174" t="str">
        <f t="shared" si="15"/>
        <v/>
      </c>
      <c r="G174">
        <v>173</v>
      </c>
      <c r="H174" t="str">
        <f t="shared" ca="1" si="16"/>
        <v>---</v>
      </c>
      <c r="I174" s="265" t="str">
        <f t="shared" ca="1" si="17"/>
        <v>---</v>
      </c>
      <c r="J174" s="267" t="str">
        <f t="shared" ca="1" si="18"/>
        <v>---</v>
      </c>
      <c r="K174" s="267" t="str">
        <f t="shared" ca="1" si="19"/>
        <v>---</v>
      </c>
    </row>
    <row r="175" spans="1:11" x14ac:dyDescent="0.25">
      <c r="E175">
        <f t="shared" si="14"/>
        <v>2001.75</v>
      </c>
      <c r="F175" t="str">
        <f t="shared" si="15"/>
        <v/>
      </c>
      <c r="G175">
        <v>174</v>
      </c>
      <c r="H175" t="str">
        <f t="shared" ca="1" si="16"/>
        <v>---</v>
      </c>
      <c r="I175" s="265" t="str">
        <f t="shared" ca="1" si="17"/>
        <v>---</v>
      </c>
      <c r="J175" s="267" t="str">
        <f t="shared" ca="1" si="18"/>
        <v>---</v>
      </c>
      <c r="K175" s="267" t="str">
        <f t="shared" ca="1" si="19"/>
        <v>---</v>
      </c>
    </row>
    <row r="176" spans="1:11" x14ac:dyDescent="0.25">
      <c r="E176">
        <f t="shared" si="14"/>
        <v>2001.76</v>
      </c>
      <c r="F176" t="str">
        <f t="shared" si="15"/>
        <v/>
      </c>
      <c r="G176">
        <v>175</v>
      </c>
      <c r="H176" t="str">
        <f t="shared" ca="1" si="16"/>
        <v>---</v>
      </c>
      <c r="I176" s="265" t="str">
        <f t="shared" ca="1" si="17"/>
        <v>---</v>
      </c>
      <c r="J176" s="267" t="str">
        <f t="shared" ca="1" si="18"/>
        <v>---</v>
      </c>
      <c r="K176" s="267" t="str">
        <f t="shared" ca="1" si="19"/>
        <v>---</v>
      </c>
    </row>
    <row r="177" spans="1:11" x14ac:dyDescent="0.25">
      <c r="E177">
        <f t="shared" si="14"/>
        <v>2001.77</v>
      </c>
      <c r="F177" t="str">
        <f t="shared" si="15"/>
        <v/>
      </c>
      <c r="G177">
        <v>176</v>
      </c>
      <c r="H177" t="str">
        <f t="shared" ca="1" si="16"/>
        <v>---</v>
      </c>
      <c r="I177" s="265" t="str">
        <f t="shared" ca="1" si="17"/>
        <v>---</v>
      </c>
      <c r="J177" s="267" t="str">
        <f t="shared" ca="1" si="18"/>
        <v>---</v>
      </c>
      <c r="K177" s="267" t="str">
        <f t="shared" ca="1" si="19"/>
        <v>---</v>
      </c>
    </row>
    <row r="178" spans="1:11" x14ac:dyDescent="0.25">
      <c r="E178">
        <f t="shared" si="14"/>
        <v>2001.78</v>
      </c>
      <c r="F178" t="str">
        <f t="shared" si="15"/>
        <v/>
      </c>
      <c r="G178">
        <v>177</v>
      </c>
      <c r="H178" t="str">
        <f t="shared" ca="1" si="16"/>
        <v>---</v>
      </c>
      <c r="I178" s="265" t="str">
        <f t="shared" ca="1" si="17"/>
        <v>---</v>
      </c>
      <c r="J178" s="267" t="str">
        <f t="shared" ca="1" si="18"/>
        <v>---</v>
      </c>
      <c r="K178" s="267" t="str">
        <f t="shared" ca="1" si="19"/>
        <v>---</v>
      </c>
    </row>
    <row r="179" spans="1:11" x14ac:dyDescent="0.25">
      <c r="E179">
        <f t="shared" si="14"/>
        <v>2001.79</v>
      </c>
      <c r="F179" t="str">
        <f t="shared" si="15"/>
        <v/>
      </c>
      <c r="G179">
        <v>178</v>
      </c>
      <c r="H179" t="str">
        <f t="shared" ca="1" si="16"/>
        <v>---</v>
      </c>
      <c r="I179" s="265" t="str">
        <f t="shared" ca="1" si="17"/>
        <v>---</v>
      </c>
      <c r="J179" s="267" t="str">
        <f t="shared" ca="1" si="18"/>
        <v>---</v>
      </c>
      <c r="K179" s="267" t="str">
        <f t="shared" ca="1" si="19"/>
        <v>---</v>
      </c>
    </row>
    <row r="180" spans="1:11" x14ac:dyDescent="0.25">
      <c r="E180">
        <f t="shared" si="14"/>
        <v>2001.8</v>
      </c>
      <c r="F180" t="str">
        <f t="shared" si="15"/>
        <v/>
      </c>
      <c r="G180">
        <v>179</v>
      </c>
      <c r="H180" t="str">
        <f t="shared" ca="1" si="16"/>
        <v>---</v>
      </c>
      <c r="I180" s="265" t="str">
        <f t="shared" ca="1" si="17"/>
        <v>---</v>
      </c>
      <c r="J180" s="267" t="str">
        <f t="shared" ca="1" si="18"/>
        <v>---</v>
      </c>
      <c r="K180" s="267" t="str">
        <f t="shared" ca="1" si="19"/>
        <v>---</v>
      </c>
    </row>
    <row r="181" spans="1:11" x14ac:dyDescent="0.25">
      <c r="A181" t="str">
        <f ca="1">A121</f>
        <v>FERIADOS, COMEMORAÇÕES E ANIVERSÁRIOS</v>
      </c>
      <c r="B181" s="267"/>
      <c r="E181">
        <f t="shared" si="14"/>
        <v>2001.81</v>
      </c>
      <c r="F181" t="str">
        <f t="shared" si="15"/>
        <v/>
      </c>
      <c r="G181">
        <v>180</v>
      </c>
      <c r="H181" t="str">
        <f t="shared" ca="1" si="16"/>
        <v>---</v>
      </c>
      <c r="I181" s="265" t="str">
        <f t="shared" ca="1" si="17"/>
        <v>---</v>
      </c>
      <c r="J181" s="267" t="str">
        <f t="shared" ca="1" si="18"/>
        <v>---</v>
      </c>
      <c r="K181" s="267" t="str">
        <f t="shared" ca="1" si="19"/>
        <v>---</v>
      </c>
    </row>
    <row r="182" spans="1:11" x14ac:dyDescent="0.25">
      <c r="B182" s="267" t="str">
        <f>Holidays!L2</f>
        <v>Data3</v>
      </c>
      <c r="C182" t="str">
        <f ca="1">C122</f>
        <v>Nome</v>
      </c>
      <c r="D182" t="str">
        <f>D122</f>
        <v>CodType</v>
      </c>
      <c r="E182">
        <f t="shared" si="14"/>
        <v>2001.82</v>
      </c>
      <c r="F182" t="str">
        <f t="shared" si="15"/>
        <v/>
      </c>
      <c r="G182">
        <v>181</v>
      </c>
      <c r="H182" t="str">
        <f t="shared" ca="1" si="16"/>
        <v>---</v>
      </c>
      <c r="I182" s="265" t="str">
        <f t="shared" ca="1" si="17"/>
        <v>---</v>
      </c>
      <c r="J182" s="267" t="str">
        <f t="shared" ca="1" si="18"/>
        <v>---</v>
      </c>
      <c r="K182" s="267" t="str">
        <f t="shared" ca="1" si="19"/>
        <v>---</v>
      </c>
    </row>
    <row r="183" spans="1:11" x14ac:dyDescent="0.25">
      <c r="A183" t="str">
        <f ca="1">A123</f>
        <v>FIXOS</v>
      </c>
      <c r="B183" s="267"/>
      <c r="E183">
        <f t="shared" si="14"/>
        <v>2001.83</v>
      </c>
      <c r="F183" t="str">
        <f t="shared" si="15"/>
        <v/>
      </c>
      <c r="G183">
        <v>182</v>
      </c>
      <c r="H183" t="str">
        <f t="shared" ca="1" si="16"/>
        <v>---</v>
      </c>
      <c r="I183" s="265" t="str">
        <f t="shared" ca="1" si="17"/>
        <v>---</v>
      </c>
      <c r="J183" s="267" t="str">
        <f t="shared" ca="1" si="18"/>
        <v>---</v>
      </c>
      <c r="K183" s="267" t="str">
        <f t="shared" ca="1" si="19"/>
        <v>---</v>
      </c>
    </row>
    <row r="184" spans="1:11" x14ac:dyDescent="0.25">
      <c r="B184" s="265">
        <f>Holidays!L4</f>
        <v>44197</v>
      </c>
      <c r="C184" t="str">
        <f t="shared" ref="C184:D207" si="23">C124</f>
        <v>Confraternização Universal</v>
      </c>
      <c r="D184">
        <f t="shared" ca="1" si="23"/>
        <v>-11</v>
      </c>
      <c r="E184">
        <f t="shared" ca="1" si="14"/>
        <v>110.84</v>
      </c>
      <c r="F184">
        <f t="shared" ca="1" si="15"/>
        <v>109</v>
      </c>
      <c r="G184">
        <v>183</v>
      </c>
      <c r="H184" t="str">
        <f t="shared" ca="1" si="16"/>
        <v>---</v>
      </c>
      <c r="I184" s="265" t="str">
        <f t="shared" ca="1" si="17"/>
        <v>---</v>
      </c>
      <c r="J184" s="267" t="str">
        <f t="shared" ca="1" si="18"/>
        <v>---</v>
      </c>
      <c r="K184" s="267" t="str">
        <f t="shared" ca="1" si="19"/>
        <v>---</v>
      </c>
    </row>
    <row r="185" spans="1:11" x14ac:dyDescent="0.25">
      <c r="B185" s="265">
        <f>Holidays!L5</f>
        <v>44263</v>
      </c>
      <c r="C185" t="str">
        <f t="shared" si="23"/>
        <v>Dia Internacional da Mulher</v>
      </c>
      <c r="D185">
        <f t="shared" ca="1" si="23"/>
        <v>0.5</v>
      </c>
      <c r="E185">
        <f t="shared" ca="1" si="14"/>
        <v>113.85</v>
      </c>
      <c r="F185">
        <f t="shared" ca="1" si="15"/>
        <v>112</v>
      </c>
      <c r="G185">
        <v>184</v>
      </c>
      <c r="H185" t="str">
        <f t="shared" ca="1" si="16"/>
        <v>---</v>
      </c>
      <c r="I185" s="265" t="str">
        <f t="shared" ca="1" si="17"/>
        <v>---</v>
      </c>
      <c r="J185" s="267" t="str">
        <f t="shared" ca="1" si="18"/>
        <v>---</v>
      </c>
      <c r="K185" s="267" t="str">
        <f t="shared" ca="1" si="19"/>
        <v>---</v>
      </c>
    </row>
    <row r="186" spans="1:11" x14ac:dyDescent="0.25">
      <c r="B186" s="265">
        <f>Holidays!L6</f>
        <v>44304</v>
      </c>
      <c r="C186" t="str">
        <f t="shared" si="23"/>
        <v>Dia do Amigo</v>
      </c>
      <c r="D186">
        <f t="shared" ca="1" si="23"/>
        <v>0.5</v>
      </c>
      <c r="E186">
        <f t="shared" ca="1" si="14"/>
        <v>119.86</v>
      </c>
      <c r="F186">
        <f t="shared" ca="1" si="15"/>
        <v>118</v>
      </c>
      <c r="G186">
        <v>185</v>
      </c>
      <c r="H186" t="str">
        <f t="shared" ca="1" si="16"/>
        <v>---</v>
      </c>
      <c r="I186" s="265" t="str">
        <f t="shared" ca="1" si="17"/>
        <v>---</v>
      </c>
      <c r="J186" s="267" t="str">
        <f t="shared" ca="1" si="18"/>
        <v>---</v>
      </c>
      <c r="K186" s="267" t="str">
        <f t="shared" ca="1" si="19"/>
        <v>---</v>
      </c>
    </row>
    <row r="187" spans="1:11" x14ac:dyDescent="0.25">
      <c r="B187" s="265">
        <f>Holidays!L7</f>
        <v>44305</v>
      </c>
      <c r="C187" t="str">
        <f t="shared" si="23"/>
        <v>Dia do Índio</v>
      </c>
      <c r="D187">
        <f t="shared" ca="1" si="23"/>
        <v>0.5</v>
      </c>
      <c r="E187">
        <f t="shared" ca="1" si="14"/>
        <v>120.87</v>
      </c>
      <c r="F187">
        <f t="shared" ca="1" si="15"/>
        <v>119</v>
      </c>
      <c r="G187">
        <v>186</v>
      </c>
      <c r="H187" t="str">
        <f t="shared" ca="1" si="16"/>
        <v>---</v>
      </c>
      <c r="I187" s="265" t="str">
        <f t="shared" ca="1" si="17"/>
        <v>---</v>
      </c>
      <c r="J187" s="267" t="str">
        <f t="shared" ca="1" si="18"/>
        <v>---</v>
      </c>
      <c r="K187" s="267" t="str">
        <f t="shared" ca="1" si="19"/>
        <v>---</v>
      </c>
    </row>
    <row r="188" spans="1:11" x14ac:dyDescent="0.25">
      <c r="B188" s="265">
        <f>Holidays!L8</f>
        <v>44307</v>
      </c>
      <c r="C188" t="str">
        <f t="shared" si="23"/>
        <v>Tiradentes</v>
      </c>
      <c r="D188">
        <f t="shared" ca="1" si="23"/>
        <v>-11</v>
      </c>
      <c r="E188">
        <f t="shared" ca="1" si="14"/>
        <v>121.88</v>
      </c>
      <c r="F188">
        <f t="shared" ca="1" si="15"/>
        <v>120</v>
      </c>
      <c r="G188">
        <v>187</v>
      </c>
      <c r="H188" t="str">
        <f t="shared" ca="1" si="16"/>
        <v>---</v>
      </c>
      <c r="I188" s="265" t="str">
        <f t="shared" ca="1" si="17"/>
        <v>---</v>
      </c>
      <c r="J188" s="267" t="str">
        <f t="shared" ca="1" si="18"/>
        <v>---</v>
      </c>
      <c r="K188" s="267" t="str">
        <f t="shared" ca="1" si="19"/>
        <v>---</v>
      </c>
    </row>
    <row r="189" spans="1:11" x14ac:dyDescent="0.25">
      <c r="B189" s="265">
        <f>Holidays!L9</f>
        <v>44308</v>
      </c>
      <c r="C189" t="str">
        <f t="shared" si="23"/>
        <v>Dia do Descobrimento do Brasil</v>
      </c>
      <c r="D189">
        <f t="shared" ca="1" si="23"/>
        <v>0.5</v>
      </c>
      <c r="E189">
        <f t="shared" ca="1" si="14"/>
        <v>122.89</v>
      </c>
      <c r="F189">
        <f t="shared" ca="1" si="15"/>
        <v>121</v>
      </c>
      <c r="G189">
        <v>188</v>
      </c>
      <c r="H189" t="str">
        <f t="shared" ca="1" si="16"/>
        <v>---</v>
      </c>
      <c r="I189" s="265" t="str">
        <f t="shared" ca="1" si="17"/>
        <v>---</v>
      </c>
      <c r="J189" s="267" t="str">
        <f t="shared" ca="1" si="18"/>
        <v>---</v>
      </c>
      <c r="K189" s="267" t="str">
        <f t="shared" ca="1" si="19"/>
        <v>---</v>
      </c>
    </row>
    <row r="190" spans="1:11" x14ac:dyDescent="0.25">
      <c r="B190" s="265">
        <f>Holidays!L10</f>
        <v>44317</v>
      </c>
      <c r="C190" t="str">
        <f t="shared" si="23"/>
        <v>Dia do Trabalho</v>
      </c>
      <c r="D190">
        <f t="shared" ca="1" si="23"/>
        <v>-11</v>
      </c>
      <c r="E190">
        <f t="shared" ca="1" si="14"/>
        <v>123.9</v>
      </c>
      <c r="F190">
        <f t="shared" ca="1" si="15"/>
        <v>122</v>
      </c>
      <c r="G190">
        <v>189</v>
      </c>
      <c r="H190" t="str">
        <f t="shared" ca="1" si="16"/>
        <v>---</v>
      </c>
      <c r="I190" s="265" t="str">
        <f t="shared" ca="1" si="17"/>
        <v>---</v>
      </c>
      <c r="J190" s="267" t="str">
        <f t="shared" ca="1" si="18"/>
        <v>---</v>
      </c>
      <c r="K190" s="267" t="str">
        <f t="shared" ca="1" si="19"/>
        <v>---</v>
      </c>
    </row>
    <row r="191" spans="1:11" x14ac:dyDescent="0.25">
      <c r="B191" s="265">
        <f>Holidays!L11</f>
        <v>44329</v>
      </c>
      <c r="C191" t="str">
        <f t="shared" si="23"/>
        <v>Dia da Abolição da Escravidão</v>
      </c>
      <c r="D191">
        <f t="shared" ca="1" si="23"/>
        <v>0.5</v>
      </c>
      <c r="E191">
        <f t="shared" ca="1" si="14"/>
        <v>125.91</v>
      </c>
      <c r="F191">
        <f t="shared" ca="1" si="15"/>
        <v>124</v>
      </c>
      <c r="G191">
        <v>190</v>
      </c>
      <c r="H191" t="str">
        <f t="shared" ca="1" si="16"/>
        <v>---</v>
      </c>
      <c r="I191" s="265" t="str">
        <f t="shared" ca="1" si="17"/>
        <v>---</v>
      </c>
      <c r="J191" s="267" t="str">
        <f t="shared" ca="1" si="18"/>
        <v>---</v>
      </c>
      <c r="K191" s="267" t="str">
        <f t="shared" ca="1" si="19"/>
        <v>---</v>
      </c>
    </row>
    <row r="192" spans="1:11" x14ac:dyDescent="0.25">
      <c r="B192" s="265">
        <f>Holidays!L12</f>
        <v>44359</v>
      </c>
      <c r="C192" t="str">
        <f t="shared" si="23"/>
        <v>Dia dos Namorados</v>
      </c>
      <c r="D192">
        <f t="shared" ca="1" si="23"/>
        <v>0.5</v>
      </c>
      <c r="E192">
        <f t="shared" ca="1" si="14"/>
        <v>127.92</v>
      </c>
      <c r="F192">
        <f t="shared" ca="1" si="15"/>
        <v>126</v>
      </c>
      <c r="G192">
        <v>191</v>
      </c>
      <c r="H192" t="str">
        <f t="shared" ca="1" si="16"/>
        <v>---</v>
      </c>
      <c r="I192" s="265" t="str">
        <f t="shared" ca="1" si="17"/>
        <v>---</v>
      </c>
      <c r="J192" s="267" t="str">
        <f t="shared" ca="1" si="18"/>
        <v>---</v>
      </c>
      <c r="K192" s="267" t="str">
        <f t="shared" ca="1" si="19"/>
        <v>---</v>
      </c>
    </row>
    <row r="193" spans="1:11" x14ac:dyDescent="0.25">
      <c r="B193" s="265">
        <f>Holidays!L13</f>
        <v>44403</v>
      </c>
      <c r="C193" t="str">
        <f t="shared" si="23"/>
        <v>Dia da Vovó</v>
      </c>
      <c r="D193">
        <f t="shared" ca="1" si="23"/>
        <v>0.5</v>
      </c>
      <c r="E193">
        <f t="shared" ca="1" si="14"/>
        <v>129.93</v>
      </c>
      <c r="F193">
        <f t="shared" ca="1" si="15"/>
        <v>128</v>
      </c>
      <c r="G193">
        <v>192</v>
      </c>
      <c r="H193" t="str">
        <f t="shared" ca="1" si="16"/>
        <v>---</v>
      </c>
      <c r="I193" s="265" t="str">
        <f t="shared" ca="1" si="17"/>
        <v>---</v>
      </c>
      <c r="J193" s="267" t="str">
        <f t="shared" ca="1" si="18"/>
        <v>---</v>
      </c>
      <c r="K193" s="267" t="str">
        <f t="shared" ca="1" si="19"/>
        <v>---</v>
      </c>
    </row>
    <row r="194" spans="1:11" x14ac:dyDescent="0.25">
      <c r="B194" s="265">
        <f>Holidays!L14</f>
        <v>44419</v>
      </c>
      <c r="C194" t="str">
        <f t="shared" si="23"/>
        <v>Dia Nacional do Estudante</v>
      </c>
      <c r="D194">
        <f t="shared" ca="1" si="23"/>
        <v>0.5</v>
      </c>
      <c r="E194">
        <f t="shared" ca="1" si="14"/>
        <v>131.94</v>
      </c>
      <c r="F194">
        <f t="shared" ca="1" si="15"/>
        <v>130</v>
      </c>
      <c r="G194">
        <v>193</v>
      </c>
      <c r="H194" t="str">
        <f t="shared" ca="1" si="16"/>
        <v>---</v>
      </c>
      <c r="I194" s="265" t="str">
        <f t="shared" ca="1" si="17"/>
        <v>---</v>
      </c>
      <c r="J194" s="267" t="str">
        <f t="shared" ca="1" si="18"/>
        <v>---</v>
      </c>
      <c r="K194" s="267" t="str">
        <f t="shared" ca="1" si="19"/>
        <v>---</v>
      </c>
    </row>
    <row r="195" spans="1:11" x14ac:dyDescent="0.25">
      <c r="B195" s="265">
        <f>Holidays!L15</f>
        <v>44446</v>
      </c>
      <c r="C195" t="str">
        <f t="shared" si="23"/>
        <v>Independência</v>
      </c>
      <c r="D195">
        <f t="shared" ca="1" si="23"/>
        <v>-11</v>
      </c>
      <c r="E195">
        <f t="shared" ref="E195:E233" ca="1" si="24">IF(ISNUMBER(B195),IFERROR(RANK(B195,$B$1:$B$233,1),1000),2000)+(ROW(E195)/100)</f>
        <v>132.94999999999999</v>
      </c>
      <c r="F195">
        <f t="shared" ref="F195:F233" ca="1" si="25">IF(E195&gt;2000,"",RANK(E195,$E$1:$E$233,1))</f>
        <v>131</v>
      </c>
      <c r="G195">
        <v>194</v>
      </c>
      <c r="H195" t="str">
        <f t="shared" ref="H195:H233" ca="1" si="26">IFERROR(MATCH(G195,$F$1:$F$233,0),"---")</f>
        <v>---</v>
      </c>
      <c r="I195" s="265" t="str">
        <f t="shared" ref="I195:I233" ca="1" si="27">IFERROR(INDEX(B$1:B$233,$H195),"---")</f>
        <v>---</v>
      </c>
      <c r="J195" s="267" t="str">
        <f t="shared" ref="J195:J233" ca="1" si="28">IFERROR(INDEX(D$1:D$233,$H195),"---")</f>
        <v>---</v>
      </c>
      <c r="K195" s="267" t="str">
        <f t="shared" ref="K195:K233" ca="1" si="29">IFERROR(INDEX(C$1:C$233,$H195),"---")</f>
        <v>---</v>
      </c>
    </row>
    <row r="196" spans="1:11" x14ac:dyDescent="0.25">
      <c r="B196" s="265">
        <f>Holidays!L16</f>
        <v>44470</v>
      </c>
      <c r="C196" t="str">
        <f t="shared" si="23"/>
        <v>Dia Internacional do Idoso</v>
      </c>
      <c r="D196">
        <f t="shared" ca="1" si="23"/>
        <v>0.5</v>
      </c>
      <c r="E196">
        <f t="shared" ca="1" si="24"/>
        <v>134.96</v>
      </c>
      <c r="F196">
        <f t="shared" ca="1" si="25"/>
        <v>133</v>
      </c>
      <c r="G196">
        <v>195</v>
      </c>
      <c r="H196" t="str">
        <f t="shared" ca="1" si="26"/>
        <v>---</v>
      </c>
      <c r="I196" s="265" t="str">
        <f t="shared" ca="1" si="27"/>
        <v>---</v>
      </c>
      <c r="J196" s="267" t="str">
        <f t="shared" ca="1" si="28"/>
        <v>---</v>
      </c>
      <c r="K196" s="267" t="str">
        <f t="shared" ca="1" si="29"/>
        <v>---</v>
      </c>
    </row>
    <row r="197" spans="1:11" x14ac:dyDescent="0.25">
      <c r="B197" s="265">
        <f>Holidays!L17</f>
        <v>44481</v>
      </c>
      <c r="C197" t="str">
        <f t="shared" si="23"/>
        <v>N. Sra. Aparecida / Dia das Crianças</v>
      </c>
      <c r="D197">
        <f t="shared" ca="1" si="23"/>
        <v>-11</v>
      </c>
      <c r="E197">
        <f t="shared" ca="1" si="24"/>
        <v>135.97</v>
      </c>
      <c r="F197">
        <f t="shared" ca="1" si="25"/>
        <v>134</v>
      </c>
      <c r="G197">
        <v>196</v>
      </c>
      <c r="H197" t="str">
        <f t="shared" ca="1" si="26"/>
        <v>---</v>
      </c>
      <c r="I197" s="265" t="str">
        <f t="shared" ca="1" si="27"/>
        <v>---</v>
      </c>
      <c r="J197" s="267" t="str">
        <f t="shared" ca="1" si="28"/>
        <v>---</v>
      </c>
      <c r="K197" s="267" t="str">
        <f t="shared" ca="1" si="29"/>
        <v>---</v>
      </c>
    </row>
    <row r="198" spans="1:11" x14ac:dyDescent="0.25">
      <c r="B198" s="265">
        <f>Holidays!L18</f>
        <v>44484</v>
      </c>
      <c r="C198" t="str">
        <f t="shared" si="23"/>
        <v>Dia do Professor</v>
      </c>
      <c r="D198">
        <f t="shared" ca="1" si="23"/>
        <v>0.5</v>
      </c>
      <c r="E198">
        <f t="shared" ca="1" si="24"/>
        <v>136.97999999999999</v>
      </c>
      <c r="F198">
        <f t="shared" ca="1" si="25"/>
        <v>135</v>
      </c>
      <c r="G198">
        <v>197</v>
      </c>
      <c r="H198" t="str">
        <f t="shared" ca="1" si="26"/>
        <v>---</v>
      </c>
      <c r="I198" s="265" t="str">
        <f t="shared" ca="1" si="27"/>
        <v>---</v>
      </c>
      <c r="J198" s="267" t="str">
        <f t="shared" ca="1" si="28"/>
        <v>---</v>
      </c>
      <c r="K198" s="267" t="str">
        <f t="shared" ca="1" si="29"/>
        <v>---</v>
      </c>
    </row>
    <row r="199" spans="1:11" x14ac:dyDescent="0.25">
      <c r="B199" s="265">
        <f>Holidays!L19</f>
        <v>44497</v>
      </c>
      <c r="C199" t="str">
        <f t="shared" si="23"/>
        <v>Dia do Servidor Público</v>
      </c>
      <c r="D199">
        <f t="shared" ca="1" si="23"/>
        <v>0.5</v>
      </c>
      <c r="E199">
        <f t="shared" ca="1" si="24"/>
        <v>137.99</v>
      </c>
      <c r="F199">
        <f t="shared" ca="1" si="25"/>
        <v>136</v>
      </c>
      <c r="G199">
        <v>198</v>
      </c>
      <c r="H199" t="str">
        <f t="shared" ca="1" si="26"/>
        <v>---</v>
      </c>
      <c r="I199" s="265" t="str">
        <f t="shared" ca="1" si="27"/>
        <v>---</v>
      </c>
      <c r="J199" s="267" t="str">
        <f t="shared" ca="1" si="28"/>
        <v>---</v>
      </c>
      <c r="K199" s="267" t="str">
        <f t="shared" ca="1" si="29"/>
        <v>---</v>
      </c>
    </row>
    <row r="200" spans="1:11" x14ac:dyDescent="0.25">
      <c r="B200" s="265">
        <f>Holidays!L20</f>
        <v>44499</v>
      </c>
      <c r="C200" t="str">
        <f t="shared" si="23"/>
        <v>Dia do Comerciário</v>
      </c>
      <c r="D200">
        <f t="shared" ca="1" si="23"/>
        <v>0.5</v>
      </c>
      <c r="E200">
        <f t="shared" ca="1" si="24"/>
        <v>139</v>
      </c>
      <c r="F200">
        <f t="shared" ca="1" si="25"/>
        <v>137</v>
      </c>
      <c r="G200">
        <v>199</v>
      </c>
      <c r="H200" t="str">
        <f t="shared" ca="1" si="26"/>
        <v>---</v>
      </c>
      <c r="I200" s="265" t="str">
        <f t="shared" ca="1" si="27"/>
        <v>---</v>
      </c>
      <c r="J200" s="267" t="str">
        <f t="shared" ca="1" si="28"/>
        <v>---</v>
      </c>
      <c r="K200" s="267" t="str">
        <f t="shared" ca="1" si="29"/>
        <v>---</v>
      </c>
    </row>
    <row r="201" spans="1:11" x14ac:dyDescent="0.25">
      <c r="B201" s="265">
        <f>Holidays!L21</f>
        <v>44501</v>
      </c>
      <c r="C201" t="str">
        <f t="shared" si="23"/>
        <v>Dia de Todos os Santos</v>
      </c>
      <c r="D201">
        <f t="shared" ca="1" si="23"/>
        <v>0.5</v>
      </c>
      <c r="E201">
        <f t="shared" ca="1" si="24"/>
        <v>140.01</v>
      </c>
      <c r="F201">
        <f t="shared" ca="1" si="25"/>
        <v>138</v>
      </c>
      <c r="G201">
        <v>200</v>
      </c>
      <c r="H201" t="str">
        <f t="shared" ca="1" si="26"/>
        <v>---</v>
      </c>
      <c r="I201" s="265" t="str">
        <f t="shared" ca="1" si="27"/>
        <v>---</v>
      </c>
      <c r="J201" s="267" t="str">
        <f t="shared" ca="1" si="28"/>
        <v>---</v>
      </c>
      <c r="K201" s="267" t="str">
        <f t="shared" ca="1" si="29"/>
        <v>---</v>
      </c>
    </row>
    <row r="202" spans="1:11" x14ac:dyDescent="0.25">
      <c r="B202" s="265">
        <f>Holidays!L22</f>
        <v>44502</v>
      </c>
      <c r="C202" t="str">
        <f t="shared" si="23"/>
        <v>Finados</v>
      </c>
      <c r="D202">
        <f t="shared" ca="1" si="23"/>
        <v>-11</v>
      </c>
      <c r="E202">
        <f t="shared" ca="1" si="24"/>
        <v>141.02000000000001</v>
      </c>
      <c r="F202">
        <f t="shared" ca="1" si="25"/>
        <v>139</v>
      </c>
      <c r="G202">
        <v>201</v>
      </c>
      <c r="H202" t="str">
        <f t="shared" ca="1" si="26"/>
        <v>---</v>
      </c>
      <c r="I202" s="265" t="str">
        <f t="shared" ca="1" si="27"/>
        <v>---</v>
      </c>
      <c r="J202" s="267" t="str">
        <f t="shared" ca="1" si="28"/>
        <v>---</v>
      </c>
      <c r="K202" s="267" t="str">
        <f t="shared" ca="1" si="29"/>
        <v>---</v>
      </c>
    </row>
    <row r="203" spans="1:11" x14ac:dyDescent="0.25">
      <c r="B203" s="265">
        <f>Holidays!L23</f>
        <v>44515</v>
      </c>
      <c r="C203" t="str">
        <f t="shared" si="23"/>
        <v>Proc. da República</v>
      </c>
      <c r="D203">
        <f t="shared" ca="1" si="23"/>
        <v>-11</v>
      </c>
      <c r="E203">
        <f t="shared" ca="1" si="24"/>
        <v>142.03</v>
      </c>
      <c r="F203">
        <f t="shared" ca="1" si="25"/>
        <v>140</v>
      </c>
      <c r="G203">
        <v>202</v>
      </c>
      <c r="H203" t="str">
        <f t="shared" ca="1" si="26"/>
        <v>---</v>
      </c>
      <c r="I203" s="265" t="str">
        <f t="shared" ca="1" si="27"/>
        <v>---</v>
      </c>
      <c r="J203" s="267" t="str">
        <f t="shared" ca="1" si="28"/>
        <v>---</v>
      </c>
      <c r="K203" s="267" t="str">
        <f t="shared" ca="1" si="29"/>
        <v>---</v>
      </c>
    </row>
    <row r="204" spans="1:11" x14ac:dyDescent="0.25">
      <c r="B204" s="265">
        <f>Holidays!L24</f>
        <v>44519</v>
      </c>
      <c r="C204" t="str">
        <f t="shared" si="23"/>
        <v>Dia da Bandeira</v>
      </c>
      <c r="D204">
        <f t="shared" ca="1" si="23"/>
        <v>0.5</v>
      </c>
      <c r="E204">
        <f t="shared" ca="1" si="24"/>
        <v>143.04</v>
      </c>
      <c r="F204">
        <f t="shared" ca="1" si="25"/>
        <v>141</v>
      </c>
      <c r="G204">
        <v>203</v>
      </c>
      <c r="H204" t="str">
        <f t="shared" ca="1" si="26"/>
        <v>---</v>
      </c>
      <c r="I204" s="265" t="str">
        <f t="shared" ca="1" si="27"/>
        <v>---</v>
      </c>
      <c r="J204" s="267" t="str">
        <f t="shared" ca="1" si="28"/>
        <v>---</v>
      </c>
      <c r="K204" s="267" t="str">
        <f t="shared" ca="1" si="29"/>
        <v>---</v>
      </c>
    </row>
    <row r="205" spans="1:11" x14ac:dyDescent="0.25">
      <c r="B205" s="265">
        <f>Holidays!L25</f>
        <v>44520</v>
      </c>
      <c r="C205" t="str">
        <f t="shared" si="23"/>
        <v>Dia da Consciência Negra</v>
      </c>
      <c r="D205">
        <f t="shared" ca="1" si="23"/>
        <v>0.5</v>
      </c>
      <c r="E205">
        <f t="shared" ca="1" si="24"/>
        <v>144.05000000000001</v>
      </c>
      <c r="F205">
        <f t="shared" ca="1" si="25"/>
        <v>142</v>
      </c>
      <c r="G205">
        <v>204</v>
      </c>
      <c r="H205" t="str">
        <f t="shared" ca="1" si="26"/>
        <v>---</v>
      </c>
      <c r="I205" s="265" t="str">
        <f t="shared" ca="1" si="27"/>
        <v>---</v>
      </c>
      <c r="J205" s="267" t="str">
        <f t="shared" ca="1" si="28"/>
        <v>---</v>
      </c>
      <c r="K205" s="267" t="str">
        <f t="shared" ca="1" si="29"/>
        <v>---</v>
      </c>
    </row>
    <row r="206" spans="1:11" x14ac:dyDescent="0.25">
      <c r="B206" s="265">
        <f>Holidays!L26</f>
        <v>44555</v>
      </c>
      <c r="C206" t="str">
        <f t="shared" si="23"/>
        <v>Natal</v>
      </c>
      <c r="D206">
        <f t="shared" ca="1" si="23"/>
        <v>-11</v>
      </c>
      <c r="E206">
        <f t="shared" ca="1" si="24"/>
        <v>146.06</v>
      </c>
      <c r="F206">
        <f t="shared" ca="1" si="25"/>
        <v>144</v>
      </c>
      <c r="G206">
        <v>205</v>
      </c>
      <c r="H206" t="str">
        <f t="shared" ca="1" si="26"/>
        <v>---</v>
      </c>
      <c r="I206" s="265" t="str">
        <f t="shared" ca="1" si="27"/>
        <v>---</v>
      </c>
      <c r="J206" s="267" t="str">
        <f t="shared" ca="1" si="28"/>
        <v>---</v>
      </c>
      <c r="K206" s="267" t="str">
        <f t="shared" ca="1" si="29"/>
        <v>---</v>
      </c>
    </row>
    <row r="207" spans="1:11" x14ac:dyDescent="0.25">
      <c r="B207" s="265" t="str">
        <f>Holidays!L27</f>
        <v/>
      </c>
      <c r="C207">
        <f t="shared" si="23"/>
        <v>0</v>
      </c>
      <c r="D207" t="str">
        <f t="shared" ca="1" si="23"/>
        <v/>
      </c>
      <c r="E207">
        <f t="shared" si="24"/>
        <v>2002.07</v>
      </c>
      <c r="F207" t="str">
        <f t="shared" si="25"/>
        <v/>
      </c>
      <c r="G207">
        <v>206</v>
      </c>
      <c r="H207" t="str">
        <f t="shared" ca="1" si="26"/>
        <v>---</v>
      </c>
      <c r="I207" s="265" t="str">
        <f t="shared" ca="1" si="27"/>
        <v>---</v>
      </c>
      <c r="J207" s="267" t="str">
        <f t="shared" ca="1" si="28"/>
        <v>---</v>
      </c>
      <c r="K207" s="267" t="str">
        <f t="shared" ca="1" si="29"/>
        <v>---</v>
      </c>
    </row>
    <row r="208" spans="1:11" x14ac:dyDescent="0.25">
      <c r="A208" t="str">
        <f ca="1">A148</f>
        <v>MÓVEIS COM A PÁSCOA</v>
      </c>
      <c r="B208" s="265"/>
      <c r="E208">
        <f t="shared" si="24"/>
        <v>2002.08</v>
      </c>
      <c r="F208" t="str">
        <f t="shared" si="25"/>
        <v/>
      </c>
      <c r="G208">
        <v>207</v>
      </c>
      <c r="H208" t="str">
        <f t="shared" ca="1" si="26"/>
        <v>---</v>
      </c>
      <c r="I208" s="265" t="str">
        <f t="shared" ca="1" si="27"/>
        <v>---</v>
      </c>
      <c r="J208" s="267" t="str">
        <f t="shared" ca="1" si="28"/>
        <v>---</v>
      </c>
      <c r="K208" s="267" t="str">
        <f t="shared" ca="1" si="29"/>
        <v>---</v>
      </c>
    </row>
    <row r="209" spans="1:11" x14ac:dyDescent="0.25">
      <c r="B209" s="265">
        <f ca="1">Holidays!L29</f>
        <v>44243</v>
      </c>
      <c r="C209" t="str">
        <f t="shared" ref="C209:D221" si="30">C149</f>
        <v>Carnaval</v>
      </c>
      <c r="D209">
        <f t="shared" ca="1" si="30"/>
        <v>-11</v>
      </c>
      <c r="E209">
        <f t="shared" ca="1" si="24"/>
        <v>112.09</v>
      </c>
      <c r="F209">
        <f t="shared" ca="1" si="25"/>
        <v>110</v>
      </c>
      <c r="G209">
        <v>208</v>
      </c>
      <c r="H209" t="str">
        <f t="shared" ca="1" si="26"/>
        <v>---</v>
      </c>
      <c r="I209" s="265" t="str">
        <f t="shared" ca="1" si="27"/>
        <v>---</v>
      </c>
      <c r="J209" s="267" t="str">
        <f t="shared" ca="1" si="28"/>
        <v>---</v>
      </c>
      <c r="K209" s="267" t="str">
        <f t="shared" ca="1" si="29"/>
        <v>---</v>
      </c>
    </row>
    <row r="210" spans="1:11" x14ac:dyDescent="0.25">
      <c r="B210" s="265">
        <f ca="1">Holidays!L30</f>
        <v>44244</v>
      </c>
      <c r="C210" t="str">
        <f t="shared" si="30"/>
        <v>Quarta-feira de Cinzas</v>
      </c>
      <c r="D210">
        <f t="shared" ca="1" si="30"/>
        <v>0.5</v>
      </c>
      <c r="E210">
        <f t="shared" ca="1" si="24"/>
        <v>113.1</v>
      </c>
      <c r="F210">
        <f t="shared" ca="1" si="25"/>
        <v>111</v>
      </c>
      <c r="G210">
        <v>209</v>
      </c>
      <c r="H210" t="str">
        <f t="shared" ca="1" si="26"/>
        <v>---</v>
      </c>
      <c r="I210" s="265" t="str">
        <f t="shared" ca="1" si="27"/>
        <v>---</v>
      </c>
      <c r="J210" s="267" t="str">
        <f t="shared" ca="1" si="28"/>
        <v>---</v>
      </c>
      <c r="K210" s="267" t="str">
        <f t="shared" ca="1" si="29"/>
        <v>---</v>
      </c>
    </row>
    <row r="211" spans="1:11" x14ac:dyDescent="0.25">
      <c r="B211" s="265">
        <f ca="1">Holidays!L31</f>
        <v>44283</v>
      </c>
      <c r="C211" t="str">
        <f t="shared" si="30"/>
        <v>Domingo de Ramos</v>
      </c>
      <c r="D211">
        <f t="shared" ca="1" si="30"/>
        <v>0.5</v>
      </c>
      <c r="E211">
        <f t="shared" ca="1" si="24"/>
        <v>116.11</v>
      </c>
      <c r="F211">
        <f t="shared" ca="1" si="25"/>
        <v>114</v>
      </c>
      <c r="G211">
        <v>210</v>
      </c>
      <c r="H211" t="str">
        <f t="shared" ca="1" si="26"/>
        <v>---</v>
      </c>
      <c r="I211" s="265" t="str">
        <f t="shared" ca="1" si="27"/>
        <v>---</v>
      </c>
      <c r="J211" s="267" t="str">
        <f t="shared" ca="1" si="28"/>
        <v>---</v>
      </c>
      <c r="K211" s="267" t="str">
        <f t="shared" ca="1" si="29"/>
        <v>---</v>
      </c>
    </row>
    <row r="212" spans="1:11" x14ac:dyDescent="0.25">
      <c r="B212" s="265">
        <f ca="1">Holidays!L32</f>
        <v>44288</v>
      </c>
      <c r="C212" t="str">
        <f t="shared" si="30"/>
        <v>Paixão de Cristo</v>
      </c>
      <c r="D212">
        <f t="shared" ca="1" si="30"/>
        <v>-11</v>
      </c>
      <c r="E212">
        <f t="shared" ca="1" si="24"/>
        <v>117.12</v>
      </c>
      <c r="F212">
        <f t="shared" ca="1" si="25"/>
        <v>115</v>
      </c>
      <c r="G212">
        <v>211</v>
      </c>
      <c r="H212" t="str">
        <f t="shared" ca="1" si="26"/>
        <v>---</v>
      </c>
      <c r="I212" s="265" t="str">
        <f t="shared" ca="1" si="27"/>
        <v>---</v>
      </c>
      <c r="J212" s="267" t="str">
        <f t="shared" ca="1" si="28"/>
        <v>---</v>
      </c>
      <c r="K212" s="267" t="str">
        <f t="shared" ca="1" si="29"/>
        <v>---</v>
      </c>
    </row>
    <row r="213" spans="1:11" x14ac:dyDescent="0.25">
      <c r="B213" s="265">
        <f ca="1">Holidays!L33</f>
        <v>44289</v>
      </c>
      <c r="C213" t="str">
        <f t="shared" si="30"/>
        <v>Sábado de Aleluia</v>
      </c>
      <c r="D213">
        <f t="shared" ca="1" si="30"/>
        <v>0.5</v>
      </c>
      <c r="E213">
        <f t="shared" ca="1" si="24"/>
        <v>118.13</v>
      </c>
      <c r="F213">
        <f t="shared" ca="1" si="25"/>
        <v>116</v>
      </c>
      <c r="G213">
        <v>212</v>
      </c>
      <c r="H213" t="str">
        <f t="shared" ca="1" si="26"/>
        <v>---</v>
      </c>
      <c r="I213" s="265" t="str">
        <f t="shared" ca="1" si="27"/>
        <v>---</v>
      </c>
      <c r="J213" s="267" t="str">
        <f t="shared" ca="1" si="28"/>
        <v>---</v>
      </c>
      <c r="K213" s="267" t="str">
        <f t="shared" ca="1" si="29"/>
        <v>---</v>
      </c>
    </row>
    <row r="214" spans="1:11" x14ac:dyDescent="0.25">
      <c r="B214" s="265">
        <f ca="1">Holidays!L34</f>
        <v>44290</v>
      </c>
      <c r="C214" t="str">
        <f t="shared" si="30"/>
        <v>Páscoa</v>
      </c>
      <c r="D214">
        <f t="shared" ca="1" si="30"/>
        <v>-11</v>
      </c>
      <c r="E214">
        <f t="shared" ca="1" si="24"/>
        <v>119.14</v>
      </c>
      <c r="F214">
        <f t="shared" ca="1" si="25"/>
        <v>117</v>
      </c>
      <c r="G214">
        <v>213</v>
      </c>
      <c r="H214" t="str">
        <f t="shared" ca="1" si="26"/>
        <v>---</v>
      </c>
      <c r="I214" s="265" t="str">
        <f t="shared" ca="1" si="27"/>
        <v>---</v>
      </c>
      <c r="J214" s="267" t="str">
        <f t="shared" ca="1" si="28"/>
        <v>---</v>
      </c>
      <c r="K214" s="267" t="str">
        <f t="shared" ca="1" si="29"/>
        <v>---</v>
      </c>
    </row>
    <row r="215" spans="1:11" x14ac:dyDescent="0.25">
      <c r="B215" s="265">
        <f ca="1">Holidays!L35</f>
        <v>44350</v>
      </c>
      <c r="C215" t="str">
        <f t="shared" si="30"/>
        <v>Corpus Christi</v>
      </c>
      <c r="D215">
        <f t="shared" ca="1" si="30"/>
        <v>-11</v>
      </c>
      <c r="E215">
        <f t="shared" ca="1" si="24"/>
        <v>127.15</v>
      </c>
      <c r="F215">
        <f t="shared" ca="1" si="25"/>
        <v>125</v>
      </c>
      <c r="G215">
        <v>214</v>
      </c>
      <c r="H215" t="str">
        <f t="shared" ca="1" si="26"/>
        <v>---</v>
      </c>
      <c r="I215" s="265" t="str">
        <f t="shared" ca="1" si="27"/>
        <v>---</v>
      </c>
      <c r="J215" s="267" t="str">
        <f t="shared" ca="1" si="28"/>
        <v>---</v>
      </c>
      <c r="K215" s="267" t="str">
        <f t="shared" ca="1" si="29"/>
        <v>---</v>
      </c>
    </row>
    <row r="216" spans="1:11" x14ac:dyDescent="0.25">
      <c r="B216" s="265" t="str">
        <f ca="1">Holidays!L36</f>
        <v/>
      </c>
      <c r="C216">
        <f t="shared" si="30"/>
        <v>0</v>
      </c>
      <c r="D216" t="str">
        <f t="shared" ca="1" si="30"/>
        <v/>
      </c>
      <c r="E216">
        <f t="shared" ca="1" si="24"/>
        <v>2002.16</v>
      </c>
      <c r="F216" t="str">
        <f t="shared" ca="1" si="25"/>
        <v/>
      </c>
      <c r="G216">
        <v>215</v>
      </c>
      <c r="H216" t="str">
        <f t="shared" ca="1" si="26"/>
        <v>---</v>
      </c>
      <c r="I216" s="265" t="str">
        <f t="shared" ca="1" si="27"/>
        <v>---</v>
      </c>
      <c r="J216" s="267" t="str">
        <f t="shared" ca="1" si="28"/>
        <v>---</v>
      </c>
      <c r="K216" s="267" t="str">
        <f t="shared" ca="1" si="29"/>
        <v>---</v>
      </c>
    </row>
    <row r="217" spans="1:11" x14ac:dyDescent="0.25">
      <c r="B217" s="265" t="str">
        <f ca="1">Holidays!L37</f>
        <v/>
      </c>
      <c r="C217">
        <f t="shared" si="30"/>
        <v>0</v>
      </c>
      <c r="D217" t="str">
        <f t="shared" ca="1" si="30"/>
        <v/>
      </c>
      <c r="E217">
        <f t="shared" ca="1" si="24"/>
        <v>2002.17</v>
      </c>
      <c r="F217" t="str">
        <f t="shared" ca="1" si="25"/>
        <v/>
      </c>
      <c r="G217">
        <v>216</v>
      </c>
      <c r="H217" t="str">
        <f t="shared" ca="1" si="26"/>
        <v>---</v>
      </c>
      <c r="I217" s="265" t="str">
        <f t="shared" ca="1" si="27"/>
        <v>---</v>
      </c>
      <c r="J217" s="267" t="str">
        <f t="shared" ca="1" si="28"/>
        <v>---</v>
      </c>
      <c r="K217" s="267" t="str">
        <f t="shared" ca="1" si="29"/>
        <v>---</v>
      </c>
    </row>
    <row r="218" spans="1:11" x14ac:dyDescent="0.25">
      <c r="B218" s="265" t="str">
        <f ca="1">Holidays!L38</f>
        <v/>
      </c>
      <c r="C218">
        <f t="shared" si="30"/>
        <v>0</v>
      </c>
      <c r="D218" t="str">
        <f t="shared" ca="1" si="30"/>
        <v/>
      </c>
      <c r="E218">
        <f t="shared" ca="1" si="24"/>
        <v>2002.18</v>
      </c>
      <c r="F218" t="str">
        <f t="shared" ca="1" si="25"/>
        <v/>
      </c>
      <c r="G218">
        <v>217</v>
      </c>
      <c r="H218" t="str">
        <f t="shared" ca="1" si="26"/>
        <v>---</v>
      </c>
      <c r="I218" s="265" t="str">
        <f t="shared" ca="1" si="27"/>
        <v>---</v>
      </c>
      <c r="J218" s="267" t="str">
        <f t="shared" ca="1" si="28"/>
        <v>---</v>
      </c>
      <c r="K218" s="267" t="str">
        <f t="shared" ca="1" si="29"/>
        <v>---</v>
      </c>
    </row>
    <row r="219" spans="1:11" x14ac:dyDescent="0.25">
      <c r="B219" s="265" t="str">
        <f ca="1">Holidays!L39</f>
        <v/>
      </c>
      <c r="C219">
        <f t="shared" si="30"/>
        <v>0</v>
      </c>
      <c r="D219" t="str">
        <f t="shared" ca="1" si="30"/>
        <v/>
      </c>
      <c r="E219">
        <f t="shared" ca="1" si="24"/>
        <v>2002.19</v>
      </c>
      <c r="F219" t="str">
        <f t="shared" ca="1" si="25"/>
        <v/>
      </c>
      <c r="G219">
        <v>218</v>
      </c>
      <c r="H219" t="str">
        <f t="shared" ca="1" si="26"/>
        <v>---</v>
      </c>
      <c r="I219" s="265" t="str">
        <f t="shared" ca="1" si="27"/>
        <v>---</v>
      </c>
      <c r="J219" s="267" t="str">
        <f t="shared" ca="1" si="28"/>
        <v>---</v>
      </c>
      <c r="K219" s="267" t="str">
        <f t="shared" ca="1" si="29"/>
        <v>---</v>
      </c>
    </row>
    <row r="220" spans="1:11" x14ac:dyDescent="0.25">
      <c r="B220" s="265" t="str">
        <f ca="1">Holidays!L40</f>
        <v/>
      </c>
      <c r="C220">
        <f t="shared" si="30"/>
        <v>0</v>
      </c>
      <c r="D220" t="str">
        <f t="shared" ca="1" si="30"/>
        <v/>
      </c>
      <c r="E220">
        <f t="shared" ca="1" si="24"/>
        <v>2002.2</v>
      </c>
      <c r="F220" t="str">
        <f t="shared" ca="1" si="25"/>
        <v/>
      </c>
      <c r="G220">
        <v>219</v>
      </c>
      <c r="H220" t="str">
        <f t="shared" ca="1" si="26"/>
        <v>---</v>
      </c>
      <c r="I220" s="265" t="str">
        <f t="shared" ca="1" si="27"/>
        <v>---</v>
      </c>
      <c r="J220" s="267" t="str">
        <f t="shared" ca="1" si="28"/>
        <v>---</v>
      </c>
      <c r="K220" s="267" t="str">
        <f t="shared" ca="1" si="29"/>
        <v>---</v>
      </c>
    </row>
    <row r="221" spans="1:11" x14ac:dyDescent="0.25">
      <c r="B221" s="265" t="str">
        <f ca="1">Holidays!L41</f>
        <v/>
      </c>
      <c r="C221">
        <f t="shared" si="30"/>
        <v>0</v>
      </c>
      <c r="D221" t="str">
        <f t="shared" ca="1" si="30"/>
        <v/>
      </c>
      <c r="E221">
        <f t="shared" ca="1" si="24"/>
        <v>2002.21</v>
      </c>
      <c r="F221" t="str">
        <f t="shared" ca="1" si="25"/>
        <v/>
      </c>
      <c r="G221">
        <v>220</v>
      </c>
      <c r="H221" t="str">
        <f t="shared" ca="1" si="26"/>
        <v>---</v>
      </c>
      <c r="I221" s="265" t="str">
        <f t="shared" ca="1" si="27"/>
        <v>---</v>
      </c>
      <c r="J221" s="267" t="str">
        <f t="shared" ca="1" si="28"/>
        <v>---</v>
      </c>
      <c r="K221" s="267" t="str">
        <f t="shared" ca="1" si="29"/>
        <v>---</v>
      </c>
    </row>
    <row r="222" spans="1:11" x14ac:dyDescent="0.25">
      <c r="A222" t="str">
        <f ca="1">A162</f>
        <v>MÓVEIS - CERTO DIA DA SEMANA DE CERTO MÊS</v>
      </c>
      <c r="B222" s="265"/>
      <c r="E222">
        <f t="shared" si="24"/>
        <v>2002.22</v>
      </c>
      <c r="F222" t="str">
        <f t="shared" si="25"/>
        <v/>
      </c>
      <c r="G222">
        <v>221</v>
      </c>
      <c r="H222" t="str">
        <f t="shared" ca="1" si="26"/>
        <v>---</v>
      </c>
      <c r="I222" s="265" t="str">
        <f t="shared" ca="1" si="27"/>
        <v>---</v>
      </c>
      <c r="J222" s="267" t="str">
        <f t="shared" ca="1" si="28"/>
        <v>---</v>
      </c>
      <c r="K222" s="267" t="str">
        <f t="shared" ca="1" si="29"/>
        <v>---</v>
      </c>
    </row>
    <row r="223" spans="1:11" x14ac:dyDescent="0.25">
      <c r="B223" s="265">
        <f>Holidays!L43</f>
        <v>44325</v>
      </c>
      <c r="C223" t="str">
        <f t="shared" ref="C223:D228" si="31">C163</f>
        <v>Dia das Mães (2º domingo de maio)</v>
      </c>
      <c r="D223">
        <f t="shared" ca="1" si="31"/>
        <v>0.5</v>
      </c>
      <c r="E223">
        <f t="shared" ca="1" si="24"/>
        <v>125.23</v>
      </c>
      <c r="F223">
        <f t="shared" ca="1" si="25"/>
        <v>123</v>
      </c>
      <c r="G223">
        <v>222</v>
      </c>
      <c r="H223" t="str">
        <f t="shared" ca="1" si="26"/>
        <v>---</v>
      </c>
      <c r="I223" s="265" t="str">
        <f t="shared" ca="1" si="27"/>
        <v>---</v>
      </c>
      <c r="J223" s="267" t="str">
        <f t="shared" ca="1" si="28"/>
        <v>---</v>
      </c>
      <c r="K223" s="267" t="str">
        <f t="shared" ca="1" si="29"/>
        <v>---</v>
      </c>
    </row>
    <row r="224" spans="1:11" x14ac:dyDescent="0.25">
      <c r="B224" s="265">
        <f>Holidays!L44</f>
        <v>44416</v>
      </c>
      <c r="C224" t="str">
        <f t="shared" si="31"/>
        <v>Dia dos Pais (2º domingo de agosto)</v>
      </c>
      <c r="D224">
        <f t="shared" ca="1" si="31"/>
        <v>0.5</v>
      </c>
      <c r="E224">
        <f t="shared" ca="1" si="24"/>
        <v>131.24</v>
      </c>
      <c r="F224">
        <f t="shared" ca="1" si="25"/>
        <v>129</v>
      </c>
      <c r="G224">
        <v>223</v>
      </c>
      <c r="H224" t="str">
        <f t="shared" ca="1" si="26"/>
        <v>---</v>
      </c>
      <c r="I224" s="265" t="str">
        <f t="shared" ca="1" si="27"/>
        <v>---</v>
      </c>
      <c r="J224" s="267" t="str">
        <f t="shared" ca="1" si="28"/>
        <v>---</v>
      </c>
      <c r="K224" s="267" t="str">
        <f t="shared" ca="1" si="29"/>
        <v>---</v>
      </c>
    </row>
    <row r="225" spans="1:11" x14ac:dyDescent="0.25">
      <c r="B225" s="265" t="str">
        <f>Holidays!L45</f>
        <v/>
      </c>
      <c r="C225">
        <f t="shared" si="31"/>
        <v>0</v>
      </c>
      <c r="D225" t="str">
        <f t="shared" ca="1" si="31"/>
        <v/>
      </c>
      <c r="E225">
        <f t="shared" si="24"/>
        <v>2002.25</v>
      </c>
      <c r="F225" t="str">
        <f t="shared" si="25"/>
        <v/>
      </c>
      <c r="G225">
        <v>224</v>
      </c>
      <c r="H225" t="str">
        <f t="shared" ca="1" si="26"/>
        <v>---</v>
      </c>
      <c r="I225" s="265" t="str">
        <f t="shared" ca="1" si="27"/>
        <v>---</v>
      </c>
      <c r="J225" s="267" t="str">
        <f t="shared" ca="1" si="28"/>
        <v>---</v>
      </c>
      <c r="K225" s="267" t="str">
        <f t="shared" ca="1" si="29"/>
        <v>---</v>
      </c>
    </row>
    <row r="226" spans="1:11" x14ac:dyDescent="0.25">
      <c r="B226" s="265" t="str">
        <f>Holidays!L46</f>
        <v/>
      </c>
      <c r="C226">
        <f t="shared" si="31"/>
        <v>0</v>
      </c>
      <c r="D226" t="str">
        <f t="shared" ca="1" si="31"/>
        <v/>
      </c>
      <c r="E226">
        <f t="shared" si="24"/>
        <v>2002.26</v>
      </c>
      <c r="F226" t="str">
        <f t="shared" si="25"/>
        <v/>
      </c>
      <c r="G226">
        <v>225</v>
      </c>
      <c r="H226" t="str">
        <f t="shared" ca="1" si="26"/>
        <v>---</v>
      </c>
      <c r="I226" s="265" t="str">
        <f t="shared" ca="1" si="27"/>
        <v>---</v>
      </c>
      <c r="J226" s="267" t="str">
        <f t="shared" ca="1" si="28"/>
        <v>---</v>
      </c>
      <c r="K226" s="267" t="str">
        <f t="shared" ca="1" si="29"/>
        <v>---</v>
      </c>
    </row>
    <row r="227" spans="1:11" x14ac:dyDescent="0.25">
      <c r="B227" s="265" t="str">
        <f>Holidays!L47</f>
        <v/>
      </c>
      <c r="C227">
        <f t="shared" si="31"/>
        <v>0</v>
      </c>
      <c r="D227" t="str">
        <f t="shared" ca="1" si="31"/>
        <v/>
      </c>
      <c r="E227">
        <f t="shared" si="24"/>
        <v>2002.27</v>
      </c>
      <c r="F227" t="str">
        <f t="shared" si="25"/>
        <v/>
      </c>
      <c r="G227">
        <v>226</v>
      </c>
      <c r="H227" t="str">
        <f t="shared" ca="1" si="26"/>
        <v>---</v>
      </c>
      <c r="I227" s="265" t="str">
        <f t="shared" ca="1" si="27"/>
        <v>---</v>
      </c>
      <c r="J227" s="267" t="str">
        <f t="shared" ca="1" si="28"/>
        <v>---</v>
      </c>
      <c r="K227" s="267" t="str">
        <f t="shared" ca="1" si="29"/>
        <v>---</v>
      </c>
    </row>
    <row r="228" spans="1:11" x14ac:dyDescent="0.25">
      <c r="B228" s="265" t="str">
        <f>Holidays!L48</f>
        <v/>
      </c>
      <c r="C228">
        <f t="shared" si="31"/>
        <v>0</v>
      </c>
      <c r="D228" t="str">
        <f t="shared" ca="1" si="31"/>
        <v/>
      </c>
      <c r="E228">
        <f t="shared" si="24"/>
        <v>2002.28</v>
      </c>
      <c r="F228" t="str">
        <f t="shared" si="25"/>
        <v/>
      </c>
      <c r="G228">
        <v>227</v>
      </c>
      <c r="H228" t="str">
        <f t="shared" ca="1" si="26"/>
        <v>---</v>
      </c>
      <c r="I228" s="265" t="str">
        <f t="shared" ca="1" si="27"/>
        <v>---</v>
      </c>
      <c r="J228" s="267" t="str">
        <f t="shared" ca="1" si="28"/>
        <v>---</v>
      </c>
      <c r="K228" s="267" t="str">
        <f t="shared" ca="1" si="29"/>
        <v>---</v>
      </c>
    </row>
    <row r="229" spans="1:11" x14ac:dyDescent="0.25">
      <c r="A229" t="str">
        <f ca="1">A169</f>
        <v>ESTAÇÕES DO ANO</v>
      </c>
      <c r="B229" s="265"/>
      <c r="E229">
        <f t="shared" si="24"/>
        <v>2002.29</v>
      </c>
      <c r="F229" t="str">
        <f t="shared" si="25"/>
        <v/>
      </c>
      <c r="G229">
        <v>228</v>
      </c>
      <c r="H229" t="str">
        <f t="shared" ca="1" si="26"/>
        <v>---</v>
      </c>
      <c r="I229" s="265" t="str">
        <f t="shared" ca="1" si="27"/>
        <v>---</v>
      </c>
      <c r="J229" s="267" t="str">
        <f t="shared" ca="1" si="28"/>
        <v>---</v>
      </c>
      <c r="K229" s="267" t="str">
        <f t="shared" ca="1" si="29"/>
        <v>---</v>
      </c>
    </row>
    <row r="230" spans="1:11" x14ac:dyDescent="0.25">
      <c r="B230" s="265">
        <f>Holidays!L50</f>
        <v>44275</v>
      </c>
      <c r="C230" t="str">
        <f t="shared" ref="C230:D233" ca="1" si="32">C170</f>
        <v>Outono</v>
      </c>
      <c r="D230">
        <f t="shared" ca="1" si="32"/>
        <v>0.5</v>
      </c>
      <c r="E230">
        <f t="shared" ca="1" si="24"/>
        <v>115.3</v>
      </c>
      <c r="F230">
        <f t="shared" ca="1" si="25"/>
        <v>113</v>
      </c>
      <c r="G230">
        <v>229</v>
      </c>
      <c r="H230" t="str">
        <f t="shared" ca="1" si="26"/>
        <v>---</v>
      </c>
      <c r="I230" s="265" t="str">
        <f t="shared" ca="1" si="27"/>
        <v>---</v>
      </c>
      <c r="J230" s="267" t="str">
        <f t="shared" ca="1" si="28"/>
        <v>---</v>
      </c>
      <c r="K230" s="267" t="str">
        <f t="shared" ca="1" si="29"/>
        <v>---</v>
      </c>
    </row>
    <row r="231" spans="1:11" x14ac:dyDescent="0.25">
      <c r="B231" s="265">
        <f>Holidays!L51</f>
        <v>44367</v>
      </c>
      <c r="C231" t="str">
        <f t="shared" ca="1" si="32"/>
        <v>Inverno</v>
      </c>
      <c r="D231">
        <f t="shared" ca="1" si="32"/>
        <v>0.5</v>
      </c>
      <c r="E231">
        <f t="shared" ca="1" si="24"/>
        <v>129.31</v>
      </c>
      <c r="F231">
        <f t="shared" ca="1" si="25"/>
        <v>127</v>
      </c>
      <c r="G231">
        <v>230</v>
      </c>
      <c r="H231" t="str">
        <f t="shared" ca="1" si="26"/>
        <v>---</v>
      </c>
      <c r="I231" s="265" t="str">
        <f t="shared" ca="1" si="27"/>
        <v>---</v>
      </c>
      <c r="J231" s="267" t="str">
        <f t="shared" ca="1" si="28"/>
        <v>---</v>
      </c>
      <c r="K231" s="267" t="str">
        <f t="shared" ca="1" si="29"/>
        <v>---</v>
      </c>
    </row>
    <row r="232" spans="1:11" x14ac:dyDescent="0.25">
      <c r="B232" s="265">
        <f>Holidays!L52</f>
        <v>44461</v>
      </c>
      <c r="C232" t="str">
        <f t="shared" ca="1" si="32"/>
        <v>Primavera</v>
      </c>
      <c r="D232">
        <f t="shared" ca="1" si="32"/>
        <v>0.5</v>
      </c>
      <c r="E232">
        <f t="shared" ca="1" si="24"/>
        <v>134.32</v>
      </c>
      <c r="F232">
        <f t="shared" ca="1" si="25"/>
        <v>132</v>
      </c>
      <c r="G232">
        <v>231</v>
      </c>
      <c r="H232" t="str">
        <f t="shared" ca="1" si="26"/>
        <v>---</v>
      </c>
      <c r="I232" s="265" t="str">
        <f t="shared" ca="1" si="27"/>
        <v>---</v>
      </c>
      <c r="J232" s="267" t="str">
        <f t="shared" ca="1" si="28"/>
        <v>---</v>
      </c>
      <c r="K232" s="267" t="str">
        <f t="shared" ca="1" si="29"/>
        <v>---</v>
      </c>
    </row>
    <row r="233" spans="1:11" x14ac:dyDescent="0.25">
      <c r="B233" s="265">
        <f>Holidays!L53</f>
        <v>44551</v>
      </c>
      <c r="C233" t="str">
        <f t="shared" ca="1" si="32"/>
        <v>Verão</v>
      </c>
      <c r="D233">
        <f t="shared" ca="1" si="32"/>
        <v>0.5</v>
      </c>
      <c r="E233">
        <f t="shared" ca="1" si="24"/>
        <v>145.33000000000001</v>
      </c>
      <c r="F233">
        <f t="shared" ca="1" si="25"/>
        <v>143</v>
      </c>
      <c r="G233">
        <v>232</v>
      </c>
      <c r="H233" t="str">
        <f t="shared" ca="1" si="26"/>
        <v>---</v>
      </c>
      <c r="I233" s="265" t="str">
        <f t="shared" ca="1" si="27"/>
        <v>---</v>
      </c>
      <c r="J233" s="267" t="str">
        <f t="shared" ca="1" si="28"/>
        <v>---</v>
      </c>
      <c r="K233" s="267" t="str">
        <f t="shared" ca="1" si="29"/>
        <v>---</v>
      </c>
    </row>
  </sheetData>
  <pageMargins left="0.511811024" right="0.511811024" top="0.78740157499999996" bottom="0.78740157499999996" header="0.31496062000000002" footer="0.3149606200000000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wksGCalTranslations">
    <pageSetUpPr fitToPage="1"/>
  </sheetPr>
  <dimension ref="A1:F250"/>
  <sheetViews>
    <sheetView workbookViewId="0">
      <pane xSplit="3" ySplit="3" topLeftCell="D4" activePane="bottomRight" state="frozen"/>
      <selection pane="topRight"/>
      <selection pane="bottomLeft"/>
      <selection pane="bottomRight"/>
    </sheetView>
  </sheetViews>
  <sheetFormatPr defaultRowHeight="12.75" x14ac:dyDescent="0.2"/>
  <cols>
    <col min="1" max="1" width="11.85546875" style="10" customWidth="1"/>
    <col min="2" max="2" width="11.42578125" style="10" customWidth="1"/>
    <col min="3" max="3" width="13.7109375" style="10" customWidth="1"/>
    <col min="4" max="4" width="45.7109375" style="10" customWidth="1"/>
    <col min="5" max="5" width="45.85546875" style="10" customWidth="1"/>
    <col min="6" max="6" width="46.5703125" style="10" customWidth="1"/>
    <col min="7" max="16384" width="9.140625" style="10"/>
  </cols>
  <sheetData>
    <row r="1" spans="1:6" x14ac:dyDescent="0.2">
      <c r="A1" s="57" t="s">
        <v>201</v>
      </c>
      <c r="B1" s="40">
        <f ca="1">Parameters!C2</f>
        <v>3</v>
      </c>
    </row>
    <row r="2" spans="1:6" ht="18" x14ac:dyDescent="0.25">
      <c r="A2" s="58"/>
      <c r="B2" s="10" t="str">
        <f ca="1">OFFSET(C2,0,$B$1)</f>
        <v>Português</v>
      </c>
      <c r="D2" s="10" t="s">
        <v>202</v>
      </c>
      <c r="E2" s="10" t="s">
        <v>203</v>
      </c>
      <c r="F2" s="10" t="s">
        <v>123</v>
      </c>
    </row>
    <row r="3" spans="1:6" x14ac:dyDescent="0.2">
      <c r="D3" s="10">
        <v>1</v>
      </c>
      <c r="E3" s="10">
        <v>2</v>
      </c>
      <c r="F3" s="10">
        <v>3</v>
      </c>
    </row>
    <row r="4" spans="1:6" x14ac:dyDescent="0.2">
      <c r="B4" s="10" t="s">
        <v>205</v>
      </c>
      <c r="C4" s="10" t="str">
        <f ca="1">OFFSET(C4,0,$B$1)</f>
        <v>Sri Abhirama Thakura - Desaparecimento</v>
      </c>
      <c r="D4" s="10" t="s">
        <v>205</v>
      </c>
      <c r="E4" s="10" t="s">
        <v>206</v>
      </c>
      <c r="F4" s="10" t="s">
        <v>206</v>
      </c>
    </row>
    <row r="5" spans="1:6" x14ac:dyDescent="0.2">
      <c r="B5" s="10" t="s">
        <v>208</v>
      </c>
      <c r="C5" s="10" t="str">
        <f t="shared" ref="C5:C68" ca="1" si="0">OFFSET(C5,0,$B$1)</f>
        <v>Srila Vrndavana Dasa Thakura - Desaparecimento</v>
      </c>
      <c r="D5" s="10" t="s">
        <v>208</v>
      </c>
      <c r="E5" s="10" t="s">
        <v>209</v>
      </c>
      <c r="F5" s="10" t="s">
        <v>209</v>
      </c>
    </row>
    <row r="6" spans="1:6" x14ac:dyDescent="0.2">
      <c r="B6" s="10" t="s">
        <v>211</v>
      </c>
      <c r="C6" s="10" t="str">
        <f t="shared" ca="1" si="0"/>
        <v>Sri Gadadhara Pandita - Aparecimento</v>
      </c>
      <c r="D6" s="10" t="s">
        <v>211</v>
      </c>
      <c r="E6" s="10" t="s">
        <v>212</v>
      </c>
      <c r="F6" s="10" t="s">
        <v>212</v>
      </c>
    </row>
    <row r="7" spans="1:6" x14ac:dyDescent="0.2">
      <c r="B7" s="10" t="s">
        <v>213</v>
      </c>
      <c r="C7" s="10" t="str">
        <f t="shared" ca="1" si="0"/>
        <v>Aksaya Trtiya. Candana Yatra começa. (Continua por 21 dias)</v>
      </c>
      <c r="D7" s="10" t="s">
        <v>213</v>
      </c>
      <c r="E7" s="10" t="s">
        <v>214</v>
      </c>
      <c r="F7" s="10" t="s">
        <v>214</v>
      </c>
    </row>
    <row r="8" spans="1:6" x14ac:dyDescent="0.2">
      <c r="B8" s="10" t="s">
        <v>216</v>
      </c>
      <c r="C8" s="10" t="str">
        <f t="shared" ca="1" si="0"/>
        <v>Srimati Sita Devi (consorte do Senhor Sri Rama) - Aparecimento</v>
      </c>
      <c r="D8" s="10" t="s">
        <v>216</v>
      </c>
      <c r="E8" s="10" t="s">
        <v>217</v>
      </c>
      <c r="F8" s="10" t="s">
        <v>217</v>
      </c>
    </row>
    <row r="9" spans="1:6" x14ac:dyDescent="0.2">
      <c r="B9" s="10" t="s">
        <v>219</v>
      </c>
      <c r="C9" s="10" t="str">
        <f t="shared" ca="1" si="0"/>
        <v>Sri Madhu Pandita - Desaparecimento</v>
      </c>
      <c r="D9" s="10" t="s">
        <v>219</v>
      </c>
      <c r="E9" s="32" t="s">
        <v>220</v>
      </c>
      <c r="F9" s="10" t="s">
        <v>220</v>
      </c>
    </row>
    <row r="10" spans="1:6" x14ac:dyDescent="0.2">
      <c r="B10" s="10" t="s">
        <v>222</v>
      </c>
      <c r="C10" s="10" t="str">
        <f t="shared" ca="1" si="0"/>
        <v>Srimati Jahnava Devi - Aparecimento</v>
      </c>
      <c r="D10" s="32" t="s">
        <v>222</v>
      </c>
      <c r="E10" s="32" t="s">
        <v>223</v>
      </c>
      <c r="F10" s="32" t="s">
        <v>223</v>
      </c>
    </row>
    <row r="11" spans="1:6" x14ac:dyDescent="0.2">
      <c r="B11" s="10" t="s">
        <v>225</v>
      </c>
      <c r="C11" s="10" t="str">
        <f t="shared" ca="1" si="0"/>
        <v>Sri Jayananda Prabhu - Desaparecimento</v>
      </c>
      <c r="D11" s="32" t="s">
        <v>225</v>
      </c>
      <c r="E11" s="10" t="s">
        <v>226</v>
      </c>
      <c r="F11" s="32" t="s">
        <v>226</v>
      </c>
    </row>
    <row r="12" spans="1:6" x14ac:dyDescent="0.2">
      <c r="B12" s="10" t="s">
        <v>227</v>
      </c>
      <c r="C12" s="10" t="str">
        <f t="shared" ca="1" si="0"/>
        <v>Nrsimha Caturdasi: Aparecimento do Senhor Nrsimhadeva</v>
      </c>
      <c r="D12" s="10" t="s">
        <v>227</v>
      </c>
      <c r="E12" s="10" t="s">
        <v>228</v>
      </c>
      <c r="F12" s="10" t="s">
        <v>228</v>
      </c>
    </row>
    <row r="13" spans="1:6" x14ac:dyDescent="0.2">
      <c r="B13" s="10" t="s">
        <v>230</v>
      </c>
      <c r="C13" s="10" t="str">
        <f t="shared" ca="1" si="0"/>
        <v>Sri Paramesvari Dasa Thakura - Desaparecimento</v>
      </c>
      <c r="D13" s="32" t="s">
        <v>230</v>
      </c>
      <c r="E13" s="32" t="s">
        <v>231</v>
      </c>
      <c r="F13" s="32" t="s">
        <v>232</v>
      </c>
    </row>
    <row r="14" spans="1:6" x14ac:dyDescent="0.2">
      <c r="B14" s="10" t="s">
        <v>234</v>
      </c>
      <c r="C14" s="10" t="str">
        <f t="shared" ca="1" si="0"/>
        <v>Sri Sri Radha-Ramana Devaji - Aparecimento</v>
      </c>
      <c r="D14" s="32" t="s">
        <v>234</v>
      </c>
      <c r="E14" s="32" t="s">
        <v>235</v>
      </c>
      <c r="F14" s="32" t="s">
        <v>235</v>
      </c>
    </row>
    <row r="15" spans="1:6" x14ac:dyDescent="0.2">
      <c r="B15" s="10" t="s">
        <v>9654</v>
      </c>
      <c r="C15" s="10" t="str">
        <f t="shared" ca="1" si="0"/>
        <v>Sri Madhavendra Puri - Ap.</v>
      </c>
      <c r="D15" s="32" t="s">
        <v>237</v>
      </c>
      <c r="E15" s="32" t="s">
        <v>238</v>
      </c>
      <c r="F15" s="32" t="s">
        <v>238</v>
      </c>
    </row>
    <row r="16" spans="1:6" x14ac:dyDescent="0.2">
      <c r="B16" s="10" t="s">
        <v>9655</v>
      </c>
      <c r="C16" s="10" t="str">
        <f t="shared" ca="1" si="0"/>
        <v>Sri Srinivasa Acarya - Ap.</v>
      </c>
      <c r="D16" s="32" t="s">
        <v>240</v>
      </c>
      <c r="E16" s="32" t="s">
        <v>241</v>
      </c>
      <c r="F16" s="32" t="s">
        <v>241</v>
      </c>
    </row>
    <row r="17" spans="2:6" x14ac:dyDescent="0.2">
      <c r="B17" s="10" t="s">
        <v>243</v>
      </c>
      <c r="C17" s="10" t="str">
        <f t="shared" ca="1" si="0"/>
        <v>Sri Ramananda Raya - Desaparecimento</v>
      </c>
      <c r="D17" s="10" t="s">
        <v>243</v>
      </c>
      <c r="E17" s="10" t="s">
        <v>244</v>
      </c>
      <c r="F17" s="10" t="s">
        <v>244</v>
      </c>
    </row>
    <row r="18" spans="2:6" x14ac:dyDescent="0.2">
      <c r="B18" s="10" t="s">
        <v>246</v>
      </c>
      <c r="C18" s="10" t="str">
        <f t="shared" ca="1" si="0"/>
        <v>Srila Vrndavana Dasa Thakura - Aparecimento</v>
      </c>
      <c r="D18" s="10" t="s">
        <v>246</v>
      </c>
      <c r="E18" s="10" t="s">
        <v>247</v>
      </c>
      <c r="F18" s="10" t="s">
        <v>247</v>
      </c>
    </row>
    <row r="19" spans="2:6" x14ac:dyDescent="0.2">
      <c r="B19" s="10" t="s">
        <v>249</v>
      </c>
      <c r="C19" s="10" t="str">
        <f t="shared" ca="1" si="0"/>
        <v>Sri Baladeva Vidyabhusana - Desaparecimento</v>
      </c>
      <c r="D19" s="10" t="s">
        <v>249</v>
      </c>
      <c r="E19" s="10" t="s">
        <v>250</v>
      </c>
      <c r="F19" s="32" t="s">
        <v>250</v>
      </c>
    </row>
    <row r="20" spans="2:6" x14ac:dyDescent="0.2">
      <c r="B20" s="10" t="s">
        <v>252</v>
      </c>
      <c r="C20" s="10" t="str">
        <f t="shared" ca="1" si="0"/>
        <v>Srimati Gangamata Gosvamini - Aparecimento</v>
      </c>
      <c r="D20" s="10" t="s">
        <v>252</v>
      </c>
      <c r="E20" s="10" t="s">
        <v>253</v>
      </c>
      <c r="F20" s="10" t="s">
        <v>253</v>
      </c>
    </row>
    <row r="21" spans="2:6" x14ac:dyDescent="0.2">
      <c r="B21" s="10" t="s">
        <v>255</v>
      </c>
      <c r="C21" s="10" t="str">
        <f t="shared" ca="1" si="0"/>
        <v>Sri Mukunda Datta - Desaparecimento</v>
      </c>
      <c r="D21" s="10" t="s">
        <v>255</v>
      </c>
      <c r="E21" s="10" t="s">
        <v>256</v>
      </c>
      <c r="F21" s="10" t="s">
        <v>256</v>
      </c>
    </row>
    <row r="22" spans="2:6" x14ac:dyDescent="0.2">
      <c r="B22" s="10" t="s">
        <v>258</v>
      </c>
      <c r="C22" s="10" t="str">
        <f t="shared" ca="1" si="0"/>
        <v>Sri Sridhara Pandita - Desaparecimento</v>
      </c>
      <c r="D22" s="10" t="s">
        <v>258</v>
      </c>
      <c r="E22" s="10" t="s">
        <v>259</v>
      </c>
      <c r="F22" s="10" t="s">
        <v>259</v>
      </c>
    </row>
    <row r="23" spans="2:6" x14ac:dyDescent="0.2">
      <c r="B23" s="10" t="s">
        <v>261</v>
      </c>
      <c r="C23" s="10" t="str">
        <f t="shared" ca="1" si="0"/>
        <v>Sri Syamananda Prabhu - Desaparecimento</v>
      </c>
      <c r="D23" s="10" t="s">
        <v>261</v>
      </c>
      <c r="E23" s="10" t="s">
        <v>262</v>
      </c>
      <c r="F23" s="10" t="s">
        <v>262</v>
      </c>
    </row>
    <row r="24" spans="2:6" x14ac:dyDescent="0.2">
      <c r="B24" s="10" t="s">
        <v>264</v>
      </c>
      <c r="C24" s="10" t="str">
        <f t="shared" ca="1" si="0"/>
        <v>Sri Vakresvara Pandita - Aparecimento</v>
      </c>
      <c r="D24" s="10" t="s">
        <v>264</v>
      </c>
      <c r="E24" s="10" t="s">
        <v>265</v>
      </c>
      <c r="F24" s="10" t="s">
        <v>265</v>
      </c>
    </row>
    <row r="25" spans="2:6" x14ac:dyDescent="0.2">
      <c r="B25" s="10" t="s">
        <v>267</v>
      </c>
      <c r="C25" s="10" t="str">
        <f t="shared" ca="1" si="0"/>
        <v>Sri Srivasa Pandita - Desaparecimento</v>
      </c>
      <c r="D25" s="10" t="s">
        <v>267</v>
      </c>
      <c r="E25" s="10" t="s">
        <v>268</v>
      </c>
      <c r="F25" s="10" t="s">
        <v>268</v>
      </c>
    </row>
    <row r="26" spans="2:6" x14ac:dyDescent="0.2">
      <c r="B26" s="10" t="s">
        <v>270</v>
      </c>
      <c r="C26" s="10" t="str">
        <f t="shared" ca="1" si="0"/>
        <v>Sri Gadadhara Pandita - Desaparecimento</v>
      </c>
      <c r="D26" s="10" t="s">
        <v>270</v>
      </c>
      <c r="E26" s="10" t="s">
        <v>271</v>
      </c>
      <c r="F26" s="10" t="s">
        <v>271</v>
      </c>
    </row>
    <row r="27" spans="2:6" x14ac:dyDescent="0.2">
      <c r="B27" s="10" t="s">
        <v>273</v>
      </c>
      <c r="C27" s="10" t="str">
        <f t="shared" ca="1" si="0"/>
        <v>Srila Bhaktivinoda Thakura - Desaparecimento</v>
      </c>
      <c r="D27" s="10" t="s">
        <v>273</v>
      </c>
      <c r="E27" s="10" t="s">
        <v>274</v>
      </c>
      <c r="F27" s="10" t="s">
        <v>274</v>
      </c>
    </row>
    <row r="28" spans="2:6" x14ac:dyDescent="0.2">
      <c r="B28" s="10" t="s">
        <v>276</v>
      </c>
      <c r="C28" s="10" t="str">
        <f t="shared" ca="1" si="0"/>
        <v>Sri Svarupa Damodara Gosvami - Desaparecimento</v>
      </c>
      <c r="D28" s="10" t="s">
        <v>276</v>
      </c>
      <c r="E28" s="10" t="s">
        <v>277</v>
      </c>
      <c r="F28" s="10" t="s">
        <v>277</v>
      </c>
    </row>
    <row r="29" spans="2:6" x14ac:dyDescent="0.2">
      <c r="B29" s="10" t="s">
        <v>279</v>
      </c>
      <c r="C29" s="10" t="str">
        <f t="shared" ca="1" si="0"/>
        <v>Sri Sivananda Sena - Desaparecimento</v>
      </c>
      <c r="D29" s="10" t="s">
        <v>279</v>
      </c>
      <c r="E29" s="10" t="s">
        <v>280</v>
      </c>
      <c r="F29" s="10" t="s">
        <v>280</v>
      </c>
    </row>
    <row r="30" spans="2:6" x14ac:dyDescent="0.2">
      <c r="B30" s="10" t="s">
        <v>282</v>
      </c>
      <c r="C30" s="10" t="str">
        <f t="shared" ca="1" si="0"/>
        <v>Sri Vakresvara Pandita - Desaparecimento</v>
      </c>
      <c r="D30" s="10" t="s">
        <v>282</v>
      </c>
      <c r="E30" s="10" t="s">
        <v>283</v>
      </c>
      <c r="F30" s="10" t="s">
        <v>283</v>
      </c>
    </row>
    <row r="31" spans="2:6" x14ac:dyDescent="0.2">
      <c r="B31" s="10" t="s">
        <v>285</v>
      </c>
      <c r="C31" s="10" t="str">
        <f t="shared" ca="1" si="0"/>
        <v>Srila Sanatana Gosvami - Desaparecimento</v>
      </c>
      <c r="D31" s="10" t="s">
        <v>285</v>
      </c>
      <c r="E31" s="10" t="s">
        <v>286</v>
      </c>
      <c r="F31" s="10" t="s">
        <v>286</v>
      </c>
    </row>
    <row r="32" spans="2:6" x14ac:dyDescent="0.2">
      <c r="B32" s="10" t="s">
        <v>288</v>
      </c>
      <c r="C32" s="10" t="str">
        <f t="shared" ca="1" si="0"/>
        <v>Srila Gopala Bhatta Gosvami - Desaparecimento</v>
      </c>
      <c r="D32" s="10" t="s">
        <v>288</v>
      </c>
      <c r="E32" s="10" t="s">
        <v>289</v>
      </c>
      <c r="F32" s="10" t="s">
        <v>289</v>
      </c>
    </row>
    <row r="33" spans="2:6" x14ac:dyDescent="0.2">
      <c r="B33" s="10" t="s">
        <v>291</v>
      </c>
      <c r="C33" s="10" t="str">
        <f t="shared" ca="1" si="0"/>
        <v>Srila Lokanatha Gosvami - Desaparecimento</v>
      </c>
      <c r="D33" s="10" t="s">
        <v>291</v>
      </c>
      <c r="E33" s="10" t="s">
        <v>292</v>
      </c>
      <c r="F33" s="10" t="s">
        <v>292</v>
      </c>
    </row>
    <row r="34" spans="2:6" x14ac:dyDescent="0.2">
      <c r="B34" s="10" t="s">
        <v>293</v>
      </c>
      <c r="C34" s="10" t="str">
        <f t="shared" ca="1" si="0"/>
        <v>Fundação da ISKCON em Nova Iorque</v>
      </c>
      <c r="D34" s="10" t="s">
        <v>293</v>
      </c>
      <c r="E34" s="10" t="s">
        <v>294</v>
      </c>
      <c r="F34" s="10" t="s">
        <v>294</v>
      </c>
    </row>
    <row r="35" spans="2:6" x14ac:dyDescent="0.2">
      <c r="B35" s="10" t="s">
        <v>296</v>
      </c>
      <c r="C35" s="10" t="str">
        <f t="shared" ca="1" si="0"/>
        <v>Sri Raghunandana Thakura - Desaparecimento</v>
      </c>
      <c r="D35" s="10" t="s">
        <v>296</v>
      </c>
      <c r="E35" s="10" t="s">
        <v>297</v>
      </c>
      <c r="F35" s="10" t="s">
        <v>297</v>
      </c>
    </row>
    <row r="36" spans="2:6" x14ac:dyDescent="0.2">
      <c r="B36" s="10" t="s">
        <v>299</v>
      </c>
      <c r="C36" s="10" t="str">
        <f t="shared" ca="1" si="0"/>
        <v>Sri Vamsidasa Babaji - Desaparecimento</v>
      </c>
      <c r="D36" s="10" t="s">
        <v>299</v>
      </c>
      <c r="E36" s="10" t="s">
        <v>300</v>
      </c>
      <c r="F36" s="10" t="s">
        <v>300</v>
      </c>
    </row>
    <row r="37" spans="2:6" x14ac:dyDescent="0.2">
      <c r="B37" s="10" t="s">
        <v>301</v>
      </c>
      <c r="C37" s="10" t="str">
        <f t="shared" ca="1" si="0"/>
        <v>Radha Govinda Jhulana Yatra começa</v>
      </c>
      <c r="D37" s="10" t="s">
        <v>301</v>
      </c>
      <c r="E37" s="10" t="s">
        <v>302</v>
      </c>
      <c r="F37" s="10" t="s">
        <v>302</v>
      </c>
    </row>
    <row r="38" spans="2:6" x14ac:dyDescent="0.2">
      <c r="B38" s="10" t="s">
        <v>304</v>
      </c>
      <c r="C38" s="10" t="str">
        <f t="shared" ca="1" si="0"/>
        <v>Srila Rupa Gosvami - Desaparecimento</v>
      </c>
      <c r="D38" s="10" t="s">
        <v>304</v>
      </c>
      <c r="E38" s="10" t="s">
        <v>305</v>
      </c>
      <c r="F38" s="10" t="s">
        <v>305</v>
      </c>
    </row>
    <row r="39" spans="2:6" x14ac:dyDescent="0.2">
      <c r="B39" s="10" t="s">
        <v>307</v>
      </c>
      <c r="C39" s="10" t="str">
        <f t="shared" ca="1" si="0"/>
        <v>Sri Gauridasa Pandita - Desaparecimento</v>
      </c>
      <c r="D39" s="10" t="s">
        <v>307</v>
      </c>
      <c r="E39" s="10" t="s">
        <v>308</v>
      </c>
      <c r="F39" s="10" t="s">
        <v>308</v>
      </c>
    </row>
    <row r="40" spans="2:6" x14ac:dyDescent="0.2">
      <c r="B40" s="10" t="s">
        <v>309</v>
      </c>
      <c r="C40" s="10" t="str">
        <f t="shared" ca="1" si="0"/>
        <v>Jhulana Yatra termina</v>
      </c>
      <c r="D40" s="10" t="s">
        <v>309</v>
      </c>
      <c r="E40" s="10" t="s">
        <v>310</v>
      </c>
      <c r="F40" s="10" t="s">
        <v>310</v>
      </c>
    </row>
    <row r="41" spans="2:6" x14ac:dyDescent="0.2">
      <c r="B41" s="10" t="s">
        <v>312</v>
      </c>
      <c r="C41" s="10" t="str">
        <f t="shared" ca="1" si="0"/>
        <v>Senhor Balarama - Aparecimento</v>
      </c>
      <c r="D41" s="10" t="s">
        <v>312</v>
      </c>
      <c r="E41" s="10" t="s">
        <v>313</v>
      </c>
      <c r="F41" s="10" t="s">
        <v>313</v>
      </c>
    </row>
    <row r="42" spans="2:6" x14ac:dyDescent="0.2">
      <c r="B42" s="10" t="s">
        <v>314</v>
      </c>
      <c r="C42" s="10" t="str">
        <f t="shared" ca="1" si="0"/>
        <v>Partida de Srila Prabhupada para os Estados Unidos</v>
      </c>
      <c r="D42" s="10" t="s">
        <v>314</v>
      </c>
      <c r="E42" s="10" t="s">
        <v>315</v>
      </c>
      <c r="F42" s="10" t="s">
        <v>315</v>
      </c>
    </row>
    <row r="43" spans="2:6" x14ac:dyDescent="0.2">
      <c r="B43" s="10" t="s">
        <v>317</v>
      </c>
      <c r="C43" s="10" t="str">
        <f t="shared" ca="1" si="0"/>
        <v>Srimati Sita Thakurani (Consorte de Sri Advaita) - Aparecimento</v>
      </c>
      <c r="D43" s="10" t="s">
        <v>317</v>
      </c>
      <c r="E43" s="10" t="s">
        <v>318</v>
      </c>
      <c r="F43" s="10" t="s">
        <v>318</v>
      </c>
    </row>
    <row r="44" spans="2:6" x14ac:dyDescent="0.2">
      <c r="B44" s="10" t="s">
        <v>319</v>
      </c>
      <c r="C44" s="10" t="str">
        <f t="shared" ca="1" si="0"/>
        <v>Radhastami: Aparecimento de Srimati Radharani</v>
      </c>
      <c r="D44" s="10" t="s">
        <v>319</v>
      </c>
      <c r="E44" s="10" t="s">
        <v>320</v>
      </c>
      <c r="F44" s="10" t="s">
        <v>320</v>
      </c>
    </row>
    <row r="45" spans="2:6" x14ac:dyDescent="0.2">
      <c r="B45" s="10" t="s">
        <v>321</v>
      </c>
      <c r="C45" s="10" t="str">
        <f t="shared" ca="1" si="0"/>
        <v>Sri Vamana Dvadasi: Aparecimento do Senhor Vamanadeva</v>
      </c>
      <c r="D45" s="10" t="s">
        <v>321</v>
      </c>
      <c r="E45" s="10" t="s">
        <v>322</v>
      </c>
      <c r="F45" s="10" t="s">
        <v>322</v>
      </c>
    </row>
    <row r="46" spans="2:6" x14ac:dyDescent="0.2">
      <c r="B46" s="10" t="s">
        <v>324</v>
      </c>
      <c r="C46" s="10" t="str">
        <f t="shared" ca="1" si="0"/>
        <v>Srila Jiva Gosvami - Aparecimento</v>
      </c>
      <c r="D46" s="10" t="s">
        <v>324</v>
      </c>
      <c r="E46" s="10" t="s">
        <v>325</v>
      </c>
      <c r="F46" s="10" t="s">
        <v>325</v>
      </c>
    </row>
    <row r="47" spans="2:6" x14ac:dyDescent="0.2">
      <c r="B47" s="10" t="s">
        <v>327</v>
      </c>
      <c r="C47" s="10" t="str">
        <f t="shared" ca="1" si="0"/>
        <v>Srila Bhaktivinoda Thakura - Aparecimento</v>
      </c>
      <c r="D47" s="10" t="s">
        <v>327</v>
      </c>
      <c r="E47" s="10" t="s">
        <v>328</v>
      </c>
      <c r="F47" s="10" t="s">
        <v>328</v>
      </c>
    </row>
    <row r="48" spans="2:6" x14ac:dyDescent="0.2">
      <c r="B48" s="10" t="s">
        <v>330</v>
      </c>
      <c r="C48" s="10" t="str">
        <f t="shared" ca="1" si="0"/>
        <v>Srila Haridasa Thakura - Desaparecimento</v>
      </c>
      <c r="D48" s="10" t="s">
        <v>330</v>
      </c>
      <c r="E48" s="10" t="s">
        <v>331</v>
      </c>
      <c r="F48" s="10" t="s">
        <v>331</v>
      </c>
    </row>
    <row r="49" spans="2:6" x14ac:dyDescent="0.2">
      <c r="B49" s="10" t="s">
        <v>332</v>
      </c>
      <c r="C49" s="10" t="str">
        <f t="shared" ca="1" si="0"/>
        <v>Aceitação de sannyasa por Srila Prabhupada</v>
      </c>
      <c r="D49" s="32" t="s">
        <v>332</v>
      </c>
      <c r="E49" s="10" t="s">
        <v>333</v>
      </c>
      <c r="F49" s="10" t="s">
        <v>333</v>
      </c>
    </row>
    <row r="50" spans="2:6" x14ac:dyDescent="0.2">
      <c r="B50" s="10" t="s">
        <v>334</v>
      </c>
      <c r="C50" s="10" t="str">
        <f t="shared" ca="1" si="0"/>
        <v>Chegada de Srila Prabhupada aos Estados Unidos</v>
      </c>
      <c r="D50" s="10" t="s">
        <v>334</v>
      </c>
      <c r="E50" s="10" t="s">
        <v>335</v>
      </c>
      <c r="F50" s="10" t="s">
        <v>335</v>
      </c>
    </row>
    <row r="51" spans="2:6" x14ac:dyDescent="0.2">
      <c r="B51" s="10" t="s">
        <v>337</v>
      </c>
      <c r="C51" s="10" t="str">
        <f t="shared" ca="1" si="0"/>
        <v>Sri Madhvacarya - Aparecimento</v>
      </c>
      <c r="D51" s="10" t="s">
        <v>337</v>
      </c>
      <c r="E51" s="10" t="s">
        <v>338</v>
      </c>
      <c r="F51" s="10" t="s">
        <v>338</v>
      </c>
    </row>
    <row r="52" spans="2:6" x14ac:dyDescent="0.2">
      <c r="B52" s="10" t="s">
        <v>340</v>
      </c>
      <c r="C52" s="10" t="str">
        <f t="shared" ca="1" si="0"/>
        <v>Srila Raghunatha Dasa Gosvami - Desaparecimento</v>
      </c>
      <c r="D52" s="10" t="s">
        <v>340</v>
      </c>
      <c r="E52" s="10" t="s">
        <v>341</v>
      </c>
      <c r="F52" s="10" t="s">
        <v>341</v>
      </c>
    </row>
    <row r="53" spans="2:6" x14ac:dyDescent="0.2">
      <c r="B53" s="10" t="s">
        <v>343</v>
      </c>
      <c r="C53" s="10" t="str">
        <f t="shared" ca="1" si="0"/>
        <v>Srila Raghunatha Bhatta Gosvami - Desaparecimento</v>
      </c>
      <c r="D53" s="10" t="s">
        <v>343</v>
      </c>
      <c r="E53" s="10" t="s">
        <v>344</v>
      </c>
      <c r="F53" s="10" t="s">
        <v>344</v>
      </c>
    </row>
    <row r="54" spans="2:6" x14ac:dyDescent="0.2">
      <c r="B54" s="10" t="s">
        <v>346</v>
      </c>
      <c r="C54" s="10" t="str">
        <f t="shared" ca="1" si="0"/>
        <v>Srila Krsnadasa Kaviraja Gosvami - Desaparecimento</v>
      </c>
      <c r="D54" s="10" t="s">
        <v>346</v>
      </c>
      <c r="E54" s="10" t="s">
        <v>347</v>
      </c>
      <c r="F54" s="10" t="s">
        <v>347</v>
      </c>
    </row>
    <row r="55" spans="2:6" x14ac:dyDescent="0.2">
      <c r="B55" s="10" t="s">
        <v>349</v>
      </c>
      <c r="C55" s="10" t="str">
        <f t="shared" ca="1" si="0"/>
        <v>Sri Murari Gupta - Desaparecimento</v>
      </c>
      <c r="D55" s="10" t="s">
        <v>349</v>
      </c>
      <c r="E55" s="10" t="s">
        <v>350</v>
      </c>
      <c r="F55" s="10" t="s">
        <v>350</v>
      </c>
    </row>
    <row r="56" spans="2:6" x14ac:dyDescent="0.2">
      <c r="B56" s="10" t="s">
        <v>352</v>
      </c>
      <c r="C56" s="10" t="str">
        <f t="shared" ca="1" si="0"/>
        <v>Srila Narottama Dasa Thakura - Desaparecimento</v>
      </c>
      <c r="D56" s="10" t="s">
        <v>352</v>
      </c>
      <c r="E56" s="10" t="s">
        <v>353</v>
      </c>
      <c r="F56" s="10" t="s">
        <v>353</v>
      </c>
    </row>
    <row r="57" spans="2:6" x14ac:dyDescent="0.2">
      <c r="B57" s="10" t="s">
        <v>354</v>
      </c>
      <c r="C57" s="10" t="str">
        <f t="shared" ca="1" si="0"/>
        <v>Aparecimento do Radha Kunda, snana dana</v>
      </c>
      <c r="D57" s="10" t="s">
        <v>354</v>
      </c>
      <c r="E57" s="10" t="s">
        <v>355</v>
      </c>
      <c r="F57" s="10" t="s">
        <v>355</v>
      </c>
    </row>
    <row r="58" spans="2:6" x14ac:dyDescent="0.2">
      <c r="B58" s="10" t="s">
        <v>357</v>
      </c>
      <c r="C58" s="10" t="str">
        <f t="shared" ca="1" si="0"/>
        <v>Sri Virabhadra - Aparecimento</v>
      </c>
      <c r="D58" s="10" t="s">
        <v>357</v>
      </c>
      <c r="E58" s="10" t="s">
        <v>358</v>
      </c>
      <c r="F58" s="10" t="s">
        <v>358</v>
      </c>
    </row>
    <row r="59" spans="2:6" x14ac:dyDescent="0.2">
      <c r="B59" s="10" t="s">
        <v>360</v>
      </c>
      <c r="C59" s="10" t="str">
        <f t="shared" ca="1" si="0"/>
        <v>Sri Rasikananda - Aparecimento</v>
      </c>
      <c r="D59" s="10" t="s">
        <v>360</v>
      </c>
      <c r="E59" s="10" t="s">
        <v>361</v>
      </c>
      <c r="F59" s="10" t="s">
        <v>361</v>
      </c>
    </row>
    <row r="60" spans="2:6" x14ac:dyDescent="0.2">
      <c r="B60" s="10" t="s">
        <v>363</v>
      </c>
      <c r="C60" s="10" t="str">
        <f t="shared" ca="1" si="0"/>
        <v>Sri Vasudeva Ghosh - Desaparecimento</v>
      </c>
      <c r="D60" s="10" t="s">
        <v>363</v>
      </c>
      <c r="E60" s="10" t="s">
        <v>364</v>
      </c>
      <c r="F60" s="10" t="s">
        <v>364</v>
      </c>
    </row>
    <row r="61" spans="2:6" x14ac:dyDescent="0.2">
      <c r="B61" s="10" t="s">
        <v>366</v>
      </c>
      <c r="C61" s="10" t="str">
        <f t="shared" ca="1" si="0"/>
        <v>Srila Prabhupada - Desaparecimento</v>
      </c>
      <c r="D61" s="10" t="s">
        <v>366</v>
      </c>
      <c r="E61" s="10" t="s">
        <v>367</v>
      </c>
      <c r="F61" s="10" t="s">
        <v>367</v>
      </c>
    </row>
    <row r="62" spans="2:6" x14ac:dyDescent="0.2">
      <c r="B62" s="10" t="s">
        <v>369</v>
      </c>
      <c r="C62" s="10" t="str">
        <f t="shared" ca="1" si="0"/>
        <v>Sri Gadadhara Dasa Gosvami - Desaparecimento</v>
      </c>
      <c r="D62" s="10" t="s">
        <v>369</v>
      </c>
      <c r="E62" s="10" t="s">
        <v>370</v>
      </c>
      <c r="F62" s="10" t="s">
        <v>370</v>
      </c>
    </row>
    <row r="63" spans="2:6" x14ac:dyDescent="0.2">
      <c r="B63" s="10" t="s">
        <v>372</v>
      </c>
      <c r="C63" s="10" t="str">
        <f t="shared" ca="1" si="0"/>
        <v>Sri Dhananjaya Pandita - Desaparecimento</v>
      </c>
      <c r="D63" s="10" t="s">
        <v>372</v>
      </c>
      <c r="E63" s="10" t="s">
        <v>373</v>
      </c>
      <c r="F63" s="10" t="s">
        <v>373</v>
      </c>
    </row>
    <row r="64" spans="2:6" x14ac:dyDescent="0.2">
      <c r="B64" s="10" t="s">
        <v>375</v>
      </c>
      <c r="C64" s="10" t="str">
        <f t="shared" ca="1" si="0"/>
        <v>Sri Srinivasa Acarya - Desaparecimento</v>
      </c>
      <c r="D64" s="10" t="s">
        <v>375</v>
      </c>
      <c r="E64" s="10" t="s">
        <v>376</v>
      </c>
      <c r="F64" s="10" t="s">
        <v>376</v>
      </c>
    </row>
    <row r="65" spans="2:6" x14ac:dyDescent="0.2">
      <c r="B65" s="10" t="s">
        <v>378</v>
      </c>
      <c r="C65" s="10" t="str">
        <f t="shared" ca="1" si="0"/>
        <v>Srila Gaura Kisora Dasa Babaji - Desaparecimento</v>
      </c>
      <c r="D65" s="10" t="s">
        <v>378</v>
      </c>
      <c r="E65" s="10" t="s">
        <v>379</v>
      </c>
      <c r="F65" s="10" t="s">
        <v>379</v>
      </c>
    </row>
    <row r="66" spans="2:6" x14ac:dyDescent="0.2">
      <c r="B66" s="10" t="s">
        <v>381</v>
      </c>
      <c r="C66" s="10" t="str">
        <f t="shared" ca="1" si="0"/>
        <v>Sri Bhugarbha Gosvami - Desaparecimento</v>
      </c>
      <c r="D66" s="10" t="s">
        <v>381</v>
      </c>
      <c r="E66" s="10" t="s">
        <v>382</v>
      </c>
      <c r="F66" s="10" t="s">
        <v>382</v>
      </c>
    </row>
    <row r="67" spans="2:6" x14ac:dyDescent="0.2">
      <c r="B67" s="10" t="s">
        <v>384</v>
      </c>
      <c r="C67" s="10" t="str">
        <f t="shared" ca="1" si="0"/>
        <v>Sri Kasisvara Pandita - Desaparecimento</v>
      </c>
      <c r="D67" s="10" t="s">
        <v>384</v>
      </c>
      <c r="E67" s="10" t="s">
        <v>385</v>
      </c>
      <c r="F67" s="10" t="s">
        <v>385</v>
      </c>
    </row>
    <row r="68" spans="2:6" x14ac:dyDescent="0.2">
      <c r="B68" s="10" t="s">
        <v>386</v>
      </c>
      <c r="C68" s="10" t="str">
        <f t="shared" ca="1" si="0"/>
        <v>Tulasi-Saligrama Vivaha (casamento)</v>
      </c>
      <c r="D68" s="10" t="s">
        <v>386</v>
      </c>
      <c r="E68" s="10" t="s">
        <v>387</v>
      </c>
      <c r="F68" s="10" t="s">
        <v>387</v>
      </c>
    </row>
    <row r="69" spans="2:6" x14ac:dyDescent="0.2">
      <c r="B69" s="10" t="s">
        <v>389</v>
      </c>
      <c r="C69" s="10" t="str">
        <f t="shared" ref="C69:C100" ca="1" si="1">OFFSET(C69,0,$B$1)</f>
        <v>Sri Nimbarkacarya - Aparecimento</v>
      </c>
      <c r="D69" s="10" t="s">
        <v>389</v>
      </c>
      <c r="E69" s="10" t="s">
        <v>390</v>
      </c>
      <c r="F69" s="10" t="s">
        <v>390</v>
      </c>
    </row>
    <row r="70" spans="2:6" x14ac:dyDescent="0.2">
      <c r="B70" s="10" t="s">
        <v>391</v>
      </c>
      <c r="C70" s="10" t="str">
        <f t="shared" ca="1" si="1"/>
        <v>Katyayani vrata começa</v>
      </c>
      <c r="D70" s="10" t="s">
        <v>391</v>
      </c>
      <c r="E70" s="10" t="s">
        <v>392</v>
      </c>
      <c r="F70" s="10" t="s">
        <v>392</v>
      </c>
    </row>
    <row r="71" spans="2:6" x14ac:dyDescent="0.2">
      <c r="B71" s="10" t="s">
        <v>394</v>
      </c>
      <c r="C71" s="10" t="str">
        <f t="shared" ca="1" si="1"/>
        <v>Sri Narahari Sarakara Thakura - Desaparecimento</v>
      </c>
      <c r="D71" s="10" t="s">
        <v>394</v>
      </c>
      <c r="E71" s="10" t="s">
        <v>395</v>
      </c>
      <c r="F71" s="10" t="s">
        <v>395</v>
      </c>
    </row>
    <row r="72" spans="2:6" x14ac:dyDescent="0.2">
      <c r="B72" s="10" t="s">
        <v>397</v>
      </c>
      <c r="C72" s="10" t="str">
        <f t="shared" ca="1" si="1"/>
        <v>Sri Kaliya Krsnadasa - Desaparecimento</v>
      </c>
      <c r="D72" s="10" t="s">
        <v>397</v>
      </c>
      <c r="E72" s="10" t="s">
        <v>398</v>
      </c>
      <c r="F72" s="10" t="s">
        <v>398</v>
      </c>
    </row>
    <row r="73" spans="2:6" x14ac:dyDescent="0.2">
      <c r="B73" s="10" t="s">
        <v>400</v>
      </c>
      <c r="C73" s="10" t="str">
        <f t="shared" ca="1" si="1"/>
        <v>Sri Saranga Thakura - Desaparecimento</v>
      </c>
      <c r="D73" s="10" t="s">
        <v>400</v>
      </c>
      <c r="E73" s="10" t="s">
        <v>401</v>
      </c>
      <c r="F73" s="10" t="s">
        <v>401</v>
      </c>
    </row>
    <row r="74" spans="2:6" x14ac:dyDescent="0.2">
      <c r="B74" s="10" t="s">
        <v>402</v>
      </c>
      <c r="C74" s="10" t="str">
        <f t="shared" ca="1" si="1"/>
        <v>Advento do Srimad Bhagavad-gita</v>
      </c>
      <c r="D74" s="10" t="s">
        <v>402</v>
      </c>
      <c r="E74" s="10" t="s">
        <v>403</v>
      </c>
      <c r="F74" s="10" t="s">
        <v>403</v>
      </c>
    </row>
    <row r="75" spans="2:6" x14ac:dyDescent="0.2">
      <c r="B75" s="10" t="s">
        <v>404</v>
      </c>
      <c r="C75" s="10" t="str">
        <f t="shared" ca="1" si="1"/>
        <v>Katyayani vrata termina</v>
      </c>
      <c r="D75" s="10" t="s">
        <v>404</v>
      </c>
      <c r="E75" s="10" t="s">
        <v>405</v>
      </c>
      <c r="F75" s="10" t="s">
        <v>405</v>
      </c>
    </row>
    <row r="76" spans="2:6" x14ac:dyDescent="0.2">
      <c r="B76" s="10" t="s">
        <v>407</v>
      </c>
      <c r="C76" s="10" t="str">
        <f t="shared" ca="1" si="1"/>
        <v>Srila Bhaktisiddhanta Sarasvati Thakura - Desaparecimento</v>
      </c>
      <c r="D76" s="10" t="s">
        <v>407</v>
      </c>
      <c r="E76" s="10" t="s">
        <v>408</v>
      </c>
      <c r="F76" s="10" t="s">
        <v>408</v>
      </c>
    </row>
    <row r="77" spans="2:6" x14ac:dyDescent="0.2">
      <c r="B77" s="10" t="s">
        <v>410</v>
      </c>
      <c r="C77" s="10" t="str">
        <f t="shared" ca="1" si="1"/>
        <v>Sri Devananda Pandita - Desaparecimento</v>
      </c>
      <c r="D77" s="10" t="s">
        <v>410</v>
      </c>
      <c r="E77" s="10" t="s">
        <v>411</v>
      </c>
      <c r="F77" s="10" t="s">
        <v>411</v>
      </c>
    </row>
    <row r="78" spans="2:6" x14ac:dyDescent="0.2">
      <c r="B78" s="10" t="s">
        <v>413</v>
      </c>
      <c r="C78" s="10" t="str">
        <f t="shared" ca="1" si="1"/>
        <v>Sri Mahesa Pandita - Desaparecimento</v>
      </c>
      <c r="D78" s="10" t="s">
        <v>413</v>
      </c>
      <c r="E78" s="10" t="s">
        <v>414</v>
      </c>
      <c r="F78" s="10" t="s">
        <v>414</v>
      </c>
    </row>
    <row r="79" spans="2:6" x14ac:dyDescent="0.2">
      <c r="B79" s="10" t="s">
        <v>416</v>
      </c>
      <c r="C79" s="10" t="str">
        <f t="shared" ca="1" si="1"/>
        <v>Sri Uddharana Datta Thakura - Desaparecimento</v>
      </c>
      <c r="D79" s="10" t="s">
        <v>416</v>
      </c>
      <c r="E79" s="10" t="s">
        <v>417</v>
      </c>
      <c r="F79" s="10" t="s">
        <v>417</v>
      </c>
    </row>
    <row r="80" spans="2:6" x14ac:dyDescent="0.2">
      <c r="B80" s="10" t="s">
        <v>419</v>
      </c>
      <c r="C80" s="10" t="str">
        <f t="shared" ca="1" si="1"/>
        <v>Sri Locana Dasa Thakura - Aparecimento</v>
      </c>
      <c r="D80" s="10" t="s">
        <v>419</v>
      </c>
      <c r="E80" s="10" t="s">
        <v>420</v>
      </c>
      <c r="F80" s="10" t="s">
        <v>420</v>
      </c>
    </row>
    <row r="81" spans="2:6" x14ac:dyDescent="0.2">
      <c r="B81" s="10" t="s">
        <v>422</v>
      </c>
      <c r="C81" s="10" t="str">
        <f t="shared" ca="1" si="1"/>
        <v>Srila Jiva Gosvami - Desaparecimento</v>
      </c>
      <c r="D81" s="10" t="s">
        <v>422</v>
      </c>
      <c r="E81" s="10" t="s">
        <v>423</v>
      </c>
      <c r="F81" s="10" t="s">
        <v>423</v>
      </c>
    </row>
    <row r="82" spans="2:6" x14ac:dyDescent="0.2">
      <c r="B82" s="10" t="s">
        <v>425</v>
      </c>
      <c r="C82" s="10" t="str">
        <f t="shared" ca="1" si="1"/>
        <v>Sri Jagadisa Pandita - Desaparecimento</v>
      </c>
      <c r="D82" s="10" t="s">
        <v>425</v>
      </c>
      <c r="E82" s="10" t="s">
        <v>426</v>
      </c>
      <c r="F82" s="10" t="s">
        <v>426</v>
      </c>
    </row>
    <row r="83" spans="2:6" x14ac:dyDescent="0.2">
      <c r="B83" s="10" t="s">
        <v>428</v>
      </c>
      <c r="C83" s="10" t="str">
        <f t="shared" ca="1" si="1"/>
        <v>Sri Jagadisa Pandita - Aparecimento</v>
      </c>
      <c r="D83" s="10" t="s">
        <v>428</v>
      </c>
      <c r="E83" s="10" t="s">
        <v>429</v>
      </c>
      <c r="F83" s="10" t="s">
        <v>429</v>
      </c>
    </row>
    <row r="84" spans="2:6" x14ac:dyDescent="0.2">
      <c r="B84" s="10" t="s">
        <v>431</v>
      </c>
      <c r="C84" s="10" t="str">
        <f t="shared" ca="1" si="1"/>
        <v>Sri Ramacandra Kaviraja - Desaparecimento</v>
      </c>
      <c r="D84" s="10" t="s">
        <v>431</v>
      </c>
      <c r="E84" s="10" t="s">
        <v>432</v>
      </c>
      <c r="F84" s="10" t="s">
        <v>432</v>
      </c>
    </row>
    <row r="85" spans="2:6" x14ac:dyDescent="0.2">
      <c r="B85" s="10" t="s">
        <v>434</v>
      </c>
      <c r="C85" s="10" t="str">
        <f t="shared" ca="1" si="1"/>
        <v>Srila Gopala Bhatta Gosvami - Aparecimento</v>
      </c>
      <c r="D85" s="10" t="s">
        <v>434</v>
      </c>
      <c r="E85" s="10" t="s">
        <v>435</v>
      </c>
      <c r="F85" s="10" t="s">
        <v>435</v>
      </c>
    </row>
    <row r="86" spans="2:6" x14ac:dyDescent="0.2">
      <c r="B86" s="10" t="s">
        <v>437</v>
      </c>
      <c r="C86" s="10" t="str">
        <f t="shared" ca="1" si="1"/>
        <v>Sri Jayadeva Gosvami - Desaparecimento</v>
      </c>
      <c r="D86" s="10" t="s">
        <v>437</v>
      </c>
      <c r="E86" s="10" t="s">
        <v>438</v>
      </c>
      <c r="F86" s="10" t="s">
        <v>438</v>
      </c>
    </row>
    <row r="87" spans="2:6" x14ac:dyDescent="0.2">
      <c r="B87" s="10" t="s">
        <v>440</v>
      </c>
      <c r="C87" s="10" t="str">
        <f t="shared" ca="1" si="1"/>
        <v>Sri Locana Dasa Thakura - Desaparecimento</v>
      </c>
      <c r="D87" s="10" t="s">
        <v>440</v>
      </c>
      <c r="E87" s="10" t="s">
        <v>441</v>
      </c>
      <c r="F87" s="10" t="s">
        <v>441</v>
      </c>
    </row>
    <row r="88" spans="2:6" x14ac:dyDescent="0.2">
      <c r="B88" s="10" t="s">
        <v>443</v>
      </c>
      <c r="C88" s="10" t="str">
        <f t="shared" ca="1" si="1"/>
        <v>Srimati Visnupriya Devi - Aparecimento</v>
      </c>
      <c r="D88" s="10" t="s">
        <v>443</v>
      </c>
      <c r="E88" s="10" t="s">
        <v>444</v>
      </c>
      <c r="F88" s="10" t="s">
        <v>444</v>
      </c>
    </row>
    <row r="89" spans="2:6" x14ac:dyDescent="0.2">
      <c r="B89" s="10" t="s">
        <v>446</v>
      </c>
      <c r="C89" s="10" t="str">
        <f t="shared" ca="1" si="1"/>
        <v>Srila Visvanatha Cakravarti Thakura - Desaparecimento</v>
      </c>
      <c r="D89" s="10" t="s">
        <v>446</v>
      </c>
      <c r="E89" s="10" t="s">
        <v>447</v>
      </c>
      <c r="F89" s="10" t="s">
        <v>447</v>
      </c>
    </row>
    <row r="90" spans="2:6" x14ac:dyDescent="0.2">
      <c r="B90" s="10" t="s">
        <v>449</v>
      </c>
      <c r="C90" s="10" t="str">
        <f t="shared" ca="1" si="1"/>
        <v>Sri Pundarika Vidyanidhi - Aparecimento</v>
      </c>
      <c r="D90" s="10" t="s">
        <v>449</v>
      </c>
      <c r="E90" s="10" t="s">
        <v>450</v>
      </c>
      <c r="F90" s="10" t="s">
        <v>450</v>
      </c>
    </row>
    <row r="91" spans="2:6" x14ac:dyDescent="0.2">
      <c r="B91" s="10" t="s">
        <v>452</v>
      </c>
      <c r="C91" s="10" t="str">
        <f t="shared" ca="1" si="1"/>
        <v>Sri Raghunandana Thakura - Aparecimento</v>
      </c>
      <c r="D91" s="10" t="s">
        <v>452</v>
      </c>
      <c r="E91" s="10" t="s">
        <v>453</v>
      </c>
      <c r="F91" s="10" t="s">
        <v>453</v>
      </c>
    </row>
    <row r="92" spans="2:6" x14ac:dyDescent="0.2">
      <c r="B92" s="10" t="s">
        <v>455</v>
      </c>
      <c r="C92" s="10" t="str">
        <f t="shared" ca="1" si="1"/>
        <v>Srila Raghunatha Dasa Gosvami - Aparecimento</v>
      </c>
      <c r="D92" s="10" t="s">
        <v>455</v>
      </c>
      <c r="E92" s="10" t="s">
        <v>456</v>
      </c>
      <c r="F92" s="10" t="s">
        <v>456</v>
      </c>
    </row>
    <row r="93" spans="2:6" x14ac:dyDescent="0.2">
      <c r="B93" s="10" t="s">
        <v>458</v>
      </c>
      <c r="C93" s="10" t="str">
        <f t="shared" ca="1" si="1"/>
        <v>Sri Advaita Acarya - Aparecimento</v>
      </c>
      <c r="D93" s="10" t="s">
        <v>458</v>
      </c>
      <c r="E93" s="10" t="s">
        <v>459</v>
      </c>
      <c r="F93" s="10" t="s">
        <v>459</v>
      </c>
    </row>
    <row r="94" spans="2:6" x14ac:dyDescent="0.2">
      <c r="B94" s="10" t="s">
        <v>461</v>
      </c>
      <c r="C94" s="10" t="str">
        <f t="shared" ca="1" si="1"/>
        <v>Sri Madhvacarya - Desaparecimento</v>
      </c>
      <c r="D94" s="10" t="s">
        <v>461</v>
      </c>
      <c r="E94" s="10" t="s">
        <v>462</v>
      </c>
      <c r="F94" s="10" t="s">
        <v>462</v>
      </c>
    </row>
    <row r="95" spans="2:6" x14ac:dyDescent="0.2">
      <c r="B95" s="10" t="s">
        <v>464</v>
      </c>
      <c r="C95" s="10" t="str">
        <f t="shared" ca="1" si="1"/>
        <v>Sri Ramanujacarya - Desaparecimento</v>
      </c>
      <c r="D95" s="10" t="s">
        <v>464</v>
      </c>
      <c r="E95" s="10" t="s">
        <v>465</v>
      </c>
      <c r="F95" s="10" t="s">
        <v>465</v>
      </c>
    </row>
    <row r="96" spans="2:6" x14ac:dyDescent="0.2">
      <c r="B96" s="10" t="s">
        <v>466</v>
      </c>
      <c r="C96" s="10" t="str">
        <f t="shared" ca="1" si="1"/>
        <v>Varaha Dvadasi: Aparecimento do Senhor Varahadeva</v>
      </c>
      <c r="D96" s="10" t="s">
        <v>466</v>
      </c>
      <c r="E96" s="10" t="s">
        <v>467</v>
      </c>
      <c r="F96" s="10" t="s">
        <v>467</v>
      </c>
    </row>
    <row r="97" spans="2:6" x14ac:dyDescent="0.2">
      <c r="B97" s="10" t="s">
        <v>468</v>
      </c>
      <c r="C97" s="10" t="str">
        <f t="shared" ca="1" si="1"/>
        <v>Nityananda Trayodasi: Aparecimento de Sri Nityananda Prabhu</v>
      </c>
      <c r="D97" s="10" t="s">
        <v>468</v>
      </c>
      <c r="E97" s="32" t="s">
        <v>469</v>
      </c>
      <c r="F97" s="32" t="s">
        <v>469</v>
      </c>
    </row>
    <row r="98" spans="2:6" x14ac:dyDescent="0.2">
      <c r="B98" s="10" t="s">
        <v>471</v>
      </c>
      <c r="C98" s="10" t="str">
        <f t="shared" ca="1" si="1"/>
        <v>Srila Narottama Dasa Thakura - Aparecimento</v>
      </c>
      <c r="D98" s="10" t="s">
        <v>471</v>
      </c>
      <c r="E98" s="10" t="s">
        <v>472</v>
      </c>
      <c r="F98" s="10" t="s">
        <v>472</v>
      </c>
    </row>
    <row r="99" spans="2:6" x14ac:dyDescent="0.2">
      <c r="B99" s="10" t="s">
        <v>474</v>
      </c>
      <c r="C99" s="10" t="str">
        <f t="shared" ca="1" si="1"/>
        <v>Sri Purusottama Das Thakura - Desaparecimento</v>
      </c>
      <c r="D99" s="10" t="s">
        <v>474</v>
      </c>
      <c r="E99" s="10" t="s">
        <v>475</v>
      </c>
      <c r="F99" s="10" t="s">
        <v>475</v>
      </c>
    </row>
    <row r="100" spans="2:6" x14ac:dyDescent="0.2">
      <c r="B100" s="10" t="s">
        <v>477</v>
      </c>
      <c r="C100" s="10" t="str">
        <f t="shared" ca="1" si="1"/>
        <v>Srila Bhaktisiddhanta Sarasvati Thakura - Aparecimento</v>
      </c>
      <c r="D100" s="10" t="s">
        <v>477</v>
      </c>
      <c r="E100" s="10" t="s">
        <v>478</v>
      </c>
      <c r="F100" s="10" t="s">
        <v>478</v>
      </c>
    </row>
    <row r="101" spans="2:6" x14ac:dyDescent="0.2">
      <c r="B101" s="10" t="s">
        <v>480</v>
      </c>
      <c r="C101" s="10" t="str">
        <f t="shared" ref="C101:C121" ca="1" si="2">OFFSET(C101,0,$B$1)</f>
        <v>Sri Isvara Puri - Desaparecimento</v>
      </c>
      <c r="D101" s="10" t="s">
        <v>480</v>
      </c>
      <c r="E101" s="10" t="s">
        <v>481</v>
      </c>
      <c r="F101" s="10" t="s">
        <v>481</v>
      </c>
    </row>
    <row r="102" spans="2:6" x14ac:dyDescent="0.2">
      <c r="B102" s="10" t="s">
        <v>483</v>
      </c>
      <c r="C102" s="10" t="str">
        <f t="shared" ca="1" si="2"/>
        <v>Srila Jagannatha Dasa Babaji - Desaparecimento</v>
      </c>
      <c r="D102" s="10" t="s">
        <v>483</v>
      </c>
      <c r="E102" s="10" t="s">
        <v>484</v>
      </c>
      <c r="F102" s="10" t="s">
        <v>484</v>
      </c>
    </row>
    <row r="103" spans="2:6" x14ac:dyDescent="0.2">
      <c r="B103" s="10" t="s">
        <v>486</v>
      </c>
      <c r="C103" s="10" t="str">
        <f t="shared" ca="1" si="2"/>
        <v>Sri Rasikananda - Desaparecimento</v>
      </c>
      <c r="D103" s="10" t="s">
        <v>486</v>
      </c>
      <c r="E103" s="10" t="s">
        <v>487</v>
      </c>
      <c r="F103" s="10" t="s">
        <v>487</v>
      </c>
    </row>
    <row r="104" spans="2:6" x14ac:dyDescent="0.2">
      <c r="B104" s="10" t="s">
        <v>489</v>
      </c>
      <c r="C104" s="10" t="str">
        <f t="shared" ca="1" si="2"/>
        <v>Sri Purusottama Dasa Thakura - Aparecimento</v>
      </c>
      <c r="D104" s="10" t="s">
        <v>489</v>
      </c>
      <c r="E104" s="10" t="s">
        <v>490</v>
      </c>
      <c r="F104" s="10" t="s">
        <v>490</v>
      </c>
    </row>
    <row r="105" spans="2:6" x14ac:dyDescent="0.2">
      <c r="B105" s="10" t="s">
        <v>492</v>
      </c>
      <c r="C105" s="10" t="str">
        <f t="shared" ca="1" si="2"/>
        <v>Sri Madhavendra Puri - Desaparecimento</v>
      </c>
      <c r="D105" s="10" t="s">
        <v>492</v>
      </c>
      <c r="E105" s="10" t="s">
        <v>493</v>
      </c>
      <c r="F105" s="10" t="s">
        <v>493</v>
      </c>
    </row>
    <row r="106" spans="2:6" x14ac:dyDescent="0.2">
      <c r="B106" s="10" t="s">
        <v>495</v>
      </c>
      <c r="C106" s="10" t="str">
        <f t="shared" ca="1" si="2"/>
        <v>Sri Srivasa Pandita - Aparecimento</v>
      </c>
      <c r="D106" s="10" t="s">
        <v>495</v>
      </c>
      <c r="E106" s="10" t="s">
        <v>496</v>
      </c>
      <c r="F106" s="10" t="s">
        <v>496</v>
      </c>
    </row>
    <row r="107" spans="2:6" x14ac:dyDescent="0.2">
      <c r="B107" s="10" t="s">
        <v>498</v>
      </c>
      <c r="C107" s="10" t="str">
        <f t="shared" ca="1" si="2"/>
        <v>Sri Govinda Ghosh - Desaparecimento</v>
      </c>
      <c r="D107" s="10" t="s">
        <v>498</v>
      </c>
      <c r="E107" s="10" t="s">
        <v>499</v>
      </c>
      <c r="F107" s="10" t="s">
        <v>499</v>
      </c>
    </row>
    <row r="108" spans="2:6" x14ac:dyDescent="0.2">
      <c r="B108" s="10" t="s">
        <v>501</v>
      </c>
      <c r="C108" s="10" t="str">
        <f t="shared" ca="1" si="2"/>
        <v>Sri Ramanujacarya - Aparecimento</v>
      </c>
      <c r="D108" s="10" t="s">
        <v>501</v>
      </c>
      <c r="E108" s="10" t="s">
        <v>502</v>
      </c>
      <c r="F108" s="10" t="s">
        <v>502</v>
      </c>
    </row>
    <row r="109" spans="2:6" x14ac:dyDescent="0.2">
      <c r="B109" s="10" t="s">
        <v>504</v>
      </c>
      <c r="C109" s="10" t="str">
        <f t="shared" ca="1" si="2"/>
        <v>Sri Vamsivadana Thakura - Aparecimento</v>
      </c>
      <c r="D109" s="10" t="s">
        <v>504</v>
      </c>
      <c r="E109" s="10" t="s">
        <v>505</v>
      </c>
      <c r="F109" s="10" t="s">
        <v>505</v>
      </c>
    </row>
    <row r="110" spans="2:6" x14ac:dyDescent="0.2">
      <c r="B110" s="10" t="s">
        <v>507</v>
      </c>
      <c r="C110" s="10" t="str">
        <f t="shared" ca="1" si="2"/>
        <v>Sri Syamananda Prabhu - Aparecimento</v>
      </c>
      <c r="D110" s="10" t="s">
        <v>507</v>
      </c>
      <c r="E110" s="10" t="s">
        <v>508</v>
      </c>
      <c r="F110" s="10" t="s">
        <v>508</v>
      </c>
    </row>
    <row r="111" spans="2:6" x14ac:dyDescent="0.2">
      <c r="B111" s="10" t="s">
        <v>58</v>
      </c>
      <c r="C111" s="10" t="str">
        <f t="shared" ca="1" si="2"/>
        <v>Sri Krsna Janmastami: Aparecimento do Senhor Sri Krsna</v>
      </c>
      <c r="D111" s="10" t="s">
        <v>58</v>
      </c>
      <c r="E111" s="10" t="s">
        <v>509</v>
      </c>
      <c r="F111" s="10" t="s">
        <v>509</v>
      </c>
    </row>
    <row r="112" spans="2:6" x14ac:dyDescent="0.2">
      <c r="B112" s="10" t="s">
        <v>36</v>
      </c>
      <c r="C112" s="10" t="str">
        <f t="shared" ca="1" si="2"/>
        <v>Gaura Purnima: Aparecimento de Sri Caitanya Mahaprabhu</v>
      </c>
      <c r="D112" s="10" t="s">
        <v>36</v>
      </c>
      <c r="E112" s="10" t="s">
        <v>510</v>
      </c>
      <c r="F112" s="10" t="s">
        <v>510</v>
      </c>
    </row>
    <row r="113" spans="2:6" x14ac:dyDescent="0.2">
      <c r="B113" s="10" t="s">
        <v>54</v>
      </c>
      <c r="C113" s="10" t="str">
        <f t="shared" ca="1" si="2"/>
        <v>Retorno do Ratha (8 dias após o Ratha Yatra)</v>
      </c>
      <c r="D113" s="10" t="s">
        <v>54</v>
      </c>
      <c r="E113" s="10" t="s">
        <v>511</v>
      </c>
      <c r="F113" s="10" t="s">
        <v>511</v>
      </c>
    </row>
    <row r="114" spans="2:6" x14ac:dyDescent="0.2">
      <c r="B114" s="10" t="s">
        <v>53</v>
      </c>
      <c r="C114" s="10" t="str">
        <f t="shared" ca="1" si="2"/>
        <v>Hera Pancami (4 dias após o Ratha Yatra)</v>
      </c>
      <c r="D114" s="10" t="s">
        <v>53</v>
      </c>
      <c r="E114" s="10" t="s">
        <v>512</v>
      </c>
      <c r="F114" s="10" t="s">
        <v>512</v>
      </c>
    </row>
    <row r="115" spans="2:6" x14ac:dyDescent="0.2">
      <c r="B115" s="10" t="s">
        <v>40</v>
      </c>
      <c r="C115" s="10" t="str">
        <f t="shared" ca="1" si="2"/>
        <v>Rama Navami: Aparecimento do Senhor Sri Ramacandra</v>
      </c>
      <c r="D115" s="10" t="s">
        <v>40</v>
      </c>
      <c r="E115" s="10" t="s">
        <v>513</v>
      </c>
      <c r="F115" s="10" t="s">
        <v>513</v>
      </c>
    </row>
    <row r="116" spans="2:6" x14ac:dyDescent="0.2">
      <c r="B116" s="10" t="s">
        <v>60</v>
      </c>
      <c r="C116" s="10" t="str">
        <f t="shared" ca="1" si="2"/>
        <v>Srila Prabhupada - Aparecimento</v>
      </c>
      <c r="D116" s="10" t="s">
        <v>514</v>
      </c>
      <c r="E116" s="10" t="s">
        <v>515</v>
      </c>
      <c r="F116" s="10" t="s">
        <v>515</v>
      </c>
    </row>
    <row r="117" spans="2:6" x14ac:dyDescent="0.2">
      <c r="B117" s="10" t="s">
        <v>38</v>
      </c>
      <c r="C117" s="10" t="str">
        <f t="shared" ca="1" si="2"/>
        <v>Festival de Jagannatha Misra</v>
      </c>
      <c r="D117" s="10" t="s">
        <v>38</v>
      </c>
      <c r="E117" s="10" t="s">
        <v>516</v>
      </c>
      <c r="F117" s="10" t="s">
        <v>516</v>
      </c>
    </row>
    <row r="118" spans="2:6" x14ac:dyDescent="0.2">
      <c r="B118" s="10" t="s">
        <v>42</v>
      </c>
      <c r="C118" s="10" t="str">
        <f t="shared" ca="1" si="2"/>
        <v>Tulasi Jala Dan começa.</v>
      </c>
      <c r="D118" s="10" t="s">
        <v>42</v>
      </c>
      <c r="E118" s="10" t="s">
        <v>517</v>
      </c>
      <c r="F118" s="10" t="s">
        <v>517</v>
      </c>
    </row>
    <row r="119" spans="2:6" x14ac:dyDescent="0.2">
      <c r="B119" s="10" t="s">
        <v>45</v>
      </c>
      <c r="C119" s="10" t="str">
        <f t="shared" ca="1" si="2"/>
        <v>Tulasi Jala Dan termina.</v>
      </c>
      <c r="D119" s="10" t="s">
        <v>45</v>
      </c>
      <c r="E119" s="10" t="s">
        <v>518</v>
      </c>
      <c r="F119" s="10" t="s">
        <v>518</v>
      </c>
    </row>
    <row r="120" spans="2:6" x14ac:dyDescent="0.2">
      <c r="B120" s="10" t="s">
        <v>68</v>
      </c>
      <c r="C120" s="10" t="str">
        <f t="shared" ca="1" si="2"/>
        <v>Primeiro dia de Bhisma Pancaka</v>
      </c>
      <c r="D120" s="10" t="s">
        <v>68</v>
      </c>
      <c r="E120" s="10" t="s">
        <v>519</v>
      </c>
      <c r="F120" s="10" t="s">
        <v>519</v>
      </c>
    </row>
    <row r="121" spans="2:6" x14ac:dyDescent="0.2">
      <c r="B121" s="10" t="s">
        <v>69</v>
      </c>
      <c r="C121" s="10" t="str">
        <f t="shared" ca="1" si="2"/>
        <v>Último dia de Bhisma Pancaka</v>
      </c>
      <c r="D121" s="10" t="s">
        <v>69</v>
      </c>
      <c r="E121" s="10" t="s">
        <v>520</v>
      </c>
      <c r="F121" s="10" t="s">
        <v>520</v>
      </c>
    </row>
    <row r="122" spans="2:6" x14ac:dyDescent="0.2">
      <c r="B122" s="32" t="s">
        <v>703</v>
      </c>
      <c r="C122" s="10" t="str">
        <f t="shared" ref="C122:C127" ca="1" si="3">OFFSET(C122,0,$B$1)</f>
        <v>ISKCON - fundação em NY</v>
      </c>
      <c r="D122" s="10" t="s">
        <v>704</v>
      </c>
      <c r="E122" s="32" t="s">
        <v>705</v>
      </c>
      <c r="F122" s="32" t="s">
        <v>705</v>
      </c>
    </row>
    <row r="123" spans="2:6" x14ac:dyDescent="0.2">
      <c r="B123" s="32" t="s">
        <v>706</v>
      </c>
      <c r="C123" s="10" t="str">
        <f t="shared" ca="1" si="3"/>
        <v>Prabhupada - vai para EUA</v>
      </c>
      <c r="D123" s="32" t="s">
        <v>707</v>
      </c>
      <c r="E123" s="32" t="s">
        <v>708</v>
      </c>
      <c r="F123" s="32" t="s">
        <v>708</v>
      </c>
    </row>
    <row r="124" spans="2:6" x14ac:dyDescent="0.2">
      <c r="B124" s="32" t="s">
        <v>709</v>
      </c>
      <c r="C124" s="10" t="str">
        <f t="shared" ca="1" si="3"/>
        <v>Prabhupada - aceita sannyasa</v>
      </c>
      <c r="D124" s="32" t="s">
        <v>710</v>
      </c>
      <c r="E124" s="32" t="s">
        <v>711</v>
      </c>
      <c r="F124" s="32" t="s">
        <v>711</v>
      </c>
    </row>
    <row r="125" spans="2:6" x14ac:dyDescent="0.2">
      <c r="B125" s="32" t="s">
        <v>712</v>
      </c>
      <c r="C125" s="10" t="str">
        <f t="shared" ca="1" si="3"/>
        <v>Prabhupada - chega aos EUA</v>
      </c>
      <c r="D125" s="32" t="s">
        <v>713</v>
      </c>
      <c r="E125" s="32" t="s">
        <v>714</v>
      </c>
      <c r="F125" s="32" t="s">
        <v>714</v>
      </c>
    </row>
    <row r="126" spans="2:6" x14ac:dyDescent="0.2">
      <c r="B126" s="32" t="s">
        <v>715</v>
      </c>
      <c r="C126" s="10" t="str">
        <f t="shared" ca="1" si="3"/>
        <v>Radha Kunda - Aparecimento</v>
      </c>
      <c r="D126" s="32" t="s">
        <v>716</v>
      </c>
      <c r="E126" s="32" t="s">
        <v>717</v>
      </c>
      <c r="F126" s="32" t="s">
        <v>717</v>
      </c>
    </row>
    <row r="127" spans="2:6" x14ac:dyDescent="0.2">
      <c r="B127" s="32" t="s">
        <v>718</v>
      </c>
      <c r="C127" s="10" t="str">
        <f t="shared" ca="1" si="3"/>
        <v>Bhagavad-gita - Advento</v>
      </c>
      <c r="D127" s="32" t="s">
        <v>719</v>
      </c>
      <c r="E127" s="32" t="s">
        <v>720</v>
      </c>
      <c r="F127" s="32" t="s">
        <v>720</v>
      </c>
    </row>
    <row r="128" spans="2:6" x14ac:dyDescent="0.2">
      <c r="B128" s="10" t="s">
        <v>9609</v>
      </c>
      <c r="C128" s="10" t="str">
        <f t="shared" ref="C128:C159" ca="1" si="4">OFFSET(C128,0,$B$1)</f>
        <v>[SISTEMA EKADASI]</v>
      </c>
      <c r="D128" s="32" t="s">
        <v>527</v>
      </c>
      <c r="E128" s="32" t="s">
        <v>9623</v>
      </c>
      <c r="F128" s="32" t="s">
        <v>9623</v>
      </c>
    </row>
    <row r="129" spans="2:6" x14ac:dyDescent="0.2">
      <c r="B129" s="10" t="s">
        <v>9610</v>
      </c>
      <c r="C129" s="10" t="str">
        <f t="shared" ca="1" si="4"/>
        <v>[SISTEMA PURNIMA]</v>
      </c>
      <c r="D129" s="32" t="s">
        <v>528</v>
      </c>
      <c r="E129" s="32" t="s">
        <v>529</v>
      </c>
      <c r="F129" s="32" t="s">
        <v>529</v>
      </c>
    </row>
    <row r="130" spans="2:6" x14ac:dyDescent="0.2">
      <c r="B130" s="10" t="s">
        <v>28</v>
      </c>
      <c r="C130" s="10" t="str">
        <f t="shared" ca="1" si="4"/>
        <v>[SISTEMA PRATIPAT]</v>
      </c>
      <c r="D130" s="32" t="s">
        <v>530</v>
      </c>
      <c r="E130" s="32" t="s">
        <v>531</v>
      </c>
      <c r="F130" s="32" t="s">
        <v>531</v>
      </c>
    </row>
    <row r="131" spans="2:6" x14ac:dyDescent="0.2">
      <c r="B131" s="32" t="s">
        <v>532</v>
      </c>
      <c r="C131" s="10" t="str">
        <f t="shared" ca="1" si="4"/>
        <v>Primeiro mês de Caturmasya começa</v>
      </c>
      <c r="D131" s="10" t="s">
        <v>533</v>
      </c>
      <c r="E131" s="10" t="s">
        <v>534</v>
      </c>
      <c r="F131" s="10" t="s">
        <v>534</v>
      </c>
    </row>
    <row r="132" spans="2:6" x14ac:dyDescent="0.2">
      <c r="B132" s="32" t="s">
        <v>9611</v>
      </c>
      <c r="C132" s="10" t="str">
        <f t="shared" ca="1" si="4"/>
        <v>Último dia do primeiro mês de Caturmasya</v>
      </c>
      <c r="D132" s="10" t="s">
        <v>535</v>
      </c>
      <c r="E132" s="10" t="s">
        <v>536</v>
      </c>
      <c r="F132" s="10" t="s">
        <v>536</v>
      </c>
    </row>
    <row r="133" spans="2:6" x14ac:dyDescent="0.2">
      <c r="B133" s="32" t="s">
        <v>9612</v>
      </c>
      <c r="C133" s="10" t="str">
        <f t="shared" ca="1" si="4"/>
        <v>(jejum de vegetais de folhas verdes durante um mês)</v>
      </c>
      <c r="D133" s="32" t="s">
        <v>537</v>
      </c>
      <c r="E133" s="10" t="s">
        <v>538</v>
      </c>
      <c r="F133" s="10" t="s">
        <v>538</v>
      </c>
    </row>
    <row r="134" spans="2:6" x14ac:dyDescent="0.2">
      <c r="B134" s="32" t="s">
        <v>9613</v>
      </c>
      <c r="C134" s="10" t="str">
        <f t="shared" ca="1" si="4"/>
        <v>Primeiro mês de Caturmasya continua</v>
      </c>
      <c r="D134" s="10" t="s">
        <v>539</v>
      </c>
      <c r="E134" s="10" t="s">
        <v>540</v>
      </c>
      <c r="F134" s="10" t="s">
        <v>540</v>
      </c>
    </row>
    <row r="135" spans="2:6" x14ac:dyDescent="0.2">
      <c r="B135" s="32" t="s">
        <v>541</v>
      </c>
      <c r="C135" s="10" t="str">
        <f t="shared" ca="1" si="4"/>
        <v>Segundo mês de Caturmasya começa</v>
      </c>
      <c r="D135" s="10" t="s">
        <v>542</v>
      </c>
      <c r="E135" s="10" t="s">
        <v>543</v>
      </c>
      <c r="F135" s="10" t="s">
        <v>543</v>
      </c>
    </row>
    <row r="136" spans="2:6" x14ac:dyDescent="0.2">
      <c r="B136" s="32" t="s">
        <v>9614</v>
      </c>
      <c r="C136" s="10" t="str">
        <f t="shared" ca="1" si="4"/>
        <v>Último dia do segundo mês de Caturmasya</v>
      </c>
      <c r="D136" s="10" t="s">
        <v>544</v>
      </c>
      <c r="E136" s="10" t="s">
        <v>545</v>
      </c>
      <c r="F136" s="10" t="s">
        <v>545</v>
      </c>
    </row>
    <row r="137" spans="2:6" x14ac:dyDescent="0.2">
      <c r="B137" s="32" t="s">
        <v>9615</v>
      </c>
      <c r="C137" s="10" t="str">
        <f t="shared" ca="1" si="4"/>
        <v>(jejum de iogurte por um mês)</v>
      </c>
      <c r="D137" s="10" t="s">
        <v>546</v>
      </c>
      <c r="E137" s="10" t="s">
        <v>547</v>
      </c>
      <c r="F137" s="10" t="s">
        <v>547</v>
      </c>
    </row>
    <row r="138" spans="2:6" x14ac:dyDescent="0.2">
      <c r="B138" s="32" t="s">
        <v>9616</v>
      </c>
      <c r="C138" s="10" t="str">
        <f t="shared" ca="1" si="4"/>
        <v>Segundo mês de Caturmasya continua</v>
      </c>
      <c r="D138" s="10" t="s">
        <v>548</v>
      </c>
      <c r="E138" s="10" t="s">
        <v>549</v>
      </c>
      <c r="F138" s="10" t="s">
        <v>549</v>
      </c>
    </row>
    <row r="139" spans="2:6" x14ac:dyDescent="0.2">
      <c r="B139" s="32" t="s">
        <v>550</v>
      </c>
      <c r="C139" s="10" t="str">
        <f t="shared" ca="1" si="4"/>
        <v>Terceiro mês de Caturmasya começa</v>
      </c>
      <c r="D139" s="10" t="s">
        <v>551</v>
      </c>
      <c r="E139" s="10" t="s">
        <v>552</v>
      </c>
      <c r="F139" s="10" t="s">
        <v>552</v>
      </c>
    </row>
    <row r="140" spans="2:6" x14ac:dyDescent="0.2">
      <c r="B140" s="32" t="s">
        <v>9617</v>
      </c>
      <c r="C140" s="10" t="str">
        <f t="shared" ca="1" si="4"/>
        <v>Último dia do terceiro mês de Caturmasya</v>
      </c>
      <c r="D140" s="10" t="s">
        <v>553</v>
      </c>
      <c r="E140" s="10" t="s">
        <v>554</v>
      </c>
      <c r="F140" s="10" t="s">
        <v>554</v>
      </c>
    </row>
    <row r="141" spans="2:6" x14ac:dyDescent="0.2">
      <c r="B141" s="32" t="s">
        <v>9618</v>
      </c>
      <c r="C141" s="10" t="str">
        <f t="shared" ca="1" si="4"/>
        <v>(jejum de leite por um mês)</v>
      </c>
      <c r="D141" s="10" t="s">
        <v>555</v>
      </c>
      <c r="E141" s="10" t="s">
        <v>556</v>
      </c>
      <c r="F141" s="10" t="s">
        <v>556</v>
      </c>
    </row>
    <row r="142" spans="2:6" x14ac:dyDescent="0.2">
      <c r="B142" s="32" t="s">
        <v>9619</v>
      </c>
      <c r="C142" s="10" t="str">
        <f t="shared" ca="1" si="4"/>
        <v>Terceiro mês de Caturmasya continua</v>
      </c>
      <c r="D142" s="10" t="s">
        <v>557</v>
      </c>
      <c r="E142" s="10" t="s">
        <v>558</v>
      </c>
      <c r="F142" s="10" t="s">
        <v>558</v>
      </c>
    </row>
    <row r="143" spans="2:6" x14ac:dyDescent="0.2">
      <c r="B143" s="32" t="s">
        <v>559</v>
      </c>
      <c r="C143" s="10" t="str">
        <f t="shared" ca="1" si="4"/>
        <v>Quarto mês de Caturmasya começa</v>
      </c>
      <c r="D143" s="10" t="s">
        <v>560</v>
      </c>
      <c r="E143" s="10" t="s">
        <v>561</v>
      </c>
      <c r="F143" s="10" t="s">
        <v>561</v>
      </c>
    </row>
    <row r="144" spans="2:6" x14ac:dyDescent="0.2">
      <c r="B144" s="32" t="s">
        <v>9620</v>
      </c>
      <c r="C144" s="10" t="str">
        <f t="shared" ca="1" si="4"/>
        <v>Último dia do quarto mês de Caturmasya</v>
      </c>
      <c r="D144" s="10" t="s">
        <v>562</v>
      </c>
      <c r="E144" s="10" t="s">
        <v>563</v>
      </c>
      <c r="F144" s="10" t="s">
        <v>563</v>
      </c>
    </row>
    <row r="145" spans="1:6" x14ac:dyDescent="0.2">
      <c r="B145" s="32" t="s">
        <v>9621</v>
      </c>
      <c r="C145" s="10" t="str">
        <f t="shared" ca="1" si="4"/>
        <v>(jejum de urad dal por um mês)</v>
      </c>
      <c r="D145" s="10" t="s">
        <v>564</v>
      </c>
      <c r="E145" s="10" t="s">
        <v>565</v>
      </c>
      <c r="F145" s="10" t="s">
        <v>565</v>
      </c>
    </row>
    <row r="146" spans="1:6" x14ac:dyDescent="0.2">
      <c r="B146" s="32" t="s">
        <v>9622</v>
      </c>
      <c r="C146" s="10" t="str">
        <f t="shared" ca="1" si="4"/>
        <v>Quarto mês de Caturmasya continua</v>
      </c>
      <c r="D146" s="32" t="s">
        <v>566</v>
      </c>
      <c r="E146" s="10" t="s">
        <v>567</v>
      </c>
      <c r="F146" s="10" t="s">
        <v>567</v>
      </c>
    </row>
    <row r="147" spans="1:6" x14ac:dyDescent="0.2">
      <c r="B147" s="32" t="s">
        <v>568</v>
      </c>
      <c r="C147" s="10" t="str">
        <f t="shared" ca="1" si="4"/>
        <v>(Caturmasya não é observado durante o Purusottama Adhika Masa).</v>
      </c>
      <c r="D147" s="32" t="s">
        <v>569</v>
      </c>
      <c r="E147" s="10" t="s">
        <v>570</v>
      </c>
      <c r="F147" s="10" t="s">
        <v>570</v>
      </c>
    </row>
    <row r="148" spans="1:6" x14ac:dyDescent="0.2">
      <c r="B148" s="10" t="s">
        <v>43</v>
      </c>
      <c r="C148" s="10" t="str">
        <f t="shared" ca="1" si="4"/>
        <v>Jejum por Mohini Ekadasi</v>
      </c>
      <c r="D148" s="10" t="s">
        <v>43</v>
      </c>
      <c r="E148" s="10" t="s">
        <v>587</v>
      </c>
      <c r="F148" s="10" t="s">
        <v>587</v>
      </c>
    </row>
    <row r="149" spans="1:6" x14ac:dyDescent="0.2">
      <c r="B149" s="10" t="s">
        <v>44</v>
      </c>
      <c r="C149" s="10" t="str">
        <f t="shared" ca="1" si="4"/>
        <v>Jejum por Apara Ekadasi</v>
      </c>
      <c r="D149" s="10" t="s">
        <v>44</v>
      </c>
      <c r="E149" s="10" t="s">
        <v>588</v>
      </c>
      <c r="F149" s="10" t="s">
        <v>588</v>
      </c>
    </row>
    <row r="150" spans="1:6" x14ac:dyDescent="0.2">
      <c r="B150" s="32" t="s">
        <v>48</v>
      </c>
      <c r="C150" s="10" t="str">
        <f t="shared" ca="1" si="4"/>
        <v>Jejum por Pandava Nirjala Ekadasi</v>
      </c>
      <c r="D150" s="32" t="s">
        <v>48</v>
      </c>
      <c r="E150" s="32" t="s">
        <v>589</v>
      </c>
      <c r="F150" s="32" t="s">
        <v>589</v>
      </c>
    </row>
    <row r="151" spans="1:6" x14ac:dyDescent="0.2">
      <c r="B151" s="10" t="s">
        <v>50</v>
      </c>
      <c r="C151" s="10" t="str">
        <f t="shared" ca="1" si="4"/>
        <v>Jejum por Yogini Ekadasi</v>
      </c>
      <c r="D151" s="10" t="s">
        <v>50</v>
      </c>
      <c r="E151" s="10" t="s">
        <v>590</v>
      </c>
      <c r="F151" s="10" t="s">
        <v>590</v>
      </c>
    </row>
    <row r="152" spans="1:6" x14ac:dyDescent="0.2">
      <c r="B152" s="10" t="s">
        <v>55</v>
      </c>
      <c r="C152" s="10" t="str">
        <f t="shared" ca="1" si="4"/>
        <v>Jejum por Sayana Ekadasi</v>
      </c>
      <c r="D152" s="10" t="s">
        <v>55</v>
      </c>
      <c r="E152" s="10" t="s">
        <v>591</v>
      </c>
      <c r="F152" s="10" t="s">
        <v>591</v>
      </c>
    </row>
    <row r="153" spans="1:6" x14ac:dyDescent="0.2">
      <c r="B153" s="10" t="s">
        <v>56</v>
      </c>
      <c r="C153" s="10" t="str">
        <f t="shared" ca="1" si="4"/>
        <v>Jejum por Kamika Ekadasi</v>
      </c>
      <c r="D153" s="10" t="s">
        <v>56</v>
      </c>
      <c r="E153" s="10" t="s">
        <v>592</v>
      </c>
      <c r="F153" s="10" t="s">
        <v>592</v>
      </c>
    </row>
    <row r="154" spans="1:6" x14ac:dyDescent="0.2">
      <c r="A154" s="65" t="s">
        <v>72</v>
      </c>
      <c r="B154" s="330" t="s">
        <v>57</v>
      </c>
      <c r="C154" s="10" t="str">
        <f t="shared" ca="1" si="4"/>
        <v>Jejum por Pavitropana Ekadasi</v>
      </c>
      <c r="D154" s="10" t="s">
        <v>593</v>
      </c>
      <c r="E154" s="10" t="s">
        <v>594</v>
      </c>
      <c r="F154" s="10" t="s">
        <v>594</v>
      </c>
    </row>
    <row r="155" spans="1:6" x14ac:dyDescent="0.2">
      <c r="B155" s="10" t="s">
        <v>61</v>
      </c>
      <c r="C155" s="10" t="str">
        <f t="shared" ca="1" si="4"/>
        <v>Jejum por Annada Ekadasi</v>
      </c>
      <c r="D155" s="10" t="s">
        <v>61</v>
      </c>
      <c r="E155" s="10" t="s">
        <v>595</v>
      </c>
      <c r="F155" s="10" t="s">
        <v>595</v>
      </c>
    </row>
    <row r="156" spans="1:6" x14ac:dyDescent="0.2">
      <c r="B156" s="10" t="s">
        <v>62</v>
      </c>
      <c r="C156" s="10" t="str">
        <f t="shared" ca="1" si="4"/>
        <v>Jejum por Parsva Ekadasi</v>
      </c>
      <c r="D156" s="10" t="s">
        <v>62</v>
      </c>
      <c r="E156" s="10" t="s">
        <v>596</v>
      </c>
      <c r="F156" s="10" t="s">
        <v>596</v>
      </c>
    </row>
    <row r="157" spans="1:6" x14ac:dyDescent="0.2">
      <c r="B157" s="10" t="s">
        <v>63</v>
      </c>
      <c r="C157" s="10" t="str">
        <f t="shared" ca="1" si="4"/>
        <v>Jejum por Indira Ekadasi</v>
      </c>
      <c r="D157" s="10" t="s">
        <v>63</v>
      </c>
      <c r="E157" s="10" t="s">
        <v>597</v>
      </c>
      <c r="F157" s="10" t="s">
        <v>597</v>
      </c>
    </row>
    <row r="158" spans="1:6" x14ac:dyDescent="0.2">
      <c r="B158" s="10" t="s">
        <v>64</v>
      </c>
      <c r="C158" s="10" t="str">
        <f t="shared" ca="1" si="4"/>
        <v>Jejum por Pasankusa Ekadasi</v>
      </c>
      <c r="D158" s="10" t="s">
        <v>64</v>
      </c>
      <c r="E158" s="10" t="s">
        <v>598</v>
      </c>
      <c r="F158" s="10" t="s">
        <v>598</v>
      </c>
    </row>
    <row r="159" spans="1:6" x14ac:dyDescent="0.2">
      <c r="B159" s="10" t="s">
        <v>65</v>
      </c>
      <c r="C159" s="10" t="str">
        <f t="shared" ca="1" si="4"/>
        <v>Jejum por Rama Ekadasi</v>
      </c>
      <c r="D159" s="10" t="s">
        <v>65</v>
      </c>
      <c r="E159" s="10" t="s">
        <v>599</v>
      </c>
      <c r="F159" s="10" t="s">
        <v>599</v>
      </c>
    </row>
    <row r="160" spans="1:6" x14ac:dyDescent="0.2">
      <c r="B160" s="10" t="s">
        <v>67</v>
      </c>
      <c r="C160" s="10" t="str">
        <f t="shared" ref="C160:C182" ca="1" si="5">OFFSET(C160,0,$B$1)</f>
        <v>Jejum por Utthana Ekadasi</v>
      </c>
      <c r="D160" s="10" t="s">
        <v>67</v>
      </c>
      <c r="E160" s="10" t="s">
        <v>600</v>
      </c>
      <c r="F160" s="10" t="s">
        <v>600</v>
      </c>
    </row>
    <row r="161" spans="2:6" x14ac:dyDescent="0.2">
      <c r="B161" s="10" t="s">
        <v>70</v>
      </c>
      <c r="C161" s="10" t="str">
        <f t="shared" ca="1" si="5"/>
        <v>Jejum por Utpanna Ekadasi</v>
      </c>
      <c r="D161" s="10" t="s">
        <v>70</v>
      </c>
      <c r="E161" s="10" t="s">
        <v>601</v>
      </c>
      <c r="F161" s="10" t="s">
        <v>601</v>
      </c>
    </row>
    <row r="162" spans="2:6" x14ac:dyDescent="0.2">
      <c r="B162" s="10" t="s">
        <v>71</v>
      </c>
      <c r="C162" s="10" t="str">
        <f t="shared" ca="1" si="5"/>
        <v>Jejum por Moksada Ekadasi</v>
      </c>
      <c r="D162" s="10" t="s">
        <v>71</v>
      </c>
      <c r="E162" s="10" t="s">
        <v>602</v>
      </c>
      <c r="F162" s="10" t="s">
        <v>602</v>
      </c>
    </row>
    <row r="163" spans="2:6" x14ac:dyDescent="0.2">
      <c r="B163" s="10" t="s">
        <v>29</v>
      </c>
      <c r="C163" s="10" t="str">
        <f t="shared" ca="1" si="5"/>
        <v>Jejum por Saphala Ekadasi</v>
      </c>
      <c r="D163" s="10" t="s">
        <v>29</v>
      </c>
      <c r="E163" s="10" t="s">
        <v>603</v>
      </c>
      <c r="F163" s="10" t="s">
        <v>603</v>
      </c>
    </row>
    <row r="164" spans="2:6" x14ac:dyDescent="0.2">
      <c r="B164" s="10" t="s">
        <v>30</v>
      </c>
      <c r="C164" s="10" t="str">
        <f t="shared" ca="1" si="5"/>
        <v>Jejum por Putrada Ekadasi</v>
      </c>
      <c r="D164" s="10" t="s">
        <v>30</v>
      </c>
      <c r="E164" s="10" t="s">
        <v>604</v>
      </c>
      <c r="F164" s="10" t="s">
        <v>604</v>
      </c>
    </row>
    <row r="165" spans="2:6" x14ac:dyDescent="0.2">
      <c r="B165" s="10" t="s">
        <v>31</v>
      </c>
      <c r="C165" s="10" t="str">
        <f t="shared" ca="1" si="5"/>
        <v>Jejum por Sat-tila Ekadasi</v>
      </c>
      <c r="D165" s="10" t="s">
        <v>31</v>
      </c>
      <c r="E165" s="10" t="s">
        <v>605</v>
      </c>
      <c r="F165" s="10" t="s">
        <v>605</v>
      </c>
    </row>
    <row r="166" spans="2:6" x14ac:dyDescent="0.2">
      <c r="B166" s="10" t="s">
        <v>33</v>
      </c>
      <c r="C166" s="10" t="str">
        <f t="shared" ca="1" si="5"/>
        <v>Jejum por Bhaimi Ekadasi</v>
      </c>
      <c r="D166" s="10" t="s">
        <v>33</v>
      </c>
      <c r="E166" s="10" t="s">
        <v>606</v>
      </c>
      <c r="F166" s="10" t="s">
        <v>606</v>
      </c>
    </row>
    <row r="167" spans="2:6" x14ac:dyDescent="0.2">
      <c r="B167" s="10" t="s">
        <v>34</v>
      </c>
      <c r="C167" s="10" t="str">
        <f t="shared" ca="1" si="5"/>
        <v>Jejum por Vijaya Ekadasi</v>
      </c>
      <c r="D167" s="10" t="s">
        <v>34</v>
      </c>
      <c r="E167" s="10" t="s">
        <v>607</v>
      </c>
      <c r="F167" s="10" t="s">
        <v>607</v>
      </c>
    </row>
    <row r="168" spans="2:6" x14ac:dyDescent="0.2">
      <c r="B168" s="10" t="s">
        <v>35</v>
      </c>
      <c r="C168" s="10" t="str">
        <f t="shared" ca="1" si="5"/>
        <v>Jejum por Amalaki vrata Ekadasi</v>
      </c>
      <c r="D168" s="10" t="s">
        <v>35</v>
      </c>
      <c r="E168" s="10" t="s">
        <v>608</v>
      </c>
      <c r="F168" s="10" t="s">
        <v>608</v>
      </c>
    </row>
    <row r="169" spans="2:6" x14ac:dyDescent="0.2">
      <c r="B169" s="10" t="s">
        <v>39</v>
      </c>
      <c r="C169" s="10" t="str">
        <f t="shared" ca="1" si="5"/>
        <v>Jejum por Papamocani Ekadasi</v>
      </c>
      <c r="D169" s="10" t="s">
        <v>39</v>
      </c>
      <c r="E169" s="10" t="s">
        <v>609</v>
      </c>
      <c r="F169" s="10" t="s">
        <v>609</v>
      </c>
    </row>
    <row r="170" spans="2:6" x14ac:dyDescent="0.2">
      <c r="B170" s="10" t="s">
        <v>41</v>
      </c>
      <c r="C170" s="10" t="str">
        <f t="shared" ca="1" si="5"/>
        <v>Jejum por Kamada Ekadasi</v>
      </c>
      <c r="D170" s="10" t="s">
        <v>41</v>
      </c>
      <c r="E170" s="10" t="s">
        <v>610</v>
      </c>
      <c r="F170" s="10" t="s">
        <v>610</v>
      </c>
    </row>
    <row r="171" spans="2:6" x14ac:dyDescent="0.2">
      <c r="B171" s="10" t="s">
        <v>9607</v>
      </c>
      <c r="C171" s="10" t="str">
        <f t="shared" ca="1" si="5"/>
        <v>Jejum por Varuthini Ekadasi</v>
      </c>
      <c r="D171" s="10" t="s">
        <v>9607</v>
      </c>
      <c r="E171" s="10" t="s">
        <v>9659</v>
      </c>
      <c r="F171" s="10" t="s">
        <v>9659</v>
      </c>
    </row>
    <row r="172" spans="2:6" x14ac:dyDescent="0.2">
      <c r="B172" s="10" t="s">
        <v>47</v>
      </c>
      <c r="C172" s="10" t="str">
        <f t="shared" ca="1" si="5"/>
        <v>Jejum por Parama Ekadasi</v>
      </c>
      <c r="D172" s="10" t="s">
        <v>47</v>
      </c>
      <c r="E172" s="10" t="s">
        <v>611</v>
      </c>
      <c r="F172" s="10" t="s">
        <v>611</v>
      </c>
    </row>
    <row r="173" spans="2:6" x14ac:dyDescent="0.2">
      <c r="B173" s="10" t="s">
        <v>46</v>
      </c>
      <c r="C173" s="10" t="str">
        <f t="shared" ca="1" si="5"/>
        <v>Jejum por Padmini Ekadasi</v>
      </c>
      <c r="D173" s="10" t="s">
        <v>46</v>
      </c>
      <c r="E173" s="10" t="s">
        <v>612</v>
      </c>
      <c r="F173" s="10" t="s">
        <v>612</v>
      </c>
    </row>
    <row r="174" spans="2:6" x14ac:dyDescent="0.2">
      <c r="B174" s="10" t="s">
        <v>613</v>
      </c>
      <c r="C174" s="10" t="str">
        <f t="shared" ca="1" si="5"/>
        <v>(horário de verão não considerado)</v>
      </c>
      <c r="D174" s="10" t="s">
        <v>613</v>
      </c>
      <c r="E174" s="10" t="s">
        <v>614</v>
      </c>
      <c r="F174" s="10" t="s">
        <v>614</v>
      </c>
    </row>
    <row r="175" spans="2:6" x14ac:dyDescent="0.2">
      <c r="B175" s="32" t="s">
        <v>49</v>
      </c>
      <c r="C175" s="10" t="str">
        <f t="shared" ca="1" si="5"/>
        <v>(Jejum total, até mesmo de água, se tiver quebrado Ekadasi)</v>
      </c>
      <c r="D175" s="32" t="s">
        <v>49</v>
      </c>
      <c r="E175" s="32" t="s">
        <v>615</v>
      </c>
      <c r="F175" s="32" t="s">
        <v>615</v>
      </c>
    </row>
    <row r="176" spans="2:6" x14ac:dyDescent="0.2">
      <c r="B176" s="10" t="s">
        <v>648</v>
      </c>
      <c r="C176" s="10" t="str">
        <f t="shared" ca="1" si="5"/>
        <v>(jejum até o meio dia por Varahadeva, com festa amanhã)</v>
      </c>
      <c r="D176" s="10" t="s">
        <v>648</v>
      </c>
      <c r="E176" s="32" t="s">
        <v>649</v>
      </c>
      <c r="F176" s="32" t="s">
        <v>649</v>
      </c>
    </row>
    <row r="177" spans="2:6" x14ac:dyDescent="0.2">
      <c r="B177" s="32" t="s">
        <v>9686</v>
      </c>
      <c r="C177" s="10" t="str">
        <f t="shared" ca="1" si="5"/>
        <v>(Jejum até o meio dia por Bhaktivinoda, com festa amanhã)</v>
      </c>
      <c r="D177" s="32" t="s">
        <v>9701</v>
      </c>
      <c r="E177" s="32" t="s">
        <v>9700</v>
      </c>
      <c r="F177" s="32" t="s">
        <v>9700</v>
      </c>
    </row>
    <row r="178" spans="2:6" x14ac:dyDescent="0.2">
      <c r="B178" s="32" t="s">
        <v>9703</v>
      </c>
      <c r="C178" s="10" t="str">
        <f t="shared" ca="1" si="5"/>
        <v>(Jejum até o meio dia por Gaura Kisora, com festa amanhã)</v>
      </c>
      <c r="D178" s="32" t="s">
        <v>9703</v>
      </c>
      <c r="E178" s="32" t="s">
        <v>9704</v>
      </c>
      <c r="F178" s="32" t="s">
        <v>9704</v>
      </c>
    </row>
    <row r="179" spans="2:6" x14ac:dyDescent="0.2">
      <c r="B179" s="32" t="s">
        <v>9662</v>
      </c>
      <c r="C179" s="10" t="str">
        <f t="shared" ca="1" si="5"/>
        <v>(Jejum até o meio dia por Vamanadeva, com festa amanhã)</v>
      </c>
      <c r="D179" s="32" t="s">
        <v>9662</v>
      </c>
      <c r="E179" s="32" t="s">
        <v>9663</v>
      </c>
      <c r="F179" s="32" t="s">
        <v>9663</v>
      </c>
    </row>
    <row r="180" spans="2:6" x14ac:dyDescent="0.2">
      <c r="B180" s="32" t="s">
        <v>9664</v>
      </c>
      <c r="C180" s="10" t="str">
        <f t="shared" ca="1" si="5"/>
        <v>(Jejum até o meio dia por Sri Nityananda, com festa amanhã)</v>
      </c>
      <c r="D180" s="32" t="s">
        <v>9664</v>
      </c>
      <c r="E180" s="32" t="s">
        <v>9665</v>
      </c>
      <c r="F180" s="32" t="s">
        <v>9665</v>
      </c>
    </row>
    <row r="181" spans="2:6" x14ac:dyDescent="0.2">
      <c r="B181" s="32" t="s">
        <v>650</v>
      </c>
      <c r="C181" s="10" t="str">
        <f t="shared" ca="1" si="5"/>
        <v>(Jejum hoje por Vamanadeva)</v>
      </c>
      <c r="D181" s="32" t="s">
        <v>650</v>
      </c>
      <c r="E181" s="32" t="s">
        <v>651</v>
      </c>
      <c r="F181" s="32" t="s">
        <v>651</v>
      </c>
    </row>
    <row r="182" spans="2:6" x14ac:dyDescent="0.2">
      <c r="B182" s="32" t="s">
        <v>652</v>
      </c>
      <c r="C182" s="10" t="str">
        <f t="shared" ca="1" si="5"/>
        <v>(Jejum hoje por Varahadeva)</v>
      </c>
      <c r="D182" s="32" t="s">
        <v>652</v>
      </c>
      <c r="E182" s="32" t="s">
        <v>653</v>
      </c>
      <c r="F182" s="32" t="s">
        <v>653</v>
      </c>
    </row>
    <row r="183" spans="2:6" x14ac:dyDescent="0.2">
      <c r="B183" s="10" t="s">
        <v>521</v>
      </c>
      <c r="C183" s="10" t="str">
        <f ca="1">OFFSET(C183,0,$B$1)</f>
        <v>(O jejum foi feito ontem, hoje é a festa)</v>
      </c>
      <c r="D183" s="10" t="s">
        <v>521</v>
      </c>
      <c r="E183" s="10" t="s">
        <v>522</v>
      </c>
      <c r="F183" s="10" t="s">
        <v>522</v>
      </c>
    </row>
    <row r="184" spans="2:6" x14ac:dyDescent="0.2">
      <c r="B184" s="10" t="s">
        <v>521</v>
      </c>
      <c r="C184" s="10" t="str">
        <f t="shared" ref="C184:C195" ca="1" si="6">OFFSET(C184,0,$B$1)</f>
        <v>(O jejum foi feito ontem, hoje é festa)</v>
      </c>
      <c r="D184" s="10" t="s">
        <v>521</v>
      </c>
      <c r="E184" s="10" t="s">
        <v>584</v>
      </c>
      <c r="F184" s="10" t="s">
        <v>584</v>
      </c>
    </row>
    <row r="185" spans="2:6" x14ac:dyDescent="0.2">
      <c r="B185" s="10" t="s">
        <v>37</v>
      </c>
      <c r="C185" s="10" t="str">
        <f t="shared" ca="1" si="6"/>
        <v>(Jejum hoje)</v>
      </c>
      <c r="D185" s="10" t="s">
        <v>37</v>
      </c>
      <c r="E185" s="10" t="s">
        <v>581</v>
      </c>
      <c r="F185" s="10" t="s">
        <v>581</v>
      </c>
    </row>
    <row r="186" spans="2:6" x14ac:dyDescent="0.2">
      <c r="B186" s="10" t="s">
        <v>7594</v>
      </c>
      <c r="C186" s="10" t="str">
        <f t="shared" ca="1" si="6"/>
        <v>(Jejum hoje até o meio-dia)</v>
      </c>
      <c r="D186" s="10" t="s">
        <v>7594</v>
      </c>
      <c r="E186" s="10" t="s">
        <v>9656</v>
      </c>
      <c r="F186" s="10" t="s">
        <v>9656</v>
      </c>
    </row>
    <row r="187" spans="2:6" x14ac:dyDescent="0.2">
      <c r="B187" s="10" t="s">
        <v>582</v>
      </c>
      <c r="C187" s="10" t="str">
        <f t="shared" ca="1" si="6"/>
        <v>(O jejum foi feito ontem)</v>
      </c>
      <c r="D187" s="10" t="s">
        <v>582</v>
      </c>
      <c r="E187" s="10" t="s">
        <v>583</v>
      </c>
      <c r="F187" s="10" t="s">
        <v>583</v>
      </c>
    </row>
    <row r="188" spans="2:6" x14ac:dyDescent="0.2">
      <c r="B188" s="10" t="s">
        <v>585</v>
      </c>
      <c r="C188" s="10" t="str">
        <f t="shared" ca="1" si="6"/>
        <v>(Jejum até o meio-dia, com festa amanhã)</v>
      </c>
      <c r="D188" s="10" t="s">
        <v>585</v>
      </c>
      <c r="E188" s="10" t="s">
        <v>586</v>
      </c>
      <c r="F188" s="10" t="s">
        <v>586</v>
      </c>
    </row>
    <row r="189" spans="2:6" x14ac:dyDescent="0.2">
      <c r="B189" s="10" t="s">
        <v>571</v>
      </c>
      <c r="C189" s="10" t="str">
        <f t="shared" ca="1" si="6"/>
        <v>(Jejum até o meio-dia)</v>
      </c>
      <c r="D189" s="10" t="s">
        <v>571</v>
      </c>
      <c r="E189" s="10" t="s">
        <v>572</v>
      </c>
      <c r="F189" s="10" t="s">
        <v>572</v>
      </c>
    </row>
    <row r="190" spans="2:6" x14ac:dyDescent="0.2">
      <c r="B190" s="10" t="s">
        <v>573</v>
      </c>
      <c r="C190" s="10" t="str">
        <f t="shared" ca="1" si="6"/>
        <v>(Jejum até o pôr do sol)</v>
      </c>
      <c r="D190" s="10" t="s">
        <v>573</v>
      </c>
      <c r="E190" s="10" t="s">
        <v>574</v>
      </c>
      <c r="F190" s="10" t="s">
        <v>574</v>
      </c>
    </row>
    <row r="191" spans="2:6" x14ac:dyDescent="0.2">
      <c r="B191" s="10" t="s">
        <v>575</v>
      </c>
      <c r="C191" s="10" t="str">
        <f t="shared" ca="1" si="6"/>
        <v>(Jejum até o nascer da lua)</v>
      </c>
      <c r="D191" s="10" t="s">
        <v>575</v>
      </c>
      <c r="E191" s="10" t="s">
        <v>576</v>
      </c>
      <c r="F191" s="10" t="s">
        <v>576</v>
      </c>
    </row>
    <row r="192" spans="2:6" x14ac:dyDescent="0.2">
      <c r="B192" s="10" t="s">
        <v>577</v>
      </c>
      <c r="C192" s="10" t="str">
        <f t="shared" ca="1" si="6"/>
        <v>(jejum até o crepúsculo)</v>
      </c>
      <c r="D192" s="10" t="s">
        <v>577</v>
      </c>
      <c r="E192" s="10" t="s">
        <v>578</v>
      </c>
      <c r="F192" s="10" t="s">
        <v>7853</v>
      </c>
    </row>
    <row r="193" spans="2:6" x14ac:dyDescent="0.2">
      <c r="B193" s="10" t="s">
        <v>579</v>
      </c>
      <c r="C193" s="10" t="str">
        <f t="shared" ca="1" si="6"/>
        <v>(jejum até a meia-noite)</v>
      </c>
      <c r="D193" s="10" t="s">
        <v>579</v>
      </c>
      <c r="E193" s="10" t="s">
        <v>580</v>
      </c>
      <c r="F193" s="10" t="s">
        <v>580</v>
      </c>
    </row>
    <row r="194" spans="2:6" x14ac:dyDescent="0.2">
      <c r="B194" s="32" t="s">
        <v>684</v>
      </c>
      <c r="C194" s="10" t="str">
        <f t="shared" ca="1" si="6"/>
        <v>(adequado para jejum)</v>
      </c>
      <c r="D194" s="32" t="s">
        <v>684</v>
      </c>
      <c r="E194" s="32" t="s">
        <v>685</v>
      </c>
      <c r="F194" s="32" t="s">
        <v>685</v>
      </c>
    </row>
    <row r="195" spans="2:6" x14ac:dyDescent="0.2">
      <c r="B195" s="32" t="s">
        <v>7582</v>
      </c>
      <c r="C195" s="10" t="str">
        <f t="shared" ca="1" si="6"/>
        <v>(não adequado para jejum)</v>
      </c>
      <c r="D195" s="32" t="s">
        <v>7582</v>
      </c>
      <c r="E195" s="32" t="s">
        <v>7583</v>
      </c>
      <c r="F195" s="32" t="s">
        <v>7584</v>
      </c>
    </row>
    <row r="196" spans="2:6" x14ac:dyDescent="0.2">
      <c r="B196" s="10" t="s">
        <v>523</v>
      </c>
      <c r="C196" s="10" t="str">
        <f ca="1">OFFSET(C196,0,$B$1)</f>
        <v>Arunodaya às</v>
      </c>
      <c r="D196" s="10" t="s">
        <v>523</v>
      </c>
      <c r="E196" s="10" t="s">
        <v>524</v>
      </c>
      <c r="F196" s="10" t="s">
        <v>524</v>
      </c>
    </row>
    <row r="197" spans="2:6" x14ac:dyDescent="0.2">
      <c r="B197" s="10" t="s">
        <v>8229</v>
      </c>
      <c r="C197" s="10" t="str">
        <f ca="1">OFFSET(C197,0,$B$1)</f>
        <v>Jejum começa às</v>
      </c>
      <c r="D197" s="10" t="s">
        <v>8229</v>
      </c>
      <c r="E197" s="10" t="s">
        <v>8231</v>
      </c>
      <c r="F197" s="10" t="s">
        <v>8230</v>
      </c>
    </row>
    <row r="198" spans="2:6" x14ac:dyDescent="0.2">
      <c r="B198" s="10" t="s">
        <v>525</v>
      </c>
      <c r="C198" s="10" t="str">
        <f ca="1">OFFSET(C198,0,$B$1)</f>
        <v>(Horário de verão não-considerado)</v>
      </c>
      <c r="D198" s="10" t="s">
        <v>525</v>
      </c>
      <c r="E198" s="10" t="s">
        <v>526</v>
      </c>
      <c r="F198" s="10" t="s">
        <v>526</v>
      </c>
    </row>
    <row r="199" spans="2:6" x14ac:dyDescent="0.2">
      <c r="B199" s="32" t="s">
        <v>616</v>
      </c>
      <c r="C199" s="10" t="str">
        <f t="shared" ref="C199:C212" ca="1" si="7">OFFSET(C199,0,$B$1)</f>
        <v>Quebra de jejum após  #hh:mm# (hora local)</v>
      </c>
      <c r="D199" s="32" t="s">
        <v>617</v>
      </c>
      <c r="E199" s="32" t="s">
        <v>618</v>
      </c>
      <c r="F199" s="32" t="s">
        <v>619</v>
      </c>
    </row>
    <row r="200" spans="2:6" x14ac:dyDescent="0.2">
      <c r="B200" s="32" t="s">
        <v>620</v>
      </c>
      <c r="C200" s="10" t="str">
        <f t="shared" ca="1" si="7"/>
        <v>Quebra de jejum #start_hour# - #end_hour# (hora local)</v>
      </c>
      <c r="D200" s="32" t="s">
        <v>621</v>
      </c>
      <c r="E200" s="32" t="s">
        <v>622</v>
      </c>
      <c r="F200" s="32" t="s">
        <v>623</v>
      </c>
    </row>
    <row r="201" spans="2:6" x14ac:dyDescent="0.2">
      <c r="B201" s="10" t="s">
        <v>77</v>
      </c>
      <c r="C201" s="10" t="str">
        <f t="shared" ca="1" si="7"/>
        <v>Mesa Sankranti (Sol entra em Áries #dd mm#, às #hh:mm# hora local)</v>
      </c>
      <c r="D201" s="32" t="s">
        <v>624</v>
      </c>
      <c r="E201" s="32" t="s">
        <v>625</v>
      </c>
      <c r="F201" s="32" t="s">
        <v>625</v>
      </c>
    </row>
    <row r="202" spans="2:6" x14ac:dyDescent="0.2">
      <c r="B202" s="10" t="s">
        <v>78</v>
      </c>
      <c r="C202" s="10" t="str">
        <f t="shared" ca="1" si="7"/>
        <v>Vrsabha Sankranti (Sol entra em Touro #dd mm#, às #hh:mm# hora local)</v>
      </c>
      <c r="D202" s="32" t="s">
        <v>626</v>
      </c>
      <c r="E202" s="32" t="s">
        <v>627</v>
      </c>
      <c r="F202" s="32" t="s">
        <v>627</v>
      </c>
    </row>
    <row r="203" spans="2:6" x14ac:dyDescent="0.2">
      <c r="B203" s="10" t="s">
        <v>79</v>
      </c>
      <c r="C203" s="10" t="str">
        <f t="shared" ca="1" si="7"/>
        <v>Mithuna Sankranti (Sol entra em Gêmeos #dd mm#, às #hh:mm# hora local)</v>
      </c>
      <c r="D203" s="32" t="s">
        <v>628</v>
      </c>
      <c r="E203" s="32" t="s">
        <v>629</v>
      </c>
      <c r="F203" s="32" t="s">
        <v>629</v>
      </c>
    </row>
    <row r="204" spans="2:6" x14ac:dyDescent="0.2">
      <c r="B204" s="10" t="s">
        <v>80</v>
      </c>
      <c r="C204" s="10" t="str">
        <f t="shared" ca="1" si="7"/>
        <v>Karka Sankranti (Sol entra em Câncer #dd mm#, às #hh:mm# hora local)</v>
      </c>
      <c r="D204" s="32" t="s">
        <v>630</v>
      </c>
      <c r="E204" s="32" t="s">
        <v>631</v>
      </c>
      <c r="F204" s="32" t="s">
        <v>631</v>
      </c>
    </row>
    <row r="205" spans="2:6" x14ac:dyDescent="0.2">
      <c r="B205" s="10" t="s">
        <v>81</v>
      </c>
      <c r="C205" s="10" t="str">
        <f t="shared" ca="1" si="7"/>
        <v>Simha Sankranti (Sol entra em Leão #dd mm#, às #hh:mm# hora local)</v>
      </c>
      <c r="D205" s="32" t="s">
        <v>632</v>
      </c>
      <c r="E205" s="32" t="s">
        <v>633</v>
      </c>
      <c r="F205" s="32" t="s">
        <v>633</v>
      </c>
    </row>
    <row r="206" spans="2:6" x14ac:dyDescent="0.2">
      <c r="B206" s="10" t="s">
        <v>82</v>
      </c>
      <c r="C206" s="10" t="str">
        <f t="shared" ca="1" si="7"/>
        <v>Kanya Sankranti (Sol entra em Virgem #dd mm#, às #hh:mm# hora local)</v>
      </c>
      <c r="D206" s="32" t="s">
        <v>634</v>
      </c>
      <c r="E206" s="32" t="s">
        <v>635</v>
      </c>
      <c r="F206" s="32" t="s">
        <v>635</v>
      </c>
    </row>
    <row r="207" spans="2:6" x14ac:dyDescent="0.2">
      <c r="B207" s="10" t="s">
        <v>83</v>
      </c>
      <c r="C207" s="10" t="str">
        <f t="shared" ca="1" si="7"/>
        <v>Tula Sankranti (Sol entra em Libra #dd mm#, às #hh:mm# hora local)</v>
      </c>
      <c r="D207" s="32" t="s">
        <v>636</v>
      </c>
      <c r="E207" s="32" t="s">
        <v>637</v>
      </c>
      <c r="F207" s="32" t="s">
        <v>637</v>
      </c>
    </row>
    <row r="208" spans="2:6" x14ac:dyDescent="0.2">
      <c r="B208" s="10" t="s">
        <v>84</v>
      </c>
      <c r="C208" s="10" t="str">
        <f t="shared" ca="1" si="7"/>
        <v>Vrscika Sankranti (Sol entra em Escorpião #dd mm#, às #hh:mm# hora local)</v>
      </c>
      <c r="D208" s="32" t="s">
        <v>638</v>
      </c>
      <c r="E208" s="32" t="s">
        <v>639</v>
      </c>
      <c r="F208" s="32" t="s">
        <v>639</v>
      </c>
    </row>
    <row r="209" spans="2:6" x14ac:dyDescent="0.2">
      <c r="B209" s="10" t="s">
        <v>73</v>
      </c>
      <c r="C209" s="10" t="str">
        <f t="shared" ca="1" si="7"/>
        <v>Dhanus Sankranti (Sol entra em Sagitário #dd mm#, às #hh:mm# hora local)</v>
      </c>
      <c r="D209" s="32" t="s">
        <v>640</v>
      </c>
      <c r="E209" s="32" t="s">
        <v>641</v>
      </c>
      <c r="F209" s="32" t="s">
        <v>641</v>
      </c>
    </row>
    <row r="210" spans="2:6" x14ac:dyDescent="0.2">
      <c r="B210" s="10" t="s">
        <v>74</v>
      </c>
      <c r="C210" s="10" t="str">
        <f t="shared" ca="1" si="7"/>
        <v>Makara Sankranti (Sol entra em Capricórnio #dd mm#, às #hh:mm# hora local)</v>
      </c>
      <c r="D210" s="32" t="s">
        <v>642</v>
      </c>
      <c r="E210" s="32" t="s">
        <v>643</v>
      </c>
      <c r="F210" s="32" t="s">
        <v>643</v>
      </c>
    </row>
    <row r="211" spans="2:6" x14ac:dyDescent="0.2">
      <c r="B211" s="10" t="s">
        <v>75</v>
      </c>
      <c r="C211" s="10" t="str">
        <f t="shared" ca="1" si="7"/>
        <v>Kumbha Sankranti (Sol entra em Aquário #dd mm#, às #hh:mm# hora local)</v>
      </c>
      <c r="D211" s="32" t="s">
        <v>644</v>
      </c>
      <c r="E211" s="32" t="s">
        <v>645</v>
      </c>
      <c r="F211" s="32" t="s">
        <v>645</v>
      </c>
    </row>
    <row r="212" spans="2:6" x14ac:dyDescent="0.2">
      <c r="B212" s="10" t="s">
        <v>76</v>
      </c>
      <c r="C212" s="10" t="str">
        <f t="shared" ca="1" si="7"/>
        <v>Mina Sankranti (Sol entra em Peixes #dd mm#, às #hh:mm# hora local)</v>
      </c>
      <c r="D212" s="32" t="s">
        <v>646</v>
      </c>
      <c r="E212" s="32" t="s">
        <v>647</v>
      </c>
      <c r="F212" s="32" t="s">
        <v>647</v>
      </c>
    </row>
    <row r="213" spans="2:6" x14ac:dyDescent="0.2">
      <c r="B213" s="10" t="s">
        <v>7624</v>
      </c>
      <c r="C213" s="10" t="str">
        <f ca="1">OFFSET(C213,0,$B$1)</f>
        <v>Arunodaya</v>
      </c>
      <c r="D213" s="10" t="s">
        <v>7624</v>
      </c>
      <c r="E213" s="10" t="s">
        <v>7624</v>
      </c>
      <c r="F213" s="10" t="s">
        <v>7624</v>
      </c>
    </row>
    <row r="214" spans="2:6" x14ac:dyDescent="0.2">
      <c r="B214" s="10" t="s">
        <v>7625</v>
      </c>
      <c r="C214" s="10" t="str">
        <f ca="1">OFFSET(C214,0,$B$1)</f>
        <v>Nascer do sol</v>
      </c>
      <c r="D214" s="10" t="s">
        <v>7625</v>
      </c>
      <c r="E214" s="10" t="s">
        <v>7626</v>
      </c>
      <c r="F214" s="10" t="s">
        <v>7626</v>
      </c>
    </row>
    <row r="215" spans="2:6" x14ac:dyDescent="0.2">
      <c r="B215" s="10" t="s">
        <v>7240</v>
      </c>
      <c r="C215" s="10" t="str">
        <f ca="1">OFFSET(C215,0,$B$1)</f>
        <v>Meio-dia</v>
      </c>
      <c r="D215" s="10" t="s">
        <v>7240</v>
      </c>
      <c r="E215" s="10" t="s">
        <v>7623</v>
      </c>
      <c r="F215" s="10" t="s">
        <v>7623</v>
      </c>
    </row>
    <row r="216" spans="2:6" x14ac:dyDescent="0.2">
      <c r="B216" s="10" t="s">
        <v>7622</v>
      </c>
      <c r="C216" s="10" t="str">
        <f ca="1">OFFSET(C216,0,$B$1)</f>
        <v>Pôr do sol</v>
      </c>
      <c r="D216" s="10" t="s">
        <v>7622</v>
      </c>
      <c r="E216" s="10" t="s">
        <v>7621</v>
      </c>
      <c r="F216" s="10" t="s">
        <v>7621</v>
      </c>
    </row>
    <row r="217" spans="2:6" x14ac:dyDescent="0.2">
      <c r="B217" s="32" t="s">
        <v>654</v>
      </c>
      <c r="C217" s="10" t="str">
        <f ca="1">OFFSET(C217,0,$B$1)</f>
        <v>Segunda</v>
      </c>
      <c r="D217" s="32" t="s">
        <v>655</v>
      </c>
      <c r="E217" s="32" t="s">
        <v>656</v>
      </c>
      <c r="F217" s="32" t="s">
        <v>657</v>
      </c>
    </row>
    <row r="218" spans="2:6" x14ac:dyDescent="0.2">
      <c r="B218" s="32" t="s">
        <v>658</v>
      </c>
      <c r="C218" s="10" t="str">
        <f t="shared" ref="C218:C229" ca="1" si="8">OFFSET(C218,0,$B$1)</f>
        <v>Terça</v>
      </c>
      <c r="D218" s="32" t="s">
        <v>659</v>
      </c>
      <c r="E218" s="32" t="s">
        <v>660</v>
      </c>
      <c r="F218" s="32" t="s">
        <v>661</v>
      </c>
    </row>
    <row r="219" spans="2:6" x14ac:dyDescent="0.2">
      <c r="B219" s="32" t="s">
        <v>662</v>
      </c>
      <c r="C219" s="10" t="str">
        <f t="shared" ca="1" si="8"/>
        <v>Quarta</v>
      </c>
      <c r="D219" s="32" t="s">
        <v>663</v>
      </c>
      <c r="E219" s="32" t="s">
        <v>664</v>
      </c>
      <c r="F219" s="32" t="s">
        <v>665</v>
      </c>
    </row>
    <row r="220" spans="2:6" x14ac:dyDescent="0.2">
      <c r="B220" s="32" t="s">
        <v>666</v>
      </c>
      <c r="C220" s="10" t="str">
        <f t="shared" ca="1" si="8"/>
        <v>Quinta</v>
      </c>
      <c r="D220" s="32" t="s">
        <v>667</v>
      </c>
      <c r="E220" s="32" t="s">
        <v>668</v>
      </c>
      <c r="F220" s="32" t="s">
        <v>669</v>
      </c>
    </row>
    <row r="221" spans="2:6" x14ac:dyDescent="0.2">
      <c r="B221" s="32" t="s">
        <v>670</v>
      </c>
      <c r="C221" s="10" t="str">
        <f t="shared" ca="1" si="8"/>
        <v>Sexta</v>
      </c>
      <c r="D221" s="32" t="s">
        <v>671</v>
      </c>
      <c r="E221" s="32" t="s">
        <v>672</v>
      </c>
      <c r="F221" s="32" t="s">
        <v>673</v>
      </c>
    </row>
    <row r="222" spans="2:6" x14ac:dyDescent="0.2">
      <c r="B222" s="32" t="s">
        <v>674</v>
      </c>
      <c r="C222" s="10" t="str">
        <f t="shared" ca="1" si="8"/>
        <v>Sábado</v>
      </c>
      <c r="D222" s="32" t="s">
        <v>675</v>
      </c>
      <c r="E222" s="32" t="s">
        <v>676</v>
      </c>
      <c r="F222" s="32" t="s">
        <v>677</v>
      </c>
    </row>
    <row r="223" spans="2:6" x14ac:dyDescent="0.2">
      <c r="B223" s="32" t="s">
        <v>678</v>
      </c>
      <c r="C223" s="10" t="str">
        <f t="shared" ca="1" si="8"/>
        <v>Domingo</v>
      </c>
      <c r="D223" s="32" t="s">
        <v>679</v>
      </c>
      <c r="E223" s="32" t="s">
        <v>680</v>
      </c>
      <c r="F223" s="32" t="s">
        <v>680</v>
      </c>
    </row>
    <row r="224" spans="2:6" x14ac:dyDescent="0.2">
      <c r="B224" s="32" t="s">
        <v>27</v>
      </c>
      <c r="C224" s="10" t="str">
        <f t="shared" ca="1" si="8"/>
        <v>sim</v>
      </c>
      <c r="D224" s="32" t="s">
        <v>27</v>
      </c>
      <c r="E224" s="32" t="s">
        <v>681</v>
      </c>
      <c r="F224" s="32" t="s">
        <v>682</v>
      </c>
    </row>
    <row r="225" spans="1:6" x14ac:dyDescent="0.2">
      <c r="B225" s="32" t="s">
        <v>26</v>
      </c>
      <c r="C225" s="10" t="str">
        <f t="shared" ca="1" si="8"/>
        <v>não</v>
      </c>
      <c r="D225" s="32" t="s">
        <v>26</v>
      </c>
      <c r="E225" s="32" t="s">
        <v>26</v>
      </c>
      <c r="F225" s="32" t="s">
        <v>683</v>
      </c>
    </row>
    <row r="226" spans="1:6" x14ac:dyDescent="0.2">
      <c r="B226" s="10" t="s">
        <v>686</v>
      </c>
      <c r="C226" s="10" t="str">
        <f t="shared" ca="1" si="8"/>
        <v>Nova</v>
      </c>
      <c r="D226" s="32" t="s">
        <v>687</v>
      </c>
      <c r="E226" s="10" t="s">
        <v>688</v>
      </c>
      <c r="F226" s="10" t="s">
        <v>689</v>
      </c>
    </row>
    <row r="227" spans="1:6" x14ac:dyDescent="0.2">
      <c r="B227" s="10" t="s">
        <v>690</v>
      </c>
      <c r="C227" s="10" t="str">
        <f t="shared" ca="1" si="8"/>
        <v>Cresc</v>
      </c>
      <c r="D227" s="32" t="s">
        <v>691</v>
      </c>
      <c r="E227" s="32" t="s">
        <v>692</v>
      </c>
      <c r="F227" s="10" t="s">
        <v>693</v>
      </c>
    </row>
    <row r="228" spans="1:6" x14ac:dyDescent="0.2">
      <c r="B228" s="10" t="s">
        <v>694</v>
      </c>
      <c r="C228" s="10" t="str">
        <f t="shared" ca="1" si="8"/>
        <v>Cheia</v>
      </c>
      <c r="D228" s="32" t="s">
        <v>695</v>
      </c>
      <c r="E228" s="10" t="s">
        <v>696</v>
      </c>
      <c r="F228" s="10" t="s">
        <v>697</v>
      </c>
    </row>
    <row r="229" spans="1:6" x14ac:dyDescent="0.2">
      <c r="B229" s="10" t="s">
        <v>698</v>
      </c>
      <c r="C229" s="10" t="str">
        <f t="shared" ca="1" si="8"/>
        <v>Ming</v>
      </c>
      <c r="D229" s="32" t="s">
        <v>699</v>
      </c>
      <c r="E229" s="32" t="s">
        <v>700</v>
      </c>
      <c r="F229" s="10" t="s">
        <v>701</v>
      </c>
    </row>
    <row r="230" spans="1:6" ht="15" x14ac:dyDescent="0.25">
      <c r="A230" s="10">
        <v>1</v>
      </c>
      <c r="B230" s="59" t="str">
        <f ca="1">C226</f>
        <v>Nova</v>
      </c>
      <c r="C230" s="60" t="s">
        <v>702</v>
      </c>
    </row>
    <row r="231" spans="1:6" ht="15" x14ac:dyDescent="0.25">
      <c r="A231" s="10">
        <v>2</v>
      </c>
      <c r="B231" s="61" t="str">
        <f ca="1">C227</f>
        <v>Cresc</v>
      </c>
      <c r="C231" s="62" t="str">
        <f>IF(Parameters!$C$10&lt;0,"(",")")</f>
        <v>(</v>
      </c>
    </row>
    <row r="232" spans="1:6" ht="15" x14ac:dyDescent="0.25">
      <c r="A232" s="10">
        <v>3</v>
      </c>
      <c r="B232" s="61" t="str">
        <f ca="1">C228</f>
        <v>Cheia</v>
      </c>
      <c r="C232" s="62" t="s">
        <v>184</v>
      </c>
    </row>
    <row r="233" spans="1:6" ht="15" x14ac:dyDescent="0.25">
      <c r="A233" s="10">
        <v>4</v>
      </c>
      <c r="B233" s="63" t="str">
        <f ca="1">C229</f>
        <v>Ming</v>
      </c>
      <c r="C233" s="64" t="str">
        <f>IF(Parameters!$C$10&lt;0,")","(")</f>
        <v>)</v>
      </c>
      <c r="F233" s="32"/>
    </row>
    <row r="234" spans="1:6" x14ac:dyDescent="0.2">
      <c r="B234" s="184" t="s">
        <v>702</v>
      </c>
      <c r="C234" s="611" t="str">
        <f ca="1">OFFSET(C234,0,$B$1)</f>
        <v></v>
      </c>
      <c r="D234" s="611" t="s">
        <v>7634</v>
      </c>
      <c r="E234" s="611" t="s">
        <v>7634</v>
      </c>
      <c r="F234" s="611" t="s">
        <v>7634</v>
      </c>
    </row>
    <row r="235" spans="1:6" x14ac:dyDescent="0.2">
      <c r="B235" s="184" t="s">
        <v>7124</v>
      </c>
      <c r="C235" s="611" t="str">
        <f ca="1">OFFSET(C235,0,$B$1)</f>
        <v></v>
      </c>
      <c r="D235" s="611" t="s">
        <v>7632</v>
      </c>
      <c r="E235" s="611" t="s">
        <v>7632</v>
      </c>
      <c r="F235" s="611" t="s">
        <v>7632</v>
      </c>
    </row>
    <row r="236" spans="1:6" x14ac:dyDescent="0.2">
      <c r="B236" s="184" t="s">
        <v>184</v>
      </c>
      <c r="C236" s="611" t="str">
        <f ca="1">OFFSET(C236,0,$B$1)</f>
        <v></v>
      </c>
      <c r="D236" s="611" t="s">
        <v>7631</v>
      </c>
      <c r="E236" s="611" t="s">
        <v>7631</v>
      </c>
      <c r="F236" s="611" t="s">
        <v>7631</v>
      </c>
    </row>
    <row r="237" spans="1:6" x14ac:dyDescent="0.2">
      <c r="B237" s="184" t="s">
        <v>7125</v>
      </c>
      <c r="C237" s="611" t="str">
        <f ca="1">OFFSET(C237,0,$B$1)</f>
        <v></v>
      </c>
      <c r="D237" s="611" t="s">
        <v>7633</v>
      </c>
      <c r="E237" s="611" t="s">
        <v>7633</v>
      </c>
      <c r="F237" s="611" t="s">
        <v>7633</v>
      </c>
    </row>
    <row r="238" spans="1:6" x14ac:dyDescent="0.2">
      <c r="B238" s="10" t="s">
        <v>9537</v>
      </c>
      <c r="C238" s="10" t="str">
        <f t="shared" ref="C238:C250" ca="1" si="9">OFFSET(C238,0,$B$1)</f>
        <v>Viṣṇu (Chaitra)</v>
      </c>
      <c r="D238" s="10" t="s">
        <v>9687</v>
      </c>
      <c r="E238" s="10" t="s">
        <v>9687</v>
      </c>
      <c r="F238" s="10" t="s">
        <v>9687</v>
      </c>
    </row>
    <row r="239" spans="1:6" x14ac:dyDescent="0.2">
      <c r="B239" s="10" t="s">
        <v>9538</v>
      </c>
      <c r="C239" s="10" t="str">
        <f t="shared" ca="1" si="9"/>
        <v>Madhusudana (Vaiśākha)</v>
      </c>
      <c r="D239" s="10" t="s">
        <v>9688</v>
      </c>
      <c r="E239" s="10" t="s">
        <v>9688</v>
      </c>
      <c r="F239" s="10" t="s">
        <v>9688</v>
      </c>
    </row>
    <row r="240" spans="1:6" x14ac:dyDescent="0.2">
      <c r="B240" s="10" t="s">
        <v>9539</v>
      </c>
      <c r="C240" s="10" t="str">
        <f t="shared" ca="1" si="9"/>
        <v>Trivikrama (Jyeṣṭa)</v>
      </c>
      <c r="D240" s="10" t="s">
        <v>9689</v>
      </c>
      <c r="E240" s="10" t="s">
        <v>9689</v>
      </c>
      <c r="F240" s="10" t="s">
        <v>9689</v>
      </c>
    </row>
    <row r="241" spans="2:6" x14ac:dyDescent="0.2">
      <c r="B241" s="10" t="s">
        <v>9541</v>
      </c>
      <c r="C241" s="10" t="str">
        <f t="shared" ca="1" si="9"/>
        <v>Vāmana (Āṣāḍha)</v>
      </c>
      <c r="D241" s="10" t="s">
        <v>9690</v>
      </c>
      <c r="E241" s="10" t="s">
        <v>9690</v>
      </c>
      <c r="F241" s="10" t="s">
        <v>9690</v>
      </c>
    </row>
    <row r="242" spans="2:6" x14ac:dyDescent="0.2">
      <c r="B242" s="10" t="s">
        <v>9542</v>
      </c>
      <c r="C242" s="10" t="str">
        <f t="shared" ca="1" si="9"/>
        <v>Śrīdhara (Śrāvaṇa)</v>
      </c>
      <c r="D242" s="10" t="s">
        <v>9691</v>
      </c>
      <c r="E242" s="10" t="s">
        <v>9691</v>
      </c>
      <c r="F242" s="10" t="s">
        <v>9691</v>
      </c>
    </row>
    <row r="243" spans="2:6" x14ac:dyDescent="0.2">
      <c r="B243" s="10" t="s">
        <v>9543</v>
      </c>
      <c r="C243" s="10" t="str">
        <f t="shared" ca="1" si="9"/>
        <v>Hṛṣīkeśa (Bhādrapada)</v>
      </c>
      <c r="D243" s="10" t="s">
        <v>9692</v>
      </c>
      <c r="E243" s="10" t="s">
        <v>9692</v>
      </c>
      <c r="F243" s="10" t="s">
        <v>9692</v>
      </c>
    </row>
    <row r="244" spans="2:6" x14ac:dyDescent="0.2">
      <c r="B244" s="10" t="s">
        <v>9544</v>
      </c>
      <c r="C244" s="10" t="str">
        <f t="shared" ca="1" si="9"/>
        <v>Padmanābha (Āśvina)</v>
      </c>
      <c r="D244" s="10" t="s">
        <v>9693</v>
      </c>
      <c r="E244" s="10" t="s">
        <v>9693</v>
      </c>
      <c r="F244" s="10" t="s">
        <v>9693</v>
      </c>
    </row>
    <row r="245" spans="2:6" x14ac:dyDescent="0.2">
      <c r="B245" s="10" t="s">
        <v>9545</v>
      </c>
      <c r="C245" s="10" t="str">
        <f t="shared" ca="1" si="9"/>
        <v>Dāmodara (Kārtika)</v>
      </c>
      <c r="D245" s="10" t="s">
        <v>9694</v>
      </c>
      <c r="E245" s="10" t="s">
        <v>9694</v>
      </c>
      <c r="F245" s="10" t="s">
        <v>9694</v>
      </c>
    </row>
    <row r="246" spans="2:6" x14ac:dyDescent="0.2">
      <c r="B246" s="10" t="s">
        <v>9533</v>
      </c>
      <c r="C246" s="10" t="str">
        <f t="shared" ca="1" si="9"/>
        <v>Keśava (Mārgaśīrṣa)</v>
      </c>
      <c r="D246" s="10" t="s">
        <v>9695</v>
      </c>
      <c r="E246" s="10" t="s">
        <v>9695</v>
      </c>
      <c r="F246" s="10" t="s">
        <v>9695</v>
      </c>
    </row>
    <row r="247" spans="2:6" x14ac:dyDescent="0.2">
      <c r="B247" s="10" t="s">
        <v>9534</v>
      </c>
      <c r="C247" s="10" t="str">
        <f t="shared" ca="1" si="9"/>
        <v>Nārāyaṇa (Pauṣa)</v>
      </c>
      <c r="D247" s="10" t="s">
        <v>9696</v>
      </c>
      <c r="E247" s="10" t="s">
        <v>9696</v>
      </c>
      <c r="F247" s="10" t="s">
        <v>9696</v>
      </c>
    </row>
    <row r="248" spans="2:6" x14ac:dyDescent="0.2">
      <c r="B248" s="10" t="s">
        <v>9535</v>
      </c>
      <c r="C248" s="10" t="str">
        <f t="shared" ca="1" si="9"/>
        <v>Mādhāva (Māgha)</v>
      </c>
      <c r="D248" s="10" t="s">
        <v>9697</v>
      </c>
      <c r="E248" s="10" t="s">
        <v>9697</v>
      </c>
      <c r="F248" s="10" t="s">
        <v>9697</v>
      </c>
    </row>
    <row r="249" spans="2:6" x14ac:dyDescent="0.2">
      <c r="B249" s="10" t="s">
        <v>9536</v>
      </c>
      <c r="C249" s="10" t="str">
        <f t="shared" ca="1" si="9"/>
        <v>Govinda (Phālguna)</v>
      </c>
      <c r="D249" s="10" t="s">
        <v>9698</v>
      </c>
      <c r="E249" s="10" t="s">
        <v>9698</v>
      </c>
      <c r="F249" s="10" t="s">
        <v>9698</v>
      </c>
    </row>
    <row r="250" spans="2:6" x14ac:dyDescent="0.2">
      <c r="B250" s="10" t="s">
        <v>9540</v>
      </c>
      <c r="C250" s="10" t="str">
        <f t="shared" ca="1" si="9"/>
        <v>Puruṣottama-adhika (Dvitiya Jyestha)</v>
      </c>
      <c r="D250" s="10" t="s">
        <v>9699</v>
      </c>
      <c r="E250" s="10" t="s">
        <v>9699</v>
      </c>
      <c r="F250" s="10" t="s">
        <v>9699</v>
      </c>
    </row>
  </sheetData>
  <pageMargins left="1.5748031496062993" right="1.5748031496062993" top="1.1811023622047245" bottom="1.1811023622047245" header="0.31496062992125984" footer="0.31496062992125984"/>
  <pageSetup paperSize="9" scale="33" fitToHeight="2"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wksGPlanlTranslations"/>
  <dimension ref="A1:I372"/>
  <sheetViews>
    <sheetView workbookViewId="0">
      <pane xSplit="3" ySplit="2" topLeftCell="D42" activePane="bottomRight" state="frozen"/>
      <selection pane="topRight"/>
      <selection pane="bottomLeft"/>
      <selection pane="bottomRight"/>
    </sheetView>
  </sheetViews>
  <sheetFormatPr defaultRowHeight="12.75" x14ac:dyDescent="0.2"/>
  <cols>
    <col min="1" max="1" width="9.140625" style="10"/>
    <col min="2" max="2" width="14.85546875" style="10" customWidth="1"/>
    <col min="3" max="3" width="19.140625" style="10" customWidth="1"/>
    <col min="4" max="6" width="20" style="10" customWidth="1"/>
    <col min="7" max="16384" width="9.140625" style="10"/>
  </cols>
  <sheetData>
    <row r="1" spans="1:6" x14ac:dyDescent="0.2">
      <c r="B1" s="65" t="s">
        <v>201</v>
      </c>
      <c r="C1" s="66">
        <f ca="1">Parameters!C2</f>
        <v>3</v>
      </c>
      <c r="D1" s="66" t="str">
        <f ca="1">OFFSET(C2,0,$C$1)</f>
        <v>Português</v>
      </c>
      <c r="E1" s="65" t="s">
        <v>9678</v>
      </c>
      <c r="F1" s="10" t="str">
        <f ca="1">OFFSET('GPlan-Translations'!D2,0,0,1,COUNTA('GPlan-Translations'!2:2)-3)</f>
        <v>Português</v>
      </c>
    </row>
    <row r="2" spans="1:6" x14ac:dyDescent="0.2">
      <c r="A2" s="10" t="s">
        <v>721</v>
      </c>
      <c r="B2" s="10" t="s">
        <v>722</v>
      </c>
      <c r="C2" s="10" t="s">
        <v>723</v>
      </c>
      <c r="D2" s="67" t="s">
        <v>202</v>
      </c>
      <c r="E2" s="67" t="s">
        <v>203</v>
      </c>
      <c r="F2" s="67" t="s">
        <v>123</v>
      </c>
    </row>
    <row r="3" spans="1:6" x14ac:dyDescent="0.2">
      <c r="A3" s="40">
        <v>90</v>
      </c>
      <c r="D3" s="10">
        <v>1</v>
      </c>
      <c r="E3" s="10">
        <v>2</v>
      </c>
      <c r="F3" s="10">
        <v>3</v>
      </c>
    </row>
    <row r="4" spans="1:6" x14ac:dyDescent="0.2">
      <c r="A4" s="10">
        <f>IF(RIGHT(B4,8)="_section",(INT(A3/100)+1)*100,A3+1)</f>
        <v>100</v>
      </c>
      <c r="B4" s="10" t="s">
        <v>724</v>
      </c>
      <c r="C4" s="10" t="str">
        <f ca="1">OFFSET(C4,0,$C$1)</f>
        <v>Capa</v>
      </c>
      <c r="D4" s="10" t="s">
        <v>725</v>
      </c>
      <c r="E4" s="10" t="s">
        <v>726</v>
      </c>
      <c r="F4" s="10" t="s">
        <v>116</v>
      </c>
    </row>
    <row r="5" spans="1:6" x14ac:dyDescent="0.2">
      <c r="A5" s="10">
        <f>IF(RIGHT(B5,8)="_section",(INT(A4/100)+1)*100,A4+1)</f>
        <v>101</v>
      </c>
      <c r="B5" s="32" t="s">
        <v>727</v>
      </c>
      <c r="C5" s="10" t="str">
        <f t="shared" ref="C5:C93" ca="1" si="0">OFFSET(C5,0,$C$1)</f>
        <v>Capa</v>
      </c>
      <c r="D5" s="10" t="s">
        <v>725</v>
      </c>
      <c r="E5" s="32" t="s">
        <v>726</v>
      </c>
      <c r="F5" s="10" t="s">
        <v>116</v>
      </c>
    </row>
    <row r="6" spans="1:6" x14ac:dyDescent="0.2">
      <c r="A6" s="10">
        <f t="shared" ref="A6:A69" si="1">IF(RIGHT(B6,8)="_section",(INT(A5/100)+1)*100,A5+1)</f>
        <v>102</v>
      </c>
      <c r="B6" s="32" t="s">
        <v>728</v>
      </c>
      <c r="C6" s="10" t="str">
        <f t="shared" ca="1" si="0"/>
        <v>ISO-8859-1</v>
      </c>
      <c r="D6" s="10" t="s">
        <v>124</v>
      </c>
      <c r="E6" s="10" t="s">
        <v>124</v>
      </c>
      <c r="F6" s="10" t="s">
        <v>124</v>
      </c>
    </row>
    <row r="7" spans="1:6" x14ac:dyDescent="0.2">
      <c r="A7" s="10">
        <f t="shared" si="1"/>
        <v>103</v>
      </c>
      <c r="B7" s="10" t="s">
        <v>729</v>
      </c>
      <c r="C7" s="10" t="str">
        <f t="shared" ca="1" si="0"/>
        <v>AGENDA VAISHNAVA GPLAN</v>
      </c>
      <c r="D7" s="32" t="s">
        <v>730</v>
      </c>
      <c r="E7" s="10" t="s">
        <v>731</v>
      </c>
      <c r="F7" s="10" t="s">
        <v>731</v>
      </c>
    </row>
    <row r="8" spans="1:6" x14ac:dyDescent="0.2">
      <c r="A8" s="10">
        <f t="shared" si="1"/>
        <v>104</v>
      </c>
      <c r="B8" s="10" t="s">
        <v>732</v>
      </c>
      <c r="C8" s="10" t="str">
        <f t="shared" ca="1" si="0"/>
        <v>Uma agenda transcendental, para você não perder de vista o que realmente importa.</v>
      </c>
      <c r="D8" s="32" t="s">
        <v>733</v>
      </c>
      <c r="E8" s="32" t="s">
        <v>734</v>
      </c>
      <c r="F8" s="32" t="s">
        <v>735</v>
      </c>
    </row>
    <row r="9" spans="1:6" x14ac:dyDescent="0.2">
      <c r="A9" s="10">
        <f t="shared" si="1"/>
        <v>105</v>
      </c>
      <c r="B9" s="10" t="s">
        <v>736</v>
      </c>
      <c r="C9" s="10" t="str">
        <f t="shared" ca="1" si="0"/>
        <v>Versão</v>
      </c>
      <c r="D9" s="10" t="s">
        <v>96</v>
      </c>
      <c r="E9" s="32" t="s">
        <v>737</v>
      </c>
      <c r="F9" s="10" t="s">
        <v>738</v>
      </c>
    </row>
    <row r="10" spans="1:6" x14ac:dyDescent="0.2">
      <c r="A10" s="10">
        <f t="shared" si="1"/>
        <v>200</v>
      </c>
      <c r="B10" s="10" t="s">
        <v>739</v>
      </c>
      <c r="C10" s="10" t="str">
        <f t="shared" ca="1" si="0"/>
        <v>Título</v>
      </c>
      <c r="D10" s="10" t="s">
        <v>740</v>
      </c>
      <c r="E10" s="32" t="s">
        <v>741</v>
      </c>
      <c r="F10" s="32" t="s">
        <v>741</v>
      </c>
    </row>
    <row r="11" spans="1:6" x14ac:dyDescent="0.2">
      <c r="A11" s="10">
        <f t="shared" si="1"/>
        <v>201</v>
      </c>
      <c r="B11" s="32" t="s">
        <v>742</v>
      </c>
      <c r="C11" s="10" t="str">
        <f t="shared" ca="1" si="0"/>
        <v>Titulo</v>
      </c>
      <c r="D11" s="32" t="s">
        <v>740</v>
      </c>
      <c r="E11" s="32" t="s">
        <v>743</v>
      </c>
      <c r="F11" s="32" t="s">
        <v>743</v>
      </c>
    </row>
    <row r="12" spans="1:6" x14ac:dyDescent="0.2">
      <c r="A12" s="10">
        <f t="shared" si="1"/>
        <v>202</v>
      </c>
      <c r="B12" s="10" t="s">
        <v>744</v>
      </c>
      <c r="C12" s="10" t="str">
        <f t="shared" ca="1" si="0"/>
        <v>AGENDA VAISHNAVA GPLAN</v>
      </c>
      <c r="D12" s="10" t="s">
        <v>730</v>
      </c>
      <c r="E12" s="10" t="s">
        <v>731</v>
      </c>
      <c r="F12" s="10" t="s">
        <v>731</v>
      </c>
    </row>
    <row r="13" spans="1:6" x14ac:dyDescent="0.2">
      <c r="A13" s="10">
        <f t="shared" si="1"/>
        <v>203</v>
      </c>
      <c r="B13" s="10" t="s">
        <v>745</v>
      </c>
      <c r="C13" s="10" t="str">
        <f t="shared" ca="1" si="0"/>
        <v>Uma agenda transcendental, para você não perder de vista o que realmente importa.</v>
      </c>
      <c r="D13" s="10" t="s">
        <v>733</v>
      </c>
      <c r="E13" s="32" t="s">
        <v>734</v>
      </c>
      <c r="F13" s="10" t="s">
        <v>735</v>
      </c>
    </row>
    <row r="14" spans="1:6" x14ac:dyDescent="0.2">
      <c r="A14" s="10">
        <f t="shared" si="1"/>
        <v>204</v>
      </c>
      <c r="B14" s="10" t="s">
        <v>746</v>
      </c>
      <c r="C14" s="10" t="str">
        <f t="shared" ca="1" si="0"/>
        <v>Copyright (c) 2005-2019 PAULO SERGIO DE ARAUJO.</v>
      </c>
      <c r="D14" s="32" t="s">
        <v>9684</v>
      </c>
      <c r="E14" s="32" t="str">
        <f>D14</f>
        <v>Copyright (c) 2005-2019 PAULO SERGIO DE ARAUJO.</v>
      </c>
      <c r="F14" s="32" t="str">
        <f>D14</f>
        <v>Copyright (c) 2005-2019 PAULO SERGIO DE ARAUJO.</v>
      </c>
    </row>
    <row r="15" spans="1:6" x14ac:dyDescent="0.2">
      <c r="A15" s="10">
        <f t="shared" si="1"/>
        <v>205</v>
      </c>
      <c r="B15" s="10" t="s">
        <v>747</v>
      </c>
      <c r="C15" s="10" t="str">
        <f t="shared" ca="1" si="0"/>
        <v>Permission is granted to copy, distribute and/or modify this document under the terms of the GNU Free Documentation License, Version 1.3 or any later version published by the Free Software Foundation; with the Invariant Sections being "Dedicatória", "Agradecimentos", "Apresentação"  and "Apresentação - Notas e Links", with the Front-Cover Texts being "AGENDA VAISHNAVA", and with the Back-Cover Texts being "Uma agenda transcendental, para você não perder de vista o que realmente importa". A copy of the license is included in the section entitled "GNU Free Documentation License".</v>
      </c>
      <c r="D15" s="32" t="s">
        <v>748</v>
      </c>
      <c r="E15" s="32" t="s">
        <v>749</v>
      </c>
      <c r="F15" s="32" t="s">
        <v>750</v>
      </c>
    </row>
    <row r="16" spans="1:6" x14ac:dyDescent="0.2">
      <c r="A16" s="10">
        <f t="shared" si="1"/>
        <v>206</v>
      </c>
      <c r="B16" s="10" t="s">
        <v>751</v>
      </c>
      <c r="C16" s="10" t="str">
        <f t="shared" ca="1" si="0"/>
        <v>Copyright (c) 2005-2019 PAULO SERGIO DE ARAUJO.</v>
      </c>
      <c r="D16" s="10" t="s">
        <v>126</v>
      </c>
      <c r="E16" s="10" t="str">
        <f>E14</f>
        <v>Copyright (c) 2005-2019 PAULO SERGIO DE ARAUJO.</v>
      </c>
      <c r="F16" s="32" t="str">
        <f>F14</f>
        <v>Copyright (c) 2005-2019 PAULO SERGIO DE ARAUJO.</v>
      </c>
    </row>
    <row r="17" spans="1:6" x14ac:dyDescent="0.2">
      <c r="A17" s="10">
        <f t="shared" si="1"/>
        <v>207</v>
      </c>
      <c r="B17" s="10" t="s">
        <v>752</v>
      </c>
      <c r="C17" s="10" t="str">
        <f t="shared" ca="1" si="0"/>
        <v>É garantida a permissão para copiar, distribuir e/ou modificar este documento sob os termos da Licença de Documentação Livre GNU (GNU Free Documentation License), Versão 1.3 ou qualquer versão posterior publicada pela Free Software Foundation; com as Seções Invariantes sendo "Dedicatória", "Agradecimentos", "Apresentação"  e "Apresentação - Notas e Links", com os Textos de Capa Frontal sendo "AGENDA VAISHNAVA", e com os Textos de Quarta Capa sendo "Uma agenda semanal transcendental, para você não perder de vista o que realmente importa". Uma cópia da licença é incluída na seção intitulada "GNU Free Documentation License".</v>
      </c>
      <c r="D17" s="10" t="s">
        <v>126</v>
      </c>
      <c r="E17" s="32" t="s">
        <v>753</v>
      </c>
      <c r="F17" s="32" t="s">
        <v>754</v>
      </c>
    </row>
    <row r="18" spans="1:6" x14ac:dyDescent="0.2">
      <c r="A18" s="10">
        <f t="shared" si="1"/>
        <v>208</v>
      </c>
      <c r="B18" s="10" t="s">
        <v>755</v>
      </c>
      <c r="C18" s="10" t="str">
        <f t="shared" ca="1" si="0"/>
        <v>NO WARRANTY</v>
      </c>
      <c r="D18" s="10" t="s">
        <v>756</v>
      </c>
      <c r="E18" s="32" t="s">
        <v>756</v>
      </c>
      <c r="F18" s="10" t="s">
        <v>756</v>
      </c>
    </row>
    <row r="19" spans="1:6" x14ac:dyDescent="0.2">
      <c r="A19" s="10">
        <f t="shared" si="1"/>
        <v>209</v>
      </c>
      <c r="B19" s="10" t="s">
        <v>757</v>
      </c>
      <c r="C19" s="10" t="str">
        <f t="shared" ca="1" si="0"/>
        <v>This document could include technical or other mistakes, inaccuracies, or typographical errors. This document is distributed in the hope that it will be useful, but it is provided "as is" WITHOUT WARRANTY OF ANY KIND, either express or implied, including, but not limited to, the implied warranties of express or implied, including, but not limited to, the implied warranties of merchantability or fitness for a particular purpose, or the warranty of non-infringement. See the GNU General Public License for more details.</v>
      </c>
      <c r="D19" s="10" t="s">
        <v>758</v>
      </c>
      <c r="E19" s="10" t="s">
        <v>758</v>
      </c>
      <c r="F19" s="10" t="s">
        <v>758</v>
      </c>
    </row>
    <row r="20" spans="1:6" x14ac:dyDescent="0.2">
      <c r="A20" s="10">
        <f t="shared" si="1"/>
        <v>210</v>
      </c>
      <c r="B20" s="10" t="s">
        <v>759</v>
      </c>
      <c r="C20" s="10" t="str">
        <f t="shared" ca="1" si="0"/>
        <v>In case that you or any reader of this document sends a reply with information,  feedback, data, questions, commentaries, suggestions, etc. with relation to the content of this document, this reply the author will be considered NOT confidential and he reserves the right to reproduce, to use, to divulge and to distribute the reply for third, without restrictions. You agree to allowing that the author uses any idea, technique or concept contained in its reply with any end, including, but not limited to, the perfectioning of this document.</v>
      </c>
      <c r="D20" s="10" t="s">
        <v>760</v>
      </c>
      <c r="E20" s="10" t="s">
        <v>760</v>
      </c>
      <c r="F20" s="10" t="s">
        <v>760</v>
      </c>
    </row>
    <row r="21" spans="1:6" x14ac:dyDescent="0.2">
      <c r="A21" s="10">
        <f t="shared" si="1"/>
        <v>211</v>
      </c>
      <c r="B21" s="10" t="s">
        <v>761</v>
      </c>
      <c r="C21" s="10" t="str">
        <f t="shared" ca="1" si="0"/>
        <v>AUSÊNCIA DE GARANTIAS</v>
      </c>
      <c r="D21" s="10" t="s">
        <v>126</v>
      </c>
      <c r="E21" s="32" t="s">
        <v>762</v>
      </c>
      <c r="F21" s="10" t="s">
        <v>763</v>
      </c>
    </row>
    <row r="22" spans="1:6" x14ac:dyDescent="0.2">
      <c r="A22" s="10">
        <f t="shared" si="1"/>
        <v>212</v>
      </c>
      <c r="B22" s="10" t="s">
        <v>764</v>
      </c>
      <c r="C22" s="10" t="str">
        <f t="shared" ca="1" si="0"/>
        <v>Este documento poderá conter imprecisões técnicas, ou erros tipográficos ou de outros tipos. Este documento é fornecido na expectativa de que seja útil, mas "da maneira como se encontra", SEM GARANTIAS DE QUALQUER ESPÉCIE, expressas ou implícitas, incluindo, mas não limitadas, às garantias implícitas de comerciabilidade, adequação a um determinado propósito ou não-infração. Consulte a Licença Pública Geral GNU para obter mais detalhes.</v>
      </c>
      <c r="D22" s="10" t="s">
        <v>126</v>
      </c>
      <c r="E22" s="32" t="s">
        <v>765</v>
      </c>
      <c r="F22" s="32" t="s">
        <v>766</v>
      </c>
    </row>
    <row r="23" spans="1:6" x14ac:dyDescent="0.2">
      <c r="A23" s="10">
        <f t="shared" si="1"/>
        <v>213</v>
      </c>
      <c r="B23" s="10" t="s">
        <v>767</v>
      </c>
      <c r="C23" s="10" t="str">
        <f t="shared" ca="1" si="0"/>
        <v>Caso você ou qualquer leitor deste documento envie uma resposta com informações, feedback, dados, perguntas, comentários, sugestões etc. com relação ao conteúdo deste documento, essa resposta será considerada NÃO confidencial e o autor se reserva o direito de reproduzir, usar, divulgar e distribuir a resposta para terceiros, sem restrições. Você concorda em permitir que o autor utilize qualquer idéia, técnica ou conceito contido na sua resposta com qualquer fim, incluindo, mas não se limitando, ao aperfeiçoamento deste documento.</v>
      </c>
      <c r="D23" s="10" t="s">
        <v>126</v>
      </c>
      <c r="E23" s="32" t="s">
        <v>768</v>
      </c>
      <c r="F23" s="32" t="s">
        <v>769</v>
      </c>
    </row>
    <row r="24" spans="1:6" x14ac:dyDescent="0.2">
      <c r="A24" s="10">
        <f t="shared" si="1"/>
        <v>300</v>
      </c>
      <c r="B24" s="10" t="s">
        <v>770</v>
      </c>
      <c r="C24" s="10" t="str">
        <f t="shared" ca="1" si="0"/>
        <v>Índice</v>
      </c>
      <c r="D24" s="10" t="s">
        <v>771</v>
      </c>
      <c r="E24" s="10" t="s">
        <v>772</v>
      </c>
      <c r="F24" s="10" t="s">
        <v>772</v>
      </c>
    </row>
    <row r="25" spans="1:6" x14ac:dyDescent="0.2">
      <c r="A25" s="10">
        <f t="shared" si="1"/>
        <v>301</v>
      </c>
      <c r="B25" s="10" t="s">
        <v>773</v>
      </c>
      <c r="C25" s="10" t="str">
        <f t="shared" ca="1" si="0"/>
        <v>Indice</v>
      </c>
      <c r="D25" s="10" t="s">
        <v>771</v>
      </c>
      <c r="E25" s="32" t="s">
        <v>774</v>
      </c>
      <c r="F25" s="32" t="s">
        <v>774</v>
      </c>
    </row>
    <row r="26" spans="1:6" x14ac:dyDescent="0.2">
      <c r="A26" s="10">
        <f t="shared" si="1"/>
        <v>302</v>
      </c>
      <c r="B26" s="10" t="s">
        <v>775</v>
      </c>
      <c r="C26" s="10" t="str">
        <f t="shared" ca="1" si="0"/>
        <v>Agenda Vaishnava Gplan</v>
      </c>
      <c r="D26" s="10" t="s">
        <v>776</v>
      </c>
      <c r="E26" s="10" t="s">
        <v>777</v>
      </c>
      <c r="F26" s="10" t="s">
        <v>777</v>
      </c>
    </row>
    <row r="27" spans="1:6" x14ac:dyDescent="0.2">
      <c r="A27" s="10">
        <f t="shared" si="1"/>
        <v>303</v>
      </c>
      <c r="B27" s="10" t="s">
        <v>778</v>
      </c>
      <c r="C27" s="10" t="str">
        <f t="shared" ca="1" si="0"/>
        <v>Linguagem</v>
      </c>
      <c r="D27" s="32" t="s">
        <v>156</v>
      </c>
      <c r="E27" s="32" t="s">
        <v>779</v>
      </c>
      <c r="F27" s="32" t="s">
        <v>122</v>
      </c>
    </row>
    <row r="28" spans="1:6" x14ac:dyDescent="0.2">
      <c r="A28" s="10">
        <f t="shared" si="1"/>
        <v>304</v>
      </c>
      <c r="B28" s="32" t="s">
        <v>780</v>
      </c>
      <c r="C28" s="10" t="str">
        <f t="shared" ca="1" si="0"/>
        <v>Calendário base</v>
      </c>
      <c r="D28" s="32" t="s">
        <v>781</v>
      </c>
      <c r="E28" s="32" t="s">
        <v>782</v>
      </c>
      <c r="F28" s="10" t="s">
        <v>783</v>
      </c>
    </row>
    <row r="29" spans="1:6" x14ac:dyDescent="0.2">
      <c r="A29" s="10">
        <f t="shared" si="1"/>
        <v>305</v>
      </c>
      <c r="B29" s="32" t="s">
        <v>784</v>
      </c>
      <c r="C29" s="10" t="str">
        <f t="shared" ca="1" si="0"/>
        <v>País</v>
      </c>
      <c r="D29" s="32" t="s">
        <v>160</v>
      </c>
      <c r="E29" s="32" t="s">
        <v>106</v>
      </c>
      <c r="F29" s="32" t="s">
        <v>106</v>
      </c>
    </row>
    <row r="30" spans="1:6" x14ac:dyDescent="0.2">
      <c r="A30" s="10">
        <f t="shared" si="1"/>
        <v>306</v>
      </c>
      <c r="B30" s="32" t="s">
        <v>785</v>
      </c>
      <c r="C30" s="10" t="str">
        <f t="shared" ca="1" si="0"/>
        <v>Localidade</v>
      </c>
      <c r="D30" s="32" t="s">
        <v>162</v>
      </c>
      <c r="E30" s="32" t="s">
        <v>786</v>
      </c>
      <c r="F30" s="32" t="s">
        <v>787</v>
      </c>
    </row>
    <row r="31" spans="1:6" x14ac:dyDescent="0.2">
      <c r="A31" s="10">
        <f t="shared" si="1"/>
        <v>307</v>
      </c>
      <c r="B31" s="32" t="s">
        <v>788</v>
      </c>
      <c r="C31" s="10" t="str">
        <f t="shared" ca="1" si="0"/>
        <v>Ano</v>
      </c>
      <c r="D31" s="32" t="s">
        <v>172</v>
      </c>
      <c r="E31" s="32" t="s">
        <v>789</v>
      </c>
      <c r="F31" s="32" t="s">
        <v>790</v>
      </c>
    </row>
    <row r="32" spans="1:6" x14ac:dyDescent="0.2">
      <c r="A32" s="10">
        <f t="shared" si="1"/>
        <v>308</v>
      </c>
      <c r="B32" s="32" t="s">
        <v>791</v>
      </c>
      <c r="C32" s="10" t="str">
        <f t="shared" ca="1" si="0"/>
        <v>Opções da agenda</v>
      </c>
      <c r="D32" s="32" t="s">
        <v>792</v>
      </c>
      <c r="E32" s="32" t="s">
        <v>793</v>
      </c>
      <c r="F32" s="10" t="s">
        <v>794</v>
      </c>
    </row>
    <row r="33" spans="1:6" x14ac:dyDescent="0.2">
      <c r="A33" s="10">
        <f t="shared" si="1"/>
        <v>309</v>
      </c>
      <c r="B33" s="32" t="s">
        <v>795</v>
      </c>
      <c r="C33" s="10" t="str">
        <f t="shared" ca="1" si="0"/>
        <v>Nome da localidade na Capa</v>
      </c>
      <c r="D33" s="32" t="s">
        <v>796</v>
      </c>
      <c r="E33" s="32" t="s">
        <v>797</v>
      </c>
      <c r="F33" s="10" t="s">
        <v>798</v>
      </c>
    </row>
    <row r="34" spans="1:6" x14ac:dyDescent="0.2">
      <c r="A34" s="10">
        <f t="shared" si="1"/>
        <v>310</v>
      </c>
      <c r="B34" s="32" t="s">
        <v>799</v>
      </c>
      <c r="C34" s="10" t="str">
        <f t="shared" ca="1" si="0"/>
        <v>Editar</v>
      </c>
      <c r="D34" s="32" t="s">
        <v>800</v>
      </c>
      <c r="E34" s="32" t="s">
        <v>801</v>
      </c>
      <c r="F34" s="32" t="s">
        <v>801</v>
      </c>
    </row>
    <row r="35" spans="1:6" x14ac:dyDescent="0.2">
      <c r="A35" s="10">
        <f t="shared" si="1"/>
        <v>311</v>
      </c>
      <c r="B35" s="32" t="s">
        <v>802</v>
      </c>
      <c r="C35" s="10" t="str">
        <f t="shared" ca="1" si="0"/>
        <v>Pronto</v>
      </c>
      <c r="D35" s="32" t="s">
        <v>803</v>
      </c>
      <c r="E35" s="32" t="s">
        <v>804</v>
      </c>
      <c r="F35" s="10" t="s">
        <v>112</v>
      </c>
    </row>
    <row r="36" spans="1:6" x14ac:dyDescent="0.2">
      <c r="A36" s="10">
        <f t="shared" si="1"/>
        <v>312</v>
      </c>
      <c r="B36" s="10" t="s">
        <v>805</v>
      </c>
      <c r="C36" s="10" t="str">
        <f t="shared" ca="1" si="0"/>
        <v>Atualizar</v>
      </c>
      <c r="D36" s="32" t="s">
        <v>806</v>
      </c>
      <c r="E36" s="32" t="s">
        <v>807</v>
      </c>
      <c r="F36" s="32" t="s">
        <v>114</v>
      </c>
    </row>
    <row r="37" spans="1:6" x14ac:dyDescent="0.2">
      <c r="A37" s="10">
        <f t="shared" si="1"/>
        <v>313</v>
      </c>
      <c r="B37" s="10" t="s">
        <v>805</v>
      </c>
      <c r="C37" s="10" t="str">
        <f t="shared" ca="1" si="0"/>
        <v>Dados Pessoais</v>
      </c>
      <c r="D37" s="10" t="s">
        <v>153</v>
      </c>
      <c r="E37" s="32" t="s">
        <v>808</v>
      </c>
      <c r="F37" s="10" t="s">
        <v>809</v>
      </c>
    </row>
    <row r="38" spans="1:6" x14ac:dyDescent="0.2">
      <c r="A38" s="10">
        <f t="shared" si="1"/>
        <v>314</v>
      </c>
      <c r="B38" s="10" t="s">
        <v>810</v>
      </c>
      <c r="C38" s="10" t="str">
        <f t="shared" ca="1" si="0"/>
        <v>Feriados</v>
      </c>
      <c r="D38" s="10" t="s">
        <v>152</v>
      </c>
      <c r="E38" s="32" t="s">
        <v>811</v>
      </c>
      <c r="F38" s="10" t="s">
        <v>812</v>
      </c>
    </row>
    <row r="39" spans="1:6" x14ac:dyDescent="0.2">
      <c r="A39" s="10">
        <f t="shared" si="1"/>
        <v>315</v>
      </c>
      <c r="B39" s="32" t="s">
        <v>8186</v>
      </c>
      <c r="C39" s="10" t="str">
        <f t="shared" ca="1" si="0"/>
        <v>Acrescentar:</v>
      </c>
      <c r="D39" s="32" t="s">
        <v>8180</v>
      </c>
      <c r="E39" s="32" t="s">
        <v>8183</v>
      </c>
      <c r="F39" s="32" t="s">
        <v>8177</v>
      </c>
    </row>
    <row r="40" spans="1:6" x14ac:dyDescent="0.2">
      <c r="A40" s="10">
        <f t="shared" si="1"/>
        <v>316</v>
      </c>
      <c r="B40" s="32" t="s">
        <v>8187</v>
      </c>
      <c r="C40" s="10" t="str">
        <f t="shared" ca="1" si="0"/>
        <v>Personalidades e Eventos</v>
      </c>
      <c r="D40" s="32" t="s">
        <v>8181</v>
      </c>
      <c r="E40" s="32" t="s">
        <v>8184</v>
      </c>
      <c r="F40" s="32" t="s">
        <v>8178</v>
      </c>
    </row>
    <row r="41" spans="1:6" x14ac:dyDescent="0.2">
      <c r="A41" s="10">
        <f t="shared" si="1"/>
        <v>317</v>
      </c>
      <c r="B41" s="32" t="s">
        <v>8188</v>
      </c>
      <c r="C41" s="10" t="str">
        <f t="shared" ca="1" si="0"/>
        <v>Reuniões</v>
      </c>
      <c r="D41" s="32" t="s">
        <v>8182</v>
      </c>
      <c r="E41" s="32" t="s">
        <v>8185</v>
      </c>
      <c r="F41" s="32" t="s">
        <v>8179</v>
      </c>
    </row>
    <row r="42" spans="1:6" x14ac:dyDescent="0.2">
      <c r="A42" s="10">
        <f t="shared" si="1"/>
        <v>318</v>
      </c>
      <c r="B42" s="32" t="s">
        <v>9491</v>
      </c>
      <c r="C42" s="10" t="str">
        <f t="shared" ca="1" si="0"/>
        <v>Conversão de Unidades</v>
      </c>
      <c r="D42" s="32" t="s">
        <v>9490</v>
      </c>
      <c r="E42" s="32" t="s">
        <v>9489</v>
      </c>
      <c r="F42" s="32" t="s">
        <v>8704</v>
      </c>
    </row>
    <row r="43" spans="1:6" x14ac:dyDescent="0.2">
      <c r="A43" s="10">
        <f t="shared" si="1"/>
        <v>319</v>
      </c>
      <c r="B43" s="10" t="s">
        <v>813</v>
      </c>
      <c r="C43" s="10" t="str">
        <f t="shared" ca="1" si="0"/>
        <v>Semana-Frente</v>
      </c>
      <c r="D43" s="32" t="s">
        <v>814</v>
      </c>
      <c r="E43" s="10" t="s">
        <v>815</v>
      </c>
      <c r="F43" s="10" t="s">
        <v>815</v>
      </c>
    </row>
    <row r="44" spans="1:6" x14ac:dyDescent="0.2">
      <c r="A44" s="10">
        <f t="shared" si="1"/>
        <v>320</v>
      </c>
      <c r="B44" s="32" t="s">
        <v>816</v>
      </c>
      <c r="C44" s="10" t="str">
        <f t="shared" ca="1" si="0"/>
        <v>Calendário atual calculado para</v>
      </c>
      <c r="D44" s="32" t="s">
        <v>817</v>
      </c>
      <c r="E44" s="32" t="s">
        <v>818</v>
      </c>
      <c r="F44" s="32" t="s">
        <v>819</v>
      </c>
    </row>
    <row r="45" spans="1:6" x14ac:dyDescent="0.2">
      <c r="A45" s="10">
        <f t="shared" si="1"/>
        <v>321</v>
      </c>
      <c r="B45" s="10" t="s">
        <v>820</v>
      </c>
      <c r="C45" s="10" t="str">
        <f t="shared" ca="1" si="0"/>
        <v>Ver</v>
      </c>
      <c r="D45" s="32" t="s">
        <v>821</v>
      </c>
      <c r="E45" s="32" t="s">
        <v>822</v>
      </c>
      <c r="F45" s="32" t="s">
        <v>822</v>
      </c>
    </row>
    <row r="46" spans="1:6" x14ac:dyDescent="0.2">
      <c r="A46" s="10">
        <f t="shared" si="1"/>
        <v>322</v>
      </c>
      <c r="B46" s="10" t="s">
        <v>823</v>
      </c>
      <c r="C46" s="10" t="str">
        <f t="shared" ca="1" si="0"/>
        <v>Fin. Semana-Frente</v>
      </c>
      <c r="D46" s="32" t="s">
        <v>824</v>
      </c>
      <c r="E46" s="10" t="s">
        <v>825</v>
      </c>
      <c r="F46" s="10" t="s">
        <v>825</v>
      </c>
    </row>
    <row r="47" spans="1:6" x14ac:dyDescent="0.2">
      <c r="A47" s="10">
        <f t="shared" si="1"/>
        <v>323</v>
      </c>
      <c r="B47" s="10" t="s">
        <v>826</v>
      </c>
      <c r="C47" s="10" t="str">
        <f t="shared" ca="1" si="0"/>
        <v>Fin. Person.</v>
      </c>
      <c r="D47" s="32" t="s">
        <v>827</v>
      </c>
      <c r="E47" s="32" t="s">
        <v>827</v>
      </c>
      <c r="F47" s="32" t="s">
        <v>827</v>
      </c>
    </row>
    <row r="48" spans="1:6" x14ac:dyDescent="0.2">
      <c r="A48" s="10">
        <f t="shared" si="1"/>
        <v>324</v>
      </c>
      <c r="B48" s="10" t="s">
        <v>828</v>
      </c>
      <c r="C48" s="10" t="str">
        <f t="shared" ca="1" si="0"/>
        <v>Anotações-Esquerda</v>
      </c>
      <c r="D48" s="10" t="s">
        <v>829</v>
      </c>
      <c r="E48" s="32" t="s">
        <v>830</v>
      </c>
      <c r="F48" s="10" t="s">
        <v>831</v>
      </c>
    </row>
    <row r="49" spans="1:9" x14ac:dyDescent="0.2">
      <c r="A49" s="10">
        <f t="shared" si="1"/>
        <v>325</v>
      </c>
      <c r="B49" s="10" t="s">
        <v>832</v>
      </c>
      <c r="C49" s="10" t="str">
        <f t="shared" ca="1" si="0"/>
        <v>Anotações-Direita</v>
      </c>
      <c r="D49" s="10" t="s">
        <v>833</v>
      </c>
      <c r="E49" s="32" t="s">
        <v>834</v>
      </c>
      <c r="F49" s="10" t="s">
        <v>835</v>
      </c>
    </row>
    <row r="50" spans="1:9" x14ac:dyDescent="0.2">
      <c r="A50" s="10">
        <f t="shared" si="1"/>
        <v>326</v>
      </c>
      <c r="B50" s="32" t="s">
        <v>836</v>
      </c>
      <c r="C50" s="10" t="str">
        <f t="shared" ca="1" si="0"/>
        <v>Contatos</v>
      </c>
      <c r="D50" s="32" t="s">
        <v>837</v>
      </c>
      <c r="E50" s="32" t="s">
        <v>838</v>
      </c>
      <c r="F50" s="32" t="s">
        <v>839</v>
      </c>
    </row>
    <row r="51" spans="1:9" x14ac:dyDescent="0.2">
      <c r="A51" s="10">
        <f t="shared" si="1"/>
        <v>327</v>
      </c>
      <c r="B51" s="10" t="s">
        <v>840</v>
      </c>
      <c r="C51" s="10" t="str">
        <f t="shared" ca="1" si="0"/>
        <v>Contato-Esquerda</v>
      </c>
      <c r="D51" s="32" t="s">
        <v>841</v>
      </c>
      <c r="E51" s="32" t="s">
        <v>842</v>
      </c>
      <c r="F51" s="10" t="s">
        <v>843</v>
      </c>
    </row>
    <row r="52" spans="1:9" x14ac:dyDescent="0.2">
      <c r="A52" s="10">
        <f t="shared" si="1"/>
        <v>328</v>
      </c>
      <c r="B52" s="10" t="s">
        <v>844</v>
      </c>
      <c r="C52" s="10" t="str">
        <f t="shared" ca="1" si="0"/>
        <v>Contato-Direita</v>
      </c>
      <c r="D52" s="32" t="s">
        <v>845</v>
      </c>
      <c r="E52" s="32" t="s">
        <v>846</v>
      </c>
      <c r="F52" s="10" t="s">
        <v>847</v>
      </c>
    </row>
    <row r="53" spans="1:9" x14ac:dyDescent="0.2">
      <c r="A53" s="10">
        <f t="shared" si="1"/>
        <v>329</v>
      </c>
      <c r="B53" s="10" t="s">
        <v>848</v>
      </c>
      <c r="C53" s="10" t="str">
        <f t="shared" ca="1" si="0"/>
        <v>Citações</v>
      </c>
      <c r="D53" s="10" t="s">
        <v>849</v>
      </c>
      <c r="E53" s="32" t="s">
        <v>850</v>
      </c>
      <c r="F53" s="10" t="s">
        <v>851</v>
      </c>
    </row>
    <row r="54" spans="1:9" x14ac:dyDescent="0.2">
      <c r="A54" s="10">
        <f t="shared" si="1"/>
        <v>330</v>
      </c>
      <c r="B54" s="10" t="s">
        <v>852</v>
      </c>
      <c r="C54" s="10" t="str">
        <f t="shared" ca="1" si="0"/>
        <v>Vaishnava</v>
      </c>
      <c r="D54" s="10" t="s">
        <v>853</v>
      </c>
      <c r="E54" s="10" t="s">
        <v>853</v>
      </c>
      <c r="F54" s="10" t="s">
        <v>853</v>
      </c>
    </row>
    <row r="55" spans="1:9" x14ac:dyDescent="0.2">
      <c r="A55" s="10">
        <f t="shared" si="1"/>
        <v>331</v>
      </c>
      <c r="B55" s="32" t="s">
        <v>854</v>
      </c>
      <c r="C55" s="10" t="str">
        <f t="shared" ca="1" si="0"/>
        <v>Calcular</v>
      </c>
      <c r="D55" s="32" t="s">
        <v>806</v>
      </c>
      <c r="E55" s="32" t="s">
        <v>855</v>
      </c>
      <c r="F55" s="32" t="s">
        <v>855</v>
      </c>
      <c r="I55" s="32"/>
    </row>
    <row r="56" spans="1:9" x14ac:dyDescent="0.2">
      <c r="A56" s="10">
        <f t="shared" si="1"/>
        <v>332</v>
      </c>
      <c r="B56" s="32" t="s">
        <v>856</v>
      </c>
      <c r="C56" s="10" t="str">
        <f t="shared" ca="1" si="0"/>
        <v>Instalar Fontes</v>
      </c>
      <c r="D56" s="10" t="s">
        <v>857</v>
      </c>
      <c r="E56" s="10" t="s">
        <v>858</v>
      </c>
      <c r="F56" s="10" t="s">
        <v>859</v>
      </c>
      <c r="I56" s="32"/>
    </row>
    <row r="57" spans="1:9" x14ac:dyDescent="0.2">
      <c r="A57" s="10">
        <f t="shared" si="1"/>
        <v>333</v>
      </c>
      <c r="B57" s="32" t="s">
        <v>860</v>
      </c>
      <c r="C57" s="10" t="str">
        <f t="shared" ca="1" si="0"/>
        <v>Gerar</v>
      </c>
      <c r="D57" s="10" t="s">
        <v>861</v>
      </c>
      <c r="E57" s="10" t="s">
        <v>862</v>
      </c>
      <c r="F57" s="10" t="s">
        <v>863</v>
      </c>
      <c r="I57" s="32"/>
    </row>
    <row r="58" spans="1:9" x14ac:dyDescent="0.2">
      <c r="A58" s="10">
        <f t="shared" si="1"/>
        <v>334</v>
      </c>
      <c r="B58" s="32" t="s">
        <v>864</v>
      </c>
      <c r="C58" s="10" t="str">
        <f t="shared" ca="1" si="0"/>
        <v>Gerar a agenda GPlan em formato pdf?</v>
      </c>
      <c r="D58" s="32" t="s">
        <v>865</v>
      </c>
      <c r="E58" s="32" t="s">
        <v>866</v>
      </c>
      <c r="F58" s="32" t="s">
        <v>141</v>
      </c>
      <c r="I58" s="32"/>
    </row>
    <row r="59" spans="1:9" x14ac:dyDescent="0.2">
      <c r="A59" s="10">
        <f t="shared" si="1"/>
        <v>335</v>
      </c>
      <c r="B59" s="32" t="s">
        <v>867</v>
      </c>
      <c r="C59" s="10" t="str">
        <f t="shared" ca="1" si="0"/>
        <v>Em caso afirmativo, não mexa no mouse ou no teclado até o Gcal concluir o cálculo e fechar.</v>
      </c>
      <c r="D59" s="32" t="s">
        <v>868</v>
      </c>
      <c r="E59" s="32" t="s">
        <v>869</v>
      </c>
      <c r="F59" s="32" t="s">
        <v>142</v>
      </c>
      <c r="I59" s="32"/>
    </row>
    <row r="60" spans="1:9" x14ac:dyDescent="0.2">
      <c r="A60" s="10">
        <f t="shared" si="1"/>
        <v>336</v>
      </c>
      <c r="B60" s="32" t="s">
        <v>870</v>
      </c>
      <c r="C60" s="10" t="str">
        <f t="shared" ca="1" si="0"/>
        <v>A geração da agenda GPlan em formato pdf foi cancelada!</v>
      </c>
      <c r="D60" s="32" t="s">
        <v>871</v>
      </c>
      <c r="E60" s="32" t="s">
        <v>872</v>
      </c>
      <c r="F60" s="32" t="s">
        <v>873</v>
      </c>
      <c r="I60" s="32"/>
    </row>
    <row r="61" spans="1:9" x14ac:dyDescent="0.2">
      <c r="A61" s="10">
        <f t="shared" si="1"/>
        <v>337</v>
      </c>
      <c r="B61" s="32" t="s">
        <v>874</v>
      </c>
      <c r="C61" s="10" t="str">
        <f t="shared" ca="1" si="0"/>
        <v xml:space="preserve"> Validação</v>
      </c>
      <c r="D61" s="32" t="s">
        <v>875</v>
      </c>
      <c r="E61" s="32" t="s">
        <v>876</v>
      </c>
      <c r="F61" s="32" t="s">
        <v>876</v>
      </c>
      <c r="I61" s="32"/>
    </row>
    <row r="62" spans="1:9" x14ac:dyDescent="0.2">
      <c r="A62" s="10">
        <f t="shared" si="1"/>
        <v>338</v>
      </c>
      <c r="B62" s="32" t="s">
        <v>877</v>
      </c>
      <c r="C62" s="10" t="str">
        <f t="shared" ca="1" si="0"/>
        <v>Sistema Caturmasya</v>
      </c>
      <c r="D62" s="32" t="s">
        <v>119</v>
      </c>
      <c r="E62" s="32" t="s">
        <v>878</v>
      </c>
      <c r="F62" s="32" t="s">
        <v>878</v>
      </c>
      <c r="I62" s="32"/>
    </row>
    <row r="63" spans="1:9" x14ac:dyDescent="0.2">
      <c r="A63" s="10">
        <f t="shared" si="1"/>
        <v>339</v>
      </c>
      <c r="B63" s="32" t="s">
        <v>879</v>
      </c>
      <c r="C63" s="10" t="str">
        <f t="shared" ca="1" si="0"/>
        <v>A geração automática da Agenda pode levar alguns minutos. O processo pode ser interrompido a qualquer momento, ao manter pressionada a tecla 'Esc'.</v>
      </c>
      <c r="D63" s="32" t="s">
        <v>880</v>
      </c>
      <c r="E63" s="32" t="s">
        <v>881</v>
      </c>
      <c r="F63" s="32" t="s">
        <v>140</v>
      </c>
    </row>
    <row r="64" spans="1:9" x14ac:dyDescent="0.2">
      <c r="A64" s="10">
        <f t="shared" si="1"/>
        <v>340</v>
      </c>
      <c r="B64" s="32" t="s">
        <v>882</v>
      </c>
      <c r="C64" s="10" t="str">
        <f t="shared" ca="1" si="0"/>
        <v>Geração Automática da Agenda</v>
      </c>
      <c r="D64" s="10" t="s">
        <v>883</v>
      </c>
      <c r="E64" s="32" t="s">
        <v>884</v>
      </c>
      <c r="F64" s="10" t="s">
        <v>139</v>
      </c>
    </row>
    <row r="65" spans="1:6" x14ac:dyDescent="0.2">
      <c r="A65" s="10">
        <f t="shared" si="1"/>
        <v>341</v>
      </c>
      <c r="B65" s="32" t="s">
        <v>885</v>
      </c>
      <c r="C65" s="10" t="str">
        <f t="shared" ca="1" si="0"/>
        <v>Calcular os dados do calendário para a seguinte localidade e ano?</v>
      </c>
      <c r="D65" s="32" t="s">
        <v>886</v>
      </c>
      <c r="E65" s="32" t="s">
        <v>887</v>
      </c>
      <c r="F65" s="32" t="s">
        <v>135</v>
      </c>
    </row>
    <row r="66" spans="1:6" x14ac:dyDescent="0.2">
      <c r="A66" s="10">
        <f t="shared" si="1"/>
        <v>342</v>
      </c>
      <c r="B66" s="32" t="s">
        <v>888</v>
      </c>
      <c r="C66" s="10" t="str">
        <f t="shared" ca="1" si="0"/>
        <v>Atualização Automática dos Dados do Calendário</v>
      </c>
      <c r="D66" s="32" t="s">
        <v>134</v>
      </c>
      <c r="E66" s="32" t="s">
        <v>134</v>
      </c>
      <c r="F66" s="32" t="s">
        <v>134</v>
      </c>
    </row>
    <row r="67" spans="1:6" x14ac:dyDescent="0.2">
      <c r="A67" s="10">
        <f t="shared" si="1"/>
        <v>343</v>
      </c>
      <c r="B67" s="32" t="s">
        <v>889</v>
      </c>
      <c r="C67" s="10" t="str">
        <f t="shared" ca="1" si="0"/>
        <v>Preparando DB...</v>
      </c>
      <c r="D67" s="32" t="s">
        <v>890</v>
      </c>
      <c r="E67" s="32" t="s">
        <v>891</v>
      </c>
      <c r="F67" s="10" t="s">
        <v>892</v>
      </c>
    </row>
    <row r="68" spans="1:6" x14ac:dyDescent="0.2">
      <c r="A68" s="10">
        <f t="shared" si="1"/>
        <v>344</v>
      </c>
      <c r="B68" s="32" t="s">
        <v>893</v>
      </c>
      <c r="C68" s="10" t="str">
        <f ca="1">OFFSET(C68,0,$C$1)</f>
        <v>Carregando dados do GCal...</v>
      </c>
      <c r="D68" s="10" t="s">
        <v>894</v>
      </c>
      <c r="E68" s="10" t="s">
        <v>895</v>
      </c>
      <c r="F68" s="10" t="s">
        <v>896</v>
      </c>
    </row>
    <row r="69" spans="1:6" x14ac:dyDescent="0.2">
      <c r="A69" s="10">
        <f t="shared" si="1"/>
        <v>345</v>
      </c>
      <c r="B69" s="32" t="s">
        <v>897</v>
      </c>
      <c r="C69" s="10" t="str">
        <f t="shared" ca="1" si="0"/>
        <v>Carregando dados dos Feriados...</v>
      </c>
      <c r="D69" s="10" t="s">
        <v>898</v>
      </c>
      <c r="E69" s="10" t="s">
        <v>899</v>
      </c>
      <c r="F69" s="10" t="s">
        <v>900</v>
      </c>
    </row>
    <row r="70" spans="1:6" x14ac:dyDescent="0.2">
      <c r="A70" s="10">
        <f t="shared" ref="A70:A133" si="2">IF(RIGHT(B70,8)="_section",(INT(A69/100)+1)*100,A69+1)</f>
        <v>346</v>
      </c>
      <c r="B70" s="10" t="s">
        <v>901</v>
      </c>
      <c r="C70" s="10" t="str">
        <f ca="1">OFFSET(C70,0,$C$1)</f>
        <v>GNU Free Documentation License</v>
      </c>
      <c r="D70" s="10" t="s">
        <v>902</v>
      </c>
      <c r="E70" s="10" t="s">
        <v>902</v>
      </c>
      <c r="F70" s="10" t="s">
        <v>902</v>
      </c>
    </row>
    <row r="71" spans="1:6" x14ac:dyDescent="0.2">
      <c r="A71" s="10">
        <f t="shared" si="2"/>
        <v>347</v>
      </c>
      <c r="B71" s="32" t="s">
        <v>903</v>
      </c>
      <c r="C71" s="10" t="str">
        <f ca="1">OFFSET(C71,0,$C$1)</f>
        <v>Hora Inicial (na agenda semanal)</v>
      </c>
      <c r="D71" s="32" t="s">
        <v>904</v>
      </c>
      <c r="E71" s="32" t="s">
        <v>905</v>
      </c>
      <c r="F71" s="32" t="s">
        <v>906</v>
      </c>
    </row>
    <row r="72" spans="1:6" x14ac:dyDescent="0.2">
      <c r="A72" s="10">
        <f t="shared" si="2"/>
        <v>348</v>
      </c>
      <c r="B72" s="32" t="s">
        <v>907</v>
      </c>
      <c r="C72" s="10" t="str">
        <f ca="1">OFFSET(C72,0,$C$1)</f>
        <v>Geração Automática</v>
      </c>
      <c r="D72" s="10" t="s">
        <v>908</v>
      </c>
      <c r="E72" s="32" t="s">
        <v>909</v>
      </c>
      <c r="F72" s="32" t="s">
        <v>910</v>
      </c>
    </row>
    <row r="73" spans="1:6" x14ac:dyDescent="0.2">
      <c r="A73" s="10">
        <f t="shared" si="2"/>
        <v>349</v>
      </c>
      <c r="B73" s="32" t="s">
        <v>911</v>
      </c>
      <c r="C73" s="10" t="str">
        <f ca="1">OFFSET(C73,0,$C$1)</f>
        <v>Agenda:</v>
      </c>
      <c r="D73" s="10" t="s">
        <v>912</v>
      </c>
      <c r="E73" s="32" t="s">
        <v>913</v>
      </c>
      <c r="F73" s="10" t="s">
        <v>913</v>
      </c>
    </row>
    <row r="74" spans="1:6" x14ac:dyDescent="0.2">
      <c r="A74" s="10">
        <f t="shared" si="2"/>
        <v>350</v>
      </c>
      <c r="B74" s="32" t="s">
        <v>914</v>
      </c>
      <c r="C74" s="10" t="str">
        <f t="shared" ref="C74:C85" ca="1" si="3">OFFSET(C74,0,$C$1)</f>
        <v>(selecione)</v>
      </c>
      <c r="D74" s="10" t="s">
        <v>915</v>
      </c>
      <c r="E74" s="32" t="s">
        <v>916</v>
      </c>
      <c r="F74" s="32" t="s">
        <v>917</v>
      </c>
    </row>
    <row r="75" spans="1:6" x14ac:dyDescent="0.2">
      <c r="A75" s="10">
        <f t="shared" si="2"/>
        <v>351</v>
      </c>
      <c r="B75" s="32" t="s">
        <v>918</v>
      </c>
      <c r="C75" s="10" t="str">
        <f t="shared" ca="1" si="3"/>
        <v>Mensal</v>
      </c>
      <c r="D75" s="10" t="s">
        <v>919</v>
      </c>
      <c r="E75" s="32" t="s">
        <v>920</v>
      </c>
      <c r="F75" s="32" t="s">
        <v>921</v>
      </c>
    </row>
    <row r="76" spans="1:6" x14ac:dyDescent="0.2">
      <c r="A76" s="10">
        <f t="shared" si="2"/>
        <v>352</v>
      </c>
      <c r="B76" s="32" t="s">
        <v>922</v>
      </c>
      <c r="C76" s="10" t="str">
        <f t="shared" ca="1" si="3"/>
        <v>Fin. Mensal</v>
      </c>
      <c r="D76" s="10" t="s">
        <v>923</v>
      </c>
      <c r="E76" s="32" t="s">
        <v>924</v>
      </c>
      <c r="F76" s="32" t="s">
        <v>925</v>
      </c>
    </row>
    <row r="77" spans="1:6" x14ac:dyDescent="0.2">
      <c r="A77" s="10">
        <f t="shared" si="2"/>
        <v>353</v>
      </c>
      <c r="B77" s="32" t="s">
        <v>926</v>
      </c>
      <c r="C77" s="10" t="str">
        <f t="shared" ca="1" si="3"/>
        <v>Semanal</v>
      </c>
      <c r="D77" s="32" t="s">
        <v>927</v>
      </c>
      <c r="E77" s="32" t="s">
        <v>928</v>
      </c>
      <c r="F77" s="32" t="s">
        <v>928</v>
      </c>
    </row>
    <row r="78" spans="1:6" x14ac:dyDescent="0.2">
      <c r="A78" s="10">
        <f t="shared" si="2"/>
        <v>354</v>
      </c>
      <c r="B78" s="32" t="s">
        <v>929</v>
      </c>
      <c r="C78" s="10" t="str">
        <f t="shared" ca="1" si="3"/>
        <v>Fin. Semanal</v>
      </c>
      <c r="D78" s="32" t="s">
        <v>930</v>
      </c>
      <c r="E78" s="32" t="s">
        <v>931</v>
      </c>
      <c r="F78" s="32" t="s">
        <v>931</v>
      </c>
    </row>
    <row r="79" spans="1:6" x14ac:dyDescent="0.2">
      <c r="A79" s="10">
        <f t="shared" si="2"/>
        <v>355</v>
      </c>
      <c r="B79" s="32" t="s">
        <v>932</v>
      </c>
      <c r="C79" s="10" t="str">
        <f t="shared" ca="1" si="3"/>
        <v>Completa</v>
      </c>
      <c r="D79" s="32" t="s">
        <v>933</v>
      </c>
      <c r="E79" s="32" t="s">
        <v>934</v>
      </c>
      <c r="F79" s="32" t="s">
        <v>934</v>
      </c>
    </row>
    <row r="80" spans="1:6" x14ac:dyDescent="0.2">
      <c r="A80" s="10">
        <f t="shared" si="2"/>
        <v>356</v>
      </c>
      <c r="B80" s="32" t="s">
        <v>935</v>
      </c>
      <c r="C80" s="10" t="str">
        <f t="shared" ca="1" si="3"/>
        <v>Fin. Completa</v>
      </c>
      <c r="D80" s="32" t="s">
        <v>936</v>
      </c>
      <c r="E80" s="32" t="s">
        <v>937</v>
      </c>
      <c r="F80" s="32" t="s">
        <v>937</v>
      </c>
    </row>
    <row r="81" spans="1:6" x14ac:dyDescent="0.2">
      <c r="A81" s="10">
        <f t="shared" si="2"/>
        <v>357</v>
      </c>
      <c r="B81" s="32" t="s">
        <v>938</v>
      </c>
      <c r="C81" s="10" t="str">
        <f t="shared" ca="1" si="3"/>
        <v>Latitude</v>
      </c>
      <c r="D81" s="32" t="s">
        <v>108</v>
      </c>
      <c r="E81" s="32" t="s">
        <v>108</v>
      </c>
      <c r="F81" s="32" t="s">
        <v>108</v>
      </c>
    </row>
    <row r="82" spans="1:6" x14ac:dyDescent="0.2">
      <c r="A82" s="10">
        <f t="shared" si="2"/>
        <v>358</v>
      </c>
      <c r="B82" s="32" t="s">
        <v>939</v>
      </c>
      <c r="C82" s="10" t="str">
        <f t="shared" ca="1" si="3"/>
        <v>Longitude</v>
      </c>
      <c r="D82" s="32" t="s">
        <v>107</v>
      </c>
      <c r="E82" s="32" t="s">
        <v>107</v>
      </c>
      <c r="F82" s="32" t="s">
        <v>107</v>
      </c>
    </row>
    <row r="83" spans="1:6" x14ac:dyDescent="0.2">
      <c r="A83" s="10">
        <f t="shared" si="2"/>
        <v>359</v>
      </c>
      <c r="B83" s="32" t="s">
        <v>940</v>
      </c>
      <c r="C83" s="10" t="str">
        <f t="shared" ca="1" si="3"/>
        <v>Fuso Horário</v>
      </c>
      <c r="D83" s="32" t="s">
        <v>941</v>
      </c>
      <c r="E83" s="32" t="s">
        <v>109</v>
      </c>
      <c r="F83" s="32" t="s">
        <v>109</v>
      </c>
    </row>
    <row r="84" spans="1:6" x14ac:dyDescent="0.2">
      <c r="A84" s="10">
        <f t="shared" si="2"/>
        <v>360</v>
      </c>
      <c r="B84" s="32" t="s">
        <v>942</v>
      </c>
      <c r="C84" s="10" t="str">
        <f t="shared" ca="1" si="3"/>
        <v>Agenda calculada para</v>
      </c>
      <c r="D84" s="32" t="s">
        <v>943</v>
      </c>
      <c r="E84" s="32" t="s">
        <v>944</v>
      </c>
      <c r="F84" s="32" t="s">
        <v>944</v>
      </c>
    </row>
    <row r="85" spans="1:6" x14ac:dyDescent="0.2">
      <c r="A85" s="10">
        <f t="shared" si="2"/>
        <v>400</v>
      </c>
      <c r="B85" s="10" t="s">
        <v>945</v>
      </c>
      <c r="C85" s="10" t="str">
        <f t="shared" ca="1" si="3"/>
        <v>Dedicatória</v>
      </c>
      <c r="D85" s="32" t="s">
        <v>946</v>
      </c>
      <c r="E85" s="32" t="s">
        <v>947</v>
      </c>
      <c r="F85" s="10" t="s">
        <v>948</v>
      </c>
    </row>
    <row r="86" spans="1:6" x14ac:dyDescent="0.2">
      <c r="A86" s="10">
        <f t="shared" si="2"/>
        <v>401</v>
      </c>
      <c r="B86" s="10" t="s">
        <v>949</v>
      </c>
      <c r="C86" s="10" t="str">
        <f t="shared" ca="1" si="0"/>
        <v>Dedicatoria</v>
      </c>
      <c r="D86" s="32" t="s">
        <v>946</v>
      </c>
      <c r="E86" s="32" t="s">
        <v>950</v>
      </c>
      <c r="F86" s="32" t="s">
        <v>951</v>
      </c>
    </row>
    <row r="87" spans="1:6" x14ac:dyDescent="0.2">
      <c r="A87" s="10">
        <f t="shared" si="2"/>
        <v>402</v>
      </c>
      <c r="B87" s="10" t="s">
        <v>952</v>
      </c>
      <c r="C87" s="10" t="str">
        <f t="shared" ca="1" si="0"/>
        <v>AGENDA VAISHNAVA GPLAN</v>
      </c>
      <c r="D87" s="10" t="s">
        <v>730</v>
      </c>
      <c r="E87" s="10" t="s">
        <v>731</v>
      </c>
      <c r="F87" s="10" t="s">
        <v>731</v>
      </c>
    </row>
    <row r="88" spans="1:6" x14ac:dyDescent="0.2">
      <c r="A88" s="10">
        <f t="shared" si="2"/>
        <v>403</v>
      </c>
      <c r="B88" s="10" t="s">
        <v>953</v>
      </c>
      <c r="C88" s="10" t="str">
        <f t="shared" ca="1" si="0"/>
        <v>Dedicatória</v>
      </c>
      <c r="D88" s="32" t="s">
        <v>946</v>
      </c>
      <c r="E88" s="32" t="s">
        <v>947</v>
      </c>
      <c r="F88" s="10" t="s">
        <v>948</v>
      </c>
    </row>
    <row r="89" spans="1:6" x14ac:dyDescent="0.2">
      <c r="A89" s="10">
        <f t="shared" si="2"/>
        <v>404</v>
      </c>
      <c r="B89" s="10" t="s">
        <v>954</v>
      </c>
      <c r="C89" s="10" t="str">
        <f t="shared" ca="1" si="0"/>
        <v>Dedico o presente trabalho a todos os servos do Senhor, em especial aos devotos vaishnavas, dos quais o mais querido é o meu mestre espiritual iniciador, Sua Santidade Hridayananda Dasa Goswami Maharaj(1), que numa tarde de maio de 1991 gentilmente me aceitou como seu discípulo, e sem a ajuda do qual continuaria envolto na escuridão da consciência material, em busca das falsas esperanças trazidas pelas filosofias e práticas egoístas.</v>
      </c>
      <c r="D89" s="32" t="s">
        <v>955</v>
      </c>
      <c r="E89" s="32" t="s">
        <v>956</v>
      </c>
      <c r="F89" s="32" t="s">
        <v>957</v>
      </c>
    </row>
    <row r="90" spans="1:6" x14ac:dyDescent="0.2">
      <c r="A90" s="10">
        <f t="shared" si="2"/>
        <v>405</v>
      </c>
      <c r="B90" s="10" t="s">
        <v>958</v>
      </c>
      <c r="C90" s="10" t="str">
        <f t="shared" ca="1" si="0"/>
        <v>Gopala Dasa Adhikari</v>
      </c>
      <c r="D90" s="10" t="s">
        <v>959</v>
      </c>
      <c r="E90" s="10" t="s">
        <v>959</v>
      </c>
      <c r="F90" s="10" t="s">
        <v>959</v>
      </c>
    </row>
    <row r="91" spans="1:6" x14ac:dyDescent="0.2">
      <c r="A91" s="10">
        <f t="shared" si="2"/>
        <v>406</v>
      </c>
      <c r="B91" s="10" t="s">
        <v>960</v>
      </c>
      <c r="C91" s="10" t="str">
        <f t="shared" ca="1" si="0"/>
        <v>(Paulo Sergio de Araujo)</v>
      </c>
      <c r="D91" s="10" t="s">
        <v>961</v>
      </c>
      <c r="E91" s="10" t="s">
        <v>961</v>
      </c>
      <c r="F91" s="10" t="s">
        <v>961</v>
      </c>
    </row>
    <row r="92" spans="1:6" x14ac:dyDescent="0.2">
      <c r="A92" s="10">
        <f t="shared" si="2"/>
        <v>407</v>
      </c>
      <c r="B92" s="10" t="s">
        <v>962</v>
      </c>
      <c r="C92" s="10" t="str">
        <f t="shared" ca="1" si="0"/>
        <v>Nota 1:</v>
      </c>
      <c r="D92" s="10" t="s">
        <v>963</v>
      </c>
      <c r="E92" s="32" t="s">
        <v>964</v>
      </c>
      <c r="F92" s="10" t="s">
        <v>964</v>
      </c>
    </row>
    <row r="93" spans="1:6" x14ac:dyDescent="0.2">
      <c r="A93" s="10">
        <f t="shared" si="2"/>
        <v>408</v>
      </c>
      <c r="B93" s="10" t="s">
        <v>965</v>
      </c>
      <c r="C93" s="10" t="str">
        <f t="shared" ca="1" si="0"/>
        <v>S.S. Hridayananda dasa Goswami Maharaj (Dr. Howard J. Resnick), é um dos mais destacados líderes espirituais da Sociedade Internacional da Consciência de Krishna - ISKCON.</v>
      </c>
      <c r="D93" s="32" t="s">
        <v>966</v>
      </c>
      <c r="E93" s="32" t="s">
        <v>967</v>
      </c>
      <c r="F93" s="10" t="s">
        <v>968</v>
      </c>
    </row>
    <row r="94" spans="1:6" x14ac:dyDescent="0.2">
      <c r="A94" s="10">
        <f t="shared" si="2"/>
        <v>500</v>
      </c>
      <c r="B94" s="32" t="s">
        <v>969</v>
      </c>
      <c r="C94" s="10" t="str">
        <f t="shared" ref="C94:C157" ca="1" si="4">OFFSET(C94,0,$C$1)</f>
        <v>Agradecimentos</v>
      </c>
      <c r="D94" s="10" t="s">
        <v>970</v>
      </c>
      <c r="E94" s="32" t="s">
        <v>971</v>
      </c>
      <c r="F94" s="32" t="s">
        <v>972</v>
      </c>
    </row>
    <row r="95" spans="1:6" x14ac:dyDescent="0.2">
      <c r="A95" s="10">
        <f t="shared" si="2"/>
        <v>501</v>
      </c>
      <c r="B95" s="32" t="s">
        <v>973</v>
      </c>
      <c r="C95" s="10" t="str">
        <f t="shared" ca="1" si="4"/>
        <v>Agradecimentos</v>
      </c>
      <c r="D95" s="10" t="s">
        <v>970</v>
      </c>
      <c r="E95" s="32" t="s">
        <v>971</v>
      </c>
      <c r="F95" s="32" t="s">
        <v>972</v>
      </c>
    </row>
    <row r="96" spans="1:6" x14ac:dyDescent="0.2">
      <c r="A96" s="10">
        <f t="shared" si="2"/>
        <v>502</v>
      </c>
      <c r="B96" s="32" t="s">
        <v>974</v>
      </c>
      <c r="C96" s="10" t="str">
        <f t="shared" ca="1" si="4"/>
        <v>Agradecimentos</v>
      </c>
      <c r="D96" s="10" t="s">
        <v>970</v>
      </c>
      <c r="E96" s="32" t="s">
        <v>971</v>
      </c>
      <c r="F96" s="32" t="s">
        <v>972</v>
      </c>
    </row>
    <row r="97" spans="1:6" x14ac:dyDescent="0.2">
      <c r="A97" s="10">
        <f t="shared" si="2"/>
        <v>600</v>
      </c>
      <c r="B97" s="32" t="s">
        <v>975</v>
      </c>
      <c r="C97" s="10" t="str">
        <f ca="1">OFFSET(C97,0,$C$1)</f>
        <v>Apresentação</v>
      </c>
      <c r="D97" s="10" t="s">
        <v>976</v>
      </c>
      <c r="E97" s="32" t="s">
        <v>977</v>
      </c>
      <c r="F97" s="32" t="s">
        <v>978</v>
      </c>
    </row>
    <row r="98" spans="1:6" x14ac:dyDescent="0.2">
      <c r="A98" s="10">
        <f t="shared" si="2"/>
        <v>601</v>
      </c>
      <c r="B98" s="32" t="s">
        <v>979</v>
      </c>
      <c r="C98" s="10" t="str">
        <f ca="1">OFFSET(C98,0,$C$1)</f>
        <v>Apresentacao</v>
      </c>
      <c r="D98" s="10" t="s">
        <v>976</v>
      </c>
      <c r="E98" s="32" t="s">
        <v>977</v>
      </c>
      <c r="F98" s="32" t="s">
        <v>980</v>
      </c>
    </row>
    <row r="99" spans="1:6" x14ac:dyDescent="0.2">
      <c r="A99" s="10">
        <f t="shared" si="2"/>
        <v>602</v>
      </c>
      <c r="B99" s="32" t="s">
        <v>981</v>
      </c>
      <c r="C99" s="10" t="str">
        <f ca="1">OFFSET(C99,0,$C$1)</f>
        <v>Apresentação</v>
      </c>
      <c r="D99" s="10" t="s">
        <v>976</v>
      </c>
      <c r="E99" s="32" t="s">
        <v>977</v>
      </c>
      <c r="F99" s="32" t="s">
        <v>978</v>
      </c>
    </row>
    <row r="100" spans="1:6" x14ac:dyDescent="0.2">
      <c r="A100" s="10">
        <f t="shared" si="2"/>
        <v>603</v>
      </c>
      <c r="B100" s="32" t="s">
        <v>982</v>
      </c>
      <c r="C100" s="10" t="str">
        <f ca="1">OFFSET(C100,0,$C$1)</f>
        <v>Apresentacao 1</v>
      </c>
      <c r="D100" s="10" t="s">
        <v>983</v>
      </c>
      <c r="E100" s="32" t="s">
        <v>984</v>
      </c>
      <c r="F100" s="32" t="s">
        <v>985</v>
      </c>
    </row>
    <row r="101" spans="1:6" x14ac:dyDescent="0.2">
      <c r="A101" s="10">
        <f t="shared" si="2"/>
        <v>604</v>
      </c>
      <c r="B101" s="32" t="s">
        <v>986</v>
      </c>
      <c r="C101" s="10" t="str">
        <f ca="1">OFFSET(C101,0,$C$1)</f>
        <v>Apresentacao 2</v>
      </c>
      <c r="D101" s="10" t="s">
        <v>987</v>
      </c>
      <c r="E101" s="32" t="s">
        <v>988</v>
      </c>
      <c r="F101" s="32" t="s">
        <v>989</v>
      </c>
    </row>
    <row r="102" spans="1:6" x14ac:dyDescent="0.2">
      <c r="A102" s="10">
        <f t="shared" si="2"/>
        <v>700</v>
      </c>
      <c r="B102" s="32" t="s">
        <v>990</v>
      </c>
      <c r="C102" s="10" t="str">
        <f t="shared" ca="1" si="4"/>
        <v>Como Usar</v>
      </c>
      <c r="D102" s="32" t="s">
        <v>991</v>
      </c>
      <c r="E102" s="32" t="s">
        <v>992</v>
      </c>
      <c r="F102" s="32" t="s">
        <v>993</v>
      </c>
    </row>
    <row r="103" spans="1:6" x14ac:dyDescent="0.2">
      <c r="A103" s="10">
        <f t="shared" si="2"/>
        <v>701</v>
      </c>
      <c r="B103" s="32" t="s">
        <v>994</v>
      </c>
      <c r="C103" s="10" t="str">
        <f t="shared" ca="1" si="4"/>
        <v>Como Usar</v>
      </c>
      <c r="D103" s="32" t="s">
        <v>991</v>
      </c>
      <c r="E103" s="32" t="s">
        <v>992</v>
      </c>
      <c r="F103" s="32" t="s">
        <v>993</v>
      </c>
    </row>
    <row r="104" spans="1:6" x14ac:dyDescent="0.2">
      <c r="A104" s="10">
        <f t="shared" si="2"/>
        <v>702</v>
      </c>
      <c r="B104" s="32" t="s">
        <v>995</v>
      </c>
      <c r="C104" s="10" t="str">
        <f t="shared" ca="1" si="4"/>
        <v>Como Usar</v>
      </c>
      <c r="D104" s="32" t="s">
        <v>991</v>
      </c>
      <c r="E104" s="32" t="s">
        <v>992</v>
      </c>
      <c r="F104" s="32" t="s">
        <v>993</v>
      </c>
    </row>
    <row r="105" spans="1:6" x14ac:dyDescent="0.2">
      <c r="A105" s="10">
        <f t="shared" si="2"/>
        <v>800</v>
      </c>
      <c r="B105" s="10" t="s">
        <v>996</v>
      </c>
      <c r="C105" s="10" t="str">
        <f t="shared" ca="1" si="4"/>
        <v>Dados Pessoais</v>
      </c>
      <c r="D105" s="32" t="s">
        <v>153</v>
      </c>
      <c r="E105" s="32" t="s">
        <v>808</v>
      </c>
      <c r="F105" s="10" t="s">
        <v>809</v>
      </c>
    </row>
    <row r="106" spans="1:6" x14ac:dyDescent="0.2">
      <c r="A106" s="10">
        <f t="shared" si="2"/>
        <v>801</v>
      </c>
      <c r="B106" s="32" t="s">
        <v>997</v>
      </c>
      <c r="C106" s="10" t="str">
        <f t="shared" ca="1" si="4"/>
        <v>Dados Pessoais</v>
      </c>
      <c r="D106" s="32" t="s">
        <v>153</v>
      </c>
      <c r="E106" s="32" t="s">
        <v>808</v>
      </c>
      <c r="F106" s="10" t="s">
        <v>809</v>
      </c>
    </row>
    <row r="107" spans="1:6" x14ac:dyDescent="0.2">
      <c r="A107" s="10">
        <f t="shared" si="2"/>
        <v>802</v>
      </c>
      <c r="B107" s="10" t="s">
        <v>998</v>
      </c>
      <c r="C107" s="10" t="str">
        <f t="shared" ca="1" si="4"/>
        <v>DADOS PESSOAIS</v>
      </c>
      <c r="D107" s="10" t="s">
        <v>999</v>
      </c>
      <c r="E107" s="10" t="s">
        <v>1000</v>
      </c>
      <c r="F107" s="10" t="s">
        <v>1001</v>
      </c>
    </row>
    <row r="108" spans="1:6" x14ac:dyDescent="0.2">
      <c r="A108" s="10">
        <f t="shared" si="2"/>
        <v>803</v>
      </c>
      <c r="B108" s="10" t="s">
        <v>1002</v>
      </c>
      <c r="C108" s="10" t="str">
        <f t="shared" ca="1" si="4"/>
        <v>DADOS COMERCIAIS</v>
      </c>
      <c r="D108" s="10" t="s">
        <v>1003</v>
      </c>
      <c r="E108" s="10" t="s">
        <v>1004</v>
      </c>
      <c r="F108" s="10" t="s">
        <v>1005</v>
      </c>
    </row>
    <row r="109" spans="1:6" x14ac:dyDescent="0.2">
      <c r="A109" s="10">
        <f t="shared" si="2"/>
        <v>804</v>
      </c>
      <c r="B109" s="10" t="s">
        <v>1006</v>
      </c>
      <c r="C109" s="10" t="str">
        <f t="shared" ca="1" si="4"/>
        <v>EMERGÊNCIA</v>
      </c>
      <c r="D109" s="10" t="s">
        <v>1007</v>
      </c>
      <c r="E109" s="10" t="s">
        <v>1008</v>
      </c>
      <c r="F109" s="10" t="s">
        <v>1009</v>
      </c>
    </row>
    <row r="110" spans="1:6" x14ac:dyDescent="0.2">
      <c r="A110" s="10">
        <f t="shared" si="2"/>
        <v>805</v>
      </c>
      <c r="B110" s="10" t="s">
        <v>1010</v>
      </c>
      <c r="C110" s="10" t="str">
        <f t="shared" ca="1" si="4"/>
        <v>Nome</v>
      </c>
      <c r="D110" s="10" t="s">
        <v>1011</v>
      </c>
      <c r="E110" s="10" t="s">
        <v>1012</v>
      </c>
      <c r="F110" s="10" t="s">
        <v>1013</v>
      </c>
    </row>
    <row r="111" spans="1:6" x14ac:dyDescent="0.2">
      <c r="A111" s="10">
        <f t="shared" si="2"/>
        <v>806</v>
      </c>
      <c r="B111" s="10" t="s">
        <v>1014</v>
      </c>
      <c r="C111" s="10" t="str">
        <f t="shared" ca="1" si="4"/>
        <v>Endereço</v>
      </c>
      <c r="D111" s="10" t="s">
        <v>1015</v>
      </c>
      <c r="E111" s="32" t="s">
        <v>1016</v>
      </c>
      <c r="F111" s="10" t="s">
        <v>1017</v>
      </c>
    </row>
    <row r="112" spans="1:6" x14ac:dyDescent="0.2">
      <c r="A112" s="10">
        <f t="shared" si="2"/>
        <v>807</v>
      </c>
      <c r="B112" s="10" t="s">
        <v>1018</v>
      </c>
      <c r="C112" s="10" t="str">
        <f t="shared" ca="1" si="4"/>
        <v>Cidade</v>
      </c>
      <c r="D112" s="10" t="s">
        <v>166</v>
      </c>
      <c r="E112" s="10" t="s">
        <v>1019</v>
      </c>
      <c r="F112" s="10" t="s">
        <v>105</v>
      </c>
    </row>
    <row r="113" spans="1:6" x14ac:dyDescent="0.2">
      <c r="A113" s="10">
        <f t="shared" si="2"/>
        <v>808</v>
      </c>
      <c r="B113" s="10" t="s">
        <v>1020</v>
      </c>
      <c r="C113" s="10" t="str">
        <f t="shared" ca="1" si="4"/>
        <v>CEP</v>
      </c>
      <c r="D113" s="10" t="s">
        <v>1021</v>
      </c>
      <c r="E113" s="32" t="s">
        <v>1022</v>
      </c>
      <c r="F113" s="10" t="s">
        <v>1023</v>
      </c>
    </row>
    <row r="114" spans="1:6" x14ac:dyDescent="0.2">
      <c r="A114" s="10">
        <f t="shared" si="2"/>
        <v>809</v>
      </c>
      <c r="B114" s="10" t="s">
        <v>1024</v>
      </c>
      <c r="C114" s="10" t="str">
        <f t="shared" ca="1" si="4"/>
        <v>Estado</v>
      </c>
      <c r="D114" s="10" t="s">
        <v>1025</v>
      </c>
      <c r="E114" s="32" t="s">
        <v>1026</v>
      </c>
      <c r="F114" s="10" t="s">
        <v>1027</v>
      </c>
    </row>
    <row r="115" spans="1:6" x14ac:dyDescent="0.2">
      <c r="A115" s="10">
        <f t="shared" si="2"/>
        <v>810</v>
      </c>
      <c r="B115" s="10" t="s">
        <v>1028</v>
      </c>
      <c r="C115" s="10" t="str">
        <f t="shared" ca="1" si="4"/>
        <v>Fone</v>
      </c>
      <c r="D115" s="10" t="s">
        <v>1029</v>
      </c>
      <c r="E115" s="32" t="s">
        <v>1030</v>
      </c>
      <c r="F115" s="10" t="s">
        <v>1031</v>
      </c>
    </row>
    <row r="116" spans="1:6" x14ac:dyDescent="0.2">
      <c r="A116" s="10">
        <f t="shared" si="2"/>
        <v>811</v>
      </c>
      <c r="B116" s="10" t="s">
        <v>1032</v>
      </c>
      <c r="C116" s="10" t="str">
        <f t="shared" ca="1" si="4"/>
        <v>Celular</v>
      </c>
      <c r="D116" s="10" t="s">
        <v>1033</v>
      </c>
      <c r="E116" s="10" t="s">
        <v>1034</v>
      </c>
      <c r="F116" s="10" t="s">
        <v>1034</v>
      </c>
    </row>
    <row r="117" spans="1:6" x14ac:dyDescent="0.2">
      <c r="A117" s="10">
        <f t="shared" si="2"/>
        <v>812</v>
      </c>
      <c r="B117" s="10" t="s">
        <v>1035</v>
      </c>
      <c r="C117" s="10" t="str">
        <f t="shared" ca="1" si="4"/>
        <v>Fax</v>
      </c>
      <c r="D117" s="10" t="s">
        <v>1036</v>
      </c>
      <c r="E117" s="10" t="s">
        <v>1036</v>
      </c>
      <c r="F117" s="10" t="s">
        <v>1036</v>
      </c>
    </row>
    <row r="118" spans="1:6" x14ac:dyDescent="0.2">
      <c r="A118" s="10">
        <f t="shared" si="2"/>
        <v>813</v>
      </c>
      <c r="B118" s="10" t="s">
        <v>1037</v>
      </c>
      <c r="C118" s="10" t="str">
        <f t="shared" ca="1" si="4"/>
        <v>E-mail</v>
      </c>
      <c r="D118" s="10" t="s">
        <v>1038</v>
      </c>
      <c r="E118" s="10" t="s">
        <v>1038</v>
      </c>
      <c r="F118" s="10" t="s">
        <v>1038</v>
      </c>
    </row>
    <row r="119" spans="1:6" x14ac:dyDescent="0.2">
      <c r="A119" s="10">
        <f t="shared" si="2"/>
        <v>814</v>
      </c>
      <c r="B119" s="10" t="s">
        <v>1039</v>
      </c>
      <c r="C119" s="10" t="str">
        <f t="shared" ca="1" si="4"/>
        <v>RG</v>
      </c>
      <c r="D119" s="10" t="s">
        <v>1040</v>
      </c>
      <c r="E119" s="32" t="s">
        <v>1040</v>
      </c>
      <c r="F119" s="10" t="s">
        <v>1041</v>
      </c>
    </row>
    <row r="120" spans="1:6" x14ac:dyDescent="0.2">
      <c r="A120" s="10">
        <f t="shared" si="2"/>
        <v>815</v>
      </c>
      <c r="B120" s="10" t="s">
        <v>1042</v>
      </c>
      <c r="C120" s="10" t="str">
        <f t="shared" ca="1" si="4"/>
        <v>CPF</v>
      </c>
      <c r="D120" s="10" t="s">
        <v>1043</v>
      </c>
      <c r="E120" s="32" t="s">
        <v>1043</v>
      </c>
      <c r="F120" s="10" t="s">
        <v>1043</v>
      </c>
    </row>
    <row r="121" spans="1:6" x14ac:dyDescent="0.2">
      <c r="A121" s="10">
        <f t="shared" si="2"/>
        <v>816</v>
      </c>
      <c r="B121" s="10" t="s">
        <v>1044</v>
      </c>
      <c r="C121" s="10" t="str">
        <f t="shared" ca="1" si="4"/>
        <v>T. Eleitor</v>
      </c>
      <c r="D121" s="10" t="s">
        <v>1045</v>
      </c>
      <c r="E121" s="32" t="s">
        <v>1046</v>
      </c>
      <c r="F121" s="10" t="s">
        <v>1047</v>
      </c>
    </row>
    <row r="122" spans="1:6" x14ac:dyDescent="0.2">
      <c r="A122" s="10">
        <f t="shared" si="2"/>
        <v>817</v>
      </c>
      <c r="B122" s="10" t="s">
        <v>1048</v>
      </c>
      <c r="C122" s="10" t="str">
        <f t="shared" ca="1" si="4"/>
        <v>Zona</v>
      </c>
      <c r="D122" s="10" t="s">
        <v>1049</v>
      </c>
      <c r="E122" s="32" t="s">
        <v>1050</v>
      </c>
      <c r="F122" s="10" t="s">
        <v>1051</v>
      </c>
    </row>
    <row r="123" spans="1:6" x14ac:dyDescent="0.2">
      <c r="A123" s="10">
        <f t="shared" si="2"/>
        <v>818</v>
      </c>
      <c r="B123" s="10" t="s">
        <v>1052</v>
      </c>
      <c r="C123" s="10" t="str">
        <f t="shared" ca="1" si="4"/>
        <v>Seção</v>
      </c>
      <c r="D123" s="10" t="s">
        <v>1053</v>
      </c>
      <c r="E123" s="32" t="s">
        <v>1054</v>
      </c>
      <c r="F123" s="10" t="s">
        <v>1055</v>
      </c>
    </row>
    <row r="124" spans="1:6" x14ac:dyDescent="0.2">
      <c r="A124" s="10">
        <f t="shared" si="2"/>
        <v>819</v>
      </c>
      <c r="B124" s="10" t="s">
        <v>1056</v>
      </c>
      <c r="C124" s="10" t="str">
        <f t="shared" ca="1" si="4"/>
        <v>Passaporte</v>
      </c>
      <c r="D124" s="10" t="s">
        <v>1057</v>
      </c>
      <c r="E124" s="10" t="s">
        <v>1058</v>
      </c>
      <c r="F124" s="10" t="s">
        <v>1059</v>
      </c>
    </row>
    <row r="125" spans="1:6" x14ac:dyDescent="0.2">
      <c r="A125" s="10">
        <f t="shared" si="2"/>
        <v>820</v>
      </c>
      <c r="B125" s="10" t="s">
        <v>1060</v>
      </c>
      <c r="C125" s="10" t="str">
        <f t="shared" ca="1" si="4"/>
        <v>Validade</v>
      </c>
      <c r="D125" s="10" t="s">
        <v>1061</v>
      </c>
      <c r="E125" s="32" t="s">
        <v>1062</v>
      </c>
      <c r="F125" s="10" t="s">
        <v>1063</v>
      </c>
    </row>
    <row r="126" spans="1:6" x14ac:dyDescent="0.2">
      <c r="A126" s="10">
        <f t="shared" si="2"/>
        <v>821</v>
      </c>
      <c r="B126" s="10" t="s">
        <v>1064</v>
      </c>
      <c r="C126" s="10" t="str">
        <f t="shared" ca="1" si="4"/>
        <v>Cart. Militar</v>
      </c>
      <c r="D126" s="10" t="s">
        <v>1065</v>
      </c>
      <c r="E126" s="32" t="s">
        <v>1066</v>
      </c>
      <c r="F126" s="10" t="s">
        <v>1067</v>
      </c>
    </row>
    <row r="127" spans="1:6" x14ac:dyDescent="0.2">
      <c r="A127" s="10">
        <f t="shared" si="2"/>
        <v>822</v>
      </c>
      <c r="B127" s="10" t="s">
        <v>1068</v>
      </c>
      <c r="C127" s="10" t="str">
        <f t="shared" ca="1" si="4"/>
        <v>Certif. Reservista</v>
      </c>
      <c r="D127" s="10" t="s">
        <v>1069</v>
      </c>
      <c r="E127" s="32" t="s">
        <v>1070</v>
      </c>
      <c r="F127" s="10" t="s">
        <v>1071</v>
      </c>
    </row>
    <row r="128" spans="1:6" x14ac:dyDescent="0.2">
      <c r="A128" s="10">
        <f t="shared" si="2"/>
        <v>823</v>
      </c>
      <c r="B128" s="10" t="s">
        <v>1072</v>
      </c>
      <c r="C128" s="10" t="str">
        <f t="shared" ca="1" si="4"/>
        <v>Habilitação</v>
      </c>
      <c r="D128" s="10" t="s">
        <v>1073</v>
      </c>
      <c r="E128" s="10" t="s">
        <v>1074</v>
      </c>
      <c r="F128" s="10" t="s">
        <v>1075</v>
      </c>
    </row>
    <row r="129" spans="1:6" x14ac:dyDescent="0.2">
      <c r="A129" s="10">
        <f t="shared" si="2"/>
        <v>824</v>
      </c>
      <c r="B129" s="10" t="s">
        <v>1076</v>
      </c>
      <c r="C129" s="10" t="str">
        <f t="shared" ca="1" si="4"/>
        <v>Vcto.   Ex.  Saúde</v>
      </c>
      <c r="D129" s="10" t="s">
        <v>1077</v>
      </c>
      <c r="E129" s="32" t="s">
        <v>1062</v>
      </c>
      <c r="F129" s="10" t="s">
        <v>1078</v>
      </c>
    </row>
    <row r="130" spans="1:6" x14ac:dyDescent="0.2">
      <c r="A130" s="10">
        <f t="shared" si="2"/>
        <v>825</v>
      </c>
      <c r="B130" s="10" t="s">
        <v>1079</v>
      </c>
      <c r="C130" s="10" t="str">
        <f t="shared" ca="1" si="4"/>
        <v>Veículo</v>
      </c>
      <c r="D130" s="10" t="s">
        <v>1080</v>
      </c>
      <c r="E130" s="32" t="s">
        <v>1081</v>
      </c>
      <c r="F130" s="10" t="s">
        <v>1082</v>
      </c>
    </row>
    <row r="131" spans="1:6" x14ac:dyDescent="0.2">
      <c r="A131" s="10">
        <f t="shared" si="2"/>
        <v>826</v>
      </c>
      <c r="B131" s="10" t="s">
        <v>1083</v>
      </c>
      <c r="C131" s="10" t="str">
        <f t="shared" ca="1" si="4"/>
        <v>Placa</v>
      </c>
      <c r="D131" s="10" t="s">
        <v>1084</v>
      </c>
      <c r="E131" s="32" t="s">
        <v>1085</v>
      </c>
      <c r="F131" s="10" t="s">
        <v>1085</v>
      </c>
    </row>
    <row r="132" spans="1:6" x14ac:dyDescent="0.2">
      <c r="A132" s="10">
        <f t="shared" si="2"/>
        <v>827</v>
      </c>
      <c r="B132" s="10" t="s">
        <v>1086</v>
      </c>
      <c r="C132" s="10" t="str">
        <f t="shared" ca="1" si="4"/>
        <v>Nº Chassi</v>
      </c>
      <c r="D132" s="10" t="s">
        <v>1087</v>
      </c>
      <c r="E132" s="32" t="s">
        <v>1088</v>
      </c>
      <c r="F132" s="10" t="s">
        <v>1089</v>
      </c>
    </row>
    <row r="133" spans="1:6" x14ac:dyDescent="0.2">
      <c r="A133" s="10">
        <f t="shared" si="2"/>
        <v>828</v>
      </c>
      <c r="B133" s="10" t="s">
        <v>1090</v>
      </c>
      <c r="C133" s="10" t="str">
        <f t="shared" ca="1" si="4"/>
        <v>Cód. Renavam</v>
      </c>
      <c r="D133" s="10" t="s">
        <v>1091</v>
      </c>
      <c r="E133" s="32" t="s">
        <v>1092</v>
      </c>
      <c r="F133" s="10" t="s">
        <v>1093</v>
      </c>
    </row>
    <row r="134" spans="1:6" x14ac:dyDescent="0.2">
      <c r="A134" s="10">
        <f t="shared" ref="A134:A197" si="5">IF(RIGHT(B134,8)="_section",(INT(A133/100)+1)*100,A133+1)</f>
        <v>829</v>
      </c>
      <c r="B134" s="10" t="s">
        <v>1094</v>
      </c>
      <c r="C134" s="10" t="str">
        <f t="shared" ca="1" si="4"/>
        <v>Cia. Seguro</v>
      </c>
      <c r="D134" s="10" t="s">
        <v>1095</v>
      </c>
      <c r="E134" s="32" t="s">
        <v>1096</v>
      </c>
      <c r="F134" s="10" t="s">
        <v>1097</v>
      </c>
    </row>
    <row r="135" spans="1:6" x14ac:dyDescent="0.2">
      <c r="A135" s="10">
        <f t="shared" si="5"/>
        <v>830</v>
      </c>
      <c r="B135" s="10" t="s">
        <v>1098</v>
      </c>
      <c r="C135" s="10" t="str">
        <f t="shared" ca="1" si="4"/>
        <v>Vcto. Seguro Obr.</v>
      </c>
      <c r="D135" s="10" t="s">
        <v>1099</v>
      </c>
      <c r="E135" s="32" t="s">
        <v>1062</v>
      </c>
      <c r="F135" s="10" t="s">
        <v>1100</v>
      </c>
    </row>
    <row r="136" spans="1:6" x14ac:dyDescent="0.2">
      <c r="A136" s="10">
        <f t="shared" si="5"/>
        <v>831</v>
      </c>
      <c r="B136" s="10" t="s">
        <v>1101</v>
      </c>
      <c r="C136" s="10" t="str">
        <f t="shared" ca="1" si="4"/>
        <v>Nome</v>
      </c>
      <c r="D136" s="10" t="s">
        <v>1011</v>
      </c>
      <c r="E136" s="10" t="s">
        <v>1012</v>
      </c>
      <c r="F136" s="10" t="s">
        <v>1013</v>
      </c>
    </row>
    <row r="137" spans="1:6" x14ac:dyDescent="0.2">
      <c r="A137" s="10">
        <f t="shared" si="5"/>
        <v>832</v>
      </c>
      <c r="B137" s="10" t="s">
        <v>1102</v>
      </c>
      <c r="C137" s="10" t="str">
        <f t="shared" ca="1" si="4"/>
        <v>Endereço</v>
      </c>
      <c r="D137" s="10" t="s">
        <v>1015</v>
      </c>
      <c r="E137" s="10" t="s">
        <v>1103</v>
      </c>
      <c r="F137" s="10" t="s">
        <v>1017</v>
      </c>
    </row>
    <row r="138" spans="1:6" x14ac:dyDescent="0.2">
      <c r="A138" s="10">
        <f t="shared" si="5"/>
        <v>833</v>
      </c>
      <c r="B138" s="10" t="s">
        <v>1104</v>
      </c>
      <c r="C138" s="10" t="str">
        <f t="shared" ca="1" si="4"/>
        <v>Cidade</v>
      </c>
      <c r="D138" s="10" t="s">
        <v>166</v>
      </c>
      <c r="E138" s="10" t="s">
        <v>1019</v>
      </c>
      <c r="F138" s="10" t="s">
        <v>105</v>
      </c>
    </row>
    <row r="139" spans="1:6" x14ac:dyDescent="0.2">
      <c r="A139" s="10">
        <f t="shared" si="5"/>
        <v>834</v>
      </c>
      <c r="B139" s="10" t="s">
        <v>1105</v>
      </c>
      <c r="C139" s="10" t="str">
        <f t="shared" ca="1" si="4"/>
        <v>CEP</v>
      </c>
      <c r="D139" s="10" t="s">
        <v>1021</v>
      </c>
      <c r="E139" s="32" t="s">
        <v>1022</v>
      </c>
      <c r="F139" s="10" t="s">
        <v>1023</v>
      </c>
    </row>
    <row r="140" spans="1:6" x14ac:dyDescent="0.2">
      <c r="A140" s="10">
        <f t="shared" si="5"/>
        <v>835</v>
      </c>
      <c r="B140" s="10" t="s">
        <v>1106</v>
      </c>
      <c r="C140" s="10" t="str">
        <f t="shared" ca="1" si="4"/>
        <v>Estado</v>
      </c>
      <c r="D140" s="10" t="s">
        <v>1025</v>
      </c>
      <c r="E140" s="10" t="s">
        <v>1027</v>
      </c>
      <c r="F140" s="10" t="s">
        <v>1027</v>
      </c>
    </row>
    <row r="141" spans="1:6" x14ac:dyDescent="0.2">
      <c r="A141" s="10">
        <f t="shared" si="5"/>
        <v>836</v>
      </c>
      <c r="B141" s="10" t="s">
        <v>1107</v>
      </c>
      <c r="C141" s="10" t="str">
        <f t="shared" ca="1" si="4"/>
        <v>Fones</v>
      </c>
      <c r="D141" s="10" t="s">
        <v>1029</v>
      </c>
      <c r="E141" s="10" t="s">
        <v>1108</v>
      </c>
      <c r="F141" s="10" t="s">
        <v>1109</v>
      </c>
    </row>
    <row r="142" spans="1:6" x14ac:dyDescent="0.2">
      <c r="A142" s="10">
        <f t="shared" si="5"/>
        <v>837</v>
      </c>
      <c r="B142" s="10" t="s">
        <v>1110</v>
      </c>
      <c r="C142" s="10" t="str">
        <f t="shared" ca="1" si="4"/>
        <v>Fax</v>
      </c>
      <c r="D142" s="10" t="s">
        <v>1036</v>
      </c>
      <c r="E142" s="10" t="s">
        <v>1036</v>
      </c>
      <c r="F142" s="10" t="s">
        <v>1036</v>
      </c>
    </row>
    <row r="143" spans="1:6" x14ac:dyDescent="0.2">
      <c r="A143" s="10">
        <f t="shared" si="5"/>
        <v>838</v>
      </c>
      <c r="B143" s="10" t="s">
        <v>1111</v>
      </c>
      <c r="C143" s="10" t="str">
        <f t="shared" ca="1" si="4"/>
        <v>E-mail 1</v>
      </c>
      <c r="D143" s="10" t="s">
        <v>1112</v>
      </c>
      <c r="E143" s="10" t="s">
        <v>1112</v>
      </c>
      <c r="F143" s="10" t="s">
        <v>1112</v>
      </c>
    </row>
    <row r="144" spans="1:6" x14ac:dyDescent="0.2">
      <c r="A144" s="10">
        <f t="shared" si="5"/>
        <v>839</v>
      </c>
      <c r="B144" s="10" t="s">
        <v>1113</v>
      </c>
      <c r="C144" s="10" t="str">
        <f t="shared" ca="1" si="4"/>
        <v>E-mail 2</v>
      </c>
      <c r="D144" s="10" t="s">
        <v>1114</v>
      </c>
      <c r="E144" s="10" t="s">
        <v>1114</v>
      </c>
      <c r="F144" s="10" t="s">
        <v>1114</v>
      </c>
    </row>
    <row r="145" spans="1:6" x14ac:dyDescent="0.2">
      <c r="A145" s="10">
        <f t="shared" si="5"/>
        <v>840</v>
      </c>
      <c r="B145" s="10" t="s">
        <v>1115</v>
      </c>
      <c r="C145" s="10" t="str">
        <f t="shared" ca="1" si="4"/>
        <v>WebSite</v>
      </c>
      <c r="D145" s="10" t="s">
        <v>1116</v>
      </c>
      <c r="E145" s="10" t="s">
        <v>1116</v>
      </c>
      <c r="F145" s="10" t="s">
        <v>1116</v>
      </c>
    </row>
    <row r="146" spans="1:6" x14ac:dyDescent="0.2">
      <c r="A146" s="10">
        <f t="shared" si="5"/>
        <v>841</v>
      </c>
      <c r="B146" s="10" t="s">
        <v>1117</v>
      </c>
      <c r="C146" s="10" t="str">
        <f t="shared" ca="1" si="4"/>
        <v>CNPJ</v>
      </c>
      <c r="D146" s="32" t="s">
        <v>1118</v>
      </c>
      <c r="E146" s="32" t="s">
        <v>1119</v>
      </c>
      <c r="F146" s="10" t="s">
        <v>1120</v>
      </c>
    </row>
    <row r="147" spans="1:6" x14ac:dyDescent="0.2">
      <c r="A147" s="10">
        <f t="shared" si="5"/>
        <v>842</v>
      </c>
      <c r="B147" s="10" t="s">
        <v>1121</v>
      </c>
      <c r="C147" s="10" t="str">
        <f t="shared" ca="1" si="4"/>
        <v>I.E.</v>
      </c>
      <c r="D147" s="32" t="s">
        <v>1122</v>
      </c>
      <c r="E147" s="32" t="s">
        <v>1123</v>
      </c>
      <c r="F147" s="10" t="s">
        <v>1123</v>
      </c>
    </row>
    <row r="148" spans="1:6" x14ac:dyDescent="0.2">
      <c r="A148" s="10">
        <f t="shared" si="5"/>
        <v>843</v>
      </c>
      <c r="B148" s="10" t="s">
        <v>1124</v>
      </c>
      <c r="C148" s="10" t="str">
        <f t="shared" ca="1" si="4"/>
        <v>I.M.</v>
      </c>
      <c r="D148" s="32" t="s">
        <v>1125</v>
      </c>
      <c r="E148" s="32" t="s">
        <v>1126</v>
      </c>
      <c r="F148" s="10" t="s">
        <v>1127</v>
      </c>
    </row>
    <row r="149" spans="1:6" x14ac:dyDescent="0.2">
      <c r="A149" s="10">
        <f t="shared" si="5"/>
        <v>844</v>
      </c>
      <c r="B149" s="10" t="s">
        <v>1128</v>
      </c>
      <c r="C149" s="10" t="str">
        <f t="shared" ca="1" si="4"/>
        <v>Grupo Sangüíneo</v>
      </c>
      <c r="D149" s="32" t="s">
        <v>1129</v>
      </c>
      <c r="E149" s="32" t="s">
        <v>1130</v>
      </c>
      <c r="F149" s="32" t="s">
        <v>1131</v>
      </c>
    </row>
    <row r="150" spans="1:6" x14ac:dyDescent="0.2">
      <c r="A150" s="10">
        <f t="shared" si="5"/>
        <v>845</v>
      </c>
      <c r="B150" s="10" t="s">
        <v>1132</v>
      </c>
      <c r="C150" s="10" t="str">
        <f t="shared" ca="1" si="4"/>
        <v>Tipo RH</v>
      </c>
      <c r="D150" s="32" t="s">
        <v>1133</v>
      </c>
      <c r="E150" s="32" t="s">
        <v>1134</v>
      </c>
      <c r="F150" s="32" t="s">
        <v>1135</v>
      </c>
    </row>
    <row r="151" spans="1:6" x14ac:dyDescent="0.2">
      <c r="A151" s="10">
        <f t="shared" si="5"/>
        <v>846</v>
      </c>
      <c r="B151" s="10" t="s">
        <v>1136</v>
      </c>
      <c r="C151" s="10" t="str">
        <f t="shared" ca="1" si="4"/>
        <v>Médico</v>
      </c>
      <c r="D151" s="32" t="s">
        <v>1137</v>
      </c>
      <c r="E151" s="10" t="s">
        <v>1138</v>
      </c>
      <c r="F151" s="10" t="s">
        <v>1139</v>
      </c>
    </row>
    <row r="152" spans="1:6" x14ac:dyDescent="0.2">
      <c r="A152" s="10">
        <f t="shared" si="5"/>
        <v>847</v>
      </c>
      <c r="B152" s="10" t="s">
        <v>1140</v>
      </c>
      <c r="C152" s="10" t="str">
        <f t="shared" ca="1" si="4"/>
        <v>Celular</v>
      </c>
      <c r="D152" s="10" t="s">
        <v>1033</v>
      </c>
      <c r="E152" s="10" t="s">
        <v>1034</v>
      </c>
      <c r="F152" s="10" t="s">
        <v>1034</v>
      </c>
    </row>
    <row r="153" spans="1:6" x14ac:dyDescent="0.2">
      <c r="A153" s="10">
        <f t="shared" si="5"/>
        <v>848</v>
      </c>
      <c r="B153" s="10" t="s">
        <v>1141</v>
      </c>
      <c r="C153" s="10" t="str">
        <f t="shared" ca="1" si="4"/>
        <v>Tel. Consultório</v>
      </c>
      <c r="D153" s="32" t="s">
        <v>1142</v>
      </c>
      <c r="E153" s="32" t="s">
        <v>1143</v>
      </c>
      <c r="F153" s="10" t="s">
        <v>1144</v>
      </c>
    </row>
    <row r="154" spans="1:6" x14ac:dyDescent="0.2">
      <c r="A154" s="10">
        <f t="shared" si="5"/>
        <v>849</v>
      </c>
      <c r="B154" s="10" t="s">
        <v>1145</v>
      </c>
      <c r="C154" s="10" t="str">
        <f t="shared" ca="1" si="4"/>
        <v>Tel. Residência</v>
      </c>
      <c r="D154" s="32" t="s">
        <v>1146</v>
      </c>
      <c r="E154" s="32" t="s">
        <v>1147</v>
      </c>
      <c r="F154" s="10" t="s">
        <v>1148</v>
      </c>
    </row>
    <row r="155" spans="1:6" x14ac:dyDescent="0.2">
      <c r="A155" s="10">
        <f t="shared" si="5"/>
        <v>850</v>
      </c>
      <c r="B155" s="10" t="s">
        <v>1149</v>
      </c>
      <c r="C155" s="10" t="str">
        <f t="shared" ca="1" si="4"/>
        <v>Plano Saúde</v>
      </c>
      <c r="D155" s="32" t="s">
        <v>1150</v>
      </c>
      <c r="E155" s="32" t="s">
        <v>1151</v>
      </c>
      <c r="F155" s="10" t="s">
        <v>1152</v>
      </c>
    </row>
    <row r="156" spans="1:6" x14ac:dyDescent="0.2">
      <c r="A156" s="10">
        <f t="shared" si="5"/>
        <v>851</v>
      </c>
      <c r="B156" s="10" t="s">
        <v>1153</v>
      </c>
      <c r="C156" s="10" t="str">
        <f t="shared" ca="1" si="4"/>
        <v>Fone</v>
      </c>
      <c r="D156" s="10" t="s">
        <v>1029</v>
      </c>
      <c r="E156" s="10" t="s">
        <v>1030</v>
      </c>
      <c r="F156" s="10" t="s">
        <v>1031</v>
      </c>
    </row>
    <row r="157" spans="1:6" x14ac:dyDescent="0.2">
      <c r="A157" s="10">
        <f t="shared" si="5"/>
        <v>852</v>
      </c>
      <c r="B157" s="10" t="s">
        <v>1154</v>
      </c>
      <c r="C157" s="10" t="str">
        <f t="shared" ca="1" si="4"/>
        <v>Hospital</v>
      </c>
      <c r="D157" s="10" t="s">
        <v>1155</v>
      </c>
      <c r="E157" s="10" t="s">
        <v>1155</v>
      </c>
      <c r="F157" s="10" t="s">
        <v>1155</v>
      </c>
    </row>
    <row r="158" spans="1:6" x14ac:dyDescent="0.2">
      <c r="A158" s="10">
        <f t="shared" si="5"/>
        <v>853</v>
      </c>
      <c r="B158" s="10" t="s">
        <v>1156</v>
      </c>
      <c r="C158" s="10" t="str">
        <f t="shared" ref="C158:C168" ca="1" si="6">OFFSET(C158,0,$C$1)</f>
        <v>Sou alérgico à</v>
      </c>
      <c r="D158" s="10" t="s">
        <v>1157</v>
      </c>
      <c r="E158" s="32" t="s">
        <v>1158</v>
      </c>
      <c r="F158" s="32" t="s">
        <v>1159</v>
      </c>
    </row>
    <row r="159" spans="1:6" x14ac:dyDescent="0.2">
      <c r="A159" s="10">
        <f t="shared" si="5"/>
        <v>854</v>
      </c>
      <c r="B159" s="10" t="s">
        <v>1160</v>
      </c>
      <c r="C159" s="10" t="str">
        <f t="shared" ca="1" si="6"/>
        <v>Vacinação contra tétano:</v>
      </c>
      <c r="D159" s="10" t="s">
        <v>1161</v>
      </c>
      <c r="E159" s="32" t="s">
        <v>1162</v>
      </c>
      <c r="F159" s="32" t="s">
        <v>1163</v>
      </c>
    </row>
    <row r="160" spans="1:6" x14ac:dyDescent="0.2">
      <c r="A160" s="10">
        <f t="shared" si="5"/>
        <v>855</v>
      </c>
      <c r="B160" s="10" t="s">
        <v>1164</v>
      </c>
      <c r="C160" s="10" t="str">
        <f t="shared" ca="1" si="6"/>
        <v>sim</v>
      </c>
      <c r="D160" s="10" t="s">
        <v>27</v>
      </c>
      <c r="E160" s="32" t="s">
        <v>1165</v>
      </c>
      <c r="F160" s="10" t="s">
        <v>682</v>
      </c>
    </row>
    <row r="161" spans="1:6" x14ac:dyDescent="0.2">
      <c r="A161" s="10">
        <f t="shared" si="5"/>
        <v>856</v>
      </c>
      <c r="B161" s="10" t="s">
        <v>1166</v>
      </c>
      <c r="C161" s="10" t="str">
        <f t="shared" ca="1" si="6"/>
        <v>não</v>
      </c>
      <c r="D161" s="10" t="s">
        <v>1167</v>
      </c>
      <c r="E161" s="32" t="s">
        <v>26</v>
      </c>
      <c r="F161" s="10" t="s">
        <v>683</v>
      </c>
    </row>
    <row r="162" spans="1:6" x14ac:dyDescent="0.2">
      <c r="A162" s="10">
        <f t="shared" si="5"/>
        <v>857</v>
      </c>
      <c r="B162" s="10" t="s">
        <v>1168</v>
      </c>
      <c r="C162" s="10" t="str">
        <f t="shared" ca="1" si="6"/>
        <v>Sofro de:</v>
      </c>
      <c r="D162" s="10" t="s">
        <v>1169</v>
      </c>
      <c r="E162" s="32" t="s">
        <v>1170</v>
      </c>
      <c r="F162" s="32" t="s">
        <v>1171</v>
      </c>
    </row>
    <row r="163" spans="1:6" x14ac:dyDescent="0.2">
      <c r="A163" s="10">
        <f t="shared" si="5"/>
        <v>858</v>
      </c>
      <c r="B163" s="10" t="s">
        <v>1172</v>
      </c>
      <c r="C163" s="10" t="str">
        <f t="shared" ca="1" si="6"/>
        <v>Coração</v>
      </c>
      <c r="D163" s="10" t="s">
        <v>1173</v>
      </c>
      <c r="E163" s="10" t="s">
        <v>1174</v>
      </c>
      <c r="F163" s="10" t="s">
        <v>1175</v>
      </c>
    </row>
    <row r="164" spans="1:6" x14ac:dyDescent="0.2">
      <c r="A164" s="10">
        <f t="shared" si="5"/>
        <v>859</v>
      </c>
      <c r="B164" s="10" t="s">
        <v>1176</v>
      </c>
      <c r="C164" s="10" t="str">
        <f t="shared" ca="1" si="6"/>
        <v>Hemofilia</v>
      </c>
      <c r="D164" s="10" t="s">
        <v>1177</v>
      </c>
      <c r="E164" s="10" t="s">
        <v>1178</v>
      </c>
      <c r="F164" s="10" t="s">
        <v>1178</v>
      </c>
    </row>
    <row r="165" spans="1:6" x14ac:dyDescent="0.2">
      <c r="A165" s="10">
        <f t="shared" si="5"/>
        <v>860</v>
      </c>
      <c r="B165" s="10" t="s">
        <v>1179</v>
      </c>
      <c r="C165" s="10" t="str">
        <f t="shared" ca="1" si="6"/>
        <v>Eplepsia</v>
      </c>
      <c r="D165" s="10" t="s">
        <v>1180</v>
      </c>
      <c r="E165" s="32" t="s">
        <v>1181</v>
      </c>
      <c r="F165" s="10" t="s">
        <v>1182</v>
      </c>
    </row>
    <row r="166" spans="1:6" x14ac:dyDescent="0.2">
      <c r="A166" s="10">
        <f t="shared" si="5"/>
        <v>861</v>
      </c>
      <c r="B166" s="10" t="s">
        <v>1183</v>
      </c>
      <c r="C166" s="10" t="str">
        <f t="shared" ca="1" si="6"/>
        <v>Diabetes</v>
      </c>
      <c r="D166" s="10" t="s">
        <v>1184</v>
      </c>
      <c r="E166" s="10" t="s">
        <v>1184</v>
      </c>
      <c r="F166" s="10" t="s">
        <v>1184</v>
      </c>
    </row>
    <row r="167" spans="1:6" x14ac:dyDescent="0.2">
      <c r="A167" s="10">
        <f t="shared" si="5"/>
        <v>862</v>
      </c>
      <c r="B167" s="10" t="s">
        <v>1185</v>
      </c>
      <c r="C167" s="10" t="str">
        <f t="shared" ca="1" si="6"/>
        <v>Em caso de emergência avisar:</v>
      </c>
      <c r="D167" s="10" t="s">
        <v>1186</v>
      </c>
      <c r="E167" s="32" t="s">
        <v>1187</v>
      </c>
      <c r="F167" s="32" t="s">
        <v>1188</v>
      </c>
    </row>
    <row r="168" spans="1:6" x14ac:dyDescent="0.2">
      <c r="A168" s="10">
        <f t="shared" si="5"/>
        <v>863</v>
      </c>
      <c r="B168" s="10" t="s">
        <v>1189</v>
      </c>
      <c r="C168" s="10" t="str">
        <f t="shared" ca="1" si="6"/>
        <v>Nome:</v>
      </c>
      <c r="D168" s="10" t="s">
        <v>1190</v>
      </c>
      <c r="E168" s="10" t="s">
        <v>1191</v>
      </c>
      <c r="F168" s="10" t="s">
        <v>1192</v>
      </c>
    </row>
    <row r="169" spans="1:6" x14ac:dyDescent="0.2">
      <c r="A169" s="10">
        <f t="shared" si="5"/>
        <v>864</v>
      </c>
      <c r="B169" s="10" t="s">
        <v>1193</v>
      </c>
      <c r="C169" s="10" t="str">
        <f ca="1">OFFSET(C169,0,$C$1)</f>
        <v>Fone:</v>
      </c>
      <c r="D169" s="10" t="s">
        <v>1194</v>
      </c>
      <c r="E169" s="10" t="s">
        <v>1195</v>
      </c>
      <c r="F169" s="10" t="s">
        <v>1196</v>
      </c>
    </row>
    <row r="170" spans="1:6" x14ac:dyDescent="0.2">
      <c r="A170" s="10">
        <f t="shared" si="5"/>
        <v>865</v>
      </c>
      <c r="B170" s="10" t="s">
        <v>1197</v>
      </c>
      <c r="C170" s="10" t="str">
        <f ca="1">OFFSET(C170,0,$C$1)</f>
        <v>Nome:</v>
      </c>
      <c r="D170" s="10" t="s">
        <v>1190</v>
      </c>
      <c r="E170" s="10" t="s">
        <v>1191</v>
      </c>
      <c r="F170" s="10" t="s">
        <v>1192</v>
      </c>
    </row>
    <row r="171" spans="1:6" x14ac:dyDescent="0.2">
      <c r="A171" s="10">
        <f t="shared" si="5"/>
        <v>866</v>
      </c>
      <c r="B171" s="10" t="s">
        <v>1198</v>
      </c>
      <c r="C171" s="10" t="str">
        <f ca="1">OFFSET(C171,0,$C$1)</f>
        <v>Fone:</v>
      </c>
      <c r="D171" s="10" t="s">
        <v>1194</v>
      </c>
      <c r="E171" s="10" t="s">
        <v>1195</v>
      </c>
      <c r="F171" s="10" t="s">
        <v>1196</v>
      </c>
    </row>
    <row r="172" spans="1:6" x14ac:dyDescent="0.2">
      <c r="A172" s="10">
        <f t="shared" si="5"/>
        <v>900</v>
      </c>
      <c r="B172" s="10" t="s">
        <v>1199</v>
      </c>
      <c r="C172" s="10" t="str">
        <f t="shared" ref="C172:C235" ca="1" si="7">OFFSET(C172,0,$C$1)</f>
        <v>Feriados</v>
      </c>
      <c r="D172" s="10" t="s">
        <v>1200</v>
      </c>
      <c r="E172" s="32" t="s">
        <v>811</v>
      </c>
      <c r="F172" s="10" t="s">
        <v>812</v>
      </c>
    </row>
    <row r="173" spans="1:6" x14ac:dyDescent="0.2">
      <c r="A173" s="10">
        <f t="shared" si="5"/>
        <v>901</v>
      </c>
      <c r="B173" s="32" t="s">
        <v>1201</v>
      </c>
      <c r="C173" s="10" t="str">
        <f t="shared" ca="1" si="7"/>
        <v>Feriados</v>
      </c>
      <c r="D173" s="10" t="s">
        <v>1200</v>
      </c>
      <c r="E173" s="32" t="s">
        <v>1202</v>
      </c>
      <c r="F173" s="10" t="s">
        <v>812</v>
      </c>
    </row>
    <row r="174" spans="1:6" x14ac:dyDescent="0.2">
      <c r="A174" s="10">
        <f t="shared" si="5"/>
        <v>902</v>
      </c>
      <c r="B174" s="10" t="s">
        <v>1203</v>
      </c>
      <c r="C174" s="10" t="str">
        <f t="shared" ca="1" si="7"/>
        <v>FERIADOS, COMEMORAÇÕES E ANIVERSÁRIOS</v>
      </c>
      <c r="D174" s="32" t="s">
        <v>1204</v>
      </c>
      <c r="E174" s="32" t="s">
        <v>1205</v>
      </c>
      <c r="F174" s="10" t="s">
        <v>1206</v>
      </c>
    </row>
    <row r="175" spans="1:6" x14ac:dyDescent="0.2">
      <c r="A175" s="10">
        <f t="shared" si="5"/>
        <v>903</v>
      </c>
      <c r="B175" s="10" t="s">
        <v>1207</v>
      </c>
      <c r="C175" s="10" t="str">
        <f t="shared" ca="1" si="7"/>
        <v>AUXILIAR PÁSCOA</v>
      </c>
      <c r="D175" s="32" t="s">
        <v>1208</v>
      </c>
      <c r="E175" s="32" t="s">
        <v>1209</v>
      </c>
      <c r="F175" s="32" t="s">
        <v>1210</v>
      </c>
    </row>
    <row r="176" spans="1:6" x14ac:dyDescent="0.2">
      <c r="A176" s="10">
        <f t="shared" si="5"/>
        <v>904</v>
      </c>
      <c r="B176" s="10" t="s">
        <v>1211</v>
      </c>
      <c r="C176" s="10" t="str">
        <f t="shared" ca="1" si="7"/>
        <v>FIXOS</v>
      </c>
      <c r="D176" s="10" t="s">
        <v>1212</v>
      </c>
      <c r="E176" s="32" t="s">
        <v>1213</v>
      </c>
      <c r="F176" s="32" t="s">
        <v>1214</v>
      </c>
    </row>
    <row r="177" spans="1:6" x14ac:dyDescent="0.2">
      <c r="A177" s="10">
        <f t="shared" si="5"/>
        <v>905</v>
      </c>
      <c r="B177" s="10" t="s">
        <v>1215</v>
      </c>
      <c r="C177" s="10" t="str">
        <f t="shared" ca="1" si="7"/>
        <v>MÓVEIS COM A PÁSCOA</v>
      </c>
      <c r="D177" s="32" t="s">
        <v>1216</v>
      </c>
      <c r="E177" s="32" t="s">
        <v>1217</v>
      </c>
      <c r="F177" s="32" t="s">
        <v>1218</v>
      </c>
    </row>
    <row r="178" spans="1:6" x14ac:dyDescent="0.2">
      <c r="A178" s="10">
        <f t="shared" si="5"/>
        <v>906</v>
      </c>
      <c r="B178" s="10" t="s">
        <v>1219</v>
      </c>
      <c r="C178" s="10" t="str">
        <f t="shared" ca="1" si="7"/>
        <v>MÓVEIS - CERTO DIA DA SEMANA DE CERTO MÊS</v>
      </c>
      <c r="D178" s="32" t="s">
        <v>1220</v>
      </c>
      <c r="E178" s="32" t="s">
        <v>1221</v>
      </c>
      <c r="F178" s="32" t="s">
        <v>1222</v>
      </c>
    </row>
    <row r="179" spans="1:6" x14ac:dyDescent="0.2">
      <c r="A179" s="10">
        <f t="shared" si="5"/>
        <v>907</v>
      </c>
      <c r="B179" s="10" t="s">
        <v>1223</v>
      </c>
      <c r="C179" s="10" t="str">
        <f t="shared" ca="1" si="7"/>
        <v>ESTAÇÕES DO ANO</v>
      </c>
      <c r="D179" s="32" t="s">
        <v>1224</v>
      </c>
      <c r="E179" s="32" t="s">
        <v>1225</v>
      </c>
      <c r="F179" s="10" t="s">
        <v>1226</v>
      </c>
    </row>
    <row r="180" spans="1:6" x14ac:dyDescent="0.2">
      <c r="A180" s="10">
        <f t="shared" si="5"/>
        <v>908</v>
      </c>
      <c r="B180" s="10" t="s">
        <v>1227</v>
      </c>
      <c r="C180" s="10" t="str">
        <f t="shared" ca="1" si="7"/>
        <v>AUXILIAR DIA DA SEMANA</v>
      </c>
      <c r="D180" s="10" t="s">
        <v>1228</v>
      </c>
      <c r="E180" s="32" t="s">
        <v>1229</v>
      </c>
      <c r="F180" s="32" t="s">
        <v>1230</v>
      </c>
    </row>
    <row r="181" spans="1:6" x14ac:dyDescent="0.2">
      <c r="A181" s="10">
        <f t="shared" si="5"/>
        <v>909</v>
      </c>
      <c r="B181" s="10" t="s">
        <v>1231</v>
      </c>
      <c r="C181" s="10" t="str">
        <f t="shared" ca="1" si="7"/>
        <v>Dia</v>
      </c>
      <c r="D181" s="10" t="s">
        <v>1232</v>
      </c>
      <c r="E181" s="10" t="s">
        <v>1233</v>
      </c>
      <c r="F181" s="10" t="s">
        <v>1234</v>
      </c>
    </row>
    <row r="182" spans="1:6" x14ac:dyDescent="0.2">
      <c r="A182" s="10">
        <f t="shared" si="5"/>
        <v>910</v>
      </c>
      <c r="B182" s="10" t="s">
        <v>1235</v>
      </c>
      <c r="C182" s="10" t="str">
        <f t="shared" ca="1" si="7"/>
        <v>Mês</v>
      </c>
      <c r="D182" s="10" t="s">
        <v>1236</v>
      </c>
      <c r="E182" s="10" t="s">
        <v>1237</v>
      </c>
      <c r="F182" s="10" t="s">
        <v>1238</v>
      </c>
    </row>
    <row r="183" spans="1:6" x14ac:dyDescent="0.2">
      <c r="A183" s="10">
        <f t="shared" si="5"/>
        <v>911</v>
      </c>
      <c r="B183" s="10" t="s">
        <v>1239</v>
      </c>
      <c r="C183" s="10" t="str">
        <f t="shared" ca="1" si="7"/>
        <v>Data</v>
      </c>
      <c r="D183" s="10" t="s">
        <v>1240</v>
      </c>
      <c r="E183" s="10" t="s">
        <v>1241</v>
      </c>
      <c r="F183" s="10" t="s">
        <v>1242</v>
      </c>
    </row>
    <row r="184" spans="1:6" x14ac:dyDescent="0.2">
      <c r="A184" s="10">
        <f t="shared" si="5"/>
        <v>912</v>
      </c>
      <c r="B184" s="10" t="s">
        <v>1243</v>
      </c>
      <c r="C184" s="10" t="str">
        <f t="shared" ca="1" si="7"/>
        <v>Nome</v>
      </c>
      <c r="D184" s="10" t="s">
        <v>1011</v>
      </c>
      <c r="E184" s="10" t="s">
        <v>1012</v>
      </c>
      <c r="F184" s="10" t="s">
        <v>1013</v>
      </c>
    </row>
    <row r="185" spans="1:6" x14ac:dyDescent="0.2">
      <c r="A185" s="10">
        <f t="shared" si="5"/>
        <v>913</v>
      </c>
      <c r="B185" s="10" t="s">
        <v>1244</v>
      </c>
      <c r="C185" s="10" t="str">
        <f t="shared" ca="1" si="7"/>
        <v>Dia Sem.</v>
      </c>
      <c r="D185" s="10" t="s">
        <v>1245</v>
      </c>
      <c r="E185" s="32" t="s">
        <v>1246</v>
      </c>
      <c r="F185" s="10" t="s">
        <v>1247</v>
      </c>
    </row>
    <row r="186" spans="1:6" x14ac:dyDescent="0.2">
      <c r="A186" s="10">
        <f t="shared" si="5"/>
        <v>914</v>
      </c>
      <c r="B186" s="10" t="s">
        <v>1248</v>
      </c>
      <c r="C186" s="10" t="str">
        <f t="shared" ca="1" si="7"/>
        <v>Compen-sação</v>
      </c>
      <c r="D186" s="32" t="s">
        <v>1249</v>
      </c>
      <c r="E186" s="32" t="s">
        <v>1250</v>
      </c>
      <c r="F186" s="10" t="s">
        <v>1251</v>
      </c>
    </row>
    <row r="187" spans="1:6" x14ac:dyDescent="0.2">
      <c r="A187" s="10">
        <f t="shared" si="5"/>
        <v>915</v>
      </c>
      <c r="B187" s="10" t="s">
        <v>1252</v>
      </c>
      <c r="C187" s="10" t="str">
        <f t="shared" ca="1" si="7"/>
        <v>Tipo</v>
      </c>
      <c r="D187" s="10" t="s">
        <v>1253</v>
      </c>
      <c r="E187" s="10" t="s">
        <v>1254</v>
      </c>
      <c r="F187" s="10" t="s">
        <v>1254</v>
      </c>
    </row>
    <row r="188" spans="1:6" x14ac:dyDescent="0.2">
      <c r="A188" s="10">
        <f t="shared" si="5"/>
        <v>916</v>
      </c>
      <c r="B188" s="32" t="s">
        <v>1255</v>
      </c>
      <c r="C188" s="10" t="str">
        <f t="shared" ca="1" si="7"/>
        <v>Feriado</v>
      </c>
      <c r="D188" s="32" t="s">
        <v>1256</v>
      </c>
      <c r="E188" s="32" t="s">
        <v>1257</v>
      </c>
      <c r="F188" s="32" t="s">
        <v>1257</v>
      </c>
    </row>
    <row r="189" spans="1:6" x14ac:dyDescent="0.2">
      <c r="A189" s="10">
        <f t="shared" si="5"/>
        <v>917</v>
      </c>
      <c r="B189" s="32" t="s">
        <v>1258</v>
      </c>
      <c r="C189" s="10" t="str">
        <f t="shared" ca="1" si="7"/>
        <v>Evento</v>
      </c>
      <c r="D189" s="32" t="s">
        <v>1259</v>
      </c>
      <c r="E189" s="32" t="s">
        <v>1260</v>
      </c>
      <c r="F189" s="32" t="s">
        <v>1260</v>
      </c>
    </row>
    <row r="190" spans="1:6" x14ac:dyDescent="0.2">
      <c r="A190" s="10">
        <f t="shared" si="5"/>
        <v>918</v>
      </c>
      <c r="B190" s="10" t="s">
        <v>1261</v>
      </c>
      <c r="C190" s="10" t="str">
        <f t="shared" ca="1" si="7"/>
        <v>Domingo</v>
      </c>
      <c r="D190" s="10" t="s">
        <v>679</v>
      </c>
      <c r="E190" s="10" t="s">
        <v>680</v>
      </c>
      <c r="F190" s="10" t="s">
        <v>680</v>
      </c>
    </row>
    <row r="191" spans="1:6" x14ac:dyDescent="0.2">
      <c r="A191" s="10">
        <f t="shared" si="5"/>
        <v>919</v>
      </c>
      <c r="B191" s="10" t="s">
        <v>1262</v>
      </c>
      <c r="C191" s="10" t="str">
        <f t="shared" ca="1" si="7"/>
        <v>Segunda</v>
      </c>
      <c r="D191" s="10" t="s">
        <v>655</v>
      </c>
      <c r="E191" s="10" t="s">
        <v>656</v>
      </c>
      <c r="F191" s="10" t="s">
        <v>657</v>
      </c>
    </row>
    <row r="192" spans="1:6" x14ac:dyDescent="0.2">
      <c r="A192" s="10">
        <f t="shared" si="5"/>
        <v>920</v>
      </c>
      <c r="B192" s="10" t="s">
        <v>1263</v>
      </c>
      <c r="C192" s="10" t="str">
        <f t="shared" ca="1" si="7"/>
        <v>Terça</v>
      </c>
      <c r="D192" s="10" t="s">
        <v>659</v>
      </c>
      <c r="E192" s="10" t="s">
        <v>660</v>
      </c>
      <c r="F192" s="10" t="s">
        <v>661</v>
      </c>
    </row>
    <row r="193" spans="1:7" x14ac:dyDescent="0.2">
      <c r="A193" s="10">
        <f t="shared" si="5"/>
        <v>921</v>
      </c>
      <c r="B193" s="10" t="s">
        <v>1264</v>
      </c>
      <c r="C193" s="10" t="str">
        <f t="shared" ca="1" si="7"/>
        <v>Quarta</v>
      </c>
      <c r="D193" s="10" t="s">
        <v>663</v>
      </c>
      <c r="E193" s="10" t="s">
        <v>664</v>
      </c>
      <c r="F193" s="10" t="s">
        <v>665</v>
      </c>
    </row>
    <row r="194" spans="1:7" x14ac:dyDescent="0.2">
      <c r="A194" s="10">
        <f t="shared" si="5"/>
        <v>922</v>
      </c>
      <c r="B194" s="10" t="s">
        <v>1265</v>
      </c>
      <c r="C194" s="10" t="str">
        <f t="shared" ca="1" si="7"/>
        <v>Quinta</v>
      </c>
      <c r="D194" s="10" t="s">
        <v>667</v>
      </c>
      <c r="E194" s="10" t="s">
        <v>668</v>
      </c>
      <c r="F194" s="10" t="s">
        <v>669</v>
      </c>
    </row>
    <row r="195" spans="1:7" x14ac:dyDescent="0.2">
      <c r="A195" s="10">
        <f t="shared" si="5"/>
        <v>923</v>
      </c>
      <c r="B195" s="10" t="s">
        <v>1266</v>
      </c>
      <c r="C195" s="10" t="str">
        <f t="shared" ca="1" si="7"/>
        <v>Sexta</v>
      </c>
      <c r="D195" s="10" t="s">
        <v>671</v>
      </c>
      <c r="E195" s="10" t="s">
        <v>672</v>
      </c>
      <c r="F195" s="10" t="s">
        <v>673</v>
      </c>
    </row>
    <row r="196" spans="1:7" x14ac:dyDescent="0.2">
      <c r="A196" s="10">
        <f t="shared" si="5"/>
        <v>924</v>
      </c>
      <c r="B196" s="10" t="s">
        <v>1267</v>
      </c>
      <c r="C196" s="10" t="str">
        <f t="shared" ca="1" si="7"/>
        <v>Sábado</v>
      </c>
      <c r="D196" s="10" t="s">
        <v>675</v>
      </c>
      <c r="E196" s="10" t="s">
        <v>676</v>
      </c>
      <c r="F196" s="10" t="s">
        <v>677</v>
      </c>
    </row>
    <row r="197" spans="1:7" x14ac:dyDescent="0.2">
      <c r="A197" s="10">
        <f t="shared" si="5"/>
        <v>925</v>
      </c>
      <c r="B197" s="32" t="s">
        <v>1268</v>
      </c>
      <c r="C197" s="10" t="str">
        <f t="shared" ca="1" si="7"/>
        <v>Outono</v>
      </c>
      <c r="D197" s="10" t="s">
        <v>1269</v>
      </c>
      <c r="E197" s="10" t="s">
        <v>1270</v>
      </c>
      <c r="F197" s="10" t="s">
        <v>1271</v>
      </c>
    </row>
    <row r="198" spans="1:7" x14ac:dyDescent="0.2">
      <c r="A198" s="10">
        <f t="shared" ref="A198:A261" si="8">IF(RIGHT(B198,8)="_section",(INT(A197/100)+1)*100,A197+1)</f>
        <v>926</v>
      </c>
      <c r="B198" s="32" t="s">
        <v>1272</v>
      </c>
      <c r="C198" s="10" t="str">
        <f t="shared" ca="1" si="7"/>
        <v>Inverno</v>
      </c>
      <c r="D198" s="10" t="s">
        <v>1273</v>
      </c>
      <c r="E198" s="10" t="s">
        <v>1274</v>
      </c>
      <c r="F198" s="10" t="s">
        <v>1275</v>
      </c>
    </row>
    <row r="199" spans="1:7" x14ac:dyDescent="0.2">
      <c r="A199" s="10">
        <f t="shared" si="8"/>
        <v>927</v>
      </c>
      <c r="B199" s="32" t="s">
        <v>1276</v>
      </c>
      <c r="C199" s="10" t="str">
        <f t="shared" ca="1" si="7"/>
        <v>Primavera</v>
      </c>
      <c r="D199" s="10" t="s">
        <v>1277</v>
      </c>
      <c r="E199" s="10" t="s">
        <v>1278</v>
      </c>
      <c r="F199" s="10" t="s">
        <v>1278</v>
      </c>
    </row>
    <row r="200" spans="1:7" x14ac:dyDescent="0.2">
      <c r="A200" s="10">
        <f t="shared" si="8"/>
        <v>928</v>
      </c>
      <c r="B200" s="32" t="s">
        <v>1279</v>
      </c>
      <c r="C200" s="10" t="str">
        <f t="shared" ca="1" si="7"/>
        <v>Verão</v>
      </c>
      <c r="D200" s="10" t="s">
        <v>1280</v>
      </c>
      <c r="E200" s="10" t="s">
        <v>1281</v>
      </c>
      <c r="F200" s="10" t="s">
        <v>1282</v>
      </c>
    </row>
    <row r="201" spans="1:7" x14ac:dyDescent="0.2">
      <c r="A201" s="10">
        <f t="shared" si="8"/>
        <v>929</v>
      </c>
      <c r="B201" s="10" t="s">
        <v>1283</v>
      </c>
      <c r="C201" s="10" t="str">
        <f t="shared" ca="1" si="7"/>
        <v>Halloween</v>
      </c>
      <c r="D201" s="10" t="s">
        <v>1283</v>
      </c>
      <c r="E201" s="10" t="s">
        <v>1283</v>
      </c>
      <c r="F201" s="10" t="s">
        <v>1283</v>
      </c>
    </row>
    <row r="202" spans="1:7" x14ac:dyDescent="0.2">
      <c r="A202" s="10">
        <f t="shared" si="8"/>
        <v>930</v>
      </c>
      <c r="B202" s="10" t="s">
        <v>1284</v>
      </c>
      <c r="C202" s="10" t="str">
        <f t="shared" ca="1" si="7"/>
        <v>Todos os Santos</v>
      </c>
      <c r="D202" s="10" t="s">
        <v>1284</v>
      </c>
      <c r="E202" s="10" t="s">
        <v>1284</v>
      </c>
      <c r="F202" s="32" t="s">
        <v>1285</v>
      </c>
    </row>
    <row r="203" spans="1:7" x14ac:dyDescent="0.2">
      <c r="A203" s="10">
        <f t="shared" si="8"/>
        <v>931</v>
      </c>
      <c r="B203" s="10" t="s">
        <v>1286</v>
      </c>
      <c r="C203" s="10" t="str">
        <f t="shared" ca="1" si="7"/>
        <v>Finados</v>
      </c>
      <c r="D203" s="10" t="s">
        <v>1286</v>
      </c>
      <c r="E203" s="10" t="s">
        <v>1286</v>
      </c>
      <c r="F203" s="32" t="s">
        <v>1287</v>
      </c>
    </row>
    <row r="204" spans="1:7" x14ac:dyDescent="0.2">
      <c r="A204" s="10">
        <f t="shared" si="8"/>
        <v>932</v>
      </c>
      <c r="B204" s="10" t="s">
        <v>1288</v>
      </c>
      <c r="C204" s="10" t="str">
        <f t="shared" ca="1" si="7"/>
        <v>Advento</v>
      </c>
      <c r="D204" s="10" t="s">
        <v>1288</v>
      </c>
      <c r="E204" s="10" t="s">
        <v>1288</v>
      </c>
      <c r="F204" s="32" t="s">
        <v>1289</v>
      </c>
    </row>
    <row r="205" spans="1:7" x14ac:dyDescent="0.2">
      <c r="A205" s="10">
        <f t="shared" si="8"/>
        <v>933</v>
      </c>
      <c r="B205" s="10" t="s">
        <v>1290</v>
      </c>
      <c r="C205" s="10" t="str">
        <f t="shared" ca="1" si="7"/>
        <v>Natal</v>
      </c>
      <c r="D205" s="10" t="s">
        <v>1290</v>
      </c>
      <c r="E205" s="10" t="s">
        <v>1290</v>
      </c>
      <c r="F205" s="32" t="s">
        <v>1291</v>
      </c>
      <c r="G205" s="32"/>
    </row>
    <row r="206" spans="1:7" x14ac:dyDescent="0.2">
      <c r="A206" s="10">
        <f t="shared" si="8"/>
        <v>934</v>
      </c>
      <c r="B206" s="10" t="s">
        <v>1292</v>
      </c>
      <c r="C206" s="10" t="str">
        <f t="shared" ca="1" si="7"/>
        <v>Santos Inocentes</v>
      </c>
      <c r="D206" s="10" t="s">
        <v>1292</v>
      </c>
      <c r="E206" s="10" t="s">
        <v>1292</v>
      </c>
      <c r="F206" s="32" t="s">
        <v>1293</v>
      </c>
    </row>
    <row r="207" spans="1:7" x14ac:dyDescent="0.2">
      <c r="A207" s="10">
        <f t="shared" si="8"/>
        <v>935</v>
      </c>
      <c r="B207" s="10" t="s">
        <v>1294</v>
      </c>
      <c r="C207" s="10" t="str">
        <f t="shared" ca="1" si="7"/>
        <v>Epifania</v>
      </c>
      <c r="D207" s="10" t="s">
        <v>1294</v>
      </c>
      <c r="E207" s="10" t="s">
        <v>1294</v>
      </c>
      <c r="F207" s="32" t="s">
        <v>1295</v>
      </c>
    </row>
    <row r="208" spans="1:7" x14ac:dyDescent="0.2">
      <c r="A208" s="10">
        <f t="shared" si="8"/>
        <v>936</v>
      </c>
      <c r="B208" s="10" t="s">
        <v>1296</v>
      </c>
      <c r="C208" s="10" t="str">
        <f t="shared" ca="1" si="7"/>
        <v>Candelária</v>
      </c>
      <c r="D208" s="10" t="s">
        <v>1296</v>
      </c>
      <c r="E208" s="10" t="s">
        <v>1296</v>
      </c>
      <c r="F208" s="10" t="s">
        <v>1297</v>
      </c>
    </row>
    <row r="209" spans="1:7" x14ac:dyDescent="0.2">
      <c r="A209" s="10">
        <f t="shared" si="8"/>
        <v>937</v>
      </c>
      <c r="B209" s="10" t="s">
        <v>1298</v>
      </c>
      <c r="C209" s="10" t="str">
        <f t="shared" ca="1" si="7"/>
        <v>Domingo de Ramos</v>
      </c>
      <c r="D209" s="10" t="s">
        <v>1298</v>
      </c>
      <c r="E209" s="32" t="s">
        <v>1299</v>
      </c>
      <c r="F209" s="32" t="s">
        <v>1300</v>
      </c>
    </row>
    <row r="210" spans="1:7" x14ac:dyDescent="0.2">
      <c r="A210" s="10">
        <f t="shared" si="8"/>
        <v>938</v>
      </c>
      <c r="B210" s="10" t="s">
        <v>1301</v>
      </c>
      <c r="C210" s="10" t="str">
        <f t="shared" ca="1" si="7"/>
        <v>Carnaval</v>
      </c>
      <c r="D210" s="10" t="s">
        <v>1301</v>
      </c>
      <c r="E210" s="10" t="s">
        <v>1301</v>
      </c>
      <c r="F210" s="32" t="s">
        <v>1302</v>
      </c>
      <c r="G210" s="32"/>
    </row>
    <row r="211" spans="1:7" x14ac:dyDescent="0.2">
      <c r="A211" s="10">
        <f t="shared" si="8"/>
        <v>939</v>
      </c>
      <c r="B211" s="10" t="s">
        <v>1303</v>
      </c>
      <c r="C211" s="10" t="str">
        <f t="shared" ca="1" si="7"/>
        <v>Quarta-feira de Cinzas</v>
      </c>
      <c r="D211" s="10" t="s">
        <v>1303</v>
      </c>
      <c r="E211" s="10" t="s">
        <v>1303</v>
      </c>
      <c r="F211" s="32" t="s">
        <v>1304</v>
      </c>
      <c r="G211" s="32"/>
    </row>
    <row r="212" spans="1:7" x14ac:dyDescent="0.2">
      <c r="A212" s="10">
        <f t="shared" si="8"/>
        <v>940</v>
      </c>
      <c r="B212" s="10" t="s">
        <v>1305</v>
      </c>
      <c r="C212" s="10" t="str">
        <f t="shared" ca="1" si="7"/>
        <v>Quinta-feira Santa</v>
      </c>
      <c r="D212" s="10" t="s">
        <v>1305</v>
      </c>
      <c r="E212" s="10" t="s">
        <v>1305</v>
      </c>
      <c r="F212" s="10" t="s">
        <v>1306</v>
      </c>
    </row>
    <row r="213" spans="1:7" x14ac:dyDescent="0.2">
      <c r="A213" s="10">
        <f t="shared" si="8"/>
        <v>941</v>
      </c>
      <c r="B213" s="10" t="s">
        <v>1307</v>
      </c>
      <c r="C213" s="10" t="str">
        <f t="shared" ca="1" si="7"/>
        <v>Paixão de Cristo</v>
      </c>
      <c r="D213" s="10" t="s">
        <v>1307</v>
      </c>
      <c r="E213" s="10" t="s">
        <v>1307</v>
      </c>
      <c r="F213" s="32" t="s">
        <v>1308</v>
      </c>
      <c r="G213" s="32"/>
    </row>
    <row r="214" spans="1:7" x14ac:dyDescent="0.2">
      <c r="A214" s="10">
        <f t="shared" si="8"/>
        <v>942</v>
      </c>
      <c r="B214" s="10" t="s">
        <v>1309</v>
      </c>
      <c r="C214" s="10" t="str">
        <f t="shared" ca="1" si="7"/>
        <v>Sábado de Aleluia</v>
      </c>
      <c r="D214" s="10" t="s">
        <v>1309</v>
      </c>
      <c r="E214" s="10" t="s">
        <v>1309</v>
      </c>
      <c r="F214" s="32" t="s">
        <v>1310</v>
      </c>
    </row>
    <row r="215" spans="1:7" x14ac:dyDescent="0.2">
      <c r="A215" s="10">
        <f t="shared" si="8"/>
        <v>943</v>
      </c>
      <c r="B215" s="32" t="s">
        <v>1311</v>
      </c>
      <c r="C215" s="10" t="str">
        <f t="shared" ca="1" si="7"/>
        <v>Páscoa</v>
      </c>
      <c r="D215" s="32" t="s">
        <v>1311</v>
      </c>
      <c r="E215" s="32" t="s">
        <v>1311</v>
      </c>
      <c r="F215" s="32" t="s">
        <v>1312</v>
      </c>
      <c r="G215" s="32"/>
    </row>
    <row r="216" spans="1:7" x14ac:dyDescent="0.2">
      <c r="A216" s="10">
        <f t="shared" si="8"/>
        <v>944</v>
      </c>
      <c r="B216" s="10" t="s">
        <v>1313</v>
      </c>
      <c r="C216" s="10" t="str">
        <f t="shared" ca="1" si="7"/>
        <v>Segunda-feira de Páscoa</v>
      </c>
      <c r="D216" s="10" t="s">
        <v>1313</v>
      </c>
      <c r="E216" s="10" t="s">
        <v>1313</v>
      </c>
      <c r="F216" s="32" t="s">
        <v>1314</v>
      </c>
    </row>
    <row r="217" spans="1:7" x14ac:dyDescent="0.2">
      <c r="A217" s="10">
        <f t="shared" si="8"/>
        <v>945</v>
      </c>
      <c r="B217" s="10" t="s">
        <v>1315</v>
      </c>
      <c r="C217" s="10" t="str">
        <f t="shared" ca="1" si="7"/>
        <v>Ascensão de Jesus</v>
      </c>
      <c r="D217" s="10" t="s">
        <v>1315</v>
      </c>
      <c r="E217" s="10" t="s">
        <v>1315</v>
      </c>
      <c r="F217" s="32" t="s">
        <v>1316</v>
      </c>
    </row>
    <row r="218" spans="1:7" x14ac:dyDescent="0.2">
      <c r="A218" s="10">
        <f t="shared" si="8"/>
        <v>946</v>
      </c>
      <c r="B218" s="10" t="s">
        <v>1317</v>
      </c>
      <c r="C218" s="10" t="str">
        <f t="shared" ca="1" si="7"/>
        <v>Pentecostes</v>
      </c>
      <c r="D218" s="10" t="s">
        <v>1317</v>
      </c>
      <c r="E218" s="10" t="s">
        <v>1317</v>
      </c>
      <c r="F218" s="32" t="s">
        <v>1318</v>
      </c>
    </row>
    <row r="219" spans="1:7" x14ac:dyDescent="0.2">
      <c r="A219" s="10">
        <f t="shared" si="8"/>
        <v>947</v>
      </c>
      <c r="B219" s="32" t="s">
        <v>1319</v>
      </c>
      <c r="C219" s="10" t="str">
        <f t="shared" ca="1" si="7"/>
        <v>Trindade</v>
      </c>
      <c r="D219" s="32" t="s">
        <v>1319</v>
      </c>
      <c r="E219" s="32" t="s">
        <v>1319</v>
      </c>
      <c r="F219" s="32" t="s">
        <v>1320</v>
      </c>
      <c r="G219" s="32"/>
    </row>
    <row r="220" spans="1:7" x14ac:dyDescent="0.2">
      <c r="A220" s="10">
        <f t="shared" si="8"/>
        <v>948</v>
      </c>
      <c r="B220" s="10" t="s">
        <v>1321</v>
      </c>
      <c r="C220" s="10" t="str">
        <f t="shared" ca="1" si="7"/>
        <v>Corpus Christi</v>
      </c>
      <c r="D220" s="10" t="s">
        <v>1321</v>
      </c>
      <c r="E220" s="10" t="s">
        <v>1321</v>
      </c>
      <c r="F220" s="10" t="s">
        <v>1321</v>
      </c>
      <c r="G220" s="32"/>
    </row>
    <row r="221" spans="1:7" x14ac:dyDescent="0.2">
      <c r="A221" s="10">
        <f t="shared" si="8"/>
        <v>949</v>
      </c>
      <c r="B221" s="10" t="s">
        <v>1322</v>
      </c>
      <c r="C221" s="10" t="str">
        <f t="shared" ca="1" si="7"/>
        <v>Ascensão de Maria</v>
      </c>
      <c r="D221" s="10" t="s">
        <v>1322</v>
      </c>
      <c r="E221" s="10" t="s">
        <v>1322</v>
      </c>
      <c r="F221" s="32" t="s">
        <v>1323</v>
      </c>
    </row>
    <row r="222" spans="1:7" x14ac:dyDescent="0.2">
      <c r="A222" s="10">
        <f t="shared" si="8"/>
        <v>950</v>
      </c>
      <c r="B222" s="10" t="s">
        <v>1324</v>
      </c>
      <c r="C222" s="10" t="str">
        <f t="shared" ca="1" si="7"/>
        <v>Réveillon</v>
      </c>
      <c r="D222" s="10" t="s">
        <v>1324</v>
      </c>
      <c r="E222" s="10" t="s">
        <v>1324</v>
      </c>
      <c r="F222" s="10" t="s">
        <v>1325</v>
      </c>
    </row>
    <row r="223" spans="1:7" x14ac:dyDescent="0.2">
      <c r="A223" s="10">
        <f t="shared" si="8"/>
        <v>1000</v>
      </c>
      <c r="B223" s="10" t="s">
        <v>1326</v>
      </c>
      <c r="C223" s="10" t="str">
        <f t="shared" ca="1" si="7"/>
        <v>Calendário</v>
      </c>
      <c r="D223" s="10" t="s">
        <v>85</v>
      </c>
      <c r="E223" s="32" t="s">
        <v>1327</v>
      </c>
      <c r="F223" s="10" t="s">
        <v>1328</v>
      </c>
    </row>
    <row r="224" spans="1:7" x14ac:dyDescent="0.2">
      <c r="A224" s="10">
        <f t="shared" si="8"/>
        <v>1001</v>
      </c>
      <c r="B224" s="32" t="s">
        <v>1329</v>
      </c>
      <c r="C224" s="10" t="str">
        <f t="shared" ca="1" si="7"/>
        <v>Calendario</v>
      </c>
      <c r="D224" s="10" t="s">
        <v>85</v>
      </c>
      <c r="E224" s="32" t="s">
        <v>1327</v>
      </c>
      <c r="F224" s="32" t="s">
        <v>1327</v>
      </c>
    </row>
    <row r="225" spans="1:6" x14ac:dyDescent="0.2">
      <c r="A225" s="10">
        <f t="shared" si="8"/>
        <v>1002</v>
      </c>
      <c r="B225" s="10" t="s">
        <v>1330</v>
      </c>
      <c r="C225" s="10" t="str">
        <f t="shared" ca="1" si="7"/>
        <v>Calendário</v>
      </c>
      <c r="D225" s="10" t="s">
        <v>85</v>
      </c>
      <c r="E225" s="32" t="s">
        <v>1327</v>
      </c>
      <c r="F225" s="10" t="s">
        <v>1328</v>
      </c>
    </row>
    <row r="226" spans="1:6" x14ac:dyDescent="0.2">
      <c r="A226" s="10">
        <f t="shared" ca="1" si="8"/>
        <v>1003</v>
      </c>
      <c r="B226" s="10" t="str">
        <f ca="1">"cal_"&amp;LOWER(LEFT(C226,3))</f>
        <v>cal_jan</v>
      </c>
      <c r="C226" s="10" t="str">
        <f t="shared" ca="1" si="7"/>
        <v>Janeiro</v>
      </c>
      <c r="D226" s="10" t="s">
        <v>1331</v>
      </c>
      <c r="E226" s="10" t="s">
        <v>1332</v>
      </c>
      <c r="F226" s="10" t="s">
        <v>1333</v>
      </c>
    </row>
    <row r="227" spans="1:6" x14ac:dyDescent="0.2">
      <c r="A227" s="10">
        <f t="shared" ca="1" si="8"/>
        <v>1004</v>
      </c>
      <c r="B227" s="10" t="str">
        <f t="shared" ref="B227:B237" ca="1" si="9">"cal_"&amp;LOWER(LEFT(C227,3))</f>
        <v>cal_fev</v>
      </c>
      <c r="C227" s="10" t="str">
        <f t="shared" ca="1" si="7"/>
        <v>Fevereiro</v>
      </c>
      <c r="D227" s="10" t="s">
        <v>1334</v>
      </c>
      <c r="E227" s="10" t="s">
        <v>1335</v>
      </c>
      <c r="F227" s="10" t="s">
        <v>1336</v>
      </c>
    </row>
    <row r="228" spans="1:6" x14ac:dyDescent="0.2">
      <c r="A228" s="10">
        <f t="shared" ca="1" si="8"/>
        <v>1005</v>
      </c>
      <c r="B228" s="10" t="str">
        <f t="shared" ca="1" si="9"/>
        <v>cal_mar</v>
      </c>
      <c r="C228" s="10" t="str">
        <f t="shared" ca="1" si="7"/>
        <v>Março</v>
      </c>
      <c r="D228" s="10" t="s">
        <v>1337</v>
      </c>
      <c r="E228" s="10" t="s">
        <v>1338</v>
      </c>
      <c r="F228" s="10" t="s">
        <v>1339</v>
      </c>
    </row>
    <row r="229" spans="1:6" x14ac:dyDescent="0.2">
      <c r="A229" s="10">
        <f t="shared" ca="1" si="8"/>
        <v>1006</v>
      </c>
      <c r="B229" s="10" t="str">
        <f t="shared" ca="1" si="9"/>
        <v>cal_abr</v>
      </c>
      <c r="C229" s="10" t="str">
        <f t="shared" ca="1" si="7"/>
        <v>Abril</v>
      </c>
      <c r="D229" s="10" t="s">
        <v>1340</v>
      </c>
      <c r="E229" s="10" t="s">
        <v>1341</v>
      </c>
      <c r="F229" s="10" t="s">
        <v>1341</v>
      </c>
    </row>
    <row r="230" spans="1:6" x14ac:dyDescent="0.2">
      <c r="A230" s="10">
        <f t="shared" ca="1" si="8"/>
        <v>1007</v>
      </c>
      <c r="B230" s="10" t="str">
        <f t="shared" ca="1" si="9"/>
        <v>cal_mai</v>
      </c>
      <c r="C230" s="10" t="str">
        <f t="shared" ca="1" si="7"/>
        <v>Maio</v>
      </c>
      <c r="D230" s="10" t="s">
        <v>1342</v>
      </c>
      <c r="E230" s="10" t="s">
        <v>1343</v>
      </c>
      <c r="F230" s="10" t="s">
        <v>1344</v>
      </c>
    </row>
    <row r="231" spans="1:6" x14ac:dyDescent="0.2">
      <c r="A231" s="10">
        <f t="shared" ca="1" si="8"/>
        <v>1008</v>
      </c>
      <c r="B231" s="10" t="str">
        <f t="shared" ca="1" si="9"/>
        <v>cal_jun</v>
      </c>
      <c r="C231" s="10" t="str">
        <f t="shared" ca="1" si="7"/>
        <v>Junho</v>
      </c>
      <c r="D231" s="10" t="s">
        <v>1345</v>
      </c>
      <c r="E231" s="10" t="s">
        <v>1346</v>
      </c>
      <c r="F231" s="10" t="s">
        <v>1347</v>
      </c>
    </row>
    <row r="232" spans="1:6" x14ac:dyDescent="0.2">
      <c r="A232" s="10">
        <f t="shared" ca="1" si="8"/>
        <v>1009</v>
      </c>
      <c r="B232" s="10" t="str">
        <f t="shared" ca="1" si="9"/>
        <v>cal_jul</v>
      </c>
      <c r="C232" s="10" t="str">
        <f t="shared" ca="1" si="7"/>
        <v>Julho</v>
      </c>
      <c r="D232" s="10" t="s">
        <v>1348</v>
      </c>
      <c r="E232" s="10" t="s">
        <v>1349</v>
      </c>
      <c r="F232" s="10" t="s">
        <v>1350</v>
      </c>
    </row>
    <row r="233" spans="1:6" x14ac:dyDescent="0.2">
      <c r="A233" s="10">
        <f t="shared" ca="1" si="8"/>
        <v>1010</v>
      </c>
      <c r="B233" s="10" t="str">
        <f t="shared" ca="1" si="9"/>
        <v>cal_ago</v>
      </c>
      <c r="C233" s="10" t="str">
        <f t="shared" ca="1" si="7"/>
        <v>Agosto</v>
      </c>
      <c r="D233" s="10" t="s">
        <v>1351</v>
      </c>
      <c r="E233" s="10" t="s">
        <v>1352</v>
      </c>
      <c r="F233" s="10" t="s">
        <v>1352</v>
      </c>
    </row>
    <row r="234" spans="1:6" x14ac:dyDescent="0.2">
      <c r="A234" s="10">
        <f t="shared" ca="1" si="8"/>
        <v>1011</v>
      </c>
      <c r="B234" s="10" t="str">
        <f t="shared" ca="1" si="9"/>
        <v>cal_set</v>
      </c>
      <c r="C234" s="10" t="str">
        <f t="shared" ca="1" si="7"/>
        <v>Setembro</v>
      </c>
      <c r="D234" s="10" t="s">
        <v>1353</v>
      </c>
      <c r="E234" s="10" t="s">
        <v>1354</v>
      </c>
      <c r="F234" s="10" t="s">
        <v>1355</v>
      </c>
    </row>
    <row r="235" spans="1:6" x14ac:dyDescent="0.2">
      <c r="A235" s="10">
        <f t="shared" ca="1" si="8"/>
        <v>1012</v>
      </c>
      <c r="B235" s="10" t="str">
        <f t="shared" ca="1" si="9"/>
        <v>cal_out</v>
      </c>
      <c r="C235" s="10" t="str">
        <f t="shared" ca="1" si="7"/>
        <v>Outubro</v>
      </c>
      <c r="D235" s="10" t="s">
        <v>1356</v>
      </c>
      <c r="E235" s="10" t="s">
        <v>1357</v>
      </c>
      <c r="F235" s="32" t="s">
        <v>1358</v>
      </c>
    </row>
    <row r="236" spans="1:6" x14ac:dyDescent="0.2">
      <c r="A236" s="10">
        <f t="shared" ca="1" si="8"/>
        <v>1013</v>
      </c>
      <c r="B236" s="10" t="str">
        <f t="shared" ca="1" si="9"/>
        <v>cal_nov</v>
      </c>
      <c r="C236" s="10" t="str">
        <f t="shared" ref="C236:C299" ca="1" si="10">OFFSET(C236,0,$C$1)</f>
        <v>Novembro</v>
      </c>
      <c r="D236" s="10" t="s">
        <v>1359</v>
      </c>
      <c r="E236" s="10" t="s">
        <v>1360</v>
      </c>
      <c r="F236" s="10" t="s">
        <v>1361</v>
      </c>
    </row>
    <row r="237" spans="1:6" x14ac:dyDescent="0.2">
      <c r="A237" s="10">
        <f t="shared" ca="1" si="8"/>
        <v>1014</v>
      </c>
      <c r="B237" s="10" t="str">
        <f t="shared" ca="1" si="9"/>
        <v>cal_dez</v>
      </c>
      <c r="C237" s="10" t="str">
        <f t="shared" ca="1" si="10"/>
        <v>Dezembro</v>
      </c>
      <c r="D237" s="10" t="s">
        <v>1362</v>
      </c>
      <c r="E237" s="10" t="s">
        <v>1363</v>
      </c>
      <c r="F237" s="10" t="s">
        <v>1364</v>
      </c>
    </row>
    <row r="238" spans="1:6" x14ac:dyDescent="0.2">
      <c r="A238" s="10">
        <f t="shared" ca="1" si="8"/>
        <v>1100</v>
      </c>
      <c r="B238" s="10" t="s">
        <v>1365</v>
      </c>
      <c r="C238" s="10" t="str">
        <f t="shared" ca="1" si="10"/>
        <v>Mensal</v>
      </c>
      <c r="D238" s="32" t="s">
        <v>919</v>
      </c>
      <c r="E238" s="32" t="s">
        <v>920</v>
      </c>
      <c r="F238" s="10" t="s">
        <v>921</v>
      </c>
    </row>
    <row r="239" spans="1:6" x14ac:dyDescent="0.2">
      <c r="A239" s="10">
        <f t="shared" ca="1" si="8"/>
        <v>1101</v>
      </c>
      <c r="B239" s="32" t="s">
        <v>1366</v>
      </c>
      <c r="C239" s="10" t="str">
        <f t="shared" ca="1" si="10"/>
        <v>Mensal</v>
      </c>
      <c r="D239" s="32" t="s">
        <v>919</v>
      </c>
      <c r="E239" s="32" t="s">
        <v>920</v>
      </c>
      <c r="F239" s="10" t="s">
        <v>921</v>
      </c>
    </row>
    <row r="240" spans="1:6" x14ac:dyDescent="0.2">
      <c r="A240" s="10">
        <f t="shared" ca="1" si="8"/>
        <v>1102</v>
      </c>
      <c r="B240" s="10" t="s">
        <v>1367</v>
      </c>
      <c r="C240" s="10" t="str">
        <f t="shared" ca="1" si="10"/>
        <v>PLANEJAMENTO MENSAL</v>
      </c>
      <c r="D240" s="32" t="s">
        <v>1368</v>
      </c>
      <c r="E240" s="32" t="s">
        <v>1369</v>
      </c>
      <c r="F240" s="32" t="s">
        <v>1370</v>
      </c>
    </row>
    <row r="241" spans="1:6" x14ac:dyDescent="0.2">
      <c r="A241" s="10">
        <f t="shared" ca="1" si="8"/>
        <v>1103</v>
      </c>
      <c r="B241" s="10" t="s">
        <v>1371</v>
      </c>
      <c r="C241" s="10" t="str">
        <f t="shared" ca="1" si="10"/>
        <v>PRIORIDADES</v>
      </c>
      <c r="D241" s="10" t="s">
        <v>1372</v>
      </c>
      <c r="E241" s="32" t="s">
        <v>1373</v>
      </c>
      <c r="F241" s="32" t="s">
        <v>1373</v>
      </c>
    </row>
    <row r="242" spans="1:6" x14ac:dyDescent="0.2">
      <c r="A242" s="10">
        <f t="shared" ca="1" si="8"/>
        <v>1104</v>
      </c>
      <c r="B242" s="32" t="s">
        <v>1374</v>
      </c>
      <c r="C242" s="10" t="str">
        <f t="shared" ca="1" si="10"/>
        <v>Obs.:</v>
      </c>
      <c r="D242" s="32" t="s">
        <v>1375</v>
      </c>
      <c r="E242" s="32" t="s">
        <v>1376</v>
      </c>
      <c r="F242" s="32" t="s">
        <v>1377</v>
      </c>
    </row>
    <row r="243" spans="1:6" x14ac:dyDescent="0.2">
      <c r="A243" s="10">
        <f t="shared" ca="1" si="8"/>
        <v>1200</v>
      </c>
      <c r="B243" s="10" t="s">
        <v>1378</v>
      </c>
      <c r="C243" s="10" t="str">
        <f t="shared" ca="1" si="10"/>
        <v>Semana-Verso</v>
      </c>
      <c r="D243" s="32" t="s">
        <v>1379</v>
      </c>
      <c r="E243" s="10" t="s">
        <v>1380</v>
      </c>
      <c r="F243" s="10" t="s">
        <v>1380</v>
      </c>
    </row>
    <row r="244" spans="1:6" x14ac:dyDescent="0.2">
      <c r="A244" s="10">
        <f t="shared" ca="1" si="8"/>
        <v>1201</v>
      </c>
      <c r="B244" s="10" t="s">
        <v>1381</v>
      </c>
      <c r="C244" s="10" t="str">
        <f t="shared" ca="1" si="10"/>
        <v>Semana-Verso</v>
      </c>
      <c r="D244" s="32" t="s">
        <v>1379</v>
      </c>
      <c r="E244" s="10" t="s">
        <v>1380</v>
      </c>
      <c r="F244" s="10" t="s">
        <v>1380</v>
      </c>
    </row>
    <row r="245" spans="1:6" x14ac:dyDescent="0.2">
      <c r="A245" s="10">
        <f t="shared" ca="1" si="8"/>
        <v>1202</v>
      </c>
      <c r="B245" s="10" t="s">
        <v>1382</v>
      </c>
      <c r="C245" s="10" t="str">
        <f t="shared" ca="1" si="10"/>
        <v>---</v>
      </c>
      <c r="D245" s="68" t="s">
        <v>1383</v>
      </c>
      <c r="E245" s="68" t="s">
        <v>1383</v>
      </c>
      <c r="F245" s="68" t="s">
        <v>1383</v>
      </c>
    </row>
    <row r="246" spans="1:6" x14ac:dyDescent="0.2">
      <c r="A246" s="10">
        <f t="shared" ca="1" si="8"/>
        <v>1203</v>
      </c>
      <c r="B246" s="32" t="s">
        <v>1384</v>
      </c>
      <c r="C246" s="10" t="str">
        <f t="shared" ca="1" si="10"/>
        <v>Dia</v>
      </c>
      <c r="D246" s="32" t="s">
        <v>1232</v>
      </c>
      <c r="E246" s="32" t="s">
        <v>1233</v>
      </c>
      <c r="F246" s="32" t="s">
        <v>1234</v>
      </c>
    </row>
    <row r="247" spans="1:6" x14ac:dyDescent="0.2">
      <c r="A247" s="10">
        <f t="shared" ca="1" si="8"/>
        <v>1204</v>
      </c>
      <c r="B247" s="32" t="s">
        <v>1385</v>
      </c>
      <c r="C247" s="10" t="str">
        <f t="shared" ca="1" si="10"/>
        <v>Feriado</v>
      </c>
      <c r="D247" s="32" t="s">
        <v>1386</v>
      </c>
      <c r="E247" s="32" t="s">
        <v>1387</v>
      </c>
      <c r="F247" s="32" t="s">
        <v>1257</v>
      </c>
    </row>
    <row r="248" spans="1:6" x14ac:dyDescent="0.2">
      <c r="A248" s="10">
        <f t="shared" ca="1" si="8"/>
        <v>1205</v>
      </c>
      <c r="B248" s="32" t="s">
        <v>1388</v>
      </c>
      <c r="C248" s="10" t="str">
        <f t="shared" ca="1" si="10"/>
        <v>Comemoração</v>
      </c>
      <c r="D248" s="32" t="s">
        <v>1389</v>
      </c>
      <c r="E248" s="10" t="s">
        <v>1390</v>
      </c>
      <c r="F248" s="32" t="s">
        <v>1391</v>
      </c>
    </row>
    <row r="249" spans="1:6" x14ac:dyDescent="0.2">
      <c r="A249" s="10">
        <f t="shared" ca="1" si="8"/>
        <v>1206</v>
      </c>
      <c r="B249" s="32" t="s">
        <v>1392</v>
      </c>
      <c r="C249" s="10" t="str">
        <f t="shared" ca="1" si="10"/>
        <v>Jejum</v>
      </c>
      <c r="D249" s="32" t="s">
        <v>1393</v>
      </c>
      <c r="E249" s="10" t="s">
        <v>1394</v>
      </c>
      <c r="F249" s="32" t="s">
        <v>1395</v>
      </c>
    </row>
    <row r="250" spans="1:6" x14ac:dyDescent="0.2">
      <c r="A250" s="10">
        <f t="shared" ca="1" si="8"/>
        <v>1300</v>
      </c>
      <c r="B250" s="10" t="s">
        <v>1396</v>
      </c>
      <c r="C250" s="10" t="str">
        <f t="shared" ca="1" si="10"/>
        <v>Semana-Frente</v>
      </c>
      <c r="D250" s="32" t="s">
        <v>814</v>
      </c>
      <c r="E250" s="32" t="s">
        <v>815</v>
      </c>
      <c r="F250" s="32" t="s">
        <v>815</v>
      </c>
    </row>
    <row r="251" spans="1:6" x14ac:dyDescent="0.2">
      <c r="A251" s="10">
        <f t="shared" ca="1" si="8"/>
        <v>1301</v>
      </c>
      <c r="B251" s="10" t="s">
        <v>1397</v>
      </c>
      <c r="C251" s="10" t="str">
        <f t="shared" ca="1" si="10"/>
        <v>Semana-Frente</v>
      </c>
      <c r="D251" s="32" t="s">
        <v>814</v>
      </c>
      <c r="E251" s="32" t="s">
        <v>815</v>
      </c>
      <c r="F251" s="32" t="s">
        <v>815</v>
      </c>
    </row>
    <row r="252" spans="1:6" x14ac:dyDescent="0.2">
      <c r="A252" s="10">
        <f t="shared" ca="1" si="8"/>
        <v>1302</v>
      </c>
      <c r="B252" s="10" t="s">
        <v>1398</v>
      </c>
      <c r="C252" s="10" t="str">
        <f t="shared" ca="1" si="10"/>
        <v>---</v>
      </c>
      <c r="D252" s="68" t="s">
        <v>1383</v>
      </c>
      <c r="E252" s="68" t="s">
        <v>1383</v>
      </c>
      <c r="F252" s="68" t="s">
        <v>1383</v>
      </c>
    </row>
    <row r="253" spans="1:6" x14ac:dyDescent="0.2">
      <c r="A253" s="10">
        <f t="shared" ca="1" si="8"/>
        <v>1303</v>
      </c>
      <c r="B253" s="32" t="s">
        <v>1399</v>
      </c>
      <c r="C253" s="10" t="str">
        <f t="shared" ca="1" si="10"/>
        <v>Semana</v>
      </c>
      <c r="D253" s="32" t="s">
        <v>1400</v>
      </c>
      <c r="E253" s="32" t="s">
        <v>1401</v>
      </c>
      <c r="F253" s="32" t="s">
        <v>1401</v>
      </c>
    </row>
    <row r="254" spans="1:6" x14ac:dyDescent="0.2">
      <c r="A254" s="10">
        <f t="shared" ca="1" si="8"/>
        <v>1304</v>
      </c>
      <c r="B254" s="10" t="s">
        <v>1402</v>
      </c>
      <c r="C254" s="10" t="str">
        <f t="shared" ca="1" si="10"/>
        <v>Aperfeiçoamento Pessoal</v>
      </c>
      <c r="D254" s="32" t="s">
        <v>1403</v>
      </c>
      <c r="E254" s="32" t="s">
        <v>1404</v>
      </c>
      <c r="F254" s="32" t="s">
        <v>1405</v>
      </c>
    </row>
    <row r="255" spans="1:6" x14ac:dyDescent="0.2">
      <c r="A255" s="10">
        <f t="shared" ca="1" si="8"/>
        <v>1305</v>
      </c>
      <c r="B255" s="10" t="s">
        <v>1406</v>
      </c>
      <c r="C255" s="10" t="str">
        <f t="shared" ca="1" si="10"/>
        <v>Espiritual</v>
      </c>
      <c r="D255" s="10" t="s">
        <v>1407</v>
      </c>
      <c r="E255" s="10" t="s">
        <v>1407</v>
      </c>
      <c r="F255" s="10" t="s">
        <v>1407</v>
      </c>
    </row>
    <row r="256" spans="1:6" x14ac:dyDescent="0.2">
      <c r="A256" s="10">
        <f t="shared" ca="1" si="8"/>
        <v>1306</v>
      </c>
      <c r="B256" s="10" t="s">
        <v>1408</v>
      </c>
      <c r="C256" s="10" t="str">
        <f t="shared" ca="1" si="10"/>
        <v>Emocional</v>
      </c>
      <c r="D256" s="10" t="s">
        <v>1409</v>
      </c>
      <c r="E256" s="10" t="s">
        <v>1410</v>
      </c>
      <c r="F256" s="10" t="s">
        <v>1410</v>
      </c>
    </row>
    <row r="257" spans="1:6" x14ac:dyDescent="0.2">
      <c r="A257" s="10">
        <f t="shared" ca="1" si="8"/>
        <v>1307</v>
      </c>
      <c r="B257" s="10" t="s">
        <v>1411</v>
      </c>
      <c r="C257" s="10" t="str">
        <f t="shared" ca="1" si="10"/>
        <v>Intelectual</v>
      </c>
      <c r="D257" s="10" t="s">
        <v>1412</v>
      </c>
      <c r="E257" s="10" t="s">
        <v>1412</v>
      </c>
      <c r="F257" s="10" t="s">
        <v>1412</v>
      </c>
    </row>
    <row r="258" spans="1:6" x14ac:dyDescent="0.2">
      <c r="A258" s="10">
        <f t="shared" ca="1" si="8"/>
        <v>1308</v>
      </c>
      <c r="B258" s="10" t="s">
        <v>1413</v>
      </c>
      <c r="C258" s="10" t="str">
        <f t="shared" ca="1" si="10"/>
        <v>Físico</v>
      </c>
      <c r="D258" s="10" t="s">
        <v>1414</v>
      </c>
      <c r="E258" s="10" t="s">
        <v>1415</v>
      </c>
      <c r="F258" s="10" t="s">
        <v>1415</v>
      </c>
    </row>
    <row r="259" spans="1:6" x14ac:dyDescent="0.2">
      <c r="A259" s="10">
        <f t="shared" ca="1" si="8"/>
        <v>1309</v>
      </c>
      <c r="B259" s="10" t="s">
        <v>1416</v>
      </c>
      <c r="C259" s="10" t="str">
        <f t="shared" ca="1" si="10"/>
        <v>Importante</v>
      </c>
      <c r="D259" s="32" t="s">
        <v>1417</v>
      </c>
      <c r="E259" s="10" t="s">
        <v>1418</v>
      </c>
      <c r="F259" s="32" t="s">
        <v>1418</v>
      </c>
    </row>
    <row r="260" spans="1:6" x14ac:dyDescent="0.2">
      <c r="A260" s="10">
        <f t="shared" ca="1" si="8"/>
        <v>1310</v>
      </c>
      <c r="B260" s="10" t="s">
        <v>1419</v>
      </c>
      <c r="C260" s="10" t="str">
        <f t="shared" ca="1" si="10"/>
        <v>Áreas</v>
      </c>
      <c r="D260" s="32" t="s">
        <v>1420</v>
      </c>
      <c r="E260" s="10" t="s">
        <v>1421</v>
      </c>
      <c r="F260" s="10" t="s">
        <v>1421</v>
      </c>
    </row>
    <row r="261" spans="1:6" x14ac:dyDescent="0.2">
      <c r="A261" s="10">
        <f t="shared" ca="1" si="8"/>
        <v>1311</v>
      </c>
      <c r="B261" s="32" t="s">
        <v>1422</v>
      </c>
      <c r="C261" s="10" t="str">
        <f t="shared" ca="1" si="10"/>
        <v>Objetivos</v>
      </c>
      <c r="D261" s="32" t="s">
        <v>1423</v>
      </c>
      <c r="E261" s="10" t="s">
        <v>1424</v>
      </c>
      <c r="F261" s="10" t="s">
        <v>1424</v>
      </c>
    </row>
    <row r="262" spans="1:6" x14ac:dyDescent="0.2">
      <c r="A262" s="10">
        <f t="shared" ref="A262:A325" ca="1" si="11">IF(RIGHT(B262,8)="_section",(INT(A261/100)+1)*100,A261+1)</f>
        <v>1312</v>
      </c>
      <c r="B262" s="32" t="s">
        <v>1425</v>
      </c>
      <c r="C262" s="10" t="str">
        <f t="shared" ca="1" si="10"/>
        <v>Nova</v>
      </c>
      <c r="D262" s="32" t="s">
        <v>687</v>
      </c>
      <c r="E262" s="10" t="s">
        <v>688</v>
      </c>
      <c r="F262" s="10" t="s">
        <v>689</v>
      </c>
    </row>
    <row r="263" spans="1:6" x14ac:dyDescent="0.2">
      <c r="A263" s="10">
        <f t="shared" ca="1" si="11"/>
        <v>1313</v>
      </c>
      <c r="B263" s="32" t="s">
        <v>1426</v>
      </c>
      <c r="C263" s="10" t="str">
        <f t="shared" ca="1" si="10"/>
        <v>Cresc</v>
      </c>
      <c r="D263" s="32" t="s">
        <v>691</v>
      </c>
      <c r="E263" s="10" t="s">
        <v>1427</v>
      </c>
      <c r="F263" s="32" t="s">
        <v>693</v>
      </c>
    </row>
    <row r="264" spans="1:6" x14ac:dyDescent="0.2">
      <c r="A264" s="10">
        <f t="shared" ca="1" si="11"/>
        <v>1314</v>
      </c>
      <c r="B264" s="32" t="s">
        <v>1428</v>
      </c>
      <c r="C264" s="10" t="str">
        <f t="shared" ca="1" si="10"/>
        <v>Cheia</v>
      </c>
      <c r="D264" s="32" t="s">
        <v>695</v>
      </c>
      <c r="E264" s="10" t="s">
        <v>696</v>
      </c>
      <c r="F264" s="32" t="s">
        <v>697</v>
      </c>
    </row>
    <row r="265" spans="1:6" x14ac:dyDescent="0.2">
      <c r="A265" s="10">
        <f t="shared" ca="1" si="11"/>
        <v>1315</v>
      </c>
      <c r="B265" s="32" t="s">
        <v>1429</v>
      </c>
      <c r="C265" s="10" t="str">
        <f t="shared" ca="1" si="10"/>
        <v>Ming</v>
      </c>
      <c r="D265" s="32" t="s">
        <v>699</v>
      </c>
      <c r="E265" s="10" t="s">
        <v>1430</v>
      </c>
      <c r="F265" s="32" t="s">
        <v>701</v>
      </c>
    </row>
    <row r="266" spans="1:6" x14ac:dyDescent="0.2">
      <c r="A266" s="10">
        <f t="shared" ca="1" si="11"/>
        <v>1316</v>
      </c>
      <c r="B266" s="32" t="s">
        <v>1431</v>
      </c>
      <c r="C266" s="10" t="str">
        <f t="shared" ca="1" si="10"/>
        <v>Dia</v>
      </c>
      <c r="D266" s="32" t="s">
        <v>1232</v>
      </c>
      <c r="E266" s="32" t="s">
        <v>1233</v>
      </c>
      <c r="F266" s="32" t="s">
        <v>1234</v>
      </c>
    </row>
    <row r="267" spans="1:6" x14ac:dyDescent="0.2">
      <c r="A267" s="10">
        <f t="shared" ca="1" si="11"/>
        <v>1317</v>
      </c>
      <c r="B267" s="32" t="s">
        <v>1432</v>
      </c>
      <c r="C267" s="10" t="str">
        <f t="shared" ca="1" si="10"/>
        <v>Feriado</v>
      </c>
      <c r="D267" s="32" t="s">
        <v>1386</v>
      </c>
      <c r="E267" s="32" t="s">
        <v>1387</v>
      </c>
      <c r="F267" s="32" t="s">
        <v>1257</v>
      </c>
    </row>
    <row r="268" spans="1:6" x14ac:dyDescent="0.2">
      <c r="A268" s="10">
        <f t="shared" ca="1" si="11"/>
        <v>1318</v>
      </c>
      <c r="B268" s="32" t="s">
        <v>1433</v>
      </c>
      <c r="C268" s="10" t="str">
        <f t="shared" ca="1" si="10"/>
        <v>Comemoração</v>
      </c>
      <c r="D268" s="32" t="s">
        <v>1389</v>
      </c>
      <c r="E268" s="10" t="s">
        <v>1390</v>
      </c>
      <c r="F268" s="32" t="s">
        <v>1391</v>
      </c>
    </row>
    <row r="269" spans="1:6" x14ac:dyDescent="0.2">
      <c r="A269" s="10">
        <f t="shared" ca="1" si="11"/>
        <v>1319</v>
      </c>
      <c r="B269" s="32" t="s">
        <v>1434</v>
      </c>
      <c r="C269" s="10" t="str">
        <f t="shared" ca="1" si="10"/>
        <v>Jejum</v>
      </c>
      <c r="D269" s="32" t="s">
        <v>1393</v>
      </c>
      <c r="E269" s="10" t="s">
        <v>1394</v>
      </c>
      <c r="F269" s="32" t="s">
        <v>1395</v>
      </c>
    </row>
    <row r="270" spans="1:6" x14ac:dyDescent="0.2">
      <c r="A270" s="10">
        <f t="shared" ca="1" si="11"/>
        <v>1320</v>
      </c>
      <c r="B270" s="32" t="s">
        <v>1435</v>
      </c>
      <c r="C270" s="10" t="str">
        <f t="shared" ca="1" si="10"/>
        <v>Quebra de jejum</v>
      </c>
      <c r="D270" s="32" t="s">
        <v>1436</v>
      </c>
      <c r="E270" s="32" t="s">
        <v>1437</v>
      </c>
      <c r="F270" s="32" t="s">
        <v>1438</v>
      </c>
    </row>
    <row r="271" spans="1:6" x14ac:dyDescent="0.2">
      <c r="A271" s="10">
        <f t="shared" ca="1" si="11"/>
        <v>1321</v>
      </c>
      <c r="B271" s="32" t="s">
        <v>1439</v>
      </c>
      <c r="C271" s="10" t="str">
        <f t="shared" ca="1" si="10"/>
        <v>Hora</v>
      </c>
      <c r="D271" s="32" t="s">
        <v>1440</v>
      </c>
      <c r="E271" s="10" t="s">
        <v>1441</v>
      </c>
      <c r="F271" s="32" t="s">
        <v>1441</v>
      </c>
    </row>
    <row r="272" spans="1:6" x14ac:dyDescent="0.2">
      <c r="A272" s="10">
        <f t="shared" ca="1" si="11"/>
        <v>1322</v>
      </c>
      <c r="B272" s="32" t="s">
        <v>1442</v>
      </c>
      <c r="C272" s="10" t="str">
        <f t="shared" ca="1" si="10"/>
        <v>Yoga</v>
      </c>
      <c r="D272" s="32" t="s">
        <v>1443</v>
      </c>
      <c r="E272" s="32" t="s">
        <v>1443</v>
      </c>
      <c r="F272" s="32" t="s">
        <v>1443</v>
      </c>
    </row>
    <row r="273" spans="1:6" x14ac:dyDescent="0.2">
      <c r="A273" s="10">
        <f t="shared" ca="1" si="11"/>
        <v>1323</v>
      </c>
      <c r="B273" s="32" t="s">
        <v>1444</v>
      </c>
      <c r="C273" s="10" t="str">
        <f t="shared" ca="1" si="10"/>
        <v>Naksatra</v>
      </c>
      <c r="D273" s="32" t="s">
        <v>1445</v>
      </c>
      <c r="E273" s="10" t="s">
        <v>1445</v>
      </c>
      <c r="F273" s="32" t="s">
        <v>1445</v>
      </c>
    </row>
    <row r="274" spans="1:6" x14ac:dyDescent="0.2">
      <c r="A274" s="10">
        <f t="shared" ca="1" si="11"/>
        <v>1324</v>
      </c>
      <c r="B274" s="32" t="s">
        <v>1434</v>
      </c>
      <c r="C274" s="10" t="str">
        <f t="shared" ca="1" si="10"/>
        <v>Tabelas (para Formatação Condicional)</v>
      </c>
      <c r="D274" s="32" t="s">
        <v>1446</v>
      </c>
      <c r="E274" s="32" t="s">
        <v>1447</v>
      </c>
      <c r="F274" s="32" t="s">
        <v>1448</v>
      </c>
    </row>
    <row r="275" spans="1:6" x14ac:dyDescent="0.2">
      <c r="A275" s="10">
        <f t="shared" ca="1" si="11"/>
        <v>1400</v>
      </c>
      <c r="B275" s="10" t="s">
        <v>1449</v>
      </c>
      <c r="C275" s="10" t="str">
        <f t="shared" ca="1" si="10"/>
        <v>Mensal</v>
      </c>
      <c r="D275" s="32" t="s">
        <v>919</v>
      </c>
      <c r="E275" s="32" t="s">
        <v>920</v>
      </c>
      <c r="F275" s="10" t="s">
        <v>921</v>
      </c>
    </row>
    <row r="276" spans="1:6" x14ac:dyDescent="0.2">
      <c r="A276" s="10">
        <f t="shared" ca="1" si="11"/>
        <v>1401</v>
      </c>
      <c r="B276" s="10" t="s">
        <v>1450</v>
      </c>
      <c r="C276" s="10" t="str">
        <f t="shared" ca="1" si="10"/>
        <v>Fin.-Mensal</v>
      </c>
      <c r="D276" s="32" t="s">
        <v>1451</v>
      </c>
      <c r="E276" s="32" t="s">
        <v>1452</v>
      </c>
      <c r="F276" s="32" t="s">
        <v>1453</v>
      </c>
    </row>
    <row r="277" spans="1:6" x14ac:dyDescent="0.2">
      <c r="A277" s="10">
        <f t="shared" ca="1" si="11"/>
        <v>1402</v>
      </c>
      <c r="B277" s="10" t="s">
        <v>1454</v>
      </c>
      <c r="C277" s="10" t="str">
        <f t="shared" ca="1" si="10"/>
        <v>PLANEJAMENTO MENSAL</v>
      </c>
      <c r="D277" s="10" t="s">
        <v>1368</v>
      </c>
      <c r="E277" s="32" t="s">
        <v>1369</v>
      </c>
      <c r="F277" s="10" t="s">
        <v>1370</v>
      </c>
    </row>
    <row r="278" spans="1:6" x14ac:dyDescent="0.2">
      <c r="A278" s="10">
        <f t="shared" ca="1" si="11"/>
        <v>1403</v>
      </c>
      <c r="B278" s="32" t="s">
        <v>1455</v>
      </c>
      <c r="C278" s="10" t="str">
        <f t="shared" ca="1" si="10"/>
        <v>Planejamento</v>
      </c>
      <c r="D278" s="32" t="s">
        <v>1456</v>
      </c>
      <c r="E278" s="10" t="s">
        <v>1457</v>
      </c>
      <c r="F278" s="10" t="s">
        <v>1458</v>
      </c>
    </row>
    <row r="279" spans="1:6" x14ac:dyDescent="0.2">
      <c r="A279" s="10">
        <f t="shared" ca="1" si="11"/>
        <v>1404</v>
      </c>
      <c r="B279" s="32" t="s">
        <v>1459</v>
      </c>
      <c r="C279" s="10" t="str">
        <f t="shared" ca="1" si="10"/>
        <v>Aperfeiçoamento Pessoal</v>
      </c>
      <c r="D279" s="10" t="s">
        <v>1403</v>
      </c>
      <c r="E279" s="32" t="s">
        <v>1404</v>
      </c>
      <c r="F279" s="32" t="s">
        <v>1405</v>
      </c>
    </row>
    <row r="280" spans="1:6" x14ac:dyDescent="0.2">
      <c r="A280" s="10">
        <f t="shared" ca="1" si="11"/>
        <v>1405</v>
      </c>
      <c r="B280" s="32" t="s">
        <v>1460</v>
      </c>
      <c r="C280" s="10" t="str">
        <f t="shared" ca="1" si="10"/>
        <v>Espiritual</v>
      </c>
      <c r="D280" s="10" t="s">
        <v>1407</v>
      </c>
      <c r="E280" s="10" t="s">
        <v>1407</v>
      </c>
      <c r="F280" s="10" t="s">
        <v>1407</v>
      </c>
    </row>
    <row r="281" spans="1:6" x14ac:dyDescent="0.2">
      <c r="A281" s="10">
        <f t="shared" ca="1" si="11"/>
        <v>1406</v>
      </c>
      <c r="B281" s="32" t="s">
        <v>1461</v>
      </c>
      <c r="C281" s="10" t="str">
        <f t="shared" ca="1" si="10"/>
        <v>Emocional</v>
      </c>
      <c r="D281" s="10" t="s">
        <v>1409</v>
      </c>
      <c r="E281" s="10" t="s">
        <v>1410</v>
      </c>
      <c r="F281" s="10" t="s">
        <v>1410</v>
      </c>
    </row>
    <row r="282" spans="1:6" x14ac:dyDescent="0.2">
      <c r="A282" s="10">
        <f t="shared" ca="1" si="11"/>
        <v>1407</v>
      </c>
      <c r="B282" s="32" t="s">
        <v>1462</v>
      </c>
      <c r="C282" s="10" t="str">
        <f t="shared" ca="1" si="10"/>
        <v>Intelectual</v>
      </c>
      <c r="D282" s="10" t="s">
        <v>1412</v>
      </c>
      <c r="E282" s="10" t="s">
        <v>1412</v>
      </c>
      <c r="F282" s="10" t="s">
        <v>1412</v>
      </c>
    </row>
    <row r="283" spans="1:6" x14ac:dyDescent="0.2">
      <c r="A283" s="10">
        <f t="shared" ca="1" si="11"/>
        <v>1408</v>
      </c>
      <c r="B283" s="32" t="s">
        <v>1463</v>
      </c>
      <c r="C283" s="10" t="str">
        <f t="shared" ca="1" si="10"/>
        <v>Físico</v>
      </c>
      <c r="D283" s="10" t="s">
        <v>1414</v>
      </c>
      <c r="E283" s="10" t="s">
        <v>1415</v>
      </c>
      <c r="F283" s="10" t="s">
        <v>1415</v>
      </c>
    </row>
    <row r="284" spans="1:6" x14ac:dyDescent="0.2">
      <c r="A284" s="10">
        <f t="shared" ca="1" si="11"/>
        <v>1409</v>
      </c>
      <c r="B284" s="32" t="s">
        <v>1464</v>
      </c>
      <c r="C284" s="10" t="str">
        <f t="shared" ca="1" si="10"/>
        <v>Detalhamentos</v>
      </c>
      <c r="D284" s="10" t="s">
        <v>1465</v>
      </c>
      <c r="E284" s="10" t="s">
        <v>1466</v>
      </c>
      <c r="F284" s="32" t="s">
        <v>1467</v>
      </c>
    </row>
    <row r="285" spans="1:6" x14ac:dyDescent="0.2">
      <c r="A285" s="10">
        <f t="shared" ca="1" si="11"/>
        <v>1410</v>
      </c>
      <c r="B285" s="32" t="s">
        <v>1468</v>
      </c>
      <c r="C285" s="10" t="str">
        <f t="shared" ca="1" si="10"/>
        <v>D</v>
      </c>
      <c r="D285" s="32" t="s">
        <v>3</v>
      </c>
      <c r="E285" s="32" t="s">
        <v>1469</v>
      </c>
      <c r="F285" s="32" t="s">
        <v>1470</v>
      </c>
    </row>
    <row r="286" spans="1:6" x14ac:dyDescent="0.2">
      <c r="A286" s="10">
        <f t="shared" ca="1" si="11"/>
        <v>1411</v>
      </c>
      <c r="B286" s="32" t="s">
        <v>1471</v>
      </c>
      <c r="C286" s="10" t="str">
        <f t="shared" ca="1" si="10"/>
        <v>S</v>
      </c>
      <c r="D286" s="32" t="s">
        <v>4</v>
      </c>
      <c r="E286" s="32" t="s">
        <v>1472</v>
      </c>
      <c r="F286" s="32" t="s">
        <v>1473</v>
      </c>
    </row>
    <row r="287" spans="1:6" x14ac:dyDescent="0.2">
      <c r="A287" s="10">
        <f t="shared" ca="1" si="11"/>
        <v>1412</v>
      </c>
      <c r="B287" s="32" t="s">
        <v>1474</v>
      </c>
      <c r="C287" s="10" t="str">
        <f t="shared" ca="1" si="10"/>
        <v>T</v>
      </c>
      <c r="D287" s="32" t="s">
        <v>5</v>
      </c>
      <c r="E287" s="32" t="s">
        <v>1475</v>
      </c>
      <c r="F287" s="32" t="s">
        <v>1476</v>
      </c>
    </row>
    <row r="288" spans="1:6" x14ac:dyDescent="0.2">
      <c r="A288" s="10">
        <f t="shared" ca="1" si="11"/>
        <v>1413</v>
      </c>
      <c r="B288" s="32" t="s">
        <v>1477</v>
      </c>
      <c r="C288" s="10" t="str">
        <f t="shared" ca="1" si="10"/>
        <v>Q</v>
      </c>
      <c r="D288" s="32" t="s">
        <v>6</v>
      </c>
      <c r="E288" s="32" t="s">
        <v>1478</v>
      </c>
      <c r="F288" s="32" t="s">
        <v>1479</v>
      </c>
    </row>
    <row r="289" spans="1:6" x14ac:dyDescent="0.2">
      <c r="A289" s="10">
        <f t="shared" ca="1" si="11"/>
        <v>1414</v>
      </c>
      <c r="B289" s="32" t="s">
        <v>1480</v>
      </c>
      <c r="C289" s="10" t="str">
        <f t="shared" ca="1" si="10"/>
        <v>Q</v>
      </c>
      <c r="D289" s="32" t="s">
        <v>7</v>
      </c>
      <c r="E289" s="32" t="s">
        <v>1481</v>
      </c>
      <c r="F289" s="32" t="s">
        <v>1479</v>
      </c>
    </row>
    <row r="290" spans="1:6" x14ac:dyDescent="0.2">
      <c r="A290" s="10">
        <f t="shared" ca="1" si="11"/>
        <v>1415</v>
      </c>
      <c r="B290" s="32" t="s">
        <v>1482</v>
      </c>
      <c r="C290" s="10" t="str">
        <f t="shared" ca="1" si="10"/>
        <v>S</v>
      </c>
      <c r="D290" s="32" t="s">
        <v>1</v>
      </c>
      <c r="E290" s="32" t="s">
        <v>1483</v>
      </c>
      <c r="F290" s="32" t="s">
        <v>1473</v>
      </c>
    </row>
    <row r="291" spans="1:6" x14ac:dyDescent="0.2">
      <c r="A291" s="10">
        <f t="shared" ca="1" si="11"/>
        <v>1416</v>
      </c>
      <c r="B291" s="32" t="s">
        <v>1484</v>
      </c>
      <c r="C291" s="10" t="str">
        <f t="shared" ca="1" si="10"/>
        <v>S</v>
      </c>
      <c r="D291" s="32" t="s">
        <v>2</v>
      </c>
      <c r="E291" s="32" t="s">
        <v>2</v>
      </c>
      <c r="F291" s="32" t="s">
        <v>1473</v>
      </c>
    </row>
    <row r="292" spans="1:6" x14ac:dyDescent="0.2">
      <c r="A292" s="10">
        <f t="shared" ca="1" si="11"/>
        <v>1500</v>
      </c>
      <c r="B292" s="10" t="s">
        <v>1485</v>
      </c>
      <c r="C292" s="10" t="str">
        <f t="shared" ca="1" si="10"/>
        <v>Fin. Semana-Verso</v>
      </c>
      <c r="D292" s="32" t="s">
        <v>1486</v>
      </c>
      <c r="E292" s="10" t="s">
        <v>1487</v>
      </c>
      <c r="F292" s="10" t="s">
        <v>1487</v>
      </c>
    </row>
    <row r="293" spans="1:6" x14ac:dyDescent="0.2">
      <c r="A293" s="10">
        <f t="shared" ca="1" si="11"/>
        <v>1501</v>
      </c>
      <c r="B293" s="10" t="s">
        <v>1488</v>
      </c>
      <c r="C293" s="10" t="str">
        <f t="shared" ca="1" si="10"/>
        <v>Fin. Semana-Verso</v>
      </c>
      <c r="D293" s="32" t="s">
        <v>1486</v>
      </c>
      <c r="E293" s="10" t="s">
        <v>1487</v>
      </c>
      <c r="F293" s="10" t="s">
        <v>1487</v>
      </c>
    </row>
    <row r="294" spans="1:6" x14ac:dyDescent="0.2">
      <c r="A294" s="10">
        <f t="shared" ca="1" si="11"/>
        <v>1502</v>
      </c>
      <c r="B294" s="10" t="s">
        <v>1489</v>
      </c>
      <c r="C294" s="10" t="str">
        <f t="shared" ca="1" si="10"/>
        <v>---</v>
      </c>
      <c r="D294" s="68" t="s">
        <v>1383</v>
      </c>
      <c r="E294" s="68" t="s">
        <v>1383</v>
      </c>
      <c r="F294" s="68" t="s">
        <v>1383</v>
      </c>
    </row>
    <row r="295" spans="1:6" x14ac:dyDescent="0.2">
      <c r="A295" s="10">
        <f t="shared" ca="1" si="11"/>
        <v>1600</v>
      </c>
      <c r="B295" s="10" t="s">
        <v>1490</v>
      </c>
      <c r="C295" s="10" t="str">
        <f t="shared" ca="1" si="10"/>
        <v>Fin. Semana-Frente</v>
      </c>
      <c r="D295" s="32" t="s">
        <v>824</v>
      </c>
      <c r="E295" s="32" t="s">
        <v>825</v>
      </c>
      <c r="F295" s="32" t="s">
        <v>825</v>
      </c>
    </row>
    <row r="296" spans="1:6" x14ac:dyDescent="0.2">
      <c r="A296" s="10">
        <f t="shared" ca="1" si="11"/>
        <v>1601</v>
      </c>
      <c r="B296" s="10" t="s">
        <v>1491</v>
      </c>
      <c r="C296" s="10" t="str">
        <f t="shared" ca="1" si="10"/>
        <v>Fin. Semana-Frente</v>
      </c>
      <c r="D296" s="32" t="s">
        <v>824</v>
      </c>
      <c r="E296" s="32" t="s">
        <v>825</v>
      </c>
      <c r="F296" s="32" t="s">
        <v>825</v>
      </c>
    </row>
    <row r="297" spans="1:6" x14ac:dyDescent="0.2">
      <c r="A297" s="10">
        <f t="shared" ca="1" si="11"/>
        <v>1602</v>
      </c>
      <c r="B297" s="10" t="s">
        <v>1492</v>
      </c>
      <c r="C297" s="10" t="str">
        <f t="shared" ca="1" si="10"/>
        <v>---</v>
      </c>
      <c r="D297" s="68" t="s">
        <v>1383</v>
      </c>
      <c r="E297" s="68" t="s">
        <v>1383</v>
      </c>
      <c r="F297" s="68" t="s">
        <v>1383</v>
      </c>
    </row>
    <row r="298" spans="1:6" x14ac:dyDescent="0.2">
      <c r="A298" s="10">
        <f t="shared" ca="1" si="11"/>
        <v>1603</v>
      </c>
      <c r="B298" s="10" t="s">
        <v>1493</v>
      </c>
      <c r="C298" s="10" t="str">
        <f t="shared" ca="1" si="10"/>
        <v>Aperfeiçoamento Pessoal</v>
      </c>
      <c r="D298" s="10" t="s">
        <v>1403</v>
      </c>
      <c r="E298" s="32" t="s">
        <v>1404</v>
      </c>
      <c r="F298" s="10" t="s">
        <v>1405</v>
      </c>
    </row>
    <row r="299" spans="1:6" x14ac:dyDescent="0.2">
      <c r="A299" s="10">
        <f t="shared" ca="1" si="11"/>
        <v>1604</v>
      </c>
      <c r="B299" s="10" t="s">
        <v>1494</v>
      </c>
      <c r="C299" s="10" t="str">
        <f t="shared" ca="1" si="10"/>
        <v>Importante</v>
      </c>
      <c r="D299" s="32" t="s">
        <v>1417</v>
      </c>
      <c r="E299" s="10" t="s">
        <v>1418</v>
      </c>
      <c r="F299" s="10" t="s">
        <v>1418</v>
      </c>
    </row>
    <row r="300" spans="1:6" x14ac:dyDescent="0.2">
      <c r="A300" s="10">
        <f t="shared" ca="1" si="11"/>
        <v>1700</v>
      </c>
      <c r="B300" s="10" t="s">
        <v>1495</v>
      </c>
      <c r="C300" s="10" t="str">
        <f t="shared" ref="C300:C364" ca="1" si="12">OFFSET(C300,0,$C$1)</f>
        <v>Anotações-Esquerda</v>
      </c>
      <c r="D300" s="10" t="s">
        <v>829</v>
      </c>
      <c r="E300" s="32" t="s">
        <v>830</v>
      </c>
      <c r="F300" s="10" t="s">
        <v>831</v>
      </c>
    </row>
    <row r="301" spans="1:6" x14ac:dyDescent="0.2">
      <c r="A301" s="10">
        <f t="shared" ca="1" si="11"/>
        <v>1701</v>
      </c>
      <c r="B301" s="10" t="s">
        <v>1496</v>
      </c>
      <c r="C301" s="10" t="str">
        <f t="shared" ca="1" si="12"/>
        <v>Anotacoes-Esquerda</v>
      </c>
      <c r="D301" s="10" t="s">
        <v>829</v>
      </c>
      <c r="E301" s="32" t="s">
        <v>830</v>
      </c>
      <c r="F301" s="32" t="s">
        <v>1497</v>
      </c>
    </row>
    <row r="302" spans="1:6" x14ac:dyDescent="0.2">
      <c r="A302" s="10">
        <f t="shared" ca="1" si="11"/>
        <v>1702</v>
      </c>
      <c r="B302" s="10" t="s">
        <v>1498</v>
      </c>
      <c r="C302" s="10" t="str">
        <f t="shared" ca="1" si="12"/>
        <v>Anotações</v>
      </c>
      <c r="D302" s="32" t="s">
        <v>1499</v>
      </c>
      <c r="E302" s="32" t="s">
        <v>1500</v>
      </c>
      <c r="F302" s="10" t="s">
        <v>1501</v>
      </c>
    </row>
    <row r="303" spans="1:6" x14ac:dyDescent="0.2">
      <c r="A303" s="10">
        <f t="shared" ca="1" si="11"/>
        <v>1800</v>
      </c>
      <c r="B303" s="10" t="s">
        <v>1502</v>
      </c>
      <c r="C303" s="10" t="str">
        <f t="shared" ca="1" si="12"/>
        <v>Anotações-Direita</v>
      </c>
      <c r="D303" s="10" t="s">
        <v>833</v>
      </c>
      <c r="E303" s="32" t="s">
        <v>834</v>
      </c>
      <c r="F303" s="10" t="s">
        <v>835</v>
      </c>
    </row>
    <row r="304" spans="1:6" x14ac:dyDescent="0.2">
      <c r="A304" s="10">
        <f t="shared" ca="1" si="11"/>
        <v>1801</v>
      </c>
      <c r="B304" s="10" t="s">
        <v>1503</v>
      </c>
      <c r="C304" s="10" t="str">
        <f t="shared" ca="1" si="12"/>
        <v>Anotacoes-Direita</v>
      </c>
      <c r="D304" s="10" t="s">
        <v>833</v>
      </c>
      <c r="E304" s="32" t="s">
        <v>834</v>
      </c>
      <c r="F304" s="32" t="s">
        <v>1504</v>
      </c>
    </row>
    <row r="305" spans="1:6" x14ac:dyDescent="0.2">
      <c r="A305" s="10">
        <f t="shared" ca="1" si="11"/>
        <v>1802</v>
      </c>
      <c r="B305" s="32" t="s">
        <v>1505</v>
      </c>
      <c r="C305" s="10" t="str">
        <f t="shared" ca="1" si="12"/>
        <v>Anotações</v>
      </c>
      <c r="D305" s="10" t="s">
        <v>1499</v>
      </c>
      <c r="E305" s="32" t="s">
        <v>1500</v>
      </c>
      <c r="F305" s="10" t="s">
        <v>1501</v>
      </c>
    </row>
    <row r="306" spans="1:6" x14ac:dyDescent="0.2">
      <c r="A306" s="10">
        <f t="shared" ca="1" si="11"/>
        <v>1900</v>
      </c>
      <c r="B306" s="10" t="s">
        <v>1506</v>
      </c>
      <c r="C306" s="10" t="str">
        <f t="shared" ca="1" si="12"/>
        <v>Contato-Esquerda</v>
      </c>
      <c r="D306" s="10" t="s">
        <v>143</v>
      </c>
      <c r="E306" s="32" t="s">
        <v>842</v>
      </c>
      <c r="F306" s="10" t="s">
        <v>843</v>
      </c>
    </row>
    <row r="307" spans="1:6" x14ac:dyDescent="0.2">
      <c r="A307" s="10">
        <f t="shared" ca="1" si="11"/>
        <v>1901</v>
      </c>
      <c r="B307" s="10" t="s">
        <v>1507</v>
      </c>
      <c r="C307" s="10" t="str">
        <f t="shared" ca="1" si="12"/>
        <v>Contato-Esquerda</v>
      </c>
      <c r="D307" s="10" t="s">
        <v>143</v>
      </c>
      <c r="E307" s="32" t="s">
        <v>842</v>
      </c>
      <c r="F307" s="10" t="s">
        <v>843</v>
      </c>
    </row>
    <row r="308" spans="1:6" x14ac:dyDescent="0.2">
      <c r="A308" s="10">
        <f t="shared" ca="1" si="11"/>
        <v>1902</v>
      </c>
      <c r="B308" s="10" t="s">
        <v>1508</v>
      </c>
      <c r="C308" s="10" t="str">
        <f t="shared" ca="1" si="12"/>
        <v>CONTATO</v>
      </c>
      <c r="D308" s="10" t="s">
        <v>1509</v>
      </c>
      <c r="E308" s="32" t="s">
        <v>1510</v>
      </c>
      <c r="F308" s="10" t="s">
        <v>1511</v>
      </c>
    </row>
    <row r="309" spans="1:6" x14ac:dyDescent="0.2">
      <c r="A309" s="10">
        <f t="shared" ca="1" si="11"/>
        <v>1903</v>
      </c>
      <c r="B309" s="10" t="s">
        <v>1512</v>
      </c>
      <c r="C309" s="10" t="str">
        <f t="shared" ca="1" si="12"/>
        <v>Nome</v>
      </c>
      <c r="D309" s="10" t="s">
        <v>1011</v>
      </c>
      <c r="E309" s="10" t="s">
        <v>1012</v>
      </c>
      <c r="F309" s="10" t="s">
        <v>1013</v>
      </c>
    </row>
    <row r="310" spans="1:6" x14ac:dyDescent="0.2">
      <c r="A310" s="10">
        <f t="shared" ca="1" si="11"/>
        <v>1904</v>
      </c>
      <c r="B310" s="10" t="s">
        <v>1513</v>
      </c>
      <c r="C310" s="10" t="str">
        <f t="shared" ca="1" si="12"/>
        <v>Endereço</v>
      </c>
      <c r="D310" s="10" t="s">
        <v>1015</v>
      </c>
      <c r="E310" s="32" t="s">
        <v>1016</v>
      </c>
      <c r="F310" s="10" t="s">
        <v>1017</v>
      </c>
    </row>
    <row r="311" spans="1:6" x14ac:dyDescent="0.2">
      <c r="A311" s="10">
        <f t="shared" ca="1" si="11"/>
        <v>1905</v>
      </c>
      <c r="B311" s="10" t="s">
        <v>1514</v>
      </c>
      <c r="C311" s="10" t="str">
        <f t="shared" ca="1" si="12"/>
        <v>Telefone</v>
      </c>
      <c r="D311" s="32" t="s">
        <v>1029</v>
      </c>
      <c r="E311" s="10" t="s">
        <v>1030</v>
      </c>
      <c r="F311" s="10" t="s">
        <v>1515</v>
      </c>
    </row>
    <row r="312" spans="1:6" x14ac:dyDescent="0.2">
      <c r="A312" s="10">
        <f t="shared" ca="1" si="11"/>
        <v>1906</v>
      </c>
      <c r="B312" s="10" t="s">
        <v>1516</v>
      </c>
      <c r="C312" s="10" t="str">
        <f t="shared" ca="1" si="12"/>
        <v>Celular</v>
      </c>
      <c r="D312" s="32" t="s">
        <v>1033</v>
      </c>
      <c r="E312" s="10" t="s">
        <v>1034</v>
      </c>
      <c r="F312" s="10" t="s">
        <v>1034</v>
      </c>
    </row>
    <row r="313" spans="1:6" x14ac:dyDescent="0.2">
      <c r="A313" s="10">
        <f t="shared" ca="1" si="11"/>
        <v>2000</v>
      </c>
      <c r="B313" s="10" t="s">
        <v>1517</v>
      </c>
      <c r="C313" s="10" t="str">
        <f t="shared" ca="1" si="12"/>
        <v>Contato-Direita</v>
      </c>
      <c r="D313" s="10" t="s">
        <v>144</v>
      </c>
      <c r="E313" s="32" t="s">
        <v>846</v>
      </c>
      <c r="F313" s="10" t="s">
        <v>847</v>
      </c>
    </row>
    <row r="314" spans="1:6" x14ac:dyDescent="0.2">
      <c r="A314" s="10">
        <f t="shared" ca="1" si="11"/>
        <v>2001</v>
      </c>
      <c r="B314" s="10" t="s">
        <v>1518</v>
      </c>
      <c r="C314" s="10" t="str">
        <f t="shared" ca="1" si="12"/>
        <v>Contato-Direita</v>
      </c>
      <c r="D314" s="10" t="s">
        <v>144</v>
      </c>
      <c r="E314" s="32" t="s">
        <v>846</v>
      </c>
      <c r="F314" s="10" t="s">
        <v>847</v>
      </c>
    </row>
    <row r="315" spans="1:6" x14ac:dyDescent="0.2">
      <c r="A315" s="10">
        <f t="shared" ca="1" si="11"/>
        <v>2002</v>
      </c>
      <c r="B315" s="10" t="s">
        <v>1519</v>
      </c>
      <c r="C315" s="10" t="str">
        <f t="shared" ca="1" si="12"/>
        <v>CONTATO</v>
      </c>
      <c r="D315" s="10" t="s">
        <v>1509</v>
      </c>
      <c r="E315" s="32" t="s">
        <v>1510</v>
      </c>
      <c r="F315" s="10" t="s">
        <v>1511</v>
      </c>
    </row>
    <row r="316" spans="1:6" x14ac:dyDescent="0.2">
      <c r="A316" s="10">
        <f t="shared" ca="1" si="11"/>
        <v>2003</v>
      </c>
      <c r="B316" s="10" t="s">
        <v>1520</v>
      </c>
      <c r="C316" s="10" t="str">
        <f t="shared" ca="1" si="12"/>
        <v>Nome</v>
      </c>
      <c r="D316" s="10" t="s">
        <v>1011</v>
      </c>
      <c r="E316" s="10" t="s">
        <v>1012</v>
      </c>
      <c r="F316" s="10" t="s">
        <v>1013</v>
      </c>
    </row>
    <row r="317" spans="1:6" x14ac:dyDescent="0.2">
      <c r="A317" s="10">
        <f t="shared" ca="1" si="11"/>
        <v>2004</v>
      </c>
      <c r="B317" s="10" t="s">
        <v>1521</v>
      </c>
      <c r="C317" s="10" t="str">
        <f t="shared" ca="1" si="12"/>
        <v>Endereço</v>
      </c>
      <c r="D317" s="10" t="s">
        <v>1015</v>
      </c>
      <c r="E317" s="10" t="s">
        <v>1103</v>
      </c>
      <c r="F317" s="10" t="s">
        <v>1017</v>
      </c>
    </row>
    <row r="318" spans="1:6" x14ac:dyDescent="0.2">
      <c r="A318" s="10">
        <f t="shared" ca="1" si="11"/>
        <v>2005</v>
      </c>
      <c r="B318" s="10" t="s">
        <v>1522</v>
      </c>
      <c r="C318" s="10" t="str">
        <f t="shared" ca="1" si="12"/>
        <v>Telefone</v>
      </c>
      <c r="D318" s="10" t="s">
        <v>1029</v>
      </c>
      <c r="E318" s="10" t="s">
        <v>1030</v>
      </c>
      <c r="F318" s="10" t="s">
        <v>1515</v>
      </c>
    </row>
    <row r="319" spans="1:6" x14ac:dyDescent="0.2">
      <c r="A319" s="10">
        <f t="shared" ca="1" si="11"/>
        <v>2006</v>
      </c>
      <c r="B319" s="10" t="s">
        <v>1523</v>
      </c>
      <c r="C319" s="10" t="str">
        <f t="shared" ca="1" si="12"/>
        <v>Celular</v>
      </c>
      <c r="D319" s="10" t="s">
        <v>1033</v>
      </c>
      <c r="E319" s="10" t="s">
        <v>1034</v>
      </c>
      <c r="F319" s="10" t="s">
        <v>1034</v>
      </c>
    </row>
    <row r="320" spans="1:6" x14ac:dyDescent="0.2">
      <c r="A320" s="10">
        <f t="shared" ca="1" si="11"/>
        <v>2100</v>
      </c>
      <c r="B320" s="10" t="s">
        <v>1524</v>
      </c>
      <c r="C320" s="10" t="str">
        <f t="shared" ca="1" si="12"/>
        <v>Fin-Person</v>
      </c>
      <c r="D320" s="10" t="s">
        <v>1525</v>
      </c>
      <c r="E320" s="32" t="s">
        <v>1526</v>
      </c>
      <c r="F320" s="10" t="s">
        <v>1527</v>
      </c>
    </row>
    <row r="321" spans="1:6" x14ac:dyDescent="0.2">
      <c r="A321" s="10">
        <f t="shared" ca="1" si="11"/>
        <v>2101</v>
      </c>
      <c r="B321" s="10" t="s">
        <v>1528</v>
      </c>
      <c r="C321" s="10" t="str">
        <f t="shared" ca="1" si="12"/>
        <v>Fin-Person</v>
      </c>
      <c r="D321" s="10" t="s">
        <v>1527</v>
      </c>
      <c r="E321" s="32" t="s">
        <v>1529</v>
      </c>
      <c r="F321" s="10" t="s">
        <v>1527</v>
      </c>
    </row>
    <row r="322" spans="1:6" x14ac:dyDescent="0.2">
      <c r="A322" s="10">
        <f t="shared" ca="1" si="11"/>
        <v>2102</v>
      </c>
      <c r="B322" s="10" t="s">
        <v>1530</v>
      </c>
      <c r="C322" s="10" t="str">
        <f t="shared" ca="1" si="12"/>
        <v>Agenda Financeira - Personalização</v>
      </c>
      <c r="D322" s="10" t="s">
        <v>1531</v>
      </c>
      <c r="E322" s="32" t="s">
        <v>1532</v>
      </c>
      <c r="F322" s="10" t="s">
        <v>1533</v>
      </c>
    </row>
    <row r="323" spans="1:6" x14ac:dyDescent="0.2">
      <c r="A323" s="10">
        <f t="shared" ca="1" si="11"/>
        <v>2200</v>
      </c>
      <c r="B323" s="10" t="s">
        <v>1534</v>
      </c>
      <c r="C323" s="10" t="str">
        <f t="shared" ca="1" si="12"/>
        <v>Citações</v>
      </c>
      <c r="D323" s="10" t="s">
        <v>849</v>
      </c>
      <c r="E323" s="32" t="s">
        <v>850</v>
      </c>
      <c r="F323" s="10" t="s">
        <v>851</v>
      </c>
    </row>
    <row r="324" spans="1:6" x14ac:dyDescent="0.2">
      <c r="A324" s="10">
        <f t="shared" ca="1" si="11"/>
        <v>2201</v>
      </c>
      <c r="B324" s="10" t="s">
        <v>1535</v>
      </c>
      <c r="C324" s="10" t="str">
        <f t="shared" ca="1" si="12"/>
        <v>Citacoes</v>
      </c>
      <c r="D324" s="10" t="s">
        <v>849</v>
      </c>
      <c r="E324" s="32" t="s">
        <v>850</v>
      </c>
      <c r="F324" s="10" t="s">
        <v>1536</v>
      </c>
    </row>
    <row r="325" spans="1:6" x14ac:dyDescent="0.2">
      <c r="A325" s="10">
        <f t="shared" ca="1" si="11"/>
        <v>2202</v>
      </c>
      <c r="B325" s="10" t="s">
        <v>1537</v>
      </c>
      <c r="C325" s="10" t="str">
        <f t="shared" ca="1" si="12"/>
        <v>Cita-ções</v>
      </c>
      <c r="D325" s="32" t="s">
        <v>1538</v>
      </c>
      <c r="E325" s="32" t="s">
        <v>1539</v>
      </c>
      <c r="F325" s="10" t="s">
        <v>1540</v>
      </c>
    </row>
    <row r="326" spans="1:6" x14ac:dyDescent="0.2">
      <c r="A326" s="10">
        <f t="shared" ref="A326:A372" ca="1" si="13">IF(RIGHT(B326,8)="_section",(INT(A325/100)+1)*100,A325+1)</f>
        <v>2203</v>
      </c>
      <c r="B326" s="10" t="s">
        <v>1541</v>
      </c>
      <c r="C326" s="10" t="str">
        <f t="shared" ca="1" si="12"/>
        <v>Linha 1</v>
      </c>
      <c r="D326" s="10" t="s">
        <v>1542</v>
      </c>
      <c r="E326" s="10" t="s">
        <v>1543</v>
      </c>
      <c r="F326" s="10" t="s">
        <v>1544</v>
      </c>
    </row>
    <row r="327" spans="1:6" x14ac:dyDescent="0.2">
      <c r="A327" s="10">
        <f t="shared" ca="1" si="13"/>
        <v>2204</v>
      </c>
      <c r="B327" s="10" t="s">
        <v>1545</v>
      </c>
      <c r="C327" s="10" t="str">
        <f t="shared" ca="1" si="12"/>
        <v>Linha 2</v>
      </c>
      <c r="D327" s="10" t="s">
        <v>1546</v>
      </c>
      <c r="E327" s="10" t="s">
        <v>1547</v>
      </c>
      <c r="F327" s="10" t="s">
        <v>1548</v>
      </c>
    </row>
    <row r="328" spans="1:6" x14ac:dyDescent="0.2">
      <c r="A328" s="10">
        <f t="shared" ca="1" si="13"/>
        <v>2205</v>
      </c>
      <c r="B328" s="10" t="s">
        <v>1549</v>
      </c>
      <c r="C328" s="10" t="str">
        <f t="shared" ca="1" si="12"/>
        <v>Linha 3</v>
      </c>
      <c r="D328" s="10" t="s">
        <v>1550</v>
      </c>
      <c r="E328" s="10" t="s">
        <v>1551</v>
      </c>
      <c r="F328" s="10" t="s">
        <v>1552</v>
      </c>
    </row>
    <row r="329" spans="1:6" x14ac:dyDescent="0.2">
      <c r="A329" s="10">
        <f t="shared" ca="1" si="13"/>
        <v>2206</v>
      </c>
      <c r="B329" s="10" t="s">
        <v>1553</v>
      </c>
      <c r="C329" s="10" t="str">
        <f t="shared" ca="1" si="12"/>
        <v>Linha 4</v>
      </c>
      <c r="D329" s="10" t="s">
        <v>1554</v>
      </c>
      <c r="E329" s="10" t="s">
        <v>1555</v>
      </c>
      <c r="F329" s="10" t="s">
        <v>1556</v>
      </c>
    </row>
    <row r="330" spans="1:6" x14ac:dyDescent="0.2">
      <c r="A330" s="10">
        <f t="shared" ca="1" si="13"/>
        <v>2207</v>
      </c>
      <c r="B330" s="10" t="s">
        <v>1557</v>
      </c>
      <c r="C330" s="10" t="str">
        <f t="shared" ca="1" si="12"/>
        <v>Linha 5</v>
      </c>
      <c r="D330" s="10" t="s">
        <v>1558</v>
      </c>
      <c r="E330" s="10" t="s">
        <v>1559</v>
      </c>
      <c r="F330" s="10" t="s">
        <v>1560</v>
      </c>
    </row>
    <row r="331" spans="1:6" x14ac:dyDescent="0.2">
      <c r="A331" s="10">
        <f t="shared" ca="1" si="13"/>
        <v>2208</v>
      </c>
      <c r="B331" s="10" t="s">
        <v>1561</v>
      </c>
      <c r="C331" s="10" t="str">
        <f t="shared" ca="1" si="12"/>
        <v>Linha 6</v>
      </c>
      <c r="D331" s="10" t="s">
        <v>1562</v>
      </c>
      <c r="E331" s="10" t="s">
        <v>1563</v>
      </c>
      <c r="F331" s="10" t="s">
        <v>1564</v>
      </c>
    </row>
    <row r="332" spans="1:6" x14ac:dyDescent="0.2">
      <c r="A332" s="10">
        <f t="shared" ca="1" si="13"/>
        <v>2209</v>
      </c>
      <c r="B332" s="10" t="s">
        <v>1565</v>
      </c>
      <c r="C332" s="10" t="str">
        <f t="shared" ca="1" si="12"/>
        <v>Linha 7</v>
      </c>
      <c r="D332" s="10" t="s">
        <v>1566</v>
      </c>
      <c r="E332" s="10" t="s">
        <v>1567</v>
      </c>
      <c r="F332" s="10" t="s">
        <v>1568</v>
      </c>
    </row>
    <row r="333" spans="1:6" x14ac:dyDescent="0.2">
      <c r="A333" s="10">
        <f t="shared" ca="1" si="13"/>
        <v>2300</v>
      </c>
      <c r="B333" s="32" t="s">
        <v>1569</v>
      </c>
      <c r="C333" s="10">
        <f t="shared" ca="1" si="12"/>
        <v>0</v>
      </c>
      <c r="E333" s="32"/>
      <c r="F333" s="32"/>
    </row>
    <row r="334" spans="1:6" x14ac:dyDescent="0.2">
      <c r="A334" s="10">
        <f t="shared" ca="1" si="13"/>
        <v>2301</v>
      </c>
      <c r="B334" s="32" t="s">
        <v>1570</v>
      </c>
      <c r="C334" s="10" t="str">
        <f t="shared" ca="1" si="12"/>
        <v>Aguarde: carregando dados do calendário</v>
      </c>
      <c r="D334" s="10" t="s">
        <v>1571</v>
      </c>
      <c r="E334" s="32" t="s">
        <v>1572</v>
      </c>
      <c r="F334" s="32" t="s">
        <v>1572</v>
      </c>
    </row>
    <row r="335" spans="1:6" x14ac:dyDescent="0.2">
      <c r="A335" s="10">
        <f t="shared" ca="1" si="13"/>
        <v>2302</v>
      </c>
      <c r="B335" s="32" t="s">
        <v>1573</v>
      </c>
      <c r="C335" s="10" t="str">
        <f t="shared" ca="1" si="12"/>
        <v>Ocorreu um erro:</v>
      </c>
      <c r="D335" s="10" t="s">
        <v>1574</v>
      </c>
      <c r="E335" s="32" t="s">
        <v>131</v>
      </c>
      <c r="F335" s="32" t="s">
        <v>131</v>
      </c>
    </row>
    <row r="336" spans="1:6" x14ac:dyDescent="0.2">
      <c r="A336" s="10">
        <f t="shared" ca="1" si="13"/>
        <v>2303</v>
      </c>
      <c r="B336" s="32" t="s">
        <v>1575</v>
      </c>
      <c r="C336" s="10" t="str">
        <f t="shared" ca="1" si="12"/>
        <v>o arquivo gcal.exe não foi encontrado na pasta atual.</v>
      </c>
      <c r="D336" s="32" t="s">
        <v>1576</v>
      </c>
      <c r="E336" s="32" t="s">
        <v>1577</v>
      </c>
      <c r="F336" s="32" t="s">
        <v>1578</v>
      </c>
    </row>
    <row r="337" spans="1:6" x14ac:dyDescent="0.2">
      <c r="A337" s="10">
        <f t="shared" ca="1" si="13"/>
        <v>2304</v>
      </c>
      <c r="B337" s="32" t="s">
        <v>1579</v>
      </c>
      <c r="C337" s="10" t="str">
        <f t="shared" ca="1" si="12"/>
        <v>Baixe o Gcal 11, descompacte, e copie para a mesma pasta deste arquivo.</v>
      </c>
      <c r="D337" s="32" t="s">
        <v>1580</v>
      </c>
      <c r="E337" s="32" t="s">
        <v>1581</v>
      </c>
      <c r="F337" s="32" t="s">
        <v>133</v>
      </c>
    </row>
    <row r="338" spans="1:6" x14ac:dyDescent="0.2">
      <c r="A338" s="10">
        <f t="shared" ca="1" si="13"/>
        <v>2305</v>
      </c>
      <c r="B338" s="32" t="s">
        <v>1582</v>
      </c>
      <c r="C338" s="10" t="str">
        <f t="shared" ca="1" si="12"/>
        <v>http://www.krishnadays.com</v>
      </c>
      <c r="D338" s="32" t="s">
        <v>137</v>
      </c>
      <c r="E338" s="32" t="s">
        <v>137</v>
      </c>
      <c r="F338" s="32" t="s">
        <v>137</v>
      </c>
    </row>
    <row r="339" spans="1:6" x14ac:dyDescent="0.2">
      <c r="A339" s="10">
        <f t="shared" ca="1" si="13"/>
        <v>2306</v>
      </c>
      <c r="B339" s="32" t="s">
        <v>8235</v>
      </c>
      <c r="C339" s="10" t="str">
        <f t="shared" ca="1" si="12"/>
        <v>Pronto! #p# páginas em #t#</v>
      </c>
      <c r="D339" s="10" t="s">
        <v>8232</v>
      </c>
      <c r="E339" s="32" t="s">
        <v>8234</v>
      </c>
      <c r="F339" s="32" t="s">
        <v>8233</v>
      </c>
    </row>
    <row r="340" spans="1:6" x14ac:dyDescent="0.2">
      <c r="A340" s="10">
        <f t="shared" ca="1" si="13"/>
        <v>2307</v>
      </c>
      <c r="B340" s="10" t="s">
        <v>1583</v>
      </c>
      <c r="C340" s="10" t="str">
        <f t="shared" ca="1" si="12"/>
        <v>Carregando...</v>
      </c>
      <c r="D340" s="32" t="s">
        <v>1584</v>
      </c>
      <c r="E340" s="32" t="s">
        <v>1585</v>
      </c>
      <c r="F340" s="32" t="s">
        <v>1585</v>
      </c>
    </row>
    <row r="341" spans="1:6" x14ac:dyDescent="0.2">
      <c r="A341" s="10">
        <f t="shared" ca="1" si="13"/>
        <v>2308</v>
      </c>
      <c r="B341" s="10" t="s">
        <v>8235</v>
      </c>
      <c r="C341" s="10" t="str">
        <f t="shared" ca="1" si="12"/>
        <v>Pronto!  P: #p#  T: #t#</v>
      </c>
      <c r="D341" s="10" t="s">
        <v>8237</v>
      </c>
      <c r="E341" s="32" t="s">
        <v>8236</v>
      </c>
      <c r="F341" s="32" t="s">
        <v>8236</v>
      </c>
    </row>
    <row r="342" spans="1:6" x14ac:dyDescent="0.2">
      <c r="A342" s="10">
        <f t="shared" ca="1" si="13"/>
        <v>2309</v>
      </c>
      <c r="B342" s="32" t="s">
        <v>1586</v>
      </c>
      <c r="C342" s="10" t="str">
        <f t="shared" ca="1" si="12"/>
        <v>Aguarde:  #|#  P: #p#  T: #t#  R: #r#  N:</v>
      </c>
      <c r="D342" s="32" t="s">
        <v>9653</v>
      </c>
      <c r="E342" s="32" t="s">
        <v>9652</v>
      </c>
      <c r="F342" s="32" t="s">
        <v>9652</v>
      </c>
    </row>
    <row r="343" spans="1:6" x14ac:dyDescent="0.2">
      <c r="A343" s="10">
        <f t="shared" ca="1" si="13"/>
        <v>2310</v>
      </c>
      <c r="B343" s="32" t="s">
        <v>1587</v>
      </c>
      <c r="C343" s="10" t="str">
        <f t="shared" ca="1" si="12"/>
        <v>Aguarde: excluindo arquivos anteriores...</v>
      </c>
      <c r="D343" s="32" t="s">
        <v>1588</v>
      </c>
      <c r="E343" s="32" t="s">
        <v>1589</v>
      </c>
      <c r="F343" s="32" t="s">
        <v>1590</v>
      </c>
    </row>
    <row r="344" spans="1:6" x14ac:dyDescent="0.2">
      <c r="A344" s="10">
        <f t="shared" ca="1" si="13"/>
        <v>2311</v>
      </c>
      <c r="B344" s="32" t="s">
        <v>1591</v>
      </c>
      <c r="C344" s="10" t="str">
        <f t="shared" ca="1" si="12"/>
        <v>Aguarde: abrindo Gcal...</v>
      </c>
      <c r="D344" s="32" t="s">
        <v>1592</v>
      </c>
      <c r="E344" s="32" t="s">
        <v>1593</v>
      </c>
      <c r="F344" s="32" t="s">
        <v>1594</v>
      </c>
    </row>
    <row r="345" spans="1:6" x14ac:dyDescent="0.2">
      <c r="A345" s="10">
        <f t="shared" ca="1" si="13"/>
        <v>2312</v>
      </c>
      <c r="B345" s="32" t="s">
        <v>1595</v>
      </c>
      <c r="C345" s="10" t="str">
        <f t="shared" ca="1" si="12"/>
        <v>Aguarde: selecionando a localidade...</v>
      </c>
      <c r="D345" s="32" t="s">
        <v>1596</v>
      </c>
      <c r="E345" s="32" t="s">
        <v>1597</v>
      </c>
      <c r="F345" s="32" t="s">
        <v>1598</v>
      </c>
    </row>
    <row r="346" spans="1:6" x14ac:dyDescent="0.2">
      <c r="A346" s="10">
        <f t="shared" ca="1" si="13"/>
        <v>2313</v>
      </c>
      <c r="B346" s="32" t="s">
        <v>1599</v>
      </c>
      <c r="C346" s="10" t="str">
        <f t="shared" ca="1" si="12"/>
        <v>Aguarde: calculando calendário...</v>
      </c>
      <c r="D346" s="32" t="s">
        <v>1600</v>
      </c>
      <c r="E346" s="32" t="s">
        <v>1601</v>
      </c>
      <c r="F346" s="32" t="s">
        <v>1602</v>
      </c>
    </row>
    <row r="347" spans="1:6" x14ac:dyDescent="0.2">
      <c r="A347" s="10">
        <f t="shared" ca="1" si="13"/>
        <v>2314</v>
      </c>
      <c r="B347" s="32" t="s">
        <v>1603</v>
      </c>
      <c r="C347" s="10" t="str">
        <f t="shared" ca="1" si="12"/>
        <v>Aguarde: salvando Calendário em xml...</v>
      </c>
      <c r="D347" s="32" t="s">
        <v>1604</v>
      </c>
      <c r="E347" s="32" t="s">
        <v>1605</v>
      </c>
      <c r="F347" s="32" t="s">
        <v>1606</v>
      </c>
    </row>
    <row r="348" spans="1:6" x14ac:dyDescent="0.2">
      <c r="A348" s="10">
        <f t="shared" ca="1" si="13"/>
        <v>2315</v>
      </c>
      <c r="B348" s="32" t="s">
        <v>1607</v>
      </c>
      <c r="C348" s="10" t="str">
        <f t="shared" ca="1" si="12"/>
        <v>Aguarde: salvando Calendário em html...</v>
      </c>
      <c r="D348" s="32" t="s">
        <v>1608</v>
      </c>
      <c r="E348" s="32" t="s">
        <v>1609</v>
      </c>
      <c r="F348" s="32" t="s">
        <v>1610</v>
      </c>
    </row>
    <row r="349" spans="1:6" x14ac:dyDescent="0.2">
      <c r="A349" s="10">
        <f t="shared" ca="1" si="13"/>
        <v>2316</v>
      </c>
      <c r="B349" s="32" t="s">
        <v>1611</v>
      </c>
      <c r="C349" s="10" t="str">
        <f t="shared" ca="1" si="12"/>
        <v>Aguarde: fechando Gcal...</v>
      </c>
      <c r="D349" s="32" t="s">
        <v>1612</v>
      </c>
      <c r="E349" s="32" t="s">
        <v>1613</v>
      </c>
      <c r="F349" s="32" t="s">
        <v>1614</v>
      </c>
    </row>
    <row r="350" spans="1:6" x14ac:dyDescent="0.2">
      <c r="A350" s="10">
        <f t="shared" ca="1" si="13"/>
        <v>2317</v>
      </c>
      <c r="B350" s="32" t="s">
        <v>9657</v>
      </c>
      <c r="C350" s="10" t="str">
        <f t="shared" ca="1" si="12"/>
        <v>OK!</v>
      </c>
      <c r="D350" s="32" t="s">
        <v>9658</v>
      </c>
      <c r="E350" s="32" t="s">
        <v>9658</v>
      </c>
      <c r="F350" s="32" t="s">
        <v>9658</v>
      </c>
    </row>
    <row r="351" spans="1:6" x14ac:dyDescent="0.2">
      <c r="A351" s="10">
        <f t="shared" ca="1" si="13"/>
        <v>2400</v>
      </c>
      <c r="B351" s="32" t="s">
        <v>1615</v>
      </c>
      <c r="C351" s="10">
        <f t="shared" ca="1" si="12"/>
        <v>0</v>
      </c>
    </row>
    <row r="352" spans="1:6" x14ac:dyDescent="0.2">
      <c r="A352" s="10">
        <f t="shared" ca="1" si="13"/>
        <v>2401</v>
      </c>
      <c r="B352" s="32" t="s">
        <v>1616</v>
      </c>
      <c r="C352" s="10" t="str">
        <f t="shared" ca="1" si="12"/>
        <v>GetWeekDayOfMonth</v>
      </c>
      <c r="D352" s="10" t="s">
        <v>1617</v>
      </c>
      <c r="E352" s="10" t="s">
        <v>1617</v>
      </c>
      <c r="F352" s="10" t="s">
        <v>1617</v>
      </c>
    </row>
    <row r="353" spans="1:6" x14ac:dyDescent="0.2">
      <c r="A353" s="10">
        <f t="shared" ca="1" si="13"/>
        <v>2402</v>
      </c>
      <c r="B353" s="32" t="s">
        <v>1618</v>
      </c>
      <c r="C353" s="10" t="str">
        <f t="shared" ca="1" si="12"/>
        <v>CalendarXML</v>
      </c>
      <c r="D353" s="10" t="s">
        <v>1619</v>
      </c>
      <c r="E353" s="10" t="s">
        <v>1619</v>
      </c>
      <c r="F353" s="10" t="s">
        <v>1619</v>
      </c>
    </row>
    <row r="354" spans="1:6" x14ac:dyDescent="0.2">
      <c r="A354" s="10">
        <f t="shared" ca="1" si="13"/>
        <v>2403</v>
      </c>
      <c r="B354" s="32" t="s">
        <v>1620</v>
      </c>
      <c r="C354" s="10" t="str">
        <f t="shared" ca="1" si="12"/>
        <v>Retorna uma data do tipo 'segundo domingo de maio', fornecidos: o ano, o mês, o 'dia da semana' (domingo, segunda, etc.) e o número de 'dias da semana' contados a partir do primeiro dia do mês, inclusive</v>
      </c>
      <c r="F354" s="10" t="s">
        <v>1621</v>
      </c>
    </row>
    <row r="355" spans="1:6" x14ac:dyDescent="0.2">
      <c r="A355" s="10">
        <f t="shared" ca="1" si="13"/>
        <v>2404</v>
      </c>
      <c r="B355" s="32" t="s">
        <v>1622</v>
      </c>
      <c r="C355" s="10">
        <f t="shared" ca="1" si="12"/>
        <v>4</v>
      </c>
      <c r="D355" s="10">
        <v>4</v>
      </c>
      <c r="E355" s="10">
        <v>4</v>
      </c>
      <c r="F355" s="10">
        <v>4</v>
      </c>
    </row>
    <row r="356" spans="1:6" x14ac:dyDescent="0.2">
      <c r="A356" s="10">
        <f t="shared" ca="1" si="13"/>
        <v>2405</v>
      </c>
      <c r="B356" s="32" t="s">
        <v>1623</v>
      </c>
      <c r="C356" s="10" t="str">
        <f t="shared" ca="1" si="12"/>
        <v>é o ano desejado</v>
      </c>
      <c r="D356" s="32" t="s">
        <v>1624</v>
      </c>
      <c r="E356" s="32" t="s">
        <v>1625</v>
      </c>
      <c r="F356" s="32" t="s">
        <v>1626</v>
      </c>
    </row>
    <row r="357" spans="1:6" x14ac:dyDescent="0.2">
      <c r="A357" s="10">
        <f t="shared" ca="1" si="13"/>
        <v>2406</v>
      </c>
      <c r="B357" s="32" t="s">
        <v>1627</v>
      </c>
      <c r="C357" s="10" t="str">
        <f t="shared" ca="1" si="12"/>
        <v>é o mês desejado, de 1 a 12 (se menor que 1 será considerado 1 e se maior que 12 será considerado 12)</v>
      </c>
      <c r="D357" s="32" t="s">
        <v>1628</v>
      </c>
      <c r="E357" s="32" t="s">
        <v>1629</v>
      </c>
      <c r="F357" s="32" t="s">
        <v>1630</v>
      </c>
    </row>
    <row r="358" spans="1:6" x14ac:dyDescent="0.2">
      <c r="A358" s="10">
        <f t="shared" ca="1" si="13"/>
        <v>2407</v>
      </c>
      <c r="B358" s="32" t="s">
        <v>1631</v>
      </c>
      <c r="C358" s="10" t="str">
        <f t="shared" ca="1" si="12"/>
        <v>é o 'dia da semana' procurado no mês: 1 para domingo, 2 para segunda, 3 para terça, 4 para quarta, 5 para quinta, 6 para sexta e 7 para sábado (se menor que 1 será considerado 1 e se maior que 7 será considerado 7)</v>
      </c>
      <c r="D358" s="32" t="s">
        <v>1632</v>
      </c>
      <c r="E358" s="32" t="s">
        <v>1633</v>
      </c>
      <c r="F358" s="10" t="s">
        <v>1634</v>
      </c>
    </row>
    <row r="359" spans="1:6" x14ac:dyDescent="0.2">
      <c r="A359" s="10">
        <f t="shared" ca="1" si="13"/>
        <v>2408</v>
      </c>
      <c r="B359" s="32" t="s">
        <v>1635</v>
      </c>
      <c r="C359" s="10" t="str">
        <f t="shared" ca="1" si="12"/>
        <v>1 para retornar o primeiro 'dia da semana' (domingo, segunda, etc.) do mês, 2 para segundo, 3 para terceiro, 4 para quarto, e maior que 4 para o último (retorna o quarto se não houver um quinto  'dia da semana' no mês)</v>
      </c>
      <c r="D359" s="32" t="s">
        <v>1636</v>
      </c>
      <c r="E359" s="32" t="s">
        <v>1637</v>
      </c>
      <c r="F359" s="32" t="s">
        <v>1638</v>
      </c>
    </row>
    <row r="360" spans="1:6" x14ac:dyDescent="0.2">
      <c r="A360" s="10">
        <f t="shared" ca="1" si="13"/>
        <v>2500</v>
      </c>
      <c r="B360" s="10" t="s">
        <v>8192</v>
      </c>
      <c r="C360" s="10" t="str">
        <f t="shared" ca="1" si="12"/>
        <v>Reuniões</v>
      </c>
      <c r="D360" s="10" t="s">
        <v>8193</v>
      </c>
      <c r="E360" s="10" t="s">
        <v>8185</v>
      </c>
      <c r="F360" s="10" t="s">
        <v>8179</v>
      </c>
    </row>
    <row r="361" spans="1:6" x14ac:dyDescent="0.2">
      <c r="A361" s="10">
        <f t="shared" ca="1" si="13"/>
        <v>2501</v>
      </c>
      <c r="B361" s="10" t="s">
        <v>8194</v>
      </c>
      <c r="C361" s="10" t="str">
        <f t="shared" ca="1" si="12"/>
        <v>Reuniao</v>
      </c>
      <c r="D361" s="10" t="s">
        <v>8193</v>
      </c>
      <c r="E361" s="10" t="s">
        <v>5680</v>
      </c>
      <c r="F361" s="10" t="s">
        <v>8196</v>
      </c>
    </row>
    <row r="362" spans="1:6" x14ac:dyDescent="0.2">
      <c r="A362" s="10">
        <f t="shared" ca="1" si="13"/>
        <v>2502</v>
      </c>
      <c r="B362" s="10" t="s">
        <v>8195</v>
      </c>
      <c r="C362" s="10" t="str">
        <f t="shared" ca="1" si="12"/>
        <v>Reunião</v>
      </c>
      <c r="D362" s="10" t="s">
        <v>8193</v>
      </c>
      <c r="E362" s="10" t="s">
        <v>8197</v>
      </c>
      <c r="F362" s="10" t="s">
        <v>8170</v>
      </c>
    </row>
    <row r="363" spans="1:6" x14ac:dyDescent="0.2">
      <c r="A363" s="10">
        <f t="shared" ca="1" si="13"/>
        <v>2503</v>
      </c>
      <c r="B363" s="10" t="s">
        <v>8199</v>
      </c>
      <c r="C363" s="10" t="str">
        <f t="shared" ca="1" si="12"/>
        <v>Nome da reunião:</v>
      </c>
      <c r="D363" s="10" t="s">
        <v>8200</v>
      </c>
      <c r="E363" s="10" t="s">
        <v>8208</v>
      </c>
      <c r="F363" s="10" t="s">
        <v>8198</v>
      </c>
    </row>
    <row r="364" spans="1:6" x14ac:dyDescent="0.2">
      <c r="A364" s="10">
        <f t="shared" ca="1" si="13"/>
        <v>2504</v>
      </c>
      <c r="B364" s="10" t="s">
        <v>8217</v>
      </c>
      <c r="C364" s="10" t="str">
        <f t="shared" ca="1" si="12"/>
        <v>Local:</v>
      </c>
      <c r="D364" s="10" t="s">
        <v>8169</v>
      </c>
      <c r="E364" s="10" t="s">
        <v>8209</v>
      </c>
      <c r="F364" s="10" t="s">
        <v>8169</v>
      </c>
    </row>
    <row r="365" spans="1:6" x14ac:dyDescent="0.2">
      <c r="A365" s="10">
        <f t="shared" ca="1" si="13"/>
        <v>2505</v>
      </c>
      <c r="B365" s="10" t="s">
        <v>8218</v>
      </c>
      <c r="C365" s="10" t="str">
        <f t="shared" ref="C365:C372" ca="1" si="14">OFFSET(C365,0,$C$1)</f>
        <v>Data:</v>
      </c>
      <c r="D365" s="32" t="s">
        <v>8201</v>
      </c>
      <c r="E365" s="10" t="s">
        <v>8210</v>
      </c>
      <c r="F365" s="10" t="s">
        <v>8168</v>
      </c>
    </row>
    <row r="366" spans="1:6" x14ac:dyDescent="0.2">
      <c r="A366" s="10">
        <f t="shared" ca="1" si="13"/>
        <v>2506</v>
      </c>
      <c r="B366" s="10" t="s">
        <v>8219</v>
      </c>
      <c r="C366" s="10" t="str">
        <f t="shared" ca="1" si="14"/>
        <v>Hora:</v>
      </c>
      <c r="D366" s="10" t="s">
        <v>8202</v>
      </c>
      <c r="E366" s="10" t="s">
        <v>8211</v>
      </c>
      <c r="F366" s="10" t="s">
        <v>8174</v>
      </c>
    </row>
    <row r="367" spans="1:6" x14ac:dyDescent="0.2">
      <c r="A367" s="10">
        <f t="shared" ca="1" si="13"/>
        <v>2507</v>
      </c>
      <c r="B367" s="10" t="s">
        <v>8220</v>
      </c>
      <c r="C367" s="10" t="str">
        <f t="shared" ca="1" si="14"/>
        <v>Participantes:</v>
      </c>
      <c r="D367" s="10" t="s">
        <v>8203</v>
      </c>
      <c r="E367" s="10" t="s">
        <v>8167</v>
      </c>
      <c r="F367" s="10" t="s">
        <v>8167</v>
      </c>
    </row>
    <row r="368" spans="1:6" x14ac:dyDescent="0.2">
      <c r="A368" s="10">
        <f t="shared" ca="1" si="13"/>
        <v>2508</v>
      </c>
      <c r="B368" s="10" t="s">
        <v>8221</v>
      </c>
      <c r="C368" s="10" t="str">
        <f t="shared" ca="1" si="14"/>
        <v>Itens da agenda</v>
      </c>
      <c r="D368" s="10" t="s">
        <v>8204</v>
      </c>
      <c r="E368" s="10" t="s">
        <v>8212</v>
      </c>
      <c r="F368" s="10" t="s">
        <v>8166</v>
      </c>
    </row>
    <row r="369" spans="1:6" x14ac:dyDescent="0.2">
      <c r="A369" s="10">
        <f t="shared" ca="1" si="13"/>
        <v>2509</v>
      </c>
      <c r="B369" s="10" t="s">
        <v>8222</v>
      </c>
      <c r="C369" s="10" t="str">
        <f t="shared" ca="1" si="14"/>
        <v>Itens de ação</v>
      </c>
      <c r="D369" s="32" t="s">
        <v>8205</v>
      </c>
      <c r="E369" s="10" t="s">
        <v>8213</v>
      </c>
      <c r="F369" s="10" t="s">
        <v>8171</v>
      </c>
    </row>
    <row r="370" spans="1:6" x14ac:dyDescent="0.2">
      <c r="A370" s="10">
        <f t="shared" ca="1" si="13"/>
        <v>2510</v>
      </c>
      <c r="B370" s="10" t="s">
        <v>8223</v>
      </c>
      <c r="C370" s="10" t="str">
        <f t="shared" ca="1" si="14"/>
        <v>Proprietário(s)</v>
      </c>
      <c r="D370" s="10" t="s">
        <v>8206</v>
      </c>
      <c r="E370" s="10" t="s">
        <v>8214</v>
      </c>
      <c r="F370" s="10" t="s">
        <v>8172</v>
      </c>
    </row>
    <row r="371" spans="1:6" x14ac:dyDescent="0.2">
      <c r="A371" s="10">
        <f t="shared" ca="1" si="13"/>
        <v>2511</v>
      </c>
      <c r="B371" s="10" t="s">
        <v>8224</v>
      </c>
      <c r="C371" s="10" t="str">
        <f t="shared" ca="1" si="14"/>
        <v>Data limite</v>
      </c>
      <c r="D371" s="10" t="s">
        <v>8207</v>
      </c>
      <c r="E371" s="10" t="s">
        <v>8215</v>
      </c>
      <c r="F371" s="10" t="s">
        <v>8175</v>
      </c>
    </row>
    <row r="372" spans="1:6" x14ac:dyDescent="0.2">
      <c r="A372" s="10">
        <f t="shared" ca="1" si="13"/>
        <v>2512</v>
      </c>
      <c r="B372" s="10" t="s">
        <v>8225</v>
      </c>
      <c r="C372" s="10" t="str">
        <f t="shared" ca="1" si="14"/>
        <v>Status</v>
      </c>
      <c r="D372" s="10" t="s">
        <v>8173</v>
      </c>
      <c r="E372" s="10" t="s">
        <v>8216</v>
      </c>
      <c r="F372" s="10" t="s">
        <v>8173</v>
      </c>
    </row>
  </sheetData>
  <pageMargins left="0.511811024" right="0.511811024" top="0.78740157499999996" bottom="0.78740157499999996" header="0.31496062000000002" footer="0.31496062000000002"/>
  <pageSetup paperSize="9"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wksCountries"/>
  <dimension ref="A1:I213"/>
  <sheetViews>
    <sheetView workbookViewId="0">
      <pane ySplit="1" topLeftCell="A2" activePane="bottomLeft" state="frozen"/>
      <selection pane="bottomLeft"/>
    </sheetView>
  </sheetViews>
  <sheetFormatPr defaultRowHeight="12.75" x14ac:dyDescent="0.2"/>
  <cols>
    <col min="1" max="1" width="4" style="10" bestFit="1" customWidth="1"/>
    <col min="2" max="2" width="12.42578125" style="10" bestFit="1" customWidth="1"/>
    <col min="3" max="3" width="29.85546875" style="10" bestFit="1" customWidth="1"/>
    <col min="4" max="4" width="8.5703125" style="10" bestFit="1" customWidth="1"/>
    <col min="5" max="16384" width="9.140625" style="10"/>
  </cols>
  <sheetData>
    <row r="1" spans="1:9" x14ac:dyDescent="0.2">
      <c r="A1" s="69" t="s">
        <v>1639</v>
      </c>
      <c r="B1" s="69" t="s">
        <v>1645</v>
      </c>
      <c r="C1" s="69" t="s">
        <v>1646</v>
      </c>
      <c r="D1" s="69" t="s">
        <v>7103</v>
      </c>
      <c r="E1" s="69" t="s">
        <v>9666</v>
      </c>
      <c r="F1" s="69" t="s">
        <v>9667</v>
      </c>
      <c r="G1" s="69" t="s">
        <v>9668</v>
      </c>
      <c r="H1" s="69" t="s">
        <v>9670</v>
      </c>
      <c r="I1" s="69" t="s">
        <v>9671</v>
      </c>
    </row>
    <row r="2" spans="1:9" ht="15" x14ac:dyDescent="0.25">
      <c r="A2" s="10">
        <v>3</v>
      </c>
      <c r="B2" s="10" t="s">
        <v>1651</v>
      </c>
      <c r="C2" s="10" t="s">
        <v>1652</v>
      </c>
      <c r="D2" s="10" t="s">
        <v>7104</v>
      </c>
      <c r="E2">
        <f>--ISNUMBER(IFERROR(SEARCH($I$2,C2,1),""))</f>
        <v>0</v>
      </c>
      <c r="F2" t="str">
        <f>IF(E2=1,COUNTIF($E$2:E2,1),"")</f>
        <v/>
      </c>
      <c r="G2" t="str">
        <f>IFERROR(INDEX($C$2:$C$213,MATCH(ROWS($F$2:F2),$F$2:$F$213,0)),"")</f>
        <v>Brazil</v>
      </c>
      <c r="H2" s="842" t="str">
        <f>$G$2:INDEX($G$2:$G$213,MAX($F$2:$F$213),1)</f>
        <v>Brazil</v>
      </c>
      <c r="I2" s="842" t="str">
        <f>Opções!R6</f>
        <v>Brazil</v>
      </c>
    </row>
    <row r="3" spans="1:9" ht="15" x14ac:dyDescent="0.25">
      <c r="A3" s="10">
        <v>5</v>
      </c>
      <c r="B3" s="10" t="s">
        <v>1671</v>
      </c>
      <c r="C3" s="10" t="s">
        <v>1672</v>
      </c>
      <c r="D3" s="10" t="s">
        <v>7105</v>
      </c>
      <c r="E3">
        <f t="shared" ref="E3:E66" si="0">--ISNUMBER(IFERROR(SEARCH($I$2,C3,1),""))</f>
        <v>0</v>
      </c>
      <c r="F3" t="str">
        <f>IF(E3=1,COUNTIF($E$2:E3,1),"")</f>
        <v/>
      </c>
      <c r="G3" t="str">
        <f>IFERROR(INDEX($C$2:$C$213,MATCH(ROWS($F$2:F3),$F$2:$F$213,0)),"")</f>
        <v/>
      </c>
    </row>
    <row r="4" spans="1:9" ht="15" x14ac:dyDescent="0.25">
      <c r="A4" s="10">
        <v>54</v>
      </c>
      <c r="B4" s="10" t="s">
        <v>1682</v>
      </c>
      <c r="C4" s="10" t="s">
        <v>1683</v>
      </c>
      <c r="D4" s="10" t="s">
        <v>7106</v>
      </c>
      <c r="E4">
        <f t="shared" si="0"/>
        <v>0</v>
      </c>
      <c r="F4" t="str">
        <f>IF(E4=1,COUNTIF($E$2:E4,1),"")</f>
        <v/>
      </c>
      <c r="G4" t="str">
        <f>IFERROR(INDEX($C$2:$C$213,MATCH(ROWS($F$2:F4),$F$2:$F$213,0)),"")</f>
        <v/>
      </c>
    </row>
    <row r="5" spans="1:9" ht="15" x14ac:dyDescent="0.25">
      <c r="A5" s="10">
        <v>10</v>
      </c>
      <c r="B5" s="10" t="s">
        <v>1704</v>
      </c>
      <c r="C5" s="10" t="s">
        <v>1705</v>
      </c>
      <c r="D5" s="10" t="s">
        <v>7107</v>
      </c>
      <c r="E5">
        <f t="shared" si="0"/>
        <v>0</v>
      </c>
      <c r="F5" t="str">
        <f>IF(E5=1,COUNTIF($E$2:E5,1),"")</f>
        <v/>
      </c>
      <c r="G5" t="str">
        <f>IFERROR(INDEX($C$2:$C$213,MATCH(ROWS($F$2:F5),$F$2:$F$213,0)),"")</f>
        <v/>
      </c>
    </row>
    <row r="6" spans="1:9" ht="15" x14ac:dyDescent="0.25">
      <c r="A6" s="10">
        <v>1</v>
      </c>
      <c r="B6" s="10" t="s">
        <v>1709</v>
      </c>
      <c r="C6" s="10" t="s">
        <v>1710</v>
      </c>
      <c r="D6" s="10" t="s">
        <v>7105</v>
      </c>
      <c r="E6">
        <f t="shared" si="0"/>
        <v>0</v>
      </c>
      <c r="F6" t="str">
        <f>IF(E6=1,COUNTIF($E$2:E6,1),"")</f>
        <v/>
      </c>
      <c r="G6" t="str">
        <f>IFERROR(INDEX($C$2:$C$213,MATCH(ROWS($F$2:F6),$F$2:$F$213,0)),"")</f>
        <v/>
      </c>
    </row>
    <row r="7" spans="1:9" ht="15" x14ac:dyDescent="0.25">
      <c r="A7" s="10">
        <v>8</v>
      </c>
      <c r="B7" s="10" t="s">
        <v>1718</v>
      </c>
      <c r="C7" s="10" t="s">
        <v>1719</v>
      </c>
      <c r="D7" s="10" t="s">
        <v>7106</v>
      </c>
      <c r="E7">
        <f t="shared" si="0"/>
        <v>0</v>
      </c>
      <c r="F7" t="str">
        <f>IF(E7=1,COUNTIF($E$2:E7,1),"")</f>
        <v/>
      </c>
      <c r="G7" t="str">
        <f>IFERROR(INDEX($C$2:$C$213,MATCH(ROWS($F$2:F7),$F$2:$F$213,0)),"")</f>
        <v/>
      </c>
    </row>
    <row r="8" spans="1:9" ht="15" x14ac:dyDescent="0.25">
      <c r="A8" s="10">
        <v>4</v>
      </c>
      <c r="B8" s="10" t="s">
        <v>1734</v>
      </c>
      <c r="C8" s="10" t="s">
        <v>1735</v>
      </c>
      <c r="D8" s="10" t="s">
        <v>7108</v>
      </c>
      <c r="E8">
        <f t="shared" si="0"/>
        <v>0</v>
      </c>
      <c r="F8" t="str">
        <f>IF(E8=1,COUNTIF($E$2:E8,1),"")</f>
        <v/>
      </c>
      <c r="G8" t="str">
        <f>IFERROR(INDEX($C$2:$C$213,MATCH(ROWS($F$2:F8),$F$2:$F$213,0)),"")</f>
        <v/>
      </c>
    </row>
    <row r="9" spans="1:9" ht="15" x14ac:dyDescent="0.25">
      <c r="A9" s="10">
        <v>9</v>
      </c>
      <c r="B9" s="10" t="s">
        <v>1740</v>
      </c>
      <c r="C9" s="10" t="s">
        <v>1741</v>
      </c>
      <c r="D9" s="10" t="s">
        <v>7108</v>
      </c>
      <c r="E9">
        <f t="shared" si="0"/>
        <v>0</v>
      </c>
      <c r="F9" t="str">
        <f>IF(E9=1,COUNTIF($E$2:E9,1),"")</f>
        <v/>
      </c>
      <c r="G9" t="str">
        <f>IFERROR(INDEX($C$2:$C$213,MATCH(ROWS($F$2:F9),$F$2:$F$213,0)),"")</f>
        <v/>
      </c>
    </row>
    <row r="10" spans="1:9" ht="15" x14ac:dyDescent="0.25">
      <c r="A10" s="10">
        <v>6</v>
      </c>
      <c r="B10" s="10" t="s">
        <v>1795</v>
      </c>
      <c r="C10" s="10" t="s">
        <v>1796</v>
      </c>
      <c r="D10" s="10" t="s">
        <v>7104</v>
      </c>
      <c r="E10">
        <f t="shared" si="0"/>
        <v>0</v>
      </c>
      <c r="F10" t="str">
        <f>IF(E10=1,COUNTIF($E$2:E10,1),"")</f>
        <v/>
      </c>
      <c r="G10" t="str">
        <f>IFERROR(INDEX($C$2:$C$213,MATCH(ROWS($F$2:F10),$F$2:$F$213,0)),"")</f>
        <v/>
      </c>
    </row>
    <row r="11" spans="1:9" ht="15" x14ac:dyDescent="0.25">
      <c r="A11" s="10">
        <v>13</v>
      </c>
      <c r="B11" s="10" t="s">
        <v>1806</v>
      </c>
      <c r="C11" s="10" t="s">
        <v>1807</v>
      </c>
      <c r="D11" s="10" t="s">
        <v>7108</v>
      </c>
      <c r="E11">
        <f t="shared" si="0"/>
        <v>0</v>
      </c>
      <c r="F11" t="str">
        <f>IF(E11=1,COUNTIF($E$2:E11,1),"")</f>
        <v/>
      </c>
      <c r="G11" t="str">
        <f>IFERROR(INDEX($C$2:$C$213,MATCH(ROWS($F$2:F11),$F$2:$F$213,0)),"")</f>
        <v/>
      </c>
    </row>
    <row r="12" spans="1:9" ht="15" x14ac:dyDescent="0.25">
      <c r="A12" s="10">
        <v>12</v>
      </c>
      <c r="B12" s="10" t="s">
        <v>1812</v>
      </c>
      <c r="C12" s="10" t="s">
        <v>1813</v>
      </c>
      <c r="E12">
        <f t="shared" si="0"/>
        <v>0</v>
      </c>
      <c r="F12" t="str">
        <f>IF(E12=1,COUNTIF($E$2:E12,1),"")</f>
        <v/>
      </c>
      <c r="G12" t="str">
        <f>IFERROR(INDEX($C$2:$C$213,MATCH(ROWS($F$2:F12),$F$2:$F$213,0)),"")</f>
        <v/>
      </c>
    </row>
    <row r="13" spans="1:9" ht="15" x14ac:dyDescent="0.25">
      <c r="A13" s="10">
        <v>11</v>
      </c>
      <c r="B13" s="10" t="s">
        <v>1845</v>
      </c>
      <c r="C13" s="10" t="s">
        <v>1846</v>
      </c>
      <c r="D13" s="10" t="s">
        <v>7105</v>
      </c>
      <c r="E13">
        <f t="shared" si="0"/>
        <v>0</v>
      </c>
      <c r="F13" t="str">
        <f>IF(E13=1,COUNTIF($E$2:E13,1),"")</f>
        <v/>
      </c>
      <c r="G13" t="str">
        <f>IFERROR(INDEX($C$2:$C$213,MATCH(ROWS($F$2:F13),$F$2:$F$213,0)),"")</f>
        <v/>
      </c>
    </row>
    <row r="14" spans="1:9" ht="15" x14ac:dyDescent="0.25">
      <c r="A14" s="10">
        <v>14</v>
      </c>
      <c r="B14" s="10" t="s">
        <v>1858</v>
      </c>
      <c r="C14" s="10" t="s">
        <v>1859</v>
      </c>
      <c r="D14" s="10" t="s">
        <v>7104</v>
      </c>
      <c r="E14">
        <f t="shared" si="0"/>
        <v>0</v>
      </c>
      <c r="F14" t="str">
        <f>IF(E14=1,COUNTIF($E$2:E14,1),"")</f>
        <v/>
      </c>
      <c r="G14" t="str">
        <f>IFERROR(INDEX($C$2:$C$213,MATCH(ROWS($F$2:F14),$F$2:$F$213,0)),"")</f>
        <v/>
      </c>
    </row>
    <row r="15" spans="1:9" ht="15" x14ac:dyDescent="0.25">
      <c r="A15" s="10">
        <v>28</v>
      </c>
      <c r="B15" s="10" t="s">
        <v>1874</v>
      </c>
      <c r="C15" s="10" t="s">
        <v>1875</v>
      </c>
      <c r="D15" s="10" t="s">
        <v>7108</v>
      </c>
      <c r="E15">
        <f t="shared" si="0"/>
        <v>0</v>
      </c>
      <c r="F15" t="str">
        <f>IF(E15=1,COUNTIF($E$2:E15,1),"")</f>
        <v/>
      </c>
      <c r="G15" t="str">
        <f>IFERROR(INDEX($C$2:$C$213,MATCH(ROWS($F$2:F15),$F$2:$F$213,0)),"")</f>
        <v/>
      </c>
    </row>
    <row r="16" spans="1:9" ht="15" x14ac:dyDescent="0.25">
      <c r="A16" s="10">
        <v>21</v>
      </c>
      <c r="B16" s="10" t="s">
        <v>1884</v>
      </c>
      <c r="C16" s="10" t="s">
        <v>1885</v>
      </c>
      <c r="D16" s="10" t="s">
        <v>7104</v>
      </c>
      <c r="E16">
        <f t="shared" si="0"/>
        <v>0</v>
      </c>
      <c r="F16" t="str">
        <f>IF(E16=1,COUNTIF($E$2:E16,1),"")</f>
        <v/>
      </c>
      <c r="G16" t="str">
        <f>IFERROR(INDEX($C$2:$C$213,MATCH(ROWS($F$2:F16),$F$2:$F$213,0)),"")</f>
        <v/>
      </c>
    </row>
    <row r="17" spans="1:7" ht="15" x14ac:dyDescent="0.25">
      <c r="A17" s="10">
        <v>17</v>
      </c>
      <c r="B17" s="10" t="s">
        <v>1896</v>
      </c>
      <c r="C17" s="10" t="s">
        <v>1897</v>
      </c>
      <c r="D17" s="10" t="s">
        <v>7104</v>
      </c>
      <c r="E17">
        <f t="shared" si="0"/>
        <v>0</v>
      </c>
      <c r="F17" t="str">
        <f>IF(E17=1,COUNTIF($E$2:E17,1),"")</f>
        <v/>
      </c>
      <c r="G17" t="str">
        <f>IFERROR(INDEX($C$2:$C$213,MATCH(ROWS($F$2:F17),$F$2:$F$213,0)),"")</f>
        <v/>
      </c>
    </row>
    <row r="18" spans="1:7" ht="15" x14ac:dyDescent="0.25">
      <c r="A18" s="10">
        <v>16</v>
      </c>
      <c r="B18" s="10" t="s">
        <v>1933</v>
      </c>
      <c r="C18" s="10" t="s">
        <v>1934</v>
      </c>
      <c r="D18" s="10" t="s">
        <v>7108</v>
      </c>
      <c r="E18">
        <f t="shared" si="0"/>
        <v>0</v>
      </c>
      <c r="F18" t="str">
        <f>IF(E18=1,COUNTIF($E$2:E18,1),"")</f>
        <v/>
      </c>
      <c r="G18" t="str">
        <f>IFERROR(INDEX($C$2:$C$213,MATCH(ROWS($F$2:F18),$F$2:$F$213,0)),"")</f>
        <v/>
      </c>
    </row>
    <row r="19" spans="1:7" ht="15" x14ac:dyDescent="0.25">
      <c r="A19" s="10">
        <v>31</v>
      </c>
      <c r="B19" s="10" t="s">
        <v>1939</v>
      </c>
      <c r="C19" s="10" t="s">
        <v>1940</v>
      </c>
      <c r="D19" s="10" t="s">
        <v>7105</v>
      </c>
      <c r="E19">
        <f t="shared" si="0"/>
        <v>0</v>
      </c>
      <c r="F19" t="str">
        <f>IF(E19=1,COUNTIF($E$2:E19,1),"")</f>
        <v/>
      </c>
      <c r="G19" t="str">
        <f>IFERROR(INDEX($C$2:$C$213,MATCH(ROWS($F$2:F19),$F$2:$F$213,0)),"")</f>
        <v/>
      </c>
    </row>
    <row r="20" spans="1:7" ht="15" x14ac:dyDescent="0.25">
      <c r="A20" s="10">
        <v>18</v>
      </c>
      <c r="B20" s="10" t="s">
        <v>1958</v>
      </c>
      <c r="C20" s="10" t="s">
        <v>1959</v>
      </c>
      <c r="D20" s="10" t="s">
        <v>7105</v>
      </c>
      <c r="E20">
        <f t="shared" si="0"/>
        <v>0</v>
      </c>
      <c r="F20" t="str">
        <f>IF(E20=1,COUNTIF($E$2:E20,1),"")</f>
        <v/>
      </c>
      <c r="G20" t="str">
        <f>IFERROR(INDEX($C$2:$C$213,MATCH(ROWS($F$2:F20),$F$2:$F$213,0)),"")</f>
        <v/>
      </c>
    </row>
    <row r="21" spans="1:7" ht="15" x14ac:dyDescent="0.25">
      <c r="A21" s="10">
        <v>32</v>
      </c>
      <c r="B21" s="10" t="s">
        <v>1976</v>
      </c>
      <c r="C21" s="10" t="s">
        <v>1977</v>
      </c>
      <c r="D21" s="10" t="s">
        <v>7108</v>
      </c>
      <c r="E21">
        <f t="shared" si="0"/>
        <v>0</v>
      </c>
      <c r="F21" t="str">
        <f>IF(E21=1,COUNTIF($E$2:E21,1),"")</f>
        <v/>
      </c>
      <c r="G21" t="str">
        <f>IFERROR(INDEX($C$2:$C$213,MATCH(ROWS($F$2:F21),$F$2:$F$213,0)),"")</f>
        <v/>
      </c>
    </row>
    <row r="22" spans="1:7" ht="15" x14ac:dyDescent="0.25">
      <c r="A22" s="10">
        <v>23</v>
      </c>
      <c r="B22" s="10" t="s">
        <v>1985</v>
      </c>
      <c r="C22" s="10" t="s">
        <v>1986</v>
      </c>
      <c r="D22" s="10" t="s">
        <v>7106</v>
      </c>
      <c r="E22">
        <f t="shared" si="0"/>
        <v>0</v>
      </c>
      <c r="F22" t="str">
        <f>IF(E22=1,COUNTIF($E$2:E22,1),"")</f>
        <v/>
      </c>
      <c r="G22" t="str">
        <f>IFERROR(INDEX($C$2:$C$213,MATCH(ROWS($F$2:F22),$F$2:$F$213,0)),"")</f>
        <v/>
      </c>
    </row>
    <row r="23" spans="1:7" ht="15" x14ac:dyDescent="0.25">
      <c r="A23" s="10">
        <v>29</v>
      </c>
      <c r="B23" s="10" t="s">
        <v>2002</v>
      </c>
      <c r="C23" s="10" t="s">
        <v>2003</v>
      </c>
      <c r="D23" s="10" t="s">
        <v>7104</v>
      </c>
      <c r="E23">
        <f t="shared" si="0"/>
        <v>0</v>
      </c>
      <c r="F23" t="str">
        <f>IF(E23=1,COUNTIF($E$2:E23,1),"")</f>
        <v/>
      </c>
      <c r="G23" t="str">
        <f>IFERROR(INDEX($C$2:$C$213,MATCH(ROWS($F$2:F23),$F$2:$F$213,0)),"")</f>
        <v/>
      </c>
    </row>
    <row r="24" spans="1:7" ht="15" x14ac:dyDescent="0.25">
      <c r="A24" s="10">
        <v>26</v>
      </c>
      <c r="B24" s="10" t="s">
        <v>2007</v>
      </c>
      <c r="C24" s="10" t="s">
        <v>2008</v>
      </c>
      <c r="D24" s="10" t="s">
        <v>7108</v>
      </c>
      <c r="E24">
        <f t="shared" si="0"/>
        <v>0</v>
      </c>
      <c r="F24" t="str">
        <f>IF(E24=1,COUNTIF($E$2:E24,1),"")</f>
        <v/>
      </c>
      <c r="G24" t="str">
        <f>IFERROR(INDEX($C$2:$C$213,MATCH(ROWS($F$2:F24),$F$2:$F$213,0)),"")</f>
        <v/>
      </c>
    </row>
    <row r="25" spans="1:7" ht="15" x14ac:dyDescent="0.25">
      <c r="A25" s="10">
        <v>15</v>
      </c>
      <c r="B25" s="10" t="s">
        <v>2026</v>
      </c>
      <c r="C25" s="10" t="s">
        <v>2027</v>
      </c>
      <c r="D25" s="10" t="s">
        <v>7105</v>
      </c>
      <c r="E25">
        <f t="shared" si="0"/>
        <v>0</v>
      </c>
      <c r="F25" t="str">
        <f>IF(E25=1,COUNTIF($E$2:E25,1),"")</f>
        <v/>
      </c>
      <c r="G25" t="str">
        <f>IFERROR(INDEX($C$2:$C$213,MATCH(ROWS($F$2:F25),$F$2:$F$213,0)),"")</f>
        <v/>
      </c>
    </row>
    <row r="26" spans="1:7" ht="15" x14ac:dyDescent="0.25">
      <c r="A26" s="10">
        <v>30</v>
      </c>
      <c r="B26" s="10" t="s">
        <v>2039</v>
      </c>
      <c r="C26" s="10" t="s">
        <v>2040</v>
      </c>
      <c r="D26" s="10" t="s">
        <v>7106</v>
      </c>
      <c r="E26">
        <f t="shared" si="0"/>
        <v>0</v>
      </c>
      <c r="F26" t="str">
        <f>IF(E26=1,COUNTIF($E$2:E26,1),"")</f>
        <v/>
      </c>
      <c r="G26" t="str">
        <f>IFERROR(INDEX($C$2:$C$213,MATCH(ROWS($F$2:F26),$F$2:$F$213,0)),"")</f>
        <v/>
      </c>
    </row>
    <row r="27" spans="1:7" ht="15" x14ac:dyDescent="0.25">
      <c r="A27" s="10">
        <v>27</v>
      </c>
      <c r="B27" s="10" t="s">
        <v>2050</v>
      </c>
      <c r="C27" s="10" t="s">
        <v>99</v>
      </c>
      <c r="D27" s="10" t="s">
        <v>7108</v>
      </c>
      <c r="E27">
        <f t="shared" si="0"/>
        <v>1</v>
      </c>
      <c r="F27">
        <f>IF(E27=1,COUNTIF($E$2:E27,1),"")</f>
        <v>1</v>
      </c>
      <c r="G27" t="str">
        <f>IFERROR(INDEX($C$2:$C$213,MATCH(ROWS($F$2:F27),$F$2:$F$213,0)),"")</f>
        <v/>
      </c>
    </row>
    <row r="28" spans="1:7" ht="15" x14ac:dyDescent="0.25">
      <c r="A28" s="10">
        <v>25</v>
      </c>
      <c r="B28" s="10" t="s">
        <v>2294</v>
      </c>
      <c r="C28" s="10" t="s">
        <v>2295</v>
      </c>
      <c r="D28" s="10" t="s">
        <v>7104</v>
      </c>
      <c r="E28">
        <f t="shared" si="0"/>
        <v>0</v>
      </c>
      <c r="F28" t="str">
        <f>IF(E28=1,COUNTIF($E$2:E28,1),"")</f>
        <v/>
      </c>
      <c r="G28" t="str">
        <f>IFERROR(INDEX($C$2:$C$213,MATCH(ROWS($F$2:F28),$F$2:$F$213,0)),"")</f>
        <v/>
      </c>
    </row>
    <row r="29" spans="1:7" ht="15" x14ac:dyDescent="0.25">
      <c r="A29" s="10">
        <v>20</v>
      </c>
      <c r="B29" s="10" t="s">
        <v>2303</v>
      </c>
      <c r="C29" s="10" t="s">
        <v>2304</v>
      </c>
      <c r="D29" s="10" t="s">
        <v>7105</v>
      </c>
      <c r="E29">
        <f t="shared" si="0"/>
        <v>0</v>
      </c>
      <c r="F29" t="str">
        <f>IF(E29=1,COUNTIF($E$2:E29,1),"")</f>
        <v/>
      </c>
      <c r="G29" t="str">
        <f>IFERROR(INDEX($C$2:$C$213,MATCH(ROWS($F$2:F29),$F$2:$F$213,0)),"")</f>
        <v/>
      </c>
    </row>
    <row r="30" spans="1:7" ht="15" x14ac:dyDescent="0.25">
      <c r="A30" s="10">
        <v>19</v>
      </c>
      <c r="B30" s="10" t="s">
        <v>2319</v>
      </c>
      <c r="C30" s="10" t="s">
        <v>2320</v>
      </c>
      <c r="D30" s="10" t="s">
        <v>7106</v>
      </c>
      <c r="E30">
        <f t="shared" si="0"/>
        <v>0</v>
      </c>
      <c r="F30" t="str">
        <f>IF(E30=1,COUNTIF($E$2:E30,1),"")</f>
        <v/>
      </c>
      <c r="G30" t="str">
        <f>IFERROR(INDEX($C$2:$C$213,MATCH(ROWS($F$2:F30),$F$2:$F$213,0)),"")</f>
        <v/>
      </c>
    </row>
    <row r="31" spans="1:7" ht="15" x14ac:dyDescent="0.25">
      <c r="A31" s="10">
        <v>129</v>
      </c>
      <c r="B31" s="10" t="s">
        <v>2333</v>
      </c>
      <c r="C31" s="10" t="s">
        <v>2334</v>
      </c>
      <c r="D31" s="10" t="s">
        <v>7104</v>
      </c>
      <c r="E31">
        <f t="shared" si="0"/>
        <v>0</v>
      </c>
      <c r="F31" t="str">
        <f>IF(E31=1,COUNTIF($E$2:E31,1),"")</f>
        <v/>
      </c>
      <c r="G31" t="str">
        <f>IFERROR(INDEX($C$2:$C$213,MATCH(ROWS($F$2:F31),$F$2:$F$213,0)),"")</f>
        <v/>
      </c>
    </row>
    <row r="32" spans="1:7" ht="15" x14ac:dyDescent="0.25">
      <c r="A32" s="10">
        <v>22</v>
      </c>
      <c r="B32" s="10" t="s">
        <v>2352</v>
      </c>
      <c r="C32" s="10" t="s">
        <v>2353</v>
      </c>
      <c r="D32" s="10" t="s">
        <v>7106</v>
      </c>
      <c r="E32">
        <f t="shared" si="0"/>
        <v>0</v>
      </c>
      <c r="F32" t="str">
        <f>IF(E32=1,COUNTIF($E$2:E32,1),"")</f>
        <v/>
      </c>
      <c r="G32" t="str">
        <f>IFERROR(INDEX($C$2:$C$213,MATCH(ROWS($F$2:F32),$F$2:$F$213,0)),"")</f>
        <v/>
      </c>
    </row>
    <row r="33" spans="1:7" ht="15" x14ac:dyDescent="0.25">
      <c r="A33" s="10">
        <v>101</v>
      </c>
      <c r="B33" s="10" t="s">
        <v>2364</v>
      </c>
      <c r="C33" s="10" t="s">
        <v>2365</v>
      </c>
      <c r="D33" s="10" t="s">
        <v>7104</v>
      </c>
      <c r="E33">
        <f t="shared" si="0"/>
        <v>0</v>
      </c>
      <c r="F33" t="str">
        <f>IF(E33=1,COUNTIF($E$2:E33,1),"")</f>
        <v/>
      </c>
      <c r="G33" t="str">
        <f>IFERROR(INDEX($C$2:$C$213,MATCH(ROWS($F$2:F33),$F$2:$F$213,0)),"")</f>
        <v/>
      </c>
    </row>
    <row r="34" spans="1:7" ht="15" x14ac:dyDescent="0.25">
      <c r="A34" s="10">
        <v>41</v>
      </c>
      <c r="B34" s="10" t="s">
        <v>2373</v>
      </c>
      <c r="C34" s="10" t="s">
        <v>2374</v>
      </c>
      <c r="D34" s="10" t="s">
        <v>7106</v>
      </c>
      <c r="E34">
        <f t="shared" si="0"/>
        <v>0</v>
      </c>
      <c r="F34" t="str">
        <f>IF(E34=1,COUNTIF($E$2:E34,1),"")</f>
        <v/>
      </c>
      <c r="G34" t="str">
        <f>IFERROR(INDEX($C$2:$C$213,MATCH(ROWS($F$2:F34),$F$2:$F$213,0)),"")</f>
        <v/>
      </c>
    </row>
    <row r="35" spans="1:7" ht="15" x14ac:dyDescent="0.25">
      <c r="A35" s="10">
        <v>33</v>
      </c>
      <c r="B35" s="10" t="s">
        <v>2403</v>
      </c>
      <c r="C35" s="10" t="s">
        <v>2404</v>
      </c>
      <c r="D35" s="10" t="s">
        <v>7108</v>
      </c>
      <c r="E35">
        <f t="shared" si="0"/>
        <v>0</v>
      </c>
      <c r="F35" t="str">
        <f>IF(E35=1,COUNTIF($E$2:E35,1),"")</f>
        <v/>
      </c>
      <c r="G35" t="str">
        <f>IFERROR(INDEX($C$2:$C$213,MATCH(ROWS($F$2:F35),$F$2:$F$213,0)),"")</f>
        <v/>
      </c>
    </row>
    <row r="36" spans="1:7" ht="15" x14ac:dyDescent="0.25">
      <c r="A36" s="10">
        <v>46</v>
      </c>
      <c r="B36" s="10" t="s">
        <v>2449</v>
      </c>
      <c r="C36" s="10" t="s">
        <v>2450</v>
      </c>
      <c r="D36" s="10" t="s">
        <v>7109</v>
      </c>
      <c r="E36">
        <f t="shared" si="0"/>
        <v>0</v>
      </c>
      <c r="F36" t="str">
        <f>IF(E36=1,COUNTIF($E$2:E36,1),"")</f>
        <v/>
      </c>
      <c r="G36" t="str">
        <f>IFERROR(INDEX($C$2:$C$213,MATCH(ROWS($F$2:F36),$F$2:$F$213,0)),"")</f>
        <v/>
      </c>
    </row>
    <row r="37" spans="1:7" ht="15" x14ac:dyDescent="0.25">
      <c r="A37" s="10">
        <v>108</v>
      </c>
      <c r="B37" s="10" t="s">
        <v>2458</v>
      </c>
      <c r="C37" s="10" t="s">
        <v>2459</v>
      </c>
      <c r="D37" s="10" t="s">
        <v>7108</v>
      </c>
      <c r="E37">
        <f t="shared" si="0"/>
        <v>0</v>
      </c>
      <c r="F37" t="str">
        <f>IF(E37=1,COUNTIF($E$2:E37,1),"")</f>
        <v/>
      </c>
      <c r="G37" t="str">
        <f>IFERROR(INDEX($C$2:$C$213,MATCH(ROWS($F$2:F37),$F$2:$F$213,0)),"")</f>
        <v/>
      </c>
    </row>
    <row r="38" spans="1:7" ht="15" x14ac:dyDescent="0.25">
      <c r="A38" s="10">
        <v>35</v>
      </c>
      <c r="B38" s="10" t="s">
        <v>2467</v>
      </c>
      <c r="C38" s="10" t="s">
        <v>2468</v>
      </c>
      <c r="D38" s="10" t="s">
        <v>7106</v>
      </c>
      <c r="E38">
        <f t="shared" si="0"/>
        <v>0</v>
      </c>
      <c r="F38" t="str">
        <f>IF(E38=1,COUNTIF($E$2:E38,1),"")</f>
        <v/>
      </c>
      <c r="G38" t="str">
        <f>IFERROR(INDEX($C$2:$C$213,MATCH(ROWS($F$2:F38),$F$2:$F$213,0)),"")</f>
        <v/>
      </c>
    </row>
    <row r="39" spans="1:7" ht="15" x14ac:dyDescent="0.25">
      <c r="A39" s="10">
        <v>186</v>
      </c>
      <c r="B39" s="10" t="s">
        <v>2478</v>
      </c>
      <c r="C39" s="10" t="s">
        <v>2479</v>
      </c>
      <c r="D39" s="10" t="s">
        <v>7106</v>
      </c>
      <c r="E39">
        <f t="shared" si="0"/>
        <v>0</v>
      </c>
      <c r="F39" t="str">
        <f>IF(E39=1,COUNTIF($E$2:E39,1),"")</f>
        <v/>
      </c>
      <c r="G39" t="str">
        <f>IFERROR(INDEX($C$2:$C$213,MATCH(ROWS($F$2:F39),$F$2:$F$213,0)),"")</f>
        <v/>
      </c>
    </row>
    <row r="40" spans="1:7" ht="15" x14ac:dyDescent="0.25">
      <c r="A40" s="10">
        <v>40</v>
      </c>
      <c r="B40" s="10" t="s">
        <v>2489</v>
      </c>
      <c r="C40" s="10" t="s">
        <v>2490</v>
      </c>
      <c r="D40" s="10" t="s">
        <v>7108</v>
      </c>
      <c r="E40">
        <f t="shared" si="0"/>
        <v>0</v>
      </c>
      <c r="F40" t="str">
        <f>IF(E40=1,COUNTIF($E$2:E40,1),"")</f>
        <v/>
      </c>
      <c r="G40" t="str">
        <f>IFERROR(INDEX($C$2:$C$213,MATCH(ROWS($F$2:F40),$F$2:$F$213,0)),"")</f>
        <v/>
      </c>
    </row>
    <row r="41" spans="1:7" ht="15" x14ac:dyDescent="0.25">
      <c r="A41" s="10">
        <v>42</v>
      </c>
      <c r="B41" s="10" t="s">
        <v>2518</v>
      </c>
      <c r="C41" s="10" t="s">
        <v>2519</v>
      </c>
      <c r="D41" s="10" t="s">
        <v>7104</v>
      </c>
      <c r="E41">
        <f t="shared" si="0"/>
        <v>0</v>
      </c>
      <c r="F41" t="str">
        <f>IF(E41=1,COUNTIF($E$2:E41,1),"")</f>
        <v/>
      </c>
      <c r="G41" t="str">
        <f>IFERROR(INDEX($C$2:$C$213,MATCH(ROWS($F$2:F41),$F$2:$F$213,0)),"")</f>
        <v/>
      </c>
    </row>
    <row r="42" spans="1:7" ht="15" x14ac:dyDescent="0.25">
      <c r="A42" s="10">
        <v>43</v>
      </c>
      <c r="B42" s="10" t="s">
        <v>2937</v>
      </c>
      <c r="C42" s="10" t="s">
        <v>2938</v>
      </c>
      <c r="D42" s="10" t="s">
        <v>7108</v>
      </c>
      <c r="E42">
        <f t="shared" si="0"/>
        <v>0</v>
      </c>
      <c r="F42" t="str">
        <f>IF(E42=1,COUNTIF($E$2:E42,1),"")</f>
        <v/>
      </c>
      <c r="G42" t="str">
        <f>IFERROR(INDEX($C$2:$C$213,MATCH(ROWS($F$2:F42),$F$2:$F$213,0)),"")</f>
        <v/>
      </c>
    </row>
    <row r="43" spans="1:7" ht="15" x14ac:dyDescent="0.25">
      <c r="A43" s="10">
        <v>103</v>
      </c>
      <c r="B43" s="10" t="s">
        <v>2997</v>
      </c>
      <c r="C43" s="10" t="s">
        <v>2998</v>
      </c>
      <c r="D43" s="10" t="s">
        <v>7110</v>
      </c>
      <c r="E43">
        <f t="shared" si="0"/>
        <v>0</v>
      </c>
      <c r="F43" t="str">
        <f>IF(E43=1,COUNTIF($E$2:E43,1),"")</f>
        <v/>
      </c>
      <c r="G43" t="str">
        <f>IFERROR(INDEX($C$2:$C$213,MATCH(ROWS($F$2:F43),$F$2:$F$213,0)),"")</f>
        <v/>
      </c>
    </row>
    <row r="44" spans="1:7" ht="15" x14ac:dyDescent="0.25">
      <c r="A44" s="10">
        <v>36</v>
      </c>
      <c r="B44" s="10" t="s">
        <v>3006</v>
      </c>
      <c r="C44" s="10" t="s">
        <v>3007</v>
      </c>
      <c r="D44" s="10" t="s">
        <v>7106</v>
      </c>
      <c r="E44">
        <f t="shared" si="0"/>
        <v>0</v>
      </c>
      <c r="F44" t="str">
        <f>IF(E44=1,COUNTIF($E$2:E44,1),"")</f>
        <v/>
      </c>
      <c r="G44" t="str">
        <f>IFERROR(INDEX($C$2:$C$213,MATCH(ROWS($F$2:F44),$F$2:$F$213,0)),"")</f>
        <v/>
      </c>
    </row>
    <row r="45" spans="1:7" ht="15" x14ac:dyDescent="0.25">
      <c r="A45" s="10">
        <v>39</v>
      </c>
      <c r="B45" s="10" t="s">
        <v>3018</v>
      </c>
      <c r="C45" s="10" t="s">
        <v>3019</v>
      </c>
      <c r="D45" s="10" t="s">
        <v>7107</v>
      </c>
      <c r="E45">
        <f t="shared" si="0"/>
        <v>0</v>
      </c>
      <c r="F45" t="str">
        <f>IF(E45=1,COUNTIF($E$2:E45,1),"")</f>
        <v/>
      </c>
      <c r="G45" t="str">
        <f>IFERROR(INDEX($C$2:$C$213,MATCH(ROWS($F$2:F45),$F$2:$F$213,0)),"")</f>
        <v/>
      </c>
    </row>
    <row r="46" spans="1:7" ht="15" x14ac:dyDescent="0.25">
      <c r="A46" s="10">
        <v>44</v>
      </c>
      <c r="B46" s="10" t="s">
        <v>3023</v>
      </c>
      <c r="C46" s="10" t="s">
        <v>3024</v>
      </c>
      <c r="D46" s="10" t="s">
        <v>7108</v>
      </c>
      <c r="E46">
        <f t="shared" si="0"/>
        <v>0</v>
      </c>
      <c r="F46" t="str">
        <f>IF(E46=1,COUNTIF($E$2:E46,1),"")</f>
        <v/>
      </c>
      <c r="G46" t="str">
        <f>IFERROR(INDEX($C$2:$C$213,MATCH(ROWS($F$2:F46),$F$2:$F$213,0)),"")</f>
        <v/>
      </c>
    </row>
    <row r="47" spans="1:7" ht="15" x14ac:dyDescent="0.25">
      <c r="A47" s="10">
        <v>85</v>
      </c>
      <c r="B47" s="10" t="s">
        <v>3034</v>
      </c>
      <c r="C47" s="10" t="s">
        <v>3035</v>
      </c>
      <c r="D47" s="10" t="s">
        <v>7105</v>
      </c>
      <c r="E47">
        <f t="shared" si="0"/>
        <v>0</v>
      </c>
      <c r="F47" t="str">
        <f>IF(E47=1,COUNTIF($E$2:E47,1),"")</f>
        <v/>
      </c>
      <c r="G47" t="str">
        <f>IFERROR(INDEX($C$2:$C$213,MATCH(ROWS($F$2:F47),$F$2:$F$213,0)),"")</f>
        <v/>
      </c>
    </row>
    <row r="48" spans="1:7" ht="15" x14ac:dyDescent="0.25">
      <c r="A48" s="10">
        <v>45</v>
      </c>
      <c r="B48" s="10" t="s">
        <v>3045</v>
      </c>
      <c r="C48" s="10" t="s">
        <v>3046</v>
      </c>
      <c r="D48" s="10" t="s">
        <v>7108</v>
      </c>
      <c r="E48">
        <f t="shared" si="0"/>
        <v>0</v>
      </c>
      <c r="F48" t="str">
        <f>IF(E48=1,COUNTIF($E$2:E48,1),"")</f>
        <v/>
      </c>
      <c r="G48" t="str">
        <f>IFERROR(INDEX($C$2:$C$213,MATCH(ROWS($F$2:F48),$F$2:$F$213,0)),"")</f>
        <v/>
      </c>
    </row>
    <row r="49" spans="1:7" ht="15" x14ac:dyDescent="0.25">
      <c r="A49" s="10">
        <v>7</v>
      </c>
      <c r="B49" s="10" t="s">
        <v>3068</v>
      </c>
      <c r="C49" s="10" t="s">
        <v>3069</v>
      </c>
      <c r="D49" s="10" t="s">
        <v>7108</v>
      </c>
      <c r="E49">
        <f t="shared" si="0"/>
        <v>0</v>
      </c>
      <c r="F49" t="str">
        <f>IF(E49=1,COUNTIF($E$2:E49,1),"")</f>
        <v/>
      </c>
      <c r="G49" t="str">
        <f>IFERROR(INDEX($C$2:$C$213,MATCH(ROWS($F$2:F49),$F$2:$F$213,0)),"")</f>
        <v/>
      </c>
    </row>
    <row r="50" spans="1:7" ht="15" x14ac:dyDescent="0.25">
      <c r="A50" s="10">
        <v>47</v>
      </c>
      <c r="B50" s="10" t="s">
        <v>3077</v>
      </c>
      <c r="C50" s="10" t="s">
        <v>3078</v>
      </c>
      <c r="D50" s="10" t="s">
        <v>7104</v>
      </c>
      <c r="E50">
        <f t="shared" si="0"/>
        <v>0</v>
      </c>
      <c r="F50" t="str">
        <f>IF(E50=1,COUNTIF($E$2:E50,1),"")</f>
        <v/>
      </c>
      <c r="G50" t="str">
        <f>IFERROR(INDEX($C$2:$C$213,MATCH(ROWS($F$2:F50),$F$2:$F$213,0)),"")</f>
        <v/>
      </c>
    </row>
    <row r="51" spans="1:7" ht="15" x14ac:dyDescent="0.25">
      <c r="A51" s="10">
        <v>48</v>
      </c>
      <c r="B51" s="10" t="s">
        <v>3088</v>
      </c>
      <c r="C51" s="10" t="s">
        <v>3089</v>
      </c>
      <c r="D51" s="10" t="s">
        <v>7105</v>
      </c>
      <c r="E51">
        <f t="shared" si="0"/>
        <v>0</v>
      </c>
      <c r="F51" t="str">
        <f>IF(E51=1,COUNTIF($E$2:E51,1),"")</f>
        <v/>
      </c>
      <c r="G51" t="str">
        <f>IFERROR(INDEX($C$2:$C$213,MATCH(ROWS($F$2:F51),$F$2:$F$213,0)),"")</f>
        <v/>
      </c>
    </row>
    <row r="52" spans="1:7" ht="15" x14ac:dyDescent="0.25">
      <c r="A52" s="10">
        <v>34</v>
      </c>
      <c r="B52" s="10" t="s">
        <v>3103</v>
      </c>
      <c r="C52" s="10" t="s">
        <v>3104</v>
      </c>
      <c r="D52" s="10" t="s">
        <v>7106</v>
      </c>
      <c r="E52">
        <f t="shared" si="0"/>
        <v>0</v>
      </c>
      <c r="F52" t="str">
        <f>IF(E52=1,COUNTIF($E$2:E52,1),"")</f>
        <v/>
      </c>
      <c r="G52" t="str">
        <f>IFERROR(INDEX($C$2:$C$213,MATCH(ROWS($F$2:F52),$F$2:$F$213,0)),"")</f>
        <v/>
      </c>
    </row>
    <row r="53" spans="1:7" ht="15" x14ac:dyDescent="0.25">
      <c r="A53" s="10">
        <v>51</v>
      </c>
      <c r="B53" s="10" t="s">
        <v>3133</v>
      </c>
      <c r="C53" s="10" t="s">
        <v>3134</v>
      </c>
      <c r="D53" s="10" t="s">
        <v>7105</v>
      </c>
      <c r="E53">
        <f t="shared" si="0"/>
        <v>0</v>
      </c>
      <c r="F53" t="str">
        <f>IF(E53=1,COUNTIF($E$2:E53,1),"")</f>
        <v/>
      </c>
      <c r="G53" t="str">
        <f>IFERROR(INDEX($C$2:$C$213,MATCH(ROWS($F$2:F53),$F$2:$F$213,0)),"")</f>
        <v/>
      </c>
    </row>
    <row r="54" spans="1:7" ht="15" x14ac:dyDescent="0.25">
      <c r="A54" s="10">
        <v>50</v>
      </c>
      <c r="B54" s="10" t="s">
        <v>3146</v>
      </c>
      <c r="C54" s="10" t="s">
        <v>3147</v>
      </c>
      <c r="D54" s="10" t="s">
        <v>7106</v>
      </c>
      <c r="E54">
        <f t="shared" si="0"/>
        <v>0</v>
      </c>
      <c r="F54" t="str">
        <f>IF(E54=1,COUNTIF($E$2:E54,1),"")</f>
        <v/>
      </c>
      <c r="G54" t="str">
        <f>IFERROR(INDEX($C$2:$C$213,MATCH(ROWS($F$2:F54),$F$2:$F$213,0)),"")</f>
        <v/>
      </c>
    </row>
    <row r="55" spans="1:7" ht="15" x14ac:dyDescent="0.25">
      <c r="A55" s="10">
        <v>52</v>
      </c>
      <c r="B55" s="10" t="s">
        <v>3155</v>
      </c>
      <c r="C55" s="10" t="s">
        <v>3156</v>
      </c>
      <c r="D55" s="10" t="s">
        <v>7108</v>
      </c>
      <c r="E55">
        <f t="shared" si="0"/>
        <v>0</v>
      </c>
      <c r="F55" t="str">
        <f>IF(E55=1,COUNTIF($E$2:E55,1),"")</f>
        <v/>
      </c>
      <c r="G55" t="str">
        <f>IFERROR(INDEX($C$2:$C$213,MATCH(ROWS($F$2:F55),$F$2:$F$213,0)),"")</f>
        <v/>
      </c>
    </row>
    <row r="56" spans="1:7" ht="15" x14ac:dyDescent="0.25">
      <c r="A56" s="10">
        <v>53</v>
      </c>
      <c r="B56" s="10" t="s">
        <v>3160</v>
      </c>
      <c r="C56" s="10" t="s">
        <v>3161</v>
      </c>
      <c r="D56" s="10" t="s">
        <v>7108</v>
      </c>
      <c r="E56">
        <f t="shared" si="0"/>
        <v>0</v>
      </c>
      <c r="F56" t="str">
        <f>IF(E56=1,COUNTIF($E$2:E56,1),"")</f>
        <v/>
      </c>
      <c r="G56" t="str">
        <f>IFERROR(INDEX($C$2:$C$213,MATCH(ROWS($F$2:F56),$F$2:$F$213,0)),"")</f>
        <v/>
      </c>
    </row>
    <row r="57" spans="1:7" ht="15" x14ac:dyDescent="0.25">
      <c r="A57" s="10">
        <v>55</v>
      </c>
      <c r="B57" s="10" t="s">
        <v>3177</v>
      </c>
      <c r="C57" s="10" t="s">
        <v>3178</v>
      </c>
      <c r="D57" s="10" t="s">
        <v>7108</v>
      </c>
      <c r="E57">
        <f t="shared" si="0"/>
        <v>0</v>
      </c>
      <c r="F57" t="str">
        <f>IF(E57=1,COUNTIF($E$2:E57,1),"")</f>
        <v/>
      </c>
      <c r="G57" t="str">
        <f>IFERROR(INDEX($C$2:$C$213,MATCH(ROWS($F$2:F57),$F$2:$F$213,0)),"")</f>
        <v/>
      </c>
    </row>
    <row r="58" spans="1:7" ht="15" x14ac:dyDescent="0.25">
      <c r="A58" s="10">
        <v>57</v>
      </c>
      <c r="B58" s="10" t="s">
        <v>183</v>
      </c>
      <c r="C58" s="10" t="s">
        <v>3194</v>
      </c>
      <c r="D58" s="10" t="s">
        <v>7106</v>
      </c>
      <c r="E58">
        <f t="shared" si="0"/>
        <v>0</v>
      </c>
      <c r="F58" t="str">
        <f>IF(E58=1,COUNTIF($E$2:E58,1),"")</f>
        <v/>
      </c>
      <c r="G58" t="str">
        <f>IFERROR(INDEX($C$2:$C$213,MATCH(ROWS($F$2:F58),$F$2:$F$213,0)),"")</f>
        <v/>
      </c>
    </row>
    <row r="59" spans="1:7" ht="15" x14ac:dyDescent="0.25">
      <c r="A59" s="10">
        <v>183</v>
      </c>
      <c r="B59" s="10" t="s">
        <v>3238</v>
      </c>
      <c r="C59" s="10" t="s">
        <v>3239</v>
      </c>
      <c r="D59" s="10" t="s">
        <v>7108</v>
      </c>
      <c r="E59">
        <f t="shared" si="0"/>
        <v>0</v>
      </c>
      <c r="F59" t="str">
        <f>IF(E59=1,COUNTIF($E$2:E59,1),"")</f>
        <v/>
      </c>
      <c r="G59" t="str">
        <f>IFERROR(INDEX($C$2:$C$213,MATCH(ROWS($F$2:F59),$F$2:$F$213,0)),"")</f>
        <v/>
      </c>
    </row>
    <row r="60" spans="1:7" ht="15" x14ac:dyDescent="0.25">
      <c r="A60" s="10">
        <v>77</v>
      </c>
      <c r="B60" s="10" t="s">
        <v>3250</v>
      </c>
      <c r="C60" s="10" t="s">
        <v>3251</v>
      </c>
      <c r="D60" s="10" t="s">
        <v>7106</v>
      </c>
      <c r="E60">
        <f t="shared" si="0"/>
        <v>0</v>
      </c>
      <c r="F60" t="str">
        <f>IF(E60=1,COUNTIF($E$2:E60,1),"")</f>
        <v/>
      </c>
      <c r="G60" t="str">
        <f>IFERROR(INDEX($C$2:$C$213,MATCH(ROWS($F$2:F60),$F$2:$F$213,0)),"")</f>
        <v/>
      </c>
    </row>
    <row r="61" spans="1:7" ht="15" x14ac:dyDescent="0.25">
      <c r="A61" s="10">
        <v>59</v>
      </c>
      <c r="B61" s="10" t="s">
        <v>3259</v>
      </c>
      <c r="C61" s="10" t="s">
        <v>3260</v>
      </c>
      <c r="D61" s="10" t="s">
        <v>7106</v>
      </c>
      <c r="E61">
        <f t="shared" si="0"/>
        <v>0</v>
      </c>
      <c r="F61" t="str">
        <f>IF(E61=1,COUNTIF($E$2:E61,1),"")</f>
        <v/>
      </c>
      <c r="G61" t="str">
        <f>IFERROR(INDEX($C$2:$C$213,MATCH(ROWS($F$2:F61),$F$2:$F$213,0)),"")</f>
        <v/>
      </c>
    </row>
    <row r="62" spans="1:7" ht="15" x14ac:dyDescent="0.25">
      <c r="A62" s="10">
        <v>56</v>
      </c>
      <c r="B62" s="10" t="s">
        <v>3270</v>
      </c>
      <c r="C62" s="10" t="s">
        <v>3271</v>
      </c>
      <c r="D62" s="10" t="s">
        <v>7105</v>
      </c>
      <c r="E62">
        <f t="shared" si="0"/>
        <v>0</v>
      </c>
      <c r="F62" t="str">
        <f>IF(E62=1,COUNTIF($E$2:E62,1),"")</f>
        <v/>
      </c>
      <c r="G62" t="str">
        <f>IFERROR(INDEX($C$2:$C$213,MATCH(ROWS($F$2:F62),$F$2:$F$213,0)),"")</f>
        <v/>
      </c>
    </row>
    <row r="63" spans="1:7" ht="15" x14ac:dyDescent="0.25">
      <c r="A63" s="10">
        <v>61</v>
      </c>
      <c r="B63" s="10" t="s">
        <v>3281</v>
      </c>
      <c r="C63" s="10" t="s">
        <v>3282</v>
      </c>
      <c r="D63" s="10" t="s">
        <v>7106</v>
      </c>
      <c r="E63">
        <f t="shared" si="0"/>
        <v>0</v>
      </c>
      <c r="F63" t="str">
        <f>IF(E63=1,COUNTIF($E$2:E63,1),"")</f>
        <v/>
      </c>
      <c r="G63" t="str">
        <f>IFERROR(INDEX($C$2:$C$213,MATCH(ROWS($F$2:F63),$F$2:$F$213,0)),"")</f>
        <v/>
      </c>
    </row>
    <row r="64" spans="1:7" ht="15" x14ac:dyDescent="0.25">
      <c r="A64" s="10">
        <v>65</v>
      </c>
      <c r="B64" s="10" t="s">
        <v>3296</v>
      </c>
      <c r="C64" s="10" t="s">
        <v>3297</v>
      </c>
      <c r="D64" s="10" t="s">
        <v>7109</v>
      </c>
      <c r="E64">
        <f t="shared" si="0"/>
        <v>0</v>
      </c>
      <c r="F64" t="str">
        <f>IF(E64=1,COUNTIF($E$2:E64,1),"")</f>
        <v/>
      </c>
      <c r="G64" t="str">
        <f>IFERROR(INDEX($C$2:$C$213,MATCH(ROWS($F$2:F64),$F$2:$F$213,0)),"")</f>
        <v/>
      </c>
    </row>
    <row r="65" spans="1:7" ht="15" x14ac:dyDescent="0.25">
      <c r="A65" s="10">
        <v>63</v>
      </c>
      <c r="B65" s="10" t="s">
        <v>3302</v>
      </c>
      <c r="C65" s="10" t="s">
        <v>3303</v>
      </c>
      <c r="D65" s="10" t="s">
        <v>7107</v>
      </c>
      <c r="E65">
        <f t="shared" si="0"/>
        <v>0</v>
      </c>
      <c r="F65" t="str">
        <f>IF(E65=1,COUNTIF($E$2:E65,1),"")</f>
        <v/>
      </c>
      <c r="G65" t="str">
        <f>IFERROR(INDEX($C$2:$C$213,MATCH(ROWS($F$2:F65),$F$2:$F$213,0)),"")</f>
        <v/>
      </c>
    </row>
    <row r="66" spans="1:7" ht="15" x14ac:dyDescent="0.25">
      <c r="A66" s="10">
        <v>62</v>
      </c>
      <c r="B66" s="10" t="s">
        <v>3307</v>
      </c>
      <c r="C66" s="10" t="s">
        <v>3308</v>
      </c>
      <c r="D66" s="10" t="s">
        <v>7105</v>
      </c>
      <c r="E66">
        <f t="shared" si="0"/>
        <v>0</v>
      </c>
      <c r="F66" t="str">
        <f>IF(E66=1,COUNTIF($E$2:E66,1),"")</f>
        <v/>
      </c>
      <c r="G66" t="str">
        <f>IFERROR(INDEX($C$2:$C$213,MATCH(ROWS($F$2:F66),$F$2:$F$213,0)),"")</f>
        <v/>
      </c>
    </row>
    <row r="67" spans="1:7" ht="15" x14ac:dyDescent="0.25">
      <c r="A67" s="10">
        <v>66</v>
      </c>
      <c r="B67" s="10" t="s">
        <v>3322</v>
      </c>
      <c r="C67" s="10" t="s">
        <v>3323</v>
      </c>
      <c r="D67" s="10" t="s">
        <v>7105</v>
      </c>
      <c r="E67">
        <f t="shared" ref="E67:E130" si="1">--ISNUMBER(IFERROR(SEARCH($I$2,C67,1),""))</f>
        <v>0</v>
      </c>
      <c r="F67" t="str">
        <f>IF(E67=1,COUNTIF($E$2:E67,1),"")</f>
        <v/>
      </c>
      <c r="G67" t="str">
        <f>IFERROR(INDEX($C$2:$C$213,MATCH(ROWS($F$2:F67),$F$2:$F$213,0)),"")</f>
        <v/>
      </c>
    </row>
    <row r="68" spans="1:7" ht="15" x14ac:dyDescent="0.25">
      <c r="A68" s="10">
        <v>70</v>
      </c>
      <c r="B68" s="10" t="s">
        <v>3353</v>
      </c>
      <c r="C68" s="10" t="s">
        <v>3354</v>
      </c>
      <c r="D68" s="10" t="s">
        <v>7108</v>
      </c>
      <c r="E68">
        <f t="shared" si="1"/>
        <v>0</v>
      </c>
      <c r="F68" t="str">
        <f>IF(E68=1,COUNTIF($E$2:E68,1),"")</f>
        <v/>
      </c>
      <c r="G68" t="str">
        <f>IFERROR(INDEX($C$2:$C$213,MATCH(ROWS($F$2:F68),$F$2:$F$213,0)),"")</f>
        <v/>
      </c>
    </row>
    <row r="69" spans="1:7" ht="15" x14ac:dyDescent="0.25">
      <c r="A69" s="10">
        <v>67</v>
      </c>
      <c r="B69" s="10" t="s">
        <v>3362</v>
      </c>
      <c r="C69" s="10" t="s">
        <v>3363</v>
      </c>
      <c r="D69" s="10" t="s">
        <v>7106</v>
      </c>
      <c r="E69">
        <f t="shared" si="1"/>
        <v>0</v>
      </c>
      <c r="F69" t="str">
        <f>IF(E69=1,COUNTIF($E$2:E69,1),"")</f>
        <v/>
      </c>
      <c r="G69" t="str">
        <f>IFERROR(INDEX($C$2:$C$213,MATCH(ROWS($F$2:F69),$F$2:$F$213,0)),"")</f>
        <v/>
      </c>
    </row>
    <row r="70" spans="1:7" ht="15" x14ac:dyDescent="0.25">
      <c r="A70" s="10">
        <v>74</v>
      </c>
      <c r="B70" s="10" t="s">
        <v>3373</v>
      </c>
      <c r="C70" s="10" t="s">
        <v>3374</v>
      </c>
      <c r="D70" s="10" t="s">
        <v>7106</v>
      </c>
      <c r="E70">
        <f t="shared" si="1"/>
        <v>0</v>
      </c>
      <c r="F70" t="str">
        <f>IF(E70=1,COUNTIF($E$2:E70,1),"")</f>
        <v/>
      </c>
      <c r="G70" t="str">
        <f>IFERROR(INDEX($C$2:$C$213,MATCH(ROWS($F$2:F70),$F$2:$F$213,0)),"")</f>
        <v/>
      </c>
    </row>
    <row r="71" spans="1:7" ht="15" x14ac:dyDescent="0.25">
      <c r="A71" s="10">
        <v>160</v>
      </c>
      <c r="B71" s="10" t="s">
        <v>3382</v>
      </c>
      <c r="C71" s="10" t="s">
        <v>3383</v>
      </c>
      <c r="D71" s="10" t="s">
        <v>7104</v>
      </c>
      <c r="E71">
        <f t="shared" si="1"/>
        <v>0</v>
      </c>
      <c r="F71" t="str">
        <f>IF(E71=1,COUNTIF($E$2:E71,1),"")</f>
        <v/>
      </c>
      <c r="G71" t="str">
        <f>IFERROR(INDEX($C$2:$C$213,MATCH(ROWS($F$2:F71),$F$2:$F$213,0)),"")</f>
        <v/>
      </c>
    </row>
    <row r="72" spans="1:7" ht="15" x14ac:dyDescent="0.25">
      <c r="A72" s="10">
        <v>69</v>
      </c>
      <c r="B72" s="10" t="s">
        <v>3391</v>
      </c>
      <c r="C72" s="10" t="s">
        <v>3392</v>
      </c>
      <c r="D72" s="10" t="s">
        <v>7104</v>
      </c>
      <c r="E72">
        <f t="shared" si="1"/>
        <v>0</v>
      </c>
      <c r="F72" t="str">
        <f>IF(E72=1,COUNTIF($E$2:E72,1),"")</f>
        <v/>
      </c>
      <c r="G72" t="str">
        <f>IFERROR(INDEX($C$2:$C$213,MATCH(ROWS($F$2:F72),$F$2:$F$213,0)),"")</f>
        <v/>
      </c>
    </row>
    <row r="73" spans="1:7" ht="15" x14ac:dyDescent="0.25">
      <c r="A73" s="10">
        <v>49</v>
      </c>
      <c r="B73" s="10" t="s">
        <v>3402</v>
      </c>
      <c r="C73" s="10" t="s">
        <v>3403</v>
      </c>
      <c r="D73" s="10" t="s">
        <v>7105</v>
      </c>
      <c r="E73">
        <f t="shared" si="1"/>
        <v>0</v>
      </c>
      <c r="F73" t="str">
        <f>IF(E73=1,COUNTIF($E$2:E73,1),"")</f>
        <v/>
      </c>
      <c r="G73" t="str">
        <f>IFERROR(INDEX($C$2:$C$213,MATCH(ROWS($F$2:F73),$F$2:$F$213,0)),"")</f>
        <v/>
      </c>
    </row>
    <row r="74" spans="1:7" ht="15" x14ac:dyDescent="0.25">
      <c r="A74" s="10">
        <v>71</v>
      </c>
      <c r="B74" s="10" t="s">
        <v>3489</v>
      </c>
      <c r="C74" s="10" t="s">
        <v>3490</v>
      </c>
      <c r="D74" s="10" t="s">
        <v>7106</v>
      </c>
      <c r="E74">
        <f t="shared" si="1"/>
        <v>0</v>
      </c>
      <c r="F74" t="str">
        <f>IF(E74=1,COUNTIF($E$2:E74,1),"")</f>
        <v/>
      </c>
      <c r="G74" t="str">
        <f>IFERROR(INDEX($C$2:$C$213,MATCH(ROWS($F$2:F74),$F$2:$F$213,0)),"")</f>
        <v/>
      </c>
    </row>
    <row r="75" spans="1:7" ht="15" x14ac:dyDescent="0.25">
      <c r="A75" s="10">
        <v>72</v>
      </c>
      <c r="B75" s="10" t="s">
        <v>3508</v>
      </c>
      <c r="C75" s="10" t="s">
        <v>3507</v>
      </c>
      <c r="D75" s="10" t="s">
        <v>7105</v>
      </c>
      <c r="E75">
        <f t="shared" si="1"/>
        <v>0</v>
      </c>
      <c r="F75" t="str">
        <f>IF(E75=1,COUNTIF($E$2:E75,1),"")</f>
        <v/>
      </c>
      <c r="G75" t="str">
        <f>IFERROR(INDEX($C$2:$C$213,MATCH(ROWS($F$2:F75),$F$2:$F$213,0)),"")</f>
        <v/>
      </c>
    </row>
    <row r="76" spans="1:7" ht="15" x14ac:dyDescent="0.25">
      <c r="A76" s="10">
        <v>78</v>
      </c>
      <c r="B76" s="10" t="s">
        <v>3512</v>
      </c>
      <c r="C76" s="10" t="s">
        <v>3513</v>
      </c>
      <c r="D76" s="10" t="s">
        <v>7105</v>
      </c>
      <c r="E76">
        <f t="shared" si="1"/>
        <v>0</v>
      </c>
      <c r="F76" t="str">
        <f>IF(E76=1,COUNTIF($E$2:E76,1),"")</f>
        <v/>
      </c>
      <c r="G76" t="str">
        <f>IFERROR(INDEX($C$2:$C$213,MATCH(ROWS($F$2:F76),$F$2:$F$213,0)),"")</f>
        <v/>
      </c>
    </row>
    <row r="77" spans="1:7" ht="15" x14ac:dyDescent="0.25">
      <c r="A77" s="10">
        <v>73</v>
      </c>
      <c r="B77" s="10" t="s">
        <v>3525</v>
      </c>
      <c r="C77" s="10" t="s">
        <v>3526</v>
      </c>
      <c r="D77" s="10" t="s">
        <v>7108</v>
      </c>
      <c r="E77">
        <f t="shared" si="1"/>
        <v>0</v>
      </c>
      <c r="F77" t="str">
        <f>IF(E77=1,COUNTIF($E$2:E77,1),"")</f>
        <v/>
      </c>
      <c r="G77" t="str">
        <f>IFERROR(INDEX($C$2:$C$213,MATCH(ROWS($F$2:F77),$F$2:$F$213,0)),"")</f>
        <v/>
      </c>
    </row>
    <row r="78" spans="1:7" ht="15" x14ac:dyDescent="0.25">
      <c r="A78" s="10">
        <v>24</v>
      </c>
      <c r="B78" s="10" t="s">
        <v>3534</v>
      </c>
      <c r="C78" s="10" t="s">
        <v>3535</v>
      </c>
      <c r="D78" s="10" t="s">
        <v>7108</v>
      </c>
      <c r="E78">
        <f t="shared" si="1"/>
        <v>0</v>
      </c>
      <c r="F78" t="str">
        <f>IF(E78=1,COUNTIF($E$2:E78,1),"")</f>
        <v/>
      </c>
      <c r="G78" t="str">
        <f>IFERROR(INDEX($C$2:$C$213,MATCH(ROWS($F$2:F78),$F$2:$F$213,0)),"")</f>
        <v/>
      </c>
    </row>
    <row r="79" spans="1:7" ht="15" x14ac:dyDescent="0.25">
      <c r="A79" s="10">
        <v>76</v>
      </c>
      <c r="B79" s="10" t="s">
        <v>3534</v>
      </c>
      <c r="C79" s="10" t="s">
        <v>3535</v>
      </c>
      <c r="D79" s="10" t="s">
        <v>7108</v>
      </c>
      <c r="E79">
        <f t="shared" si="1"/>
        <v>0</v>
      </c>
      <c r="F79" t="str">
        <f>IF(E79=1,COUNTIF($E$2:E79,1),"")</f>
        <v/>
      </c>
      <c r="G79" t="str">
        <f>IFERROR(INDEX($C$2:$C$213,MATCH(ROWS($F$2:F79),$F$2:$F$213,0)),"")</f>
        <v/>
      </c>
    </row>
    <row r="80" spans="1:7" ht="15" x14ac:dyDescent="0.25">
      <c r="A80" s="10">
        <v>80</v>
      </c>
      <c r="B80" s="10" t="s">
        <v>3545</v>
      </c>
      <c r="C80" s="10" t="s">
        <v>3546</v>
      </c>
      <c r="D80" s="10" t="s">
        <v>7107</v>
      </c>
      <c r="E80">
        <f t="shared" si="1"/>
        <v>0</v>
      </c>
      <c r="F80" t="str">
        <f>IF(E80=1,COUNTIF($E$2:E80,1),"")</f>
        <v/>
      </c>
      <c r="G80" t="str">
        <f>IFERROR(INDEX($C$2:$C$213,MATCH(ROWS($F$2:F80),$F$2:$F$213,0)),"")</f>
        <v/>
      </c>
    </row>
    <row r="81" spans="1:7" ht="15" x14ac:dyDescent="0.25">
      <c r="A81" s="10">
        <v>79</v>
      </c>
      <c r="B81" s="10" t="s">
        <v>3552</v>
      </c>
      <c r="C81" s="10" t="s">
        <v>3553</v>
      </c>
      <c r="D81" s="10" t="s">
        <v>7108</v>
      </c>
      <c r="E81">
        <f t="shared" si="1"/>
        <v>0</v>
      </c>
      <c r="F81" t="str">
        <f>IF(E81=1,COUNTIF($E$2:E81,1),"")</f>
        <v/>
      </c>
      <c r="G81" t="str">
        <f>IFERROR(INDEX($C$2:$C$213,MATCH(ROWS($F$2:F81),$F$2:$F$213,0)),"")</f>
        <v/>
      </c>
    </row>
    <row r="82" spans="1:7" ht="15" x14ac:dyDescent="0.25">
      <c r="A82" s="10">
        <v>75</v>
      </c>
      <c r="B82" s="10" t="s">
        <v>3566</v>
      </c>
      <c r="C82" s="10" t="s">
        <v>3567</v>
      </c>
      <c r="D82" s="10" t="s">
        <v>7106</v>
      </c>
      <c r="E82">
        <f t="shared" si="1"/>
        <v>0</v>
      </c>
      <c r="F82" t="str">
        <f>IF(E82=1,COUNTIF($E$2:E82,1),"")</f>
        <v/>
      </c>
      <c r="G82" t="str">
        <f>IFERROR(INDEX($C$2:$C$213,MATCH(ROWS($F$2:F82),$F$2:$F$213,0)),"")</f>
        <v/>
      </c>
    </row>
    <row r="83" spans="1:7" ht="15" x14ac:dyDescent="0.25">
      <c r="A83" s="10">
        <v>81</v>
      </c>
      <c r="B83" s="10" t="s">
        <v>3579</v>
      </c>
      <c r="C83" s="10" t="s">
        <v>3580</v>
      </c>
      <c r="D83" s="10" t="s">
        <v>7106</v>
      </c>
      <c r="E83">
        <f t="shared" si="1"/>
        <v>0</v>
      </c>
      <c r="F83" t="str">
        <f>IF(E83=1,COUNTIF($E$2:E83,1),"")</f>
        <v/>
      </c>
      <c r="G83" t="str">
        <f>IFERROR(INDEX($C$2:$C$213,MATCH(ROWS($F$2:F83),$F$2:$F$213,0)),"")</f>
        <v/>
      </c>
    </row>
    <row r="84" spans="1:7" ht="15" x14ac:dyDescent="0.25">
      <c r="A84" s="10">
        <v>82</v>
      </c>
      <c r="B84" s="10" t="s">
        <v>3590</v>
      </c>
      <c r="C84" s="10" t="s">
        <v>3591</v>
      </c>
      <c r="D84" s="10" t="s">
        <v>7108</v>
      </c>
      <c r="E84">
        <f t="shared" si="1"/>
        <v>0</v>
      </c>
      <c r="F84" t="str">
        <f>IF(E84=1,COUNTIF($E$2:E84,1),"")</f>
        <v/>
      </c>
      <c r="G84" t="str">
        <f>IFERROR(INDEX($C$2:$C$213,MATCH(ROWS($F$2:F84),$F$2:$F$213,0)),"")</f>
        <v/>
      </c>
    </row>
    <row r="85" spans="1:7" ht="15" x14ac:dyDescent="0.25">
      <c r="A85" s="10">
        <v>86</v>
      </c>
      <c r="B85" s="10" t="s">
        <v>3601</v>
      </c>
      <c r="C85" s="10" t="s">
        <v>3602</v>
      </c>
      <c r="D85" s="10" t="s">
        <v>7108</v>
      </c>
      <c r="E85">
        <f t="shared" si="1"/>
        <v>0</v>
      </c>
      <c r="F85" t="str">
        <f>IF(E85=1,COUNTIF($E$2:E85,1),"")</f>
        <v/>
      </c>
      <c r="G85" t="str">
        <f>IFERROR(INDEX($C$2:$C$213,MATCH(ROWS($F$2:F85),$F$2:$F$213,0)),"")</f>
        <v/>
      </c>
    </row>
    <row r="86" spans="1:7" ht="15" x14ac:dyDescent="0.25">
      <c r="A86" s="10">
        <v>84</v>
      </c>
      <c r="B86" s="10" t="s">
        <v>3616</v>
      </c>
      <c r="C86" s="10" t="s">
        <v>3617</v>
      </c>
      <c r="D86" s="10" t="s">
        <v>7108</v>
      </c>
      <c r="E86">
        <f t="shared" si="1"/>
        <v>0</v>
      </c>
      <c r="F86" t="str">
        <f>IF(E86=1,COUNTIF($E$2:E86,1),"")</f>
        <v/>
      </c>
      <c r="G86" t="str">
        <f>IFERROR(INDEX($C$2:$C$213,MATCH(ROWS($F$2:F86),$F$2:$F$213,0)),"")</f>
        <v/>
      </c>
    </row>
    <row r="87" spans="1:7" ht="15" x14ac:dyDescent="0.25">
      <c r="A87" s="10">
        <v>83</v>
      </c>
      <c r="B87" s="10" t="s">
        <v>3629</v>
      </c>
      <c r="C87" s="10" t="s">
        <v>3628</v>
      </c>
      <c r="D87" s="10" t="s">
        <v>7104</v>
      </c>
      <c r="E87">
        <f t="shared" si="1"/>
        <v>0</v>
      </c>
      <c r="F87" t="str">
        <f>IF(E87=1,COUNTIF($E$2:E87,1),"")</f>
        <v/>
      </c>
      <c r="G87" t="str">
        <f>IFERROR(INDEX($C$2:$C$213,MATCH(ROWS($F$2:F87),$F$2:$F$213,0)),"")</f>
        <v/>
      </c>
    </row>
    <row r="88" spans="1:7" ht="15" x14ac:dyDescent="0.25">
      <c r="A88" s="10">
        <v>87</v>
      </c>
      <c r="B88" s="10" t="s">
        <v>3635</v>
      </c>
      <c r="C88" s="10" t="s">
        <v>3636</v>
      </c>
      <c r="D88" s="10" t="s">
        <v>7105</v>
      </c>
      <c r="E88">
        <f t="shared" si="1"/>
        <v>0</v>
      </c>
      <c r="F88" t="str">
        <f>IF(E88=1,COUNTIF($E$2:E88,1),"")</f>
        <v/>
      </c>
      <c r="G88" t="str">
        <f>IFERROR(INDEX($C$2:$C$213,MATCH(ROWS($F$2:F88),$F$2:$F$213,0)),"")</f>
        <v/>
      </c>
    </row>
    <row r="89" spans="1:7" ht="15" x14ac:dyDescent="0.25">
      <c r="A89" s="10">
        <v>94</v>
      </c>
      <c r="B89" s="10" t="s">
        <v>3648</v>
      </c>
      <c r="C89" s="10" t="s">
        <v>3649</v>
      </c>
      <c r="D89" s="10" t="s">
        <v>7109</v>
      </c>
      <c r="E89">
        <f t="shared" si="1"/>
        <v>0</v>
      </c>
      <c r="F89" t="str">
        <f>IF(E89=1,COUNTIF($E$2:E89,1),"")</f>
        <v/>
      </c>
      <c r="G89" t="str">
        <f>IFERROR(INDEX($C$2:$C$213,MATCH(ROWS($F$2:F89),$F$2:$F$213,0)),"")</f>
        <v/>
      </c>
    </row>
    <row r="90" spans="1:7" ht="15" x14ac:dyDescent="0.25">
      <c r="A90" s="10">
        <v>91</v>
      </c>
      <c r="B90" s="10" t="s">
        <v>3658</v>
      </c>
      <c r="C90" s="10" t="s">
        <v>3659</v>
      </c>
      <c r="D90" s="10" t="s">
        <v>7104</v>
      </c>
      <c r="E90">
        <f t="shared" si="1"/>
        <v>0</v>
      </c>
      <c r="F90" t="str">
        <f>IF(E90=1,COUNTIF($E$2:E90,1),"")</f>
        <v/>
      </c>
      <c r="G90" t="str">
        <f>IFERROR(INDEX($C$2:$C$213,MATCH(ROWS($F$2:F90),$F$2:$F$213,0)),"")</f>
        <v/>
      </c>
    </row>
    <row r="91" spans="1:7" ht="15" x14ac:dyDescent="0.25">
      <c r="A91" s="10">
        <v>88</v>
      </c>
      <c r="B91" s="10" t="s">
        <v>1040</v>
      </c>
      <c r="C91" s="10" t="s">
        <v>4034</v>
      </c>
      <c r="D91" s="10" t="s">
        <v>7104</v>
      </c>
      <c r="E91">
        <f t="shared" si="1"/>
        <v>0</v>
      </c>
      <c r="F91" t="str">
        <f>IF(E91=1,COUNTIF($E$2:E91,1),"")</f>
        <v/>
      </c>
      <c r="G91" t="str">
        <f>IFERROR(INDEX($C$2:$C$213,MATCH(ROWS($F$2:F91),$F$2:$F$213,0)),"")</f>
        <v/>
      </c>
    </row>
    <row r="92" spans="1:7" ht="15" x14ac:dyDescent="0.25">
      <c r="A92" s="10">
        <v>93</v>
      </c>
      <c r="B92" s="10" t="s">
        <v>4143</v>
      </c>
      <c r="C92" s="10" t="s">
        <v>4144</v>
      </c>
      <c r="D92" s="10" t="s">
        <v>7104</v>
      </c>
      <c r="E92">
        <f t="shared" si="1"/>
        <v>0</v>
      </c>
      <c r="F92" t="str">
        <f>IF(E92=1,COUNTIF($E$2:E92,1),"")</f>
        <v/>
      </c>
      <c r="G92" t="str">
        <f>IFERROR(INDEX($C$2:$C$213,MATCH(ROWS($F$2:F92),$F$2:$F$213,0)),"")</f>
        <v/>
      </c>
    </row>
    <row r="93" spans="1:7" ht="15" x14ac:dyDescent="0.25">
      <c r="A93" s="10">
        <v>92</v>
      </c>
      <c r="B93" s="10" t="s">
        <v>4218</v>
      </c>
      <c r="C93" s="10" t="s">
        <v>4219</v>
      </c>
      <c r="D93" s="10" t="s">
        <v>7104</v>
      </c>
      <c r="E93">
        <f t="shared" si="1"/>
        <v>0</v>
      </c>
      <c r="F93" t="str">
        <f>IF(E93=1,COUNTIF($E$2:E93,1),"")</f>
        <v/>
      </c>
      <c r="G93" t="str">
        <f>IFERROR(INDEX($C$2:$C$213,MATCH(ROWS($F$2:F93),$F$2:$F$213,0)),"")</f>
        <v/>
      </c>
    </row>
    <row r="94" spans="1:7" ht="15" x14ac:dyDescent="0.25">
      <c r="A94" s="10">
        <v>89</v>
      </c>
      <c r="B94" s="10" t="s">
        <v>4261</v>
      </c>
      <c r="C94" s="10" t="s">
        <v>4262</v>
      </c>
      <c r="D94" s="10" t="s">
        <v>7105</v>
      </c>
      <c r="E94">
        <f t="shared" si="1"/>
        <v>0</v>
      </c>
      <c r="F94" t="str">
        <f>IF(E94=1,COUNTIF($E$2:E94,1),"")</f>
        <v/>
      </c>
      <c r="G94" t="str">
        <f>IFERROR(INDEX($C$2:$C$213,MATCH(ROWS($F$2:F94),$F$2:$F$213,0)),"")</f>
        <v/>
      </c>
    </row>
    <row r="95" spans="1:7" ht="15" x14ac:dyDescent="0.25">
      <c r="A95" s="10">
        <v>90</v>
      </c>
      <c r="B95" s="10" t="s">
        <v>4272</v>
      </c>
      <c r="C95" s="10" t="s">
        <v>4273</v>
      </c>
      <c r="D95" s="10" t="s">
        <v>7104</v>
      </c>
      <c r="E95">
        <f t="shared" si="1"/>
        <v>0</v>
      </c>
      <c r="F95" t="str">
        <f>IF(E95=1,COUNTIF($E$2:E95,1),"")</f>
        <v/>
      </c>
      <c r="G95" t="str">
        <f>IFERROR(INDEX($C$2:$C$213,MATCH(ROWS($F$2:F95),$F$2:$F$213,0)),"")</f>
        <v/>
      </c>
    </row>
    <row r="96" spans="1:7" ht="15" x14ac:dyDescent="0.25">
      <c r="A96" s="10">
        <v>95</v>
      </c>
      <c r="B96" s="10" t="s">
        <v>4287</v>
      </c>
      <c r="C96" s="10" t="s">
        <v>4288</v>
      </c>
      <c r="D96" s="10" t="s">
        <v>7105</v>
      </c>
      <c r="E96">
        <f t="shared" si="1"/>
        <v>0</v>
      </c>
      <c r="F96" t="str">
        <f>IF(E96=1,COUNTIF($E$2:E96,1),"")</f>
        <v/>
      </c>
      <c r="G96" t="str">
        <f>IFERROR(INDEX($C$2:$C$213,MATCH(ROWS($F$2:F96),$F$2:$F$213,0)),"")</f>
        <v/>
      </c>
    </row>
    <row r="97" spans="1:7" ht="15" x14ac:dyDescent="0.25">
      <c r="A97" s="10">
        <v>38</v>
      </c>
      <c r="B97" s="10" t="s">
        <v>4328</v>
      </c>
      <c r="C97" s="10" t="s">
        <v>4329</v>
      </c>
      <c r="D97" s="10" t="s">
        <v>7106</v>
      </c>
      <c r="E97">
        <f t="shared" si="1"/>
        <v>0</v>
      </c>
      <c r="F97" t="str">
        <f>IF(E97=1,COUNTIF($E$2:E97,1),"")</f>
        <v/>
      </c>
      <c r="G97" t="str">
        <f>IFERROR(INDEX($C$2:$C$213,MATCH(ROWS($F$2:F97),$F$2:$F$213,0)),"")</f>
        <v/>
      </c>
    </row>
    <row r="98" spans="1:7" ht="15" x14ac:dyDescent="0.25">
      <c r="A98" s="10">
        <v>96</v>
      </c>
      <c r="B98" s="10" t="s">
        <v>4345</v>
      </c>
      <c r="C98" s="10" t="s">
        <v>4346</v>
      </c>
      <c r="D98" s="10" t="s">
        <v>7108</v>
      </c>
      <c r="E98">
        <f t="shared" si="1"/>
        <v>0</v>
      </c>
      <c r="F98" t="str">
        <f>IF(E98=1,COUNTIF($E$2:E98,1),"")</f>
        <v/>
      </c>
      <c r="G98" t="str">
        <f>IFERROR(INDEX($C$2:$C$213,MATCH(ROWS($F$2:F98),$F$2:$F$213,0)),"")</f>
        <v/>
      </c>
    </row>
    <row r="99" spans="1:7" ht="15" x14ac:dyDescent="0.25">
      <c r="A99" s="10">
        <v>98</v>
      </c>
      <c r="B99" s="10" t="s">
        <v>4358</v>
      </c>
      <c r="C99" s="10" t="s">
        <v>4359</v>
      </c>
      <c r="D99" s="10" t="s">
        <v>7104</v>
      </c>
      <c r="E99">
        <f t="shared" si="1"/>
        <v>0</v>
      </c>
      <c r="F99" t="str">
        <f>IF(E99=1,COUNTIF($E$2:E99,1),"")</f>
        <v/>
      </c>
      <c r="G99" t="str">
        <f>IFERROR(INDEX($C$2:$C$213,MATCH(ROWS($F$2:F99),$F$2:$F$213,0)),"")</f>
        <v/>
      </c>
    </row>
    <row r="100" spans="1:7" ht="15" x14ac:dyDescent="0.25">
      <c r="A100" s="10">
        <v>97</v>
      </c>
      <c r="B100" s="10" t="s">
        <v>4567</v>
      </c>
      <c r="C100" s="10" t="s">
        <v>4568</v>
      </c>
      <c r="D100" s="10" t="s">
        <v>7104</v>
      </c>
      <c r="E100">
        <f t="shared" si="1"/>
        <v>0</v>
      </c>
      <c r="F100" t="str">
        <f>IF(E100=1,COUNTIF($E$2:E100,1),"")</f>
        <v/>
      </c>
      <c r="G100" t="str">
        <f>IFERROR(INDEX($C$2:$C$213,MATCH(ROWS($F$2:F100),$F$2:$F$213,0)),"")</f>
        <v/>
      </c>
    </row>
    <row r="101" spans="1:7" ht="15" x14ac:dyDescent="0.25">
      <c r="A101" s="10">
        <v>109</v>
      </c>
      <c r="B101" s="10" t="s">
        <v>4580</v>
      </c>
      <c r="C101" s="10" t="s">
        <v>4581</v>
      </c>
      <c r="D101" s="10" t="s">
        <v>7104</v>
      </c>
      <c r="E101">
        <f t="shared" si="1"/>
        <v>0</v>
      </c>
      <c r="F101" t="str">
        <f>IF(E101=1,COUNTIF($E$2:E101,1),"")</f>
        <v/>
      </c>
      <c r="G101" t="str">
        <f>IFERROR(INDEX($C$2:$C$213,MATCH(ROWS($F$2:F101),$F$2:$F$213,0)),"")</f>
        <v/>
      </c>
    </row>
    <row r="102" spans="1:7" ht="15" x14ac:dyDescent="0.25">
      <c r="A102" s="10">
        <v>99</v>
      </c>
      <c r="B102" s="10" t="s">
        <v>4614</v>
      </c>
      <c r="C102" s="10" t="s">
        <v>4615</v>
      </c>
      <c r="D102" s="10" t="s">
        <v>7106</v>
      </c>
      <c r="E102">
        <f t="shared" si="1"/>
        <v>0</v>
      </c>
      <c r="F102" t="str">
        <f>IF(E102=1,COUNTIF($E$2:E102,1),"")</f>
        <v/>
      </c>
      <c r="G102" t="str">
        <f>IFERROR(INDEX($C$2:$C$213,MATCH(ROWS($F$2:F102),$F$2:$F$213,0)),"")</f>
        <v/>
      </c>
    </row>
    <row r="103" spans="1:7" ht="15" x14ac:dyDescent="0.25">
      <c r="A103" s="10">
        <v>102</v>
      </c>
      <c r="B103" s="10" t="s">
        <v>4633</v>
      </c>
      <c r="C103" s="10" t="s">
        <v>4634</v>
      </c>
      <c r="D103" s="10" t="s">
        <v>7107</v>
      </c>
      <c r="E103">
        <f t="shared" si="1"/>
        <v>0</v>
      </c>
      <c r="F103" t="str">
        <f>IF(E103=1,COUNTIF($E$2:E103,1),"")</f>
        <v/>
      </c>
      <c r="G103" t="str">
        <f>IFERROR(INDEX($C$2:$C$213,MATCH(ROWS($F$2:F103),$F$2:$F$213,0)),"")</f>
        <v/>
      </c>
    </row>
    <row r="104" spans="1:7" ht="15" x14ac:dyDescent="0.25">
      <c r="A104" s="10">
        <v>107</v>
      </c>
      <c r="B104" s="10" t="s">
        <v>4638</v>
      </c>
      <c r="C104" s="10" t="s">
        <v>4639</v>
      </c>
      <c r="D104" s="10" t="s">
        <v>7104</v>
      </c>
      <c r="E104">
        <f t="shared" si="1"/>
        <v>0</v>
      </c>
      <c r="F104" t="str">
        <f>IF(E104=1,COUNTIF($E$2:E104,1),"")</f>
        <v/>
      </c>
      <c r="G104" t="str">
        <f>IFERROR(INDEX($C$2:$C$213,MATCH(ROWS($F$2:F104),$F$2:$F$213,0)),"")</f>
        <v/>
      </c>
    </row>
    <row r="105" spans="1:7" ht="15" x14ac:dyDescent="0.25">
      <c r="A105" s="10">
        <v>100</v>
      </c>
      <c r="B105" s="10" t="s">
        <v>4649</v>
      </c>
      <c r="C105" s="10" t="s">
        <v>4650</v>
      </c>
      <c r="D105" s="10" t="s">
        <v>7104</v>
      </c>
      <c r="E105">
        <f t="shared" si="1"/>
        <v>0</v>
      </c>
      <c r="F105" t="str">
        <f>IF(E105=1,COUNTIF($E$2:E105,1),"")</f>
        <v/>
      </c>
      <c r="G105" t="str">
        <f>IFERROR(INDEX($C$2:$C$213,MATCH(ROWS($F$2:F105),$F$2:$F$213,0)),"")</f>
        <v/>
      </c>
    </row>
    <row r="106" spans="1:7" ht="15" x14ac:dyDescent="0.25">
      <c r="A106" s="10">
        <v>110</v>
      </c>
      <c r="B106" s="10" t="s">
        <v>4660</v>
      </c>
      <c r="C106" s="10" t="s">
        <v>4661</v>
      </c>
      <c r="D106" s="10" t="s">
        <v>7104</v>
      </c>
      <c r="E106">
        <f t="shared" si="1"/>
        <v>0</v>
      </c>
      <c r="F106" t="str">
        <f>IF(E106=1,COUNTIF($E$2:E106,1),"")</f>
        <v/>
      </c>
      <c r="G106" t="str">
        <f>IFERROR(INDEX($C$2:$C$213,MATCH(ROWS($F$2:F106),$F$2:$F$213,0)),"")</f>
        <v/>
      </c>
    </row>
    <row r="107" spans="1:7" ht="15" x14ac:dyDescent="0.25">
      <c r="A107" s="10">
        <v>119</v>
      </c>
      <c r="B107" s="10" t="s">
        <v>4669</v>
      </c>
      <c r="C107" s="10" t="s">
        <v>4670</v>
      </c>
      <c r="D107" s="10" t="s">
        <v>7105</v>
      </c>
      <c r="E107">
        <f t="shared" si="1"/>
        <v>0</v>
      </c>
      <c r="F107" t="str">
        <f>IF(E107=1,COUNTIF($E$2:E107,1),"")</f>
        <v/>
      </c>
      <c r="G107" t="str">
        <f>IFERROR(INDEX($C$2:$C$213,MATCH(ROWS($F$2:F107),$F$2:$F$213,0)),"")</f>
        <v/>
      </c>
    </row>
    <row r="108" spans="1:7" ht="15" x14ac:dyDescent="0.25">
      <c r="A108" s="10">
        <v>111</v>
      </c>
      <c r="B108" s="10" t="s">
        <v>4680</v>
      </c>
      <c r="C108" s="10" t="s">
        <v>4681</v>
      </c>
      <c r="D108" s="10" t="s">
        <v>7104</v>
      </c>
      <c r="E108">
        <f t="shared" si="1"/>
        <v>0</v>
      </c>
      <c r="F108" t="str">
        <f>IF(E108=1,COUNTIF($E$2:E108,1),"")</f>
        <v/>
      </c>
      <c r="G108" t="str">
        <f>IFERROR(INDEX($C$2:$C$213,MATCH(ROWS($F$2:F108),$F$2:$F$213,0)),"")</f>
        <v/>
      </c>
    </row>
    <row r="109" spans="1:7" ht="15" x14ac:dyDescent="0.25">
      <c r="A109" s="10">
        <v>116</v>
      </c>
      <c r="B109" s="10" t="s">
        <v>4693</v>
      </c>
      <c r="C109" s="10" t="s">
        <v>4694</v>
      </c>
      <c r="D109" s="10" t="s">
        <v>7106</v>
      </c>
      <c r="E109">
        <f t="shared" si="1"/>
        <v>0</v>
      </c>
      <c r="F109" t="str">
        <f>IF(E109=1,COUNTIF($E$2:E109,1),"")</f>
        <v/>
      </c>
      <c r="G109" t="str">
        <f>IFERROR(INDEX($C$2:$C$213,MATCH(ROWS($F$2:F109),$F$2:$F$213,0)),"")</f>
        <v/>
      </c>
    </row>
    <row r="110" spans="1:7" ht="15" x14ac:dyDescent="0.25">
      <c r="A110" s="10">
        <v>190</v>
      </c>
      <c r="B110" s="10" t="s">
        <v>4702</v>
      </c>
      <c r="C110" s="10" t="s">
        <v>4703</v>
      </c>
      <c r="D110" s="10" t="s">
        <v>7104</v>
      </c>
      <c r="E110">
        <f t="shared" si="1"/>
        <v>0</v>
      </c>
      <c r="F110" t="str">
        <f>IF(E110=1,COUNTIF($E$2:E110,1),"")</f>
        <v/>
      </c>
      <c r="G110" t="str">
        <f>IFERROR(INDEX($C$2:$C$213,MATCH(ROWS($F$2:F110),$F$2:$F$213,0)),"")</f>
        <v/>
      </c>
    </row>
    <row r="111" spans="1:7" ht="15" x14ac:dyDescent="0.25">
      <c r="A111" s="10">
        <v>115</v>
      </c>
      <c r="B111" s="10" t="s">
        <v>4707</v>
      </c>
      <c r="C111" s="10" t="s">
        <v>4708</v>
      </c>
      <c r="D111" s="10" t="s">
        <v>7106</v>
      </c>
      <c r="E111">
        <f t="shared" si="1"/>
        <v>0</v>
      </c>
      <c r="F111" t="str">
        <f>IF(E111=1,COUNTIF($E$2:E111,1),"")</f>
        <v/>
      </c>
      <c r="G111" t="str">
        <f>IFERROR(INDEX($C$2:$C$213,MATCH(ROWS($F$2:F111),$F$2:$F$213,0)),"")</f>
        <v/>
      </c>
    </row>
    <row r="112" spans="1:7" ht="15" x14ac:dyDescent="0.25">
      <c r="A112" s="10">
        <v>120</v>
      </c>
      <c r="B112" s="10" t="s">
        <v>4718</v>
      </c>
      <c r="C112" s="10" t="s">
        <v>4719</v>
      </c>
      <c r="D112" s="10" t="s">
        <v>7106</v>
      </c>
      <c r="E112">
        <f t="shared" si="1"/>
        <v>0</v>
      </c>
      <c r="F112" t="str">
        <f>IF(E112=1,COUNTIF($E$2:E112,1),"")</f>
        <v/>
      </c>
      <c r="G112" t="str">
        <f>IFERROR(INDEX($C$2:$C$213,MATCH(ROWS($F$2:F112),$F$2:$F$213,0)),"")</f>
        <v/>
      </c>
    </row>
    <row r="113" spans="1:7" ht="15" x14ac:dyDescent="0.25">
      <c r="A113" s="10">
        <v>113</v>
      </c>
      <c r="B113" s="10" t="s">
        <v>4736</v>
      </c>
      <c r="C113" s="10" t="s">
        <v>4737</v>
      </c>
      <c r="D113" s="10" t="s">
        <v>7105</v>
      </c>
      <c r="E113">
        <f t="shared" si="1"/>
        <v>0</v>
      </c>
      <c r="F113" t="str">
        <f>IF(E113=1,COUNTIF($E$2:E113,1),"")</f>
        <v/>
      </c>
      <c r="G113" t="str">
        <f>IFERROR(INDEX($C$2:$C$213,MATCH(ROWS($F$2:F113),$F$2:$F$213,0)),"")</f>
        <v/>
      </c>
    </row>
    <row r="114" spans="1:7" ht="15" x14ac:dyDescent="0.25">
      <c r="A114" s="10">
        <v>117</v>
      </c>
      <c r="B114" s="10" t="s">
        <v>4745</v>
      </c>
      <c r="C114" s="10" t="s">
        <v>4746</v>
      </c>
      <c r="D114" s="10" t="s">
        <v>7105</v>
      </c>
      <c r="E114">
        <f t="shared" si="1"/>
        <v>0</v>
      </c>
      <c r="F114" t="str">
        <f>IF(E114=1,COUNTIF($E$2:E114,1),"")</f>
        <v/>
      </c>
      <c r="G114" t="str">
        <f>IFERROR(INDEX($C$2:$C$213,MATCH(ROWS($F$2:F114),$F$2:$F$213,0)),"")</f>
        <v/>
      </c>
    </row>
    <row r="115" spans="1:7" ht="15" x14ac:dyDescent="0.25">
      <c r="A115" s="10">
        <v>118</v>
      </c>
      <c r="B115" s="10" t="s">
        <v>4756</v>
      </c>
      <c r="C115" s="10" t="s">
        <v>4757</v>
      </c>
      <c r="D115" s="10" t="s">
        <v>7105</v>
      </c>
      <c r="E115">
        <f t="shared" si="1"/>
        <v>0</v>
      </c>
      <c r="F115" t="str">
        <f>IF(E115=1,COUNTIF($E$2:E115,1),"")</f>
        <v/>
      </c>
      <c r="G115" t="str">
        <f>IFERROR(INDEX($C$2:$C$213,MATCH(ROWS($F$2:F115),$F$2:$F$213,0)),"")</f>
        <v/>
      </c>
    </row>
    <row r="116" spans="1:7" ht="15" x14ac:dyDescent="0.25">
      <c r="A116" s="10">
        <v>127</v>
      </c>
      <c r="B116" s="10" t="s">
        <v>4765</v>
      </c>
      <c r="C116" s="10" t="s">
        <v>4766</v>
      </c>
      <c r="D116" s="10" t="s">
        <v>7105</v>
      </c>
      <c r="E116">
        <f t="shared" si="1"/>
        <v>0</v>
      </c>
      <c r="F116" t="str">
        <f>IF(E116=1,COUNTIF($E$2:E116,1),"")</f>
        <v/>
      </c>
      <c r="G116" t="str">
        <f>IFERROR(INDEX($C$2:$C$213,MATCH(ROWS($F$2:F116),$F$2:$F$213,0)),"")</f>
        <v/>
      </c>
    </row>
    <row r="117" spans="1:7" ht="15" x14ac:dyDescent="0.25">
      <c r="A117" s="10">
        <v>125</v>
      </c>
      <c r="B117" s="10" t="s">
        <v>4776</v>
      </c>
      <c r="C117" s="10" t="s">
        <v>4777</v>
      </c>
      <c r="D117" s="10" t="s">
        <v>7110</v>
      </c>
      <c r="E117">
        <f t="shared" si="1"/>
        <v>0</v>
      </c>
      <c r="F117" t="str">
        <f>IF(E117=1,COUNTIF($E$2:E117,1),"")</f>
        <v/>
      </c>
      <c r="G117" t="str">
        <f>IFERROR(INDEX($C$2:$C$213,MATCH(ROWS($F$2:F117),$F$2:$F$213,0)),"")</f>
        <v/>
      </c>
    </row>
    <row r="118" spans="1:7" ht="15" x14ac:dyDescent="0.25">
      <c r="A118" s="10">
        <v>171</v>
      </c>
      <c r="B118" s="10" t="s">
        <v>4786</v>
      </c>
      <c r="C118" s="10" t="s">
        <v>4787</v>
      </c>
      <c r="D118" s="10" t="s">
        <v>7110</v>
      </c>
      <c r="E118">
        <f t="shared" si="1"/>
        <v>0</v>
      </c>
      <c r="F118" t="str">
        <f>IF(E118=1,COUNTIF($E$2:E118,1),"")</f>
        <v/>
      </c>
      <c r="G118" t="str">
        <f>IFERROR(INDEX($C$2:$C$213,MATCH(ROWS($F$2:F118),$F$2:$F$213,0)),"")</f>
        <v/>
      </c>
    </row>
    <row r="119" spans="1:7" ht="15" x14ac:dyDescent="0.25">
      <c r="A119" s="10">
        <v>137</v>
      </c>
      <c r="B119" s="10" t="s">
        <v>4790</v>
      </c>
      <c r="C119" s="10" t="s">
        <v>4791</v>
      </c>
      <c r="D119" s="10" t="s">
        <v>7106</v>
      </c>
      <c r="E119">
        <f t="shared" si="1"/>
        <v>0</v>
      </c>
      <c r="F119" t="str">
        <f>IF(E119=1,COUNTIF($E$2:E119,1),"")</f>
        <v/>
      </c>
      <c r="G119" t="str">
        <f>IFERROR(INDEX($C$2:$C$213,MATCH(ROWS($F$2:F119),$F$2:$F$213,0)),"")</f>
        <v/>
      </c>
    </row>
    <row r="120" spans="1:7" ht="15" x14ac:dyDescent="0.25">
      <c r="A120" s="10">
        <v>139</v>
      </c>
      <c r="B120" s="10" t="s">
        <v>4803</v>
      </c>
      <c r="C120" s="10" t="s">
        <v>4804</v>
      </c>
      <c r="D120" s="10" t="s">
        <v>7104</v>
      </c>
      <c r="E120">
        <f t="shared" si="1"/>
        <v>0</v>
      </c>
      <c r="F120" t="str">
        <f>IF(E120=1,COUNTIF($E$2:E120,1),"")</f>
        <v/>
      </c>
      <c r="G120" t="str">
        <f>IFERROR(INDEX($C$2:$C$213,MATCH(ROWS($F$2:F120),$F$2:$F$213,0)),"")</f>
        <v/>
      </c>
    </row>
    <row r="121" spans="1:7" ht="15" x14ac:dyDescent="0.25">
      <c r="A121" s="10">
        <v>136</v>
      </c>
      <c r="B121" s="10" t="s">
        <v>4853</v>
      </c>
      <c r="C121" s="10" t="s">
        <v>4854</v>
      </c>
      <c r="D121" s="10" t="s">
        <v>7110</v>
      </c>
      <c r="E121">
        <f t="shared" si="1"/>
        <v>0</v>
      </c>
      <c r="F121" t="str">
        <f>IF(E121=1,COUNTIF($E$2:E121,1),"")</f>
        <v/>
      </c>
      <c r="G121" t="str">
        <f>IFERROR(INDEX($C$2:$C$213,MATCH(ROWS($F$2:F121),$F$2:$F$213,0)),"")</f>
        <v/>
      </c>
    </row>
    <row r="122" spans="1:7" ht="15" x14ac:dyDescent="0.25">
      <c r="A122" s="10">
        <v>128</v>
      </c>
      <c r="B122" s="10" t="s">
        <v>4862</v>
      </c>
      <c r="C122" s="10" t="s">
        <v>4863</v>
      </c>
      <c r="D122" s="10" t="s">
        <v>7106</v>
      </c>
      <c r="E122">
        <f t="shared" si="1"/>
        <v>0</v>
      </c>
      <c r="F122" t="str">
        <f>IF(E122=1,COUNTIF($E$2:E122,1),"")</f>
        <v/>
      </c>
      <c r="G122" t="str">
        <f>IFERROR(INDEX($C$2:$C$213,MATCH(ROWS($F$2:F122),$F$2:$F$213,0)),"")</f>
        <v/>
      </c>
    </row>
    <row r="123" spans="1:7" ht="15" x14ac:dyDescent="0.25">
      <c r="A123" s="10">
        <v>134</v>
      </c>
      <c r="B123" s="10" t="s">
        <v>4873</v>
      </c>
      <c r="C123" s="10" t="s">
        <v>4874</v>
      </c>
      <c r="D123" s="10" t="s">
        <v>7105</v>
      </c>
      <c r="E123">
        <f t="shared" si="1"/>
        <v>0</v>
      </c>
      <c r="F123" t="str">
        <f>IF(E123=1,COUNTIF($E$2:E123,1),"")</f>
        <v/>
      </c>
      <c r="G123" t="str">
        <f>IFERROR(INDEX($C$2:$C$213,MATCH(ROWS($F$2:F123),$F$2:$F$213,0)),"")</f>
        <v/>
      </c>
    </row>
    <row r="124" spans="1:7" ht="15" x14ac:dyDescent="0.25">
      <c r="A124" s="10">
        <v>126</v>
      </c>
      <c r="B124" s="10" t="s">
        <v>4882</v>
      </c>
      <c r="C124" s="10" t="s">
        <v>4883</v>
      </c>
      <c r="D124" s="10" t="s">
        <v>7107</v>
      </c>
      <c r="E124">
        <f t="shared" si="1"/>
        <v>0</v>
      </c>
      <c r="F124" t="str">
        <f>IF(E124=1,COUNTIF($E$2:E124,1),"")</f>
        <v/>
      </c>
      <c r="G124" t="str">
        <f>IFERROR(INDEX($C$2:$C$213,MATCH(ROWS($F$2:F124),$F$2:$F$213,0)),"")</f>
        <v/>
      </c>
    </row>
    <row r="125" spans="1:7" ht="15" x14ac:dyDescent="0.25">
      <c r="A125" s="10">
        <v>132</v>
      </c>
      <c r="B125" s="10" t="s">
        <v>4887</v>
      </c>
      <c r="C125" s="10" t="s">
        <v>4888</v>
      </c>
      <c r="D125" s="10" t="s">
        <v>7108</v>
      </c>
      <c r="E125">
        <f t="shared" si="1"/>
        <v>0</v>
      </c>
      <c r="F125" t="str">
        <f>IF(E125=1,COUNTIF($E$2:E125,1),"")</f>
        <v/>
      </c>
      <c r="G125" t="str">
        <f>IFERROR(INDEX($C$2:$C$213,MATCH(ROWS($F$2:F125),$F$2:$F$213,0)),"")</f>
        <v/>
      </c>
    </row>
    <row r="126" spans="1:7" ht="15" x14ac:dyDescent="0.25">
      <c r="A126" s="10">
        <v>133</v>
      </c>
      <c r="B126" s="10" t="s">
        <v>4896</v>
      </c>
      <c r="C126" s="10" t="s">
        <v>4897</v>
      </c>
      <c r="D126" s="10" t="s">
        <v>7106</v>
      </c>
      <c r="E126">
        <f t="shared" si="1"/>
        <v>0</v>
      </c>
      <c r="F126" t="str">
        <f>IF(E126=1,COUNTIF($E$2:E126,1),"")</f>
        <v/>
      </c>
      <c r="G126" t="str">
        <f>IFERROR(INDEX($C$2:$C$213,MATCH(ROWS($F$2:F126),$F$2:$F$213,0)),"")</f>
        <v/>
      </c>
    </row>
    <row r="127" spans="1:7" ht="15" x14ac:dyDescent="0.25">
      <c r="A127" s="10">
        <v>135</v>
      </c>
      <c r="B127" s="10" t="s">
        <v>4901</v>
      </c>
      <c r="C127" s="10" t="s">
        <v>4902</v>
      </c>
      <c r="D127" s="10" t="s">
        <v>7110</v>
      </c>
      <c r="E127">
        <f t="shared" si="1"/>
        <v>0</v>
      </c>
      <c r="F127" t="str">
        <f>IF(E127=1,COUNTIF($E$2:E127,1),"")</f>
        <v/>
      </c>
      <c r="G127" t="str">
        <f>IFERROR(INDEX($C$2:$C$213,MATCH(ROWS($F$2:F127),$F$2:$F$213,0)),"")</f>
        <v/>
      </c>
    </row>
    <row r="128" spans="1:7" ht="15" x14ac:dyDescent="0.25">
      <c r="A128" s="10">
        <v>209</v>
      </c>
      <c r="B128" s="10" t="s">
        <v>4910</v>
      </c>
      <c r="C128" s="10" t="s">
        <v>4911</v>
      </c>
      <c r="D128" s="10" t="s">
        <v>7110</v>
      </c>
      <c r="E128">
        <f t="shared" si="1"/>
        <v>0</v>
      </c>
      <c r="F128" t="str">
        <f>IF(E128=1,COUNTIF($E$2:E128,1),"")</f>
        <v/>
      </c>
      <c r="G128" t="str">
        <f>IFERROR(INDEX($C$2:$C$213,MATCH(ROWS($F$2:F128),$F$2:$F$213,0)),"")</f>
        <v/>
      </c>
    </row>
    <row r="129" spans="1:7" ht="15" x14ac:dyDescent="0.25">
      <c r="A129" s="10">
        <v>138</v>
      </c>
      <c r="B129" s="10" t="s">
        <v>4919</v>
      </c>
      <c r="C129" s="10" t="s">
        <v>4920</v>
      </c>
      <c r="D129" s="10" t="s">
        <v>7108</v>
      </c>
      <c r="E129">
        <f t="shared" si="1"/>
        <v>0</v>
      </c>
      <c r="F129" t="str">
        <f>IF(E129=1,COUNTIF($E$2:E129,1),"")</f>
        <v/>
      </c>
      <c r="G129" t="str">
        <f>IFERROR(INDEX($C$2:$C$213,MATCH(ROWS($F$2:F129),$F$2:$F$213,0)),"")</f>
        <v/>
      </c>
    </row>
    <row r="130" spans="1:7" ht="15" x14ac:dyDescent="0.25">
      <c r="A130" s="10">
        <v>158</v>
      </c>
      <c r="B130" s="10" t="s">
        <v>5064</v>
      </c>
      <c r="C130" s="10" t="s">
        <v>5065</v>
      </c>
      <c r="D130" s="10" t="s">
        <v>7108</v>
      </c>
      <c r="E130">
        <f t="shared" si="1"/>
        <v>0</v>
      </c>
      <c r="F130" t="str">
        <f>IF(E130=1,COUNTIF($E$2:E130,1),"")</f>
        <v/>
      </c>
      <c r="G130" t="str">
        <f>IFERROR(INDEX($C$2:$C$213,MATCH(ROWS($F$2:F130),$F$2:$F$213,0)),"")</f>
        <v/>
      </c>
    </row>
    <row r="131" spans="1:7" ht="15" x14ac:dyDescent="0.25">
      <c r="A131" s="10">
        <v>123</v>
      </c>
      <c r="B131" s="10" t="s">
        <v>5069</v>
      </c>
      <c r="C131" s="10" t="s">
        <v>5070</v>
      </c>
      <c r="D131" s="10" t="s">
        <v>7105</v>
      </c>
      <c r="E131">
        <f t="shared" ref="E131:E194" si="2">--ISNUMBER(IFERROR(SEARCH($I$2,C131,1),""))</f>
        <v>0</v>
      </c>
      <c r="F131" t="str">
        <f>IF(E131=1,COUNTIF($E$2:E131,1),"")</f>
        <v/>
      </c>
      <c r="G131" t="str">
        <f>IFERROR(INDEX($C$2:$C$213,MATCH(ROWS($F$2:F131),$F$2:$F$213,0)),"")</f>
        <v/>
      </c>
    </row>
    <row r="132" spans="1:7" ht="15" x14ac:dyDescent="0.25">
      <c r="A132" s="10">
        <v>122</v>
      </c>
      <c r="B132" s="10" t="s">
        <v>5080</v>
      </c>
      <c r="C132" s="10" t="s">
        <v>5081</v>
      </c>
      <c r="D132" s="10" t="s">
        <v>7105</v>
      </c>
      <c r="E132">
        <f t="shared" si="2"/>
        <v>0</v>
      </c>
      <c r="F132" t="str">
        <f>IF(E132=1,COUNTIF($E$2:E132,1),"")</f>
        <v/>
      </c>
      <c r="G132" t="str">
        <f>IFERROR(INDEX($C$2:$C$213,MATCH(ROWS($F$2:F132),$F$2:$F$213,0)),"")</f>
        <v/>
      </c>
    </row>
    <row r="133" spans="1:7" ht="15" x14ac:dyDescent="0.25">
      <c r="A133" s="10">
        <v>130</v>
      </c>
      <c r="B133" s="10" t="s">
        <v>5087</v>
      </c>
      <c r="C133" s="10" t="s">
        <v>5088</v>
      </c>
      <c r="D133" s="10" t="s">
        <v>7104</v>
      </c>
      <c r="E133">
        <f t="shared" si="2"/>
        <v>0</v>
      </c>
      <c r="F133" t="str">
        <f>IF(E133=1,COUNTIF($E$2:E133,1),"")</f>
        <v/>
      </c>
      <c r="G133" t="str">
        <f>IFERROR(INDEX($C$2:$C$213,MATCH(ROWS($F$2:F133),$F$2:$F$213,0)),"")</f>
        <v/>
      </c>
    </row>
    <row r="134" spans="1:7" ht="15" x14ac:dyDescent="0.25">
      <c r="A134" s="10">
        <v>124</v>
      </c>
      <c r="B134" s="10" t="s">
        <v>5096</v>
      </c>
      <c r="C134" s="10" t="s">
        <v>5097</v>
      </c>
      <c r="D134" s="10" t="s">
        <v>7105</v>
      </c>
      <c r="E134">
        <f t="shared" si="2"/>
        <v>0</v>
      </c>
      <c r="F134" t="str">
        <f>IF(E134=1,COUNTIF($E$2:E134,1),"")</f>
        <v/>
      </c>
      <c r="G134" t="str">
        <f>IFERROR(INDEX($C$2:$C$213,MATCH(ROWS($F$2:F134),$F$2:$F$213,0)),"")</f>
        <v/>
      </c>
    </row>
    <row r="135" spans="1:7" ht="15" x14ac:dyDescent="0.25">
      <c r="A135" s="10">
        <v>121</v>
      </c>
      <c r="B135" s="10" t="s">
        <v>5105</v>
      </c>
      <c r="C135" s="10" t="s">
        <v>5106</v>
      </c>
      <c r="D135" s="10" t="s">
        <v>7106</v>
      </c>
      <c r="E135">
        <f t="shared" si="2"/>
        <v>0</v>
      </c>
      <c r="F135" t="str">
        <f>IF(E135=1,COUNTIF($E$2:E135,1),"")</f>
        <v/>
      </c>
      <c r="G135" t="str">
        <f>IFERROR(INDEX($C$2:$C$213,MATCH(ROWS($F$2:F135),$F$2:$F$213,0)),"")</f>
        <v/>
      </c>
    </row>
    <row r="136" spans="1:7" ht="15" x14ac:dyDescent="0.25">
      <c r="A136" s="10">
        <v>140</v>
      </c>
      <c r="B136" s="10" t="s">
        <v>5136</v>
      </c>
      <c r="C136" s="10" t="s">
        <v>5137</v>
      </c>
      <c r="D136" s="10" t="s">
        <v>7106</v>
      </c>
      <c r="E136">
        <f t="shared" si="2"/>
        <v>0</v>
      </c>
      <c r="F136" t="str">
        <f>IF(E136=1,COUNTIF($E$2:E136,1),"")</f>
        <v/>
      </c>
      <c r="G136" t="str">
        <f>IFERROR(INDEX($C$2:$C$213,MATCH(ROWS($F$2:F136),$F$2:$F$213,0)),"")</f>
        <v/>
      </c>
    </row>
    <row r="137" spans="1:7" ht="15" x14ac:dyDescent="0.25">
      <c r="A137" s="10">
        <v>141</v>
      </c>
      <c r="B137" s="10" t="s">
        <v>5157</v>
      </c>
      <c r="C137" s="10" t="s">
        <v>4622</v>
      </c>
      <c r="D137" s="10" t="s">
        <v>7106</v>
      </c>
      <c r="E137">
        <f t="shared" si="2"/>
        <v>0</v>
      </c>
      <c r="F137" t="str">
        <f>IF(E137=1,COUNTIF($E$2:E137,1),"")</f>
        <v/>
      </c>
      <c r="G137" t="str">
        <f>IFERROR(INDEX($C$2:$C$213,MATCH(ROWS($F$2:F137),$F$2:$F$213,0)),"")</f>
        <v/>
      </c>
    </row>
    <row r="138" spans="1:7" ht="15" x14ac:dyDescent="0.25">
      <c r="A138" s="10">
        <v>148</v>
      </c>
      <c r="B138" s="10" t="s">
        <v>5166</v>
      </c>
      <c r="C138" s="10" t="s">
        <v>5167</v>
      </c>
      <c r="D138" s="10" t="s">
        <v>7104</v>
      </c>
      <c r="E138">
        <f t="shared" si="2"/>
        <v>0</v>
      </c>
      <c r="F138" t="str">
        <f>IF(E138=1,COUNTIF($E$2:E138,1),"")</f>
        <v/>
      </c>
      <c r="G138" t="str">
        <f>IFERROR(INDEX($C$2:$C$213,MATCH(ROWS($F$2:F138),$F$2:$F$213,0)),"")</f>
        <v/>
      </c>
    </row>
    <row r="139" spans="1:7" ht="15" x14ac:dyDescent="0.25">
      <c r="A139" s="10">
        <v>146</v>
      </c>
      <c r="B139" s="10" t="s">
        <v>5177</v>
      </c>
      <c r="C139" s="10" t="s">
        <v>5178</v>
      </c>
      <c r="D139" s="10" t="s">
        <v>7105</v>
      </c>
      <c r="E139">
        <f t="shared" si="2"/>
        <v>0</v>
      </c>
      <c r="F139" t="str">
        <f>IF(E139=1,COUNTIF($E$2:E139,1),"")</f>
        <v/>
      </c>
      <c r="G139" t="str">
        <f>IFERROR(INDEX($C$2:$C$213,MATCH(ROWS($F$2:F139),$F$2:$F$213,0)),"")</f>
        <v/>
      </c>
    </row>
    <row r="140" spans="1:7" ht="15" x14ac:dyDescent="0.25">
      <c r="A140" s="10">
        <v>142</v>
      </c>
      <c r="B140" s="10" t="s">
        <v>5196</v>
      </c>
      <c r="C140" s="10" t="s">
        <v>5197</v>
      </c>
      <c r="D140" s="10" t="s">
        <v>7107</v>
      </c>
      <c r="E140">
        <f t="shared" si="2"/>
        <v>0</v>
      </c>
      <c r="F140" t="str">
        <f>IF(E140=1,COUNTIF($E$2:E140,1),"")</f>
        <v/>
      </c>
      <c r="G140" t="str">
        <f>IFERROR(INDEX($C$2:$C$213,MATCH(ROWS($F$2:F140),$F$2:$F$213,0)),"")</f>
        <v/>
      </c>
    </row>
    <row r="141" spans="1:7" ht="15" x14ac:dyDescent="0.25">
      <c r="A141" s="10">
        <v>149</v>
      </c>
      <c r="B141" s="10" t="s">
        <v>5204</v>
      </c>
      <c r="C141" s="10" t="s">
        <v>5205</v>
      </c>
      <c r="D141" s="10" t="s">
        <v>7107</v>
      </c>
      <c r="E141">
        <f t="shared" si="2"/>
        <v>0</v>
      </c>
      <c r="F141" t="str">
        <f>IF(E141=1,COUNTIF($E$2:E141,1),"")</f>
        <v/>
      </c>
      <c r="G141" t="str">
        <f>IFERROR(INDEX($C$2:$C$213,MATCH(ROWS($F$2:F141),$F$2:$F$213,0)),"")</f>
        <v/>
      </c>
    </row>
    <row r="142" spans="1:7" ht="15" x14ac:dyDescent="0.25">
      <c r="A142" s="10">
        <v>145</v>
      </c>
      <c r="B142" s="10" t="s">
        <v>5219</v>
      </c>
      <c r="C142" s="10" t="s">
        <v>5220</v>
      </c>
      <c r="D142" s="10" t="s">
        <v>7108</v>
      </c>
      <c r="E142">
        <f t="shared" si="2"/>
        <v>0</v>
      </c>
      <c r="F142" t="str">
        <f>IF(E142=1,COUNTIF($E$2:E142,1),"")</f>
        <v/>
      </c>
      <c r="G142" t="str">
        <f>IFERROR(INDEX($C$2:$C$213,MATCH(ROWS($F$2:F142),$F$2:$F$213,0)),"")</f>
        <v/>
      </c>
    </row>
    <row r="143" spans="1:7" ht="15" x14ac:dyDescent="0.25">
      <c r="A143" s="10">
        <v>143</v>
      </c>
      <c r="B143" s="10" t="s">
        <v>5230</v>
      </c>
      <c r="C143" s="10" t="s">
        <v>5231</v>
      </c>
      <c r="D143" s="10" t="s">
        <v>7106</v>
      </c>
      <c r="E143">
        <f t="shared" si="2"/>
        <v>0</v>
      </c>
      <c r="F143" t="str">
        <f>IF(E143=1,COUNTIF($E$2:E143,1),"")</f>
        <v/>
      </c>
      <c r="G143" t="str">
        <f>IFERROR(INDEX($C$2:$C$213,MATCH(ROWS($F$2:F143),$F$2:$F$213,0)),"")</f>
        <v/>
      </c>
    </row>
    <row r="144" spans="1:7" ht="15" x14ac:dyDescent="0.25">
      <c r="A144" s="10">
        <v>144</v>
      </c>
      <c r="B144" s="10" t="s">
        <v>5241</v>
      </c>
      <c r="C144" s="10" t="s">
        <v>5242</v>
      </c>
      <c r="D144" s="10" t="s">
        <v>7106</v>
      </c>
      <c r="E144">
        <f t="shared" si="2"/>
        <v>0</v>
      </c>
      <c r="F144" t="str">
        <f>IF(E144=1,COUNTIF($E$2:E144,1),"")</f>
        <v/>
      </c>
      <c r="G144" t="str">
        <f>IFERROR(INDEX($C$2:$C$213,MATCH(ROWS($F$2:F144),$F$2:$F$213,0)),"")</f>
        <v/>
      </c>
    </row>
    <row r="145" spans="1:7" ht="15" x14ac:dyDescent="0.25">
      <c r="A145" s="10">
        <v>105</v>
      </c>
      <c r="B145" s="10" t="s">
        <v>5334</v>
      </c>
      <c r="C145" s="10" t="s">
        <v>5335</v>
      </c>
      <c r="D145" s="10" t="s">
        <v>7104</v>
      </c>
      <c r="E145">
        <f t="shared" si="2"/>
        <v>0</v>
      </c>
      <c r="F145" t="str">
        <f>IF(E145=1,COUNTIF($E$2:E145,1),"")</f>
        <v/>
      </c>
      <c r="G145" t="str">
        <f>IFERROR(INDEX($C$2:$C$213,MATCH(ROWS($F$2:F145),$F$2:$F$213,0)),"")</f>
        <v/>
      </c>
    </row>
    <row r="146" spans="1:7" ht="15" x14ac:dyDescent="0.25">
      <c r="A146" s="10">
        <v>131</v>
      </c>
      <c r="B146" s="10" t="s">
        <v>5361</v>
      </c>
      <c r="C146" s="10" t="s">
        <v>5362</v>
      </c>
      <c r="D146" s="10" t="s">
        <v>7107</v>
      </c>
      <c r="E146">
        <f t="shared" si="2"/>
        <v>0</v>
      </c>
      <c r="F146" t="str">
        <f>IF(E146=1,COUNTIF($E$2:E146,1),"")</f>
        <v/>
      </c>
      <c r="G146" t="str">
        <f>IFERROR(INDEX($C$2:$C$213,MATCH(ROWS($F$2:F146),$F$2:$F$213,0)),"")</f>
        <v/>
      </c>
    </row>
    <row r="147" spans="1:7" ht="15" x14ac:dyDescent="0.25">
      <c r="A147" s="10">
        <v>147</v>
      </c>
      <c r="B147" s="10" t="s">
        <v>5366</v>
      </c>
      <c r="C147" s="10" t="s">
        <v>5367</v>
      </c>
      <c r="D147" s="10" t="s">
        <v>7105</v>
      </c>
      <c r="E147">
        <f t="shared" si="2"/>
        <v>0</v>
      </c>
      <c r="F147" t="str">
        <f>IF(E147=1,COUNTIF($E$2:E147,1),"")</f>
        <v/>
      </c>
      <c r="G147" t="str">
        <f>IFERROR(INDEX($C$2:$C$213,MATCH(ROWS($F$2:F147),$F$2:$F$213,0)),"")</f>
        <v/>
      </c>
    </row>
    <row r="148" spans="1:7" ht="15" x14ac:dyDescent="0.25">
      <c r="A148" s="10">
        <v>150</v>
      </c>
      <c r="B148" s="10" t="s">
        <v>5379</v>
      </c>
      <c r="C148" s="10" t="s">
        <v>5380</v>
      </c>
      <c r="D148" s="10" t="s">
        <v>7104</v>
      </c>
      <c r="E148">
        <f t="shared" si="2"/>
        <v>0</v>
      </c>
      <c r="F148" t="str">
        <f>IF(E148=1,COUNTIF($E$2:E148,1),"")</f>
        <v/>
      </c>
      <c r="G148" t="str">
        <f>IFERROR(INDEX($C$2:$C$213,MATCH(ROWS($F$2:F148),$F$2:$F$213,0)),"")</f>
        <v/>
      </c>
    </row>
    <row r="149" spans="1:7" ht="15" x14ac:dyDescent="0.25">
      <c r="A149" s="10">
        <v>156</v>
      </c>
      <c r="B149" s="10" t="s">
        <v>5392</v>
      </c>
      <c r="C149" s="10" t="s">
        <v>5393</v>
      </c>
      <c r="D149" s="10" t="s">
        <v>7104</v>
      </c>
      <c r="E149">
        <f t="shared" si="2"/>
        <v>0</v>
      </c>
      <c r="F149" t="str">
        <f>IF(E149=1,COUNTIF($E$2:E149,1),"")</f>
        <v/>
      </c>
      <c r="G149" t="str">
        <f>IFERROR(INDEX($C$2:$C$213,MATCH(ROWS($F$2:F149),$F$2:$F$213,0)),"")</f>
        <v/>
      </c>
    </row>
    <row r="150" spans="1:7" ht="15" x14ac:dyDescent="0.25">
      <c r="A150" s="10">
        <v>151</v>
      </c>
      <c r="B150" s="10" t="s">
        <v>5454</v>
      </c>
      <c r="C150" s="10" t="s">
        <v>5453</v>
      </c>
      <c r="D150" s="10" t="s">
        <v>7108</v>
      </c>
      <c r="E150">
        <f t="shared" si="2"/>
        <v>0</v>
      </c>
      <c r="F150" t="str">
        <f>IF(E150=1,COUNTIF($E$2:E150,1),"")</f>
        <v/>
      </c>
      <c r="G150" t="str">
        <f>IFERROR(INDEX($C$2:$C$213,MATCH(ROWS($F$2:F150),$F$2:$F$213,0)),"")</f>
        <v/>
      </c>
    </row>
    <row r="151" spans="1:7" ht="15" x14ac:dyDescent="0.25">
      <c r="A151" s="10">
        <v>154</v>
      </c>
      <c r="B151" s="10" t="s">
        <v>5465</v>
      </c>
      <c r="C151" s="10" t="s">
        <v>5466</v>
      </c>
      <c r="D151" s="10" t="s">
        <v>7107</v>
      </c>
      <c r="E151">
        <f t="shared" si="2"/>
        <v>0</v>
      </c>
      <c r="F151" t="str">
        <f>IF(E151=1,COUNTIF($E$2:E151,1),"")</f>
        <v/>
      </c>
      <c r="G151" t="str">
        <f>IFERROR(INDEX($C$2:$C$213,MATCH(ROWS($F$2:F151),$F$2:$F$213,0)),"")</f>
        <v/>
      </c>
    </row>
    <row r="152" spans="1:7" ht="15" x14ac:dyDescent="0.25">
      <c r="A152" s="10">
        <v>162</v>
      </c>
      <c r="B152" s="10" t="s">
        <v>5476</v>
      </c>
      <c r="C152" s="10" t="s">
        <v>5477</v>
      </c>
      <c r="D152" s="10" t="s">
        <v>7108</v>
      </c>
      <c r="E152">
        <f t="shared" si="2"/>
        <v>0</v>
      </c>
      <c r="F152" t="str">
        <f>IF(E152=1,COUNTIF($E$2:E152,1),"")</f>
        <v/>
      </c>
      <c r="G152" t="str">
        <f>IFERROR(INDEX($C$2:$C$213,MATCH(ROWS($F$2:F152),$F$2:$F$213,0)),"")</f>
        <v/>
      </c>
    </row>
    <row r="153" spans="1:7" ht="15" x14ac:dyDescent="0.25">
      <c r="A153" s="10">
        <v>152</v>
      </c>
      <c r="B153" s="10" t="s">
        <v>5487</v>
      </c>
      <c r="C153" s="10" t="s">
        <v>5488</v>
      </c>
      <c r="D153" s="10" t="s">
        <v>7108</v>
      </c>
      <c r="E153">
        <f t="shared" si="2"/>
        <v>0</v>
      </c>
      <c r="F153" t="str">
        <f>IF(E153=1,COUNTIF($E$2:E153,1),"")</f>
        <v/>
      </c>
      <c r="G153" t="str">
        <f>IFERROR(INDEX($C$2:$C$213,MATCH(ROWS($F$2:F153),$F$2:$F$213,0)),"")</f>
        <v/>
      </c>
    </row>
    <row r="154" spans="1:7" ht="15" x14ac:dyDescent="0.25">
      <c r="A154" s="10">
        <v>155</v>
      </c>
      <c r="B154" s="10" t="s">
        <v>5524</v>
      </c>
      <c r="C154" s="10" t="s">
        <v>5525</v>
      </c>
      <c r="D154" s="10" t="s">
        <v>7104</v>
      </c>
      <c r="E154">
        <f t="shared" si="2"/>
        <v>0</v>
      </c>
      <c r="F154" t="str">
        <f>IF(E154=1,COUNTIF($E$2:E154,1),"")</f>
        <v/>
      </c>
      <c r="G154" t="str">
        <f>IFERROR(INDEX($C$2:$C$213,MATCH(ROWS($F$2:F154),$F$2:$F$213,0)),"")</f>
        <v/>
      </c>
    </row>
    <row r="155" spans="1:7" ht="15" x14ac:dyDescent="0.25">
      <c r="A155" s="10">
        <v>157</v>
      </c>
      <c r="B155" s="10" t="s">
        <v>5590</v>
      </c>
      <c r="C155" s="10" t="s">
        <v>5591</v>
      </c>
      <c r="D155" s="10" t="s">
        <v>7105</v>
      </c>
      <c r="E155">
        <f t="shared" si="2"/>
        <v>0</v>
      </c>
      <c r="F155" t="str">
        <f>IF(E155=1,COUNTIF($E$2:E155,1),"")</f>
        <v/>
      </c>
      <c r="G155" t="str">
        <f>IFERROR(INDEX($C$2:$C$213,MATCH(ROWS($F$2:F155),$F$2:$F$213,0)),"")</f>
        <v/>
      </c>
    </row>
    <row r="156" spans="1:7" ht="15" x14ac:dyDescent="0.25">
      <c r="A156" s="10">
        <v>64</v>
      </c>
      <c r="B156" s="10" t="s">
        <v>694</v>
      </c>
      <c r="C156" s="10" t="s">
        <v>5633</v>
      </c>
      <c r="D156" s="10" t="s">
        <v>7107</v>
      </c>
      <c r="E156">
        <f t="shared" si="2"/>
        <v>0</v>
      </c>
      <c r="F156" t="str">
        <f>IF(E156=1,COUNTIF($E$2:E156,1),"")</f>
        <v/>
      </c>
      <c r="G156" t="str">
        <f>IFERROR(INDEX($C$2:$C$213,MATCH(ROWS($F$2:F156),$F$2:$F$213,0)),"")</f>
        <v/>
      </c>
    </row>
    <row r="157" spans="1:7" ht="15" x14ac:dyDescent="0.25">
      <c r="A157" s="10">
        <v>161</v>
      </c>
      <c r="B157" s="10" t="s">
        <v>5642</v>
      </c>
      <c r="C157" s="10" t="s">
        <v>5643</v>
      </c>
      <c r="D157" s="10" t="s">
        <v>7105</v>
      </c>
      <c r="E157">
        <f t="shared" si="2"/>
        <v>0</v>
      </c>
      <c r="F157" t="str">
        <f>IF(E157=1,COUNTIF($E$2:E157,1),"")</f>
        <v/>
      </c>
      <c r="G157" t="str">
        <f>IFERROR(INDEX($C$2:$C$213,MATCH(ROWS($F$2:F157),$F$2:$F$213,0)),"")</f>
        <v/>
      </c>
    </row>
    <row r="158" spans="1:7" ht="15" x14ac:dyDescent="0.25">
      <c r="A158" s="10">
        <v>159</v>
      </c>
      <c r="B158" s="10" t="s">
        <v>5655</v>
      </c>
      <c r="C158" s="10" t="s">
        <v>5656</v>
      </c>
      <c r="D158" s="10" t="s">
        <v>7108</v>
      </c>
      <c r="E158">
        <f t="shared" si="2"/>
        <v>0</v>
      </c>
      <c r="F158" t="str">
        <f>IF(E158=1,COUNTIF($E$2:E158,1),"")</f>
        <v/>
      </c>
      <c r="G158" t="str">
        <f>IFERROR(INDEX($C$2:$C$213,MATCH(ROWS($F$2:F158),$F$2:$F$213,0)),"")</f>
        <v/>
      </c>
    </row>
    <row r="159" spans="1:7" ht="15" x14ac:dyDescent="0.25">
      <c r="A159" s="10">
        <v>163</v>
      </c>
      <c r="B159" s="10" t="s">
        <v>5669</v>
      </c>
      <c r="C159" s="10" t="s">
        <v>5670</v>
      </c>
      <c r="D159" s="10" t="s">
        <v>7104</v>
      </c>
      <c r="E159">
        <f t="shared" si="2"/>
        <v>0</v>
      </c>
      <c r="F159" t="str">
        <f>IF(E159=1,COUNTIF($E$2:E159,1),"")</f>
        <v/>
      </c>
      <c r="G159" t="str">
        <f>IFERROR(INDEX($C$2:$C$213,MATCH(ROWS($F$2:F159),$F$2:$F$213,0)),"")</f>
        <v/>
      </c>
    </row>
    <row r="160" spans="1:7" ht="15" x14ac:dyDescent="0.25">
      <c r="A160" s="10">
        <v>164</v>
      </c>
      <c r="B160" s="10" t="s">
        <v>5679</v>
      </c>
      <c r="C160" s="10" t="s">
        <v>5680</v>
      </c>
      <c r="D160" s="10" t="s">
        <v>7110</v>
      </c>
      <c r="E160">
        <f t="shared" si="2"/>
        <v>0</v>
      </c>
      <c r="F160" t="str">
        <f>IF(E160=1,COUNTIF($E$2:E160,1),"")</f>
        <v/>
      </c>
      <c r="G160" t="str">
        <f>IFERROR(INDEX($C$2:$C$213,MATCH(ROWS($F$2:F160),$F$2:$F$213,0)),"")</f>
        <v/>
      </c>
    </row>
    <row r="161" spans="1:7" ht="15" x14ac:dyDescent="0.25">
      <c r="A161" s="10">
        <v>165</v>
      </c>
      <c r="B161" s="10" t="s">
        <v>5688</v>
      </c>
      <c r="C161" s="10" t="s">
        <v>5689</v>
      </c>
      <c r="D161" s="10" t="s">
        <v>7105</v>
      </c>
      <c r="E161">
        <f t="shared" si="2"/>
        <v>0</v>
      </c>
      <c r="F161" t="str">
        <f>IF(E161=1,COUNTIF($E$2:E161,1),"")</f>
        <v/>
      </c>
      <c r="G161" t="str">
        <f>IFERROR(INDEX($C$2:$C$213,MATCH(ROWS($F$2:F161),$F$2:$F$213,0)),"")</f>
        <v/>
      </c>
    </row>
    <row r="162" spans="1:7" ht="15" x14ac:dyDescent="0.25">
      <c r="A162" s="10">
        <v>167</v>
      </c>
      <c r="B162" s="10" t="s">
        <v>5720</v>
      </c>
      <c r="C162" s="10" t="s">
        <v>5721</v>
      </c>
      <c r="D162" s="10" t="s">
        <v>7105</v>
      </c>
      <c r="E162">
        <f t="shared" si="2"/>
        <v>0</v>
      </c>
      <c r="F162" t="str">
        <f>IF(E162=1,COUNTIF($E$2:E162,1),"")</f>
        <v/>
      </c>
      <c r="G162" t="str">
        <f>IFERROR(INDEX($C$2:$C$213,MATCH(ROWS($F$2:F162),$F$2:$F$213,0)),"")</f>
        <v/>
      </c>
    </row>
    <row r="163" spans="1:7" ht="15" x14ac:dyDescent="0.25">
      <c r="A163" s="10">
        <v>168</v>
      </c>
      <c r="B163" s="10" t="s">
        <v>5914</v>
      </c>
      <c r="C163" s="10" t="s">
        <v>5915</v>
      </c>
      <c r="D163" s="10" t="s">
        <v>7106</v>
      </c>
      <c r="E163">
        <f t="shared" si="2"/>
        <v>0</v>
      </c>
      <c r="F163" t="str">
        <f>IF(E163=1,COUNTIF($E$2:E163,1),"")</f>
        <v/>
      </c>
      <c r="G163" t="str">
        <f>IFERROR(INDEX($C$2:$C$213,MATCH(ROWS($F$2:F163),$F$2:$F$213,0)),"")</f>
        <v/>
      </c>
    </row>
    <row r="164" spans="1:7" ht="15" x14ac:dyDescent="0.25">
      <c r="A164" s="10">
        <v>104</v>
      </c>
      <c r="B164" s="10" t="s">
        <v>5923</v>
      </c>
      <c r="C164" s="10" t="s">
        <v>5924</v>
      </c>
      <c r="D164" s="10" t="s">
        <v>7108</v>
      </c>
      <c r="E164">
        <f t="shared" si="2"/>
        <v>0</v>
      </c>
      <c r="F164" t="str">
        <f>IF(E164=1,COUNTIF($E$2:E164,1),"")</f>
        <v/>
      </c>
      <c r="G164" t="str">
        <f>IFERROR(INDEX($C$2:$C$213,MATCH(ROWS($F$2:F164),$F$2:$F$213,0)),"")</f>
        <v/>
      </c>
    </row>
    <row r="165" spans="1:7" ht="15" x14ac:dyDescent="0.25">
      <c r="A165" s="10">
        <v>112</v>
      </c>
      <c r="B165" s="10" t="s">
        <v>5928</v>
      </c>
      <c r="C165" s="10" t="s">
        <v>5929</v>
      </c>
      <c r="D165" s="10" t="s">
        <v>7108</v>
      </c>
      <c r="E165">
        <f t="shared" si="2"/>
        <v>0</v>
      </c>
      <c r="F165" t="str">
        <f>IF(E165=1,COUNTIF($E$2:E165,1),"")</f>
        <v/>
      </c>
      <c r="G165" t="str">
        <f>IFERROR(INDEX($C$2:$C$213,MATCH(ROWS($F$2:F165),$F$2:$F$213,0)),"")</f>
        <v/>
      </c>
    </row>
    <row r="166" spans="1:7" ht="15" x14ac:dyDescent="0.25">
      <c r="A166" s="10">
        <v>202</v>
      </c>
      <c r="B166" s="10" t="s">
        <v>5933</v>
      </c>
      <c r="C166" s="10" t="s">
        <v>5934</v>
      </c>
      <c r="D166" s="10" t="s">
        <v>7108</v>
      </c>
      <c r="E166">
        <f t="shared" si="2"/>
        <v>0</v>
      </c>
      <c r="F166" t="str">
        <f>IF(E166=1,COUNTIF($E$2:E166,1),"")</f>
        <v/>
      </c>
      <c r="G166" t="str">
        <f>IFERROR(INDEX($C$2:$C$213,MATCH(ROWS($F$2:F166),$F$2:$F$213,0)),"")</f>
        <v/>
      </c>
    </row>
    <row r="167" spans="1:7" ht="15" x14ac:dyDescent="0.25">
      <c r="A167" s="10">
        <v>207</v>
      </c>
      <c r="B167" s="10" t="s">
        <v>5938</v>
      </c>
      <c r="C167" s="10" t="s">
        <v>5939</v>
      </c>
      <c r="D167" s="10" t="s">
        <v>7107</v>
      </c>
      <c r="E167">
        <f t="shared" si="2"/>
        <v>0</v>
      </c>
      <c r="F167" t="str">
        <f>IF(E167=1,COUNTIF($E$2:E167,1),"")</f>
        <v/>
      </c>
      <c r="G167" t="str">
        <f>IFERROR(INDEX($C$2:$C$213,MATCH(ROWS($F$2:F167),$F$2:$F$213,0)),"")</f>
        <v/>
      </c>
    </row>
    <row r="168" spans="1:7" ht="15" x14ac:dyDescent="0.25">
      <c r="A168" s="10">
        <v>178</v>
      </c>
      <c r="B168" s="10" t="s">
        <v>5945</v>
      </c>
      <c r="C168" s="10" t="s">
        <v>5946</v>
      </c>
      <c r="D168" s="10" t="s">
        <v>7105</v>
      </c>
      <c r="E168">
        <f t="shared" si="2"/>
        <v>0</v>
      </c>
      <c r="F168" t="str">
        <f>IF(E168=1,COUNTIF($E$2:E168,1),"")</f>
        <v/>
      </c>
      <c r="G168" t="str">
        <f>IFERROR(INDEX($C$2:$C$213,MATCH(ROWS($F$2:F168),$F$2:$F$213,0)),"")</f>
        <v/>
      </c>
    </row>
    <row r="169" spans="1:7" ht="15" x14ac:dyDescent="0.25">
      <c r="A169" s="10">
        <v>182</v>
      </c>
      <c r="B169" s="10" t="s">
        <v>5952</v>
      </c>
      <c r="C169" s="10" t="s">
        <v>5951</v>
      </c>
      <c r="D169" s="10" t="s">
        <v>7106</v>
      </c>
      <c r="E169">
        <f t="shared" si="2"/>
        <v>0</v>
      </c>
      <c r="F169" t="str">
        <f>IF(E169=1,COUNTIF($E$2:E169,1),"")</f>
        <v/>
      </c>
      <c r="G169" t="str">
        <f>IFERROR(INDEX($C$2:$C$213,MATCH(ROWS($F$2:F169),$F$2:$F$213,0)),"")</f>
        <v/>
      </c>
    </row>
    <row r="170" spans="1:7" ht="15" x14ac:dyDescent="0.25">
      <c r="A170" s="10">
        <v>169</v>
      </c>
      <c r="B170" s="10" t="s">
        <v>5956</v>
      </c>
      <c r="C170" s="10" t="s">
        <v>5957</v>
      </c>
      <c r="D170" s="10" t="s">
        <v>7104</v>
      </c>
      <c r="E170">
        <f t="shared" si="2"/>
        <v>0</v>
      </c>
      <c r="F170" t="str">
        <f>IF(E170=1,COUNTIF($E$2:E170,1),"")</f>
        <v/>
      </c>
      <c r="G170" t="str">
        <f>IFERROR(INDEX($C$2:$C$213,MATCH(ROWS($F$2:F170),$F$2:$F$213,0)),"")</f>
        <v/>
      </c>
    </row>
    <row r="171" spans="1:7" ht="15" x14ac:dyDescent="0.25">
      <c r="A171" s="10">
        <v>179</v>
      </c>
      <c r="B171" s="10" t="s">
        <v>5995</v>
      </c>
      <c r="C171" s="10" t="s">
        <v>5996</v>
      </c>
      <c r="D171" s="10" t="s">
        <v>7106</v>
      </c>
      <c r="E171">
        <f t="shared" si="2"/>
        <v>0</v>
      </c>
      <c r="F171" t="str">
        <f>IF(E171=1,COUNTIF($E$2:E171,1),"")</f>
        <v/>
      </c>
      <c r="G171" t="str">
        <f>IFERROR(INDEX($C$2:$C$213,MATCH(ROWS($F$2:F171),$F$2:$F$213,0)),"")</f>
        <v/>
      </c>
    </row>
    <row r="172" spans="1:7" ht="15" x14ac:dyDescent="0.25">
      <c r="A172" s="10">
        <v>166</v>
      </c>
      <c r="B172" s="10" t="s">
        <v>6010</v>
      </c>
      <c r="C172" s="10" t="s">
        <v>6011</v>
      </c>
      <c r="D172" s="10" t="s">
        <v>7105</v>
      </c>
      <c r="E172">
        <f t="shared" si="2"/>
        <v>0</v>
      </c>
      <c r="F172" t="str">
        <f>IF(E172=1,COUNTIF($E$2:E172,1),"")</f>
        <v/>
      </c>
      <c r="G172" t="str">
        <f>IFERROR(INDEX($C$2:$C$213,MATCH(ROWS($F$2:F172),$F$2:$F$213,0)),"")</f>
        <v/>
      </c>
    </row>
    <row r="173" spans="1:7" ht="15" x14ac:dyDescent="0.25">
      <c r="A173" s="10">
        <v>177</v>
      </c>
      <c r="B173" s="10" t="s">
        <v>6023</v>
      </c>
      <c r="C173" s="10" t="s">
        <v>6024</v>
      </c>
      <c r="D173" s="10" t="s">
        <v>7106</v>
      </c>
      <c r="E173">
        <f t="shared" si="2"/>
        <v>0</v>
      </c>
      <c r="F173" t="str">
        <f>IF(E173=1,COUNTIF($E$2:E173,1),"")</f>
        <v/>
      </c>
      <c r="G173" t="str">
        <f>IFERROR(INDEX($C$2:$C$213,MATCH(ROWS($F$2:F173),$F$2:$F$213,0)),"")</f>
        <v/>
      </c>
    </row>
    <row r="174" spans="1:7" ht="15" x14ac:dyDescent="0.25">
      <c r="A174" s="10">
        <v>174</v>
      </c>
      <c r="B174" s="10" t="s">
        <v>182</v>
      </c>
      <c r="C174" s="10" t="s">
        <v>6033</v>
      </c>
      <c r="D174" s="10" t="s">
        <v>7104</v>
      </c>
      <c r="E174">
        <f t="shared" si="2"/>
        <v>0</v>
      </c>
      <c r="F174" t="str">
        <f>IF(E174=1,COUNTIF($E$2:E174,1),"")</f>
        <v/>
      </c>
      <c r="G174" t="str">
        <f>IFERROR(INDEX($C$2:$C$213,MATCH(ROWS($F$2:F174),$F$2:$F$213,0)),"")</f>
        <v/>
      </c>
    </row>
    <row r="175" spans="1:7" ht="15" x14ac:dyDescent="0.25">
      <c r="A175" s="10">
        <v>176</v>
      </c>
      <c r="B175" s="10" t="s">
        <v>6037</v>
      </c>
      <c r="C175" s="10" t="s">
        <v>6038</v>
      </c>
      <c r="D175" s="10" t="s">
        <v>7105</v>
      </c>
      <c r="E175">
        <f t="shared" si="2"/>
        <v>0</v>
      </c>
      <c r="F175" t="str">
        <f>IF(E175=1,COUNTIF($E$2:E175,1),"")</f>
        <v/>
      </c>
      <c r="G175" t="str">
        <f>IFERROR(INDEX($C$2:$C$213,MATCH(ROWS($F$2:F175),$F$2:$F$213,0)),"")</f>
        <v/>
      </c>
    </row>
    <row r="176" spans="1:7" ht="15" x14ac:dyDescent="0.25">
      <c r="A176" s="10">
        <v>175</v>
      </c>
      <c r="B176" s="10" t="s">
        <v>6050</v>
      </c>
      <c r="C176" s="10" t="s">
        <v>6051</v>
      </c>
      <c r="D176" s="10" t="s">
        <v>7105</v>
      </c>
      <c r="E176">
        <f t="shared" si="2"/>
        <v>0</v>
      </c>
      <c r="F176" t="str">
        <f>IF(E176=1,COUNTIF($E$2:E176,1),"")</f>
        <v/>
      </c>
      <c r="G176" t="str">
        <f>IFERROR(INDEX($C$2:$C$213,MATCH(ROWS($F$2:F176),$F$2:$F$213,0)),"")</f>
        <v/>
      </c>
    </row>
    <row r="177" spans="1:7" ht="15" x14ac:dyDescent="0.25">
      <c r="A177" s="10">
        <v>170</v>
      </c>
      <c r="B177" s="10" t="s">
        <v>6061</v>
      </c>
      <c r="C177" s="10" t="s">
        <v>6062</v>
      </c>
      <c r="D177" s="10" t="s">
        <v>7107</v>
      </c>
      <c r="E177">
        <f t="shared" si="2"/>
        <v>0</v>
      </c>
      <c r="F177" t="str">
        <f>IF(E177=1,COUNTIF($E$2:E177,1),"")</f>
        <v/>
      </c>
      <c r="G177" t="str">
        <f>IFERROR(INDEX($C$2:$C$213,MATCH(ROWS($F$2:F177),$F$2:$F$213,0)),"")</f>
        <v/>
      </c>
    </row>
    <row r="178" spans="1:7" ht="15" x14ac:dyDescent="0.25">
      <c r="A178" s="10">
        <v>180</v>
      </c>
      <c r="B178" s="10" t="s">
        <v>6068</v>
      </c>
      <c r="C178" s="10" t="s">
        <v>6069</v>
      </c>
      <c r="D178" s="10" t="s">
        <v>7106</v>
      </c>
      <c r="E178">
        <f t="shared" si="2"/>
        <v>0</v>
      </c>
      <c r="F178" t="str">
        <f>IF(E178=1,COUNTIF($E$2:E178,1),"")</f>
        <v/>
      </c>
      <c r="G178" t="str">
        <f>IFERROR(INDEX($C$2:$C$213,MATCH(ROWS($F$2:F178),$F$2:$F$213,0)),"")</f>
        <v/>
      </c>
    </row>
    <row r="179" spans="1:7" ht="15" x14ac:dyDescent="0.25">
      <c r="A179" s="10">
        <v>210</v>
      </c>
      <c r="B179" s="10" t="s">
        <v>6085</v>
      </c>
      <c r="C179" s="10" t="s">
        <v>6086</v>
      </c>
      <c r="D179" s="10" t="s">
        <v>7106</v>
      </c>
      <c r="E179">
        <f t="shared" si="2"/>
        <v>0</v>
      </c>
      <c r="F179" t="str">
        <f>IF(E179=1,COUNTIF($E$2:E179,1),"")</f>
        <v/>
      </c>
      <c r="G179" t="str">
        <f>IFERROR(INDEX($C$2:$C$213,MATCH(ROWS($F$2:F179),$F$2:$F$213,0)),"")</f>
        <v/>
      </c>
    </row>
    <row r="180" spans="1:7" ht="15" x14ac:dyDescent="0.25">
      <c r="A180" s="10">
        <v>106</v>
      </c>
      <c r="B180" s="10" t="s">
        <v>6137</v>
      </c>
      <c r="C180" s="10" t="s">
        <v>6138</v>
      </c>
      <c r="D180" s="10" t="s">
        <v>7104</v>
      </c>
      <c r="E180">
        <f t="shared" si="2"/>
        <v>0</v>
      </c>
      <c r="F180" t="str">
        <f>IF(E180=1,COUNTIF($E$2:E180,1),"")</f>
        <v/>
      </c>
      <c r="G180" t="str">
        <f>IFERROR(INDEX($C$2:$C$213,MATCH(ROWS($F$2:F180),$F$2:$F$213,0)),"")</f>
        <v/>
      </c>
    </row>
    <row r="181" spans="1:7" ht="15" x14ac:dyDescent="0.25">
      <c r="A181" s="10">
        <v>60</v>
      </c>
      <c r="B181" s="10" t="s">
        <v>6201</v>
      </c>
      <c r="C181" s="10" t="s">
        <v>6202</v>
      </c>
      <c r="D181" s="10" t="s">
        <v>7106</v>
      </c>
      <c r="E181">
        <f t="shared" si="2"/>
        <v>0</v>
      </c>
      <c r="F181" t="str">
        <f>IF(E181=1,COUNTIF($E$2:E181,1),"")</f>
        <v/>
      </c>
      <c r="G181" t="str">
        <f>IFERROR(INDEX($C$2:$C$213,MATCH(ROWS($F$2:F181),$F$2:$F$213,0)),"")</f>
        <v/>
      </c>
    </row>
    <row r="182" spans="1:7" ht="15" x14ac:dyDescent="0.25">
      <c r="A182" s="10">
        <v>114</v>
      </c>
      <c r="B182" s="10" t="s">
        <v>6262</v>
      </c>
      <c r="C182" s="10" t="s">
        <v>6263</v>
      </c>
      <c r="D182" s="10" t="s">
        <v>7104</v>
      </c>
      <c r="E182">
        <f t="shared" si="2"/>
        <v>0</v>
      </c>
      <c r="F182" t="str">
        <f>IF(E182=1,COUNTIF($E$2:E182,1),"")</f>
        <v/>
      </c>
      <c r="G182" t="str">
        <f>IFERROR(INDEX($C$2:$C$213,MATCH(ROWS($F$2:F182),$F$2:$F$213,0)),"")</f>
        <v/>
      </c>
    </row>
    <row r="183" spans="1:7" ht="15" x14ac:dyDescent="0.25">
      <c r="A183" s="10">
        <v>172</v>
      </c>
      <c r="B183" s="10" t="s">
        <v>6275</v>
      </c>
      <c r="C183" s="10" t="s">
        <v>6276</v>
      </c>
      <c r="D183" s="10" t="s">
        <v>7106</v>
      </c>
      <c r="E183">
        <f t="shared" si="2"/>
        <v>0</v>
      </c>
      <c r="F183" t="str">
        <f>IF(E183=1,COUNTIF($E$2:E183,1),"")</f>
        <v/>
      </c>
      <c r="G183" t="str">
        <f>IFERROR(INDEX($C$2:$C$213,MATCH(ROWS($F$2:F183),$F$2:$F$213,0)),"")</f>
        <v/>
      </c>
    </row>
    <row r="184" spans="1:7" ht="15" x14ac:dyDescent="0.25">
      <c r="A184" s="10">
        <v>181</v>
      </c>
      <c r="B184" s="10" t="s">
        <v>6298</v>
      </c>
      <c r="C184" s="10" t="s">
        <v>6299</v>
      </c>
      <c r="D184" s="10" t="s">
        <v>7108</v>
      </c>
      <c r="E184">
        <f t="shared" si="2"/>
        <v>0</v>
      </c>
      <c r="F184" t="str">
        <f>IF(E184=1,COUNTIF($E$2:E184,1),"")</f>
        <v/>
      </c>
      <c r="G184" t="str">
        <f>IFERROR(INDEX($C$2:$C$213,MATCH(ROWS($F$2:F184),$F$2:$F$213,0)),"")</f>
        <v/>
      </c>
    </row>
    <row r="185" spans="1:7" ht="15" x14ac:dyDescent="0.25">
      <c r="A185" s="10">
        <v>185</v>
      </c>
      <c r="B185" s="10" t="s">
        <v>6307</v>
      </c>
      <c r="C185" s="10" t="s">
        <v>6308</v>
      </c>
      <c r="D185" s="10" t="s">
        <v>7106</v>
      </c>
      <c r="E185">
        <f t="shared" si="2"/>
        <v>0</v>
      </c>
      <c r="F185" t="str">
        <f>IF(E185=1,COUNTIF($E$2:E185,1),"")</f>
        <v/>
      </c>
      <c r="G185" t="str">
        <f>IFERROR(INDEX($C$2:$C$213,MATCH(ROWS($F$2:F185),$F$2:$F$213,0)),"")</f>
        <v/>
      </c>
    </row>
    <row r="186" spans="1:7" ht="15" x14ac:dyDescent="0.25">
      <c r="A186" s="10">
        <v>173</v>
      </c>
      <c r="B186" s="10" t="s">
        <v>6316</v>
      </c>
      <c r="C186" s="10" t="s">
        <v>6317</v>
      </c>
      <c r="D186" s="10" t="s">
        <v>7105</v>
      </c>
      <c r="E186">
        <f t="shared" si="2"/>
        <v>0</v>
      </c>
      <c r="F186" t="str">
        <f>IF(E186=1,COUNTIF($E$2:E186,1),"")</f>
        <v/>
      </c>
      <c r="G186" t="str">
        <f>IFERROR(INDEX($C$2:$C$213,MATCH(ROWS($F$2:F186),$F$2:$F$213,0)),"")</f>
        <v/>
      </c>
    </row>
    <row r="187" spans="1:7" ht="15" x14ac:dyDescent="0.25">
      <c r="A187" s="10">
        <v>37</v>
      </c>
      <c r="B187" s="10" t="s">
        <v>6331</v>
      </c>
      <c r="C187" s="10" t="s">
        <v>6332</v>
      </c>
      <c r="D187" s="10" t="s">
        <v>7105</v>
      </c>
      <c r="E187">
        <f t="shared" si="2"/>
        <v>0</v>
      </c>
      <c r="F187" t="str">
        <f>IF(E187=1,COUNTIF($E$2:E187,1),"")</f>
        <v/>
      </c>
      <c r="G187" t="str">
        <f>IFERROR(INDEX($C$2:$C$213,MATCH(ROWS($F$2:F187),$F$2:$F$213,0)),"")</f>
        <v/>
      </c>
    </row>
    <row r="188" spans="1:7" ht="15" x14ac:dyDescent="0.25">
      <c r="A188" s="10">
        <v>184</v>
      </c>
      <c r="B188" s="10" t="s">
        <v>6340</v>
      </c>
      <c r="C188" s="10" t="s">
        <v>6341</v>
      </c>
      <c r="D188" s="10" t="s">
        <v>7104</v>
      </c>
      <c r="E188">
        <f t="shared" si="2"/>
        <v>0</v>
      </c>
      <c r="F188" t="str">
        <f>IF(E188=1,COUNTIF($E$2:E188,1),"")</f>
        <v/>
      </c>
      <c r="G188" t="str">
        <f>IFERROR(INDEX($C$2:$C$213,MATCH(ROWS($F$2:F188),$F$2:$F$213,0)),"")</f>
        <v/>
      </c>
    </row>
    <row r="189" spans="1:7" ht="15" x14ac:dyDescent="0.25">
      <c r="A189" s="10">
        <v>153</v>
      </c>
      <c r="B189" s="10" t="s">
        <v>6361</v>
      </c>
      <c r="C189" s="10" t="s">
        <v>6362</v>
      </c>
      <c r="D189" s="10" t="s">
        <v>7107</v>
      </c>
      <c r="E189">
        <f t="shared" si="2"/>
        <v>0</v>
      </c>
      <c r="F189" t="str">
        <f>IF(E189=1,COUNTIF($E$2:E189,1),"")</f>
        <v/>
      </c>
      <c r="G189" t="str">
        <f>IFERROR(INDEX($C$2:$C$213,MATCH(ROWS($F$2:F189),$F$2:$F$213,0)),"")</f>
        <v/>
      </c>
    </row>
    <row r="190" spans="1:7" ht="15" x14ac:dyDescent="0.25">
      <c r="A190" s="10">
        <v>195</v>
      </c>
      <c r="B190" s="10" t="s">
        <v>6370</v>
      </c>
      <c r="C190" s="10" t="s">
        <v>6371</v>
      </c>
      <c r="D190" s="10" t="s">
        <v>7104</v>
      </c>
      <c r="E190">
        <f t="shared" si="2"/>
        <v>0</v>
      </c>
      <c r="F190" t="str">
        <f>IF(E190=1,COUNTIF($E$2:E190,1),"")</f>
        <v/>
      </c>
      <c r="G190" t="str">
        <f>IFERROR(INDEX($C$2:$C$213,MATCH(ROWS($F$2:F190),$F$2:$F$213,0)),"")</f>
        <v/>
      </c>
    </row>
    <row r="191" spans="1:7" ht="15" x14ac:dyDescent="0.25">
      <c r="A191" s="10">
        <v>189</v>
      </c>
      <c r="B191" s="10" t="s">
        <v>6385</v>
      </c>
      <c r="C191" s="10" t="s">
        <v>6386</v>
      </c>
      <c r="D191" s="10" t="s">
        <v>7104</v>
      </c>
      <c r="E191">
        <f t="shared" si="2"/>
        <v>0</v>
      </c>
      <c r="F191" t="str">
        <f>IF(E191=1,COUNTIF($E$2:E191,1),"")</f>
        <v/>
      </c>
      <c r="G191" t="str">
        <f>IFERROR(INDEX($C$2:$C$213,MATCH(ROWS($F$2:F191),$F$2:$F$213,0)),"")</f>
        <v/>
      </c>
    </row>
    <row r="192" spans="1:7" ht="15" x14ac:dyDescent="0.25">
      <c r="A192" s="10">
        <v>196</v>
      </c>
      <c r="B192" s="10" t="s">
        <v>181</v>
      </c>
      <c r="C192" s="10" t="s">
        <v>6396</v>
      </c>
      <c r="D192" s="10" t="s">
        <v>7106</v>
      </c>
      <c r="E192">
        <f t="shared" si="2"/>
        <v>0</v>
      </c>
      <c r="F192" t="str">
        <f>IF(E192=1,COUNTIF($E$2:E192,1),"")</f>
        <v/>
      </c>
      <c r="G192" t="str">
        <f>IFERROR(INDEX($C$2:$C$213,MATCH(ROWS($F$2:F192),$F$2:$F$213,0)),"")</f>
        <v/>
      </c>
    </row>
    <row r="193" spans="1:7" ht="15" x14ac:dyDescent="0.25">
      <c r="A193" s="10">
        <v>188</v>
      </c>
      <c r="B193" s="10" t="s">
        <v>6416</v>
      </c>
      <c r="C193" s="10" t="s">
        <v>6417</v>
      </c>
      <c r="D193" s="10" t="s">
        <v>7104</v>
      </c>
      <c r="E193">
        <f t="shared" si="2"/>
        <v>0</v>
      </c>
      <c r="F193" t="str">
        <f>IF(E193=1,COUNTIF($E$2:E193,1),"")</f>
        <v/>
      </c>
      <c r="G193" t="str">
        <f>IFERROR(INDEX($C$2:$C$213,MATCH(ROWS($F$2:F193),$F$2:$F$213,0)),"")</f>
        <v/>
      </c>
    </row>
    <row r="194" spans="1:7" ht="15" x14ac:dyDescent="0.25">
      <c r="A194" s="10">
        <v>187</v>
      </c>
      <c r="B194" s="10" t="s">
        <v>6437</v>
      </c>
      <c r="C194" s="10" t="s">
        <v>6438</v>
      </c>
      <c r="D194" s="10" t="s">
        <v>7106</v>
      </c>
      <c r="E194">
        <f t="shared" si="2"/>
        <v>0</v>
      </c>
      <c r="F194" t="str">
        <f>IF(E194=1,COUNTIF($E$2:E194,1),"")</f>
        <v/>
      </c>
      <c r="G194" t="str">
        <f>IFERROR(INDEX($C$2:$C$213,MATCH(ROWS($F$2:F194),$F$2:$F$213,0)),"")</f>
        <v/>
      </c>
    </row>
    <row r="195" spans="1:7" ht="15" x14ac:dyDescent="0.25">
      <c r="A195" s="10">
        <v>194</v>
      </c>
      <c r="B195" s="10" t="s">
        <v>6448</v>
      </c>
      <c r="C195" s="10" t="s">
        <v>6449</v>
      </c>
      <c r="D195" s="10" t="s">
        <v>7108</v>
      </c>
      <c r="E195">
        <f t="shared" ref="E195:E213" si="3">--ISNUMBER(IFERROR(SEARCH($I$2,C195,1),""))</f>
        <v>0</v>
      </c>
      <c r="F195" t="str">
        <f>IF(E195=1,COUNTIF($E$2:E195,1),"")</f>
        <v/>
      </c>
      <c r="G195" t="str">
        <f>IFERROR(INDEX($C$2:$C$213,MATCH(ROWS($F$2:F195),$F$2:$F$213,0)),"")</f>
        <v/>
      </c>
    </row>
    <row r="196" spans="1:7" ht="15" x14ac:dyDescent="0.25">
      <c r="A196" s="10">
        <v>192</v>
      </c>
      <c r="B196" s="10" t="s">
        <v>6457</v>
      </c>
      <c r="C196" s="10" t="s">
        <v>6458</v>
      </c>
      <c r="D196" s="10" t="s">
        <v>7106</v>
      </c>
      <c r="E196">
        <f t="shared" si="3"/>
        <v>0</v>
      </c>
      <c r="F196" t="str">
        <f>IF(E196=1,COUNTIF($E$2:E196,1),"")</f>
        <v/>
      </c>
      <c r="G196" t="str">
        <f>IFERROR(INDEX($C$2:$C$213,MATCH(ROWS($F$2:F196),$F$2:$F$213,0)),"")</f>
        <v/>
      </c>
    </row>
    <row r="197" spans="1:7" ht="15" x14ac:dyDescent="0.25">
      <c r="A197" s="10">
        <v>193</v>
      </c>
      <c r="B197" s="10" t="s">
        <v>6469</v>
      </c>
      <c r="C197" s="10" t="s">
        <v>6470</v>
      </c>
      <c r="D197" s="10" t="s">
        <v>7105</v>
      </c>
      <c r="E197">
        <f t="shared" si="3"/>
        <v>0</v>
      </c>
      <c r="F197" t="str">
        <f>IF(E197=1,COUNTIF($E$2:E197,1),"")</f>
        <v/>
      </c>
      <c r="G197" t="str">
        <f>IFERROR(INDEX($C$2:$C$213,MATCH(ROWS($F$2:F197),$F$2:$F$213,0)),"")</f>
        <v/>
      </c>
    </row>
    <row r="198" spans="1:7" ht="15" x14ac:dyDescent="0.25">
      <c r="A198" s="10">
        <v>191</v>
      </c>
      <c r="B198" s="10" t="s">
        <v>6548</v>
      </c>
      <c r="C198" s="10" t="s">
        <v>6549</v>
      </c>
      <c r="D198" s="10" t="s">
        <v>7104</v>
      </c>
      <c r="E198">
        <f t="shared" si="3"/>
        <v>0</v>
      </c>
      <c r="F198" t="str">
        <f>IF(E198=1,COUNTIF($E$2:E198,1),"")</f>
        <v/>
      </c>
      <c r="G198" t="str">
        <f>IFERROR(INDEX($C$2:$C$213,MATCH(ROWS($F$2:F198),$F$2:$F$213,0)),"")</f>
        <v/>
      </c>
    </row>
    <row r="199" spans="1:7" ht="15" x14ac:dyDescent="0.25">
      <c r="A199" s="10">
        <v>198</v>
      </c>
      <c r="B199" s="10" t="s">
        <v>6561</v>
      </c>
      <c r="C199" s="10" t="s">
        <v>6562</v>
      </c>
      <c r="D199" s="10" t="s">
        <v>7106</v>
      </c>
      <c r="E199">
        <f t="shared" si="3"/>
        <v>0</v>
      </c>
      <c r="F199" t="str">
        <f>IF(E199=1,COUNTIF($E$2:E199,1),"")</f>
        <v/>
      </c>
      <c r="G199" t="str">
        <f>IFERROR(INDEX($C$2:$C$213,MATCH(ROWS($F$2:F199),$F$2:$F$213,0)),"")</f>
        <v/>
      </c>
    </row>
    <row r="200" spans="1:7" ht="15" x14ac:dyDescent="0.25">
      <c r="A200" s="10">
        <v>197</v>
      </c>
      <c r="B200" s="10" t="s">
        <v>6572</v>
      </c>
      <c r="C200" s="10" t="s">
        <v>6573</v>
      </c>
      <c r="D200" s="10" t="s">
        <v>7105</v>
      </c>
      <c r="E200">
        <f t="shared" si="3"/>
        <v>0</v>
      </c>
      <c r="F200" t="str">
        <f>IF(E200=1,COUNTIF($E$2:E200,1),"")</f>
        <v/>
      </c>
      <c r="G200" t="str">
        <f>IFERROR(INDEX($C$2:$C$213,MATCH(ROWS($F$2:F200),$F$2:$F$213,0)),"")</f>
        <v/>
      </c>
    </row>
    <row r="201" spans="1:7" ht="15" x14ac:dyDescent="0.25">
      <c r="A201" s="10">
        <v>2</v>
      </c>
      <c r="B201" s="10" t="s">
        <v>6642</v>
      </c>
      <c r="C201" s="10" t="s">
        <v>6643</v>
      </c>
      <c r="D201" s="10" t="s">
        <v>7104</v>
      </c>
      <c r="E201">
        <f t="shared" si="3"/>
        <v>0</v>
      </c>
      <c r="F201" t="str">
        <f>IF(E201=1,COUNTIF($E$2:E201,1),"")</f>
        <v/>
      </c>
      <c r="G201" t="str">
        <f>IFERROR(INDEX($C$2:$C$213,MATCH(ROWS($F$2:F201),$F$2:$F$213,0)),"")</f>
        <v/>
      </c>
    </row>
    <row r="202" spans="1:7" ht="15" x14ac:dyDescent="0.25">
      <c r="A202" s="10">
        <v>68</v>
      </c>
      <c r="B202" s="10" t="s">
        <v>6661</v>
      </c>
      <c r="C202" s="10" t="s">
        <v>6662</v>
      </c>
      <c r="D202" s="10" t="s">
        <v>7105</v>
      </c>
      <c r="E202">
        <f t="shared" si="3"/>
        <v>0</v>
      </c>
      <c r="F202" t="str">
        <f>IF(E202=1,COUNTIF($E$2:E202,1),"")</f>
        <v/>
      </c>
      <c r="G202" t="str">
        <f>IFERROR(INDEX($C$2:$C$213,MATCH(ROWS($F$2:F202),$F$2:$F$213,0)),"")</f>
        <v/>
      </c>
    </row>
    <row r="203" spans="1:7" ht="15" x14ac:dyDescent="0.25">
      <c r="A203" s="10">
        <v>199</v>
      </c>
      <c r="B203" s="10" t="s">
        <v>6713</v>
      </c>
      <c r="C203" s="10" t="s">
        <v>6714</v>
      </c>
      <c r="D203" s="10" t="s">
        <v>7108</v>
      </c>
      <c r="E203">
        <f t="shared" si="3"/>
        <v>0</v>
      </c>
      <c r="F203" t="str">
        <f>IF(E203=1,COUNTIF($E$2:E203,1),"")</f>
        <v/>
      </c>
      <c r="G203" t="str">
        <f>IFERROR(INDEX($C$2:$C$213,MATCH(ROWS($F$2:F203),$F$2:$F$213,0)),"")</f>
        <v/>
      </c>
    </row>
    <row r="204" spans="1:7" ht="15" x14ac:dyDescent="0.25">
      <c r="A204" s="10">
        <v>200</v>
      </c>
      <c r="B204" s="10" t="s">
        <v>6939</v>
      </c>
      <c r="C204" s="10" t="s">
        <v>6940</v>
      </c>
      <c r="D204" s="10" t="s">
        <v>7108</v>
      </c>
      <c r="E204">
        <f t="shared" si="3"/>
        <v>0</v>
      </c>
      <c r="F204" t="str">
        <f>IF(E204=1,COUNTIF($E$2:E204,1),"")</f>
        <v/>
      </c>
      <c r="G204" t="str">
        <f>IFERROR(INDEX($C$2:$C$213,MATCH(ROWS($F$2:F204),$F$2:$F$213,0)),"")</f>
        <v/>
      </c>
    </row>
    <row r="205" spans="1:7" ht="15" x14ac:dyDescent="0.25">
      <c r="A205" s="10">
        <v>201</v>
      </c>
      <c r="B205" s="10" t="s">
        <v>6950</v>
      </c>
      <c r="C205" s="10" t="s">
        <v>6951</v>
      </c>
      <c r="D205" s="10" t="s">
        <v>7104</v>
      </c>
      <c r="E205">
        <f t="shared" si="3"/>
        <v>0</v>
      </c>
      <c r="F205" t="str">
        <f>IF(E205=1,COUNTIF($E$2:E205,1),"")</f>
        <v/>
      </c>
      <c r="G205" t="str">
        <f>IFERROR(INDEX($C$2:$C$213,MATCH(ROWS($F$2:F205),$F$2:$F$213,0)),"")</f>
        <v/>
      </c>
    </row>
    <row r="206" spans="1:7" ht="15" x14ac:dyDescent="0.25">
      <c r="A206" s="10">
        <v>206</v>
      </c>
      <c r="B206" s="10" t="s">
        <v>6972</v>
      </c>
      <c r="C206" s="10" t="s">
        <v>6973</v>
      </c>
      <c r="D206" s="10" t="s">
        <v>7107</v>
      </c>
      <c r="E206">
        <f t="shared" si="3"/>
        <v>0</v>
      </c>
      <c r="F206" t="str">
        <f>IF(E206=1,COUNTIF($E$2:E206,1),"")</f>
        <v/>
      </c>
      <c r="G206" t="str">
        <f>IFERROR(INDEX($C$2:$C$213,MATCH(ROWS($F$2:F206),$F$2:$F$213,0)),"")</f>
        <v/>
      </c>
    </row>
    <row r="207" spans="1:7" ht="15" x14ac:dyDescent="0.25">
      <c r="A207" s="10">
        <v>203</v>
      </c>
      <c r="B207" s="10" t="s">
        <v>6979</v>
      </c>
      <c r="C207" s="10" t="s">
        <v>6980</v>
      </c>
      <c r="D207" s="10" t="s">
        <v>7108</v>
      </c>
      <c r="E207">
        <f t="shared" si="3"/>
        <v>0</v>
      </c>
      <c r="F207" t="str">
        <f>IF(E207=1,COUNTIF($E$2:E207,1),"")</f>
        <v/>
      </c>
      <c r="G207" t="str">
        <f>IFERROR(INDEX($C$2:$C$213,MATCH(ROWS($F$2:F207),$F$2:$F$213,0)),"")</f>
        <v/>
      </c>
    </row>
    <row r="208" spans="1:7" ht="15" x14ac:dyDescent="0.25">
      <c r="A208" s="10">
        <v>205</v>
      </c>
      <c r="B208" s="10" t="s">
        <v>7016</v>
      </c>
      <c r="C208" s="10" t="s">
        <v>7017</v>
      </c>
      <c r="D208" s="10" t="s">
        <v>7104</v>
      </c>
      <c r="E208">
        <f t="shared" si="3"/>
        <v>0</v>
      </c>
      <c r="F208" t="str">
        <f>IF(E208=1,COUNTIF($E$2:E208,1),"")</f>
        <v/>
      </c>
      <c r="G208" t="str">
        <f>IFERROR(INDEX($C$2:$C$213,MATCH(ROWS($F$2:F208),$F$2:$F$213,0)),"")</f>
        <v/>
      </c>
    </row>
    <row r="209" spans="1:7" ht="15" x14ac:dyDescent="0.25">
      <c r="A209" s="10">
        <v>204</v>
      </c>
      <c r="B209" s="10" t="s">
        <v>7045</v>
      </c>
      <c r="C209" s="10" t="s">
        <v>7046</v>
      </c>
      <c r="D209" s="10" t="s">
        <v>7108</v>
      </c>
      <c r="E209">
        <f t="shared" si="3"/>
        <v>0</v>
      </c>
      <c r="F209" t="str">
        <f>IF(E209=1,COUNTIF($E$2:E209,1),"")</f>
        <v/>
      </c>
      <c r="G209" t="str">
        <f>IFERROR(INDEX($C$2:$C$213,MATCH(ROWS($F$2:F209),$F$2:$F$213,0)),"")</f>
        <v/>
      </c>
    </row>
    <row r="210" spans="1:7" ht="15" x14ac:dyDescent="0.25">
      <c r="A210" s="10">
        <v>58</v>
      </c>
      <c r="B210" s="10" t="s">
        <v>7050</v>
      </c>
      <c r="C210" s="10" t="s">
        <v>7051</v>
      </c>
      <c r="D210" s="10" t="s">
        <v>7106</v>
      </c>
      <c r="E210">
        <f t="shared" si="3"/>
        <v>0</v>
      </c>
      <c r="F210" t="str">
        <f>IF(E210=1,COUNTIF($E$2:E210,1),"")</f>
        <v/>
      </c>
      <c r="G210" t="str">
        <f>IFERROR(INDEX($C$2:$C$213,MATCH(ROWS($F$2:F210),$F$2:$F$213,0)),"")</f>
        <v/>
      </c>
    </row>
    <row r="211" spans="1:7" ht="15" x14ac:dyDescent="0.25">
      <c r="A211" s="10">
        <v>208</v>
      </c>
      <c r="B211" s="10" t="s">
        <v>7055</v>
      </c>
      <c r="C211" s="10" t="s">
        <v>7056</v>
      </c>
      <c r="D211" s="10" t="s">
        <v>7104</v>
      </c>
      <c r="E211">
        <f t="shared" si="3"/>
        <v>0</v>
      </c>
      <c r="F211" t="str">
        <f>IF(E211=1,COUNTIF($E$2:E211,1),"")</f>
        <v/>
      </c>
      <c r="G211" t="str">
        <f>IFERROR(INDEX($C$2:$C$213,MATCH(ROWS($F$2:F211),$F$2:$F$213,0)),"")</f>
        <v/>
      </c>
    </row>
    <row r="212" spans="1:7" ht="15" x14ac:dyDescent="0.25">
      <c r="A212" s="10">
        <v>211</v>
      </c>
      <c r="B212" s="10" t="s">
        <v>7074</v>
      </c>
      <c r="C212" s="10" t="s">
        <v>7075</v>
      </c>
      <c r="D212" s="10" t="s">
        <v>7106</v>
      </c>
      <c r="E212">
        <f t="shared" si="3"/>
        <v>0</v>
      </c>
      <c r="F212" t="str">
        <f>IF(E212=1,COUNTIF($E$2:E212,1),"")</f>
        <v/>
      </c>
      <c r="G212" t="str">
        <f>IFERROR(INDEX($C$2:$C$213,MATCH(ROWS($F$2:F212),$F$2:$F$213,0)),"")</f>
        <v/>
      </c>
    </row>
    <row r="213" spans="1:7" ht="15" x14ac:dyDescent="0.25">
      <c r="A213" s="10">
        <v>212</v>
      </c>
      <c r="B213" s="10" t="s">
        <v>7089</v>
      </c>
      <c r="C213" s="10" t="s">
        <v>7090</v>
      </c>
      <c r="D213" s="10" t="s">
        <v>7106</v>
      </c>
      <c r="E213">
        <f t="shared" si="3"/>
        <v>0</v>
      </c>
      <c r="F213" t="str">
        <f>IF(E213=1,COUNTIF($E$2:E213,1),"")</f>
        <v/>
      </c>
      <c r="G213" t="str">
        <f>IFERROR(INDEX($C$2:$C$213,MATCH(ROWS($F$2:F213),$F$2:$F$213,0)),"")</f>
        <v/>
      </c>
    </row>
  </sheetData>
  <pageMargins left="0.511811024" right="0.511811024" top="0.78740157499999996" bottom="0.78740157499999996" header="0.31496062000000002" footer="0.3149606200000000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wksCities"/>
  <dimension ref="A1:U2388"/>
  <sheetViews>
    <sheetView workbookViewId="0">
      <pane ySplit="1" topLeftCell="A2" activePane="bottomLeft" state="frozen"/>
      <selection pane="bottomLeft"/>
    </sheetView>
  </sheetViews>
  <sheetFormatPr defaultRowHeight="12.75" x14ac:dyDescent="0.2"/>
  <cols>
    <col min="1" max="1" width="5" style="10" bestFit="1" customWidth="1"/>
    <col min="2" max="2" width="18.85546875" style="10" customWidth="1"/>
    <col min="3" max="3" width="9.140625" style="10" bestFit="1" customWidth="1"/>
    <col min="4" max="4" width="8.140625" style="10" bestFit="1" customWidth="1"/>
    <col min="5" max="5" width="11.5703125" style="10" bestFit="1" customWidth="1"/>
    <col min="6" max="6" width="10.5703125" style="10" bestFit="1" customWidth="1"/>
    <col min="7" max="7" width="6" style="10" bestFit="1" customWidth="1"/>
    <col min="8" max="8" width="7.7109375" style="10" bestFit="1" customWidth="1"/>
    <col min="9" max="9" width="4" style="10" customWidth="1"/>
    <col min="10" max="10" width="18.7109375" style="10" customWidth="1"/>
    <col min="11" max="11" width="19.42578125" style="10" bestFit="1" customWidth="1"/>
    <col min="12" max="12" width="19.42578125" style="10" customWidth="1"/>
    <col min="13" max="13" width="49.5703125" style="10" bestFit="1" customWidth="1"/>
    <col min="14" max="14" width="6.5703125" style="10" customWidth="1"/>
    <col min="15" max="15" width="7" style="10" bestFit="1" customWidth="1"/>
    <col min="16" max="16" width="7.140625" style="10" bestFit="1" customWidth="1"/>
    <col min="17" max="16384" width="9.140625" style="10"/>
  </cols>
  <sheetData>
    <row r="1" spans="1:21" x14ac:dyDescent="0.2">
      <c r="A1" s="69" t="s">
        <v>1639</v>
      </c>
      <c r="B1" s="69" t="s">
        <v>1640</v>
      </c>
      <c r="C1" s="69" t="s">
        <v>7232</v>
      </c>
      <c r="D1" s="69" t="s">
        <v>7233</v>
      </c>
      <c r="E1" s="69" t="s">
        <v>1641</v>
      </c>
      <c r="F1" s="69" t="s">
        <v>1642</v>
      </c>
      <c r="G1" s="69" t="s">
        <v>1643</v>
      </c>
      <c r="H1" s="69" t="s">
        <v>1644</v>
      </c>
      <c r="I1" s="69" t="s">
        <v>1645</v>
      </c>
      <c r="J1" s="69" t="s">
        <v>1646</v>
      </c>
      <c r="K1" s="69" t="s">
        <v>1647</v>
      </c>
      <c r="L1" s="69" t="s">
        <v>9676</v>
      </c>
      <c r="M1" s="69" t="s">
        <v>1648</v>
      </c>
      <c r="N1" s="69" t="s">
        <v>9675</v>
      </c>
      <c r="O1" s="69" t="s">
        <v>9666</v>
      </c>
      <c r="P1" s="69" t="s">
        <v>9667</v>
      </c>
      <c r="Q1" s="69" t="s">
        <v>9668</v>
      </c>
      <c r="R1" s="69" t="s">
        <v>9674</v>
      </c>
      <c r="S1" s="69" t="s">
        <v>9670</v>
      </c>
      <c r="T1" s="69" t="s">
        <v>9673</v>
      </c>
      <c r="U1" s="69" t="s">
        <v>9677</v>
      </c>
    </row>
    <row r="2" spans="1:21" ht="15" x14ac:dyDescent="0.25">
      <c r="A2" s="10">
        <v>19</v>
      </c>
      <c r="B2" s="10" t="s">
        <v>1649</v>
      </c>
      <c r="C2" s="880">
        <f>TRUNC(E2,4)</f>
        <v>62.189900000000002</v>
      </c>
      <c r="D2" s="880">
        <f>TRUNC(F2,4)</f>
        <v>34.340000000000003</v>
      </c>
      <c r="E2" s="10">
        <v>62.189999</v>
      </c>
      <c r="F2" s="10">
        <v>34.340000000000003</v>
      </c>
      <c r="G2" s="10">
        <v>4.5</v>
      </c>
      <c r="H2" s="10" t="s">
        <v>1650</v>
      </c>
      <c r="I2" s="10" t="s">
        <v>1651</v>
      </c>
      <c r="J2" s="10" t="s">
        <v>1652</v>
      </c>
      <c r="K2" s="10" t="s">
        <v>1653</v>
      </c>
      <c r="L2" s="65" t="str">
        <f>MID(M2,1,LEN(M2)-(LEN(K2)-SEARCH("/",K2)+1))</f>
        <v>Herat|Afghanistan|62,189999|34,340000|+4:30 Asia</v>
      </c>
      <c r="M2" s="10" t="s">
        <v>1654</v>
      </c>
      <c r="N2" s="10">
        <f t="shared" ref="N2:N65" si="0">--ISNUMBER(IFERROR(SEARCH($R$2,J2,1),""))</f>
        <v>0</v>
      </c>
      <c r="O2" t="str">
        <f>IF(N2=0,"",--ISNUMBER(IFERROR(SEARCH($U$2,L2,1),"")))</f>
        <v/>
      </c>
      <c r="P2" t="str">
        <f>IF(O2=1,COUNTIF($O$2:O2,1),"")</f>
        <v/>
      </c>
      <c r="Q2" t="str">
        <f>IFERROR(INDEX($M$2:$M$2388,MATCH(ROWS($P$2:P2),$P$2:$P$2388,0)),"")</f>
        <v>Recife|Brazil|-34,881111|-8,053889|-3:00 America/Recife</v>
      </c>
      <c r="R2" s="842" t="str">
        <f>Countries!I2</f>
        <v>Brazil</v>
      </c>
      <c r="S2" s="842" t="str">
        <f>$Q$2:INDEX($Q$2:$Q$2388,MAX($P$2:$P$2388),1)</f>
        <v>Recife|Brazil|-34,881111|-8,053889|-3:00 America/Recife</v>
      </c>
      <c r="T2" s="842" t="str">
        <f>Opções!R8</f>
        <v>Recife|Brazil|-34,881111|-8,053889|-3:00 America/Recife</v>
      </c>
      <c r="U2" s="842" t="str">
        <f>IFERROR(LEFT(T2,SEARCH("/",T2)-1),T2)</f>
        <v>Recife|Brazil|-34,881111|-8,053889|-3:00 America</v>
      </c>
    </row>
    <row r="3" spans="1:21" ht="15" x14ac:dyDescent="0.25">
      <c r="A3" s="10">
        <v>18</v>
      </c>
      <c r="B3" s="10" t="s">
        <v>1655</v>
      </c>
      <c r="C3" s="880">
        <f t="shared" ref="C3:C66" si="1">TRUNC(E3,4)</f>
        <v>70.4499</v>
      </c>
      <c r="D3" s="880">
        <f t="shared" ref="D3:D66" si="2">TRUNC(F3,4)</f>
        <v>34.419899999999998</v>
      </c>
      <c r="E3" s="10">
        <v>70.449996999999996</v>
      </c>
      <c r="F3" s="10">
        <v>34.419998</v>
      </c>
      <c r="G3" s="10">
        <v>4.5</v>
      </c>
      <c r="H3" s="10" t="s">
        <v>1650</v>
      </c>
      <c r="I3" s="10" t="s">
        <v>1651</v>
      </c>
      <c r="J3" s="10" t="s">
        <v>1652</v>
      </c>
      <c r="K3" s="10" t="s">
        <v>1653</v>
      </c>
      <c r="L3" s="65" t="str">
        <f t="shared" ref="L3:L66" si="3">MID(M3,1,LEN(M3)-(LEN(K3)-SEARCH("/",K3)+1))</f>
        <v>Jalalabad|Afghanistan|70,449997|34,419998|+4:30 Asia</v>
      </c>
      <c r="M3" s="10" t="s">
        <v>1656</v>
      </c>
      <c r="N3" s="10">
        <f t="shared" si="0"/>
        <v>0</v>
      </c>
      <c r="O3" t="str">
        <f t="shared" ref="O3:O66" si="4">IF(N3=0,"",--ISNUMBER(IFERROR(SEARCH($U$2,L3,1),"")))</f>
        <v/>
      </c>
      <c r="P3" t="str">
        <f>IF(O3=1,COUNTIF($O$2:O3,1),"")</f>
        <v/>
      </c>
      <c r="Q3" t="str">
        <f>IFERROR(INDEX($M$2:$M$2388,MATCH(ROWS($P$2:P3),$P$2:$P$2388,0)),"")</f>
        <v/>
      </c>
    </row>
    <row r="4" spans="1:21" ht="15" x14ac:dyDescent="0.25">
      <c r="A4" s="10">
        <v>17</v>
      </c>
      <c r="B4" s="10" t="s">
        <v>1657</v>
      </c>
      <c r="C4" s="880">
        <f t="shared" si="1"/>
        <v>69.183300000000003</v>
      </c>
      <c r="D4" s="880">
        <f t="shared" si="2"/>
        <v>34.516599999999997</v>
      </c>
      <c r="E4" s="10">
        <v>69.183334000000002</v>
      </c>
      <c r="F4" s="10">
        <v>34.516666000000001</v>
      </c>
      <c r="G4" s="10">
        <v>4.5</v>
      </c>
      <c r="H4" s="10" t="s">
        <v>1650</v>
      </c>
      <c r="I4" s="10" t="s">
        <v>1651</v>
      </c>
      <c r="J4" s="10" t="s">
        <v>1652</v>
      </c>
      <c r="K4" s="10" t="s">
        <v>1653</v>
      </c>
      <c r="L4" s="65" t="str">
        <f t="shared" si="3"/>
        <v>Kabul|Afghanistan|69,183334|34,516666|+4:30 Asia</v>
      </c>
      <c r="M4" s="10" t="s">
        <v>1658</v>
      </c>
      <c r="N4" s="10">
        <f t="shared" si="0"/>
        <v>0</v>
      </c>
      <c r="O4" t="str">
        <f t="shared" si="4"/>
        <v/>
      </c>
      <c r="P4" t="str">
        <f>IF(O4=1,COUNTIF($O$2:O4,1),"")</f>
        <v/>
      </c>
      <c r="Q4" t="str">
        <f>IFERROR(INDEX($M$2:$M$2388,MATCH(ROWS($P$2:P4),$P$2:$P$2388,0)),"")</f>
        <v/>
      </c>
    </row>
    <row r="5" spans="1:21" ht="15" x14ac:dyDescent="0.25">
      <c r="A5" s="10">
        <v>16</v>
      </c>
      <c r="B5" s="10" t="s">
        <v>1659</v>
      </c>
      <c r="C5" s="880">
        <f t="shared" si="1"/>
        <v>65.6999</v>
      </c>
      <c r="D5" s="880">
        <f t="shared" si="2"/>
        <v>31.61</v>
      </c>
      <c r="E5" s="10">
        <v>65.699996999999996</v>
      </c>
      <c r="F5" s="10">
        <v>31.610001</v>
      </c>
      <c r="G5" s="10">
        <v>4.5</v>
      </c>
      <c r="H5" s="10" t="s">
        <v>1650</v>
      </c>
      <c r="I5" s="10" t="s">
        <v>1651</v>
      </c>
      <c r="J5" s="10" t="s">
        <v>1652</v>
      </c>
      <c r="K5" s="10" t="s">
        <v>1653</v>
      </c>
      <c r="L5" s="65" t="str">
        <f t="shared" si="3"/>
        <v>Kandahar|Afghanistan|65,699997|31,610001|+4:30 Asia</v>
      </c>
      <c r="M5" s="10" t="s">
        <v>1660</v>
      </c>
      <c r="N5" s="10">
        <f t="shared" si="0"/>
        <v>0</v>
      </c>
      <c r="O5" t="str">
        <f t="shared" si="4"/>
        <v/>
      </c>
      <c r="P5" t="str">
        <f>IF(O5=1,COUNTIF($O$2:O5,1),"")</f>
        <v/>
      </c>
      <c r="Q5" t="str">
        <f>IFERROR(INDEX($M$2:$M$2388,MATCH(ROWS($P$2:P5),$P$2:$P$2388,0)),"")</f>
        <v/>
      </c>
    </row>
    <row r="6" spans="1:21" ht="15" x14ac:dyDescent="0.25">
      <c r="A6" s="10">
        <v>12</v>
      </c>
      <c r="B6" s="10" t="s">
        <v>1661</v>
      </c>
      <c r="C6" s="880">
        <f t="shared" si="1"/>
        <v>61.197699999999998</v>
      </c>
      <c r="D6" s="880">
        <f t="shared" si="2"/>
        <v>34.653799999999997</v>
      </c>
      <c r="E6" s="10">
        <v>61.197777000000002</v>
      </c>
      <c r="F6" s="10">
        <v>34.653888999999999</v>
      </c>
      <c r="G6" s="10">
        <v>4.5</v>
      </c>
      <c r="H6" s="10" t="s">
        <v>1650</v>
      </c>
      <c r="I6" s="10" t="s">
        <v>1651</v>
      </c>
      <c r="J6" s="10" t="s">
        <v>1652</v>
      </c>
      <c r="K6" s="10" t="s">
        <v>1653</v>
      </c>
      <c r="L6" s="65" t="str">
        <f t="shared" si="3"/>
        <v>Kuhestan|Afghanistan|61,197777|34,653889|+4:30 Asia</v>
      </c>
      <c r="M6" s="10" t="s">
        <v>1662</v>
      </c>
      <c r="N6" s="10">
        <f t="shared" si="0"/>
        <v>0</v>
      </c>
      <c r="O6" t="str">
        <f t="shared" si="4"/>
        <v/>
      </c>
      <c r="P6" t="str">
        <f>IF(O6=1,COUNTIF($O$2:O6,1),"")</f>
        <v/>
      </c>
      <c r="Q6" t="str">
        <f>IFERROR(INDEX($M$2:$M$2388,MATCH(ROWS($P$2:P6),$P$2:$P$2388,0)),"")</f>
        <v/>
      </c>
    </row>
    <row r="7" spans="1:21" ht="15" x14ac:dyDescent="0.25">
      <c r="A7" s="10">
        <v>15</v>
      </c>
      <c r="B7" s="10" t="s">
        <v>1663</v>
      </c>
      <c r="C7" s="880">
        <f t="shared" si="1"/>
        <v>67.112200000000001</v>
      </c>
      <c r="D7" s="880">
        <f t="shared" si="2"/>
        <v>36.706899999999997</v>
      </c>
      <c r="E7" s="10">
        <v>67.112221000000005</v>
      </c>
      <c r="F7" s="10">
        <v>36.706944</v>
      </c>
      <c r="G7" s="10">
        <v>4.5</v>
      </c>
      <c r="H7" s="10" t="s">
        <v>1650</v>
      </c>
      <c r="I7" s="10" t="s">
        <v>1651</v>
      </c>
      <c r="J7" s="10" t="s">
        <v>1652</v>
      </c>
      <c r="K7" s="10" t="s">
        <v>1653</v>
      </c>
      <c r="L7" s="65" t="str">
        <f t="shared" si="3"/>
        <v>Mazar-e Sharif|Afghanistan|67,112221|36,706944|+4:30 Asia</v>
      </c>
      <c r="M7" s="10" t="s">
        <v>1664</v>
      </c>
      <c r="N7" s="10">
        <f t="shared" si="0"/>
        <v>0</v>
      </c>
      <c r="O7" t="str">
        <f t="shared" si="4"/>
        <v/>
      </c>
      <c r="P7" t="str">
        <f>IF(O7=1,COUNTIF($O$2:O7,1),"")</f>
        <v/>
      </c>
      <c r="Q7" t="str">
        <f>IFERROR(INDEX($M$2:$M$2388,MATCH(ROWS($P$2:P7),$P$2:$P$2388,0)),"")</f>
        <v/>
      </c>
    </row>
    <row r="8" spans="1:21" ht="15" x14ac:dyDescent="0.25">
      <c r="A8" s="10">
        <v>13</v>
      </c>
      <c r="B8" s="10" t="s">
        <v>1665</v>
      </c>
      <c r="C8" s="880">
        <f t="shared" si="1"/>
        <v>66.419899999999998</v>
      </c>
      <c r="D8" s="880">
        <f t="shared" si="2"/>
        <v>35.948799999999999</v>
      </c>
      <c r="E8" s="10">
        <v>66.419998000000007</v>
      </c>
      <c r="F8" s="10">
        <v>35.948891000000003</v>
      </c>
      <c r="G8" s="10">
        <v>4.5</v>
      </c>
      <c r="H8" s="10" t="s">
        <v>1650</v>
      </c>
      <c r="I8" s="10" t="s">
        <v>1651</v>
      </c>
      <c r="J8" s="10" t="s">
        <v>1652</v>
      </c>
      <c r="K8" s="10" t="s">
        <v>1653</v>
      </c>
      <c r="L8" s="65" t="str">
        <f t="shared" si="3"/>
        <v>Tokzar|Afghanistan|66,419998|35,948891|+4:30 Asia</v>
      </c>
      <c r="M8" s="10" t="s">
        <v>1666</v>
      </c>
      <c r="N8" s="10">
        <f t="shared" si="0"/>
        <v>0</v>
      </c>
      <c r="O8" t="str">
        <f t="shared" si="4"/>
        <v/>
      </c>
      <c r="P8" t="str">
        <f>IF(O8=1,COUNTIF($O$2:O8,1),"")</f>
        <v/>
      </c>
      <c r="Q8" t="str">
        <f>IFERROR(INDEX($M$2:$M$2388,MATCH(ROWS($P$2:P8),$P$2:$P$2388,0)),"")</f>
        <v/>
      </c>
    </row>
    <row r="9" spans="1:21" ht="15" x14ac:dyDescent="0.25">
      <c r="A9" s="10">
        <v>14</v>
      </c>
      <c r="B9" s="10" t="s">
        <v>1667</v>
      </c>
      <c r="C9" s="880">
        <f t="shared" si="1"/>
        <v>61.7316</v>
      </c>
      <c r="D9" s="880">
        <f t="shared" si="2"/>
        <v>34.345500000000001</v>
      </c>
      <c r="E9" s="10">
        <v>61.731667000000002</v>
      </c>
      <c r="F9" s="10">
        <v>34.345554</v>
      </c>
      <c r="G9" s="10">
        <v>4.5</v>
      </c>
      <c r="H9" s="10" t="s">
        <v>1650</v>
      </c>
      <c r="I9" s="10" t="s">
        <v>1651</v>
      </c>
      <c r="J9" s="10" t="s">
        <v>1652</v>
      </c>
      <c r="K9" s="10" t="s">
        <v>1653</v>
      </c>
      <c r="L9" s="65" t="str">
        <f t="shared" si="3"/>
        <v>Zendeh Jan|Afghanistan|61,731667|34,345554|+4:30 Asia</v>
      </c>
      <c r="M9" s="10" t="s">
        <v>1668</v>
      </c>
      <c r="N9" s="10">
        <f t="shared" si="0"/>
        <v>0</v>
      </c>
      <c r="O9" t="str">
        <f t="shared" si="4"/>
        <v/>
      </c>
      <c r="P9" t="str">
        <f>IF(O9=1,COUNTIF($O$2:O9,1),"")</f>
        <v/>
      </c>
      <c r="Q9" t="str">
        <f>IFERROR(INDEX($M$2:$M$2388,MATCH(ROWS($P$2:P9),$P$2:$P$2388,0)),"")</f>
        <v/>
      </c>
    </row>
    <row r="10" spans="1:21" ht="15" x14ac:dyDescent="0.25">
      <c r="A10" s="10">
        <v>23</v>
      </c>
      <c r="B10" s="10" t="s">
        <v>1669</v>
      </c>
      <c r="C10" s="880">
        <f t="shared" si="1"/>
        <v>20.097999999999999</v>
      </c>
      <c r="D10" s="880">
        <f t="shared" si="2"/>
        <v>40.612200000000001</v>
      </c>
      <c r="E10" s="10">
        <v>20.098054999999999</v>
      </c>
      <c r="F10" s="10">
        <v>40.612220999999998</v>
      </c>
      <c r="G10" s="10">
        <v>1</v>
      </c>
      <c r="H10" s="10" t="s">
        <v>1670</v>
      </c>
      <c r="I10" s="10" t="s">
        <v>1671</v>
      </c>
      <c r="J10" s="10" t="s">
        <v>1672</v>
      </c>
      <c r="K10" s="10" t="s">
        <v>1673</v>
      </c>
      <c r="L10" s="65" t="str">
        <f t="shared" si="3"/>
        <v>Polican|Albania|20,098055|40,612221|+1:00 Europe</v>
      </c>
      <c r="M10" s="10" t="s">
        <v>1674</v>
      </c>
      <c r="N10" s="10">
        <f t="shared" si="0"/>
        <v>0</v>
      </c>
      <c r="O10" t="str">
        <f t="shared" si="4"/>
        <v/>
      </c>
      <c r="P10" t="str">
        <f>IF(O10=1,COUNTIF($O$2:O10,1),"")</f>
        <v/>
      </c>
      <c r="Q10" t="str">
        <f>IFERROR(INDEX($M$2:$M$2388,MATCH(ROWS($P$2:P10),$P$2:$P$2388,0)),"")</f>
        <v/>
      </c>
    </row>
    <row r="11" spans="1:21" ht="15" x14ac:dyDescent="0.25">
      <c r="A11" s="10">
        <v>21</v>
      </c>
      <c r="B11" s="10" t="s">
        <v>1675</v>
      </c>
      <c r="C11" s="880">
        <f t="shared" si="1"/>
        <v>20.005199999999999</v>
      </c>
      <c r="D11" s="880">
        <f t="shared" si="2"/>
        <v>39.875500000000002</v>
      </c>
      <c r="E11" s="10">
        <v>20.005278000000001</v>
      </c>
      <c r="F11" s="10">
        <v>39.875557000000001</v>
      </c>
      <c r="G11" s="10">
        <v>1</v>
      </c>
      <c r="H11" s="10" t="s">
        <v>1670</v>
      </c>
      <c r="I11" s="10" t="s">
        <v>1671</v>
      </c>
      <c r="J11" s="10" t="s">
        <v>1672</v>
      </c>
      <c r="K11" s="10" t="s">
        <v>1673</v>
      </c>
      <c r="L11" s="65" t="str">
        <f t="shared" si="3"/>
        <v>Sarande|Albania|20,005278|39,875557|+1:00 Europe</v>
      </c>
      <c r="M11" s="10" t="s">
        <v>1676</v>
      </c>
      <c r="N11" s="10">
        <f t="shared" si="0"/>
        <v>0</v>
      </c>
      <c r="O11" t="str">
        <f t="shared" si="4"/>
        <v/>
      </c>
      <c r="P11" t="str">
        <f>IF(O11=1,COUNTIF($O$2:O11,1),"")</f>
        <v/>
      </c>
      <c r="Q11" t="str">
        <f>IFERROR(INDEX($M$2:$M$2388,MATCH(ROWS($P$2:P11),$P$2:$P$2388,0)),"")</f>
        <v/>
      </c>
    </row>
    <row r="12" spans="1:21" ht="15" x14ac:dyDescent="0.25">
      <c r="A12" s="10">
        <v>22</v>
      </c>
      <c r="B12" s="10" t="s">
        <v>1677</v>
      </c>
      <c r="C12" s="880">
        <f t="shared" si="1"/>
        <v>20.019100000000002</v>
      </c>
      <c r="D12" s="880">
        <f t="shared" si="2"/>
        <v>40.2958</v>
      </c>
      <c r="E12" s="10">
        <v>20.019166999999999</v>
      </c>
      <c r="F12" s="10">
        <v>40.295833999999999</v>
      </c>
      <c r="G12" s="10">
        <v>1</v>
      </c>
      <c r="H12" s="10" t="s">
        <v>1670</v>
      </c>
      <c r="I12" s="10" t="s">
        <v>1671</v>
      </c>
      <c r="J12" s="10" t="s">
        <v>1672</v>
      </c>
      <c r="K12" s="10" t="s">
        <v>1673</v>
      </c>
      <c r="L12" s="65" t="str">
        <f t="shared" si="3"/>
        <v>Tepelene|Albania|20,019167|40,295834|+1:00 Europe</v>
      </c>
      <c r="M12" s="10" t="s">
        <v>1678</v>
      </c>
      <c r="N12" s="10">
        <f t="shared" si="0"/>
        <v>0</v>
      </c>
      <c r="O12" t="str">
        <f t="shared" si="4"/>
        <v/>
      </c>
      <c r="P12" t="str">
        <f>IF(O12=1,COUNTIF($O$2:O12,1),"")</f>
        <v/>
      </c>
      <c r="Q12" t="str">
        <f>IFERROR(INDEX($M$2:$M$2388,MATCH(ROWS($P$2:P12),$P$2:$P$2388,0)),"")</f>
        <v/>
      </c>
    </row>
    <row r="13" spans="1:21" ht="15" x14ac:dyDescent="0.25">
      <c r="A13" s="10">
        <v>24</v>
      </c>
      <c r="B13" s="10" t="s">
        <v>1679</v>
      </c>
      <c r="C13" s="880">
        <f t="shared" si="1"/>
        <v>19.8188</v>
      </c>
      <c r="D13" s="880">
        <f t="shared" si="2"/>
        <v>41.327399999999997</v>
      </c>
      <c r="E13" s="10">
        <v>19.81889</v>
      </c>
      <c r="F13" s="10">
        <v>41.327499000000003</v>
      </c>
      <c r="G13" s="10">
        <v>1</v>
      </c>
      <c r="H13" s="10" t="s">
        <v>1670</v>
      </c>
      <c r="I13" s="10" t="s">
        <v>1671</v>
      </c>
      <c r="J13" s="10" t="s">
        <v>1672</v>
      </c>
      <c r="K13" s="10" t="s">
        <v>1673</v>
      </c>
      <c r="L13" s="65" t="str">
        <f t="shared" si="3"/>
        <v>Tirana|Albania|19,818890|41,327499|+1:00 Europe</v>
      </c>
      <c r="M13" s="10" t="s">
        <v>1680</v>
      </c>
      <c r="N13" s="10">
        <f t="shared" si="0"/>
        <v>0</v>
      </c>
      <c r="O13" t="str">
        <f t="shared" si="4"/>
        <v/>
      </c>
      <c r="P13" t="str">
        <f>IF(O13=1,COUNTIF($O$2:O13,1),"")</f>
        <v/>
      </c>
      <c r="Q13" t="str">
        <f>IFERROR(INDEX($M$2:$M$2388,MATCH(ROWS($P$2:P13),$P$2:$P$2388,0)),"")</f>
        <v/>
      </c>
    </row>
    <row r="14" spans="1:21" ht="15" x14ac:dyDescent="0.25">
      <c r="A14" s="10">
        <v>695</v>
      </c>
      <c r="B14" s="10" t="s">
        <v>1681</v>
      </c>
      <c r="C14" s="880">
        <f t="shared" si="1"/>
        <v>3.0505</v>
      </c>
      <c r="D14" s="880">
        <f t="shared" si="2"/>
        <v>36.762999999999998</v>
      </c>
      <c r="E14" s="10">
        <v>3.0505559999999998</v>
      </c>
      <c r="F14" s="10">
        <v>36.763053999999997</v>
      </c>
      <c r="G14" s="10">
        <v>1</v>
      </c>
      <c r="H14" s="10" t="s">
        <v>1670</v>
      </c>
      <c r="I14" s="10" t="s">
        <v>1682</v>
      </c>
      <c r="J14" s="10" t="s">
        <v>1683</v>
      </c>
      <c r="K14" s="10" t="s">
        <v>1684</v>
      </c>
      <c r="L14" s="65" t="str">
        <f t="shared" si="3"/>
        <v>Algiers|Algeria|3,050556|36,763054|+1:00 Africa</v>
      </c>
      <c r="M14" s="10" t="s">
        <v>1685</v>
      </c>
      <c r="N14" s="10">
        <f t="shared" si="0"/>
        <v>0</v>
      </c>
      <c r="O14" t="str">
        <f t="shared" si="4"/>
        <v/>
      </c>
      <c r="P14" t="str">
        <f>IF(O14=1,COUNTIF($O$2:O14,1),"")</f>
        <v/>
      </c>
      <c r="Q14" t="str">
        <f>IFERROR(INDEX($M$2:$M$2388,MATCH(ROWS($P$2:P14),$P$2:$P$2388,0)),"")</f>
        <v/>
      </c>
    </row>
    <row r="15" spans="1:21" ht="15" x14ac:dyDescent="0.25">
      <c r="A15" s="10">
        <v>694</v>
      </c>
      <c r="B15" s="10" t="s">
        <v>1686</v>
      </c>
      <c r="C15" s="880">
        <f t="shared" si="1"/>
        <v>7.7666000000000004</v>
      </c>
      <c r="D15" s="880">
        <f t="shared" si="2"/>
        <v>36.9</v>
      </c>
      <c r="E15" s="10">
        <v>7.766667</v>
      </c>
      <c r="F15" s="10">
        <v>36.900002000000001</v>
      </c>
      <c r="G15" s="10">
        <v>1</v>
      </c>
      <c r="H15" s="10" t="s">
        <v>1670</v>
      </c>
      <c r="I15" s="10" t="s">
        <v>1682</v>
      </c>
      <c r="J15" s="10" t="s">
        <v>1683</v>
      </c>
      <c r="K15" s="10" t="s">
        <v>1684</v>
      </c>
      <c r="L15" s="65" t="str">
        <f t="shared" si="3"/>
        <v>Annaba|Algeria|7,766667|36,900002|+1:00 Africa</v>
      </c>
      <c r="M15" s="10" t="s">
        <v>1687</v>
      </c>
      <c r="N15" s="10">
        <f t="shared" si="0"/>
        <v>0</v>
      </c>
      <c r="O15" t="str">
        <f t="shared" si="4"/>
        <v/>
      </c>
      <c r="P15" t="str">
        <f>IF(O15=1,COUNTIF($O$2:O15,1),"")</f>
        <v/>
      </c>
      <c r="Q15" t="str">
        <f>IFERROR(INDEX($M$2:$M$2388,MATCH(ROWS($P$2:P15),$P$2:$P$2388,0)),"")</f>
        <v/>
      </c>
    </row>
    <row r="16" spans="1:21" ht="15" x14ac:dyDescent="0.25">
      <c r="A16" s="10">
        <v>693</v>
      </c>
      <c r="B16" s="10" t="s">
        <v>1688</v>
      </c>
      <c r="C16" s="880">
        <f t="shared" si="1"/>
        <v>3.1833</v>
      </c>
      <c r="D16" s="880">
        <f t="shared" si="2"/>
        <v>36.7166</v>
      </c>
      <c r="E16" s="10">
        <v>3.1833330000000002</v>
      </c>
      <c r="F16" s="10">
        <v>36.716667000000001</v>
      </c>
      <c r="G16" s="10">
        <v>1</v>
      </c>
      <c r="H16" s="10" t="s">
        <v>1670</v>
      </c>
      <c r="I16" s="10" t="s">
        <v>1682</v>
      </c>
      <c r="J16" s="10" t="s">
        <v>1683</v>
      </c>
      <c r="K16" s="10" t="s">
        <v>1684</v>
      </c>
      <c r="L16" s="65" t="str">
        <f t="shared" si="3"/>
        <v>Bab Ezzouar|Algeria|3,183333|36,716667|+1:00 Africa</v>
      </c>
      <c r="M16" s="10" t="s">
        <v>1689</v>
      </c>
      <c r="N16" s="10">
        <f t="shared" si="0"/>
        <v>0</v>
      </c>
      <c r="O16" t="str">
        <f t="shared" si="4"/>
        <v/>
      </c>
      <c r="P16" t="str">
        <f>IF(O16=1,COUNTIF($O$2:O16,1),"")</f>
        <v/>
      </c>
      <c r="Q16" t="str">
        <f>IFERROR(INDEX($M$2:$M$2388,MATCH(ROWS($P$2:P16),$P$2:$P$2388,0)),"")</f>
        <v/>
      </c>
    </row>
    <row r="17" spans="1:17" ht="15" x14ac:dyDescent="0.25">
      <c r="A17" s="10">
        <v>692</v>
      </c>
      <c r="B17" s="10" t="s">
        <v>1690</v>
      </c>
      <c r="C17" s="880">
        <f t="shared" si="1"/>
        <v>6.1741000000000001</v>
      </c>
      <c r="D17" s="880">
        <f t="shared" si="2"/>
        <v>35.555900000000001</v>
      </c>
      <c r="E17" s="10">
        <v>6.1741450000000002</v>
      </c>
      <c r="F17" s="10">
        <v>35.555968999999997</v>
      </c>
      <c r="G17" s="10">
        <v>1</v>
      </c>
      <c r="H17" s="10" t="s">
        <v>1670</v>
      </c>
      <c r="I17" s="10" t="s">
        <v>1682</v>
      </c>
      <c r="J17" s="10" t="s">
        <v>1683</v>
      </c>
      <c r="K17" s="10" t="s">
        <v>1684</v>
      </c>
      <c r="L17" s="65" t="str">
        <f t="shared" si="3"/>
        <v>Batna|Algeria|6,174145|35,555969|+1:00 Africa</v>
      </c>
      <c r="M17" s="10" t="s">
        <v>1691</v>
      </c>
      <c r="N17" s="10">
        <f t="shared" si="0"/>
        <v>0</v>
      </c>
      <c r="O17" t="str">
        <f t="shared" si="4"/>
        <v/>
      </c>
      <c r="P17" t="str">
        <f>IF(O17=1,COUNTIF($O$2:O17,1),"")</f>
        <v/>
      </c>
      <c r="Q17" t="str">
        <f>IFERROR(INDEX($M$2:$M$2388,MATCH(ROWS($P$2:P17),$P$2:$P$2388,0)),"")</f>
        <v/>
      </c>
    </row>
    <row r="18" spans="1:17" ht="15" x14ac:dyDescent="0.25">
      <c r="A18" s="10">
        <v>691</v>
      </c>
      <c r="B18" s="10" t="s">
        <v>1692</v>
      </c>
      <c r="C18" s="880">
        <f t="shared" si="1"/>
        <v>6.6147</v>
      </c>
      <c r="D18" s="880">
        <f t="shared" si="2"/>
        <v>36.365000000000002</v>
      </c>
      <c r="E18" s="10">
        <v>6.6147220000000004</v>
      </c>
      <c r="F18" s="10">
        <v>36.365001999999997</v>
      </c>
      <c r="G18" s="10">
        <v>1</v>
      </c>
      <c r="H18" s="10" t="s">
        <v>1670</v>
      </c>
      <c r="I18" s="10" t="s">
        <v>1682</v>
      </c>
      <c r="J18" s="10" t="s">
        <v>1683</v>
      </c>
      <c r="K18" s="10" t="s">
        <v>1684</v>
      </c>
      <c r="L18" s="65" t="str">
        <f t="shared" si="3"/>
        <v>Constantine|Algeria|6,614722|36,365002|+1:00 Africa</v>
      </c>
      <c r="M18" s="10" t="s">
        <v>1693</v>
      </c>
      <c r="N18" s="10">
        <f t="shared" si="0"/>
        <v>0</v>
      </c>
      <c r="O18" t="str">
        <f t="shared" si="4"/>
        <v/>
      </c>
      <c r="P18" t="str">
        <f>IF(O18=1,COUNTIF($O$2:O18,1),"")</f>
        <v/>
      </c>
      <c r="Q18" t="str">
        <f>IFERROR(INDEX($M$2:$M$2388,MATCH(ROWS($P$2:P18),$P$2:$P$2388,0)),"")</f>
        <v/>
      </c>
    </row>
    <row r="19" spans="1:17" ht="15" x14ac:dyDescent="0.25">
      <c r="A19" s="10">
        <v>690</v>
      </c>
      <c r="B19" s="10" t="s">
        <v>1694</v>
      </c>
      <c r="C19" s="880">
        <f t="shared" si="1"/>
        <v>-0.64159999999999995</v>
      </c>
      <c r="D19" s="880">
        <f t="shared" si="2"/>
        <v>35.691099999999999</v>
      </c>
      <c r="E19" s="10">
        <v>-0.64166699999999999</v>
      </c>
      <c r="F19" s="10">
        <v>35.691113000000001</v>
      </c>
      <c r="G19" s="10">
        <v>1</v>
      </c>
      <c r="H19" s="10" t="s">
        <v>1670</v>
      </c>
      <c r="I19" s="10" t="s">
        <v>1682</v>
      </c>
      <c r="J19" s="10" t="s">
        <v>1683</v>
      </c>
      <c r="K19" s="10" t="s">
        <v>1684</v>
      </c>
      <c r="L19" s="65" t="str">
        <f t="shared" si="3"/>
        <v>Oran|Algeria|-0,641667|35,691113|+1:00 Africa</v>
      </c>
      <c r="M19" s="10" t="s">
        <v>1695</v>
      </c>
      <c r="N19" s="10">
        <f t="shared" si="0"/>
        <v>0</v>
      </c>
      <c r="O19" t="str">
        <f t="shared" si="4"/>
        <v/>
      </c>
      <c r="P19" t="str">
        <f>IF(O19=1,COUNTIF($O$2:O19,1),"")</f>
        <v/>
      </c>
      <c r="Q19" t="str">
        <f>IFERROR(INDEX($M$2:$M$2388,MATCH(ROWS($P$2:P19),$P$2:$P$2388,0)),"")</f>
        <v/>
      </c>
    </row>
    <row r="20" spans="1:17" ht="15" x14ac:dyDescent="0.25">
      <c r="A20" s="10">
        <v>689</v>
      </c>
      <c r="B20" s="10" t="s">
        <v>1696</v>
      </c>
      <c r="C20" s="880">
        <f t="shared" si="1"/>
        <v>0.76</v>
      </c>
      <c r="D20" s="880">
        <f t="shared" si="2"/>
        <v>35.722499999999997</v>
      </c>
      <c r="E20" s="10">
        <v>0.76</v>
      </c>
      <c r="F20" s="10">
        <v>35.722499999999997</v>
      </c>
      <c r="G20" s="10">
        <v>1</v>
      </c>
      <c r="H20" s="10" t="s">
        <v>1670</v>
      </c>
      <c r="I20" s="10" t="s">
        <v>1682</v>
      </c>
      <c r="J20" s="10" t="s">
        <v>1683</v>
      </c>
      <c r="K20" s="10" t="s">
        <v>1684</v>
      </c>
      <c r="L20" s="65" t="str">
        <f t="shared" si="3"/>
        <v>Zemmora|Algeria|0,760000|35,722500|+1:00 Africa</v>
      </c>
      <c r="M20" s="10" t="s">
        <v>1697</v>
      </c>
      <c r="N20" s="10">
        <f t="shared" si="0"/>
        <v>0</v>
      </c>
      <c r="O20" t="str">
        <f t="shared" si="4"/>
        <v/>
      </c>
      <c r="P20" t="str">
        <f>IF(O20=1,COUNTIF($O$2:O20,1),"")</f>
        <v/>
      </c>
      <c r="Q20" t="str">
        <f>IFERROR(INDEX($M$2:$M$2388,MATCH(ROWS($P$2:P20),$P$2:$P$2388,0)),"")</f>
        <v/>
      </c>
    </row>
    <row r="21" spans="1:17" ht="15" x14ac:dyDescent="0.25">
      <c r="A21" s="10">
        <v>688</v>
      </c>
      <c r="B21" s="10" t="s">
        <v>1698</v>
      </c>
      <c r="C21" s="880">
        <f t="shared" si="1"/>
        <v>2.8433000000000002</v>
      </c>
      <c r="D21" s="880">
        <f t="shared" si="2"/>
        <v>36.714700000000001</v>
      </c>
      <c r="E21" s="10">
        <v>2.8433329999999999</v>
      </c>
      <c r="F21" s="10">
        <v>36.714722000000002</v>
      </c>
      <c r="G21" s="10">
        <v>1</v>
      </c>
      <c r="H21" s="10" t="s">
        <v>1670</v>
      </c>
      <c r="I21" s="10" t="s">
        <v>1682</v>
      </c>
      <c r="J21" s="10" t="s">
        <v>1683</v>
      </c>
      <c r="K21" s="10" t="s">
        <v>1684</v>
      </c>
      <c r="L21" s="65" t="str">
        <f t="shared" si="3"/>
        <v>Zeralda|Algeria|2,843333|36,714722|+1:00 Africa</v>
      </c>
      <c r="M21" s="10" t="s">
        <v>1699</v>
      </c>
      <c r="N21" s="10">
        <f t="shared" si="0"/>
        <v>0</v>
      </c>
      <c r="O21" t="str">
        <f t="shared" si="4"/>
        <v/>
      </c>
      <c r="P21" t="str">
        <f>IF(O21=1,COUNTIF($O$2:O21,1),"")</f>
        <v/>
      </c>
      <c r="Q21" t="str">
        <f>IFERROR(INDEX($M$2:$M$2388,MATCH(ROWS($P$2:P21),$P$2:$P$2388,0)),"")</f>
        <v/>
      </c>
    </row>
    <row r="22" spans="1:17" ht="15" x14ac:dyDescent="0.25">
      <c r="A22" s="10">
        <v>687</v>
      </c>
      <c r="B22" s="10" t="s">
        <v>1700</v>
      </c>
      <c r="C22" s="880">
        <f t="shared" si="1"/>
        <v>6.5166000000000004</v>
      </c>
      <c r="D22" s="880">
        <f t="shared" si="2"/>
        <v>34.683300000000003</v>
      </c>
      <c r="E22" s="10">
        <v>6.516667</v>
      </c>
      <c r="F22" s="10">
        <v>34.683334000000002</v>
      </c>
      <c r="G22" s="10">
        <v>1</v>
      </c>
      <c r="H22" s="10" t="s">
        <v>1670</v>
      </c>
      <c r="I22" s="10" t="s">
        <v>1682</v>
      </c>
      <c r="J22" s="10" t="s">
        <v>1683</v>
      </c>
      <c r="K22" s="10" t="s">
        <v>1684</v>
      </c>
      <c r="L22" s="65" t="str">
        <f t="shared" si="3"/>
        <v>Zeribet el Oued|Algeria|6,516667|34,683334|+1:00 Africa</v>
      </c>
      <c r="M22" s="10" t="s">
        <v>1701</v>
      </c>
      <c r="N22" s="10">
        <f t="shared" si="0"/>
        <v>0</v>
      </c>
      <c r="O22" t="str">
        <f t="shared" si="4"/>
        <v/>
      </c>
      <c r="P22" t="str">
        <f>IF(O22=1,COUNTIF($O$2:O22,1),"")</f>
        <v/>
      </c>
      <c r="Q22" t="str">
        <f>IFERROR(INDEX($M$2:$M$2388,MATCH(ROWS($P$2:P22),$P$2:$P$2388,0)),"")</f>
        <v/>
      </c>
    </row>
    <row r="23" spans="1:17" ht="15" x14ac:dyDescent="0.25">
      <c r="A23" s="10">
        <v>61</v>
      </c>
      <c r="B23" s="10" t="s">
        <v>1702</v>
      </c>
      <c r="C23" s="880">
        <f t="shared" si="1"/>
        <v>-170.72</v>
      </c>
      <c r="D23" s="880">
        <f t="shared" si="2"/>
        <v>-14.335800000000001</v>
      </c>
      <c r="E23" s="10">
        <v>-170.720001</v>
      </c>
      <c r="F23" s="10">
        <v>-14.33583</v>
      </c>
      <c r="G23" s="10">
        <v>-11</v>
      </c>
      <c r="H23" s="10" t="s">
        <v>1703</v>
      </c>
      <c r="I23" s="10" t="s">
        <v>1704</v>
      </c>
      <c r="J23" s="10" t="s">
        <v>1705</v>
      </c>
      <c r="K23" s="10" t="s">
        <v>1706</v>
      </c>
      <c r="L23" s="65" t="str">
        <f t="shared" si="3"/>
        <v>Tafuna|American Samoa|-170,720001|-14,335830|-11:00 Pacific</v>
      </c>
      <c r="M23" s="10" t="s">
        <v>1707</v>
      </c>
      <c r="N23" s="10">
        <f t="shared" si="0"/>
        <v>0</v>
      </c>
      <c r="O23" t="str">
        <f t="shared" si="4"/>
        <v/>
      </c>
      <c r="P23" t="str">
        <f>IF(O23=1,COUNTIF($O$2:O23,1),"")</f>
        <v/>
      </c>
      <c r="Q23" t="str">
        <f>IFERROR(INDEX($M$2:$M$2388,MATCH(ROWS($P$2:P23),$P$2:$P$2388,0)),"")</f>
        <v/>
      </c>
    </row>
    <row r="24" spans="1:17" ht="15" x14ac:dyDescent="0.25">
      <c r="A24" s="10">
        <v>3</v>
      </c>
      <c r="B24" s="10" t="s">
        <v>1708</v>
      </c>
      <c r="C24" s="880">
        <f t="shared" si="1"/>
        <v>1.5147999999999999</v>
      </c>
      <c r="D24" s="880">
        <f t="shared" si="2"/>
        <v>42.544899999999998</v>
      </c>
      <c r="E24" s="10">
        <v>1.514826</v>
      </c>
      <c r="F24" s="10">
        <v>42.544986999999999</v>
      </c>
      <c r="G24" s="10">
        <v>1</v>
      </c>
      <c r="H24" s="10" t="s">
        <v>1670</v>
      </c>
      <c r="I24" s="10" t="s">
        <v>1709</v>
      </c>
      <c r="J24" s="10" t="s">
        <v>1710</v>
      </c>
      <c r="K24" s="10" t="s">
        <v>1711</v>
      </c>
      <c r="L24" s="65" t="str">
        <f t="shared" si="3"/>
        <v>la Massana|Andorra|1,514826|42,544987|+1:00 Europe</v>
      </c>
      <c r="M24" s="10" t="s">
        <v>1712</v>
      </c>
      <c r="N24" s="10">
        <f t="shared" si="0"/>
        <v>0</v>
      </c>
      <c r="O24" t="str">
        <f t="shared" si="4"/>
        <v/>
      </c>
      <c r="P24" t="str">
        <f>IF(O24=1,COUNTIF($O$2:O24,1),"")</f>
        <v/>
      </c>
      <c r="Q24" t="str">
        <f>IFERROR(INDEX($M$2:$M$2388,MATCH(ROWS($P$2:P24),$P$2:$P$2388,0)),"")</f>
        <v/>
      </c>
    </row>
    <row r="25" spans="1:17" ht="15" x14ac:dyDescent="0.25">
      <c r="A25" s="10">
        <v>2</v>
      </c>
      <c r="B25" s="10" t="s">
        <v>1713</v>
      </c>
      <c r="C25" s="880">
        <f t="shared" si="1"/>
        <v>1.5341</v>
      </c>
      <c r="D25" s="880">
        <f t="shared" si="2"/>
        <v>42.507199999999997</v>
      </c>
      <c r="E25" s="10">
        <v>1.534138</v>
      </c>
      <c r="F25" s="10">
        <v>42.507286000000001</v>
      </c>
      <c r="G25" s="10">
        <v>1</v>
      </c>
      <c r="H25" s="10" t="s">
        <v>1670</v>
      </c>
      <c r="I25" s="10" t="s">
        <v>1709</v>
      </c>
      <c r="J25" s="10" t="s">
        <v>1710</v>
      </c>
      <c r="K25" s="10" t="s">
        <v>1711</v>
      </c>
      <c r="L25" s="65" t="str">
        <f t="shared" si="3"/>
        <v>les Escaldes|Andorra|1,534138|42,507286|+1:00 Europe</v>
      </c>
      <c r="M25" s="10" t="s">
        <v>1714</v>
      </c>
      <c r="N25" s="10">
        <f t="shared" si="0"/>
        <v>0</v>
      </c>
      <c r="O25" t="str">
        <f t="shared" si="4"/>
        <v/>
      </c>
      <c r="P25" t="str">
        <f>IF(O25=1,COUNTIF($O$2:O25,1),"")</f>
        <v/>
      </c>
      <c r="Q25" t="str">
        <f>IFERROR(INDEX($M$2:$M$2388,MATCH(ROWS($P$2:P25),$P$2:$P$2388,0)),"")</f>
        <v/>
      </c>
    </row>
    <row r="26" spans="1:17" ht="15" x14ac:dyDescent="0.25">
      <c r="A26" s="10">
        <v>1</v>
      </c>
      <c r="B26" s="10" t="s">
        <v>1715</v>
      </c>
      <c r="C26" s="880">
        <f t="shared" si="1"/>
        <v>1.4912000000000001</v>
      </c>
      <c r="D26" s="880">
        <f t="shared" si="2"/>
        <v>42.463700000000003</v>
      </c>
      <c r="E26" s="10">
        <v>1.491287</v>
      </c>
      <c r="F26" s="10">
        <v>42.463721999999997</v>
      </c>
      <c r="G26" s="10">
        <v>1</v>
      </c>
      <c r="H26" s="10" t="s">
        <v>1670</v>
      </c>
      <c r="I26" s="10" t="s">
        <v>1709</v>
      </c>
      <c r="J26" s="10" t="s">
        <v>1710</v>
      </c>
      <c r="K26" s="10" t="s">
        <v>1711</v>
      </c>
      <c r="L26" s="65" t="str">
        <f t="shared" si="3"/>
        <v>Sant Julia de Loria|Andorra|1,491287|42,463722|+1:00 Europe</v>
      </c>
      <c r="M26" s="10" t="s">
        <v>1716</v>
      </c>
      <c r="N26" s="10">
        <f t="shared" si="0"/>
        <v>0</v>
      </c>
      <c r="O26" t="str">
        <f t="shared" si="4"/>
        <v/>
      </c>
      <c r="P26" t="str">
        <f>IF(O26=1,COUNTIF($O$2:O26,1),"")</f>
        <v/>
      </c>
      <c r="Q26" t="str">
        <f>IFERROR(INDEX($M$2:$M$2388,MATCH(ROWS($P$2:P26),$P$2:$P$2388,0)),"")</f>
        <v/>
      </c>
    </row>
    <row r="27" spans="1:17" ht="15" x14ac:dyDescent="0.25">
      <c r="A27" s="10">
        <v>37</v>
      </c>
      <c r="B27" s="10" t="s">
        <v>1717</v>
      </c>
      <c r="C27" s="880">
        <f t="shared" si="1"/>
        <v>15.739100000000001</v>
      </c>
      <c r="D27" s="880">
        <f t="shared" si="2"/>
        <v>-12.7761</v>
      </c>
      <c r="E27" s="10">
        <v>15.739166000000001</v>
      </c>
      <c r="F27" s="10">
        <v>-12.776111</v>
      </c>
      <c r="G27" s="10">
        <v>1</v>
      </c>
      <c r="H27" s="10" t="s">
        <v>1670</v>
      </c>
      <c r="I27" s="10" t="s">
        <v>1718</v>
      </c>
      <c r="J27" s="10" t="s">
        <v>1719</v>
      </c>
      <c r="K27" s="10" t="s">
        <v>1720</v>
      </c>
      <c r="L27" s="65" t="str">
        <f t="shared" si="3"/>
        <v>Huambo|Angola|15,739166|-12,776111|+1:00 Africa</v>
      </c>
      <c r="M27" s="10" t="s">
        <v>1721</v>
      </c>
      <c r="N27" s="10">
        <f t="shared" si="0"/>
        <v>0</v>
      </c>
      <c r="O27" t="str">
        <f t="shared" si="4"/>
        <v/>
      </c>
      <c r="P27" t="str">
        <f>IF(O27=1,COUNTIF($O$2:O27,1),"")</f>
        <v/>
      </c>
      <c r="Q27" t="str">
        <f>IFERROR(INDEX($M$2:$M$2388,MATCH(ROWS($P$2:P27),$P$2:$P$2388,0)),"")</f>
        <v/>
      </c>
    </row>
    <row r="28" spans="1:17" ht="15" x14ac:dyDescent="0.25">
      <c r="A28" s="10">
        <v>36</v>
      </c>
      <c r="B28" s="10" t="s">
        <v>1722</v>
      </c>
      <c r="C28" s="880">
        <f t="shared" si="1"/>
        <v>13.545500000000001</v>
      </c>
      <c r="D28" s="880">
        <f t="shared" si="2"/>
        <v>-12.348000000000001</v>
      </c>
      <c r="E28" s="10">
        <v>13.545555999999999</v>
      </c>
      <c r="F28" s="10">
        <v>-12.348056</v>
      </c>
      <c r="G28" s="10">
        <v>1</v>
      </c>
      <c r="H28" s="10" t="s">
        <v>1670</v>
      </c>
      <c r="I28" s="10" t="s">
        <v>1718</v>
      </c>
      <c r="J28" s="10" t="s">
        <v>1719</v>
      </c>
      <c r="K28" s="10" t="s">
        <v>1720</v>
      </c>
      <c r="L28" s="65" t="str">
        <f t="shared" si="3"/>
        <v>Lobito|Angola|13,545556|-12,348056|+1:00 Africa</v>
      </c>
      <c r="M28" s="10" t="s">
        <v>1723</v>
      </c>
      <c r="N28" s="10">
        <f t="shared" si="0"/>
        <v>0</v>
      </c>
      <c r="O28" t="str">
        <f t="shared" si="4"/>
        <v/>
      </c>
      <c r="P28" t="str">
        <f>IF(O28=1,COUNTIF($O$2:O28,1),"")</f>
        <v/>
      </c>
      <c r="Q28" t="str">
        <f>IFERROR(INDEX($M$2:$M$2388,MATCH(ROWS($P$2:P28),$P$2:$P$2388,0)),"")</f>
        <v/>
      </c>
    </row>
    <row r="29" spans="1:17" ht="15" x14ac:dyDescent="0.25">
      <c r="A29" s="10">
        <v>35</v>
      </c>
      <c r="B29" s="10" t="s">
        <v>1724</v>
      </c>
      <c r="C29" s="880">
        <f t="shared" si="1"/>
        <v>13.234400000000001</v>
      </c>
      <c r="D29" s="880">
        <f t="shared" si="2"/>
        <v>-8.8383000000000003</v>
      </c>
      <c r="E29" s="10">
        <v>13.234444999999999</v>
      </c>
      <c r="F29" s="10">
        <v>-8.8383330000000004</v>
      </c>
      <c r="G29" s="10">
        <v>1</v>
      </c>
      <c r="H29" s="10" t="s">
        <v>1670</v>
      </c>
      <c r="I29" s="10" t="s">
        <v>1718</v>
      </c>
      <c r="J29" s="10" t="s">
        <v>1719</v>
      </c>
      <c r="K29" s="10" t="s">
        <v>1720</v>
      </c>
      <c r="L29" s="65" t="str">
        <f t="shared" si="3"/>
        <v>Luanda|Angola|13,234445|-8,838333|+1:00 Africa</v>
      </c>
      <c r="M29" s="10" t="s">
        <v>1725</v>
      </c>
      <c r="N29" s="10">
        <f t="shared" si="0"/>
        <v>0</v>
      </c>
      <c r="O29" t="str">
        <f t="shared" si="4"/>
        <v/>
      </c>
      <c r="P29" t="str">
        <f>IF(O29=1,COUNTIF($O$2:O29,1),"")</f>
        <v/>
      </c>
      <c r="Q29" t="str">
        <f>IFERROR(INDEX($M$2:$M$2388,MATCH(ROWS($P$2:P29),$P$2:$P$2388,0)),"")</f>
        <v/>
      </c>
    </row>
    <row r="30" spans="1:17" ht="15" x14ac:dyDescent="0.25">
      <c r="A30" s="10">
        <v>34</v>
      </c>
      <c r="B30" s="10" t="s">
        <v>1726</v>
      </c>
      <c r="C30" s="880">
        <f t="shared" si="1"/>
        <v>22.2333</v>
      </c>
      <c r="D30" s="880">
        <f t="shared" si="2"/>
        <v>-10.7</v>
      </c>
      <c r="E30" s="10">
        <v>22.233333999999999</v>
      </c>
      <c r="F30" s="10">
        <v>-10.7</v>
      </c>
      <c r="G30" s="10">
        <v>1</v>
      </c>
      <c r="H30" s="10" t="s">
        <v>1670</v>
      </c>
      <c r="I30" s="10" t="s">
        <v>1718</v>
      </c>
      <c r="J30" s="10" t="s">
        <v>1719</v>
      </c>
      <c r="K30" s="10" t="s">
        <v>1720</v>
      </c>
      <c r="L30" s="65" t="str">
        <f t="shared" si="3"/>
        <v>Luau|Angola|22,233334|-10,700000|+1:00 Africa</v>
      </c>
      <c r="M30" s="10" t="s">
        <v>1727</v>
      </c>
      <c r="N30" s="10">
        <f t="shared" si="0"/>
        <v>0</v>
      </c>
      <c r="O30" t="str">
        <f t="shared" si="4"/>
        <v/>
      </c>
      <c r="P30" t="str">
        <f>IF(O30=1,COUNTIF($O$2:O30,1),"")</f>
        <v/>
      </c>
      <c r="Q30" t="str">
        <f>IFERROR(INDEX($M$2:$M$2388,MATCH(ROWS($P$2:P30),$P$2:$P$2388,0)),"")</f>
        <v/>
      </c>
    </row>
    <row r="31" spans="1:17" ht="15" x14ac:dyDescent="0.25">
      <c r="A31" s="10">
        <v>33</v>
      </c>
      <c r="B31" s="10" t="s">
        <v>1728</v>
      </c>
      <c r="C31" s="880">
        <f t="shared" si="1"/>
        <v>20.75</v>
      </c>
      <c r="D31" s="880">
        <f t="shared" si="2"/>
        <v>-8.4166000000000007</v>
      </c>
      <c r="E31" s="10">
        <v>20.75</v>
      </c>
      <c r="F31" s="10">
        <v>-8.4166670000000003</v>
      </c>
      <c r="G31" s="10">
        <v>1</v>
      </c>
      <c r="H31" s="10" t="s">
        <v>1670</v>
      </c>
      <c r="I31" s="10" t="s">
        <v>1718</v>
      </c>
      <c r="J31" s="10" t="s">
        <v>1719</v>
      </c>
      <c r="K31" s="10" t="s">
        <v>1720</v>
      </c>
      <c r="L31" s="65" t="str">
        <f t="shared" si="3"/>
        <v>Lucapa|Angola|20,750000|-8,416667|+1:00 Africa</v>
      </c>
      <c r="M31" s="10" t="s">
        <v>1729</v>
      </c>
      <c r="N31" s="10">
        <f t="shared" si="0"/>
        <v>0</v>
      </c>
      <c r="O31" t="str">
        <f t="shared" si="4"/>
        <v/>
      </c>
      <c r="P31" t="str">
        <f>IF(O31=1,COUNTIF($O$2:O31,1),"")</f>
        <v/>
      </c>
      <c r="Q31" t="str">
        <f>IFERROR(INDEX($M$2:$M$2388,MATCH(ROWS($P$2:P31),$P$2:$P$2388,0)),"")</f>
        <v/>
      </c>
    </row>
    <row r="32" spans="1:17" ht="15" x14ac:dyDescent="0.25">
      <c r="A32" s="10">
        <v>32</v>
      </c>
      <c r="B32" s="10" t="s">
        <v>1730</v>
      </c>
      <c r="C32" s="880">
        <f t="shared" si="1"/>
        <v>20.399999999999999</v>
      </c>
      <c r="D32" s="880">
        <f t="shared" si="2"/>
        <v>-9.65</v>
      </c>
      <c r="E32" s="10">
        <v>20.399999999999999</v>
      </c>
      <c r="F32" s="10">
        <v>-9.65</v>
      </c>
      <c r="G32" s="10">
        <v>1</v>
      </c>
      <c r="H32" s="10" t="s">
        <v>1670</v>
      </c>
      <c r="I32" s="10" t="s">
        <v>1718</v>
      </c>
      <c r="J32" s="10" t="s">
        <v>1719</v>
      </c>
      <c r="K32" s="10" t="s">
        <v>1720</v>
      </c>
      <c r="L32" s="65" t="str">
        <f t="shared" si="3"/>
        <v>Saurimo|Angola|20,400000|-9,650000|+1:00 Africa</v>
      </c>
      <c r="M32" s="10" t="s">
        <v>1731</v>
      </c>
      <c r="N32" s="10">
        <f t="shared" si="0"/>
        <v>0</v>
      </c>
      <c r="O32" t="str">
        <f t="shared" si="4"/>
        <v/>
      </c>
      <c r="P32" t="str">
        <f>IF(O32=1,COUNTIF($O$2:O32,1),"")</f>
        <v/>
      </c>
      <c r="Q32" t="str">
        <f>IFERROR(INDEX($M$2:$M$2388,MATCH(ROWS($P$2:P32),$P$2:$P$2388,0)),"")</f>
        <v/>
      </c>
    </row>
    <row r="33" spans="1:17" ht="15" x14ac:dyDescent="0.25">
      <c r="A33" s="10">
        <v>20</v>
      </c>
      <c r="B33" s="10" t="s">
        <v>1732</v>
      </c>
      <c r="C33" s="880">
        <f t="shared" si="1"/>
        <v>-61.849899999999998</v>
      </c>
      <c r="D33" s="880">
        <f t="shared" si="2"/>
        <v>17.116599999999998</v>
      </c>
      <c r="E33" s="10">
        <v>-61.849997999999999</v>
      </c>
      <c r="F33" s="10">
        <v>17.116667</v>
      </c>
      <c r="G33" s="10">
        <v>-4</v>
      </c>
      <c r="H33" s="10" t="s">
        <v>1733</v>
      </c>
      <c r="I33" s="10" t="s">
        <v>1734</v>
      </c>
      <c r="J33" s="10" t="s">
        <v>1735</v>
      </c>
      <c r="K33" s="10" t="s">
        <v>1736</v>
      </c>
      <c r="L33" s="65" t="str">
        <f t="shared" si="3"/>
        <v>Saint John's|Antigua|-61,849998|17,116667|-4:00 America</v>
      </c>
      <c r="M33" s="10" t="s">
        <v>1737</v>
      </c>
      <c r="N33" s="10">
        <f t="shared" si="0"/>
        <v>0</v>
      </c>
      <c r="O33" t="str">
        <f t="shared" si="4"/>
        <v/>
      </c>
      <c r="P33" t="str">
        <f>IF(O33=1,COUNTIF($O$2:O33,1),"")</f>
        <v/>
      </c>
      <c r="Q33" t="str">
        <f>IFERROR(INDEX($M$2:$M$2388,MATCH(ROWS($P$2:P33),$P$2:$P$2388,0)),"")</f>
        <v/>
      </c>
    </row>
    <row r="34" spans="1:17" ht="15" x14ac:dyDescent="0.25">
      <c r="A34" s="10">
        <v>60</v>
      </c>
      <c r="B34" s="10" t="s">
        <v>1738</v>
      </c>
      <c r="C34" s="880">
        <f t="shared" si="1"/>
        <v>-62.283299999999997</v>
      </c>
      <c r="D34" s="880">
        <f t="shared" si="2"/>
        <v>-38.7166</v>
      </c>
      <c r="E34" s="10">
        <v>-62.283332999999999</v>
      </c>
      <c r="F34" s="10">
        <v>-38.716667000000001</v>
      </c>
      <c r="G34" s="10">
        <v>-3</v>
      </c>
      <c r="H34" s="10" t="s">
        <v>1739</v>
      </c>
      <c r="I34" s="10" t="s">
        <v>1740</v>
      </c>
      <c r="J34" s="10" t="s">
        <v>1741</v>
      </c>
      <c r="K34" s="10" t="s">
        <v>1742</v>
      </c>
      <c r="L34" s="65" t="str">
        <f t="shared" si="3"/>
        <v>Bahia Blanca|Argentina|-62,283333|-38,716667|-3:00 America</v>
      </c>
      <c r="M34" s="10" t="s">
        <v>1743</v>
      </c>
      <c r="N34" s="10">
        <f t="shared" si="0"/>
        <v>0</v>
      </c>
      <c r="O34" t="str">
        <f t="shared" si="4"/>
        <v/>
      </c>
      <c r="P34" t="str">
        <f>IF(O34=1,COUNTIF($O$2:O34,1),"")</f>
        <v/>
      </c>
      <c r="Q34" t="str">
        <f>IFERROR(INDEX($M$2:$M$2388,MATCH(ROWS($P$2:P34),$P$2:$P$2388,0)),"")</f>
        <v/>
      </c>
    </row>
    <row r="35" spans="1:17" ht="15" x14ac:dyDescent="0.25">
      <c r="A35" s="10">
        <v>48</v>
      </c>
      <c r="B35" s="10" t="s">
        <v>1744</v>
      </c>
      <c r="C35" s="880">
        <f t="shared" si="1"/>
        <v>-58.408799999999999</v>
      </c>
      <c r="D35" s="880">
        <f t="shared" si="2"/>
        <v>-34.576099999999997</v>
      </c>
      <c r="E35" s="10">
        <v>-58.408813000000002</v>
      </c>
      <c r="F35" s="10">
        <v>-34.576126000000002</v>
      </c>
      <c r="G35" s="10">
        <v>-3</v>
      </c>
      <c r="H35" s="10" t="s">
        <v>1739</v>
      </c>
      <c r="I35" s="10" t="s">
        <v>1740</v>
      </c>
      <c r="J35" s="10" t="s">
        <v>1741</v>
      </c>
      <c r="K35" s="10" t="s">
        <v>1742</v>
      </c>
      <c r="L35" s="65" t="str">
        <f t="shared" si="3"/>
        <v>Buenos Aires|Argentina|-58,408813|-34,576126|-3:00 America</v>
      </c>
      <c r="M35" s="10" t="s">
        <v>1745</v>
      </c>
      <c r="N35" s="10">
        <f t="shared" si="0"/>
        <v>0</v>
      </c>
      <c r="O35" t="str">
        <f t="shared" si="4"/>
        <v/>
      </c>
      <c r="P35" t="str">
        <f>IF(O35=1,COUNTIF($O$2:O35,1),"")</f>
        <v/>
      </c>
      <c r="Q35" t="str">
        <f>IFERROR(INDEX($M$2:$M$2388,MATCH(ROWS($P$2:P35),$P$2:$P$2388,0)),"")</f>
        <v/>
      </c>
    </row>
    <row r="36" spans="1:17" ht="15" x14ac:dyDescent="0.25">
      <c r="A36" s="10">
        <v>59</v>
      </c>
      <c r="B36" s="10" t="s">
        <v>1746</v>
      </c>
      <c r="C36" s="880">
        <f t="shared" si="1"/>
        <v>-64.183300000000003</v>
      </c>
      <c r="D36" s="880">
        <f t="shared" si="2"/>
        <v>-31.4</v>
      </c>
      <c r="E36" s="10">
        <v>-64.183334000000002</v>
      </c>
      <c r="F36" s="10">
        <v>-31.4</v>
      </c>
      <c r="G36" s="10">
        <v>-3</v>
      </c>
      <c r="H36" s="10" t="s">
        <v>1739</v>
      </c>
      <c r="I36" s="10" t="s">
        <v>1740</v>
      </c>
      <c r="J36" s="10" t="s">
        <v>1741</v>
      </c>
      <c r="K36" s="10" t="s">
        <v>1747</v>
      </c>
      <c r="L36" s="65" t="str">
        <f t="shared" si="3"/>
        <v>Cordoba|Argentina|-64,183334|-31,400000|-3:00 America</v>
      </c>
      <c r="M36" s="10" t="s">
        <v>1748</v>
      </c>
      <c r="N36" s="10">
        <f t="shared" si="0"/>
        <v>0</v>
      </c>
      <c r="O36" t="str">
        <f t="shared" si="4"/>
        <v/>
      </c>
      <c r="P36" t="str">
        <f>IF(O36=1,COUNTIF($O$2:O36,1),"")</f>
        <v/>
      </c>
      <c r="Q36" t="str">
        <f>IFERROR(INDEX($M$2:$M$2388,MATCH(ROWS($P$2:P36),$P$2:$P$2388,0)),"")</f>
        <v/>
      </c>
    </row>
    <row r="37" spans="1:17" ht="15" x14ac:dyDescent="0.25">
      <c r="A37" s="10">
        <v>47</v>
      </c>
      <c r="B37" s="10" t="s">
        <v>1749</v>
      </c>
      <c r="C37" s="880">
        <f t="shared" si="1"/>
        <v>-58.833300000000001</v>
      </c>
      <c r="D37" s="880">
        <f t="shared" si="2"/>
        <v>-27.4666</v>
      </c>
      <c r="E37" s="10">
        <v>-58.833331999999999</v>
      </c>
      <c r="F37" s="10">
        <v>-27.466667000000001</v>
      </c>
      <c r="G37" s="10">
        <v>-3</v>
      </c>
      <c r="H37" s="10" t="s">
        <v>1739</v>
      </c>
      <c r="I37" s="10" t="s">
        <v>1740</v>
      </c>
      <c r="J37" s="10" t="s">
        <v>1741</v>
      </c>
      <c r="K37" s="10" t="s">
        <v>1750</v>
      </c>
      <c r="L37" s="65" t="str">
        <f t="shared" si="3"/>
        <v>Corrientes|Argentina|-58,833332|-27,466667|-3:00 America</v>
      </c>
      <c r="M37" s="10" t="s">
        <v>1751</v>
      </c>
      <c r="N37" s="10">
        <f t="shared" si="0"/>
        <v>0</v>
      </c>
      <c r="O37" t="str">
        <f t="shared" si="4"/>
        <v/>
      </c>
      <c r="P37" t="str">
        <f>IF(O37=1,COUNTIF($O$2:O37,1),"")</f>
        <v/>
      </c>
      <c r="Q37" t="str">
        <f>IFERROR(INDEX($M$2:$M$2388,MATCH(ROWS($P$2:P37),$P$2:$P$2388,0)),"")</f>
        <v/>
      </c>
    </row>
    <row r="38" spans="1:17" ht="15" x14ac:dyDescent="0.25">
      <c r="A38" s="10">
        <v>46</v>
      </c>
      <c r="B38" s="10" t="s">
        <v>1752</v>
      </c>
      <c r="C38" s="880">
        <f t="shared" si="1"/>
        <v>-58.183300000000003</v>
      </c>
      <c r="D38" s="880">
        <f t="shared" si="2"/>
        <v>-26.183299999999999</v>
      </c>
      <c r="E38" s="10">
        <v>-58.183334000000002</v>
      </c>
      <c r="F38" s="10">
        <v>-26.183332</v>
      </c>
      <c r="G38" s="10">
        <v>-3</v>
      </c>
      <c r="H38" s="10" t="s">
        <v>1739</v>
      </c>
      <c r="I38" s="10" t="s">
        <v>1740</v>
      </c>
      <c r="J38" s="10" t="s">
        <v>1741</v>
      </c>
      <c r="K38" s="10" t="s">
        <v>1750</v>
      </c>
      <c r="L38" s="65" t="str">
        <f t="shared" si="3"/>
        <v>Formosa|Argentina|-58,183334|-26,183332|-3:00 America</v>
      </c>
      <c r="M38" s="10" t="s">
        <v>1753</v>
      </c>
      <c r="N38" s="10">
        <f t="shared" si="0"/>
        <v>0</v>
      </c>
      <c r="O38" t="str">
        <f t="shared" si="4"/>
        <v/>
      </c>
      <c r="P38" t="str">
        <f>IF(O38=1,COUNTIF($O$2:O38,1),"")</f>
        <v/>
      </c>
      <c r="Q38" t="str">
        <f>IFERROR(INDEX($M$2:$M$2388,MATCH(ROWS($P$2:P38),$P$2:$P$2388,0)),"")</f>
        <v/>
      </c>
    </row>
    <row r="39" spans="1:17" ht="15" x14ac:dyDescent="0.25">
      <c r="A39" s="10">
        <v>45</v>
      </c>
      <c r="B39" s="10" t="s">
        <v>1754</v>
      </c>
      <c r="C39" s="880">
        <f t="shared" si="1"/>
        <v>-57.948799999999999</v>
      </c>
      <c r="D39" s="880">
        <f t="shared" si="2"/>
        <v>-34.9313</v>
      </c>
      <c r="E39" s="10">
        <v>-57.948891000000003</v>
      </c>
      <c r="F39" s="10">
        <v>-34.931389000000003</v>
      </c>
      <c r="G39" s="10">
        <v>-3</v>
      </c>
      <c r="H39" s="10" t="s">
        <v>1739</v>
      </c>
      <c r="I39" s="10" t="s">
        <v>1740</v>
      </c>
      <c r="J39" s="10" t="s">
        <v>1741</v>
      </c>
      <c r="K39" s="10" t="s">
        <v>1742</v>
      </c>
      <c r="L39" s="65" t="str">
        <f t="shared" si="3"/>
        <v>La Plata|Argentina|-57,948891|-34,931389|-3:00 America</v>
      </c>
      <c r="M39" s="10" t="s">
        <v>1755</v>
      </c>
      <c r="N39" s="10">
        <f t="shared" si="0"/>
        <v>0</v>
      </c>
      <c r="O39" t="str">
        <f t="shared" si="4"/>
        <v/>
      </c>
      <c r="P39" t="str">
        <f>IF(O39=1,COUNTIF($O$2:O39,1),"")</f>
        <v/>
      </c>
      <c r="Q39" t="str">
        <f>IFERROR(INDEX($M$2:$M$2388,MATCH(ROWS($P$2:P39),$P$2:$P$2388,0)),"")</f>
        <v/>
      </c>
    </row>
    <row r="40" spans="1:17" ht="15" x14ac:dyDescent="0.25">
      <c r="A40" s="10">
        <v>44</v>
      </c>
      <c r="B40" s="10" t="s">
        <v>1756</v>
      </c>
      <c r="C40" s="880">
        <f t="shared" si="1"/>
        <v>-57.549900000000001</v>
      </c>
      <c r="D40" s="880">
        <f t="shared" si="2"/>
        <v>-38</v>
      </c>
      <c r="E40" s="10">
        <v>-57.549999</v>
      </c>
      <c r="F40" s="10">
        <v>-38</v>
      </c>
      <c r="G40" s="10">
        <v>-3</v>
      </c>
      <c r="H40" s="10" t="s">
        <v>1739</v>
      </c>
      <c r="I40" s="10" t="s">
        <v>1740</v>
      </c>
      <c r="J40" s="10" t="s">
        <v>1741</v>
      </c>
      <c r="K40" s="10" t="s">
        <v>1742</v>
      </c>
      <c r="L40" s="65" t="str">
        <f t="shared" si="3"/>
        <v>Mar del Plata|Argentina|-57,549999|-38,000000|-3:00 America</v>
      </c>
      <c r="M40" s="10" t="s">
        <v>1757</v>
      </c>
      <c r="N40" s="10">
        <f t="shared" si="0"/>
        <v>0</v>
      </c>
      <c r="O40" t="str">
        <f t="shared" si="4"/>
        <v/>
      </c>
      <c r="P40" t="str">
        <f>IF(O40=1,COUNTIF($O$2:O40,1),"")</f>
        <v/>
      </c>
      <c r="Q40" t="str">
        <f>IFERROR(INDEX($M$2:$M$2388,MATCH(ROWS($P$2:P40),$P$2:$P$2388,0)),"")</f>
        <v/>
      </c>
    </row>
    <row r="41" spans="1:17" ht="15" x14ac:dyDescent="0.25">
      <c r="A41" s="10">
        <v>58</v>
      </c>
      <c r="B41" s="10" t="s">
        <v>1758</v>
      </c>
      <c r="C41" s="880">
        <f t="shared" si="1"/>
        <v>-68.816599999999994</v>
      </c>
      <c r="D41" s="880">
        <f t="shared" si="2"/>
        <v>-32.883299999999998</v>
      </c>
      <c r="E41" s="10">
        <v>-68.816665999999998</v>
      </c>
      <c r="F41" s="10">
        <v>-32.883335000000002</v>
      </c>
      <c r="G41" s="10">
        <v>-3</v>
      </c>
      <c r="H41" s="10" t="s">
        <v>1739</v>
      </c>
      <c r="I41" s="10" t="s">
        <v>1740</v>
      </c>
      <c r="J41" s="10" t="s">
        <v>1741</v>
      </c>
      <c r="K41" s="10" t="s">
        <v>1759</v>
      </c>
      <c r="L41" s="65" t="str">
        <f t="shared" si="3"/>
        <v>Mendoza|Argentina|-68,816666|-32,883335|-3:00 America</v>
      </c>
      <c r="M41" s="10" t="s">
        <v>1760</v>
      </c>
      <c r="N41" s="10">
        <f t="shared" si="0"/>
        <v>0</v>
      </c>
      <c r="O41" t="str">
        <f t="shared" si="4"/>
        <v/>
      </c>
      <c r="P41" t="str">
        <f>IF(O41=1,COUNTIF($O$2:O41,1),"")</f>
        <v/>
      </c>
      <c r="Q41" t="str">
        <f>IFERROR(INDEX($M$2:$M$2388,MATCH(ROWS($P$2:P41),$P$2:$P$2388,0)),"")</f>
        <v/>
      </c>
    </row>
    <row r="42" spans="1:17" ht="15" x14ac:dyDescent="0.25">
      <c r="A42" s="10">
        <v>57</v>
      </c>
      <c r="B42" s="10" t="s">
        <v>1761</v>
      </c>
      <c r="C42" s="880">
        <f t="shared" si="1"/>
        <v>-68.066599999999994</v>
      </c>
      <c r="D42" s="880">
        <f t="shared" si="2"/>
        <v>-38.950000000000003</v>
      </c>
      <c r="E42" s="10">
        <v>-68.066665999999998</v>
      </c>
      <c r="F42" s="10">
        <v>-38.950001</v>
      </c>
      <c r="G42" s="10">
        <v>-3</v>
      </c>
      <c r="H42" s="10" t="s">
        <v>1739</v>
      </c>
      <c r="I42" s="10" t="s">
        <v>1740</v>
      </c>
      <c r="J42" s="10" t="s">
        <v>1741</v>
      </c>
      <c r="K42" s="10" t="s">
        <v>1759</v>
      </c>
      <c r="L42" s="65" t="str">
        <f t="shared" si="3"/>
        <v>Neuquen|Argentina|-68,066666|-38,950001|-3:00 America</v>
      </c>
      <c r="M42" s="10" t="s">
        <v>1762</v>
      </c>
      <c r="N42" s="10">
        <f t="shared" si="0"/>
        <v>0</v>
      </c>
      <c r="O42" t="str">
        <f t="shared" si="4"/>
        <v/>
      </c>
      <c r="P42" t="str">
        <f>IF(O42=1,COUNTIF($O$2:O42,1),"")</f>
        <v/>
      </c>
      <c r="Q42" t="str">
        <f>IFERROR(INDEX($M$2:$M$2388,MATCH(ROWS($P$2:P42),$P$2:$P$2388,0)),"")</f>
        <v/>
      </c>
    </row>
    <row r="43" spans="1:17" ht="15" x14ac:dyDescent="0.25">
      <c r="A43" s="10">
        <v>56</v>
      </c>
      <c r="B43" s="10" t="s">
        <v>1763</v>
      </c>
      <c r="C43" s="880">
        <f t="shared" si="1"/>
        <v>-60.533299999999997</v>
      </c>
      <c r="D43" s="880">
        <f t="shared" si="2"/>
        <v>-31.7333</v>
      </c>
      <c r="E43" s="10">
        <v>-60.533332999999999</v>
      </c>
      <c r="F43" s="10">
        <v>-31.733333999999999</v>
      </c>
      <c r="G43" s="10">
        <v>-3</v>
      </c>
      <c r="H43" s="10" t="s">
        <v>1739</v>
      </c>
      <c r="I43" s="10" t="s">
        <v>1740</v>
      </c>
      <c r="J43" s="10" t="s">
        <v>1741</v>
      </c>
      <c r="K43" s="10" t="s">
        <v>1747</v>
      </c>
      <c r="L43" s="65" t="str">
        <f t="shared" si="3"/>
        <v>Parana|Argentina|-60,533333|-31,733334|-3:00 America</v>
      </c>
      <c r="M43" s="10" t="s">
        <v>1764</v>
      </c>
      <c r="N43" s="10">
        <f t="shared" si="0"/>
        <v>0</v>
      </c>
      <c r="O43" t="str">
        <f t="shared" si="4"/>
        <v/>
      </c>
      <c r="P43" t="str">
        <f>IF(O43=1,COUNTIF($O$2:O43,1),"")</f>
        <v/>
      </c>
      <c r="Q43" t="str">
        <f>IFERROR(INDEX($M$2:$M$2388,MATCH(ROWS($P$2:P43),$P$2:$P$2388,0)),"")</f>
        <v/>
      </c>
    </row>
    <row r="44" spans="1:17" ht="15" x14ac:dyDescent="0.25">
      <c r="A44" s="10">
        <v>43</v>
      </c>
      <c r="B44" s="10" t="s">
        <v>1765</v>
      </c>
      <c r="C44" s="880">
        <f t="shared" si="1"/>
        <v>-55.883299999999998</v>
      </c>
      <c r="D44" s="880">
        <f t="shared" si="2"/>
        <v>-27.383299999999998</v>
      </c>
      <c r="E44" s="10">
        <v>-55.883335000000002</v>
      </c>
      <c r="F44" s="10">
        <v>-27.383333</v>
      </c>
      <c r="G44" s="10">
        <v>-3</v>
      </c>
      <c r="H44" s="10" t="s">
        <v>1739</v>
      </c>
      <c r="I44" s="10" t="s">
        <v>1740</v>
      </c>
      <c r="J44" s="10" t="s">
        <v>1741</v>
      </c>
      <c r="K44" s="10" t="s">
        <v>1742</v>
      </c>
      <c r="L44" s="65" t="str">
        <f t="shared" si="3"/>
        <v>Posadas|Argentina|-55,883335|-27,383333|-3:00 America</v>
      </c>
      <c r="M44" s="10" t="s">
        <v>1766</v>
      </c>
      <c r="N44" s="10">
        <f t="shared" si="0"/>
        <v>0</v>
      </c>
      <c r="O44" t="str">
        <f t="shared" si="4"/>
        <v/>
      </c>
      <c r="P44" t="str">
        <f>IF(O44=1,COUNTIF($O$2:O44,1),"")</f>
        <v/>
      </c>
      <c r="Q44" t="str">
        <f>IFERROR(INDEX($M$2:$M$2388,MATCH(ROWS($P$2:P44),$P$2:$P$2388,0)),"")</f>
        <v/>
      </c>
    </row>
    <row r="45" spans="1:17" ht="15" x14ac:dyDescent="0.25">
      <c r="A45" s="10">
        <v>42</v>
      </c>
      <c r="B45" s="10" t="s">
        <v>1767</v>
      </c>
      <c r="C45" s="880">
        <f t="shared" si="1"/>
        <v>-58.269399999999997</v>
      </c>
      <c r="D45" s="880">
        <f t="shared" si="2"/>
        <v>-34.720199999999998</v>
      </c>
      <c r="E45" s="10">
        <v>-58.269444</v>
      </c>
      <c r="F45" s="10">
        <v>-34.720280000000002</v>
      </c>
      <c r="G45" s="10">
        <v>-3</v>
      </c>
      <c r="H45" s="10" t="s">
        <v>1739</v>
      </c>
      <c r="I45" s="10" t="s">
        <v>1740</v>
      </c>
      <c r="J45" s="10" t="s">
        <v>1741</v>
      </c>
      <c r="K45" s="10" t="s">
        <v>1742</v>
      </c>
      <c r="L45" s="65" t="str">
        <f t="shared" si="3"/>
        <v>Quilmes|Argentina|-58,269444|-34,720280|-3:00 America</v>
      </c>
      <c r="M45" s="10" t="s">
        <v>1768</v>
      </c>
      <c r="N45" s="10">
        <f t="shared" si="0"/>
        <v>0</v>
      </c>
      <c r="O45" t="str">
        <f t="shared" si="4"/>
        <v/>
      </c>
      <c r="P45" t="str">
        <f>IF(O45=1,COUNTIF($O$2:O45,1),"")</f>
        <v/>
      </c>
      <c r="Q45" t="str">
        <f>IFERROR(INDEX($M$2:$M$2388,MATCH(ROWS($P$2:P45),$P$2:$P$2388,0)),"")</f>
        <v/>
      </c>
    </row>
    <row r="46" spans="1:17" ht="15" x14ac:dyDescent="0.25">
      <c r="A46" s="10">
        <v>41</v>
      </c>
      <c r="B46" s="10" t="s">
        <v>1769</v>
      </c>
      <c r="C46" s="880">
        <f t="shared" si="1"/>
        <v>-58.9833</v>
      </c>
      <c r="D46" s="880">
        <f t="shared" si="2"/>
        <v>-27.45</v>
      </c>
      <c r="E46" s="10">
        <v>-58.983333999999999</v>
      </c>
      <c r="F46" s="10">
        <v>-27.450001</v>
      </c>
      <c r="G46" s="10">
        <v>-3</v>
      </c>
      <c r="H46" s="10" t="s">
        <v>1739</v>
      </c>
      <c r="I46" s="10" t="s">
        <v>1740</v>
      </c>
      <c r="J46" s="10" t="s">
        <v>1741</v>
      </c>
      <c r="K46" s="10" t="s">
        <v>1750</v>
      </c>
      <c r="L46" s="65" t="str">
        <f t="shared" si="3"/>
        <v>Resistencia|Argentina|-58,983334|-27,450001|-3:00 America</v>
      </c>
      <c r="M46" s="10" t="s">
        <v>1770</v>
      </c>
      <c r="N46" s="10">
        <f t="shared" si="0"/>
        <v>0</v>
      </c>
      <c r="O46" t="str">
        <f t="shared" si="4"/>
        <v/>
      </c>
      <c r="P46" t="str">
        <f>IF(O46=1,COUNTIF($O$2:O46,1),"")</f>
        <v/>
      </c>
      <c r="Q46" t="str">
        <f>IFERROR(INDEX($M$2:$M$2388,MATCH(ROWS($P$2:P46),$P$2:$P$2388,0)),"")</f>
        <v/>
      </c>
    </row>
    <row r="47" spans="1:17" ht="15" x14ac:dyDescent="0.25">
      <c r="A47" s="10">
        <v>55</v>
      </c>
      <c r="B47" s="10" t="s">
        <v>1771</v>
      </c>
      <c r="C47" s="880">
        <f t="shared" si="1"/>
        <v>-60.6663</v>
      </c>
      <c r="D47" s="880">
        <f t="shared" si="2"/>
        <v>-32.951099999999997</v>
      </c>
      <c r="E47" s="10">
        <v>-60.666389000000002</v>
      </c>
      <c r="F47" s="10">
        <v>-32.951110999999997</v>
      </c>
      <c r="G47" s="10">
        <v>-3</v>
      </c>
      <c r="H47" s="10" t="s">
        <v>1739</v>
      </c>
      <c r="I47" s="10" t="s">
        <v>1740</v>
      </c>
      <c r="J47" s="10" t="s">
        <v>1741</v>
      </c>
      <c r="K47" s="10" t="s">
        <v>1742</v>
      </c>
      <c r="L47" s="65" t="str">
        <f t="shared" si="3"/>
        <v>Rosario|Argentina|-60,666389|-32,951111|-3:00 America</v>
      </c>
      <c r="M47" s="10" t="s">
        <v>1772</v>
      </c>
      <c r="N47" s="10">
        <f t="shared" si="0"/>
        <v>0</v>
      </c>
      <c r="O47" t="str">
        <f t="shared" si="4"/>
        <v/>
      </c>
      <c r="P47" t="str">
        <f>IF(O47=1,COUNTIF($O$2:O47,1),"")</f>
        <v/>
      </c>
      <c r="Q47" t="str">
        <f>IFERROR(INDEX($M$2:$M$2388,MATCH(ROWS($P$2:P47),$P$2:$P$2388,0)),"")</f>
        <v/>
      </c>
    </row>
    <row r="48" spans="1:17" ht="15" x14ac:dyDescent="0.25">
      <c r="A48" s="10">
        <v>54</v>
      </c>
      <c r="B48" s="10" t="s">
        <v>1773</v>
      </c>
      <c r="C48" s="880">
        <f t="shared" si="1"/>
        <v>-65.416600000000003</v>
      </c>
      <c r="D48" s="880">
        <f t="shared" si="2"/>
        <v>-24.783300000000001</v>
      </c>
      <c r="E48" s="10">
        <v>-65.416663999999997</v>
      </c>
      <c r="F48" s="10">
        <v>-24.783332999999999</v>
      </c>
      <c r="G48" s="10">
        <v>-3</v>
      </c>
      <c r="H48" s="10" t="s">
        <v>1739</v>
      </c>
      <c r="I48" s="10" t="s">
        <v>1740</v>
      </c>
      <c r="J48" s="10" t="s">
        <v>1741</v>
      </c>
      <c r="K48" s="10" t="s">
        <v>1774</v>
      </c>
      <c r="L48" s="65" t="str">
        <f t="shared" si="3"/>
        <v>Salta|Argentina|-65,416664|-24,783333|-3:00 America</v>
      </c>
      <c r="M48" s="10" t="s">
        <v>1775</v>
      </c>
      <c r="N48" s="10">
        <f t="shared" si="0"/>
        <v>0</v>
      </c>
      <c r="O48" t="str">
        <f t="shared" si="4"/>
        <v/>
      </c>
      <c r="P48" t="str">
        <f>IF(O48=1,COUNTIF($O$2:O48,1),"")</f>
        <v/>
      </c>
      <c r="Q48" t="str">
        <f>IFERROR(INDEX($M$2:$M$2388,MATCH(ROWS($P$2:P48),$P$2:$P$2388,0)),"")</f>
        <v/>
      </c>
    </row>
    <row r="49" spans="1:17" ht="15" x14ac:dyDescent="0.25">
      <c r="A49" s="10">
        <v>53</v>
      </c>
      <c r="B49" s="10" t="s">
        <v>1776</v>
      </c>
      <c r="C49" s="880">
        <f t="shared" si="1"/>
        <v>-68.536299999999997</v>
      </c>
      <c r="D49" s="880">
        <f t="shared" si="2"/>
        <v>-31.537500000000001</v>
      </c>
      <c r="E49" s="10">
        <v>-68.536392000000006</v>
      </c>
      <c r="F49" s="10">
        <v>-31.537500000000001</v>
      </c>
      <c r="G49" s="10">
        <v>-3</v>
      </c>
      <c r="H49" s="10" t="s">
        <v>1739</v>
      </c>
      <c r="I49" s="10" t="s">
        <v>1740</v>
      </c>
      <c r="J49" s="10" t="s">
        <v>1741</v>
      </c>
      <c r="K49" s="10" t="s">
        <v>1777</v>
      </c>
      <c r="L49" s="65" t="str">
        <f t="shared" si="3"/>
        <v>San Juan|Argentina|-68,536392|-31,537500|-3:00 America</v>
      </c>
      <c r="M49" s="10" t="s">
        <v>1778</v>
      </c>
      <c r="N49" s="10">
        <f t="shared" si="0"/>
        <v>0</v>
      </c>
      <c r="O49" t="str">
        <f t="shared" si="4"/>
        <v/>
      </c>
      <c r="P49" t="str">
        <f>IF(O49=1,COUNTIF($O$2:O49,1),"")</f>
        <v/>
      </c>
      <c r="Q49" t="str">
        <f>IFERROR(INDEX($M$2:$M$2388,MATCH(ROWS($P$2:P49),$P$2:$P$2388,0)),"")</f>
        <v/>
      </c>
    </row>
    <row r="50" spans="1:17" ht="15" x14ac:dyDescent="0.25">
      <c r="A50" s="10">
        <v>40</v>
      </c>
      <c r="B50" s="10" t="s">
        <v>1779</v>
      </c>
      <c r="C50" s="880">
        <f t="shared" si="1"/>
        <v>-58.766599999999997</v>
      </c>
      <c r="D50" s="880">
        <f t="shared" si="2"/>
        <v>-28.133299999999998</v>
      </c>
      <c r="E50" s="10">
        <v>-58.766666000000001</v>
      </c>
      <c r="F50" s="10">
        <v>-28.133333</v>
      </c>
      <c r="G50" s="10">
        <v>-3</v>
      </c>
      <c r="H50" s="10" t="s">
        <v>1739</v>
      </c>
      <c r="I50" s="10" t="s">
        <v>1740</v>
      </c>
      <c r="J50" s="10" t="s">
        <v>1741</v>
      </c>
      <c r="K50" s="10" t="s">
        <v>1747</v>
      </c>
      <c r="L50" s="65" t="str">
        <f t="shared" si="3"/>
        <v>San Lorenzo|Argentina|-58,766666|-28,133333|-3:00 America</v>
      </c>
      <c r="M50" s="10" t="s">
        <v>1780</v>
      </c>
      <c r="N50" s="10">
        <f t="shared" si="0"/>
        <v>0</v>
      </c>
      <c r="O50" t="str">
        <f t="shared" si="4"/>
        <v/>
      </c>
      <c r="P50" t="str">
        <f>IF(O50=1,COUNTIF($O$2:O50,1),"")</f>
        <v/>
      </c>
      <c r="Q50" t="str">
        <f>IFERROR(INDEX($M$2:$M$2388,MATCH(ROWS($P$2:P50),$P$2:$P$2388,0)),"")</f>
        <v/>
      </c>
    </row>
    <row r="51" spans="1:17" ht="15" x14ac:dyDescent="0.25">
      <c r="A51" s="10">
        <v>52</v>
      </c>
      <c r="B51" s="10" t="s">
        <v>1781</v>
      </c>
      <c r="C51" s="880">
        <f t="shared" si="1"/>
        <v>-65.2166</v>
      </c>
      <c r="D51" s="880">
        <f t="shared" si="2"/>
        <v>-26.816600000000001</v>
      </c>
      <c r="E51" s="10">
        <v>-65.216667000000001</v>
      </c>
      <c r="F51" s="10">
        <v>-26.816668</v>
      </c>
      <c r="G51" s="10">
        <v>-3</v>
      </c>
      <c r="H51" s="10" t="s">
        <v>1739</v>
      </c>
      <c r="I51" s="10" t="s">
        <v>1740</v>
      </c>
      <c r="J51" s="10" t="s">
        <v>1741</v>
      </c>
      <c r="K51" s="10" t="s">
        <v>1750</v>
      </c>
      <c r="L51" s="65" t="str">
        <f t="shared" si="3"/>
        <v>San Miguel de Tucuman|Argentina|-65,216667|-26,816668|-3:00 America</v>
      </c>
      <c r="M51" s="10" t="s">
        <v>1782</v>
      </c>
      <c r="N51" s="10">
        <f t="shared" si="0"/>
        <v>0</v>
      </c>
      <c r="O51" t="str">
        <f t="shared" si="4"/>
        <v/>
      </c>
      <c r="P51" t="str">
        <f>IF(O51=1,COUNTIF($O$2:O51,1),"")</f>
        <v/>
      </c>
      <c r="Q51" t="str">
        <f>IFERROR(INDEX($M$2:$M$2388,MATCH(ROWS($P$2:P51),$P$2:$P$2388,0)),"")</f>
        <v/>
      </c>
    </row>
    <row r="52" spans="1:17" ht="15" x14ac:dyDescent="0.25">
      <c r="A52" s="10">
        <v>51</v>
      </c>
      <c r="B52" s="10" t="s">
        <v>1783</v>
      </c>
      <c r="C52" s="880">
        <f t="shared" si="1"/>
        <v>-65.3</v>
      </c>
      <c r="D52" s="880">
        <f t="shared" si="2"/>
        <v>-24.183299999999999</v>
      </c>
      <c r="E52" s="10">
        <v>-65.300003000000004</v>
      </c>
      <c r="F52" s="10">
        <v>-24.183332</v>
      </c>
      <c r="G52" s="10">
        <v>-3</v>
      </c>
      <c r="H52" s="10" t="s">
        <v>1739</v>
      </c>
      <c r="I52" s="10" t="s">
        <v>1740</v>
      </c>
      <c r="J52" s="10" t="s">
        <v>1741</v>
      </c>
      <c r="K52" s="10" t="s">
        <v>1774</v>
      </c>
      <c r="L52" s="65" t="str">
        <f t="shared" si="3"/>
        <v>San Salvador de Jujuy|Argentina|-65,300003|-24,183332|-3:00 America</v>
      </c>
      <c r="M52" s="10" t="s">
        <v>1784</v>
      </c>
      <c r="N52" s="10">
        <f t="shared" si="0"/>
        <v>0</v>
      </c>
      <c r="O52" t="str">
        <f t="shared" si="4"/>
        <v/>
      </c>
      <c r="P52" t="str">
        <f>IF(O52=1,COUNTIF($O$2:O52,1),"")</f>
        <v/>
      </c>
      <c r="Q52" t="str">
        <f>IFERROR(INDEX($M$2:$M$2388,MATCH(ROWS($P$2:P52),$P$2:$P$2388,0)),"")</f>
        <v/>
      </c>
    </row>
    <row r="53" spans="1:17" ht="15" x14ac:dyDescent="0.25">
      <c r="A53" s="10">
        <v>50</v>
      </c>
      <c r="B53" s="10" t="s">
        <v>1785</v>
      </c>
      <c r="C53" s="880">
        <f t="shared" si="1"/>
        <v>-60.7</v>
      </c>
      <c r="D53" s="880">
        <f t="shared" si="2"/>
        <v>-31.633299999999998</v>
      </c>
      <c r="E53" s="10">
        <v>-60.700001</v>
      </c>
      <c r="F53" s="10">
        <v>-31.633333</v>
      </c>
      <c r="G53" s="10">
        <v>-3</v>
      </c>
      <c r="H53" s="10" t="s">
        <v>1739</v>
      </c>
      <c r="I53" s="10" t="s">
        <v>1740</v>
      </c>
      <c r="J53" s="10" t="s">
        <v>1741</v>
      </c>
      <c r="K53" s="10" t="s">
        <v>1747</v>
      </c>
      <c r="L53" s="65" t="str">
        <f t="shared" si="3"/>
        <v>Santa Fe|Argentina|-60,700001|-31,633333|-3:00 America</v>
      </c>
      <c r="M53" s="10" t="s">
        <v>1786</v>
      </c>
      <c r="N53" s="10">
        <f t="shared" si="0"/>
        <v>0</v>
      </c>
      <c r="O53" t="str">
        <f t="shared" si="4"/>
        <v/>
      </c>
      <c r="P53" t="str">
        <f>IF(O53=1,COUNTIF($O$2:O53,1),"")</f>
        <v/>
      </c>
      <c r="Q53" t="str">
        <f>IFERROR(INDEX($M$2:$M$2388,MATCH(ROWS($P$2:P53),$P$2:$P$2388,0)),"")</f>
        <v/>
      </c>
    </row>
    <row r="54" spans="1:17" ht="15" x14ac:dyDescent="0.25">
      <c r="A54" s="10">
        <v>49</v>
      </c>
      <c r="B54" s="10" t="s">
        <v>1787</v>
      </c>
      <c r="C54" s="880">
        <f t="shared" si="1"/>
        <v>-64.266599999999997</v>
      </c>
      <c r="D54" s="880">
        <f t="shared" si="2"/>
        <v>-27.783300000000001</v>
      </c>
      <c r="E54" s="10">
        <v>-64.266670000000005</v>
      </c>
      <c r="F54" s="10">
        <v>-27.783332999999999</v>
      </c>
      <c r="G54" s="10">
        <v>-3</v>
      </c>
      <c r="H54" s="10" t="s">
        <v>1739</v>
      </c>
      <c r="I54" s="10" t="s">
        <v>1740</v>
      </c>
      <c r="J54" s="10" t="s">
        <v>1741</v>
      </c>
      <c r="K54" s="10" t="s">
        <v>1750</v>
      </c>
      <c r="L54" s="65" t="str">
        <f t="shared" si="3"/>
        <v>Santiago del Estero|Argentina|-64,266670|-27,783333|-3:00 America</v>
      </c>
      <c r="M54" s="10" t="s">
        <v>1788</v>
      </c>
      <c r="N54" s="10">
        <f t="shared" si="0"/>
        <v>0</v>
      </c>
      <c r="O54" t="str">
        <f t="shared" si="4"/>
        <v/>
      </c>
      <c r="P54" t="str">
        <f>IF(O54=1,COUNTIF($O$2:O54,1),"")</f>
        <v/>
      </c>
      <c r="Q54" t="str">
        <f>IFERROR(INDEX($M$2:$M$2388,MATCH(ROWS($P$2:P54),$P$2:$P$2388,0)),"")</f>
        <v/>
      </c>
    </row>
    <row r="55" spans="1:17" ht="15" x14ac:dyDescent="0.25">
      <c r="A55" s="10">
        <v>39</v>
      </c>
      <c r="B55" s="10" t="s">
        <v>1789</v>
      </c>
      <c r="C55" s="880">
        <f t="shared" si="1"/>
        <v>-59.15</v>
      </c>
      <c r="D55" s="880">
        <f t="shared" si="2"/>
        <v>-37.316600000000001</v>
      </c>
      <c r="E55" s="10">
        <v>-59.150002000000001</v>
      </c>
      <c r="F55" s="10">
        <v>-37.316665999999998</v>
      </c>
      <c r="G55" s="10">
        <v>-3</v>
      </c>
      <c r="H55" s="10" t="s">
        <v>1739</v>
      </c>
      <c r="I55" s="10" t="s">
        <v>1740</v>
      </c>
      <c r="J55" s="10" t="s">
        <v>1741</v>
      </c>
      <c r="K55" s="10" t="s">
        <v>1742</v>
      </c>
      <c r="L55" s="65" t="str">
        <f t="shared" si="3"/>
        <v>Tandil|Argentina|-59,150002|-37,316666|-3:00 America</v>
      </c>
      <c r="M55" s="10" t="s">
        <v>1790</v>
      </c>
      <c r="N55" s="10">
        <f t="shared" si="0"/>
        <v>0</v>
      </c>
      <c r="O55" t="str">
        <f t="shared" si="4"/>
        <v/>
      </c>
      <c r="P55" t="str">
        <f>IF(O55=1,COUNTIF($O$2:O55,1),"")</f>
        <v/>
      </c>
      <c r="Q55" t="str">
        <f>IFERROR(INDEX($M$2:$M$2388,MATCH(ROWS($P$2:P55),$P$2:$P$2388,0)),"")</f>
        <v/>
      </c>
    </row>
    <row r="56" spans="1:17" ht="15" x14ac:dyDescent="0.25">
      <c r="A56" s="10">
        <v>38</v>
      </c>
      <c r="B56" s="10" t="s">
        <v>1791</v>
      </c>
      <c r="C56" s="880">
        <f t="shared" si="1"/>
        <v>-59.034999999999997</v>
      </c>
      <c r="D56" s="880">
        <f t="shared" si="2"/>
        <v>-34.092199999999998</v>
      </c>
      <c r="E56" s="10">
        <v>-59.034999999999997</v>
      </c>
      <c r="F56" s="10">
        <v>-34.092219999999998</v>
      </c>
      <c r="G56" s="10">
        <v>-3</v>
      </c>
      <c r="H56" s="10" t="s">
        <v>1739</v>
      </c>
      <c r="I56" s="10" t="s">
        <v>1740</v>
      </c>
      <c r="J56" s="10" t="s">
        <v>1741</v>
      </c>
      <c r="K56" s="10" t="s">
        <v>1742</v>
      </c>
      <c r="L56" s="65" t="str">
        <f t="shared" si="3"/>
        <v>Zarate|Argentina|-59,035000|-34,092220|-3:00 America</v>
      </c>
      <c r="M56" s="10" t="s">
        <v>1792</v>
      </c>
      <c r="N56" s="10">
        <f t="shared" si="0"/>
        <v>0</v>
      </c>
      <c r="O56" t="str">
        <f t="shared" si="4"/>
        <v/>
      </c>
      <c r="P56" t="str">
        <f>IF(O56=1,COUNTIF($O$2:O56,1),"")</f>
        <v/>
      </c>
      <c r="Q56" t="str">
        <f>IFERROR(INDEX($M$2:$M$2388,MATCH(ROWS($P$2:P56),$P$2:$P$2388,0)),"")</f>
        <v/>
      </c>
    </row>
    <row r="57" spans="1:17" ht="15" x14ac:dyDescent="0.25">
      <c r="A57" s="10">
        <v>27</v>
      </c>
      <c r="B57" s="10" t="s">
        <v>1793</v>
      </c>
      <c r="C57" s="880">
        <f t="shared" si="1"/>
        <v>46.414999999999999</v>
      </c>
      <c r="D57" s="880">
        <f t="shared" si="2"/>
        <v>39.201099999999997</v>
      </c>
      <c r="E57" s="10">
        <v>46.415000999999997</v>
      </c>
      <c r="F57" s="10">
        <v>39.201110999999997</v>
      </c>
      <c r="G57" s="10">
        <v>4</v>
      </c>
      <c r="H57" s="10" t="s">
        <v>1794</v>
      </c>
      <c r="I57" s="10" t="s">
        <v>1795</v>
      </c>
      <c r="J57" s="10" t="s">
        <v>1796</v>
      </c>
      <c r="K57" s="10" t="s">
        <v>1797</v>
      </c>
      <c r="L57" s="65" t="str">
        <f t="shared" si="3"/>
        <v>Kapan|Armenia|46,415001|39,201111|+4:00 Asia</v>
      </c>
      <c r="M57" s="10" t="s">
        <v>1798</v>
      </c>
      <c r="N57" s="10">
        <f t="shared" si="0"/>
        <v>0</v>
      </c>
      <c r="O57" t="str">
        <f t="shared" si="4"/>
        <v/>
      </c>
      <c r="P57" t="str">
        <f>IF(O57=1,COUNTIF($O$2:O57,1),"")</f>
        <v/>
      </c>
      <c r="Q57" t="str">
        <f>IFERROR(INDEX($M$2:$M$2388,MATCH(ROWS($P$2:P57),$P$2:$P$2388,0)),"")</f>
        <v/>
      </c>
    </row>
    <row r="58" spans="1:17" ht="15" x14ac:dyDescent="0.25">
      <c r="A58" s="10">
        <v>26</v>
      </c>
      <c r="B58" s="10" t="s">
        <v>1799</v>
      </c>
      <c r="C58" s="880">
        <f t="shared" si="1"/>
        <v>45.465200000000003</v>
      </c>
      <c r="D58" s="880">
        <f t="shared" si="2"/>
        <v>39.691600000000001</v>
      </c>
      <c r="E58" s="10">
        <v>45.465279000000002</v>
      </c>
      <c r="F58" s="10">
        <v>39.691665999999998</v>
      </c>
      <c r="G58" s="10">
        <v>4</v>
      </c>
      <c r="H58" s="10" t="s">
        <v>1794</v>
      </c>
      <c r="I58" s="10" t="s">
        <v>1795</v>
      </c>
      <c r="J58" s="10" t="s">
        <v>1796</v>
      </c>
      <c r="K58" s="10" t="s">
        <v>1797</v>
      </c>
      <c r="L58" s="65" t="str">
        <f t="shared" si="3"/>
        <v>Vayk'|Armenia|45,465279|39,691666|+4:00 Asia</v>
      </c>
      <c r="M58" s="10" t="s">
        <v>1800</v>
      </c>
      <c r="N58" s="10">
        <f t="shared" si="0"/>
        <v>0</v>
      </c>
      <c r="O58" t="str">
        <f t="shared" si="4"/>
        <v/>
      </c>
      <c r="P58" t="str">
        <f>IF(O58=1,COUNTIF($O$2:O58,1),"")</f>
        <v/>
      </c>
      <c r="Q58" t="str">
        <f>IFERROR(INDEX($M$2:$M$2388,MATCH(ROWS($P$2:P58),$P$2:$P$2388,0)),"")</f>
        <v/>
      </c>
    </row>
    <row r="59" spans="1:17" ht="15" x14ac:dyDescent="0.25">
      <c r="A59" s="10">
        <v>25</v>
      </c>
      <c r="B59" s="10" t="s">
        <v>1801</v>
      </c>
      <c r="C59" s="880">
        <f t="shared" si="1"/>
        <v>44.727699999999999</v>
      </c>
      <c r="D59" s="880">
        <f t="shared" si="2"/>
        <v>39.910499999999999</v>
      </c>
      <c r="E59" s="10">
        <v>44.727778999999998</v>
      </c>
      <c r="F59" s="10">
        <v>39.910556999999997</v>
      </c>
      <c r="G59" s="10">
        <v>4</v>
      </c>
      <c r="H59" s="10" t="s">
        <v>1794</v>
      </c>
      <c r="I59" s="10" t="s">
        <v>1795</v>
      </c>
      <c r="J59" s="10" t="s">
        <v>1796</v>
      </c>
      <c r="K59" s="10" t="s">
        <v>1797</v>
      </c>
      <c r="L59" s="65" t="str">
        <f t="shared" si="3"/>
        <v>Vedi|Armenia|44,727779|39,910557|+4:00 Asia</v>
      </c>
      <c r="M59" s="10" t="s">
        <v>1802</v>
      </c>
      <c r="N59" s="10">
        <f t="shared" si="0"/>
        <v>0</v>
      </c>
      <c r="O59" t="str">
        <f t="shared" si="4"/>
        <v/>
      </c>
      <c r="P59" t="str">
        <f>IF(O59=1,COUNTIF($O$2:O59,1),"")</f>
        <v/>
      </c>
      <c r="Q59" t="str">
        <f>IFERROR(INDEX($M$2:$M$2388,MATCH(ROWS($P$2:P59),$P$2:$P$2388,0)),"")</f>
        <v/>
      </c>
    </row>
    <row r="60" spans="1:17" ht="15" x14ac:dyDescent="0.25">
      <c r="A60" s="10">
        <v>28</v>
      </c>
      <c r="B60" s="10" t="s">
        <v>1803</v>
      </c>
      <c r="C60" s="880">
        <f t="shared" si="1"/>
        <v>44.513599999999997</v>
      </c>
      <c r="D60" s="880">
        <f t="shared" si="2"/>
        <v>40.181100000000001</v>
      </c>
      <c r="E60" s="10">
        <v>44.513610999999997</v>
      </c>
      <c r="F60" s="10">
        <v>40.181109999999997</v>
      </c>
      <c r="G60" s="10">
        <v>4</v>
      </c>
      <c r="H60" s="10" t="s">
        <v>1794</v>
      </c>
      <c r="I60" s="10" t="s">
        <v>1795</v>
      </c>
      <c r="J60" s="10" t="s">
        <v>1796</v>
      </c>
      <c r="K60" s="10" t="s">
        <v>1797</v>
      </c>
      <c r="L60" s="65" t="str">
        <f t="shared" si="3"/>
        <v>Yerevan|Armenia|44,513611|40,181110|+4:00 Asia</v>
      </c>
      <c r="M60" s="10" t="s">
        <v>1804</v>
      </c>
      <c r="N60" s="10">
        <f t="shared" si="0"/>
        <v>0</v>
      </c>
      <c r="O60" t="str">
        <f t="shared" si="4"/>
        <v/>
      </c>
      <c r="P60" t="str">
        <f>IF(O60=1,COUNTIF($O$2:O60,1),"")</f>
        <v/>
      </c>
      <c r="Q60" t="str">
        <f>IFERROR(INDEX($M$2:$M$2388,MATCH(ROWS($P$2:P60),$P$2:$P$2388,0)),"")</f>
        <v/>
      </c>
    </row>
    <row r="61" spans="1:17" ht="15" x14ac:dyDescent="0.25">
      <c r="A61" s="10">
        <v>79</v>
      </c>
      <c r="B61" s="10" t="s">
        <v>1805</v>
      </c>
      <c r="C61" s="880">
        <f t="shared" si="1"/>
        <v>-70.033299999999997</v>
      </c>
      <c r="D61" s="880">
        <f t="shared" si="2"/>
        <v>12.5166</v>
      </c>
      <c r="E61" s="10">
        <v>-70.033332999999999</v>
      </c>
      <c r="F61" s="10">
        <v>12.516666000000001</v>
      </c>
      <c r="G61" s="10">
        <v>-4</v>
      </c>
      <c r="H61" s="10" t="s">
        <v>1733</v>
      </c>
      <c r="I61" s="10" t="s">
        <v>1806</v>
      </c>
      <c r="J61" s="10" t="s">
        <v>1807</v>
      </c>
      <c r="K61" s="10" t="s">
        <v>1808</v>
      </c>
      <c r="L61" s="65" t="str">
        <f t="shared" si="3"/>
        <v>Oranjestad|Aruba|-70,033333|12,516666|-4:00 America</v>
      </c>
      <c r="M61" s="10" t="s">
        <v>1809</v>
      </c>
      <c r="N61" s="10">
        <f t="shared" si="0"/>
        <v>0</v>
      </c>
      <c r="O61" t="str">
        <f t="shared" si="4"/>
        <v/>
      </c>
      <c r="P61" t="str">
        <f>IF(O61=1,COUNTIF($O$2:O61,1),"")</f>
        <v/>
      </c>
      <c r="Q61" t="str">
        <f>IFERROR(INDEX($M$2:$M$2388,MATCH(ROWS($P$2:P61),$P$2:$P$2388,0)),"")</f>
        <v/>
      </c>
    </row>
    <row r="62" spans="1:17" ht="15" x14ac:dyDescent="0.25">
      <c r="A62" s="10">
        <v>71</v>
      </c>
      <c r="B62" s="10" t="s">
        <v>1810</v>
      </c>
      <c r="C62" s="880">
        <f t="shared" si="1"/>
        <v>138.6</v>
      </c>
      <c r="D62" s="880">
        <f t="shared" si="2"/>
        <v>-34.933300000000003</v>
      </c>
      <c r="E62" s="10">
        <v>138.60000600000001</v>
      </c>
      <c r="F62" s="10">
        <v>-34.933334000000002</v>
      </c>
      <c r="G62" s="10">
        <v>9.5</v>
      </c>
      <c r="H62" s="10" t="s">
        <v>1811</v>
      </c>
      <c r="I62" s="10" t="s">
        <v>1812</v>
      </c>
      <c r="J62" s="10" t="s">
        <v>1813</v>
      </c>
      <c r="K62" s="10" t="s">
        <v>1814</v>
      </c>
      <c r="L62" s="65" t="str">
        <f t="shared" si="3"/>
        <v>Adelaide|Australia|138,600006|-34,933334|+9:30 Australia</v>
      </c>
      <c r="M62" s="10" t="s">
        <v>1815</v>
      </c>
      <c r="N62" s="10">
        <f t="shared" si="0"/>
        <v>0</v>
      </c>
      <c r="O62" t="str">
        <f t="shared" si="4"/>
        <v/>
      </c>
      <c r="P62" t="str">
        <f>IF(O62=1,COUNTIF($O$2:O62,1),"")</f>
        <v/>
      </c>
      <c r="Q62" t="str">
        <f>IFERROR(INDEX($M$2:$M$2388,MATCH(ROWS($P$2:P62),$P$2:$P$2388,0)),"")</f>
        <v/>
      </c>
    </row>
    <row r="63" spans="1:17" ht="15" x14ac:dyDescent="0.25">
      <c r="A63" s="10">
        <v>78</v>
      </c>
      <c r="B63" s="10" t="s">
        <v>1816</v>
      </c>
      <c r="C63" s="880">
        <f t="shared" si="1"/>
        <v>153.01660000000001</v>
      </c>
      <c r="D63" s="880">
        <f t="shared" si="2"/>
        <v>-27.5</v>
      </c>
      <c r="E63" s="10">
        <v>153.01666299999999</v>
      </c>
      <c r="F63" s="10">
        <v>-27.5</v>
      </c>
      <c r="G63" s="10">
        <v>10</v>
      </c>
      <c r="H63" s="10" t="s">
        <v>1817</v>
      </c>
      <c r="I63" s="10" t="s">
        <v>1812</v>
      </c>
      <c r="J63" s="10" t="s">
        <v>1813</v>
      </c>
      <c r="K63" s="10" t="s">
        <v>1818</v>
      </c>
      <c r="L63" s="65" t="str">
        <f t="shared" si="3"/>
        <v>Brisbane|Australia|153,016663|-27,500000|+10:00 Australia</v>
      </c>
      <c r="M63" s="10" t="s">
        <v>1819</v>
      </c>
      <c r="N63" s="10">
        <f t="shared" si="0"/>
        <v>0</v>
      </c>
      <c r="O63" t="str">
        <f t="shared" si="4"/>
        <v/>
      </c>
      <c r="P63" t="str">
        <f>IF(O63=1,COUNTIF($O$2:O63,1),"")</f>
        <v/>
      </c>
      <c r="Q63" t="str">
        <f>IFERROR(INDEX($M$2:$M$2388,MATCH(ROWS($P$2:P63),$P$2:$P$2388,0)),"")</f>
        <v/>
      </c>
    </row>
    <row r="64" spans="1:17" ht="15" x14ac:dyDescent="0.25">
      <c r="A64" s="10">
        <v>77</v>
      </c>
      <c r="B64" s="10" t="s">
        <v>1820</v>
      </c>
      <c r="C64" s="880">
        <f t="shared" si="1"/>
        <v>149.12799999999999</v>
      </c>
      <c r="D64" s="880">
        <f t="shared" si="2"/>
        <v>-35.2834</v>
      </c>
      <c r="E64" s="10">
        <v>149.12806699999999</v>
      </c>
      <c r="F64" s="10">
        <v>-35.283462999999998</v>
      </c>
      <c r="G64" s="10">
        <v>10</v>
      </c>
      <c r="H64" s="10" t="s">
        <v>1817</v>
      </c>
      <c r="I64" s="10" t="s">
        <v>1812</v>
      </c>
      <c r="J64" s="10" t="s">
        <v>1813</v>
      </c>
      <c r="K64" s="10" t="s">
        <v>1821</v>
      </c>
      <c r="L64" s="65" t="str">
        <f t="shared" si="3"/>
        <v>Canberra|Australia|149,128067|-35,283463|+10:00 Australia</v>
      </c>
      <c r="M64" s="10" t="s">
        <v>1822</v>
      </c>
      <c r="N64" s="10">
        <f t="shared" si="0"/>
        <v>0</v>
      </c>
      <c r="O64" t="str">
        <f t="shared" si="4"/>
        <v/>
      </c>
      <c r="P64" t="str">
        <f>IF(O64=1,COUNTIF($O$2:O64,1),"")</f>
        <v/>
      </c>
      <c r="Q64" t="str">
        <f>IFERROR(INDEX($M$2:$M$2388,MATCH(ROWS($P$2:P64),$P$2:$P$2388,0)),"")</f>
        <v/>
      </c>
    </row>
    <row r="65" spans="1:17" ht="15" x14ac:dyDescent="0.25">
      <c r="A65" s="10">
        <v>75</v>
      </c>
      <c r="B65" s="10" t="s">
        <v>1823</v>
      </c>
      <c r="C65" s="880">
        <f t="shared" si="1"/>
        <v>144.9633</v>
      </c>
      <c r="D65" s="880">
        <f t="shared" si="2"/>
        <v>-37.813899999999997</v>
      </c>
      <c r="E65" s="10">
        <v>144.96331799999999</v>
      </c>
      <c r="F65" s="10">
        <v>-37.813994999999998</v>
      </c>
      <c r="G65" s="10">
        <v>10</v>
      </c>
      <c r="H65" s="10" t="s">
        <v>1817</v>
      </c>
      <c r="I65" s="10" t="s">
        <v>1812</v>
      </c>
      <c r="J65" s="10" t="s">
        <v>1813</v>
      </c>
      <c r="K65" s="10" t="s">
        <v>1824</v>
      </c>
      <c r="L65" s="65" t="str">
        <f t="shared" si="3"/>
        <v>Melbourne|Australia|144,963318|-37,813995|+10:00 Australia</v>
      </c>
      <c r="M65" s="10" t="s">
        <v>1825</v>
      </c>
      <c r="N65" s="10">
        <f t="shared" si="0"/>
        <v>0</v>
      </c>
      <c r="O65" t="str">
        <f t="shared" si="4"/>
        <v/>
      </c>
      <c r="P65" t="str">
        <f>IF(O65=1,COUNTIF($O$2:O65,1),"")</f>
        <v/>
      </c>
      <c r="Q65" t="str">
        <f>IFERROR(INDEX($M$2:$M$2388,MATCH(ROWS($P$2:P65),$P$2:$P$2388,0)),"")</f>
        <v/>
      </c>
    </row>
    <row r="66" spans="1:17" ht="15" x14ac:dyDescent="0.25">
      <c r="A66" s="10">
        <v>73</v>
      </c>
      <c r="B66" s="10" t="s">
        <v>1826</v>
      </c>
      <c r="C66" s="880">
        <f t="shared" si="1"/>
        <v>153.39449999999999</v>
      </c>
      <c r="D66" s="880">
        <f t="shared" si="2"/>
        <v>-28.3292</v>
      </c>
      <c r="E66" s="10">
        <v>153.39459199999999</v>
      </c>
      <c r="F66" s="10">
        <v>-28.329203</v>
      </c>
      <c r="G66" s="10">
        <v>10</v>
      </c>
      <c r="H66" s="10" t="s">
        <v>1817</v>
      </c>
      <c r="I66" s="10" t="s">
        <v>1812</v>
      </c>
      <c r="J66" s="10" t="s">
        <v>1813</v>
      </c>
      <c r="K66" s="10" t="s">
        <v>1821</v>
      </c>
      <c r="L66" s="65" t="str">
        <f t="shared" si="3"/>
        <v>Murwilumbah|Australia|153,394592|-28,329203|+10:00 Australia</v>
      </c>
      <c r="M66" s="10" t="s">
        <v>1827</v>
      </c>
      <c r="N66" s="10">
        <f t="shared" ref="N66:N129" si="5">--ISNUMBER(IFERROR(SEARCH($R$2,J66,1),""))</f>
        <v>0</v>
      </c>
      <c r="O66" t="str">
        <f t="shared" si="4"/>
        <v/>
      </c>
      <c r="P66" t="str">
        <f>IF(O66=1,COUNTIF($O$2:O66,1),"")</f>
        <v/>
      </c>
      <c r="Q66" t="str">
        <f>IFERROR(INDEX($M$2:$M$2388,MATCH(ROWS($P$2:P66),$P$2:$P$2388,0)),"")</f>
        <v/>
      </c>
    </row>
    <row r="67" spans="1:17" ht="15" x14ac:dyDescent="0.25">
      <c r="A67" s="10">
        <v>74</v>
      </c>
      <c r="B67" s="10" t="s">
        <v>1828</v>
      </c>
      <c r="C67" s="880">
        <f t="shared" ref="C67:C130" si="6">TRUNC(E67,4)</f>
        <v>151.75</v>
      </c>
      <c r="D67" s="880">
        <f t="shared" ref="D67:D130" si="7">TRUNC(F67,4)</f>
        <v>-32.916600000000003</v>
      </c>
      <c r="E67" s="10">
        <v>151.75</v>
      </c>
      <c r="F67" s="10">
        <v>-32.916668000000001</v>
      </c>
      <c r="G67" s="10">
        <v>10</v>
      </c>
      <c r="H67" s="10" t="s">
        <v>1817</v>
      </c>
      <c r="I67" s="10" t="s">
        <v>1812</v>
      </c>
      <c r="J67" s="10" t="s">
        <v>1813</v>
      </c>
      <c r="K67" s="10" t="s">
        <v>1821</v>
      </c>
      <c r="L67" s="65" t="str">
        <f t="shared" ref="L67:L130" si="8">MID(M67,1,LEN(M67)-(LEN(K67)-SEARCH("/",K67)+1))</f>
        <v>Newcastle|Australia|151,750000|-32,916668|+10:00 Australia</v>
      </c>
      <c r="M67" s="10" t="s">
        <v>1829</v>
      </c>
      <c r="N67" s="10">
        <f t="shared" si="5"/>
        <v>0</v>
      </c>
      <c r="O67" t="str">
        <f t="shared" ref="O67:O130" si="9">IF(N67=0,"",--ISNUMBER(IFERROR(SEARCH($U$2,L67,1),"")))</f>
        <v/>
      </c>
      <c r="P67" t="str">
        <f>IF(O67=1,COUNTIF($O$2:O67,1),"")</f>
        <v/>
      </c>
      <c r="Q67" t="str">
        <f>IFERROR(INDEX($M$2:$M$2388,MATCH(ROWS($P$2:P67),$P$2:$P$2388,0)),"")</f>
        <v/>
      </c>
    </row>
    <row r="68" spans="1:17" ht="15" x14ac:dyDescent="0.25">
      <c r="A68" s="10">
        <v>70</v>
      </c>
      <c r="B68" s="10" t="s">
        <v>1830</v>
      </c>
      <c r="C68" s="880">
        <f t="shared" si="6"/>
        <v>115.83329999999999</v>
      </c>
      <c r="D68" s="880">
        <f t="shared" si="7"/>
        <v>-31.933299999999999</v>
      </c>
      <c r="E68" s="10">
        <v>115.833336</v>
      </c>
      <c r="F68" s="10">
        <v>-31.933332</v>
      </c>
      <c r="G68" s="10">
        <v>8</v>
      </c>
      <c r="H68" s="10" t="s">
        <v>1831</v>
      </c>
      <c r="I68" s="10" t="s">
        <v>1812</v>
      </c>
      <c r="J68" s="10" t="s">
        <v>1813</v>
      </c>
      <c r="K68" s="10" t="s">
        <v>1832</v>
      </c>
      <c r="L68" s="65" t="str">
        <f t="shared" si="8"/>
        <v>Perth|Australia|115,833336|-31,933332|+8:00 Australia</v>
      </c>
      <c r="M68" s="10" t="s">
        <v>1833</v>
      </c>
      <c r="N68" s="10">
        <f t="shared" si="5"/>
        <v>0</v>
      </c>
      <c r="O68" t="str">
        <f t="shared" si="9"/>
        <v/>
      </c>
      <c r="P68" t="str">
        <f>IF(O68=1,COUNTIF($O$2:O68,1),"")</f>
        <v/>
      </c>
      <c r="Q68" t="str">
        <f>IFERROR(INDEX($M$2:$M$2388,MATCH(ROWS($P$2:P68),$P$2:$P$2388,0)),"")</f>
        <v/>
      </c>
    </row>
    <row r="69" spans="1:17" ht="15" x14ac:dyDescent="0.25">
      <c r="A69" s="10">
        <v>69</v>
      </c>
      <c r="B69" s="10" t="s">
        <v>1834</v>
      </c>
      <c r="C69" s="880">
        <f t="shared" si="6"/>
        <v>117.13330000000001</v>
      </c>
      <c r="D69" s="880">
        <f t="shared" si="7"/>
        <v>-20.783300000000001</v>
      </c>
      <c r="E69" s="10">
        <v>117.133331</v>
      </c>
      <c r="F69" s="10">
        <v>-20.783332999999999</v>
      </c>
      <c r="G69" s="10">
        <v>8</v>
      </c>
      <c r="H69" s="10" t="s">
        <v>1831</v>
      </c>
      <c r="I69" s="10" t="s">
        <v>1812</v>
      </c>
      <c r="J69" s="10" t="s">
        <v>1813</v>
      </c>
      <c r="K69" s="10" t="s">
        <v>1832</v>
      </c>
      <c r="L69" s="65" t="str">
        <f t="shared" si="8"/>
        <v>Roebourne|Australia|117,133331|-20,783333|+8:00 Australia</v>
      </c>
      <c r="M69" s="10" t="s">
        <v>1835</v>
      </c>
      <c r="N69" s="10">
        <f t="shared" si="5"/>
        <v>0</v>
      </c>
      <c r="O69" t="str">
        <f t="shared" si="9"/>
        <v/>
      </c>
      <c r="P69" t="str">
        <f>IF(O69=1,COUNTIF($O$2:O69,1),"")</f>
        <v/>
      </c>
      <c r="Q69" t="str">
        <f>IFERROR(INDEX($M$2:$M$2388,MATCH(ROWS($P$2:P69),$P$2:$P$2388,0)),"")</f>
        <v/>
      </c>
    </row>
    <row r="70" spans="1:17" ht="15" x14ac:dyDescent="0.25">
      <c r="A70" s="10">
        <v>72</v>
      </c>
      <c r="B70" s="10" t="s">
        <v>1836</v>
      </c>
      <c r="C70" s="880">
        <f t="shared" si="6"/>
        <v>151.2073</v>
      </c>
      <c r="D70" s="880">
        <f t="shared" si="7"/>
        <v>-33.867800000000003</v>
      </c>
      <c r="E70" s="10">
        <v>151.20732100000001</v>
      </c>
      <c r="F70" s="10">
        <v>-33.867851000000002</v>
      </c>
      <c r="G70" s="10">
        <v>10</v>
      </c>
      <c r="H70" s="10" t="s">
        <v>1817</v>
      </c>
      <c r="I70" s="10" t="s">
        <v>1812</v>
      </c>
      <c r="J70" s="10" t="s">
        <v>1813</v>
      </c>
      <c r="K70" s="10" t="s">
        <v>1821</v>
      </c>
      <c r="L70" s="65" t="str">
        <f t="shared" si="8"/>
        <v>Sydney|Australia|151,207321|-33,867851|+10:00 Australia</v>
      </c>
      <c r="M70" s="10" t="s">
        <v>1837</v>
      </c>
      <c r="N70" s="10">
        <f t="shared" si="5"/>
        <v>0</v>
      </c>
      <c r="O70" t="str">
        <f t="shared" si="9"/>
        <v/>
      </c>
      <c r="P70" t="str">
        <f>IF(O70=1,COUNTIF($O$2:O70,1),"")</f>
        <v/>
      </c>
      <c r="Q70" t="str">
        <f>IFERROR(INDEX($M$2:$M$2388,MATCH(ROWS($P$2:P70),$P$2:$P$2388,0)),"")</f>
        <v/>
      </c>
    </row>
    <row r="71" spans="1:17" ht="15" x14ac:dyDescent="0.25">
      <c r="A71" s="10">
        <v>68</v>
      </c>
      <c r="B71" s="10" t="s">
        <v>1838</v>
      </c>
      <c r="C71" s="880">
        <f t="shared" si="6"/>
        <v>138.61660000000001</v>
      </c>
      <c r="D71" s="880">
        <f t="shared" si="7"/>
        <v>-35.566600000000001</v>
      </c>
      <c r="E71" s="10">
        <v>138.616669</v>
      </c>
      <c r="F71" s="10">
        <v>-35.566665999999998</v>
      </c>
      <c r="G71" s="10">
        <v>9.5</v>
      </c>
      <c r="H71" s="10" t="s">
        <v>1811</v>
      </c>
      <c r="I71" s="10" t="s">
        <v>1812</v>
      </c>
      <c r="J71" s="10" t="s">
        <v>1813</v>
      </c>
      <c r="K71" s="10" t="s">
        <v>1814</v>
      </c>
      <c r="L71" s="65" t="str">
        <f t="shared" si="8"/>
        <v>Victor Harbour|Australia|138,616669|-35,566666|+9:30 Australia</v>
      </c>
      <c r="M71" s="10" t="s">
        <v>1839</v>
      </c>
      <c r="N71" s="10">
        <f t="shared" si="5"/>
        <v>0</v>
      </c>
      <c r="O71" t="str">
        <f t="shared" si="9"/>
        <v/>
      </c>
      <c r="P71" t="str">
        <f>IF(O71=1,COUNTIF($O$2:O71,1),"")</f>
        <v/>
      </c>
      <c r="Q71" t="str">
        <f>IFERROR(INDEX($M$2:$M$2388,MATCH(ROWS($P$2:P71),$P$2:$P$2388,0)),"")</f>
        <v/>
      </c>
    </row>
    <row r="72" spans="1:17" ht="15" x14ac:dyDescent="0.25">
      <c r="A72" s="10">
        <v>67</v>
      </c>
      <c r="B72" s="10" t="s">
        <v>1840</v>
      </c>
      <c r="C72" s="880">
        <f t="shared" si="6"/>
        <v>137.58330000000001</v>
      </c>
      <c r="D72" s="880">
        <f t="shared" si="7"/>
        <v>-33.033299999999997</v>
      </c>
      <c r="E72" s="10">
        <v>137.58332799999999</v>
      </c>
      <c r="F72" s="10">
        <v>-33.033332999999999</v>
      </c>
      <c r="G72" s="10">
        <v>9.5</v>
      </c>
      <c r="H72" s="10" t="s">
        <v>1811</v>
      </c>
      <c r="I72" s="10" t="s">
        <v>1812</v>
      </c>
      <c r="J72" s="10" t="s">
        <v>1813</v>
      </c>
      <c r="K72" s="10" t="s">
        <v>1814</v>
      </c>
      <c r="L72" s="65" t="str">
        <f t="shared" si="8"/>
        <v>Whyalla|Australia|137,583328|-33,033333|+9:30 Australia</v>
      </c>
      <c r="M72" s="10" t="s">
        <v>1841</v>
      </c>
      <c r="N72" s="10">
        <f t="shared" si="5"/>
        <v>0</v>
      </c>
      <c r="O72" t="str">
        <f t="shared" si="9"/>
        <v/>
      </c>
      <c r="P72" t="str">
        <f>IF(O72=1,COUNTIF($O$2:O72,1),"")</f>
        <v/>
      </c>
      <c r="Q72" t="str">
        <f>IFERROR(INDEX($M$2:$M$2388,MATCH(ROWS($P$2:P72),$P$2:$P$2388,0)),"")</f>
        <v/>
      </c>
    </row>
    <row r="73" spans="1:17" ht="15" x14ac:dyDescent="0.25">
      <c r="A73" s="10">
        <v>76</v>
      </c>
      <c r="B73" s="10" t="s">
        <v>1842</v>
      </c>
      <c r="C73" s="880">
        <f t="shared" si="6"/>
        <v>150.88329999999999</v>
      </c>
      <c r="D73" s="880">
        <f t="shared" si="7"/>
        <v>-34.433300000000003</v>
      </c>
      <c r="E73" s="10">
        <v>150.883331</v>
      </c>
      <c r="F73" s="10">
        <v>-34.433334000000002</v>
      </c>
      <c r="G73" s="10">
        <v>10</v>
      </c>
      <c r="H73" s="10" t="s">
        <v>1817</v>
      </c>
      <c r="I73" s="10" t="s">
        <v>1812</v>
      </c>
      <c r="J73" s="10" t="s">
        <v>1813</v>
      </c>
      <c r="K73" s="10" t="s">
        <v>1821</v>
      </c>
      <c r="L73" s="65" t="str">
        <f t="shared" si="8"/>
        <v>Wollongong|Australia|150,883331|-34,433334|+10:00 Australia</v>
      </c>
      <c r="M73" s="10" t="s">
        <v>1843</v>
      </c>
      <c r="N73" s="10">
        <f t="shared" si="5"/>
        <v>0</v>
      </c>
      <c r="O73" t="str">
        <f t="shared" si="9"/>
        <v/>
      </c>
      <c r="P73" t="str">
        <f>IF(O73=1,COUNTIF($O$2:O73,1),"")</f>
        <v/>
      </c>
      <c r="Q73" t="str">
        <f>IFERROR(INDEX($M$2:$M$2388,MATCH(ROWS($P$2:P73),$P$2:$P$2388,0)),"")</f>
        <v/>
      </c>
    </row>
    <row r="74" spans="1:17" ht="15" x14ac:dyDescent="0.25">
      <c r="A74" s="10">
        <v>66</v>
      </c>
      <c r="B74" s="10" t="s">
        <v>1844</v>
      </c>
      <c r="C74" s="880">
        <f t="shared" si="6"/>
        <v>15.45</v>
      </c>
      <c r="D74" s="880">
        <f t="shared" si="7"/>
        <v>47.066600000000001</v>
      </c>
      <c r="E74" s="10">
        <v>15.45</v>
      </c>
      <c r="F74" s="10">
        <v>47.066665999999998</v>
      </c>
      <c r="G74" s="10">
        <v>1</v>
      </c>
      <c r="H74" s="10" t="s">
        <v>1670</v>
      </c>
      <c r="I74" s="10" t="s">
        <v>1845</v>
      </c>
      <c r="J74" s="10" t="s">
        <v>1846</v>
      </c>
      <c r="K74" s="10" t="s">
        <v>1847</v>
      </c>
      <c r="L74" s="65" t="str">
        <f t="shared" si="8"/>
        <v>Graz|Austria|15,450000|47,066666|+1:00 Europe</v>
      </c>
      <c r="M74" s="10" t="s">
        <v>1848</v>
      </c>
      <c r="N74" s="10">
        <f t="shared" si="5"/>
        <v>0</v>
      </c>
      <c r="O74" t="str">
        <f t="shared" si="9"/>
        <v/>
      </c>
      <c r="P74" t="str">
        <f>IF(O74=1,COUNTIF($O$2:O74,1),"")</f>
        <v/>
      </c>
      <c r="Q74" t="str">
        <f>IFERROR(INDEX($M$2:$M$2388,MATCH(ROWS($P$2:P74),$P$2:$P$2388,0)),"")</f>
        <v/>
      </c>
    </row>
    <row r="75" spans="1:17" ht="15" x14ac:dyDescent="0.25">
      <c r="A75" s="10">
        <v>62</v>
      </c>
      <c r="B75" s="10" t="s">
        <v>1849</v>
      </c>
      <c r="C75" s="880">
        <f t="shared" si="6"/>
        <v>16.316600000000001</v>
      </c>
      <c r="D75" s="880">
        <f t="shared" si="7"/>
        <v>48.066600000000001</v>
      </c>
      <c r="E75" s="10">
        <v>16.316668</v>
      </c>
      <c r="F75" s="10">
        <v>48.066665999999998</v>
      </c>
      <c r="G75" s="10">
        <v>1</v>
      </c>
      <c r="H75" s="10" t="s">
        <v>1670</v>
      </c>
      <c r="I75" s="10" t="s">
        <v>1845</v>
      </c>
      <c r="J75" s="10" t="s">
        <v>1846</v>
      </c>
      <c r="K75" s="10" t="s">
        <v>1847</v>
      </c>
      <c r="L75" s="65" t="str">
        <f t="shared" si="8"/>
        <v>Neu-Guntramsdorf|Austria|16,316668|48,066666|+1:00 Europe</v>
      </c>
      <c r="M75" s="10" t="s">
        <v>1850</v>
      </c>
      <c r="N75" s="10">
        <f t="shared" si="5"/>
        <v>0</v>
      </c>
      <c r="O75" t="str">
        <f t="shared" si="9"/>
        <v/>
      </c>
      <c r="P75" t="str">
        <f>IF(O75=1,COUNTIF($O$2:O75,1),"")</f>
        <v/>
      </c>
      <c r="Q75" t="str">
        <f>IFERROR(INDEX($M$2:$M$2388,MATCH(ROWS($P$2:P75),$P$2:$P$2388,0)),"")</f>
        <v/>
      </c>
    </row>
    <row r="76" spans="1:17" ht="15" x14ac:dyDescent="0.25">
      <c r="A76" s="10">
        <v>65</v>
      </c>
      <c r="B76" s="10" t="s">
        <v>1851</v>
      </c>
      <c r="C76" s="880">
        <f t="shared" si="6"/>
        <v>16.372</v>
      </c>
      <c r="D76" s="880">
        <f t="shared" si="7"/>
        <v>48.208399999999997</v>
      </c>
      <c r="E76" s="10">
        <v>16.372076</v>
      </c>
      <c r="F76" s="10">
        <v>48.208488000000003</v>
      </c>
      <c r="G76" s="10">
        <v>1</v>
      </c>
      <c r="H76" s="10" t="s">
        <v>1670</v>
      </c>
      <c r="I76" s="10" t="s">
        <v>1845</v>
      </c>
      <c r="J76" s="10" t="s">
        <v>1846</v>
      </c>
      <c r="K76" s="10" t="s">
        <v>1847</v>
      </c>
      <c r="L76" s="65" t="str">
        <f t="shared" si="8"/>
        <v>Wien|Austria|16,372076|48,208488|+1:00 Europe</v>
      </c>
      <c r="M76" s="10" t="s">
        <v>1852</v>
      </c>
      <c r="N76" s="10">
        <f t="shared" si="5"/>
        <v>0</v>
      </c>
      <c r="O76" t="str">
        <f t="shared" si="9"/>
        <v/>
      </c>
      <c r="P76" t="str">
        <f>IF(O76=1,COUNTIF($O$2:O76,1),"")</f>
        <v/>
      </c>
      <c r="Q76" t="str">
        <f>IFERROR(INDEX($M$2:$M$2388,MATCH(ROWS($P$2:P76),$P$2:$P$2388,0)),"")</f>
        <v/>
      </c>
    </row>
    <row r="77" spans="1:17" ht="15" x14ac:dyDescent="0.25">
      <c r="A77" s="10">
        <v>64</v>
      </c>
      <c r="B77" s="10" t="s">
        <v>1853</v>
      </c>
      <c r="C77" s="880">
        <f t="shared" si="6"/>
        <v>16.75</v>
      </c>
      <c r="D77" s="880">
        <f t="shared" si="7"/>
        <v>48.533299999999997</v>
      </c>
      <c r="E77" s="10">
        <v>16.75</v>
      </c>
      <c r="F77" s="10">
        <v>48.533332999999999</v>
      </c>
      <c r="G77" s="10">
        <v>1</v>
      </c>
      <c r="H77" s="10" t="s">
        <v>1670</v>
      </c>
      <c r="I77" s="10" t="s">
        <v>1845</v>
      </c>
      <c r="J77" s="10" t="s">
        <v>1846</v>
      </c>
      <c r="K77" s="10" t="s">
        <v>1847</v>
      </c>
      <c r="L77" s="65" t="str">
        <f t="shared" si="8"/>
        <v>Zistersdorf|Austria|16,750000|48,533333|+1:00 Europe</v>
      </c>
      <c r="M77" s="10" t="s">
        <v>1854</v>
      </c>
      <c r="N77" s="10">
        <f t="shared" si="5"/>
        <v>0</v>
      </c>
      <c r="O77" t="str">
        <f t="shared" si="9"/>
        <v/>
      </c>
      <c r="P77" t="str">
        <f>IF(O77=1,COUNTIF($O$2:O77,1),"")</f>
        <v/>
      </c>
      <c r="Q77" t="str">
        <f>IFERROR(INDEX($M$2:$M$2388,MATCH(ROWS($P$2:P77),$P$2:$P$2388,0)),"")</f>
        <v/>
      </c>
    </row>
    <row r="78" spans="1:17" ht="15" x14ac:dyDescent="0.25">
      <c r="A78" s="10">
        <v>63</v>
      </c>
      <c r="B78" s="10" t="s">
        <v>1855</v>
      </c>
      <c r="C78" s="880">
        <f t="shared" si="6"/>
        <v>15.2</v>
      </c>
      <c r="D78" s="880">
        <f t="shared" si="7"/>
        <v>48.616599999999998</v>
      </c>
      <c r="E78" s="10">
        <v>15.2</v>
      </c>
      <c r="F78" s="10">
        <v>48.616664999999998</v>
      </c>
      <c r="G78" s="10">
        <v>1</v>
      </c>
      <c r="H78" s="10" t="s">
        <v>1670</v>
      </c>
      <c r="I78" s="10" t="s">
        <v>1845</v>
      </c>
      <c r="J78" s="10" t="s">
        <v>1846</v>
      </c>
      <c r="K78" s="10" t="s">
        <v>1847</v>
      </c>
      <c r="L78" s="65" t="str">
        <f t="shared" si="8"/>
        <v>Zwettl Stift|Austria|15,200000|48,616665|+1:00 Europe</v>
      </c>
      <c r="M78" s="10" t="s">
        <v>1856</v>
      </c>
      <c r="N78" s="10">
        <f t="shared" si="5"/>
        <v>0</v>
      </c>
      <c r="O78" t="str">
        <f t="shared" si="9"/>
        <v/>
      </c>
      <c r="P78" t="str">
        <f>IF(O78=1,COUNTIF($O$2:O78,1),"")</f>
        <v/>
      </c>
      <c r="Q78" t="str">
        <f>IFERROR(INDEX($M$2:$M$2388,MATCH(ROWS($P$2:P78),$P$2:$P$2388,0)),"")</f>
        <v/>
      </c>
    </row>
    <row r="79" spans="1:17" ht="15" x14ac:dyDescent="0.25">
      <c r="A79" s="10">
        <v>85</v>
      </c>
      <c r="B79" s="10" t="s">
        <v>1857</v>
      </c>
      <c r="C79" s="880">
        <f t="shared" si="6"/>
        <v>49.882199999999997</v>
      </c>
      <c r="D79" s="880">
        <f t="shared" si="7"/>
        <v>40.395200000000003</v>
      </c>
      <c r="E79" s="10">
        <v>49.882221000000001</v>
      </c>
      <c r="F79" s="10">
        <v>40.395279000000002</v>
      </c>
      <c r="G79" s="10">
        <v>4</v>
      </c>
      <c r="H79" s="10" t="s">
        <v>1794</v>
      </c>
      <c r="I79" s="10" t="s">
        <v>1858</v>
      </c>
      <c r="J79" s="10" t="s">
        <v>1859</v>
      </c>
      <c r="K79" s="10" t="s">
        <v>1860</v>
      </c>
      <c r="L79" s="65" t="str">
        <f t="shared" si="8"/>
        <v>Baku|Azerbaijan|49,882221|40,395279|+4:00 Asia</v>
      </c>
      <c r="M79" s="10" t="s">
        <v>1861</v>
      </c>
      <c r="N79" s="10">
        <f t="shared" si="5"/>
        <v>0</v>
      </c>
      <c r="O79" t="str">
        <f t="shared" si="9"/>
        <v/>
      </c>
      <c r="P79" t="str">
        <f>IF(O79=1,COUNTIF($O$2:O79,1),"")</f>
        <v/>
      </c>
      <c r="Q79" t="str">
        <f>IFERROR(INDEX($M$2:$M$2388,MATCH(ROWS($P$2:P79),$P$2:$P$2388,0)),"")</f>
        <v/>
      </c>
    </row>
    <row r="80" spans="1:17" ht="15" x14ac:dyDescent="0.25">
      <c r="A80" s="10">
        <v>84</v>
      </c>
      <c r="B80" s="10" t="s">
        <v>1862</v>
      </c>
      <c r="C80" s="880">
        <f t="shared" si="6"/>
        <v>46.360500000000002</v>
      </c>
      <c r="D80" s="880">
        <f t="shared" si="7"/>
        <v>40.682699999999997</v>
      </c>
      <c r="E80" s="10">
        <v>46.360554</v>
      </c>
      <c r="F80" s="10">
        <v>40.682777000000002</v>
      </c>
      <c r="G80" s="10">
        <v>4</v>
      </c>
      <c r="H80" s="10" t="s">
        <v>1794</v>
      </c>
      <c r="I80" s="10" t="s">
        <v>1858</v>
      </c>
      <c r="J80" s="10" t="s">
        <v>1859</v>
      </c>
      <c r="K80" s="10" t="s">
        <v>1860</v>
      </c>
      <c r="L80" s="65" t="str">
        <f t="shared" si="8"/>
        <v>Ganca|Azerbaijan|46,360554|40,682777|+4:00 Asia</v>
      </c>
      <c r="M80" s="10" t="s">
        <v>1863</v>
      </c>
      <c r="N80" s="10">
        <f t="shared" si="5"/>
        <v>0</v>
      </c>
      <c r="O80" t="str">
        <f t="shared" si="9"/>
        <v/>
      </c>
      <c r="P80" t="str">
        <f>IF(O80=1,COUNTIF($O$2:O80,1),"")</f>
        <v/>
      </c>
      <c r="Q80" t="str">
        <f>IFERROR(INDEX($M$2:$M$2388,MATCH(ROWS($P$2:P80),$P$2:$P$2388,0)),"")</f>
        <v/>
      </c>
    </row>
    <row r="81" spans="1:17" ht="15" x14ac:dyDescent="0.25">
      <c r="A81" s="10">
        <v>80</v>
      </c>
      <c r="B81" s="10" t="s">
        <v>1864</v>
      </c>
      <c r="C81" s="880">
        <f t="shared" si="6"/>
        <v>48.595199999999998</v>
      </c>
      <c r="D81" s="880">
        <f t="shared" si="7"/>
        <v>39.116599999999998</v>
      </c>
      <c r="E81" s="10">
        <v>48.595280000000002</v>
      </c>
      <c r="F81" s="10">
        <v>39.116664999999998</v>
      </c>
      <c r="G81" s="10">
        <v>4</v>
      </c>
      <c r="H81" s="10" t="s">
        <v>1794</v>
      </c>
      <c r="I81" s="10" t="s">
        <v>1858</v>
      </c>
      <c r="J81" s="10" t="s">
        <v>1859</v>
      </c>
      <c r="K81" s="10" t="s">
        <v>1860</v>
      </c>
      <c r="L81" s="65" t="str">
        <f t="shared" si="8"/>
        <v>Goytapa|Azerbaijan|48,595280|39,116665|+4:00 Asia</v>
      </c>
      <c r="M81" s="10" t="s">
        <v>1865</v>
      </c>
      <c r="N81" s="10">
        <f t="shared" si="5"/>
        <v>0</v>
      </c>
      <c r="O81" t="str">
        <f t="shared" si="9"/>
        <v/>
      </c>
      <c r="P81" t="str">
        <f>IF(O81=1,COUNTIF($O$2:O81,1),"")</f>
        <v/>
      </c>
      <c r="Q81" t="str">
        <f>IFERROR(INDEX($M$2:$M$2388,MATCH(ROWS($P$2:P81),$P$2:$P$2388,0)),"")</f>
        <v/>
      </c>
    </row>
    <row r="82" spans="1:17" ht="15" x14ac:dyDescent="0.25">
      <c r="A82" s="10">
        <v>81</v>
      </c>
      <c r="B82" s="10" t="s">
        <v>1866</v>
      </c>
      <c r="C82" s="880">
        <f t="shared" si="6"/>
        <v>46.654899999999998</v>
      </c>
      <c r="D82" s="880">
        <f t="shared" si="7"/>
        <v>39.0822</v>
      </c>
      <c r="E82" s="10">
        <v>46.654998999999997</v>
      </c>
      <c r="F82" s="10">
        <v>39.082222000000002</v>
      </c>
      <c r="G82" s="10">
        <v>4</v>
      </c>
      <c r="H82" s="10" t="s">
        <v>1794</v>
      </c>
      <c r="I82" s="10" t="s">
        <v>1858</v>
      </c>
      <c r="J82" s="10" t="s">
        <v>1859</v>
      </c>
      <c r="K82" s="10" t="s">
        <v>1860</v>
      </c>
      <c r="L82" s="65" t="str">
        <f t="shared" si="8"/>
        <v>Icari|Azerbaijan|46,654999|39,082222|+4:00 Asia</v>
      </c>
      <c r="M82" s="10" t="s">
        <v>1867</v>
      </c>
      <c r="N82" s="10">
        <f t="shared" si="5"/>
        <v>0</v>
      </c>
      <c r="O82" t="str">
        <f t="shared" si="9"/>
        <v/>
      </c>
      <c r="P82" t="str">
        <f>IF(O82=1,COUNTIF($O$2:O82,1),"")</f>
        <v/>
      </c>
      <c r="Q82" t="str">
        <f>IFERROR(INDEX($M$2:$M$2388,MATCH(ROWS($P$2:P82),$P$2:$P$2388,0)),"")</f>
        <v/>
      </c>
    </row>
    <row r="83" spans="1:17" ht="15" x14ac:dyDescent="0.25">
      <c r="A83" s="10">
        <v>83</v>
      </c>
      <c r="B83" s="10" t="s">
        <v>1868</v>
      </c>
      <c r="C83" s="880">
        <f t="shared" si="6"/>
        <v>49.668599999999998</v>
      </c>
      <c r="D83" s="880">
        <f t="shared" si="7"/>
        <v>40.589700000000001</v>
      </c>
      <c r="E83" s="10">
        <v>49.668610000000001</v>
      </c>
      <c r="F83" s="10">
        <v>40.589722000000002</v>
      </c>
      <c r="G83" s="10">
        <v>4</v>
      </c>
      <c r="H83" s="10" t="s">
        <v>1794</v>
      </c>
      <c r="I83" s="10" t="s">
        <v>1858</v>
      </c>
      <c r="J83" s="10" t="s">
        <v>1859</v>
      </c>
      <c r="K83" s="10" t="s">
        <v>1860</v>
      </c>
      <c r="L83" s="65" t="str">
        <f t="shared" si="8"/>
        <v>Sumqayit|Azerbaijan|49,668610|40,589722|+4:00 Asia</v>
      </c>
      <c r="M83" s="10" t="s">
        <v>1869</v>
      </c>
      <c r="N83" s="10">
        <f t="shared" si="5"/>
        <v>0</v>
      </c>
      <c r="O83" t="str">
        <f t="shared" si="9"/>
        <v/>
      </c>
      <c r="P83" t="str">
        <f>IF(O83=1,COUNTIF($O$2:O83,1),"")</f>
        <v/>
      </c>
      <c r="Q83" t="str">
        <f>IFERROR(INDEX($M$2:$M$2388,MATCH(ROWS($P$2:P83),$P$2:$P$2388,0)),"")</f>
        <v/>
      </c>
    </row>
    <row r="84" spans="1:17" ht="15" x14ac:dyDescent="0.25">
      <c r="A84" s="10">
        <v>82</v>
      </c>
      <c r="B84" s="10" t="s">
        <v>1870</v>
      </c>
      <c r="C84" s="880">
        <f t="shared" si="6"/>
        <v>47.113</v>
      </c>
      <c r="D84" s="880">
        <f t="shared" si="7"/>
        <v>39.795200000000001</v>
      </c>
      <c r="E84" s="10">
        <v>47.113056</v>
      </c>
      <c r="F84" s="10">
        <v>39.795276999999999</v>
      </c>
      <c r="G84" s="10">
        <v>4</v>
      </c>
      <c r="H84" s="10" t="s">
        <v>1794</v>
      </c>
      <c r="I84" s="10" t="s">
        <v>1858</v>
      </c>
      <c r="J84" s="10" t="s">
        <v>1859</v>
      </c>
      <c r="K84" s="10" t="s">
        <v>1860</v>
      </c>
      <c r="L84" s="65" t="str">
        <f t="shared" si="8"/>
        <v>Xocavand|Azerbaijan|47,113056|39,795277|+4:00 Asia</v>
      </c>
      <c r="M84" s="10" t="s">
        <v>1871</v>
      </c>
      <c r="N84" s="10">
        <f t="shared" si="5"/>
        <v>0</v>
      </c>
      <c r="O84" t="str">
        <f t="shared" si="9"/>
        <v/>
      </c>
      <c r="P84" t="str">
        <f>IF(O84=1,COUNTIF($O$2:O84,1),"")</f>
        <v/>
      </c>
      <c r="Q84" t="str">
        <f>IFERROR(INDEX($M$2:$M$2388,MATCH(ROWS($P$2:P84),$P$2:$P$2388,0)),"")</f>
        <v/>
      </c>
    </row>
    <row r="85" spans="1:17" ht="15" x14ac:dyDescent="0.25">
      <c r="A85" s="10">
        <v>272</v>
      </c>
      <c r="B85" s="10" t="s">
        <v>1872</v>
      </c>
      <c r="C85" s="880">
        <f t="shared" si="6"/>
        <v>-77.05</v>
      </c>
      <c r="D85" s="880">
        <f t="shared" si="7"/>
        <v>26.549900000000001</v>
      </c>
      <c r="E85" s="10">
        <v>-77.050003000000004</v>
      </c>
      <c r="F85" s="10">
        <v>26.549999</v>
      </c>
      <c r="G85" s="10">
        <v>-5</v>
      </c>
      <c r="H85" s="10" t="s">
        <v>1873</v>
      </c>
      <c r="I85" s="10" t="s">
        <v>1874</v>
      </c>
      <c r="J85" s="10" t="s">
        <v>1875</v>
      </c>
      <c r="K85" s="10" t="s">
        <v>1876</v>
      </c>
      <c r="L85" s="65" t="str">
        <f t="shared" si="8"/>
        <v>Marsh Harbour|Bahamas|-77,050003|26,549999|-5:00 America</v>
      </c>
      <c r="M85" s="10" t="s">
        <v>1877</v>
      </c>
      <c r="N85" s="10">
        <f t="shared" si="5"/>
        <v>0</v>
      </c>
      <c r="O85" t="str">
        <f t="shared" si="9"/>
        <v/>
      </c>
      <c r="P85" t="str">
        <f>IF(O85=1,COUNTIF($O$2:O85,1),"")</f>
        <v/>
      </c>
      <c r="Q85" t="str">
        <f>IFERROR(INDEX($M$2:$M$2388,MATCH(ROWS($P$2:P85),$P$2:$P$2388,0)),"")</f>
        <v/>
      </c>
    </row>
    <row r="86" spans="1:17" ht="15" x14ac:dyDescent="0.25">
      <c r="A86" s="10">
        <v>271</v>
      </c>
      <c r="B86" s="10" t="s">
        <v>1878</v>
      </c>
      <c r="C86" s="880">
        <f t="shared" si="6"/>
        <v>-77.349900000000005</v>
      </c>
      <c r="D86" s="880">
        <f t="shared" si="7"/>
        <v>25.083300000000001</v>
      </c>
      <c r="E86" s="10">
        <v>-77.349997999999999</v>
      </c>
      <c r="F86" s="10">
        <v>25.083334000000001</v>
      </c>
      <c r="G86" s="10">
        <v>-5</v>
      </c>
      <c r="H86" s="10" t="s">
        <v>1873</v>
      </c>
      <c r="I86" s="10" t="s">
        <v>1874</v>
      </c>
      <c r="J86" s="10" t="s">
        <v>1875</v>
      </c>
      <c r="K86" s="10" t="s">
        <v>1876</v>
      </c>
      <c r="L86" s="65" t="str">
        <f t="shared" si="8"/>
        <v>Nassau|Bahamas|-77,349998|25,083334|-5:00 America</v>
      </c>
      <c r="M86" s="10" t="s">
        <v>1879</v>
      </c>
      <c r="N86" s="10">
        <f t="shared" si="5"/>
        <v>0</v>
      </c>
      <c r="O86" t="str">
        <f t="shared" si="9"/>
        <v/>
      </c>
      <c r="P86" t="str">
        <f>IF(O86=1,COUNTIF($O$2:O86,1),"")</f>
        <v/>
      </c>
      <c r="Q86" t="str">
        <f>IFERROR(INDEX($M$2:$M$2388,MATCH(ROWS($P$2:P86),$P$2:$P$2388,0)),"")</f>
        <v/>
      </c>
    </row>
    <row r="87" spans="1:17" ht="15" x14ac:dyDescent="0.25">
      <c r="A87" s="10">
        <v>270</v>
      </c>
      <c r="B87" s="10" t="s">
        <v>1880</v>
      </c>
      <c r="C87" s="880">
        <f t="shared" si="6"/>
        <v>-78.9666</v>
      </c>
      <c r="D87" s="880">
        <f t="shared" si="7"/>
        <v>26.683299999999999</v>
      </c>
      <c r="E87" s="10">
        <v>-78.966667000000001</v>
      </c>
      <c r="F87" s="10">
        <v>26.683332</v>
      </c>
      <c r="G87" s="10">
        <v>-5</v>
      </c>
      <c r="H87" s="10" t="s">
        <v>1873</v>
      </c>
      <c r="I87" s="10" t="s">
        <v>1874</v>
      </c>
      <c r="J87" s="10" t="s">
        <v>1875</v>
      </c>
      <c r="K87" s="10" t="s">
        <v>1876</v>
      </c>
      <c r="L87" s="65" t="str">
        <f t="shared" si="8"/>
        <v>West End|Bahamas|-78,966667|26,683332|-5:00 America</v>
      </c>
      <c r="M87" s="10" t="s">
        <v>1881</v>
      </c>
      <c r="N87" s="10">
        <f t="shared" si="5"/>
        <v>0</v>
      </c>
      <c r="O87" t="str">
        <f t="shared" si="9"/>
        <v/>
      </c>
      <c r="P87" t="str">
        <f>IF(O87=1,COUNTIF($O$2:O87,1),"")</f>
        <v/>
      </c>
      <c r="Q87" t="str">
        <f>IFERROR(INDEX($M$2:$M$2388,MATCH(ROWS($P$2:P87),$P$2:$P$2388,0)),"")</f>
        <v/>
      </c>
    </row>
    <row r="88" spans="1:17" ht="15" x14ac:dyDescent="0.25">
      <c r="A88" s="10">
        <v>129</v>
      </c>
      <c r="B88" s="10" t="s">
        <v>1882</v>
      </c>
      <c r="C88" s="880">
        <f t="shared" si="6"/>
        <v>50.547699999999999</v>
      </c>
      <c r="D88" s="880">
        <f t="shared" si="7"/>
        <v>26.218599999999999</v>
      </c>
      <c r="E88" s="10">
        <v>50.547778999999998</v>
      </c>
      <c r="F88" s="10">
        <v>26.218610999999999</v>
      </c>
      <c r="G88" s="10">
        <v>3</v>
      </c>
      <c r="H88" s="10" t="s">
        <v>1883</v>
      </c>
      <c r="I88" s="10" t="s">
        <v>1884</v>
      </c>
      <c r="J88" s="10" t="s">
        <v>1885</v>
      </c>
      <c r="K88" s="10" t="s">
        <v>1886</v>
      </c>
      <c r="L88" s="65" t="str">
        <f t="shared" si="8"/>
        <v>Jidd Hafs|Bahrain|50,547779|26,218611|+3:00 Asia</v>
      </c>
      <c r="M88" s="10" t="s">
        <v>1887</v>
      </c>
      <c r="N88" s="10">
        <f t="shared" si="5"/>
        <v>0</v>
      </c>
      <c r="O88" t="str">
        <f t="shared" si="9"/>
        <v/>
      </c>
      <c r="P88" t="str">
        <f>IF(O88=1,COUNTIF($O$2:O88,1),"")</f>
        <v/>
      </c>
      <c r="Q88" t="str">
        <f>IFERROR(INDEX($M$2:$M$2388,MATCH(ROWS($P$2:P88),$P$2:$P$2388,0)),"")</f>
        <v/>
      </c>
    </row>
    <row r="89" spans="1:17" ht="15" x14ac:dyDescent="0.25">
      <c r="A89" s="10">
        <v>128</v>
      </c>
      <c r="B89" s="10" t="s">
        <v>1888</v>
      </c>
      <c r="C89" s="880">
        <f t="shared" si="6"/>
        <v>50.547699999999999</v>
      </c>
      <c r="D89" s="880">
        <f t="shared" si="7"/>
        <v>26.1736</v>
      </c>
      <c r="E89" s="10">
        <v>50.547778999999998</v>
      </c>
      <c r="F89" s="10">
        <v>26.173611000000001</v>
      </c>
      <c r="G89" s="10">
        <v>3</v>
      </c>
      <c r="H89" s="10" t="s">
        <v>1883</v>
      </c>
      <c r="I89" s="10" t="s">
        <v>1884</v>
      </c>
      <c r="J89" s="10" t="s">
        <v>1885</v>
      </c>
      <c r="K89" s="10" t="s">
        <v>1886</v>
      </c>
      <c r="L89" s="65" t="str">
        <f t="shared" si="8"/>
        <v>Madinat `Isa|Bahrain|50,547779|26,173611|+3:00 Asia</v>
      </c>
      <c r="M89" s="10" t="s">
        <v>1889</v>
      </c>
      <c r="N89" s="10">
        <f t="shared" si="5"/>
        <v>0</v>
      </c>
      <c r="O89" t="str">
        <f t="shared" si="9"/>
        <v/>
      </c>
      <c r="P89" t="str">
        <f>IF(O89=1,COUNTIF($O$2:O89,1),"")</f>
        <v/>
      </c>
      <c r="Q89" t="str">
        <f>IFERROR(INDEX($M$2:$M$2388,MATCH(ROWS($P$2:P89),$P$2:$P$2388,0)),"")</f>
        <v/>
      </c>
    </row>
    <row r="90" spans="1:17" ht="15" x14ac:dyDescent="0.25">
      <c r="A90" s="10">
        <v>2384</v>
      </c>
      <c r="B90" s="10" t="s">
        <v>1890</v>
      </c>
      <c r="C90" s="880">
        <f t="shared" si="6"/>
        <v>50.582999999999998</v>
      </c>
      <c r="D90" s="880">
        <f t="shared" si="7"/>
        <v>26.218599999999999</v>
      </c>
      <c r="E90" s="10">
        <v>50.582999999999998</v>
      </c>
      <c r="F90" s="10">
        <v>26.218610999999999</v>
      </c>
      <c r="G90" s="10">
        <v>3</v>
      </c>
      <c r="H90" s="10" t="s">
        <v>1883</v>
      </c>
      <c r="I90" s="10" t="s">
        <v>1884</v>
      </c>
      <c r="J90" s="10" t="s">
        <v>1885</v>
      </c>
      <c r="K90" s="10" t="s">
        <v>1886</v>
      </c>
      <c r="L90" s="65" t="str">
        <f t="shared" si="8"/>
        <v>Manama|Bahrain|50,583000|26,218611|+3:00 Asia</v>
      </c>
      <c r="M90" s="10" t="s">
        <v>1891</v>
      </c>
      <c r="N90" s="10">
        <f t="shared" si="5"/>
        <v>0</v>
      </c>
      <c r="O90" t="str">
        <f t="shared" si="9"/>
        <v/>
      </c>
      <c r="P90" t="str">
        <f>IF(O90=1,COUNTIF($O$2:O90,1),"")</f>
        <v/>
      </c>
      <c r="Q90" t="str">
        <f>IFERROR(INDEX($M$2:$M$2388,MATCH(ROWS($P$2:P90),$P$2:$P$2388,0)),"")</f>
        <v/>
      </c>
    </row>
    <row r="91" spans="1:17" ht="15" x14ac:dyDescent="0.25">
      <c r="A91" s="10">
        <v>127</v>
      </c>
      <c r="B91" s="10" t="s">
        <v>1892</v>
      </c>
      <c r="C91" s="880">
        <f t="shared" si="6"/>
        <v>50.6205</v>
      </c>
      <c r="D91" s="880">
        <f t="shared" si="7"/>
        <v>26.154699999999998</v>
      </c>
      <c r="E91" s="10">
        <v>50.620556000000001</v>
      </c>
      <c r="F91" s="10">
        <v>26.154722</v>
      </c>
      <c r="G91" s="10">
        <v>3</v>
      </c>
      <c r="H91" s="10" t="s">
        <v>1883</v>
      </c>
      <c r="I91" s="10" t="s">
        <v>1884</v>
      </c>
      <c r="J91" s="10" t="s">
        <v>1885</v>
      </c>
      <c r="K91" s="10" t="s">
        <v>1886</v>
      </c>
      <c r="L91" s="65" t="str">
        <f t="shared" si="8"/>
        <v>Sitrah|Bahrain|50,620556|26,154722|+3:00 Asia</v>
      </c>
      <c r="M91" s="10" t="s">
        <v>1893</v>
      </c>
      <c r="N91" s="10">
        <f t="shared" si="5"/>
        <v>0</v>
      </c>
      <c r="O91" t="str">
        <f t="shared" si="9"/>
        <v/>
      </c>
      <c r="P91" t="str">
        <f>IF(O91=1,COUNTIF($O$2:O91,1),"")</f>
        <v/>
      </c>
      <c r="Q91" t="str">
        <f>IFERROR(INDEX($M$2:$M$2388,MATCH(ROWS($P$2:P91),$P$2:$P$2388,0)),"")</f>
        <v/>
      </c>
    </row>
    <row r="92" spans="1:17" ht="15" x14ac:dyDescent="0.25">
      <c r="A92" s="10">
        <v>107</v>
      </c>
      <c r="B92" s="10" t="s">
        <v>1894</v>
      </c>
      <c r="C92" s="880">
        <f t="shared" si="6"/>
        <v>90.371099999999998</v>
      </c>
      <c r="D92" s="880">
        <f t="shared" si="7"/>
        <v>22.701899999999998</v>
      </c>
      <c r="E92" s="10">
        <v>90.371109000000004</v>
      </c>
      <c r="F92" s="10">
        <v>22.701944000000001</v>
      </c>
      <c r="G92" s="10">
        <v>6</v>
      </c>
      <c r="H92" s="10" t="s">
        <v>1895</v>
      </c>
      <c r="I92" s="10" t="s">
        <v>1896</v>
      </c>
      <c r="J92" s="10" t="s">
        <v>1897</v>
      </c>
      <c r="K92" s="10" t="s">
        <v>1898</v>
      </c>
      <c r="L92" s="65" t="str">
        <f t="shared" si="8"/>
        <v>Barisal|Bangladesh|90,371109|22,701944|+6:00 Asia</v>
      </c>
      <c r="M92" s="10" t="s">
        <v>1899</v>
      </c>
      <c r="N92" s="10">
        <f t="shared" si="5"/>
        <v>0</v>
      </c>
      <c r="O92" t="str">
        <f t="shared" si="9"/>
        <v/>
      </c>
      <c r="P92" t="str">
        <f>IF(O92=1,COUNTIF($O$2:O92,1),"")</f>
        <v/>
      </c>
      <c r="Q92" t="str">
        <f>IFERROR(INDEX($M$2:$M$2388,MATCH(ROWS($P$2:P92),$P$2:$P$2388,0)),"")</f>
        <v/>
      </c>
    </row>
    <row r="93" spans="1:17" ht="15" x14ac:dyDescent="0.25">
      <c r="A93" s="10">
        <v>104</v>
      </c>
      <c r="B93" s="10" t="s">
        <v>1900</v>
      </c>
      <c r="C93" s="880">
        <f t="shared" si="6"/>
        <v>91.836299999999994</v>
      </c>
      <c r="D93" s="880">
        <f t="shared" si="7"/>
        <v>22.332999999999998</v>
      </c>
      <c r="E93" s="10">
        <v>91.836387999999999</v>
      </c>
      <c r="F93" s="10">
        <v>22.333055000000002</v>
      </c>
      <c r="G93" s="10">
        <v>6</v>
      </c>
      <c r="H93" s="10" t="s">
        <v>1895</v>
      </c>
      <c r="I93" s="10" t="s">
        <v>1896</v>
      </c>
      <c r="J93" s="10" t="s">
        <v>1897</v>
      </c>
      <c r="K93" s="10" t="s">
        <v>1898</v>
      </c>
      <c r="L93" s="65" t="str">
        <f t="shared" si="8"/>
        <v>Chittagong|Bangladesh|91,836388|22,333055|+6:00 Asia</v>
      </c>
      <c r="M93" s="10" t="s">
        <v>1901</v>
      </c>
      <c r="N93" s="10">
        <f t="shared" si="5"/>
        <v>0</v>
      </c>
      <c r="O93" t="str">
        <f t="shared" si="9"/>
        <v/>
      </c>
      <c r="P93" t="str">
        <f>IF(O93=1,COUNTIF($O$2:O93,1),"")</f>
        <v/>
      </c>
      <c r="Q93" t="str">
        <f>IFERROR(INDEX($M$2:$M$2388,MATCH(ROWS($P$2:P93),$P$2:$P$2388,0)),"")</f>
        <v/>
      </c>
    </row>
    <row r="94" spans="1:17" ht="15" x14ac:dyDescent="0.25">
      <c r="A94" s="10">
        <v>100</v>
      </c>
      <c r="B94" s="10" t="s">
        <v>1902</v>
      </c>
      <c r="C94" s="880">
        <f t="shared" si="6"/>
        <v>91.204400000000007</v>
      </c>
      <c r="D94" s="880">
        <f t="shared" si="7"/>
        <v>23.457699999999999</v>
      </c>
      <c r="E94" s="10">
        <v>91.204445000000007</v>
      </c>
      <c r="F94" s="10">
        <v>23.457777</v>
      </c>
      <c r="G94" s="10">
        <v>6</v>
      </c>
      <c r="H94" s="10" t="s">
        <v>1895</v>
      </c>
      <c r="I94" s="10" t="s">
        <v>1896</v>
      </c>
      <c r="J94" s="10" t="s">
        <v>1897</v>
      </c>
      <c r="K94" s="10" t="s">
        <v>1898</v>
      </c>
      <c r="L94" s="65" t="str">
        <f t="shared" si="8"/>
        <v>Comilla|Bangladesh|91,204445|23,457777|+6:00 Asia</v>
      </c>
      <c r="M94" s="10" t="s">
        <v>1903</v>
      </c>
      <c r="N94" s="10">
        <f t="shared" si="5"/>
        <v>0</v>
      </c>
      <c r="O94" t="str">
        <f t="shared" si="9"/>
        <v/>
      </c>
      <c r="P94" t="str">
        <f>IF(O94=1,COUNTIF($O$2:O94,1),"")</f>
        <v/>
      </c>
      <c r="Q94" t="str">
        <f>IFERROR(INDEX($M$2:$M$2388,MATCH(ROWS($P$2:P94),$P$2:$P$2388,0)),"")</f>
        <v/>
      </c>
    </row>
    <row r="95" spans="1:17" ht="15" x14ac:dyDescent="0.25">
      <c r="A95" s="10">
        <v>105</v>
      </c>
      <c r="B95" s="10" t="s">
        <v>1904</v>
      </c>
      <c r="C95" s="880">
        <f t="shared" si="6"/>
        <v>91.977999999999994</v>
      </c>
      <c r="D95" s="880">
        <f t="shared" si="7"/>
        <v>21.4422</v>
      </c>
      <c r="E95" s="10">
        <v>91.978058000000004</v>
      </c>
      <c r="F95" s="10">
        <v>21.442222999999998</v>
      </c>
      <c r="G95" s="10">
        <v>6</v>
      </c>
      <c r="H95" s="10" t="s">
        <v>1895</v>
      </c>
      <c r="I95" s="10" t="s">
        <v>1896</v>
      </c>
      <c r="J95" s="10" t="s">
        <v>1897</v>
      </c>
      <c r="K95" s="10" t="s">
        <v>1898</v>
      </c>
      <c r="L95" s="65" t="str">
        <f t="shared" si="8"/>
        <v>Cox's Bazar|Bangladesh|91,978058|21,442223|+6:00 Asia</v>
      </c>
      <c r="M95" s="10" t="s">
        <v>1905</v>
      </c>
      <c r="N95" s="10">
        <f t="shared" si="5"/>
        <v>0</v>
      </c>
      <c r="O95" t="str">
        <f t="shared" si="9"/>
        <v/>
      </c>
      <c r="P95" t="str">
        <f>IF(O95=1,COUNTIF($O$2:O95,1),"")</f>
        <v/>
      </c>
      <c r="Q95" t="str">
        <f>IFERROR(INDEX($M$2:$M$2388,MATCH(ROWS($P$2:P95),$P$2:$P$2388,0)),"")</f>
        <v/>
      </c>
    </row>
    <row r="96" spans="1:17" ht="15" x14ac:dyDescent="0.25">
      <c r="A96" s="10">
        <v>102</v>
      </c>
      <c r="B96" s="10" t="s">
        <v>1906</v>
      </c>
      <c r="C96" s="880">
        <f t="shared" si="6"/>
        <v>90.408600000000007</v>
      </c>
      <c r="D96" s="880">
        <f t="shared" si="7"/>
        <v>23.722999999999999</v>
      </c>
      <c r="E96" s="10">
        <v>90.408607000000003</v>
      </c>
      <c r="F96" s="10">
        <v>23.723054999999999</v>
      </c>
      <c r="G96" s="10">
        <v>6</v>
      </c>
      <c r="H96" s="10" t="s">
        <v>1895</v>
      </c>
      <c r="I96" s="10" t="s">
        <v>1896</v>
      </c>
      <c r="J96" s="10" t="s">
        <v>1897</v>
      </c>
      <c r="K96" s="10" t="s">
        <v>1898</v>
      </c>
      <c r="L96" s="65" t="str">
        <f t="shared" si="8"/>
        <v>Dhaka|Bangladesh|90,408607|23,723055|+6:00 Asia</v>
      </c>
      <c r="M96" s="10" t="s">
        <v>1907</v>
      </c>
      <c r="N96" s="10">
        <f t="shared" si="5"/>
        <v>0</v>
      </c>
      <c r="O96" t="str">
        <f t="shared" si="9"/>
        <v/>
      </c>
      <c r="P96" t="str">
        <f>IF(O96=1,COUNTIF($O$2:O96,1),"")</f>
        <v/>
      </c>
      <c r="Q96" t="str">
        <f>IFERROR(INDEX($M$2:$M$2388,MATCH(ROWS($P$2:P96),$P$2:$P$2388,0)),"")</f>
        <v/>
      </c>
    </row>
    <row r="97" spans="1:17" ht="15" x14ac:dyDescent="0.25">
      <c r="A97" s="10">
        <v>103</v>
      </c>
      <c r="B97" s="10" t="s">
        <v>1908</v>
      </c>
      <c r="C97" s="880">
        <f t="shared" si="6"/>
        <v>88.633300000000006</v>
      </c>
      <c r="D97" s="880">
        <f t="shared" si="7"/>
        <v>25.633299999999998</v>
      </c>
      <c r="E97" s="10">
        <v>88.633330999999998</v>
      </c>
      <c r="F97" s="10">
        <v>25.633333</v>
      </c>
      <c r="G97" s="10">
        <v>6</v>
      </c>
      <c r="H97" s="10" t="s">
        <v>1895</v>
      </c>
      <c r="I97" s="10" t="s">
        <v>1896</v>
      </c>
      <c r="J97" s="10" t="s">
        <v>1897</v>
      </c>
      <c r="K97" s="10" t="s">
        <v>1898</v>
      </c>
      <c r="L97" s="65" t="str">
        <f t="shared" si="8"/>
        <v>Dinajpur|Bangladesh|88,633331|25,633333|+6:00 Asia</v>
      </c>
      <c r="M97" s="10" t="s">
        <v>1909</v>
      </c>
      <c r="N97" s="10">
        <f t="shared" si="5"/>
        <v>0</v>
      </c>
      <c r="O97" t="str">
        <f t="shared" si="9"/>
        <v/>
      </c>
      <c r="P97" t="str">
        <f>IF(O97=1,COUNTIF($O$2:O97,1),"")</f>
        <v/>
      </c>
      <c r="Q97" t="str">
        <f>IFERROR(INDEX($M$2:$M$2388,MATCH(ROWS($P$2:P97),$P$2:$P$2388,0)),"")</f>
        <v/>
      </c>
    </row>
    <row r="98" spans="1:17" ht="15" x14ac:dyDescent="0.25">
      <c r="A98" s="10">
        <v>108</v>
      </c>
      <c r="B98" s="10" t="s">
        <v>1910</v>
      </c>
      <c r="C98" s="880">
        <f t="shared" si="6"/>
        <v>89.2166</v>
      </c>
      <c r="D98" s="880">
        <f t="shared" si="7"/>
        <v>23.166599999999999</v>
      </c>
      <c r="E98" s="10">
        <v>89.216667000000001</v>
      </c>
      <c r="F98" s="10">
        <v>23.166665999999999</v>
      </c>
      <c r="G98" s="10">
        <v>6</v>
      </c>
      <c r="H98" s="10" t="s">
        <v>1895</v>
      </c>
      <c r="I98" s="10" t="s">
        <v>1896</v>
      </c>
      <c r="J98" s="10" t="s">
        <v>1897</v>
      </c>
      <c r="K98" s="10" t="s">
        <v>1898</v>
      </c>
      <c r="L98" s="65" t="str">
        <f t="shared" si="8"/>
        <v>Jessore|Bangladesh|89,216667|23,166666|+6:00 Asia</v>
      </c>
      <c r="M98" s="10" t="s">
        <v>1911</v>
      </c>
      <c r="N98" s="10">
        <f t="shared" si="5"/>
        <v>0</v>
      </c>
      <c r="O98" t="str">
        <f t="shared" si="9"/>
        <v/>
      </c>
      <c r="P98" t="str">
        <f>IF(O98=1,COUNTIF($O$2:O98,1),"")</f>
        <v/>
      </c>
      <c r="Q98" t="str">
        <f>IFERROR(INDEX($M$2:$M$2388,MATCH(ROWS($P$2:P98),$P$2:$P$2388,0)),"")</f>
        <v/>
      </c>
    </row>
    <row r="99" spans="1:17" ht="15" x14ac:dyDescent="0.25">
      <c r="A99" s="10">
        <v>106</v>
      </c>
      <c r="B99" s="10" t="s">
        <v>1912</v>
      </c>
      <c r="C99" s="880">
        <f t="shared" si="6"/>
        <v>89.55</v>
      </c>
      <c r="D99" s="880">
        <f t="shared" si="7"/>
        <v>22.799900000000001</v>
      </c>
      <c r="E99" s="10">
        <v>89.550003000000004</v>
      </c>
      <c r="F99" s="10">
        <v>22.799999</v>
      </c>
      <c r="G99" s="10">
        <v>6</v>
      </c>
      <c r="H99" s="10" t="s">
        <v>1895</v>
      </c>
      <c r="I99" s="10" t="s">
        <v>1896</v>
      </c>
      <c r="J99" s="10" t="s">
        <v>1897</v>
      </c>
      <c r="K99" s="10" t="s">
        <v>1898</v>
      </c>
      <c r="L99" s="65" t="str">
        <f t="shared" si="8"/>
        <v>Khulna|Bangladesh|89,550003|22,799999|+6:00 Asia</v>
      </c>
      <c r="M99" s="10" t="s">
        <v>1913</v>
      </c>
      <c r="N99" s="10">
        <f t="shared" si="5"/>
        <v>0</v>
      </c>
      <c r="O99" t="str">
        <f t="shared" si="9"/>
        <v/>
      </c>
      <c r="P99" t="str">
        <f>IF(O99=1,COUNTIF($O$2:O99,1),"")</f>
        <v/>
      </c>
      <c r="Q99" t="str">
        <f>IFERROR(INDEX($M$2:$M$2388,MATCH(ROWS($P$2:P99),$P$2:$P$2388,0)),"")</f>
        <v/>
      </c>
    </row>
    <row r="100" spans="1:17" ht="15" x14ac:dyDescent="0.25">
      <c r="A100" s="10">
        <v>99</v>
      </c>
      <c r="B100" s="10" t="s">
        <v>1914</v>
      </c>
      <c r="C100" s="880">
        <f t="shared" si="6"/>
        <v>90.4</v>
      </c>
      <c r="D100" s="880">
        <f t="shared" si="7"/>
        <v>24.75</v>
      </c>
      <c r="E100" s="10">
        <v>90.400002000000001</v>
      </c>
      <c r="F100" s="10">
        <v>24.75</v>
      </c>
      <c r="G100" s="10">
        <v>6</v>
      </c>
      <c r="H100" s="10" t="s">
        <v>1895</v>
      </c>
      <c r="I100" s="10" t="s">
        <v>1896</v>
      </c>
      <c r="J100" s="10" t="s">
        <v>1897</v>
      </c>
      <c r="K100" s="10" t="s">
        <v>1898</v>
      </c>
      <c r="L100" s="65" t="str">
        <f t="shared" si="8"/>
        <v>Mymensingh|Bangladesh|90,400002|24,750000|+6:00 Asia</v>
      </c>
      <c r="M100" s="10" t="s">
        <v>1915</v>
      </c>
      <c r="N100" s="10">
        <f t="shared" si="5"/>
        <v>0</v>
      </c>
      <c r="O100" t="str">
        <f t="shared" si="9"/>
        <v/>
      </c>
      <c r="P100" t="str">
        <f>IF(O100=1,COUNTIF($O$2:O100,1),"")</f>
        <v/>
      </c>
      <c r="Q100" t="str">
        <f>IFERROR(INDEX($M$2:$M$2388,MATCH(ROWS($P$2:P100),$P$2:$P$2388,0)),"")</f>
        <v/>
      </c>
    </row>
    <row r="101" spans="1:17" ht="15" x14ac:dyDescent="0.25">
      <c r="A101" s="10">
        <v>98</v>
      </c>
      <c r="B101" s="10" t="s">
        <v>1916</v>
      </c>
      <c r="C101" s="880">
        <f t="shared" si="6"/>
        <v>90.501099999999994</v>
      </c>
      <c r="D101" s="880">
        <f t="shared" si="7"/>
        <v>23.6233</v>
      </c>
      <c r="E101" s="10">
        <v>90.501114000000001</v>
      </c>
      <c r="F101" s="10">
        <v>23.623332999999999</v>
      </c>
      <c r="G101" s="10">
        <v>6</v>
      </c>
      <c r="H101" s="10" t="s">
        <v>1895</v>
      </c>
      <c r="I101" s="10" t="s">
        <v>1896</v>
      </c>
      <c r="J101" s="10" t="s">
        <v>1897</v>
      </c>
      <c r="K101" s="10" t="s">
        <v>1898</v>
      </c>
      <c r="L101" s="65" t="str">
        <f t="shared" si="8"/>
        <v>Narayanganj|Bangladesh|90,501114|23,623333|+6:00 Asia</v>
      </c>
      <c r="M101" s="10" t="s">
        <v>1917</v>
      </c>
      <c r="N101" s="10">
        <f t="shared" si="5"/>
        <v>0</v>
      </c>
      <c r="O101" t="str">
        <f t="shared" si="9"/>
        <v/>
      </c>
      <c r="P101" t="str">
        <f>IF(O101=1,COUNTIF($O$2:O101,1),"")</f>
        <v/>
      </c>
      <c r="Q101" t="str">
        <f>IFERROR(INDEX($M$2:$M$2388,MATCH(ROWS($P$2:P101),$P$2:$P$2388,0)),"")</f>
        <v/>
      </c>
    </row>
    <row r="102" spans="1:17" ht="15" x14ac:dyDescent="0.25">
      <c r="A102" s="10">
        <v>96</v>
      </c>
      <c r="B102" s="10" t="s">
        <v>1918</v>
      </c>
      <c r="C102" s="880">
        <f t="shared" si="6"/>
        <v>90.718000000000004</v>
      </c>
      <c r="D102" s="880">
        <f t="shared" si="7"/>
        <v>23.9208</v>
      </c>
      <c r="E102" s="10">
        <v>90.718056000000004</v>
      </c>
      <c r="F102" s="10">
        <v>23.920833999999999</v>
      </c>
      <c r="G102" s="10">
        <v>6</v>
      </c>
      <c r="H102" s="10" t="s">
        <v>1895</v>
      </c>
      <c r="I102" s="10" t="s">
        <v>1896</v>
      </c>
      <c r="J102" s="10" t="s">
        <v>1897</v>
      </c>
      <c r="K102" s="10" t="s">
        <v>1898</v>
      </c>
      <c r="L102" s="65" t="str">
        <f t="shared" si="8"/>
        <v>Narsingdi|Bangladesh|90,718056|23,920834|+6:00 Asia</v>
      </c>
      <c r="M102" s="10" t="s">
        <v>1919</v>
      </c>
      <c r="N102" s="10">
        <f t="shared" si="5"/>
        <v>0</v>
      </c>
      <c r="O102" t="str">
        <f t="shared" si="9"/>
        <v/>
      </c>
      <c r="P102" t="str">
        <f>IF(O102=1,COUNTIF($O$2:O102,1),"")</f>
        <v/>
      </c>
      <c r="Q102" t="str">
        <f>IFERROR(INDEX($M$2:$M$2388,MATCH(ROWS($P$2:P102),$P$2:$P$2388,0)),"")</f>
        <v/>
      </c>
    </row>
    <row r="103" spans="1:17" ht="15" x14ac:dyDescent="0.25">
      <c r="A103" s="10">
        <v>97</v>
      </c>
      <c r="B103" s="10" t="s">
        <v>1920</v>
      </c>
      <c r="C103" s="880">
        <f t="shared" si="6"/>
        <v>88.599900000000005</v>
      </c>
      <c r="D103" s="880">
        <f t="shared" si="7"/>
        <v>24.366599999999998</v>
      </c>
      <c r="E103" s="10">
        <v>88.599997999999999</v>
      </c>
      <c r="F103" s="10">
        <v>24.366667</v>
      </c>
      <c r="G103" s="10">
        <v>6</v>
      </c>
      <c r="H103" s="10" t="s">
        <v>1895</v>
      </c>
      <c r="I103" s="10" t="s">
        <v>1896</v>
      </c>
      <c r="J103" s="10" t="s">
        <v>1897</v>
      </c>
      <c r="K103" s="10" t="s">
        <v>1898</v>
      </c>
      <c r="L103" s="65" t="str">
        <f t="shared" si="8"/>
        <v>Rajshahi|Bangladesh|88,599998|24,366667|+6:00 Asia</v>
      </c>
      <c r="M103" s="10" t="s">
        <v>1921</v>
      </c>
      <c r="N103" s="10">
        <f t="shared" si="5"/>
        <v>0</v>
      </c>
      <c r="O103" t="str">
        <f t="shared" si="9"/>
        <v/>
      </c>
      <c r="P103" t="str">
        <f>IF(O103=1,COUNTIF($O$2:O103,1),"")</f>
        <v/>
      </c>
      <c r="Q103" t="str">
        <f>IFERROR(INDEX($M$2:$M$2388,MATCH(ROWS($P$2:P103),$P$2:$P$2388,0)),"")</f>
        <v/>
      </c>
    </row>
    <row r="104" spans="1:17" ht="15" x14ac:dyDescent="0.25">
      <c r="A104" s="10">
        <v>101</v>
      </c>
      <c r="B104" s="10" t="s">
        <v>1922</v>
      </c>
      <c r="C104" s="880">
        <f t="shared" si="6"/>
        <v>89.25</v>
      </c>
      <c r="D104" s="880">
        <f t="shared" si="7"/>
        <v>25.75</v>
      </c>
      <c r="E104" s="10">
        <v>89.25</v>
      </c>
      <c r="F104" s="10">
        <v>25.75</v>
      </c>
      <c r="G104" s="10">
        <v>6</v>
      </c>
      <c r="H104" s="10" t="s">
        <v>1895</v>
      </c>
      <c r="I104" s="10" t="s">
        <v>1896</v>
      </c>
      <c r="J104" s="10" t="s">
        <v>1897</v>
      </c>
      <c r="K104" s="10" t="s">
        <v>1898</v>
      </c>
      <c r="L104" s="65" t="str">
        <f t="shared" si="8"/>
        <v>Rangpur|Bangladesh|89,250000|25,750000|+6:00 Asia</v>
      </c>
      <c r="M104" s="10" t="s">
        <v>1923</v>
      </c>
      <c r="N104" s="10">
        <f t="shared" si="5"/>
        <v>0</v>
      </c>
      <c r="O104" t="str">
        <f t="shared" si="9"/>
        <v/>
      </c>
      <c r="P104" t="str">
        <f>IF(O104=1,COUNTIF($O$2:O104,1),"")</f>
        <v/>
      </c>
      <c r="Q104" t="str">
        <f>IFERROR(INDEX($M$2:$M$2388,MATCH(ROWS($P$2:P104),$P$2:$P$2388,0)),"")</f>
        <v/>
      </c>
    </row>
    <row r="105" spans="1:17" ht="15" x14ac:dyDescent="0.25">
      <c r="A105" s="10">
        <v>95</v>
      </c>
      <c r="B105" s="10" t="s">
        <v>1924</v>
      </c>
      <c r="C105" s="880">
        <f t="shared" si="6"/>
        <v>91.871600000000001</v>
      </c>
      <c r="D105" s="880">
        <f t="shared" si="7"/>
        <v>24.896599999999999</v>
      </c>
      <c r="E105" s="10">
        <v>91.871666000000005</v>
      </c>
      <c r="F105" s="10">
        <v>24.896667000000001</v>
      </c>
      <c r="G105" s="10">
        <v>6</v>
      </c>
      <c r="H105" s="10" t="s">
        <v>1895</v>
      </c>
      <c r="I105" s="10" t="s">
        <v>1896</v>
      </c>
      <c r="J105" s="10" t="s">
        <v>1897</v>
      </c>
      <c r="K105" s="10" t="s">
        <v>1898</v>
      </c>
      <c r="L105" s="65" t="str">
        <f t="shared" si="8"/>
        <v>Sylhet|Bangladesh|91,871666|24,896667|+6:00 Asia</v>
      </c>
      <c r="M105" s="10" t="s">
        <v>1925</v>
      </c>
      <c r="N105" s="10">
        <f t="shared" si="5"/>
        <v>0</v>
      </c>
      <c r="O105" t="str">
        <f t="shared" si="9"/>
        <v/>
      </c>
      <c r="P105" t="str">
        <f>IF(O105=1,COUNTIF($O$2:O105,1),"")</f>
        <v/>
      </c>
      <c r="Q105" t="str">
        <f>IFERROR(INDEX($M$2:$M$2388,MATCH(ROWS($P$2:P105),$P$2:$P$2388,0)),"")</f>
        <v/>
      </c>
    </row>
    <row r="106" spans="1:17" ht="15" x14ac:dyDescent="0.25">
      <c r="A106" s="10">
        <v>93</v>
      </c>
      <c r="B106" s="10" t="s">
        <v>1926</v>
      </c>
      <c r="C106" s="880">
        <f t="shared" si="6"/>
        <v>92.3</v>
      </c>
      <c r="D106" s="880">
        <f t="shared" si="7"/>
        <v>20.866599999999998</v>
      </c>
      <c r="E106" s="10">
        <v>92.300003000000004</v>
      </c>
      <c r="F106" s="10">
        <v>20.866667</v>
      </c>
      <c r="G106" s="10">
        <v>6</v>
      </c>
      <c r="H106" s="10" t="s">
        <v>1895</v>
      </c>
      <c r="I106" s="10" t="s">
        <v>1896</v>
      </c>
      <c r="J106" s="10" t="s">
        <v>1897</v>
      </c>
      <c r="K106" s="10" t="s">
        <v>1898</v>
      </c>
      <c r="L106" s="65" t="str">
        <f t="shared" si="8"/>
        <v>Teknaf|Bangladesh|92,300003|20,866667|+6:00 Asia</v>
      </c>
      <c r="M106" s="10" t="s">
        <v>1927</v>
      </c>
      <c r="N106" s="10">
        <f t="shared" si="5"/>
        <v>0</v>
      </c>
      <c r="O106" t="str">
        <f t="shared" si="9"/>
        <v/>
      </c>
      <c r="P106" t="str">
        <f>IF(O106=1,COUNTIF($O$2:O106,1),"")</f>
        <v/>
      </c>
      <c r="Q106" t="str">
        <f>IFERROR(INDEX($M$2:$M$2388,MATCH(ROWS($P$2:P106),$P$2:$P$2388,0)),"")</f>
        <v/>
      </c>
    </row>
    <row r="107" spans="1:17" ht="15" x14ac:dyDescent="0.25">
      <c r="A107" s="10">
        <v>92</v>
      </c>
      <c r="B107" s="10" t="s">
        <v>1928</v>
      </c>
      <c r="C107" s="880">
        <f t="shared" si="6"/>
        <v>88.4666</v>
      </c>
      <c r="D107" s="880">
        <f t="shared" si="7"/>
        <v>26.033300000000001</v>
      </c>
      <c r="E107" s="10">
        <v>88.466667000000001</v>
      </c>
      <c r="F107" s="10">
        <v>26.033332999999999</v>
      </c>
      <c r="G107" s="10">
        <v>6</v>
      </c>
      <c r="H107" s="10" t="s">
        <v>1895</v>
      </c>
      <c r="I107" s="10" t="s">
        <v>1896</v>
      </c>
      <c r="J107" s="10" t="s">
        <v>1897</v>
      </c>
      <c r="K107" s="10" t="s">
        <v>1898</v>
      </c>
      <c r="L107" s="65" t="str">
        <f t="shared" si="8"/>
        <v>Thakurgaon|Bangladesh|88,466667|26,033333|+6:00 Asia</v>
      </c>
      <c r="M107" s="10" t="s">
        <v>1929</v>
      </c>
      <c r="N107" s="10">
        <f t="shared" si="5"/>
        <v>0</v>
      </c>
      <c r="O107" t="str">
        <f t="shared" si="9"/>
        <v/>
      </c>
      <c r="P107" t="str">
        <f>IF(O107=1,COUNTIF($O$2:O107,1),"")</f>
        <v/>
      </c>
      <c r="Q107" t="str">
        <f>IFERROR(INDEX($M$2:$M$2388,MATCH(ROWS($P$2:P107),$P$2:$P$2388,0)),"")</f>
        <v/>
      </c>
    </row>
    <row r="108" spans="1:17" ht="15" x14ac:dyDescent="0.25">
      <c r="A108" s="10">
        <v>94</v>
      </c>
      <c r="B108" s="10" t="s">
        <v>1930</v>
      </c>
      <c r="C108" s="880">
        <f t="shared" si="6"/>
        <v>90.405799999999999</v>
      </c>
      <c r="D108" s="880">
        <f t="shared" si="7"/>
        <v>23.889900000000001</v>
      </c>
      <c r="E108" s="10">
        <v>90.405829999999995</v>
      </c>
      <c r="F108" s="10">
        <v>23.889999</v>
      </c>
      <c r="G108" s="10">
        <v>6</v>
      </c>
      <c r="H108" s="10" t="s">
        <v>1895</v>
      </c>
      <c r="I108" s="10" t="s">
        <v>1896</v>
      </c>
      <c r="J108" s="10" t="s">
        <v>1897</v>
      </c>
      <c r="K108" s="10" t="s">
        <v>1898</v>
      </c>
      <c r="L108" s="65" t="str">
        <f t="shared" si="8"/>
        <v>Tungi|Bangladesh|90,405830|23,889999|+6:00 Asia</v>
      </c>
      <c r="M108" s="10" t="s">
        <v>1931</v>
      </c>
      <c r="N108" s="10">
        <f t="shared" si="5"/>
        <v>0</v>
      </c>
      <c r="O108" t="str">
        <f t="shared" si="9"/>
        <v/>
      </c>
      <c r="P108" t="str">
        <f>IF(O108=1,COUNTIF($O$2:O108,1),"")</f>
        <v/>
      </c>
      <c r="Q108" t="str">
        <f>IFERROR(INDEX($M$2:$M$2388,MATCH(ROWS($P$2:P108),$P$2:$P$2388,0)),"")</f>
        <v/>
      </c>
    </row>
    <row r="109" spans="1:17" ht="15" x14ac:dyDescent="0.25">
      <c r="A109" s="10">
        <v>91</v>
      </c>
      <c r="B109" s="10" t="s">
        <v>1932</v>
      </c>
      <c r="C109" s="880">
        <f t="shared" si="6"/>
        <v>-59.616599999999998</v>
      </c>
      <c r="D109" s="880">
        <f t="shared" si="7"/>
        <v>13.1</v>
      </c>
      <c r="E109" s="10">
        <v>-59.616664999999998</v>
      </c>
      <c r="F109" s="10">
        <v>13.1</v>
      </c>
      <c r="G109" s="10">
        <v>-4</v>
      </c>
      <c r="H109" s="10" t="s">
        <v>1733</v>
      </c>
      <c r="I109" s="10" t="s">
        <v>1933</v>
      </c>
      <c r="J109" s="10" t="s">
        <v>1934</v>
      </c>
      <c r="K109" s="10" t="s">
        <v>1935</v>
      </c>
      <c r="L109" s="65" t="str">
        <f t="shared" si="8"/>
        <v>Bridgetown|Barbados|-59,616665|13,100000|-4:00 America</v>
      </c>
      <c r="M109" s="10" t="s">
        <v>1936</v>
      </c>
      <c r="N109" s="10">
        <f t="shared" si="5"/>
        <v>0</v>
      </c>
      <c r="O109" t="str">
        <f t="shared" si="9"/>
        <v/>
      </c>
      <c r="P109" t="str">
        <f>IF(O109=1,COUNTIF($O$2:O109,1),"")</f>
        <v/>
      </c>
      <c r="Q109" t="str">
        <f>IFERROR(INDEX($M$2:$M$2388,MATCH(ROWS($P$2:P109),$P$2:$P$2388,0)),"")</f>
        <v/>
      </c>
    </row>
    <row r="110" spans="1:17" ht="15" x14ac:dyDescent="0.25">
      <c r="A110" s="10">
        <v>285</v>
      </c>
      <c r="B110" s="10" t="s">
        <v>1937</v>
      </c>
      <c r="C110" s="880">
        <f t="shared" si="6"/>
        <v>29.2333</v>
      </c>
      <c r="D110" s="880">
        <f t="shared" si="7"/>
        <v>53.15</v>
      </c>
      <c r="E110" s="10">
        <v>29.233333999999999</v>
      </c>
      <c r="F110" s="10">
        <v>53.150002000000001</v>
      </c>
      <c r="G110" s="10">
        <v>2</v>
      </c>
      <c r="H110" s="10" t="s">
        <v>1938</v>
      </c>
      <c r="I110" s="10" t="s">
        <v>1939</v>
      </c>
      <c r="J110" s="10" t="s">
        <v>1940</v>
      </c>
      <c r="K110" s="10" t="s">
        <v>1941</v>
      </c>
      <c r="L110" s="65" t="str">
        <f t="shared" si="8"/>
        <v>Babruysk|Belarus|29,233334|53,150002|+2:00 Europe</v>
      </c>
      <c r="M110" s="10" t="s">
        <v>1942</v>
      </c>
      <c r="N110" s="10">
        <f t="shared" si="5"/>
        <v>0</v>
      </c>
      <c r="O110" t="str">
        <f t="shared" si="9"/>
        <v/>
      </c>
      <c r="P110" t="str">
        <f>IF(O110=1,COUNTIF($O$2:O110,1),"")</f>
        <v/>
      </c>
      <c r="Q110" t="str">
        <f>IFERROR(INDEX($M$2:$M$2388,MATCH(ROWS($P$2:P110),$P$2:$P$2388,0)),"")</f>
        <v/>
      </c>
    </row>
    <row r="111" spans="1:17" ht="15" x14ac:dyDescent="0.25">
      <c r="A111" s="10">
        <v>284</v>
      </c>
      <c r="B111" s="10" t="s">
        <v>1943</v>
      </c>
      <c r="C111" s="880">
        <f t="shared" si="6"/>
        <v>23.7</v>
      </c>
      <c r="D111" s="880">
        <f t="shared" si="7"/>
        <v>52.099899999999998</v>
      </c>
      <c r="E111" s="10">
        <v>23.700001</v>
      </c>
      <c r="F111" s="10">
        <v>52.099997999999999</v>
      </c>
      <c r="G111" s="10">
        <v>2</v>
      </c>
      <c r="H111" s="10" t="s">
        <v>1938</v>
      </c>
      <c r="I111" s="10" t="s">
        <v>1939</v>
      </c>
      <c r="J111" s="10" t="s">
        <v>1940</v>
      </c>
      <c r="K111" s="10" t="s">
        <v>1941</v>
      </c>
      <c r="L111" s="65" t="str">
        <f t="shared" si="8"/>
        <v>Brest|Belarus|23,700001|52,099998|+2:00 Europe</v>
      </c>
      <c r="M111" s="10" t="s">
        <v>1944</v>
      </c>
      <c r="N111" s="10">
        <f t="shared" si="5"/>
        <v>0</v>
      </c>
      <c r="O111" t="str">
        <f t="shared" si="9"/>
        <v/>
      </c>
      <c r="P111" t="str">
        <f>IF(O111=1,COUNTIF($O$2:O111,1),"")</f>
        <v/>
      </c>
      <c r="Q111" t="str">
        <f>IFERROR(INDEX($M$2:$M$2388,MATCH(ROWS($P$2:P111),$P$2:$P$2388,0)),"")</f>
        <v/>
      </c>
    </row>
    <row r="112" spans="1:17" ht="15" x14ac:dyDescent="0.25">
      <c r="A112" s="10">
        <v>283</v>
      </c>
      <c r="B112" s="10" t="s">
        <v>1945</v>
      </c>
      <c r="C112" s="880">
        <f t="shared" si="6"/>
        <v>30.9833</v>
      </c>
      <c r="D112" s="880">
        <f t="shared" si="7"/>
        <v>52.441600000000001</v>
      </c>
      <c r="E112" s="10">
        <v>30.983333999999999</v>
      </c>
      <c r="F112" s="10">
        <v>52.441665999999998</v>
      </c>
      <c r="G112" s="10">
        <v>2</v>
      </c>
      <c r="H112" s="10" t="s">
        <v>1938</v>
      </c>
      <c r="I112" s="10" t="s">
        <v>1939</v>
      </c>
      <c r="J112" s="10" t="s">
        <v>1940</v>
      </c>
      <c r="K112" s="10" t="s">
        <v>1941</v>
      </c>
      <c r="L112" s="65" t="str">
        <f t="shared" si="8"/>
        <v>Homyel'|Belarus|30,983334|52,441666|+2:00 Europe</v>
      </c>
      <c r="M112" s="10" t="s">
        <v>1946</v>
      </c>
      <c r="N112" s="10">
        <f t="shared" si="5"/>
        <v>0</v>
      </c>
      <c r="O112" t="str">
        <f t="shared" si="9"/>
        <v/>
      </c>
      <c r="P112" t="str">
        <f>IF(O112=1,COUNTIF($O$2:O112,1),"")</f>
        <v/>
      </c>
      <c r="Q112" t="str">
        <f>IFERROR(INDEX($M$2:$M$2388,MATCH(ROWS($P$2:P112),$P$2:$P$2388,0)),"")</f>
        <v/>
      </c>
    </row>
    <row r="113" spans="1:17" ht="15" x14ac:dyDescent="0.25">
      <c r="A113" s="10">
        <v>282</v>
      </c>
      <c r="B113" s="10" t="s">
        <v>1947</v>
      </c>
      <c r="C113" s="880">
        <f t="shared" si="6"/>
        <v>23.814699999999998</v>
      </c>
      <c r="D113" s="880">
        <f t="shared" si="7"/>
        <v>53.6813</v>
      </c>
      <c r="E113" s="10">
        <v>23.814722</v>
      </c>
      <c r="F113" s="10">
        <v>53.681389000000003</v>
      </c>
      <c r="G113" s="10">
        <v>2</v>
      </c>
      <c r="H113" s="10" t="s">
        <v>1938</v>
      </c>
      <c r="I113" s="10" t="s">
        <v>1939</v>
      </c>
      <c r="J113" s="10" t="s">
        <v>1940</v>
      </c>
      <c r="K113" s="10" t="s">
        <v>1941</v>
      </c>
      <c r="L113" s="65" t="str">
        <f t="shared" si="8"/>
        <v>Hrodna|Belarus|23,814722|53,681389|+2:00 Europe</v>
      </c>
      <c r="M113" s="10" t="s">
        <v>1948</v>
      </c>
      <c r="N113" s="10">
        <f t="shared" si="5"/>
        <v>0</v>
      </c>
      <c r="O113" t="str">
        <f t="shared" si="9"/>
        <v/>
      </c>
      <c r="P113" t="str">
        <f>IF(O113=1,COUNTIF($O$2:O113,1),"")</f>
        <v/>
      </c>
      <c r="Q113" t="str">
        <f>IFERROR(INDEX($M$2:$M$2388,MATCH(ROWS($P$2:P113),$P$2:$P$2388,0)),"")</f>
        <v/>
      </c>
    </row>
    <row r="114" spans="1:17" ht="15" x14ac:dyDescent="0.25">
      <c r="A114" s="10">
        <v>281</v>
      </c>
      <c r="B114" s="10" t="s">
        <v>1949</v>
      </c>
      <c r="C114" s="880">
        <f t="shared" si="6"/>
        <v>27.566600000000001</v>
      </c>
      <c r="D114" s="880">
        <f t="shared" si="7"/>
        <v>53.9</v>
      </c>
      <c r="E114" s="10">
        <v>27.566668</v>
      </c>
      <c r="F114" s="10">
        <v>53.900002000000001</v>
      </c>
      <c r="G114" s="10">
        <v>2</v>
      </c>
      <c r="H114" s="10" t="s">
        <v>1938</v>
      </c>
      <c r="I114" s="10" t="s">
        <v>1939</v>
      </c>
      <c r="J114" s="10" t="s">
        <v>1940</v>
      </c>
      <c r="K114" s="10" t="s">
        <v>1941</v>
      </c>
      <c r="L114" s="65" t="str">
        <f t="shared" si="8"/>
        <v>Minsk|Belarus|27,566668|53,900002|+2:00 Europe</v>
      </c>
      <c r="M114" s="10" t="s">
        <v>1950</v>
      </c>
      <c r="N114" s="10">
        <f t="shared" si="5"/>
        <v>0</v>
      </c>
      <c r="O114" t="str">
        <f t="shared" si="9"/>
        <v/>
      </c>
      <c r="P114" t="str">
        <f>IF(O114=1,COUNTIF($O$2:O114,1),"")</f>
        <v/>
      </c>
      <c r="Q114" t="str">
        <f>IFERROR(INDEX($M$2:$M$2388,MATCH(ROWS($P$2:P114),$P$2:$P$2388,0)),"")</f>
        <v/>
      </c>
    </row>
    <row r="115" spans="1:17" ht="15" x14ac:dyDescent="0.25">
      <c r="A115" s="10">
        <v>280</v>
      </c>
      <c r="B115" s="10" t="s">
        <v>1951</v>
      </c>
      <c r="C115" s="880">
        <f t="shared" si="6"/>
        <v>24.023299999999999</v>
      </c>
      <c r="D115" s="880">
        <f t="shared" si="7"/>
        <v>52.200499999999998</v>
      </c>
      <c r="E115" s="10">
        <v>24.023333000000001</v>
      </c>
      <c r="F115" s="10">
        <v>52.200553999999997</v>
      </c>
      <c r="G115" s="10">
        <v>2</v>
      </c>
      <c r="H115" s="10" t="s">
        <v>1938</v>
      </c>
      <c r="I115" s="10" t="s">
        <v>1939</v>
      </c>
      <c r="J115" s="10" t="s">
        <v>1940</v>
      </c>
      <c r="K115" s="10" t="s">
        <v>1941</v>
      </c>
      <c r="L115" s="65" t="str">
        <f t="shared" si="8"/>
        <v>Zhabinka|Belarus|24,023333|52,200554|+2:00 Europe</v>
      </c>
      <c r="M115" s="10" t="s">
        <v>1952</v>
      </c>
      <c r="N115" s="10">
        <f t="shared" si="5"/>
        <v>0</v>
      </c>
      <c r="O115" t="str">
        <f t="shared" si="9"/>
        <v/>
      </c>
      <c r="P115" t="str">
        <f>IF(O115=1,COUNTIF($O$2:O115,1),"")</f>
        <v/>
      </c>
      <c r="Q115" t="str">
        <f>IFERROR(INDEX($M$2:$M$2388,MATCH(ROWS($P$2:P115),$P$2:$P$2388,0)),"")</f>
        <v/>
      </c>
    </row>
    <row r="116" spans="1:17" ht="15" x14ac:dyDescent="0.25">
      <c r="A116" s="10">
        <v>278</v>
      </c>
      <c r="B116" s="10" t="s">
        <v>1953</v>
      </c>
      <c r="C116" s="880">
        <f t="shared" si="6"/>
        <v>28.3325</v>
      </c>
      <c r="D116" s="880">
        <f t="shared" si="7"/>
        <v>54.098300000000002</v>
      </c>
      <c r="E116" s="10">
        <v>28.3325</v>
      </c>
      <c r="F116" s="10">
        <v>54.098331000000002</v>
      </c>
      <c r="G116" s="10">
        <v>2</v>
      </c>
      <c r="H116" s="10" t="s">
        <v>1938</v>
      </c>
      <c r="I116" s="10" t="s">
        <v>1939</v>
      </c>
      <c r="J116" s="10" t="s">
        <v>1940</v>
      </c>
      <c r="K116" s="10" t="s">
        <v>1941</v>
      </c>
      <c r="L116" s="65" t="str">
        <f t="shared" si="8"/>
        <v>Zhodzina|Belarus|28,332500|54,098331|+2:00 Europe</v>
      </c>
      <c r="M116" s="10" t="s">
        <v>1954</v>
      </c>
      <c r="N116" s="10">
        <f t="shared" si="5"/>
        <v>0</v>
      </c>
      <c r="O116" t="str">
        <f t="shared" si="9"/>
        <v/>
      </c>
      <c r="P116" t="str">
        <f>IF(O116=1,COUNTIF($O$2:O116,1),"")</f>
        <v/>
      </c>
      <c r="Q116" t="str">
        <f>IFERROR(INDEX($M$2:$M$2388,MATCH(ROWS($P$2:P116),$P$2:$P$2388,0)),"")</f>
        <v/>
      </c>
    </row>
    <row r="117" spans="1:17" ht="15" x14ac:dyDescent="0.25">
      <c r="A117" s="10">
        <v>279</v>
      </c>
      <c r="B117" s="10" t="s">
        <v>1955</v>
      </c>
      <c r="C117" s="880">
        <f t="shared" si="6"/>
        <v>27.863600000000002</v>
      </c>
      <c r="D117" s="880">
        <f t="shared" si="7"/>
        <v>52.2286</v>
      </c>
      <c r="E117" s="10">
        <v>27.863610999999999</v>
      </c>
      <c r="F117" s="10">
        <v>52.228611000000001</v>
      </c>
      <c r="G117" s="10">
        <v>2</v>
      </c>
      <c r="H117" s="10" t="s">
        <v>1938</v>
      </c>
      <c r="I117" s="10" t="s">
        <v>1939</v>
      </c>
      <c r="J117" s="10" t="s">
        <v>1940</v>
      </c>
      <c r="K117" s="10" t="s">
        <v>1941</v>
      </c>
      <c r="L117" s="65" t="str">
        <f t="shared" si="8"/>
        <v>Zhytkavichy|Belarus|27,863611|52,228611|+2:00 Europe</v>
      </c>
      <c r="M117" s="10" t="s">
        <v>1956</v>
      </c>
      <c r="N117" s="10">
        <f t="shared" si="5"/>
        <v>0</v>
      </c>
      <c r="O117" t="str">
        <f t="shared" si="9"/>
        <v/>
      </c>
      <c r="P117" t="str">
        <f>IF(O117=1,COUNTIF($O$2:O117,1),"")</f>
        <v/>
      </c>
      <c r="Q117" t="str">
        <f>IFERROR(INDEX($M$2:$M$2388,MATCH(ROWS($P$2:P117),$P$2:$P$2388,0)),"")</f>
        <v/>
      </c>
    </row>
    <row r="118" spans="1:17" ht="15" x14ac:dyDescent="0.25">
      <c r="A118" s="10">
        <v>115</v>
      </c>
      <c r="B118" s="10" t="s">
        <v>1957</v>
      </c>
      <c r="C118" s="880">
        <f t="shared" si="6"/>
        <v>4.4165999999999999</v>
      </c>
      <c r="D118" s="880">
        <f t="shared" si="7"/>
        <v>51.2166</v>
      </c>
      <c r="E118" s="10">
        <v>4.4166670000000003</v>
      </c>
      <c r="F118" s="10">
        <v>51.216667000000001</v>
      </c>
      <c r="G118" s="10">
        <v>1</v>
      </c>
      <c r="H118" s="10" t="s">
        <v>1670</v>
      </c>
      <c r="I118" s="10" t="s">
        <v>1958</v>
      </c>
      <c r="J118" s="10" t="s">
        <v>1959</v>
      </c>
      <c r="K118" s="10" t="s">
        <v>1960</v>
      </c>
      <c r="L118" s="65" t="str">
        <f t="shared" si="8"/>
        <v>Antwerp|Belgium|4,416667|51,216667|+1:00 Europe</v>
      </c>
      <c r="M118" s="10" t="s">
        <v>1961</v>
      </c>
      <c r="N118" s="10">
        <f t="shared" si="5"/>
        <v>0</v>
      </c>
      <c r="O118" t="str">
        <f t="shared" si="9"/>
        <v/>
      </c>
      <c r="P118" t="str">
        <f>IF(O118=1,COUNTIF($O$2:O118,1),"")</f>
        <v/>
      </c>
      <c r="Q118" t="str">
        <f>IFERROR(INDEX($M$2:$M$2388,MATCH(ROWS($P$2:P118),$P$2:$P$2388,0)),"")</f>
        <v/>
      </c>
    </row>
    <row r="119" spans="1:17" ht="15" x14ac:dyDescent="0.25">
      <c r="A119" s="10">
        <v>114</v>
      </c>
      <c r="B119" s="10" t="s">
        <v>1962</v>
      </c>
      <c r="C119" s="880">
        <f t="shared" si="6"/>
        <v>4.3526999999999996</v>
      </c>
      <c r="D119" s="880">
        <f t="shared" si="7"/>
        <v>50.846499999999999</v>
      </c>
      <c r="E119" s="10">
        <v>4.3527750000000003</v>
      </c>
      <c r="F119" s="10">
        <v>50.846595999999998</v>
      </c>
      <c r="G119" s="10">
        <v>1</v>
      </c>
      <c r="H119" s="10" t="s">
        <v>1670</v>
      </c>
      <c r="I119" s="10" t="s">
        <v>1958</v>
      </c>
      <c r="J119" s="10" t="s">
        <v>1959</v>
      </c>
      <c r="K119" s="10" t="s">
        <v>1960</v>
      </c>
      <c r="L119" s="65" t="str">
        <f t="shared" si="8"/>
        <v>Brussels|Belgium|4,352775|50,846596|+1:00 Europe</v>
      </c>
      <c r="M119" s="10" t="s">
        <v>1963</v>
      </c>
      <c r="N119" s="10">
        <f t="shared" si="5"/>
        <v>0</v>
      </c>
      <c r="O119" t="str">
        <f t="shared" si="9"/>
        <v/>
      </c>
      <c r="P119" t="str">
        <f>IF(O119=1,COUNTIF($O$2:O119,1),"")</f>
        <v/>
      </c>
      <c r="Q119" t="str">
        <f>IFERROR(INDEX($M$2:$M$2388,MATCH(ROWS($P$2:P119),$P$2:$P$2388,0)),"")</f>
        <v/>
      </c>
    </row>
    <row r="120" spans="1:17" ht="15" x14ac:dyDescent="0.25">
      <c r="A120" s="10">
        <v>113</v>
      </c>
      <c r="B120" s="10" t="s">
        <v>1964</v>
      </c>
      <c r="C120" s="880">
        <f t="shared" si="6"/>
        <v>4.4333</v>
      </c>
      <c r="D120" s="880">
        <f t="shared" si="7"/>
        <v>50.416600000000003</v>
      </c>
      <c r="E120" s="10">
        <v>4.4333330000000002</v>
      </c>
      <c r="F120" s="10">
        <v>50.416668000000001</v>
      </c>
      <c r="G120" s="10">
        <v>1</v>
      </c>
      <c r="H120" s="10" t="s">
        <v>1670</v>
      </c>
      <c r="I120" s="10" t="s">
        <v>1958</v>
      </c>
      <c r="J120" s="10" t="s">
        <v>1959</v>
      </c>
      <c r="K120" s="10" t="s">
        <v>1960</v>
      </c>
      <c r="L120" s="65" t="str">
        <f t="shared" si="8"/>
        <v>Charleroi|Belgium|4,433333|50,416668|+1:00 Europe</v>
      </c>
      <c r="M120" s="10" t="s">
        <v>1965</v>
      </c>
      <c r="N120" s="10">
        <f t="shared" si="5"/>
        <v>0</v>
      </c>
      <c r="O120" t="str">
        <f t="shared" si="9"/>
        <v/>
      </c>
      <c r="P120" t="str">
        <f>IF(O120=1,COUNTIF($O$2:O120,1),"")</f>
        <v/>
      </c>
      <c r="Q120" t="str">
        <f>IFERROR(INDEX($M$2:$M$2388,MATCH(ROWS($P$2:P120),$P$2:$P$2388,0)),"")</f>
        <v/>
      </c>
    </row>
    <row r="121" spans="1:17" ht="15" x14ac:dyDescent="0.25">
      <c r="A121" s="10">
        <v>112</v>
      </c>
      <c r="B121" s="10" t="s">
        <v>1966</v>
      </c>
      <c r="C121" s="880">
        <f t="shared" si="6"/>
        <v>3.7166000000000001</v>
      </c>
      <c r="D121" s="880">
        <f t="shared" si="7"/>
        <v>51.049900000000001</v>
      </c>
      <c r="E121" s="10">
        <v>3.7166670000000002</v>
      </c>
      <c r="F121" s="10">
        <v>51.049999</v>
      </c>
      <c r="G121" s="10">
        <v>1</v>
      </c>
      <c r="H121" s="10" t="s">
        <v>1670</v>
      </c>
      <c r="I121" s="10" t="s">
        <v>1958</v>
      </c>
      <c r="J121" s="10" t="s">
        <v>1959</v>
      </c>
      <c r="K121" s="10" t="s">
        <v>1960</v>
      </c>
      <c r="L121" s="65" t="str">
        <f t="shared" si="8"/>
        <v>Gent|Belgium|3,716667|51,049999|+1:00 Europe</v>
      </c>
      <c r="M121" s="10" t="s">
        <v>1967</v>
      </c>
      <c r="N121" s="10">
        <f t="shared" si="5"/>
        <v>0</v>
      </c>
      <c r="O121" t="str">
        <f t="shared" si="9"/>
        <v/>
      </c>
      <c r="P121" t="str">
        <f>IF(O121=1,COUNTIF($O$2:O121,1),"")</f>
        <v/>
      </c>
      <c r="Q121" t="str">
        <f>IFERROR(INDEX($M$2:$M$2388,MATCH(ROWS($P$2:P121),$P$2:$P$2388,0)),"")</f>
        <v/>
      </c>
    </row>
    <row r="122" spans="1:17" ht="15" x14ac:dyDescent="0.25">
      <c r="A122" s="10">
        <v>111</v>
      </c>
      <c r="B122" s="10" t="s">
        <v>1968</v>
      </c>
      <c r="C122" s="880">
        <f t="shared" si="6"/>
        <v>5.5666000000000002</v>
      </c>
      <c r="D122" s="880">
        <f t="shared" si="7"/>
        <v>50.933300000000003</v>
      </c>
      <c r="E122" s="10">
        <v>5.5666669999999998</v>
      </c>
      <c r="F122" s="10">
        <v>50.933334000000002</v>
      </c>
      <c r="G122" s="10">
        <v>1</v>
      </c>
      <c r="H122" s="10" t="s">
        <v>1670</v>
      </c>
      <c r="I122" s="10" t="s">
        <v>1958</v>
      </c>
      <c r="J122" s="10" t="s">
        <v>1959</v>
      </c>
      <c r="K122" s="10" t="s">
        <v>1960</v>
      </c>
      <c r="L122" s="65" t="str">
        <f t="shared" si="8"/>
        <v>Zutendaal|Belgium|5,566667|50,933334|+1:00 Europe</v>
      </c>
      <c r="M122" s="10" t="s">
        <v>1969</v>
      </c>
      <c r="N122" s="10">
        <f t="shared" si="5"/>
        <v>0</v>
      </c>
      <c r="O122" t="str">
        <f t="shared" si="9"/>
        <v/>
      </c>
      <c r="P122" t="str">
        <f>IF(O122=1,COUNTIF($O$2:O122,1),"")</f>
        <v/>
      </c>
      <c r="Q122" t="str">
        <f>IFERROR(INDEX($M$2:$M$2388,MATCH(ROWS($P$2:P122),$P$2:$P$2388,0)),"")</f>
        <v/>
      </c>
    </row>
    <row r="123" spans="1:17" ht="15" x14ac:dyDescent="0.25">
      <c r="A123" s="10">
        <v>110</v>
      </c>
      <c r="B123" s="10" t="s">
        <v>1970</v>
      </c>
      <c r="C123" s="880">
        <f t="shared" si="6"/>
        <v>3.3332999999999999</v>
      </c>
      <c r="D123" s="880">
        <f t="shared" si="7"/>
        <v>50.799900000000001</v>
      </c>
      <c r="E123" s="10">
        <v>3.3333330000000001</v>
      </c>
      <c r="F123" s="10">
        <v>50.799999</v>
      </c>
      <c r="G123" s="10">
        <v>1</v>
      </c>
      <c r="H123" s="10" t="s">
        <v>1670</v>
      </c>
      <c r="I123" s="10" t="s">
        <v>1958</v>
      </c>
      <c r="J123" s="10" t="s">
        <v>1959</v>
      </c>
      <c r="K123" s="10" t="s">
        <v>1960</v>
      </c>
      <c r="L123" s="65" t="str">
        <f t="shared" si="8"/>
        <v>Zwevegem|Belgium|3,333333|50,799999|+1:00 Europe</v>
      </c>
      <c r="M123" s="10" t="s">
        <v>1971</v>
      </c>
      <c r="N123" s="10">
        <f t="shared" si="5"/>
        <v>0</v>
      </c>
      <c r="O123" t="str">
        <f t="shared" si="9"/>
        <v/>
      </c>
      <c r="P123" t="str">
        <f>IF(O123=1,COUNTIF($O$2:O123,1),"")</f>
        <v/>
      </c>
      <c r="Q123" t="str">
        <f>IFERROR(INDEX($M$2:$M$2388,MATCH(ROWS($P$2:P123),$P$2:$P$2388,0)),"")</f>
        <v/>
      </c>
    </row>
    <row r="124" spans="1:17" ht="15" x14ac:dyDescent="0.25">
      <c r="A124" s="10">
        <v>109</v>
      </c>
      <c r="B124" s="10" t="s">
        <v>1972</v>
      </c>
      <c r="C124" s="880">
        <f t="shared" si="6"/>
        <v>4.3333000000000004</v>
      </c>
      <c r="D124" s="880">
        <f t="shared" si="7"/>
        <v>51.2166</v>
      </c>
      <c r="E124" s="10">
        <v>4.3333329999999997</v>
      </c>
      <c r="F124" s="10">
        <v>51.216667000000001</v>
      </c>
      <c r="G124" s="10">
        <v>1</v>
      </c>
      <c r="H124" s="10" t="s">
        <v>1670</v>
      </c>
      <c r="I124" s="10" t="s">
        <v>1958</v>
      </c>
      <c r="J124" s="10" t="s">
        <v>1959</v>
      </c>
      <c r="K124" s="10" t="s">
        <v>1960</v>
      </c>
      <c r="L124" s="65" t="str">
        <f t="shared" si="8"/>
        <v>Zwijndrecht|Belgium|4,333333|51,216667|+1:00 Europe</v>
      </c>
      <c r="M124" s="10" t="s">
        <v>1973</v>
      </c>
      <c r="N124" s="10">
        <f t="shared" si="5"/>
        <v>0</v>
      </c>
      <c r="O124" t="str">
        <f t="shared" si="9"/>
        <v/>
      </c>
      <c r="P124" t="str">
        <f>IF(O124=1,COUNTIF($O$2:O124,1),"")</f>
        <v/>
      </c>
      <c r="Q124" t="str">
        <f>IFERROR(INDEX($M$2:$M$2388,MATCH(ROWS($P$2:P124),$P$2:$P$2388,0)),"")</f>
        <v/>
      </c>
    </row>
    <row r="125" spans="1:17" ht="15" x14ac:dyDescent="0.25">
      <c r="A125" s="10">
        <v>288</v>
      </c>
      <c r="B125" s="10" t="s">
        <v>1974</v>
      </c>
      <c r="C125" s="880">
        <f t="shared" si="6"/>
        <v>-88.8</v>
      </c>
      <c r="D125" s="880">
        <f t="shared" si="7"/>
        <v>16.100000000000001</v>
      </c>
      <c r="E125" s="10">
        <v>-88.800003000000004</v>
      </c>
      <c r="F125" s="10">
        <v>16.100000000000001</v>
      </c>
      <c r="G125" s="10">
        <v>-6</v>
      </c>
      <c r="H125" s="10" t="s">
        <v>1975</v>
      </c>
      <c r="I125" s="10" t="s">
        <v>1976</v>
      </c>
      <c r="J125" s="10" t="s">
        <v>1977</v>
      </c>
      <c r="K125" s="10" t="s">
        <v>1978</v>
      </c>
      <c r="L125" s="65" t="str">
        <f t="shared" si="8"/>
        <v>Punta Gorda|Belize|-88,800003|16,100000|-6:00 America</v>
      </c>
      <c r="M125" s="10" t="s">
        <v>1979</v>
      </c>
      <c r="N125" s="10">
        <f t="shared" si="5"/>
        <v>0</v>
      </c>
      <c r="O125" t="str">
        <f t="shared" si="9"/>
        <v/>
      </c>
      <c r="P125" t="str">
        <f>IF(O125=1,COUNTIF($O$2:O125,1),"")</f>
        <v/>
      </c>
      <c r="Q125" t="str">
        <f>IFERROR(INDEX($M$2:$M$2388,MATCH(ROWS($P$2:P125),$P$2:$P$2388,0)),"")</f>
        <v/>
      </c>
    </row>
    <row r="126" spans="1:17" ht="15" x14ac:dyDescent="0.25">
      <c r="A126" s="10">
        <v>287</v>
      </c>
      <c r="B126" s="10" t="s">
        <v>1980</v>
      </c>
      <c r="C126" s="880">
        <f t="shared" si="6"/>
        <v>-89.071299999999994</v>
      </c>
      <c r="D126" s="880">
        <f t="shared" si="7"/>
        <v>17.156099999999999</v>
      </c>
      <c r="E126" s="10">
        <v>-89.071387999999999</v>
      </c>
      <c r="F126" s="10">
        <v>17.156110999999999</v>
      </c>
      <c r="G126" s="10">
        <v>-6</v>
      </c>
      <c r="H126" s="10" t="s">
        <v>1975</v>
      </c>
      <c r="I126" s="10" t="s">
        <v>1976</v>
      </c>
      <c r="J126" s="10" t="s">
        <v>1977</v>
      </c>
      <c r="K126" s="10" t="s">
        <v>1978</v>
      </c>
      <c r="L126" s="65" t="str">
        <f t="shared" si="8"/>
        <v>San Ignacio|Belize|-89,071388|17,156111|-6:00 America</v>
      </c>
      <c r="M126" s="10" t="s">
        <v>1981</v>
      </c>
      <c r="N126" s="10">
        <f t="shared" si="5"/>
        <v>0</v>
      </c>
      <c r="O126" t="str">
        <f t="shared" si="9"/>
        <v/>
      </c>
      <c r="P126" t="str">
        <f>IF(O126=1,COUNTIF($O$2:O126,1),"")</f>
        <v/>
      </c>
      <c r="Q126" t="str">
        <f>IFERROR(INDEX($M$2:$M$2388,MATCH(ROWS($P$2:P126),$P$2:$P$2388,0)),"")</f>
        <v/>
      </c>
    </row>
    <row r="127" spans="1:17" ht="15" x14ac:dyDescent="0.25">
      <c r="A127" s="10">
        <v>286</v>
      </c>
      <c r="B127" s="10" t="s">
        <v>1982</v>
      </c>
      <c r="C127" s="880">
        <f t="shared" si="6"/>
        <v>-87.9499</v>
      </c>
      <c r="D127" s="880">
        <f t="shared" si="7"/>
        <v>17.916599999999999</v>
      </c>
      <c r="E127" s="10">
        <v>-87.949996999999996</v>
      </c>
      <c r="F127" s="10">
        <v>17.916665999999999</v>
      </c>
      <c r="G127" s="10">
        <v>-6</v>
      </c>
      <c r="H127" s="10" t="s">
        <v>1975</v>
      </c>
      <c r="I127" s="10" t="s">
        <v>1976</v>
      </c>
      <c r="J127" s="10" t="s">
        <v>1977</v>
      </c>
      <c r="K127" s="10" t="s">
        <v>1978</v>
      </c>
      <c r="L127" s="65" t="str">
        <f t="shared" si="8"/>
        <v>San Pedro|Belize|-87,949997|17,916666|-6:00 America</v>
      </c>
      <c r="M127" s="10" t="s">
        <v>1983</v>
      </c>
      <c r="N127" s="10">
        <f t="shared" si="5"/>
        <v>0</v>
      </c>
      <c r="O127" t="str">
        <f t="shared" si="9"/>
        <v/>
      </c>
      <c r="P127" t="str">
        <f>IF(O127=1,COUNTIF($O$2:O127,1),"")</f>
        <v/>
      </c>
      <c r="Q127" t="str">
        <f>IFERROR(INDEX($M$2:$M$2388,MATCH(ROWS($P$2:P127),$P$2:$P$2388,0)),"")</f>
        <v/>
      </c>
    </row>
    <row r="128" spans="1:17" ht="15" x14ac:dyDescent="0.25">
      <c r="A128" s="10">
        <v>140</v>
      </c>
      <c r="B128" s="10" t="s">
        <v>1984</v>
      </c>
      <c r="C128" s="880">
        <f t="shared" si="6"/>
        <v>2.35</v>
      </c>
      <c r="D128" s="880">
        <f t="shared" si="7"/>
        <v>6.45</v>
      </c>
      <c r="E128" s="10">
        <v>2.35</v>
      </c>
      <c r="F128" s="10">
        <v>6.45</v>
      </c>
      <c r="G128" s="10">
        <v>1</v>
      </c>
      <c r="H128" s="10" t="s">
        <v>1670</v>
      </c>
      <c r="I128" s="10" t="s">
        <v>1985</v>
      </c>
      <c r="J128" s="10" t="s">
        <v>1986</v>
      </c>
      <c r="K128" s="10" t="s">
        <v>1987</v>
      </c>
      <c r="L128" s="65" t="str">
        <f t="shared" si="8"/>
        <v>Abomey-Calavi|Benin|2,350000|6,450000|+1:00 Africa</v>
      </c>
      <c r="M128" s="10" t="s">
        <v>1988</v>
      </c>
      <c r="N128" s="10">
        <f t="shared" si="5"/>
        <v>0</v>
      </c>
      <c r="O128" t="str">
        <f t="shared" si="9"/>
        <v/>
      </c>
      <c r="P128" t="str">
        <f>IF(O128=1,COUNTIF($O$2:O128,1),"")</f>
        <v/>
      </c>
      <c r="Q128" t="str">
        <f>IFERROR(INDEX($M$2:$M$2388,MATCH(ROWS($P$2:P128),$P$2:$P$2388,0)),"")</f>
        <v/>
      </c>
    </row>
    <row r="129" spans="1:17" ht="15" x14ac:dyDescent="0.25">
      <c r="A129" s="10">
        <v>139</v>
      </c>
      <c r="B129" s="10" t="s">
        <v>1989</v>
      </c>
      <c r="C129" s="880">
        <f t="shared" si="6"/>
        <v>2.4333</v>
      </c>
      <c r="D129" s="880">
        <f t="shared" si="7"/>
        <v>6.35</v>
      </c>
      <c r="E129" s="10">
        <v>2.4333330000000002</v>
      </c>
      <c r="F129" s="10">
        <v>6.35</v>
      </c>
      <c r="G129" s="10">
        <v>1</v>
      </c>
      <c r="H129" s="10" t="s">
        <v>1670</v>
      </c>
      <c r="I129" s="10" t="s">
        <v>1985</v>
      </c>
      <c r="J129" s="10" t="s">
        <v>1986</v>
      </c>
      <c r="K129" s="10" t="s">
        <v>1987</v>
      </c>
      <c r="L129" s="65" t="str">
        <f t="shared" si="8"/>
        <v>Cotonou|Benin|2,433333|6,350000|+1:00 Africa</v>
      </c>
      <c r="M129" s="10" t="s">
        <v>1990</v>
      </c>
      <c r="N129" s="10">
        <f t="shared" si="5"/>
        <v>0</v>
      </c>
      <c r="O129" t="str">
        <f t="shared" si="9"/>
        <v/>
      </c>
      <c r="P129" t="str">
        <f>IF(O129=1,COUNTIF($O$2:O129,1),"")</f>
        <v/>
      </c>
      <c r="Q129" t="str">
        <f>IFERROR(INDEX($M$2:$M$2388,MATCH(ROWS($P$2:P129),$P$2:$P$2388,0)),"")</f>
        <v/>
      </c>
    </row>
    <row r="130" spans="1:17" ht="15" x14ac:dyDescent="0.25">
      <c r="A130" s="10">
        <v>138</v>
      </c>
      <c r="B130" s="10" t="s">
        <v>1991</v>
      </c>
      <c r="C130" s="880">
        <f t="shared" si="6"/>
        <v>1.6669</v>
      </c>
      <c r="D130" s="880">
        <f t="shared" si="7"/>
        <v>9.7050000000000001</v>
      </c>
      <c r="E130" s="10">
        <v>1.666944</v>
      </c>
      <c r="F130" s="10">
        <v>9.7050000000000001</v>
      </c>
      <c r="G130" s="10">
        <v>1</v>
      </c>
      <c r="H130" s="10" t="s">
        <v>1670</v>
      </c>
      <c r="I130" s="10" t="s">
        <v>1985</v>
      </c>
      <c r="J130" s="10" t="s">
        <v>1986</v>
      </c>
      <c r="K130" s="10" t="s">
        <v>1987</v>
      </c>
      <c r="L130" s="65" t="str">
        <f t="shared" si="8"/>
        <v>Djougou|Benin|1,666944|9,705000|+1:00 Africa</v>
      </c>
      <c r="M130" s="10" t="s">
        <v>1992</v>
      </c>
      <c r="N130" s="10">
        <f t="shared" ref="N130:N193" si="10">--ISNUMBER(IFERROR(SEARCH($R$2,J130,1),""))</f>
        <v>0</v>
      </c>
      <c r="O130" t="str">
        <f t="shared" si="9"/>
        <v/>
      </c>
      <c r="P130" t="str">
        <f>IF(O130=1,COUNTIF($O$2:O130,1),"")</f>
        <v/>
      </c>
      <c r="Q130" t="str">
        <f>IFERROR(INDEX($M$2:$M$2388,MATCH(ROWS($P$2:P130),$P$2:$P$2388,0)),"")</f>
        <v/>
      </c>
    </row>
    <row r="131" spans="1:17" ht="15" x14ac:dyDescent="0.25">
      <c r="A131" s="10">
        <v>137</v>
      </c>
      <c r="B131" s="10" t="s">
        <v>1993</v>
      </c>
      <c r="C131" s="880">
        <f t="shared" ref="C131:C194" si="11">TRUNC(E131,4)</f>
        <v>2.6166</v>
      </c>
      <c r="D131" s="880">
        <f t="shared" ref="D131:D194" si="12">TRUNC(F131,4)</f>
        <v>6.4832999999999998</v>
      </c>
      <c r="E131" s="10">
        <v>2.6166670000000001</v>
      </c>
      <c r="F131" s="10">
        <v>6.483333</v>
      </c>
      <c r="G131" s="10">
        <v>1</v>
      </c>
      <c r="H131" s="10" t="s">
        <v>1670</v>
      </c>
      <c r="I131" s="10" t="s">
        <v>1985</v>
      </c>
      <c r="J131" s="10" t="s">
        <v>1986</v>
      </c>
      <c r="K131" s="10" t="s">
        <v>1987</v>
      </c>
      <c r="L131" s="65" t="str">
        <f t="shared" ref="L131:L194" si="13">MID(M131,1,LEN(M131)-(LEN(K131)-SEARCH("/",K131)+1))</f>
        <v>Porto-Novo|Benin|2,616667|6,483333|+1:00 Africa</v>
      </c>
      <c r="M131" s="10" t="s">
        <v>1994</v>
      </c>
      <c r="N131" s="10">
        <f t="shared" si="10"/>
        <v>0</v>
      </c>
      <c r="O131" t="str">
        <f t="shared" ref="O131:O194" si="14">IF(N131=0,"",--ISNUMBER(IFERROR(SEARCH($U$2,L131,1),"")))</f>
        <v/>
      </c>
      <c r="P131" t="str">
        <f>IF(O131=1,COUNTIF($O$2:O131,1),"")</f>
        <v/>
      </c>
      <c r="Q131" t="str">
        <f>IFERROR(INDEX($M$2:$M$2388,MATCH(ROWS($P$2:P131),$P$2:$P$2388,0)),"")</f>
        <v/>
      </c>
    </row>
    <row r="132" spans="1:17" ht="15" x14ac:dyDescent="0.25">
      <c r="A132" s="10">
        <v>136</v>
      </c>
      <c r="B132" s="10" t="s">
        <v>1995</v>
      </c>
      <c r="C132" s="880">
        <f t="shared" si="11"/>
        <v>2.4832999999999998</v>
      </c>
      <c r="D132" s="880">
        <f t="shared" si="12"/>
        <v>8.0333000000000006</v>
      </c>
      <c r="E132" s="10">
        <v>2.483333</v>
      </c>
      <c r="F132" s="10">
        <v>8.0333330000000007</v>
      </c>
      <c r="G132" s="10">
        <v>1</v>
      </c>
      <c r="H132" s="10" t="s">
        <v>1670</v>
      </c>
      <c r="I132" s="10" t="s">
        <v>1985</v>
      </c>
      <c r="J132" s="10" t="s">
        <v>1986</v>
      </c>
      <c r="K132" s="10" t="s">
        <v>1987</v>
      </c>
      <c r="L132" s="65" t="str">
        <f t="shared" si="13"/>
        <v>Save|Benin|2,483333|8,033333|+1:00 Africa</v>
      </c>
      <c r="M132" s="10" t="s">
        <v>1996</v>
      </c>
      <c r="N132" s="10">
        <f t="shared" si="10"/>
        <v>0</v>
      </c>
      <c r="O132" t="str">
        <f t="shared" si="14"/>
        <v/>
      </c>
      <c r="P132" t="str">
        <f>IF(O132=1,COUNTIF($O$2:O132,1),"")</f>
        <v/>
      </c>
      <c r="Q132" t="str">
        <f>IFERROR(INDEX($M$2:$M$2388,MATCH(ROWS($P$2:P132),$P$2:$P$2388,0)),"")</f>
        <v/>
      </c>
    </row>
    <row r="133" spans="1:17" ht="15" x14ac:dyDescent="0.25">
      <c r="A133" s="10">
        <v>135</v>
      </c>
      <c r="B133" s="10" t="s">
        <v>1997</v>
      </c>
      <c r="C133" s="880">
        <f t="shared" si="11"/>
        <v>1.2644</v>
      </c>
      <c r="D133" s="880">
        <f t="shared" si="12"/>
        <v>10.6197</v>
      </c>
      <c r="E133" s="10">
        <v>1.2644439999999999</v>
      </c>
      <c r="F133" s="10">
        <v>10.619721999999999</v>
      </c>
      <c r="G133" s="10">
        <v>1</v>
      </c>
      <c r="H133" s="10" t="s">
        <v>1670</v>
      </c>
      <c r="I133" s="10" t="s">
        <v>1985</v>
      </c>
      <c r="J133" s="10" t="s">
        <v>1986</v>
      </c>
      <c r="K133" s="10" t="s">
        <v>1987</v>
      </c>
      <c r="L133" s="65" t="str">
        <f t="shared" si="13"/>
        <v>Tanguieta|Benin|1,264444|10,619722|+1:00 Africa</v>
      </c>
      <c r="M133" s="10" t="s">
        <v>1998</v>
      </c>
      <c r="N133" s="10">
        <f t="shared" si="10"/>
        <v>0</v>
      </c>
      <c r="O133" t="str">
        <f t="shared" si="14"/>
        <v/>
      </c>
      <c r="P133" t="str">
        <f>IF(O133=1,COUNTIF($O$2:O133,1),"")</f>
        <v/>
      </c>
      <c r="Q133" t="str">
        <f>IFERROR(INDEX($M$2:$M$2388,MATCH(ROWS($P$2:P133),$P$2:$P$2388,0)),"")</f>
        <v/>
      </c>
    </row>
    <row r="134" spans="1:17" ht="15" x14ac:dyDescent="0.25">
      <c r="A134" s="10">
        <v>134</v>
      </c>
      <c r="B134" s="10" t="s">
        <v>1999</v>
      </c>
      <c r="C134" s="880">
        <f t="shared" si="11"/>
        <v>2.6</v>
      </c>
      <c r="D134" s="880">
        <f t="shared" si="12"/>
        <v>8.8833000000000002</v>
      </c>
      <c r="E134" s="10">
        <v>2.6</v>
      </c>
      <c r="F134" s="10">
        <v>8.8833330000000004</v>
      </c>
      <c r="G134" s="10">
        <v>1</v>
      </c>
      <c r="H134" s="10" t="s">
        <v>1670</v>
      </c>
      <c r="I134" s="10" t="s">
        <v>1985</v>
      </c>
      <c r="J134" s="10" t="s">
        <v>1986</v>
      </c>
      <c r="K134" s="10" t="s">
        <v>1987</v>
      </c>
      <c r="L134" s="65" t="str">
        <f t="shared" si="13"/>
        <v>Tchaourou|Benin|2,600000|8,883333|+1:00 Africa</v>
      </c>
      <c r="M134" s="10" t="s">
        <v>2000</v>
      </c>
      <c r="N134" s="10">
        <f t="shared" si="10"/>
        <v>0</v>
      </c>
      <c r="O134" t="str">
        <f t="shared" si="14"/>
        <v/>
      </c>
      <c r="P134" t="str">
        <f>IF(O134=1,COUNTIF($O$2:O134,1),"")</f>
        <v/>
      </c>
      <c r="Q134" t="str">
        <f>IFERROR(INDEX($M$2:$M$2388,MATCH(ROWS($P$2:P134),$P$2:$P$2388,0)),"")</f>
        <v/>
      </c>
    </row>
    <row r="135" spans="1:17" ht="15" x14ac:dyDescent="0.25">
      <c r="A135" s="10">
        <v>273</v>
      </c>
      <c r="B135" s="10" t="s">
        <v>2001</v>
      </c>
      <c r="C135" s="880">
        <f t="shared" si="11"/>
        <v>89.383300000000006</v>
      </c>
      <c r="D135" s="880">
        <f t="shared" si="12"/>
        <v>26.85</v>
      </c>
      <c r="E135" s="10">
        <v>89.383330999999998</v>
      </c>
      <c r="F135" s="10">
        <v>26.85</v>
      </c>
      <c r="G135" s="10">
        <v>6</v>
      </c>
      <c r="H135" s="10" t="s">
        <v>1895</v>
      </c>
      <c r="I135" s="10" t="s">
        <v>2002</v>
      </c>
      <c r="J135" s="10" t="s">
        <v>2003</v>
      </c>
      <c r="K135" s="10" t="s">
        <v>2004</v>
      </c>
      <c r="L135" s="65" t="str">
        <f t="shared" si="13"/>
        <v>Phuntsholing|Bhutan|89,383331|26,850000|+6:00 Asia</v>
      </c>
      <c r="M135" s="10" t="s">
        <v>2005</v>
      </c>
      <c r="N135" s="10">
        <f t="shared" si="10"/>
        <v>0</v>
      </c>
      <c r="O135" t="str">
        <f t="shared" si="14"/>
        <v/>
      </c>
      <c r="P135" t="str">
        <f>IF(O135=1,COUNTIF($O$2:O135,1),"")</f>
        <v/>
      </c>
      <c r="Q135" t="str">
        <f>IFERROR(INDEX($M$2:$M$2388,MATCH(ROWS($P$2:P135),$P$2:$P$2388,0)),"")</f>
        <v/>
      </c>
    </row>
    <row r="136" spans="1:17" ht="15" x14ac:dyDescent="0.25">
      <c r="A136" s="10">
        <v>152</v>
      </c>
      <c r="B136" s="10" t="s">
        <v>2006</v>
      </c>
      <c r="C136" s="880">
        <f t="shared" si="11"/>
        <v>-66.150000000000006</v>
      </c>
      <c r="D136" s="880">
        <f t="shared" si="12"/>
        <v>-17.383299999999998</v>
      </c>
      <c r="E136" s="10">
        <v>-66.150002000000001</v>
      </c>
      <c r="F136" s="10">
        <v>-17.383333</v>
      </c>
      <c r="G136" s="10">
        <v>-4</v>
      </c>
      <c r="H136" s="10" t="s">
        <v>1733</v>
      </c>
      <c r="I136" s="10" t="s">
        <v>2007</v>
      </c>
      <c r="J136" s="10" t="s">
        <v>2008</v>
      </c>
      <c r="K136" s="10" t="s">
        <v>2009</v>
      </c>
      <c r="L136" s="65" t="str">
        <f t="shared" si="13"/>
        <v>Cochabamba|Bolivia|-66,150002|-17,383333|-4:00 America</v>
      </c>
      <c r="M136" s="10" t="s">
        <v>2010</v>
      </c>
      <c r="N136" s="10">
        <f t="shared" si="10"/>
        <v>0</v>
      </c>
      <c r="O136" t="str">
        <f t="shared" si="14"/>
        <v/>
      </c>
      <c r="P136" t="str">
        <f>IF(O136=1,COUNTIF($O$2:O136,1),"")</f>
        <v/>
      </c>
      <c r="Q136" t="str">
        <f>IFERROR(INDEX($M$2:$M$2388,MATCH(ROWS($P$2:P136),$P$2:$P$2388,0)),"")</f>
        <v/>
      </c>
    </row>
    <row r="137" spans="1:17" ht="15" x14ac:dyDescent="0.25">
      <c r="A137" s="10">
        <v>151</v>
      </c>
      <c r="B137" s="10" t="s">
        <v>2011</v>
      </c>
      <c r="C137" s="880">
        <f t="shared" si="11"/>
        <v>-68.150000000000006</v>
      </c>
      <c r="D137" s="880">
        <f t="shared" si="12"/>
        <v>-16.5</v>
      </c>
      <c r="E137" s="10">
        <v>-68.150002000000001</v>
      </c>
      <c r="F137" s="10">
        <v>-16.5</v>
      </c>
      <c r="G137" s="10">
        <v>-4</v>
      </c>
      <c r="H137" s="10" t="s">
        <v>1733</v>
      </c>
      <c r="I137" s="10" t="s">
        <v>2007</v>
      </c>
      <c r="J137" s="10" t="s">
        <v>2008</v>
      </c>
      <c r="K137" s="10" t="s">
        <v>2009</v>
      </c>
      <c r="L137" s="65" t="str">
        <f t="shared" si="13"/>
        <v>La Paz|Bolivia|-68,150002|-16,500000|-4:00 America</v>
      </c>
      <c r="M137" s="10" t="s">
        <v>2012</v>
      </c>
      <c r="N137" s="10">
        <f t="shared" si="10"/>
        <v>0</v>
      </c>
      <c r="O137" t="str">
        <f t="shared" si="14"/>
        <v/>
      </c>
      <c r="P137" t="str">
        <f>IF(O137=1,COUNTIF($O$2:O137,1),"")</f>
        <v/>
      </c>
      <c r="Q137" t="str">
        <f>IFERROR(INDEX($M$2:$M$2388,MATCH(ROWS($P$2:P137),$P$2:$P$2388,0)),"")</f>
        <v/>
      </c>
    </row>
    <row r="138" spans="1:17" ht="15" x14ac:dyDescent="0.25">
      <c r="A138" s="10">
        <v>150</v>
      </c>
      <c r="B138" s="10" t="s">
        <v>2013</v>
      </c>
      <c r="C138" s="880">
        <f t="shared" si="11"/>
        <v>-67.150000000000006</v>
      </c>
      <c r="D138" s="880">
        <f t="shared" si="12"/>
        <v>-17.9833</v>
      </c>
      <c r="E138" s="10">
        <v>-67.150002000000001</v>
      </c>
      <c r="F138" s="10">
        <v>-17.983333999999999</v>
      </c>
      <c r="G138" s="10">
        <v>-4</v>
      </c>
      <c r="H138" s="10" t="s">
        <v>1733</v>
      </c>
      <c r="I138" s="10" t="s">
        <v>2007</v>
      </c>
      <c r="J138" s="10" t="s">
        <v>2008</v>
      </c>
      <c r="K138" s="10" t="s">
        <v>2009</v>
      </c>
      <c r="L138" s="65" t="str">
        <f t="shared" si="13"/>
        <v>Oruro|Bolivia|-67,150002|-17,983334|-4:00 America</v>
      </c>
      <c r="M138" s="10" t="s">
        <v>2014</v>
      </c>
      <c r="N138" s="10">
        <f t="shared" si="10"/>
        <v>0</v>
      </c>
      <c r="O138" t="str">
        <f t="shared" si="14"/>
        <v/>
      </c>
      <c r="P138" t="str">
        <f>IF(O138=1,COUNTIF($O$2:O138,1),"")</f>
        <v/>
      </c>
      <c r="Q138" t="str">
        <f>IFERROR(INDEX($M$2:$M$2388,MATCH(ROWS($P$2:P138),$P$2:$P$2388,0)),"")</f>
        <v/>
      </c>
    </row>
    <row r="139" spans="1:17" ht="15" x14ac:dyDescent="0.25">
      <c r="A139" s="10">
        <v>147</v>
      </c>
      <c r="B139" s="10" t="s">
        <v>2015</v>
      </c>
      <c r="C139" s="880">
        <f t="shared" si="11"/>
        <v>-57.766599999999997</v>
      </c>
      <c r="D139" s="880">
        <f t="shared" si="12"/>
        <v>-17.783300000000001</v>
      </c>
      <c r="E139" s="10">
        <v>-57.766666000000001</v>
      </c>
      <c r="F139" s="10">
        <v>-17.783332999999999</v>
      </c>
      <c r="G139" s="10">
        <v>-4</v>
      </c>
      <c r="H139" s="10" t="s">
        <v>1733</v>
      </c>
      <c r="I139" s="10" t="s">
        <v>2007</v>
      </c>
      <c r="J139" s="10" t="s">
        <v>2008</v>
      </c>
      <c r="K139" s="10" t="s">
        <v>2009</v>
      </c>
      <c r="L139" s="65" t="str">
        <f t="shared" si="13"/>
        <v>Puerto Quijarro|Bolivia|-57,766666|-17,783333|-4:00 America</v>
      </c>
      <c r="M139" s="10" t="s">
        <v>2016</v>
      </c>
      <c r="N139" s="10">
        <f t="shared" si="10"/>
        <v>0</v>
      </c>
      <c r="O139" t="str">
        <f t="shared" si="14"/>
        <v/>
      </c>
      <c r="P139" t="str">
        <f>IF(O139=1,COUNTIF($O$2:O139,1),"")</f>
        <v/>
      </c>
      <c r="Q139" t="str">
        <f>IFERROR(INDEX($M$2:$M$2388,MATCH(ROWS($P$2:P139),$P$2:$P$2388,0)),"")</f>
        <v/>
      </c>
    </row>
    <row r="140" spans="1:17" ht="15" x14ac:dyDescent="0.25">
      <c r="A140" s="10">
        <v>146</v>
      </c>
      <c r="B140" s="10" t="s">
        <v>2017</v>
      </c>
      <c r="C140" s="880">
        <f t="shared" si="11"/>
        <v>-59.75</v>
      </c>
      <c r="D140" s="880">
        <f t="shared" si="12"/>
        <v>-18.333300000000001</v>
      </c>
      <c r="E140" s="10">
        <v>-59.75</v>
      </c>
      <c r="F140" s="10">
        <v>-18.333334000000001</v>
      </c>
      <c r="G140" s="10">
        <v>-4</v>
      </c>
      <c r="H140" s="10" t="s">
        <v>1733</v>
      </c>
      <c r="I140" s="10" t="s">
        <v>2007</v>
      </c>
      <c r="J140" s="10" t="s">
        <v>2008</v>
      </c>
      <c r="K140" s="10" t="s">
        <v>2009</v>
      </c>
      <c r="L140" s="65" t="str">
        <f t="shared" si="13"/>
        <v>Robore|Bolivia|-59,750000|-18,333334|-4:00 America</v>
      </c>
      <c r="M140" s="10" t="s">
        <v>2018</v>
      </c>
      <c r="N140" s="10">
        <f t="shared" si="10"/>
        <v>0</v>
      </c>
      <c r="O140" t="str">
        <f t="shared" si="14"/>
        <v/>
      </c>
      <c r="P140" t="str">
        <f>IF(O140=1,COUNTIF($O$2:O140,1),"")</f>
        <v/>
      </c>
      <c r="Q140" t="str">
        <f>IFERROR(INDEX($M$2:$M$2388,MATCH(ROWS($P$2:P140),$P$2:$P$2388,0)),"")</f>
        <v/>
      </c>
    </row>
    <row r="141" spans="1:17" ht="15" x14ac:dyDescent="0.25">
      <c r="A141" s="10">
        <v>145</v>
      </c>
      <c r="B141" s="10" t="s">
        <v>2019</v>
      </c>
      <c r="C141" s="880">
        <f t="shared" si="11"/>
        <v>-58.4</v>
      </c>
      <c r="D141" s="880">
        <f t="shared" si="12"/>
        <v>-16.366599999999998</v>
      </c>
      <c r="E141" s="10">
        <v>-58.400002000000001</v>
      </c>
      <c r="F141" s="10">
        <v>-16.366667</v>
      </c>
      <c r="G141" s="10">
        <v>-4</v>
      </c>
      <c r="H141" s="10" t="s">
        <v>1733</v>
      </c>
      <c r="I141" s="10" t="s">
        <v>2007</v>
      </c>
      <c r="J141" s="10" t="s">
        <v>2008</v>
      </c>
      <c r="K141" s="10" t="s">
        <v>2009</v>
      </c>
      <c r="L141" s="65" t="str">
        <f t="shared" si="13"/>
        <v>San Matias|Bolivia|-58,400002|-16,366667|-4:00 America</v>
      </c>
      <c r="M141" s="10" t="s">
        <v>2020</v>
      </c>
      <c r="N141" s="10">
        <f t="shared" si="10"/>
        <v>0</v>
      </c>
      <c r="O141" t="str">
        <f t="shared" si="14"/>
        <v/>
      </c>
      <c r="P141" t="str">
        <f>IF(O141=1,COUNTIF($O$2:O141,1),"")</f>
        <v/>
      </c>
      <c r="Q141" t="str">
        <f>IFERROR(INDEX($M$2:$M$2388,MATCH(ROWS($P$2:P141),$P$2:$P$2388,0)),"")</f>
        <v/>
      </c>
    </row>
    <row r="142" spans="1:17" ht="15" x14ac:dyDescent="0.25">
      <c r="A142" s="10">
        <v>149</v>
      </c>
      <c r="B142" s="10" t="s">
        <v>2021</v>
      </c>
      <c r="C142" s="880">
        <f t="shared" si="11"/>
        <v>-63.166600000000003</v>
      </c>
      <c r="D142" s="880">
        <f t="shared" si="12"/>
        <v>-17.799900000000001</v>
      </c>
      <c r="E142" s="10">
        <v>-63.166668000000001</v>
      </c>
      <c r="F142" s="10">
        <v>-17.799999</v>
      </c>
      <c r="G142" s="10">
        <v>-4</v>
      </c>
      <c r="H142" s="10" t="s">
        <v>1733</v>
      </c>
      <c r="I142" s="10" t="s">
        <v>2007</v>
      </c>
      <c r="J142" s="10" t="s">
        <v>2008</v>
      </c>
      <c r="K142" s="10" t="s">
        <v>2009</v>
      </c>
      <c r="L142" s="65" t="str">
        <f t="shared" si="13"/>
        <v>Santa Cruz de la Sierra|Bolivia|-63,166668|-17,799999|-4:00 America</v>
      </c>
      <c r="M142" s="10" t="s">
        <v>2022</v>
      </c>
      <c r="N142" s="10">
        <f t="shared" si="10"/>
        <v>0</v>
      </c>
      <c r="O142" t="str">
        <f t="shared" si="14"/>
        <v/>
      </c>
      <c r="P142" t="str">
        <f>IF(O142=1,COUNTIF($O$2:O142,1),"")</f>
        <v/>
      </c>
      <c r="Q142" t="str">
        <f>IFERROR(INDEX($M$2:$M$2388,MATCH(ROWS($P$2:P142),$P$2:$P$2388,0)),"")</f>
        <v/>
      </c>
    </row>
    <row r="143" spans="1:17" ht="15" x14ac:dyDescent="0.25">
      <c r="A143" s="10">
        <v>148</v>
      </c>
      <c r="B143" s="10" t="s">
        <v>2023</v>
      </c>
      <c r="C143" s="880">
        <f t="shared" si="11"/>
        <v>-65.259100000000004</v>
      </c>
      <c r="D143" s="880">
        <f t="shared" si="12"/>
        <v>-19.042999999999999</v>
      </c>
      <c r="E143" s="10">
        <v>-65.259163000000001</v>
      </c>
      <c r="F143" s="10">
        <v>-19.043056</v>
      </c>
      <c r="G143" s="10">
        <v>-4</v>
      </c>
      <c r="H143" s="10" t="s">
        <v>1733</v>
      </c>
      <c r="I143" s="10" t="s">
        <v>2007</v>
      </c>
      <c r="J143" s="10" t="s">
        <v>2008</v>
      </c>
      <c r="K143" s="10" t="s">
        <v>2009</v>
      </c>
      <c r="L143" s="65" t="str">
        <f t="shared" si="13"/>
        <v>Sucre|Bolivia|-65,259163|-19,043056|-4:00 America</v>
      </c>
      <c r="M143" s="10" t="s">
        <v>2024</v>
      </c>
      <c r="N143" s="10">
        <f t="shared" si="10"/>
        <v>0</v>
      </c>
      <c r="O143" t="str">
        <f t="shared" si="14"/>
        <v/>
      </c>
      <c r="P143" t="str">
        <f>IF(O143=1,COUNTIF($O$2:O143,1),"")</f>
        <v/>
      </c>
      <c r="Q143" t="str">
        <f>IFERROR(INDEX($M$2:$M$2388,MATCH(ROWS($P$2:P143),$P$2:$P$2388,0)),"")</f>
        <v/>
      </c>
    </row>
    <row r="144" spans="1:17" ht="15" x14ac:dyDescent="0.25">
      <c r="A144" s="10">
        <v>90</v>
      </c>
      <c r="B144" s="10" t="s">
        <v>2025</v>
      </c>
      <c r="C144" s="880">
        <f t="shared" si="11"/>
        <v>17.185500000000001</v>
      </c>
      <c r="D144" s="880">
        <f t="shared" si="12"/>
        <v>44.775799999999997</v>
      </c>
      <c r="E144" s="10">
        <v>17.185555999999998</v>
      </c>
      <c r="F144" s="10">
        <v>44.775832999999999</v>
      </c>
      <c r="G144" s="10">
        <v>1</v>
      </c>
      <c r="H144" s="10" t="s">
        <v>1670</v>
      </c>
      <c r="I144" s="10" t="s">
        <v>2026</v>
      </c>
      <c r="J144" s="10" t="s">
        <v>2027</v>
      </c>
      <c r="K144" s="10" t="s">
        <v>2028</v>
      </c>
      <c r="L144" s="65" t="str">
        <f t="shared" si="13"/>
        <v>Banja Luka|Bosnia and Herzegovina|17,185556|44,775833|+1:00 Europe</v>
      </c>
      <c r="M144" s="10" t="s">
        <v>2029</v>
      </c>
      <c r="N144" s="10">
        <f t="shared" si="10"/>
        <v>0</v>
      </c>
      <c r="O144" t="str">
        <f t="shared" si="14"/>
        <v/>
      </c>
      <c r="P144" t="str">
        <f>IF(O144=1,COUNTIF($O$2:O144,1),"")</f>
        <v/>
      </c>
      <c r="Q144" t="str">
        <f>IFERROR(INDEX($M$2:$M$2388,MATCH(ROWS($P$2:P144),$P$2:$P$2388,0)),"")</f>
        <v/>
      </c>
    </row>
    <row r="145" spans="1:17" ht="15" x14ac:dyDescent="0.25">
      <c r="A145" s="10">
        <v>89</v>
      </c>
      <c r="B145" s="10" t="s">
        <v>2030</v>
      </c>
      <c r="C145" s="880">
        <f t="shared" si="11"/>
        <v>18.383299999999998</v>
      </c>
      <c r="D145" s="880">
        <f t="shared" si="12"/>
        <v>43.849899999999998</v>
      </c>
      <c r="E145" s="10">
        <v>18.383333</v>
      </c>
      <c r="F145" s="10">
        <v>43.849997999999999</v>
      </c>
      <c r="G145" s="10">
        <v>1</v>
      </c>
      <c r="H145" s="10" t="s">
        <v>1670</v>
      </c>
      <c r="I145" s="10" t="s">
        <v>2026</v>
      </c>
      <c r="J145" s="10" t="s">
        <v>2027</v>
      </c>
      <c r="K145" s="10" t="s">
        <v>2028</v>
      </c>
      <c r="L145" s="65" t="str">
        <f t="shared" si="13"/>
        <v>Sarajevo|Bosnia and Herzegovina|18,383333|43,849998|+1:00 Europe</v>
      </c>
      <c r="M145" s="10" t="s">
        <v>2031</v>
      </c>
      <c r="N145" s="10">
        <f t="shared" si="10"/>
        <v>0</v>
      </c>
      <c r="O145" t="str">
        <f t="shared" si="14"/>
        <v/>
      </c>
      <c r="P145" t="str">
        <f>IF(O145=1,COUNTIF($O$2:O145,1),"")</f>
        <v/>
      </c>
      <c r="Q145" t="str">
        <f>IFERROR(INDEX($M$2:$M$2388,MATCH(ROWS($P$2:P145),$P$2:$P$2388,0)),"")</f>
        <v/>
      </c>
    </row>
    <row r="146" spans="1:17" ht="15" x14ac:dyDescent="0.25">
      <c r="A146" s="10">
        <v>88</v>
      </c>
      <c r="B146" s="10" t="s">
        <v>2032</v>
      </c>
      <c r="C146" s="880">
        <f t="shared" si="11"/>
        <v>18.037700000000001</v>
      </c>
      <c r="D146" s="880">
        <f t="shared" si="12"/>
        <v>44.426600000000001</v>
      </c>
      <c r="E146" s="10">
        <v>18.037776999999998</v>
      </c>
      <c r="F146" s="10">
        <v>44.426665999999997</v>
      </c>
      <c r="G146" s="10">
        <v>1</v>
      </c>
      <c r="H146" s="10" t="s">
        <v>1670</v>
      </c>
      <c r="I146" s="10" t="s">
        <v>2026</v>
      </c>
      <c r="J146" s="10" t="s">
        <v>2027</v>
      </c>
      <c r="K146" s="10" t="s">
        <v>2028</v>
      </c>
      <c r="L146" s="65" t="str">
        <f t="shared" si="13"/>
        <v>Zepce|Bosnia and Herzegovina|18,037777|44,426666|+1:00 Europe</v>
      </c>
      <c r="M146" s="10" t="s">
        <v>2033</v>
      </c>
      <c r="N146" s="10">
        <f t="shared" si="10"/>
        <v>0</v>
      </c>
      <c r="O146" t="str">
        <f t="shared" si="14"/>
        <v/>
      </c>
      <c r="P146" t="str">
        <f>IF(O146=1,COUNTIF($O$2:O146,1),"")</f>
        <v/>
      </c>
      <c r="Q146" t="str">
        <f>IFERROR(INDEX($M$2:$M$2388,MATCH(ROWS($P$2:P146),$P$2:$P$2388,0)),"")</f>
        <v/>
      </c>
    </row>
    <row r="147" spans="1:17" ht="15" x14ac:dyDescent="0.25">
      <c r="A147" s="10">
        <v>87</v>
      </c>
      <c r="B147" s="10" t="s">
        <v>2034</v>
      </c>
      <c r="C147" s="880">
        <f t="shared" si="11"/>
        <v>18.649699999999999</v>
      </c>
      <c r="D147" s="880">
        <f t="shared" si="12"/>
        <v>44.449399999999997</v>
      </c>
      <c r="E147" s="10">
        <v>18.649723000000002</v>
      </c>
      <c r="F147" s="10">
        <v>44.449444</v>
      </c>
      <c r="G147" s="10">
        <v>1</v>
      </c>
      <c r="H147" s="10" t="s">
        <v>1670</v>
      </c>
      <c r="I147" s="10" t="s">
        <v>2026</v>
      </c>
      <c r="J147" s="10" t="s">
        <v>2027</v>
      </c>
      <c r="K147" s="10" t="s">
        <v>2028</v>
      </c>
      <c r="L147" s="65" t="str">
        <f t="shared" si="13"/>
        <v>Zivinice|Bosnia and Herzegovina|18,649723|44,449444|+1:00 Europe</v>
      </c>
      <c r="M147" s="10" t="s">
        <v>2035</v>
      </c>
      <c r="N147" s="10">
        <f t="shared" si="10"/>
        <v>0</v>
      </c>
      <c r="O147" t="str">
        <f t="shared" si="14"/>
        <v/>
      </c>
      <c r="P147" t="str">
        <f>IF(O147=1,COUNTIF($O$2:O147,1),"")</f>
        <v/>
      </c>
      <c r="Q147" t="str">
        <f>IFERROR(INDEX($M$2:$M$2388,MATCH(ROWS($P$2:P147),$P$2:$P$2388,0)),"")</f>
        <v/>
      </c>
    </row>
    <row r="148" spans="1:17" ht="15" x14ac:dyDescent="0.25">
      <c r="A148" s="10">
        <v>86</v>
      </c>
      <c r="B148" s="10" t="s">
        <v>2036</v>
      </c>
      <c r="C148" s="880">
        <f t="shared" si="11"/>
        <v>19.101299999999998</v>
      </c>
      <c r="D148" s="880">
        <f t="shared" si="12"/>
        <v>44.386899999999997</v>
      </c>
      <c r="E148" s="10">
        <v>19.101389000000001</v>
      </c>
      <c r="F148" s="10">
        <v>44.386944</v>
      </c>
      <c r="G148" s="10">
        <v>1</v>
      </c>
      <c r="H148" s="10" t="s">
        <v>1670</v>
      </c>
      <c r="I148" s="10" t="s">
        <v>2026</v>
      </c>
      <c r="J148" s="10" t="s">
        <v>2027</v>
      </c>
      <c r="K148" s="10" t="s">
        <v>2028</v>
      </c>
      <c r="L148" s="65" t="str">
        <f t="shared" si="13"/>
        <v>Zvornik|Bosnia and Herzegovina|19,101389|44,386944|+1:00 Europe</v>
      </c>
      <c r="M148" s="10" t="s">
        <v>2037</v>
      </c>
      <c r="N148" s="10">
        <f t="shared" si="10"/>
        <v>0</v>
      </c>
      <c r="O148" t="str">
        <f t="shared" si="14"/>
        <v/>
      </c>
      <c r="P148" t="str">
        <f>IF(O148=1,COUNTIF($O$2:O148,1),"")</f>
        <v/>
      </c>
      <c r="Q148" t="str">
        <f>IFERROR(INDEX($M$2:$M$2388,MATCH(ROWS($P$2:P148),$P$2:$P$2388,0)),"")</f>
        <v/>
      </c>
    </row>
    <row r="149" spans="1:17" ht="15" x14ac:dyDescent="0.25">
      <c r="A149" s="10">
        <v>277</v>
      </c>
      <c r="B149" s="10" t="s">
        <v>2038</v>
      </c>
      <c r="C149" s="880">
        <f t="shared" si="11"/>
        <v>25.911899999999999</v>
      </c>
      <c r="D149" s="880">
        <f t="shared" si="12"/>
        <v>-24.6463</v>
      </c>
      <c r="E149" s="10">
        <v>25.911944999999999</v>
      </c>
      <c r="F149" s="10">
        <v>-24.646388999999999</v>
      </c>
      <c r="G149" s="10">
        <v>2</v>
      </c>
      <c r="H149" s="10" t="s">
        <v>1938</v>
      </c>
      <c r="I149" s="10" t="s">
        <v>2039</v>
      </c>
      <c r="J149" s="10" t="s">
        <v>2040</v>
      </c>
      <c r="K149" s="10" t="s">
        <v>2041</v>
      </c>
      <c r="L149" s="65" t="str">
        <f t="shared" si="13"/>
        <v>Gaborone|Botswana|25,911945|-24,646389|+2:00 Africa</v>
      </c>
      <c r="M149" s="10" t="s">
        <v>2042</v>
      </c>
      <c r="N149" s="10">
        <f t="shared" si="10"/>
        <v>0</v>
      </c>
      <c r="O149" t="str">
        <f t="shared" si="14"/>
        <v/>
      </c>
      <c r="P149" t="str">
        <f>IF(O149=1,COUNTIF($O$2:O149,1),"")</f>
        <v/>
      </c>
      <c r="Q149" t="str">
        <f>IFERROR(INDEX($M$2:$M$2388,MATCH(ROWS($P$2:P149),$P$2:$P$2388,0)),"")</f>
        <v/>
      </c>
    </row>
    <row r="150" spans="1:17" ht="15" x14ac:dyDescent="0.25">
      <c r="A150" s="10">
        <v>276</v>
      </c>
      <c r="B150" s="10" t="s">
        <v>2043</v>
      </c>
      <c r="C150" s="880">
        <f t="shared" si="11"/>
        <v>21.85</v>
      </c>
      <c r="D150" s="880">
        <f t="shared" si="12"/>
        <v>-18.366599999999998</v>
      </c>
      <c r="E150" s="10">
        <v>21.85</v>
      </c>
      <c r="F150" s="10">
        <v>-18.366667</v>
      </c>
      <c r="G150" s="10">
        <v>2</v>
      </c>
      <c r="H150" s="10" t="s">
        <v>1938</v>
      </c>
      <c r="I150" s="10" t="s">
        <v>2039</v>
      </c>
      <c r="J150" s="10" t="s">
        <v>2040</v>
      </c>
      <c r="K150" s="10" t="s">
        <v>2041</v>
      </c>
      <c r="L150" s="65" t="str">
        <f t="shared" si="13"/>
        <v>Shakawe|Botswana|21,850000|-18,366667|+2:00 Africa</v>
      </c>
      <c r="M150" s="10" t="s">
        <v>2044</v>
      </c>
      <c r="N150" s="10">
        <f t="shared" si="10"/>
        <v>0</v>
      </c>
      <c r="O150" t="str">
        <f t="shared" si="14"/>
        <v/>
      </c>
      <c r="P150" t="str">
        <f>IF(O150=1,COUNTIF($O$2:O150,1),"")</f>
        <v/>
      </c>
      <c r="Q150" t="str">
        <f>IFERROR(INDEX($M$2:$M$2388,MATCH(ROWS($P$2:P150),$P$2:$P$2388,0)),"")</f>
        <v/>
      </c>
    </row>
    <row r="151" spans="1:17" ht="15" x14ac:dyDescent="0.25">
      <c r="A151" s="10">
        <v>275</v>
      </c>
      <c r="B151" s="10" t="s">
        <v>2045</v>
      </c>
      <c r="C151" s="880">
        <f t="shared" si="11"/>
        <v>25.533300000000001</v>
      </c>
      <c r="D151" s="880">
        <f t="shared" si="12"/>
        <v>-24.7166</v>
      </c>
      <c r="E151" s="10">
        <v>25.533332999999999</v>
      </c>
      <c r="F151" s="10">
        <v>-24.716667000000001</v>
      </c>
      <c r="G151" s="10">
        <v>2</v>
      </c>
      <c r="H151" s="10" t="s">
        <v>1938</v>
      </c>
      <c r="I151" s="10" t="s">
        <v>2039</v>
      </c>
      <c r="J151" s="10" t="s">
        <v>2040</v>
      </c>
      <c r="K151" s="10" t="s">
        <v>2041</v>
      </c>
      <c r="L151" s="65" t="str">
        <f t="shared" si="13"/>
        <v>Thamaga|Botswana|25,533333|-24,716667|+2:00 Africa</v>
      </c>
      <c r="M151" s="10" t="s">
        <v>2046</v>
      </c>
      <c r="N151" s="10">
        <f t="shared" si="10"/>
        <v>0</v>
      </c>
      <c r="O151" t="str">
        <f t="shared" si="14"/>
        <v/>
      </c>
      <c r="P151" t="str">
        <f>IF(O151=1,COUNTIF($O$2:O151,1),"")</f>
        <v/>
      </c>
      <c r="Q151" t="str">
        <f>IFERROR(INDEX($M$2:$M$2388,MATCH(ROWS($P$2:P151),$P$2:$P$2388,0)),"")</f>
        <v/>
      </c>
    </row>
    <row r="152" spans="1:17" ht="15" x14ac:dyDescent="0.25">
      <c r="A152" s="10">
        <v>274</v>
      </c>
      <c r="B152" s="10" t="s">
        <v>2047</v>
      </c>
      <c r="C152" s="880">
        <f t="shared" si="11"/>
        <v>27.4833</v>
      </c>
      <c r="D152" s="880">
        <f t="shared" si="12"/>
        <v>-21.4833</v>
      </c>
      <c r="E152" s="10">
        <v>27.483333999999999</v>
      </c>
      <c r="F152" s="10">
        <v>-21.483333999999999</v>
      </c>
      <c r="G152" s="10">
        <v>2</v>
      </c>
      <c r="H152" s="10" t="s">
        <v>1938</v>
      </c>
      <c r="I152" s="10" t="s">
        <v>2039</v>
      </c>
      <c r="J152" s="10" t="s">
        <v>2040</v>
      </c>
      <c r="K152" s="10" t="s">
        <v>2041</v>
      </c>
      <c r="L152" s="65" t="str">
        <f t="shared" si="13"/>
        <v>Tonota|Botswana|27,483334|-21,483334|+2:00 Africa</v>
      </c>
      <c r="M152" s="10" t="s">
        <v>2048</v>
      </c>
      <c r="N152" s="10">
        <f t="shared" si="10"/>
        <v>0</v>
      </c>
      <c r="O152" t="str">
        <f t="shared" si="14"/>
        <v/>
      </c>
      <c r="P152" t="str">
        <f>IF(O152=1,COUNTIF($O$2:O152,1),"")</f>
        <v/>
      </c>
      <c r="Q152" t="str">
        <f>IFERROR(INDEX($M$2:$M$2388,MATCH(ROWS($P$2:P152),$P$2:$P$2388,0)),"")</f>
        <v/>
      </c>
    </row>
    <row r="153" spans="1:17" ht="15" x14ac:dyDescent="0.25">
      <c r="A153" s="10">
        <v>174</v>
      </c>
      <c r="B153" s="10" t="s">
        <v>2049</v>
      </c>
      <c r="C153" s="880">
        <f t="shared" si="11"/>
        <v>-48.372199999999999</v>
      </c>
      <c r="D153" s="880">
        <f t="shared" si="12"/>
        <v>-1.3654999999999999</v>
      </c>
      <c r="E153" s="10">
        <v>-48.372222999999998</v>
      </c>
      <c r="F153" s="10">
        <v>-1.365556</v>
      </c>
      <c r="G153" s="10">
        <v>-3</v>
      </c>
      <c r="H153" s="10" t="s">
        <v>1739</v>
      </c>
      <c r="I153" s="10" t="s">
        <v>2050</v>
      </c>
      <c r="J153" s="10" t="s">
        <v>99</v>
      </c>
      <c r="K153" s="10" t="s">
        <v>2051</v>
      </c>
      <c r="L153" s="65" t="str">
        <f t="shared" si="13"/>
        <v>Ananindeua|Brazil|-48,372223|-1,365556|-3:00 America</v>
      </c>
      <c r="M153" s="10" t="s">
        <v>2052</v>
      </c>
      <c r="N153" s="10">
        <f t="shared" si="10"/>
        <v>1</v>
      </c>
      <c r="O153">
        <f t="shared" si="14"/>
        <v>0</v>
      </c>
      <c r="P153" t="str">
        <f>IF(O153=1,COUNTIF($O$2:O153,1),"")</f>
        <v/>
      </c>
      <c r="Q153" t="str">
        <f>IFERROR(INDEX($M$2:$M$2388,MATCH(ROWS($P$2:P153),$P$2:$P$2388,0)),"")</f>
        <v/>
      </c>
    </row>
    <row r="154" spans="1:17" ht="15" x14ac:dyDescent="0.25">
      <c r="A154" s="10">
        <v>264</v>
      </c>
      <c r="B154" s="10" t="s">
        <v>2053</v>
      </c>
      <c r="C154" s="880">
        <f t="shared" si="11"/>
        <v>-48.9527</v>
      </c>
      <c r="D154" s="880">
        <f t="shared" si="12"/>
        <v>-16.326599999999999</v>
      </c>
      <c r="E154" s="10">
        <v>-48.952778000000002</v>
      </c>
      <c r="F154" s="10">
        <v>-16.326665999999999</v>
      </c>
      <c r="G154" s="10">
        <v>-3</v>
      </c>
      <c r="H154" s="10" t="s">
        <v>1739</v>
      </c>
      <c r="I154" s="10" t="s">
        <v>2050</v>
      </c>
      <c r="J154" s="10" t="s">
        <v>99</v>
      </c>
      <c r="K154" s="10" t="s">
        <v>2054</v>
      </c>
      <c r="L154" s="65" t="str">
        <f t="shared" si="13"/>
        <v>Anapolis|Brazil|-48,952778|-16,326666|-3:00 America</v>
      </c>
      <c r="M154" s="10" t="s">
        <v>2055</v>
      </c>
      <c r="N154" s="10">
        <f t="shared" si="10"/>
        <v>1</v>
      </c>
      <c r="O154">
        <f t="shared" si="14"/>
        <v>0</v>
      </c>
      <c r="P154" t="str">
        <f>IF(O154=1,COUNTIF($O$2:O154,1),"")</f>
        <v/>
      </c>
      <c r="Q154" t="str">
        <f>IFERROR(INDEX($M$2:$M$2388,MATCH(ROWS($P$2:P154),$P$2:$P$2388,0)),"")</f>
        <v/>
      </c>
    </row>
    <row r="155" spans="1:17" ht="15" x14ac:dyDescent="0.25">
      <c r="A155" s="10">
        <v>263</v>
      </c>
      <c r="B155" s="10" t="s">
        <v>2056</v>
      </c>
      <c r="C155" s="880">
        <f t="shared" si="11"/>
        <v>-37.071599999999997</v>
      </c>
      <c r="D155" s="880">
        <f t="shared" si="12"/>
        <v>-10.911099999999999</v>
      </c>
      <c r="E155" s="10">
        <v>-37.071666999999998</v>
      </c>
      <c r="F155" s="10">
        <v>-10.911111</v>
      </c>
      <c r="G155" s="10">
        <v>-3</v>
      </c>
      <c r="H155" s="10" t="s">
        <v>1739</v>
      </c>
      <c r="I155" s="10" t="s">
        <v>2050</v>
      </c>
      <c r="J155" s="10" t="s">
        <v>99</v>
      </c>
      <c r="K155" s="10" t="s">
        <v>2057</v>
      </c>
      <c r="L155" s="65" t="str">
        <f t="shared" si="13"/>
        <v>Aracaju|Brazil|-37,071667|-10,911111|-3:00 America</v>
      </c>
      <c r="M155" s="10" t="s">
        <v>2058</v>
      </c>
      <c r="N155" s="10">
        <f t="shared" si="10"/>
        <v>1</v>
      </c>
      <c r="O155">
        <f t="shared" si="14"/>
        <v>0</v>
      </c>
      <c r="P155" t="str">
        <f>IF(O155=1,COUNTIF($O$2:O155,1),"")</f>
        <v/>
      </c>
      <c r="Q155" t="str">
        <f>IFERROR(INDEX($M$2:$M$2388,MATCH(ROWS($P$2:P155),$P$2:$P$2388,0)),"")</f>
        <v/>
      </c>
    </row>
    <row r="156" spans="1:17" ht="15" x14ac:dyDescent="0.25">
      <c r="A156" s="10">
        <v>262</v>
      </c>
      <c r="B156" s="10" t="s">
        <v>2059</v>
      </c>
      <c r="C156" s="880">
        <f t="shared" si="11"/>
        <v>-46.876100000000001</v>
      </c>
      <c r="D156" s="880">
        <f t="shared" si="12"/>
        <v>-23.5105</v>
      </c>
      <c r="E156" s="10">
        <v>-46.876109999999997</v>
      </c>
      <c r="F156" s="10">
        <v>-23.510555</v>
      </c>
      <c r="G156" s="10">
        <v>-3</v>
      </c>
      <c r="H156" s="10" t="s">
        <v>1739</v>
      </c>
      <c r="I156" s="10" t="s">
        <v>2050</v>
      </c>
      <c r="J156" s="10" t="s">
        <v>99</v>
      </c>
      <c r="K156" s="10" t="s">
        <v>2054</v>
      </c>
      <c r="L156" s="65" t="str">
        <f t="shared" si="13"/>
        <v>Barueri|Brazil|-46,876110|-23,510555|-3:00 America</v>
      </c>
      <c r="M156" s="10" t="s">
        <v>2060</v>
      </c>
      <c r="N156" s="10">
        <f t="shared" si="10"/>
        <v>1</v>
      </c>
      <c r="O156">
        <f t="shared" si="14"/>
        <v>0</v>
      </c>
      <c r="P156" t="str">
        <f>IF(O156=1,COUNTIF($O$2:O156,1),"")</f>
        <v/>
      </c>
      <c r="Q156" t="str">
        <f>IFERROR(INDEX($M$2:$M$2388,MATCH(ROWS($P$2:P156),$P$2:$P$2388,0)),"")</f>
        <v/>
      </c>
    </row>
    <row r="157" spans="1:17" ht="15" x14ac:dyDescent="0.25">
      <c r="A157" s="10">
        <v>261</v>
      </c>
      <c r="B157" s="10" t="s">
        <v>2061</v>
      </c>
      <c r="C157" s="880">
        <f t="shared" si="11"/>
        <v>-49.060499999999998</v>
      </c>
      <c r="D157" s="880">
        <f t="shared" si="12"/>
        <v>-22.314699999999998</v>
      </c>
      <c r="E157" s="10">
        <v>-49.060555000000001</v>
      </c>
      <c r="F157" s="10">
        <v>-22.314722</v>
      </c>
      <c r="G157" s="10">
        <v>-3</v>
      </c>
      <c r="H157" s="10" t="s">
        <v>1739</v>
      </c>
      <c r="I157" s="10" t="s">
        <v>2050</v>
      </c>
      <c r="J157" s="10" t="s">
        <v>99</v>
      </c>
      <c r="K157" s="10" t="s">
        <v>2054</v>
      </c>
      <c r="L157" s="65" t="str">
        <f t="shared" si="13"/>
        <v>Bauru|Brazil|-49,060555|-22,314722|-3:00 America</v>
      </c>
      <c r="M157" s="10" t="s">
        <v>2062</v>
      </c>
      <c r="N157" s="10">
        <f t="shared" si="10"/>
        <v>1</v>
      </c>
      <c r="O157">
        <f t="shared" si="14"/>
        <v>0</v>
      </c>
      <c r="P157" t="str">
        <f>IF(O157=1,COUNTIF($O$2:O157,1),"")</f>
        <v/>
      </c>
      <c r="Q157" t="str">
        <f>IFERROR(INDEX($M$2:$M$2388,MATCH(ROWS($P$2:P157),$P$2:$P$2388,0)),"")</f>
        <v/>
      </c>
    </row>
    <row r="158" spans="1:17" ht="15" x14ac:dyDescent="0.25">
      <c r="A158" s="10">
        <v>173</v>
      </c>
      <c r="B158" s="10" t="s">
        <v>2063</v>
      </c>
      <c r="C158" s="880">
        <f t="shared" si="11"/>
        <v>-48.504399999999997</v>
      </c>
      <c r="D158" s="880">
        <f t="shared" si="12"/>
        <v>-1.4558</v>
      </c>
      <c r="E158" s="10">
        <v>-48.504443999999999</v>
      </c>
      <c r="F158" s="10">
        <v>-1.4558329999999999</v>
      </c>
      <c r="G158" s="10">
        <v>-3</v>
      </c>
      <c r="H158" s="10" t="s">
        <v>1739</v>
      </c>
      <c r="I158" s="10" t="s">
        <v>2050</v>
      </c>
      <c r="J158" s="10" t="s">
        <v>99</v>
      </c>
      <c r="K158" s="10" t="s">
        <v>2051</v>
      </c>
      <c r="L158" s="65" t="str">
        <f t="shared" si="13"/>
        <v>Belem|Brazil|-48,504444|-1,455833|-3:00 America</v>
      </c>
      <c r="M158" s="10" t="s">
        <v>2064</v>
      </c>
      <c r="N158" s="10">
        <f t="shared" si="10"/>
        <v>1</v>
      </c>
      <c r="O158">
        <f t="shared" si="14"/>
        <v>0</v>
      </c>
      <c r="P158" t="str">
        <f>IF(O158=1,COUNTIF($O$2:O158,1),"")</f>
        <v/>
      </c>
      <c r="Q158" t="str">
        <f>IFERROR(INDEX($M$2:$M$2388,MATCH(ROWS($P$2:P158),$P$2:$P$2388,0)),"")</f>
        <v/>
      </c>
    </row>
    <row r="159" spans="1:17" ht="15" x14ac:dyDescent="0.25">
      <c r="A159" s="10">
        <v>260</v>
      </c>
      <c r="B159" s="10" t="s">
        <v>2065</v>
      </c>
      <c r="C159" s="880">
        <f t="shared" si="11"/>
        <v>-43.3994</v>
      </c>
      <c r="D159" s="880">
        <f t="shared" si="12"/>
        <v>-22.764099999999999</v>
      </c>
      <c r="E159" s="10">
        <v>-43.399445</v>
      </c>
      <c r="F159" s="10">
        <v>-22.764165999999999</v>
      </c>
      <c r="G159" s="10">
        <v>-3</v>
      </c>
      <c r="H159" s="10" t="s">
        <v>1739</v>
      </c>
      <c r="I159" s="10" t="s">
        <v>2050</v>
      </c>
      <c r="J159" s="10" t="s">
        <v>99</v>
      </c>
      <c r="K159" s="10" t="s">
        <v>2054</v>
      </c>
      <c r="L159" s="65" t="str">
        <f t="shared" si="13"/>
        <v>Belford Roxo|Brazil|-43,399445|-22,764166|-3:00 America</v>
      </c>
      <c r="M159" s="10" t="s">
        <v>2066</v>
      </c>
      <c r="N159" s="10">
        <f t="shared" si="10"/>
        <v>1</v>
      </c>
      <c r="O159">
        <f t="shared" si="14"/>
        <v>0</v>
      </c>
      <c r="P159" t="str">
        <f>IF(O159=1,COUNTIF($O$2:O159,1),"")</f>
        <v/>
      </c>
      <c r="Q159" t="str">
        <f>IFERROR(INDEX($M$2:$M$2388,MATCH(ROWS($P$2:P159),$P$2:$P$2388,0)),"")</f>
        <v/>
      </c>
    </row>
    <row r="160" spans="1:17" ht="15" x14ac:dyDescent="0.25">
      <c r="A160" s="10">
        <v>259</v>
      </c>
      <c r="B160" s="10" t="s">
        <v>2067</v>
      </c>
      <c r="C160" s="880">
        <f t="shared" si="11"/>
        <v>-43.9377</v>
      </c>
      <c r="D160" s="880">
        <f t="shared" si="12"/>
        <v>-19.9208</v>
      </c>
      <c r="E160" s="10">
        <v>-43.937778000000002</v>
      </c>
      <c r="F160" s="10">
        <v>-19.920833999999999</v>
      </c>
      <c r="G160" s="10">
        <v>-3</v>
      </c>
      <c r="H160" s="10" t="s">
        <v>1739</v>
      </c>
      <c r="I160" s="10" t="s">
        <v>2050</v>
      </c>
      <c r="J160" s="10" t="s">
        <v>99</v>
      </c>
      <c r="K160" s="10" t="s">
        <v>2054</v>
      </c>
      <c r="L160" s="65" t="str">
        <f t="shared" si="13"/>
        <v>Belo Horizonte|Brazil|-43,937778|-19,920834|-3:00 America</v>
      </c>
      <c r="M160" s="10" t="s">
        <v>2068</v>
      </c>
      <c r="N160" s="10">
        <f t="shared" si="10"/>
        <v>1</v>
      </c>
      <c r="O160">
        <f t="shared" si="14"/>
        <v>0</v>
      </c>
      <c r="P160" t="str">
        <f>IF(O160=1,COUNTIF($O$2:O160,1),"")</f>
        <v/>
      </c>
      <c r="Q160" t="str">
        <f>IFERROR(INDEX($M$2:$M$2388,MATCH(ROWS($P$2:P160),$P$2:$P$2388,0)),"")</f>
        <v/>
      </c>
    </row>
    <row r="161" spans="1:17" ht="15" x14ac:dyDescent="0.25">
      <c r="A161" s="10">
        <v>258</v>
      </c>
      <c r="B161" s="10" t="s">
        <v>2069</v>
      </c>
      <c r="C161" s="880">
        <f t="shared" si="11"/>
        <v>-44.198300000000003</v>
      </c>
      <c r="D161" s="880">
        <f t="shared" si="12"/>
        <v>-19.967700000000001</v>
      </c>
      <c r="E161" s="10">
        <v>-44.198334000000003</v>
      </c>
      <c r="F161" s="10">
        <v>-19.967777000000002</v>
      </c>
      <c r="G161" s="10">
        <v>-3</v>
      </c>
      <c r="H161" s="10" t="s">
        <v>1739</v>
      </c>
      <c r="I161" s="10" t="s">
        <v>2050</v>
      </c>
      <c r="J161" s="10" t="s">
        <v>99</v>
      </c>
      <c r="K161" s="10" t="s">
        <v>2054</v>
      </c>
      <c r="L161" s="65" t="str">
        <f t="shared" si="13"/>
        <v>Betim|Brazil|-44,198334|-19,967777|-3:00 America</v>
      </c>
      <c r="M161" s="10" t="s">
        <v>2070</v>
      </c>
      <c r="N161" s="10">
        <f t="shared" si="10"/>
        <v>1</v>
      </c>
      <c r="O161">
        <f t="shared" si="14"/>
        <v>0</v>
      </c>
      <c r="P161" t="str">
        <f>IF(O161=1,COUNTIF($O$2:O161,1),"")</f>
        <v/>
      </c>
      <c r="Q161" t="str">
        <f>IFERROR(INDEX($M$2:$M$2388,MATCH(ROWS($P$2:P161),$P$2:$P$2388,0)),"")</f>
        <v/>
      </c>
    </row>
    <row r="162" spans="1:17" ht="15" x14ac:dyDescent="0.25">
      <c r="A162" s="10">
        <v>257</v>
      </c>
      <c r="B162" s="10" t="s">
        <v>2071</v>
      </c>
      <c r="C162" s="880">
        <f t="shared" si="11"/>
        <v>-49.066099999999999</v>
      </c>
      <c r="D162" s="880">
        <f t="shared" si="12"/>
        <v>-26.9194</v>
      </c>
      <c r="E162" s="10">
        <v>-49.066113000000001</v>
      </c>
      <c r="F162" s="10">
        <v>-26.919445</v>
      </c>
      <c r="G162" s="10">
        <v>-3</v>
      </c>
      <c r="H162" s="10" t="s">
        <v>1739</v>
      </c>
      <c r="I162" s="10" t="s">
        <v>2050</v>
      </c>
      <c r="J162" s="10" t="s">
        <v>99</v>
      </c>
      <c r="K162" s="10" t="s">
        <v>2054</v>
      </c>
      <c r="L162" s="65" t="str">
        <f t="shared" si="13"/>
        <v>Blumenau|Brazil|-49,066113|-26,919445|-3:00 America</v>
      </c>
      <c r="M162" s="10" t="s">
        <v>2072</v>
      </c>
      <c r="N162" s="10">
        <f t="shared" si="10"/>
        <v>1</v>
      </c>
      <c r="O162">
        <f t="shared" si="14"/>
        <v>0</v>
      </c>
      <c r="P162" t="str">
        <f>IF(O162=1,COUNTIF($O$2:O162,1),"")</f>
        <v/>
      </c>
      <c r="Q162" t="str">
        <f>IFERROR(INDEX($M$2:$M$2388,MATCH(ROWS($P$2:P162),$P$2:$P$2388,0)),"")</f>
        <v/>
      </c>
    </row>
    <row r="163" spans="1:17" ht="15" x14ac:dyDescent="0.25">
      <c r="A163" s="10">
        <v>268</v>
      </c>
      <c r="B163" s="10" t="s">
        <v>2073</v>
      </c>
      <c r="C163" s="880">
        <f t="shared" si="11"/>
        <v>-60.673299999999998</v>
      </c>
      <c r="D163" s="880">
        <f t="shared" si="12"/>
        <v>2.8197000000000001</v>
      </c>
      <c r="E163" s="10">
        <v>-60.673332000000002</v>
      </c>
      <c r="F163" s="10">
        <v>2.8197220000000001</v>
      </c>
      <c r="G163" s="10">
        <v>-4</v>
      </c>
      <c r="H163" s="10" t="s">
        <v>1733</v>
      </c>
      <c r="I163" s="10" t="s">
        <v>2050</v>
      </c>
      <c r="J163" s="10" t="s">
        <v>99</v>
      </c>
      <c r="K163" s="10" t="s">
        <v>2074</v>
      </c>
      <c r="L163" s="65" t="str">
        <f t="shared" si="13"/>
        <v>Boa Vista|Brazil|-60,673332|2,819722|-4:00 America</v>
      </c>
      <c r="M163" s="10" t="s">
        <v>2075</v>
      </c>
      <c r="N163" s="10">
        <f t="shared" si="10"/>
        <v>1</v>
      </c>
      <c r="O163">
        <f t="shared" si="14"/>
        <v>0</v>
      </c>
      <c r="P163" t="str">
        <f>IF(O163=1,COUNTIF($O$2:O163,1),"")</f>
        <v/>
      </c>
      <c r="Q163" t="str">
        <f>IFERROR(INDEX($M$2:$M$2388,MATCH(ROWS($P$2:P163),$P$2:$P$2388,0)),"")</f>
        <v/>
      </c>
    </row>
    <row r="164" spans="1:17" ht="15" x14ac:dyDescent="0.25">
      <c r="A164" s="10">
        <v>256</v>
      </c>
      <c r="B164" s="10" t="s">
        <v>2076</v>
      </c>
      <c r="C164" s="880">
        <f t="shared" si="11"/>
        <v>-47.929699999999997</v>
      </c>
      <c r="D164" s="880">
        <f t="shared" si="12"/>
        <v>-15.7797</v>
      </c>
      <c r="E164" s="10">
        <v>-47.929721999999998</v>
      </c>
      <c r="F164" s="10">
        <v>-15.779719999999999</v>
      </c>
      <c r="G164" s="10">
        <v>-3</v>
      </c>
      <c r="H164" s="10" t="s">
        <v>1739</v>
      </c>
      <c r="I164" s="10" t="s">
        <v>2050</v>
      </c>
      <c r="J164" s="10" t="s">
        <v>99</v>
      </c>
      <c r="K164" s="10" t="s">
        <v>2054</v>
      </c>
      <c r="L164" s="65" t="str">
        <f t="shared" si="13"/>
        <v>Brasilia|Brazil|-47,929722|-15,779720|-3:00 America</v>
      </c>
      <c r="M164" s="10" t="s">
        <v>2077</v>
      </c>
      <c r="N164" s="10">
        <f t="shared" si="10"/>
        <v>1</v>
      </c>
      <c r="O164">
        <f t="shared" si="14"/>
        <v>0</v>
      </c>
      <c r="P164" t="str">
        <f>IF(O164=1,COUNTIF($O$2:O164,1),"")</f>
        <v/>
      </c>
      <c r="Q164" t="str">
        <f>IFERROR(INDEX($M$2:$M$2388,MATCH(ROWS($P$2:P164),$P$2:$P$2388,0)),"")</f>
        <v/>
      </c>
    </row>
    <row r="165" spans="1:17" ht="15" x14ac:dyDescent="0.25">
      <c r="A165" s="10">
        <v>172</v>
      </c>
      <c r="B165" s="10" t="s">
        <v>2078</v>
      </c>
      <c r="C165" s="880">
        <f t="shared" si="11"/>
        <v>-35.881100000000004</v>
      </c>
      <c r="D165" s="880">
        <f t="shared" si="12"/>
        <v>-7.2305000000000001</v>
      </c>
      <c r="E165" s="10">
        <v>-35.881110999999997</v>
      </c>
      <c r="F165" s="10">
        <v>-7.230556</v>
      </c>
      <c r="G165" s="10">
        <v>-3</v>
      </c>
      <c r="H165" s="10" t="s">
        <v>1739</v>
      </c>
      <c r="I165" s="10" t="s">
        <v>2050</v>
      </c>
      <c r="J165" s="10" t="s">
        <v>99</v>
      </c>
      <c r="K165" s="10" t="s">
        <v>92</v>
      </c>
      <c r="L165" s="65" t="str">
        <f t="shared" si="13"/>
        <v>Campina Grande|Brazil|-35,881111|-7,230556|-3:00 America</v>
      </c>
      <c r="M165" s="10" t="s">
        <v>2079</v>
      </c>
      <c r="N165" s="10">
        <f t="shared" si="10"/>
        <v>1</v>
      </c>
      <c r="O165">
        <f t="shared" si="14"/>
        <v>0</v>
      </c>
      <c r="P165" t="str">
        <f>IF(O165=1,COUNTIF($O$2:O165,1),"")</f>
        <v/>
      </c>
      <c r="Q165" t="str">
        <f>IFERROR(INDEX($M$2:$M$2388,MATCH(ROWS($P$2:P165),$P$2:$P$2388,0)),"")</f>
        <v/>
      </c>
    </row>
    <row r="166" spans="1:17" ht="15" x14ac:dyDescent="0.25">
      <c r="A166" s="10">
        <v>255</v>
      </c>
      <c r="B166" s="10" t="s">
        <v>2080</v>
      </c>
      <c r="C166" s="880">
        <f t="shared" si="11"/>
        <v>-47.0608</v>
      </c>
      <c r="D166" s="880">
        <f t="shared" si="12"/>
        <v>-22.9055</v>
      </c>
      <c r="E166" s="10">
        <v>-47.060833000000002</v>
      </c>
      <c r="F166" s="10">
        <v>-22.905556000000001</v>
      </c>
      <c r="G166" s="10">
        <v>-3</v>
      </c>
      <c r="H166" s="10" t="s">
        <v>1739</v>
      </c>
      <c r="I166" s="10" t="s">
        <v>2050</v>
      </c>
      <c r="J166" s="10" t="s">
        <v>99</v>
      </c>
      <c r="K166" s="10" t="s">
        <v>2054</v>
      </c>
      <c r="L166" s="65" t="str">
        <f t="shared" si="13"/>
        <v>Campinas|Brazil|-47,060833|-22,905556|-3:00 America</v>
      </c>
      <c r="M166" s="10" t="s">
        <v>2081</v>
      </c>
      <c r="N166" s="10">
        <f t="shared" si="10"/>
        <v>1</v>
      </c>
      <c r="O166">
        <f t="shared" si="14"/>
        <v>0</v>
      </c>
      <c r="P166" t="str">
        <f>IF(O166=1,COUNTIF($O$2:O166,1),"")</f>
        <v/>
      </c>
      <c r="Q166" t="str">
        <f>IFERROR(INDEX($M$2:$M$2388,MATCH(ROWS($P$2:P166),$P$2:$P$2388,0)),"")</f>
        <v/>
      </c>
    </row>
    <row r="167" spans="1:17" ht="15" x14ac:dyDescent="0.25">
      <c r="A167" s="10">
        <v>254</v>
      </c>
      <c r="B167" s="10" t="s">
        <v>2082</v>
      </c>
      <c r="C167" s="880">
        <f t="shared" si="11"/>
        <v>-54.646299999999997</v>
      </c>
      <c r="D167" s="880">
        <f t="shared" si="12"/>
        <v>-20.442699999999999</v>
      </c>
      <c r="E167" s="10">
        <v>-54.646388999999999</v>
      </c>
      <c r="F167" s="10">
        <v>-20.442778000000001</v>
      </c>
      <c r="G167" s="10">
        <v>-3</v>
      </c>
      <c r="H167" s="10" t="s">
        <v>1739</v>
      </c>
      <c r="I167" s="10" t="s">
        <v>2050</v>
      </c>
      <c r="J167" s="10" t="s">
        <v>99</v>
      </c>
      <c r="K167" s="10" t="s">
        <v>2083</v>
      </c>
      <c r="L167" s="65" t="str">
        <f t="shared" si="13"/>
        <v>Campo Grande|Brazil|-54,646389|-20,442778|-3:00 America</v>
      </c>
      <c r="M167" s="10" t="s">
        <v>2084</v>
      </c>
      <c r="N167" s="10">
        <f t="shared" si="10"/>
        <v>1</v>
      </c>
      <c r="O167">
        <f t="shared" si="14"/>
        <v>0</v>
      </c>
      <c r="P167" t="str">
        <f>IF(O167=1,COUNTIF($O$2:O167,1),"")</f>
        <v/>
      </c>
      <c r="Q167" t="str">
        <f>IFERROR(INDEX($M$2:$M$2388,MATCH(ROWS($P$2:P167),$P$2:$P$2388,0)),"")</f>
        <v/>
      </c>
    </row>
    <row r="168" spans="1:17" ht="15" x14ac:dyDescent="0.25">
      <c r="A168" s="10">
        <v>253</v>
      </c>
      <c r="B168" s="10" t="s">
        <v>2085</v>
      </c>
      <c r="C168" s="880">
        <f t="shared" si="11"/>
        <v>-41.299900000000001</v>
      </c>
      <c r="D168" s="880">
        <f t="shared" si="12"/>
        <v>-21.75</v>
      </c>
      <c r="E168" s="10">
        <v>-41.299999</v>
      </c>
      <c r="F168" s="10">
        <v>-21.75</v>
      </c>
      <c r="G168" s="10">
        <v>-3</v>
      </c>
      <c r="H168" s="10" t="s">
        <v>1739</v>
      </c>
      <c r="I168" s="10" t="s">
        <v>2050</v>
      </c>
      <c r="J168" s="10" t="s">
        <v>99</v>
      </c>
      <c r="K168" s="10" t="s">
        <v>2054</v>
      </c>
      <c r="L168" s="65" t="str">
        <f t="shared" si="13"/>
        <v>Campos|Brazil|-41,299999|-21,750000|-3:00 America</v>
      </c>
      <c r="M168" s="10" t="s">
        <v>2086</v>
      </c>
      <c r="N168" s="10">
        <f t="shared" si="10"/>
        <v>1</v>
      </c>
      <c r="O168">
        <f t="shared" si="14"/>
        <v>0</v>
      </c>
      <c r="P168" t="str">
        <f>IF(O168=1,COUNTIF($O$2:O168,1),"")</f>
        <v/>
      </c>
      <c r="Q168" t="str">
        <f>IFERROR(INDEX($M$2:$M$2388,MATCH(ROWS($P$2:P168),$P$2:$P$2388,0)),"")</f>
        <v/>
      </c>
    </row>
    <row r="169" spans="1:17" ht="15" x14ac:dyDescent="0.25">
      <c r="A169" s="10">
        <v>252</v>
      </c>
      <c r="B169" s="10" t="s">
        <v>2087</v>
      </c>
      <c r="C169" s="880">
        <f t="shared" si="11"/>
        <v>-51.183599999999998</v>
      </c>
      <c r="D169" s="880">
        <f t="shared" si="12"/>
        <v>-29.9177</v>
      </c>
      <c r="E169" s="10">
        <v>-51.183613000000001</v>
      </c>
      <c r="F169" s="10">
        <v>-29.917777999999998</v>
      </c>
      <c r="G169" s="10">
        <v>-3</v>
      </c>
      <c r="H169" s="10" t="s">
        <v>1739</v>
      </c>
      <c r="I169" s="10" t="s">
        <v>2050</v>
      </c>
      <c r="J169" s="10" t="s">
        <v>99</v>
      </c>
      <c r="K169" s="10" t="s">
        <v>2054</v>
      </c>
      <c r="L169" s="65" t="str">
        <f t="shared" si="13"/>
        <v>Canoas|Brazil|-51,183613|-29,917778|-3:00 America</v>
      </c>
      <c r="M169" s="10" t="s">
        <v>2088</v>
      </c>
      <c r="N169" s="10">
        <f t="shared" si="10"/>
        <v>1</v>
      </c>
      <c r="O169">
        <f t="shared" si="14"/>
        <v>0</v>
      </c>
      <c r="P169" t="str">
        <f>IF(O169=1,COUNTIF($O$2:O169,1),"")</f>
        <v/>
      </c>
      <c r="Q169" t="str">
        <f>IFERROR(INDEX($M$2:$M$2388,MATCH(ROWS($P$2:P169),$P$2:$P$2388,0)),"")</f>
        <v/>
      </c>
    </row>
    <row r="170" spans="1:17" ht="15" x14ac:dyDescent="0.25">
      <c r="A170" s="10">
        <v>251</v>
      </c>
      <c r="B170" s="10" t="s">
        <v>2089</v>
      </c>
      <c r="C170" s="880">
        <f t="shared" si="11"/>
        <v>-46.835500000000003</v>
      </c>
      <c r="D170" s="880">
        <f t="shared" si="12"/>
        <v>-23.522400000000001</v>
      </c>
      <c r="E170" s="10">
        <v>-46.835555999999997</v>
      </c>
      <c r="F170" s="10">
        <v>-23.522499</v>
      </c>
      <c r="G170" s="10">
        <v>-3</v>
      </c>
      <c r="H170" s="10" t="s">
        <v>1739</v>
      </c>
      <c r="I170" s="10" t="s">
        <v>2050</v>
      </c>
      <c r="J170" s="10" t="s">
        <v>99</v>
      </c>
      <c r="K170" s="10" t="s">
        <v>2054</v>
      </c>
      <c r="L170" s="65" t="str">
        <f t="shared" si="13"/>
        <v>Carapicuiba|Brazil|-46,835556|-23,522499|-3:00 America</v>
      </c>
      <c r="M170" s="10" t="s">
        <v>2090</v>
      </c>
      <c r="N170" s="10">
        <f t="shared" si="10"/>
        <v>1</v>
      </c>
      <c r="O170">
        <f t="shared" si="14"/>
        <v>0</v>
      </c>
      <c r="P170" t="str">
        <f>IF(O170=1,COUNTIF($O$2:O170,1),"")</f>
        <v/>
      </c>
      <c r="Q170" t="str">
        <f>IFERROR(INDEX($M$2:$M$2388,MATCH(ROWS($P$2:P170),$P$2:$P$2388,0)),"")</f>
        <v/>
      </c>
    </row>
    <row r="171" spans="1:17" ht="15" x14ac:dyDescent="0.25">
      <c r="A171" s="10">
        <v>171</v>
      </c>
      <c r="B171" s="10" t="s">
        <v>2091</v>
      </c>
      <c r="C171" s="880">
        <f t="shared" si="11"/>
        <v>-35.976100000000002</v>
      </c>
      <c r="D171" s="880">
        <f t="shared" si="12"/>
        <v>-8.2833000000000006</v>
      </c>
      <c r="E171" s="10">
        <v>-35.976112000000001</v>
      </c>
      <c r="F171" s="10">
        <v>-8.283334</v>
      </c>
      <c r="G171" s="10">
        <v>-3</v>
      </c>
      <c r="H171" s="10" t="s">
        <v>1739</v>
      </c>
      <c r="I171" s="10" t="s">
        <v>2050</v>
      </c>
      <c r="J171" s="10" t="s">
        <v>99</v>
      </c>
      <c r="K171" s="10" t="s">
        <v>92</v>
      </c>
      <c r="L171" s="65" t="str">
        <f t="shared" si="13"/>
        <v>Caruaru|Brazil|-35,976112|-8,283334|-3:00 America</v>
      </c>
      <c r="M171" s="10" t="s">
        <v>2092</v>
      </c>
      <c r="N171" s="10">
        <f t="shared" si="10"/>
        <v>1</v>
      </c>
      <c r="O171">
        <f t="shared" si="14"/>
        <v>0</v>
      </c>
      <c r="P171" t="str">
        <f>IF(O171=1,COUNTIF($O$2:O171,1),"")</f>
        <v/>
      </c>
      <c r="Q171" t="str">
        <f>IFERROR(INDEX($M$2:$M$2388,MATCH(ROWS($P$2:P171),$P$2:$P$2388,0)),"")</f>
        <v/>
      </c>
    </row>
    <row r="172" spans="1:17" ht="15" x14ac:dyDescent="0.25">
      <c r="A172" s="10">
        <v>250</v>
      </c>
      <c r="B172" s="10" t="s">
        <v>2093</v>
      </c>
      <c r="C172" s="880">
        <f t="shared" si="11"/>
        <v>-53.455199999999998</v>
      </c>
      <c r="D172" s="880">
        <f t="shared" si="12"/>
        <v>-24.9558</v>
      </c>
      <c r="E172" s="10">
        <v>-53.455275999999998</v>
      </c>
      <c r="F172" s="10">
        <v>-24.955832999999998</v>
      </c>
      <c r="G172" s="10">
        <v>-3</v>
      </c>
      <c r="H172" s="10" t="s">
        <v>1739</v>
      </c>
      <c r="I172" s="10" t="s">
        <v>2050</v>
      </c>
      <c r="J172" s="10" t="s">
        <v>99</v>
      </c>
      <c r="K172" s="10" t="s">
        <v>2054</v>
      </c>
      <c r="L172" s="65" t="str">
        <f t="shared" si="13"/>
        <v>Cascavel|Brazil|-53,455276|-24,955833|-3:00 America</v>
      </c>
      <c r="M172" s="10" t="s">
        <v>2094</v>
      </c>
      <c r="N172" s="10">
        <f t="shared" si="10"/>
        <v>1</v>
      </c>
      <c r="O172">
        <f t="shared" si="14"/>
        <v>0</v>
      </c>
      <c r="P172" t="str">
        <f>IF(O172=1,COUNTIF($O$2:O172,1),"")</f>
        <v/>
      </c>
      <c r="Q172" t="str">
        <f>IFERROR(INDEX($M$2:$M$2388,MATCH(ROWS($P$2:P172),$P$2:$P$2388,0)),"")</f>
        <v/>
      </c>
    </row>
    <row r="173" spans="1:17" ht="15" x14ac:dyDescent="0.25">
      <c r="A173" s="10">
        <v>170</v>
      </c>
      <c r="B173" s="10" t="s">
        <v>2095</v>
      </c>
      <c r="C173" s="880">
        <f t="shared" si="11"/>
        <v>-38.652999999999999</v>
      </c>
      <c r="D173" s="880">
        <f t="shared" si="12"/>
        <v>-3.7361</v>
      </c>
      <c r="E173" s="10">
        <v>-38.653056999999997</v>
      </c>
      <c r="F173" s="10">
        <v>-3.7361110000000002</v>
      </c>
      <c r="G173" s="10">
        <v>-3</v>
      </c>
      <c r="H173" s="10" t="s">
        <v>1739</v>
      </c>
      <c r="I173" s="10" t="s">
        <v>2050</v>
      </c>
      <c r="J173" s="10" t="s">
        <v>99</v>
      </c>
      <c r="K173" s="10" t="s">
        <v>2096</v>
      </c>
      <c r="L173" s="65" t="str">
        <f t="shared" si="13"/>
        <v>Caucaia|Brazil|-38,653057|-3,736111|-3:00 America</v>
      </c>
      <c r="M173" s="10" t="s">
        <v>2097</v>
      </c>
      <c r="N173" s="10">
        <f t="shared" si="10"/>
        <v>1</v>
      </c>
      <c r="O173">
        <f t="shared" si="14"/>
        <v>0</v>
      </c>
      <c r="P173" t="str">
        <f>IF(O173=1,COUNTIF($O$2:O173,1),"")</f>
        <v/>
      </c>
      <c r="Q173" t="str">
        <f>IFERROR(INDEX($M$2:$M$2388,MATCH(ROWS($P$2:P173),$P$2:$P$2388,0)),"")</f>
        <v/>
      </c>
    </row>
    <row r="174" spans="1:17" ht="15" x14ac:dyDescent="0.25">
      <c r="A174" s="10">
        <v>249</v>
      </c>
      <c r="B174" s="10" t="s">
        <v>2098</v>
      </c>
      <c r="C174" s="880">
        <f t="shared" si="11"/>
        <v>-51.179400000000001</v>
      </c>
      <c r="D174" s="880">
        <f t="shared" si="12"/>
        <v>-29.167999999999999</v>
      </c>
      <c r="E174" s="10">
        <v>-51.179442999999999</v>
      </c>
      <c r="F174" s="10">
        <v>-29.168056</v>
      </c>
      <c r="G174" s="10">
        <v>-3</v>
      </c>
      <c r="H174" s="10" t="s">
        <v>1739</v>
      </c>
      <c r="I174" s="10" t="s">
        <v>2050</v>
      </c>
      <c r="J174" s="10" t="s">
        <v>99</v>
      </c>
      <c r="K174" s="10" t="s">
        <v>2054</v>
      </c>
      <c r="L174" s="65" t="str">
        <f t="shared" si="13"/>
        <v>Caxias do Sul|Brazil|-51,179443|-29,168056|-3:00 America</v>
      </c>
      <c r="M174" s="10" t="s">
        <v>2099</v>
      </c>
      <c r="N174" s="10">
        <f t="shared" si="10"/>
        <v>1</v>
      </c>
      <c r="O174">
        <f t="shared" si="14"/>
        <v>0</v>
      </c>
      <c r="P174" t="str">
        <f>IF(O174=1,COUNTIF($O$2:O174,1),"")</f>
        <v/>
      </c>
      <c r="Q174" t="str">
        <f>IFERROR(INDEX($M$2:$M$2388,MATCH(ROWS($P$2:P174),$P$2:$P$2388,0)),"")</f>
        <v/>
      </c>
    </row>
    <row r="175" spans="1:17" ht="15" x14ac:dyDescent="0.25">
      <c r="A175" s="10">
        <v>248</v>
      </c>
      <c r="B175" s="10" t="s">
        <v>2100</v>
      </c>
      <c r="C175" s="880">
        <f t="shared" si="11"/>
        <v>-49.2241</v>
      </c>
      <c r="D175" s="880">
        <f t="shared" si="12"/>
        <v>-25.291599999999999</v>
      </c>
      <c r="E175" s="10">
        <v>-49.224167000000001</v>
      </c>
      <c r="F175" s="10">
        <v>-25.291665999999999</v>
      </c>
      <c r="G175" s="10">
        <v>-3</v>
      </c>
      <c r="H175" s="10" t="s">
        <v>1739</v>
      </c>
      <c r="I175" s="10" t="s">
        <v>2050</v>
      </c>
      <c r="J175" s="10" t="s">
        <v>99</v>
      </c>
      <c r="K175" s="10" t="s">
        <v>2054</v>
      </c>
      <c r="L175" s="65" t="str">
        <f t="shared" si="13"/>
        <v>Colombo|Brazil|-49,224167|-25,291666|-3:00 America</v>
      </c>
      <c r="M175" s="10" t="s">
        <v>2101</v>
      </c>
      <c r="N175" s="10">
        <f t="shared" si="10"/>
        <v>1</v>
      </c>
      <c r="O175">
        <f t="shared" si="14"/>
        <v>0</v>
      </c>
      <c r="P175" t="str">
        <f>IF(O175=1,COUNTIF($O$2:O175,1),"")</f>
        <v/>
      </c>
      <c r="Q175" t="str">
        <f>IFERROR(INDEX($M$2:$M$2388,MATCH(ROWS($P$2:P175),$P$2:$P$2388,0)),"")</f>
        <v/>
      </c>
    </row>
    <row r="176" spans="1:17" ht="15" x14ac:dyDescent="0.25">
      <c r="A176" s="10">
        <v>247</v>
      </c>
      <c r="B176" s="10" t="s">
        <v>2102</v>
      </c>
      <c r="C176" s="880">
        <f t="shared" si="11"/>
        <v>-44.053600000000003</v>
      </c>
      <c r="D176" s="880">
        <f t="shared" si="12"/>
        <v>-19.9316</v>
      </c>
      <c r="E176" s="10">
        <v>-44.053612000000001</v>
      </c>
      <c r="F176" s="10">
        <v>-19.931667000000001</v>
      </c>
      <c r="G176" s="10">
        <v>-3</v>
      </c>
      <c r="H176" s="10" t="s">
        <v>1739</v>
      </c>
      <c r="I176" s="10" t="s">
        <v>2050</v>
      </c>
      <c r="J176" s="10" t="s">
        <v>99</v>
      </c>
      <c r="K176" s="10" t="s">
        <v>2054</v>
      </c>
      <c r="L176" s="65" t="str">
        <f t="shared" si="13"/>
        <v>Contagem|Brazil|-44,053612|-19,931667|-3:00 America</v>
      </c>
      <c r="M176" s="10" t="s">
        <v>2103</v>
      </c>
      <c r="N176" s="10">
        <f t="shared" si="10"/>
        <v>1</v>
      </c>
      <c r="O176">
        <f t="shared" si="14"/>
        <v>0</v>
      </c>
      <c r="P176" t="str">
        <f>IF(O176=1,COUNTIF($O$2:O176,1),"")</f>
        <v/>
      </c>
      <c r="Q176" t="str">
        <f>IFERROR(INDEX($M$2:$M$2388,MATCH(ROWS($P$2:P176),$P$2:$P$2388,0)),"")</f>
        <v/>
      </c>
    </row>
    <row r="177" spans="1:17" ht="15" x14ac:dyDescent="0.25">
      <c r="A177" s="10">
        <v>246</v>
      </c>
      <c r="B177" s="10" t="s">
        <v>2104</v>
      </c>
      <c r="C177" s="880">
        <f t="shared" si="11"/>
        <v>-56.096600000000002</v>
      </c>
      <c r="D177" s="880">
        <f t="shared" si="12"/>
        <v>-15.5961</v>
      </c>
      <c r="E177" s="10">
        <v>-56.096668000000001</v>
      </c>
      <c r="F177" s="10">
        <v>-15.596111000000001</v>
      </c>
      <c r="G177" s="10">
        <v>-3</v>
      </c>
      <c r="H177" s="10" t="s">
        <v>1739</v>
      </c>
      <c r="I177" s="10" t="s">
        <v>2050</v>
      </c>
      <c r="J177" s="10" t="s">
        <v>99</v>
      </c>
      <c r="K177" s="10" t="s">
        <v>2105</v>
      </c>
      <c r="L177" s="65" t="str">
        <f t="shared" si="13"/>
        <v>Cuiaba|Brazil|-56,096668|-15,596111|-3:00 America</v>
      </c>
      <c r="M177" s="10" t="s">
        <v>2106</v>
      </c>
      <c r="N177" s="10">
        <f t="shared" si="10"/>
        <v>1</v>
      </c>
      <c r="O177">
        <f t="shared" si="14"/>
        <v>0</v>
      </c>
      <c r="P177" t="str">
        <f>IF(O177=1,COUNTIF($O$2:O177,1),"")</f>
        <v/>
      </c>
      <c r="Q177" t="str">
        <f>IFERROR(INDEX($M$2:$M$2388,MATCH(ROWS($P$2:P177),$P$2:$P$2388,0)),"")</f>
        <v/>
      </c>
    </row>
    <row r="178" spans="1:17" ht="15" x14ac:dyDescent="0.25">
      <c r="A178" s="10">
        <v>245</v>
      </c>
      <c r="B178" s="10" t="s">
        <v>2107</v>
      </c>
      <c r="C178" s="880">
        <f t="shared" si="11"/>
        <v>-49.273000000000003</v>
      </c>
      <c r="D178" s="880">
        <f t="shared" si="12"/>
        <v>-25.427700000000002</v>
      </c>
      <c r="E178" s="10">
        <v>-49.273055999999997</v>
      </c>
      <c r="F178" s="10">
        <v>-25.427778</v>
      </c>
      <c r="G178" s="10">
        <v>-3</v>
      </c>
      <c r="H178" s="10" t="s">
        <v>1739</v>
      </c>
      <c r="I178" s="10" t="s">
        <v>2050</v>
      </c>
      <c r="J178" s="10" t="s">
        <v>99</v>
      </c>
      <c r="K178" s="10" t="s">
        <v>2054</v>
      </c>
      <c r="L178" s="65" t="str">
        <f t="shared" si="13"/>
        <v>Curitiba|Brazil|-49,273056|-25,427778|-3:00 America</v>
      </c>
      <c r="M178" s="10" t="s">
        <v>2108</v>
      </c>
      <c r="N178" s="10">
        <f t="shared" si="10"/>
        <v>1</v>
      </c>
      <c r="O178">
        <f t="shared" si="14"/>
        <v>0</v>
      </c>
      <c r="P178" t="str">
        <f>IF(O178=1,COUNTIF($O$2:O178,1),"")</f>
        <v/>
      </c>
      <c r="Q178" t="str">
        <f>IFERROR(INDEX($M$2:$M$2388,MATCH(ROWS($P$2:P178),$P$2:$P$2388,0)),"")</f>
        <v/>
      </c>
    </row>
    <row r="179" spans="1:17" ht="15" x14ac:dyDescent="0.25">
      <c r="A179" s="10">
        <v>244</v>
      </c>
      <c r="B179" s="10" t="s">
        <v>2109</v>
      </c>
      <c r="C179" s="880">
        <f t="shared" si="11"/>
        <v>-46.622700000000002</v>
      </c>
      <c r="D179" s="880">
        <f t="shared" si="12"/>
        <v>-23.6861</v>
      </c>
      <c r="E179" s="10">
        <v>-46.622776000000002</v>
      </c>
      <c r="F179" s="10">
        <v>-23.686111</v>
      </c>
      <c r="G179" s="10">
        <v>-3</v>
      </c>
      <c r="H179" s="10" t="s">
        <v>1739</v>
      </c>
      <c r="I179" s="10" t="s">
        <v>2050</v>
      </c>
      <c r="J179" s="10" t="s">
        <v>99</v>
      </c>
      <c r="K179" s="10" t="s">
        <v>2054</v>
      </c>
      <c r="L179" s="65" t="str">
        <f t="shared" si="13"/>
        <v>Diadema|Brazil|-46,622776|-23,686111|-3:00 America</v>
      </c>
      <c r="M179" s="10" t="s">
        <v>2110</v>
      </c>
      <c r="N179" s="10">
        <f t="shared" si="10"/>
        <v>1</v>
      </c>
      <c r="O179">
        <f t="shared" si="14"/>
        <v>0</v>
      </c>
      <c r="P179" t="str">
        <f>IF(O179=1,COUNTIF($O$2:O179,1),"")</f>
        <v/>
      </c>
      <c r="Q179" t="str">
        <f>IFERROR(INDEX($M$2:$M$2388,MATCH(ROWS($P$2:P179),$P$2:$P$2388,0)),"")</f>
        <v/>
      </c>
    </row>
    <row r="180" spans="1:17" ht="15" x14ac:dyDescent="0.25">
      <c r="A180" s="10">
        <v>243</v>
      </c>
      <c r="B180" s="10" t="s">
        <v>2111</v>
      </c>
      <c r="C180" s="880">
        <f t="shared" si="11"/>
        <v>-43.311599999999999</v>
      </c>
      <c r="D180" s="880">
        <f t="shared" si="12"/>
        <v>-22.785499999999999</v>
      </c>
      <c r="E180" s="10">
        <v>-43.311667999999997</v>
      </c>
      <c r="F180" s="10">
        <v>-22.785554999999999</v>
      </c>
      <c r="G180" s="10">
        <v>-3</v>
      </c>
      <c r="H180" s="10" t="s">
        <v>1739</v>
      </c>
      <c r="I180" s="10" t="s">
        <v>2050</v>
      </c>
      <c r="J180" s="10" t="s">
        <v>99</v>
      </c>
      <c r="K180" s="10" t="s">
        <v>2054</v>
      </c>
      <c r="L180" s="65" t="str">
        <f t="shared" si="13"/>
        <v>Duque de Caxias|Brazil|-43,311668|-22,785555|-3:00 America</v>
      </c>
      <c r="M180" s="10" t="s">
        <v>2112</v>
      </c>
      <c r="N180" s="10">
        <f t="shared" si="10"/>
        <v>1</v>
      </c>
      <c r="O180">
        <f t="shared" si="14"/>
        <v>0</v>
      </c>
      <c r="P180" t="str">
        <f>IF(O180=1,COUNTIF($O$2:O180,1),"")</f>
        <v/>
      </c>
      <c r="Q180" t="str">
        <f>IFERROR(INDEX($M$2:$M$2388,MATCH(ROWS($P$2:P180),$P$2:$P$2388,0)),"")</f>
        <v/>
      </c>
    </row>
    <row r="181" spans="1:17" ht="15" x14ac:dyDescent="0.25">
      <c r="A181" s="10">
        <v>242</v>
      </c>
      <c r="B181" s="10" t="s">
        <v>2113</v>
      </c>
      <c r="C181" s="880">
        <f t="shared" si="11"/>
        <v>-46.852200000000003</v>
      </c>
      <c r="D181" s="880">
        <f t="shared" si="12"/>
        <v>-23.648800000000001</v>
      </c>
      <c r="E181" s="10">
        <v>-46.852221999999998</v>
      </c>
      <c r="F181" s="10">
        <v>-23.648890000000002</v>
      </c>
      <c r="G181" s="10">
        <v>-3</v>
      </c>
      <c r="H181" s="10" t="s">
        <v>1739</v>
      </c>
      <c r="I181" s="10" t="s">
        <v>2050</v>
      </c>
      <c r="J181" s="10" t="s">
        <v>99</v>
      </c>
      <c r="K181" s="10" t="s">
        <v>2054</v>
      </c>
      <c r="L181" s="65" t="str">
        <f t="shared" si="13"/>
        <v>Embu|Brazil|-46,852222|-23,648890|-3:00 America</v>
      </c>
      <c r="M181" s="10" t="s">
        <v>2114</v>
      </c>
      <c r="N181" s="10">
        <f t="shared" si="10"/>
        <v>1</v>
      </c>
      <c r="O181">
        <f t="shared" si="14"/>
        <v>0</v>
      </c>
      <c r="P181" t="str">
        <f>IF(O181=1,COUNTIF($O$2:O181,1),"")</f>
        <v/>
      </c>
      <c r="Q181" t="str">
        <f>IFERROR(INDEX($M$2:$M$2388,MATCH(ROWS($P$2:P181),$P$2:$P$2388,0)),"")</f>
        <v/>
      </c>
    </row>
    <row r="182" spans="1:17" ht="15" x14ac:dyDescent="0.25">
      <c r="A182" s="10">
        <v>241</v>
      </c>
      <c r="B182" s="10" t="s">
        <v>2115</v>
      </c>
      <c r="C182" s="880">
        <f t="shared" si="11"/>
        <v>-38.9666</v>
      </c>
      <c r="D182" s="880">
        <f t="shared" si="12"/>
        <v>-12.2666</v>
      </c>
      <c r="E182" s="10">
        <v>-38.966667000000001</v>
      </c>
      <c r="F182" s="10">
        <v>-12.266666000000001</v>
      </c>
      <c r="G182" s="10">
        <v>-3</v>
      </c>
      <c r="H182" s="10" t="s">
        <v>1739</v>
      </c>
      <c r="I182" s="10" t="s">
        <v>2050</v>
      </c>
      <c r="J182" s="10" t="s">
        <v>99</v>
      </c>
      <c r="K182" s="10" t="s">
        <v>2116</v>
      </c>
      <c r="L182" s="65" t="str">
        <f t="shared" si="13"/>
        <v>Feira de Santana|Brazil|-38,966667|-12,266666|-3:00 America</v>
      </c>
      <c r="M182" s="10" t="s">
        <v>2117</v>
      </c>
      <c r="N182" s="10">
        <f t="shared" si="10"/>
        <v>1</v>
      </c>
      <c r="O182">
        <f t="shared" si="14"/>
        <v>0</v>
      </c>
      <c r="P182" t="str">
        <f>IF(O182=1,COUNTIF($O$2:O182,1),"")</f>
        <v/>
      </c>
      <c r="Q182" t="str">
        <f>IFERROR(INDEX($M$2:$M$2388,MATCH(ROWS($P$2:P182),$P$2:$P$2388,0)),"")</f>
        <v/>
      </c>
    </row>
    <row r="183" spans="1:17" ht="15" x14ac:dyDescent="0.25">
      <c r="A183" s="10">
        <v>240</v>
      </c>
      <c r="B183" s="10" t="s">
        <v>2118</v>
      </c>
      <c r="C183" s="880">
        <f t="shared" si="11"/>
        <v>-48.549100000000003</v>
      </c>
      <c r="D183" s="880">
        <f t="shared" si="12"/>
        <v>-27.596599999999999</v>
      </c>
      <c r="E183" s="10">
        <v>-48.549168000000002</v>
      </c>
      <c r="F183" s="10">
        <v>-27.596665999999999</v>
      </c>
      <c r="G183" s="10">
        <v>-3</v>
      </c>
      <c r="H183" s="10" t="s">
        <v>1739</v>
      </c>
      <c r="I183" s="10" t="s">
        <v>2050</v>
      </c>
      <c r="J183" s="10" t="s">
        <v>99</v>
      </c>
      <c r="K183" s="10" t="s">
        <v>2054</v>
      </c>
      <c r="L183" s="65" t="str">
        <f t="shared" si="13"/>
        <v>Florianopolis|Brazil|-48,549168|-27,596666|-3:00 America</v>
      </c>
      <c r="M183" s="10" t="s">
        <v>2119</v>
      </c>
      <c r="N183" s="10">
        <f t="shared" si="10"/>
        <v>1</v>
      </c>
      <c r="O183">
        <f t="shared" si="14"/>
        <v>0</v>
      </c>
      <c r="P183" t="str">
        <f>IF(O183=1,COUNTIF($O$2:O183,1),"")</f>
        <v/>
      </c>
      <c r="Q183" t="str">
        <f>IFERROR(INDEX($M$2:$M$2388,MATCH(ROWS($P$2:P183),$P$2:$P$2388,0)),"")</f>
        <v/>
      </c>
    </row>
    <row r="184" spans="1:17" ht="15" x14ac:dyDescent="0.25">
      <c r="A184" s="10">
        <v>169</v>
      </c>
      <c r="B184" s="10" t="s">
        <v>2120</v>
      </c>
      <c r="C184" s="880">
        <f t="shared" si="11"/>
        <v>-38.542999999999999</v>
      </c>
      <c r="D184" s="880">
        <f t="shared" si="12"/>
        <v>-3.7172000000000001</v>
      </c>
      <c r="E184" s="10">
        <v>-38.543056</v>
      </c>
      <c r="F184" s="10">
        <v>-3.717222</v>
      </c>
      <c r="G184" s="10">
        <v>-3</v>
      </c>
      <c r="H184" s="10" t="s">
        <v>1739</v>
      </c>
      <c r="I184" s="10" t="s">
        <v>2050</v>
      </c>
      <c r="J184" s="10" t="s">
        <v>99</v>
      </c>
      <c r="K184" s="10" t="s">
        <v>2096</v>
      </c>
      <c r="L184" s="65" t="str">
        <f t="shared" si="13"/>
        <v>Fortaleza|Brazil|-38,543056|-3,717222|-3:00 America</v>
      </c>
      <c r="M184" s="10" t="s">
        <v>2121</v>
      </c>
      <c r="N184" s="10">
        <f t="shared" si="10"/>
        <v>1</v>
      </c>
      <c r="O184">
        <f t="shared" si="14"/>
        <v>0</v>
      </c>
      <c r="P184" t="str">
        <f>IF(O184=1,COUNTIF($O$2:O184,1),"")</f>
        <v/>
      </c>
      <c r="Q184" t="str">
        <f>IFERROR(INDEX($M$2:$M$2388,MATCH(ROWS($P$2:P184),$P$2:$P$2388,0)),"")</f>
        <v/>
      </c>
    </row>
    <row r="185" spans="1:17" ht="15" x14ac:dyDescent="0.25">
      <c r="A185" s="10">
        <v>239</v>
      </c>
      <c r="B185" s="10" t="s">
        <v>2122</v>
      </c>
      <c r="C185" s="880">
        <f t="shared" si="11"/>
        <v>-54.588000000000001</v>
      </c>
      <c r="D185" s="880">
        <f t="shared" si="12"/>
        <v>-25.547699999999999</v>
      </c>
      <c r="E185" s="10">
        <v>-54.588054999999997</v>
      </c>
      <c r="F185" s="10">
        <v>-25.547777</v>
      </c>
      <c r="G185" s="10">
        <v>-3</v>
      </c>
      <c r="H185" s="10" t="s">
        <v>1739</v>
      </c>
      <c r="I185" s="10" t="s">
        <v>2050</v>
      </c>
      <c r="J185" s="10" t="s">
        <v>99</v>
      </c>
      <c r="K185" s="10" t="s">
        <v>2054</v>
      </c>
      <c r="L185" s="65" t="str">
        <f t="shared" si="13"/>
        <v>Foz do Iguacu|Brazil|-54,588055|-25,547777|-3:00 America</v>
      </c>
      <c r="M185" s="10" t="s">
        <v>2123</v>
      </c>
      <c r="N185" s="10">
        <f t="shared" si="10"/>
        <v>1</v>
      </c>
      <c r="O185">
        <f t="shared" si="14"/>
        <v>0</v>
      </c>
      <c r="P185" t="str">
        <f>IF(O185=1,COUNTIF($O$2:O185,1),"")</f>
        <v/>
      </c>
      <c r="Q185" t="str">
        <f>IFERROR(INDEX($M$2:$M$2388,MATCH(ROWS($P$2:P185),$P$2:$P$2388,0)),"")</f>
        <v/>
      </c>
    </row>
    <row r="186" spans="1:17" ht="15" x14ac:dyDescent="0.25">
      <c r="A186" s="10">
        <v>238</v>
      </c>
      <c r="B186" s="10" t="s">
        <v>2124</v>
      </c>
      <c r="C186" s="880">
        <f t="shared" si="11"/>
        <v>-47.400799999999997</v>
      </c>
      <c r="D186" s="880">
        <f t="shared" si="12"/>
        <v>-20.538599999999999</v>
      </c>
      <c r="E186" s="10">
        <v>-47.400832999999999</v>
      </c>
      <c r="F186" s="10">
        <v>-20.538609999999998</v>
      </c>
      <c r="G186" s="10">
        <v>-3</v>
      </c>
      <c r="H186" s="10" t="s">
        <v>1739</v>
      </c>
      <c r="I186" s="10" t="s">
        <v>2050</v>
      </c>
      <c r="J186" s="10" t="s">
        <v>99</v>
      </c>
      <c r="K186" s="10" t="s">
        <v>2054</v>
      </c>
      <c r="L186" s="65" t="str">
        <f t="shared" si="13"/>
        <v>Franca|Brazil|-47,400833|-20,538610|-3:00 America</v>
      </c>
      <c r="M186" s="10" t="s">
        <v>2125</v>
      </c>
      <c r="N186" s="10">
        <f t="shared" si="10"/>
        <v>1</v>
      </c>
      <c r="O186">
        <f t="shared" si="14"/>
        <v>0</v>
      </c>
      <c r="P186" t="str">
        <f>IF(O186=1,COUNTIF($O$2:O186,1),"")</f>
        <v/>
      </c>
      <c r="Q186" t="str">
        <f>IFERROR(INDEX($M$2:$M$2388,MATCH(ROWS($P$2:P186),$P$2:$P$2388,0)),"")</f>
        <v/>
      </c>
    </row>
    <row r="187" spans="1:17" ht="15" x14ac:dyDescent="0.25">
      <c r="A187" s="10">
        <v>237</v>
      </c>
      <c r="B187" s="10" t="s">
        <v>2126</v>
      </c>
      <c r="C187" s="880">
        <f t="shared" si="11"/>
        <v>-49.253799999999998</v>
      </c>
      <c r="D187" s="880">
        <f t="shared" si="12"/>
        <v>-16.678599999999999</v>
      </c>
      <c r="E187" s="10">
        <v>-49.253886999999999</v>
      </c>
      <c r="F187" s="10">
        <v>-16.678612000000001</v>
      </c>
      <c r="G187" s="10">
        <v>-3</v>
      </c>
      <c r="H187" s="10" t="s">
        <v>1739</v>
      </c>
      <c r="I187" s="10" t="s">
        <v>2050</v>
      </c>
      <c r="J187" s="10" t="s">
        <v>99</v>
      </c>
      <c r="K187" s="10" t="s">
        <v>2054</v>
      </c>
      <c r="L187" s="65" t="str">
        <f t="shared" si="13"/>
        <v>Goiania|Brazil|-49,253887|-16,678612|-3:00 America</v>
      </c>
      <c r="M187" s="10" t="s">
        <v>2127</v>
      </c>
      <c r="N187" s="10">
        <f t="shared" si="10"/>
        <v>1</v>
      </c>
      <c r="O187">
        <f t="shared" si="14"/>
        <v>0</v>
      </c>
      <c r="P187" t="str">
        <f>IF(O187=1,COUNTIF($O$2:O187,1),"")</f>
        <v/>
      </c>
      <c r="Q187" t="str">
        <f>IFERROR(INDEX($M$2:$M$2388,MATCH(ROWS($P$2:P187),$P$2:$P$2388,0)),"")</f>
        <v/>
      </c>
    </row>
    <row r="188" spans="1:17" ht="15" x14ac:dyDescent="0.25">
      <c r="A188" s="10">
        <v>236</v>
      </c>
      <c r="B188" s="10" t="s">
        <v>2128</v>
      </c>
      <c r="C188" s="880">
        <f t="shared" si="11"/>
        <v>-41.949399999999997</v>
      </c>
      <c r="D188" s="880">
        <f t="shared" si="12"/>
        <v>-18.851099999999999</v>
      </c>
      <c r="E188" s="10">
        <v>-41.949444</v>
      </c>
      <c r="F188" s="10">
        <v>-18.851109999999998</v>
      </c>
      <c r="G188" s="10">
        <v>-3</v>
      </c>
      <c r="H188" s="10" t="s">
        <v>1739</v>
      </c>
      <c r="I188" s="10" t="s">
        <v>2050</v>
      </c>
      <c r="J188" s="10" t="s">
        <v>99</v>
      </c>
      <c r="K188" s="10" t="s">
        <v>2054</v>
      </c>
      <c r="L188" s="65" t="str">
        <f t="shared" si="13"/>
        <v>Governador Valadares|Brazil|-41,949444|-18,851110|-3:00 America</v>
      </c>
      <c r="M188" s="10" t="s">
        <v>2129</v>
      </c>
      <c r="N188" s="10">
        <f t="shared" si="10"/>
        <v>1</v>
      </c>
      <c r="O188">
        <f t="shared" si="14"/>
        <v>0</v>
      </c>
      <c r="P188" t="str">
        <f>IF(O188=1,COUNTIF($O$2:O188,1),"")</f>
        <v/>
      </c>
      <c r="Q188" t="str">
        <f>IFERROR(INDEX($M$2:$M$2388,MATCH(ROWS($P$2:P188),$P$2:$P$2388,0)),"")</f>
        <v/>
      </c>
    </row>
    <row r="189" spans="1:17" ht="15" x14ac:dyDescent="0.25">
      <c r="A189" s="10">
        <v>235</v>
      </c>
      <c r="B189" s="10" t="s">
        <v>2130</v>
      </c>
      <c r="C189" s="880">
        <f t="shared" si="11"/>
        <v>-50.991900000000001</v>
      </c>
      <c r="D189" s="880">
        <f t="shared" si="12"/>
        <v>-29.944400000000002</v>
      </c>
      <c r="E189" s="10">
        <v>-50.991942999999999</v>
      </c>
      <c r="F189" s="10">
        <v>-29.944445000000002</v>
      </c>
      <c r="G189" s="10">
        <v>-3</v>
      </c>
      <c r="H189" s="10" t="s">
        <v>1739</v>
      </c>
      <c r="I189" s="10" t="s">
        <v>2050</v>
      </c>
      <c r="J189" s="10" t="s">
        <v>99</v>
      </c>
      <c r="K189" s="10" t="s">
        <v>2054</v>
      </c>
      <c r="L189" s="65" t="str">
        <f t="shared" si="13"/>
        <v>Gravatai|Brazil|-50,991943|-29,944445|-3:00 America</v>
      </c>
      <c r="M189" s="10" t="s">
        <v>2131</v>
      </c>
      <c r="N189" s="10">
        <f t="shared" si="10"/>
        <v>1</v>
      </c>
      <c r="O189">
        <f t="shared" si="14"/>
        <v>0</v>
      </c>
      <c r="P189" t="str">
        <f>IF(O189=1,COUNTIF($O$2:O189,1),"")</f>
        <v/>
      </c>
      <c r="Q189" t="str">
        <f>IFERROR(INDEX($M$2:$M$2388,MATCH(ROWS($P$2:P189),$P$2:$P$2388,0)),"")</f>
        <v/>
      </c>
    </row>
    <row r="190" spans="1:17" ht="15" x14ac:dyDescent="0.25">
      <c r="A190" s="10">
        <v>234</v>
      </c>
      <c r="B190" s="10" t="s">
        <v>2132</v>
      </c>
      <c r="C190" s="880">
        <f t="shared" si="11"/>
        <v>-46.256300000000003</v>
      </c>
      <c r="D190" s="880">
        <f t="shared" si="12"/>
        <v>-23.992999999999999</v>
      </c>
      <c r="E190" s="10">
        <v>-46.256390000000003</v>
      </c>
      <c r="F190" s="10">
        <v>-23.993054999999998</v>
      </c>
      <c r="G190" s="10">
        <v>-3</v>
      </c>
      <c r="H190" s="10" t="s">
        <v>1739</v>
      </c>
      <c r="I190" s="10" t="s">
        <v>2050</v>
      </c>
      <c r="J190" s="10" t="s">
        <v>99</v>
      </c>
      <c r="K190" s="10" t="s">
        <v>2054</v>
      </c>
      <c r="L190" s="65" t="str">
        <f t="shared" si="13"/>
        <v>Guaruja|Brazil|-46,256390|-23,993055|-3:00 America</v>
      </c>
      <c r="M190" s="10" t="s">
        <v>2133</v>
      </c>
      <c r="N190" s="10">
        <f t="shared" si="10"/>
        <v>1</v>
      </c>
      <c r="O190">
        <f t="shared" si="14"/>
        <v>0</v>
      </c>
      <c r="P190" t="str">
        <f>IF(O190=1,COUNTIF($O$2:O190,1),"")</f>
        <v/>
      </c>
      <c r="Q190" t="str">
        <f>IFERROR(INDEX($M$2:$M$2388,MATCH(ROWS($P$2:P190),$P$2:$P$2388,0)),"")</f>
        <v/>
      </c>
    </row>
    <row r="191" spans="1:17" ht="15" x14ac:dyDescent="0.25">
      <c r="A191" s="10">
        <v>233</v>
      </c>
      <c r="B191" s="10" t="s">
        <v>2134</v>
      </c>
      <c r="C191" s="880">
        <f t="shared" si="11"/>
        <v>-46.533299999999997</v>
      </c>
      <c r="D191" s="880">
        <f t="shared" si="12"/>
        <v>-23.462700000000002</v>
      </c>
      <c r="E191" s="10">
        <v>-46.533332999999999</v>
      </c>
      <c r="F191" s="10">
        <v>-23.462778</v>
      </c>
      <c r="G191" s="10">
        <v>-3</v>
      </c>
      <c r="H191" s="10" t="s">
        <v>1739</v>
      </c>
      <c r="I191" s="10" t="s">
        <v>2050</v>
      </c>
      <c r="J191" s="10" t="s">
        <v>99</v>
      </c>
      <c r="K191" s="10" t="s">
        <v>2054</v>
      </c>
      <c r="L191" s="65" t="str">
        <f t="shared" si="13"/>
        <v>Guarulhos|Brazil|-46,533333|-23,462778|-3:00 America</v>
      </c>
      <c r="M191" s="10" t="s">
        <v>2135</v>
      </c>
      <c r="N191" s="10">
        <f t="shared" si="10"/>
        <v>1</v>
      </c>
      <c r="O191">
        <f t="shared" si="14"/>
        <v>0</v>
      </c>
      <c r="P191" t="str">
        <f>IF(O191=1,COUNTIF($O$2:O191,1),"")</f>
        <v/>
      </c>
      <c r="Q191" t="str">
        <f>IFERROR(INDEX($M$2:$M$2388,MATCH(ROWS($P$2:P191),$P$2:$P$2388,0)),"")</f>
        <v/>
      </c>
    </row>
    <row r="192" spans="1:17" ht="15" x14ac:dyDescent="0.25">
      <c r="A192" s="10">
        <v>232</v>
      </c>
      <c r="B192" s="10" t="s">
        <v>2136</v>
      </c>
      <c r="C192" s="880">
        <f t="shared" si="11"/>
        <v>-47.22</v>
      </c>
      <c r="D192" s="880">
        <f t="shared" si="12"/>
        <v>-22.8583</v>
      </c>
      <c r="E192" s="10">
        <v>-47.220001000000003</v>
      </c>
      <c r="F192" s="10">
        <v>-22.858333999999999</v>
      </c>
      <c r="G192" s="10">
        <v>-3</v>
      </c>
      <c r="H192" s="10" t="s">
        <v>1739</v>
      </c>
      <c r="I192" s="10" t="s">
        <v>2050</v>
      </c>
      <c r="J192" s="10" t="s">
        <v>99</v>
      </c>
      <c r="K192" s="10" t="s">
        <v>2054</v>
      </c>
      <c r="L192" s="65" t="str">
        <f t="shared" si="13"/>
        <v>Hortolandia|Brazil|-47,220001|-22,858334|-3:00 America</v>
      </c>
      <c r="M192" s="10" t="s">
        <v>2137</v>
      </c>
      <c r="N192" s="10">
        <f t="shared" si="10"/>
        <v>1</v>
      </c>
      <c r="O192">
        <f t="shared" si="14"/>
        <v>0</v>
      </c>
      <c r="P192" t="str">
        <f>IF(O192=1,COUNTIF($O$2:O192,1),"")</f>
        <v/>
      </c>
      <c r="Q192" t="str">
        <f>IFERROR(INDEX($M$2:$M$2388,MATCH(ROWS($P$2:P192),$P$2:$P$2388,0)),"")</f>
        <v/>
      </c>
    </row>
    <row r="193" spans="1:17" ht="15" x14ac:dyDescent="0.25">
      <c r="A193" s="10">
        <v>168</v>
      </c>
      <c r="B193" s="10" t="s">
        <v>2138</v>
      </c>
      <c r="C193" s="880">
        <f t="shared" si="11"/>
        <v>-47.491599999999998</v>
      </c>
      <c r="D193" s="880">
        <f t="shared" si="12"/>
        <v>-5.5263</v>
      </c>
      <c r="E193" s="10">
        <v>-47.491664999999998</v>
      </c>
      <c r="F193" s="10">
        <v>-5.526389</v>
      </c>
      <c r="G193" s="10">
        <v>-3</v>
      </c>
      <c r="H193" s="10" t="s">
        <v>1739</v>
      </c>
      <c r="I193" s="10" t="s">
        <v>2050</v>
      </c>
      <c r="J193" s="10" t="s">
        <v>99</v>
      </c>
      <c r="K193" s="10" t="s">
        <v>2139</v>
      </c>
      <c r="L193" s="65" t="str">
        <f t="shared" si="13"/>
        <v>Imperatriz|Brazil|-47,491665|-5,526389|-3:00 America</v>
      </c>
      <c r="M193" s="10" t="s">
        <v>2140</v>
      </c>
      <c r="N193" s="10">
        <f t="shared" si="10"/>
        <v>1</v>
      </c>
      <c r="O193">
        <f t="shared" si="14"/>
        <v>0</v>
      </c>
      <c r="P193" t="str">
        <f>IF(O193=1,COUNTIF($O$2:O193,1),"")</f>
        <v/>
      </c>
      <c r="Q193" t="str">
        <f>IFERROR(INDEX($M$2:$M$2388,MATCH(ROWS($P$2:P193),$P$2:$P$2388,0)),"")</f>
        <v/>
      </c>
    </row>
    <row r="194" spans="1:17" ht="15" x14ac:dyDescent="0.25">
      <c r="A194" s="10">
        <v>231</v>
      </c>
      <c r="B194" s="10" t="s">
        <v>2141</v>
      </c>
      <c r="C194" s="880">
        <f t="shared" si="11"/>
        <v>-42.5366</v>
      </c>
      <c r="D194" s="880">
        <f t="shared" si="12"/>
        <v>-19.468299999999999</v>
      </c>
      <c r="E194" s="10">
        <v>-42.536667000000001</v>
      </c>
      <c r="F194" s="10">
        <v>-19.468333999999999</v>
      </c>
      <c r="G194" s="10">
        <v>-3</v>
      </c>
      <c r="H194" s="10" t="s">
        <v>1739</v>
      </c>
      <c r="I194" s="10" t="s">
        <v>2050</v>
      </c>
      <c r="J194" s="10" t="s">
        <v>99</v>
      </c>
      <c r="K194" s="10" t="s">
        <v>2054</v>
      </c>
      <c r="L194" s="65" t="str">
        <f t="shared" si="13"/>
        <v>Ipatinga|Brazil|-42,536667|-19,468334|-3:00 America</v>
      </c>
      <c r="M194" s="10" t="s">
        <v>2142</v>
      </c>
      <c r="N194" s="10">
        <f t="shared" ref="N194:N257" si="15">--ISNUMBER(IFERROR(SEARCH($R$2,J194,1),""))</f>
        <v>1</v>
      </c>
      <c r="O194">
        <f t="shared" si="14"/>
        <v>0</v>
      </c>
      <c r="P194" t="str">
        <f>IF(O194=1,COUNTIF($O$2:O194,1),"")</f>
        <v/>
      </c>
      <c r="Q194" t="str">
        <f>IFERROR(INDEX($M$2:$M$2388,MATCH(ROWS($P$2:P194),$P$2:$P$2388,0)),"")</f>
        <v/>
      </c>
    </row>
    <row r="195" spans="1:17" ht="15" x14ac:dyDescent="0.25">
      <c r="A195" s="10">
        <v>230</v>
      </c>
      <c r="B195" s="10" t="s">
        <v>2143</v>
      </c>
      <c r="C195" s="880">
        <f t="shared" ref="C195:C258" si="16">TRUNC(E195,4)</f>
        <v>-39.280200000000001</v>
      </c>
      <c r="D195" s="880">
        <f t="shared" ref="D195:D258" si="17">TRUNC(F195,4)</f>
        <v>-14.785500000000001</v>
      </c>
      <c r="E195" s="10">
        <v>-39.280276999999998</v>
      </c>
      <c r="F195" s="10">
        <v>-14.785556</v>
      </c>
      <c r="G195" s="10">
        <v>-3</v>
      </c>
      <c r="H195" s="10" t="s">
        <v>1739</v>
      </c>
      <c r="I195" s="10" t="s">
        <v>2050</v>
      </c>
      <c r="J195" s="10" t="s">
        <v>99</v>
      </c>
      <c r="K195" s="10" t="s">
        <v>2116</v>
      </c>
      <c r="L195" s="65" t="str">
        <f t="shared" ref="L195:L258" si="18">MID(M195,1,LEN(M195)-(LEN(K195)-SEARCH("/",K195)+1))</f>
        <v>Itabuna|Brazil|-39,280277|-14,785556|-3:00 America</v>
      </c>
      <c r="M195" s="10" t="s">
        <v>2144</v>
      </c>
      <c r="N195" s="10">
        <f t="shared" si="15"/>
        <v>1</v>
      </c>
      <c r="O195">
        <f t="shared" ref="O195:O258" si="19">IF(N195=0,"",--ISNUMBER(IFERROR(SEARCH($U$2,L195,1),"")))</f>
        <v>0</v>
      </c>
      <c r="P195" t="str">
        <f>IF(O195=1,COUNTIF($O$2:O195,1),"")</f>
        <v/>
      </c>
      <c r="Q195" t="str">
        <f>IFERROR(INDEX($M$2:$M$2388,MATCH(ROWS($P$2:P195),$P$2:$P$2388,0)),"")</f>
        <v/>
      </c>
    </row>
    <row r="196" spans="1:17" ht="15" x14ac:dyDescent="0.25">
      <c r="A196" s="10">
        <v>229</v>
      </c>
      <c r="B196" s="10" t="s">
        <v>2145</v>
      </c>
      <c r="C196" s="880">
        <f t="shared" si="16"/>
        <v>-46.934100000000001</v>
      </c>
      <c r="D196" s="880">
        <f t="shared" si="17"/>
        <v>-23.5488</v>
      </c>
      <c r="E196" s="10">
        <v>-46.934165999999998</v>
      </c>
      <c r="F196" s="10">
        <v>-23.548888999999999</v>
      </c>
      <c r="G196" s="10">
        <v>-3</v>
      </c>
      <c r="H196" s="10" t="s">
        <v>1739</v>
      </c>
      <c r="I196" s="10" t="s">
        <v>2050</v>
      </c>
      <c r="J196" s="10" t="s">
        <v>99</v>
      </c>
      <c r="K196" s="10" t="s">
        <v>2054</v>
      </c>
      <c r="L196" s="65" t="str">
        <f t="shared" si="18"/>
        <v>Itapevi|Brazil|-46,934166|-23,548889|-3:00 America</v>
      </c>
      <c r="M196" s="10" t="s">
        <v>2146</v>
      </c>
      <c r="N196" s="10">
        <f t="shared" si="15"/>
        <v>1</v>
      </c>
      <c r="O196">
        <f t="shared" si="19"/>
        <v>0</v>
      </c>
      <c r="P196" t="str">
        <f>IF(O196=1,COUNTIF($O$2:O196,1),"")</f>
        <v/>
      </c>
      <c r="Q196" t="str">
        <f>IFERROR(INDEX($M$2:$M$2388,MATCH(ROWS($P$2:P196),$P$2:$P$2388,0)),"")</f>
        <v/>
      </c>
    </row>
    <row r="197" spans="1:17" ht="15" x14ac:dyDescent="0.25">
      <c r="A197" s="10">
        <v>228</v>
      </c>
      <c r="B197" s="10" t="s">
        <v>2147</v>
      </c>
      <c r="C197" s="880">
        <f t="shared" si="16"/>
        <v>-46.348300000000002</v>
      </c>
      <c r="D197" s="880">
        <f t="shared" si="17"/>
        <v>-23.4861</v>
      </c>
      <c r="E197" s="10">
        <v>-46.348331000000002</v>
      </c>
      <c r="F197" s="10">
        <v>-23.486111000000001</v>
      </c>
      <c r="G197" s="10">
        <v>-3</v>
      </c>
      <c r="H197" s="10" t="s">
        <v>1739</v>
      </c>
      <c r="I197" s="10" t="s">
        <v>2050</v>
      </c>
      <c r="J197" s="10" t="s">
        <v>99</v>
      </c>
      <c r="K197" s="10" t="s">
        <v>2054</v>
      </c>
      <c r="L197" s="65" t="str">
        <f t="shared" si="18"/>
        <v>Itaquaquecetuba|Brazil|-46,348331|-23,486111|-3:00 America</v>
      </c>
      <c r="M197" s="10" t="s">
        <v>2148</v>
      </c>
      <c r="N197" s="10">
        <f t="shared" si="15"/>
        <v>1</v>
      </c>
      <c r="O197">
        <f t="shared" si="19"/>
        <v>0</v>
      </c>
      <c r="P197" t="str">
        <f>IF(O197=1,COUNTIF($O$2:O197,1),"")</f>
        <v/>
      </c>
      <c r="Q197" t="str">
        <f>IFERROR(INDEX($M$2:$M$2388,MATCH(ROWS($P$2:P197),$P$2:$P$2388,0)),"")</f>
        <v/>
      </c>
    </row>
    <row r="198" spans="1:17" ht="15" x14ac:dyDescent="0.25">
      <c r="A198" s="10">
        <v>167</v>
      </c>
      <c r="B198" s="10" t="s">
        <v>2149</v>
      </c>
      <c r="C198" s="880">
        <f t="shared" si="16"/>
        <v>-35.001300000000001</v>
      </c>
      <c r="D198" s="880">
        <f t="shared" si="17"/>
        <v>-8.1801999999999992</v>
      </c>
      <c r="E198" s="10">
        <v>-35.001389000000003</v>
      </c>
      <c r="F198" s="10">
        <v>-8.1802779999999995</v>
      </c>
      <c r="G198" s="10">
        <v>-3</v>
      </c>
      <c r="H198" s="10" t="s">
        <v>1739</v>
      </c>
      <c r="I198" s="10" t="s">
        <v>2050</v>
      </c>
      <c r="J198" s="10" t="s">
        <v>99</v>
      </c>
      <c r="K198" s="10" t="s">
        <v>92</v>
      </c>
      <c r="L198" s="65" t="str">
        <f t="shared" si="18"/>
        <v>Jaboatao|Brazil|-35,001389|-8,180278|-3:00 America</v>
      </c>
      <c r="M198" s="10" t="s">
        <v>2150</v>
      </c>
      <c r="N198" s="10">
        <f t="shared" si="15"/>
        <v>1</v>
      </c>
      <c r="O198">
        <f t="shared" si="19"/>
        <v>0</v>
      </c>
      <c r="P198" t="str">
        <f>IF(O198=1,COUNTIF($O$2:O198,1),"")</f>
        <v/>
      </c>
      <c r="Q198" t="str">
        <f>IFERROR(INDEX($M$2:$M$2388,MATCH(ROWS($P$2:P198),$P$2:$P$2388,0)),"")</f>
        <v/>
      </c>
    </row>
    <row r="199" spans="1:17" ht="15" x14ac:dyDescent="0.25">
      <c r="A199" s="10">
        <v>269</v>
      </c>
      <c r="B199" s="10" t="s">
        <v>2151</v>
      </c>
      <c r="C199" s="880">
        <f t="shared" si="16"/>
        <v>-35.014699999999998</v>
      </c>
      <c r="D199" s="880">
        <f t="shared" si="17"/>
        <v>-8.1127000000000002</v>
      </c>
      <c r="E199" s="10">
        <v>-35.014721000000002</v>
      </c>
      <c r="F199" s="10">
        <v>-8.1127780000000005</v>
      </c>
      <c r="G199" s="10">
        <v>-3</v>
      </c>
      <c r="H199" s="10" t="s">
        <v>1739</v>
      </c>
      <c r="I199" s="10" t="s">
        <v>2050</v>
      </c>
      <c r="J199" s="10" t="s">
        <v>99</v>
      </c>
      <c r="K199" s="10" t="s">
        <v>92</v>
      </c>
      <c r="L199" s="65" t="str">
        <f t="shared" si="18"/>
        <v>Jaboatao dos Guararapes|Brazil|-35,014721|-8,112778|-3:00 America</v>
      </c>
      <c r="M199" s="10" t="s">
        <v>2152</v>
      </c>
      <c r="N199" s="10">
        <f t="shared" si="15"/>
        <v>1</v>
      </c>
      <c r="O199">
        <f t="shared" si="19"/>
        <v>0</v>
      </c>
      <c r="P199" t="str">
        <f>IF(O199=1,COUNTIF($O$2:O199,1),"")</f>
        <v/>
      </c>
      <c r="Q199" t="str">
        <f>IFERROR(INDEX($M$2:$M$2388,MATCH(ROWS($P$2:P199),$P$2:$P$2388,0)),"")</f>
        <v/>
      </c>
    </row>
    <row r="200" spans="1:17" ht="15" x14ac:dyDescent="0.25">
      <c r="A200" s="10">
        <v>227</v>
      </c>
      <c r="B200" s="10" t="s">
        <v>2153</v>
      </c>
      <c r="C200" s="880">
        <f t="shared" si="16"/>
        <v>-45.965800000000002</v>
      </c>
      <c r="D200" s="880">
        <f t="shared" si="17"/>
        <v>-23.305199999999999</v>
      </c>
      <c r="E200" s="10">
        <v>-45.965831999999999</v>
      </c>
      <c r="F200" s="10">
        <v>-23.305277</v>
      </c>
      <c r="G200" s="10">
        <v>-3</v>
      </c>
      <c r="H200" s="10" t="s">
        <v>1739</v>
      </c>
      <c r="I200" s="10" t="s">
        <v>2050</v>
      </c>
      <c r="J200" s="10" t="s">
        <v>99</v>
      </c>
      <c r="K200" s="10" t="s">
        <v>2054</v>
      </c>
      <c r="L200" s="65" t="str">
        <f t="shared" si="18"/>
        <v>Jacarei|Brazil|-45,965832|-23,305277|-3:00 America</v>
      </c>
      <c r="M200" s="10" t="s">
        <v>2154</v>
      </c>
      <c r="N200" s="10">
        <f t="shared" si="15"/>
        <v>1</v>
      </c>
      <c r="O200">
        <f t="shared" si="19"/>
        <v>0</v>
      </c>
      <c r="P200" t="str">
        <f>IF(O200=1,COUNTIF($O$2:O200,1),"")</f>
        <v/>
      </c>
      <c r="Q200" t="str">
        <f>IFERROR(INDEX($M$2:$M$2388,MATCH(ROWS($P$2:P200),$P$2:$P$2388,0)),"")</f>
        <v/>
      </c>
    </row>
    <row r="201" spans="1:17" ht="15" x14ac:dyDescent="0.25">
      <c r="A201" s="10">
        <v>166</v>
      </c>
      <c r="B201" s="10" t="s">
        <v>2155</v>
      </c>
      <c r="C201" s="880">
        <f t="shared" si="16"/>
        <v>-34.863</v>
      </c>
      <c r="D201" s="880">
        <f t="shared" si="17"/>
        <v>-7.1150000000000002</v>
      </c>
      <c r="E201" s="10">
        <v>-34.863056</v>
      </c>
      <c r="F201" s="10">
        <v>-7.1150000000000002</v>
      </c>
      <c r="G201" s="10">
        <v>-3</v>
      </c>
      <c r="H201" s="10" t="s">
        <v>1739</v>
      </c>
      <c r="I201" s="10" t="s">
        <v>2050</v>
      </c>
      <c r="J201" s="10" t="s">
        <v>99</v>
      </c>
      <c r="K201" s="10" t="s">
        <v>92</v>
      </c>
      <c r="L201" s="65" t="str">
        <f t="shared" si="18"/>
        <v>Joao Pessoa|Brazil|-34,863056|-7,115000|-3:00 America</v>
      </c>
      <c r="M201" s="10" t="s">
        <v>2156</v>
      </c>
      <c r="N201" s="10">
        <f t="shared" si="15"/>
        <v>1</v>
      </c>
      <c r="O201">
        <f t="shared" si="19"/>
        <v>0</v>
      </c>
      <c r="P201" t="str">
        <f>IF(O201=1,COUNTIF($O$2:O201,1),"")</f>
        <v/>
      </c>
      <c r="Q201" t="str">
        <f>IFERROR(INDEX($M$2:$M$2388,MATCH(ROWS($P$2:P201),$P$2:$P$2388,0)),"")</f>
        <v/>
      </c>
    </row>
    <row r="202" spans="1:17" ht="15" x14ac:dyDescent="0.25">
      <c r="A202" s="10">
        <v>226</v>
      </c>
      <c r="B202" s="10" t="s">
        <v>2157</v>
      </c>
      <c r="C202" s="880">
        <f t="shared" si="16"/>
        <v>-48.845500000000001</v>
      </c>
      <c r="D202" s="880">
        <f t="shared" si="17"/>
        <v>-26.304400000000001</v>
      </c>
      <c r="E202" s="10">
        <v>-48.845554</v>
      </c>
      <c r="F202" s="10">
        <v>-26.304445000000001</v>
      </c>
      <c r="G202" s="10">
        <v>-3</v>
      </c>
      <c r="H202" s="10" t="s">
        <v>1739</v>
      </c>
      <c r="I202" s="10" t="s">
        <v>2050</v>
      </c>
      <c r="J202" s="10" t="s">
        <v>99</v>
      </c>
      <c r="K202" s="10" t="s">
        <v>2054</v>
      </c>
      <c r="L202" s="65" t="str">
        <f t="shared" si="18"/>
        <v>Joinville|Brazil|-48,845554|-26,304445|-3:00 America</v>
      </c>
      <c r="M202" s="10" t="s">
        <v>2158</v>
      </c>
      <c r="N202" s="10">
        <f t="shared" si="15"/>
        <v>1</v>
      </c>
      <c r="O202">
        <f t="shared" si="19"/>
        <v>0</v>
      </c>
      <c r="P202" t="str">
        <f>IF(O202=1,COUNTIF($O$2:O202,1),"")</f>
        <v/>
      </c>
      <c r="Q202" t="str">
        <f>IFERROR(INDEX($M$2:$M$2388,MATCH(ROWS($P$2:P202),$P$2:$P$2388,0)),"")</f>
        <v/>
      </c>
    </row>
    <row r="203" spans="1:17" ht="15" x14ac:dyDescent="0.25">
      <c r="A203" s="10">
        <v>165</v>
      </c>
      <c r="B203" s="10" t="s">
        <v>2159</v>
      </c>
      <c r="C203" s="880">
        <f t="shared" si="16"/>
        <v>-39.315199999999997</v>
      </c>
      <c r="D203" s="880">
        <f t="shared" si="17"/>
        <v>-7.2130000000000001</v>
      </c>
      <c r="E203" s="10">
        <v>-39.315277000000002</v>
      </c>
      <c r="F203" s="10">
        <v>-7.2130559999999999</v>
      </c>
      <c r="G203" s="10">
        <v>-3</v>
      </c>
      <c r="H203" s="10" t="s">
        <v>1739</v>
      </c>
      <c r="I203" s="10" t="s">
        <v>2050</v>
      </c>
      <c r="J203" s="10" t="s">
        <v>99</v>
      </c>
      <c r="K203" s="10" t="s">
        <v>2096</v>
      </c>
      <c r="L203" s="65" t="str">
        <f t="shared" si="18"/>
        <v>Juazeiro do Norte|Brazil|-39,315277|-7,213056|-3:00 America</v>
      </c>
      <c r="M203" s="10" t="s">
        <v>2160</v>
      </c>
      <c r="N203" s="10">
        <f t="shared" si="15"/>
        <v>1</v>
      </c>
      <c r="O203">
        <f t="shared" si="19"/>
        <v>0</v>
      </c>
      <c r="P203" t="str">
        <f>IF(O203=1,COUNTIF($O$2:O203,1),"")</f>
        <v/>
      </c>
      <c r="Q203" t="str">
        <f>IFERROR(INDEX($M$2:$M$2388,MATCH(ROWS($P$2:P203),$P$2:$P$2388,0)),"")</f>
        <v/>
      </c>
    </row>
    <row r="204" spans="1:17" ht="15" x14ac:dyDescent="0.25">
      <c r="A204" s="10">
        <v>225</v>
      </c>
      <c r="B204" s="10" t="s">
        <v>2161</v>
      </c>
      <c r="C204" s="880">
        <f t="shared" si="16"/>
        <v>-43.350200000000001</v>
      </c>
      <c r="D204" s="880">
        <f t="shared" si="17"/>
        <v>-21.764099999999999</v>
      </c>
      <c r="E204" s="10">
        <v>-43.350276999999998</v>
      </c>
      <c r="F204" s="10">
        <v>-21.764165999999999</v>
      </c>
      <c r="G204" s="10">
        <v>-3</v>
      </c>
      <c r="H204" s="10" t="s">
        <v>1739</v>
      </c>
      <c r="I204" s="10" t="s">
        <v>2050</v>
      </c>
      <c r="J204" s="10" t="s">
        <v>99</v>
      </c>
      <c r="K204" s="10" t="s">
        <v>2054</v>
      </c>
      <c r="L204" s="65" t="str">
        <f t="shared" si="18"/>
        <v>Juiz de Fora|Brazil|-43,350277|-21,764166|-3:00 America</v>
      </c>
      <c r="M204" s="10" t="s">
        <v>2162</v>
      </c>
      <c r="N204" s="10">
        <f t="shared" si="15"/>
        <v>1</v>
      </c>
      <c r="O204">
        <f t="shared" si="19"/>
        <v>0</v>
      </c>
      <c r="P204" t="str">
        <f>IF(O204=1,COUNTIF($O$2:O204,1),"")</f>
        <v/>
      </c>
      <c r="Q204" t="str">
        <f>IFERROR(INDEX($M$2:$M$2388,MATCH(ROWS($P$2:P204),$P$2:$P$2388,0)),"")</f>
        <v/>
      </c>
    </row>
    <row r="205" spans="1:17" ht="15" x14ac:dyDescent="0.25">
      <c r="A205" s="10">
        <v>224</v>
      </c>
      <c r="B205" s="10" t="s">
        <v>2163</v>
      </c>
      <c r="C205" s="880">
        <f t="shared" si="16"/>
        <v>-46.884099999999997</v>
      </c>
      <c r="D205" s="880">
        <f t="shared" si="17"/>
        <v>-23.186299999999999</v>
      </c>
      <c r="E205" s="10">
        <v>-46.884166999999998</v>
      </c>
      <c r="F205" s="10">
        <v>-23.186388000000001</v>
      </c>
      <c r="G205" s="10">
        <v>-3</v>
      </c>
      <c r="H205" s="10" t="s">
        <v>1739</v>
      </c>
      <c r="I205" s="10" t="s">
        <v>2050</v>
      </c>
      <c r="J205" s="10" t="s">
        <v>99</v>
      </c>
      <c r="K205" s="10" t="s">
        <v>2054</v>
      </c>
      <c r="L205" s="65" t="str">
        <f t="shared" si="18"/>
        <v>Jundiai|Brazil|-46,884167|-23,186388|-3:00 America</v>
      </c>
      <c r="M205" s="10" t="s">
        <v>2164</v>
      </c>
      <c r="N205" s="10">
        <f t="shared" si="15"/>
        <v>1</v>
      </c>
      <c r="O205">
        <f t="shared" si="19"/>
        <v>0</v>
      </c>
      <c r="P205" t="str">
        <f>IF(O205=1,COUNTIF($O$2:O205,1),"")</f>
        <v/>
      </c>
      <c r="Q205" t="str">
        <f>IFERROR(INDEX($M$2:$M$2388,MATCH(ROWS($P$2:P205),$P$2:$P$2388,0)),"")</f>
        <v/>
      </c>
    </row>
    <row r="206" spans="1:17" ht="15" x14ac:dyDescent="0.25">
      <c r="A206" s="10">
        <v>223</v>
      </c>
      <c r="B206" s="10" t="s">
        <v>2165</v>
      </c>
      <c r="C206" s="880">
        <f t="shared" si="16"/>
        <v>-47.401600000000002</v>
      </c>
      <c r="D206" s="880">
        <f t="shared" si="17"/>
        <v>-22.564699999999998</v>
      </c>
      <c r="E206" s="10">
        <v>-47.401668999999998</v>
      </c>
      <c r="F206" s="10">
        <v>-22.564722</v>
      </c>
      <c r="G206" s="10">
        <v>-3</v>
      </c>
      <c r="H206" s="10" t="s">
        <v>1739</v>
      </c>
      <c r="I206" s="10" t="s">
        <v>2050</v>
      </c>
      <c r="J206" s="10" t="s">
        <v>99</v>
      </c>
      <c r="K206" s="10" t="s">
        <v>2054</v>
      </c>
      <c r="L206" s="65" t="str">
        <f t="shared" si="18"/>
        <v>Limeira|Brazil|-47,401669|-22,564722|-3:00 America</v>
      </c>
      <c r="M206" s="10" t="s">
        <v>2166</v>
      </c>
      <c r="N206" s="10">
        <f t="shared" si="15"/>
        <v>1</v>
      </c>
      <c r="O206">
        <f t="shared" si="19"/>
        <v>0</v>
      </c>
      <c r="P206" t="str">
        <f>IF(O206=1,COUNTIF($O$2:O206,1),"")</f>
        <v/>
      </c>
      <c r="Q206" t="str">
        <f>IFERROR(INDEX($M$2:$M$2388,MATCH(ROWS($P$2:P206),$P$2:$P$2388,0)),"")</f>
        <v/>
      </c>
    </row>
    <row r="207" spans="1:17" ht="15" x14ac:dyDescent="0.25">
      <c r="A207" s="10">
        <v>222</v>
      </c>
      <c r="B207" s="10" t="s">
        <v>2167</v>
      </c>
      <c r="C207" s="880">
        <f t="shared" si="16"/>
        <v>-51.162700000000001</v>
      </c>
      <c r="D207" s="880">
        <f t="shared" si="17"/>
        <v>-23.310199999999998</v>
      </c>
      <c r="E207" s="10">
        <v>-51.162776999999998</v>
      </c>
      <c r="F207" s="10">
        <v>-23.310278</v>
      </c>
      <c r="G207" s="10">
        <v>-3</v>
      </c>
      <c r="H207" s="10" t="s">
        <v>1739</v>
      </c>
      <c r="I207" s="10" t="s">
        <v>2050</v>
      </c>
      <c r="J207" s="10" t="s">
        <v>99</v>
      </c>
      <c r="K207" s="10" t="s">
        <v>2054</v>
      </c>
      <c r="L207" s="65" t="str">
        <f t="shared" si="18"/>
        <v>Londrina|Brazil|-51,162777|-23,310278|-3:00 America</v>
      </c>
      <c r="M207" s="10" t="s">
        <v>2168</v>
      </c>
      <c r="N207" s="10">
        <f t="shared" si="15"/>
        <v>1</v>
      </c>
      <c r="O207">
        <f t="shared" si="19"/>
        <v>0</v>
      </c>
      <c r="P207" t="str">
        <f>IF(O207=1,COUNTIF($O$2:O207,1),"")</f>
        <v/>
      </c>
      <c r="Q207" t="str">
        <f>IFERROR(INDEX($M$2:$M$2388,MATCH(ROWS($P$2:P207),$P$2:$P$2388,0)),"")</f>
        <v/>
      </c>
    </row>
    <row r="208" spans="1:17" ht="15" x14ac:dyDescent="0.25">
      <c r="A208" s="10">
        <v>164</v>
      </c>
      <c r="B208" s="10" t="s">
        <v>2169</v>
      </c>
      <c r="C208" s="880">
        <f t="shared" si="16"/>
        <v>-51.066299999999998</v>
      </c>
      <c r="D208" s="880">
        <f t="shared" si="17"/>
        <v>3.8800000000000001E-2</v>
      </c>
      <c r="E208" s="10">
        <v>-51.066386999999999</v>
      </c>
      <c r="F208" s="10">
        <v>3.8889E-2</v>
      </c>
      <c r="G208" s="10">
        <v>-3</v>
      </c>
      <c r="H208" s="10" t="s">
        <v>1739</v>
      </c>
      <c r="I208" s="10" t="s">
        <v>2050</v>
      </c>
      <c r="J208" s="10" t="s">
        <v>99</v>
      </c>
      <c r="K208" s="10" t="s">
        <v>2051</v>
      </c>
      <c r="L208" s="65" t="str">
        <f t="shared" si="18"/>
        <v>Macapa|Brazil|-51,066387|0,038889|-3:00 America</v>
      </c>
      <c r="M208" s="10" t="s">
        <v>2170</v>
      </c>
      <c r="N208" s="10">
        <f t="shared" si="15"/>
        <v>1</v>
      </c>
      <c r="O208">
        <f t="shared" si="19"/>
        <v>0</v>
      </c>
      <c r="P208" t="str">
        <f>IF(O208=1,COUNTIF($O$2:O208,1),"")</f>
        <v/>
      </c>
      <c r="Q208" t="str">
        <f>IFERROR(INDEX($M$2:$M$2388,MATCH(ROWS($P$2:P208),$P$2:$P$2388,0)),"")</f>
        <v/>
      </c>
    </row>
    <row r="209" spans="1:17" ht="15" x14ac:dyDescent="0.25">
      <c r="A209" s="10">
        <v>163</v>
      </c>
      <c r="B209" s="10" t="s">
        <v>2171</v>
      </c>
      <c r="C209" s="880">
        <f t="shared" si="16"/>
        <v>-35.735199999999999</v>
      </c>
      <c r="D209" s="880">
        <f t="shared" si="17"/>
        <v>-9.6658000000000008</v>
      </c>
      <c r="E209" s="10">
        <v>-35.735278999999998</v>
      </c>
      <c r="F209" s="10">
        <v>-9.6658329999999992</v>
      </c>
      <c r="G209" s="10">
        <v>-3</v>
      </c>
      <c r="H209" s="10" t="s">
        <v>1739</v>
      </c>
      <c r="I209" s="10" t="s">
        <v>2050</v>
      </c>
      <c r="J209" s="10" t="s">
        <v>99</v>
      </c>
      <c r="K209" s="10" t="s">
        <v>2057</v>
      </c>
      <c r="L209" s="65" t="str">
        <f t="shared" si="18"/>
        <v>Maceio|Brazil|-35,735279|-9,665833|-3:00 America</v>
      </c>
      <c r="M209" s="10" t="s">
        <v>2172</v>
      </c>
      <c r="N209" s="10">
        <f t="shared" si="15"/>
        <v>1</v>
      </c>
      <c r="O209">
        <f t="shared" si="19"/>
        <v>0</v>
      </c>
      <c r="P209" t="str">
        <f>IF(O209=1,COUNTIF($O$2:O209,1),"")</f>
        <v/>
      </c>
      <c r="Q209" t="str">
        <f>IFERROR(INDEX($M$2:$M$2388,MATCH(ROWS($P$2:P209),$P$2:$P$2388,0)),"")</f>
        <v/>
      </c>
    </row>
    <row r="210" spans="1:17" ht="15" x14ac:dyDescent="0.25">
      <c r="A210" s="10">
        <v>267</v>
      </c>
      <c r="B210" s="10" t="s">
        <v>2173</v>
      </c>
      <c r="C210" s="880">
        <f t="shared" si="16"/>
        <v>-60.024999999999999</v>
      </c>
      <c r="D210" s="880">
        <f t="shared" si="17"/>
        <v>-3.1019000000000001</v>
      </c>
      <c r="E210" s="10">
        <v>-60.025002000000001</v>
      </c>
      <c r="F210" s="10">
        <v>-3.101944</v>
      </c>
      <c r="G210" s="10">
        <v>-4</v>
      </c>
      <c r="H210" s="10" t="s">
        <v>1733</v>
      </c>
      <c r="I210" s="10" t="s">
        <v>2050</v>
      </c>
      <c r="J210" s="10" t="s">
        <v>99</v>
      </c>
      <c r="K210" s="10" t="s">
        <v>2174</v>
      </c>
      <c r="L210" s="65" t="str">
        <f t="shared" si="18"/>
        <v>Manaus|Brazil|-60,025002|-3,101944|-4:00 America</v>
      </c>
      <c r="M210" s="10" t="s">
        <v>2175</v>
      </c>
      <c r="N210" s="10">
        <f t="shared" si="15"/>
        <v>1</v>
      </c>
      <c r="O210">
        <f t="shared" si="19"/>
        <v>0</v>
      </c>
      <c r="P210" t="str">
        <f>IF(O210=1,COUNTIF($O$2:O210,1),"")</f>
        <v/>
      </c>
      <c r="Q210" t="str">
        <f>IFERROR(INDEX($M$2:$M$2388,MATCH(ROWS($P$2:P210),$P$2:$P$2388,0)),"")</f>
        <v/>
      </c>
    </row>
    <row r="211" spans="1:17" ht="15" x14ac:dyDescent="0.25">
      <c r="A211" s="10">
        <v>221</v>
      </c>
      <c r="B211" s="10" t="s">
        <v>2176</v>
      </c>
      <c r="C211" s="880">
        <f t="shared" si="16"/>
        <v>-49.945799999999998</v>
      </c>
      <c r="D211" s="880">
        <f t="shared" si="17"/>
        <v>-22.213799999999999</v>
      </c>
      <c r="E211" s="10">
        <v>-49.945835000000002</v>
      </c>
      <c r="F211" s="10">
        <v>-22.213888000000001</v>
      </c>
      <c r="G211" s="10">
        <v>-3</v>
      </c>
      <c r="H211" s="10" t="s">
        <v>1739</v>
      </c>
      <c r="I211" s="10" t="s">
        <v>2050</v>
      </c>
      <c r="J211" s="10" t="s">
        <v>99</v>
      </c>
      <c r="K211" s="10" t="s">
        <v>2054</v>
      </c>
      <c r="L211" s="65" t="str">
        <f t="shared" si="18"/>
        <v>Marilia|Brazil|-49,945835|-22,213888|-3:00 America</v>
      </c>
      <c r="M211" s="10" t="s">
        <v>2177</v>
      </c>
      <c r="N211" s="10">
        <f t="shared" si="15"/>
        <v>1</v>
      </c>
      <c r="O211">
        <f t="shared" si="19"/>
        <v>0</v>
      </c>
      <c r="P211" t="str">
        <f>IF(O211=1,COUNTIF($O$2:O211,1),"")</f>
        <v/>
      </c>
      <c r="Q211" t="str">
        <f>IFERROR(INDEX($M$2:$M$2388,MATCH(ROWS($P$2:P211),$P$2:$P$2388,0)),"")</f>
        <v/>
      </c>
    </row>
    <row r="212" spans="1:17" ht="15" x14ac:dyDescent="0.25">
      <c r="A212" s="10">
        <v>220</v>
      </c>
      <c r="B212" s="10" t="s">
        <v>2178</v>
      </c>
      <c r="C212" s="880">
        <f t="shared" si="16"/>
        <v>-51.938600000000001</v>
      </c>
      <c r="D212" s="880">
        <f t="shared" si="17"/>
        <v>-23.4252</v>
      </c>
      <c r="E212" s="10">
        <v>-51.938609999999997</v>
      </c>
      <c r="F212" s="10">
        <v>-23.425277999999999</v>
      </c>
      <c r="G212" s="10">
        <v>-3</v>
      </c>
      <c r="H212" s="10" t="s">
        <v>1739</v>
      </c>
      <c r="I212" s="10" t="s">
        <v>2050</v>
      </c>
      <c r="J212" s="10" t="s">
        <v>99</v>
      </c>
      <c r="K212" s="10" t="s">
        <v>2054</v>
      </c>
      <c r="L212" s="65" t="str">
        <f t="shared" si="18"/>
        <v>Maringa|Brazil|-51,938610|-23,425278|-3:00 America</v>
      </c>
      <c r="M212" s="10" t="s">
        <v>2179</v>
      </c>
      <c r="N212" s="10">
        <f t="shared" si="15"/>
        <v>1</v>
      </c>
      <c r="O212">
        <f t="shared" si="19"/>
        <v>0</v>
      </c>
      <c r="P212" t="str">
        <f>IF(O212=1,COUNTIF($O$2:O212,1),"")</f>
        <v/>
      </c>
      <c r="Q212" t="str">
        <f>IFERROR(INDEX($M$2:$M$2388,MATCH(ROWS($P$2:P212),$P$2:$P$2388,0)),"")</f>
        <v/>
      </c>
    </row>
    <row r="213" spans="1:17" ht="15" x14ac:dyDescent="0.25">
      <c r="A213" s="10">
        <v>219</v>
      </c>
      <c r="B213" s="10" t="s">
        <v>2180</v>
      </c>
      <c r="C213" s="880">
        <f t="shared" si="16"/>
        <v>-46.461300000000001</v>
      </c>
      <c r="D213" s="880">
        <f t="shared" si="17"/>
        <v>-23.6677</v>
      </c>
      <c r="E213" s="10">
        <v>-46.461387999999999</v>
      </c>
      <c r="F213" s="10">
        <v>-23.667777999999998</v>
      </c>
      <c r="G213" s="10">
        <v>-3</v>
      </c>
      <c r="H213" s="10" t="s">
        <v>1739</v>
      </c>
      <c r="I213" s="10" t="s">
        <v>2050</v>
      </c>
      <c r="J213" s="10" t="s">
        <v>99</v>
      </c>
      <c r="K213" s="10" t="s">
        <v>2054</v>
      </c>
      <c r="L213" s="65" t="str">
        <f t="shared" si="18"/>
        <v>Maua|Brazil|-46,461388|-23,667778|-3:00 America</v>
      </c>
      <c r="M213" s="10" t="s">
        <v>2181</v>
      </c>
      <c r="N213" s="10">
        <f t="shared" si="15"/>
        <v>1</v>
      </c>
      <c r="O213">
        <f t="shared" si="19"/>
        <v>0</v>
      </c>
      <c r="P213" t="str">
        <f>IF(O213=1,COUNTIF($O$2:O213,1),"")</f>
        <v/>
      </c>
      <c r="Q213" t="str">
        <f>IFERROR(INDEX($M$2:$M$2388,MATCH(ROWS($P$2:P213),$P$2:$P$2388,0)),"")</f>
        <v/>
      </c>
    </row>
    <row r="214" spans="1:17" ht="15" x14ac:dyDescent="0.25">
      <c r="A214" s="10">
        <v>218</v>
      </c>
      <c r="B214" s="10" t="s">
        <v>2182</v>
      </c>
      <c r="C214" s="880">
        <f t="shared" si="16"/>
        <v>-46.188299999999998</v>
      </c>
      <c r="D214" s="880">
        <f t="shared" si="17"/>
        <v>-23.5227</v>
      </c>
      <c r="E214" s="10">
        <v>-46.188332000000003</v>
      </c>
      <c r="F214" s="10">
        <v>-23.522777999999999</v>
      </c>
      <c r="G214" s="10">
        <v>-3</v>
      </c>
      <c r="H214" s="10" t="s">
        <v>1739</v>
      </c>
      <c r="I214" s="10" t="s">
        <v>2050</v>
      </c>
      <c r="J214" s="10" t="s">
        <v>99</v>
      </c>
      <c r="K214" s="10" t="s">
        <v>2054</v>
      </c>
      <c r="L214" s="65" t="str">
        <f t="shared" si="18"/>
        <v>Moji das Cruzes|Brazil|-46,188332|-23,522778|-3:00 America</v>
      </c>
      <c r="M214" s="10" t="s">
        <v>2183</v>
      </c>
      <c r="N214" s="10">
        <f t="shared" si="15"/>
        <v>1</v>
      </c>
      <c r="O214">
        <f t="shared" si="19"/>
        <v>0</v>
      </c>
      <c r="P214" t="str">
        <f>IF(O214=1,COUNTIF($O$2:O214,1),"")</f>
        <v/>
      </c>
      <c r="Q214" t="str">
        <f>IFERROR(INDEX($M$2:$M$2388,MATCH(ROWS($P$2:P214),$P$2:$P$2388,0)),"")</f>
        <v/>
      </c>
    </row>
    <row r="215" spans="1:17" ht="15" x14ac:dyDescent="0.25">
      <c r="A215" s="10">
        <v>217</v>
      </c>
      <c r="B215" s="10" t="s">
        <v>2184</v>
      </c>
      <c r="C215" s="880">
        <f t="shared" si="16"/>
        <v>-43.861600000000003</v>
      </c>
      <c r="D215" s="880">
        <f t="shared" si="17"/>
        <v>-16.734999999999999</v>
      </c>
      <c r="E215" s="10">
        <v>-43.861668000000002</v>
      </c>
      <c r="F215" s="10">
        <v>-16.735001</v>
      </c>
      <c r="G215" s="10">
        <v>-3</v>
      </c>
      <c r="H215" s="10" t="s">
        <v>1739</v>
      </c>
      <c r="I215" s="10" t="s">
        <v>2050</v>
      </c>
      <c r="J215" s="10" t="s">
        <v>99</v>
      </c>
      <c r="K215" s="10" t="s">
        <v>2116</v>
      </c>
      <c r="L215" s="65" t="str">
        <f t="shared" si="18"/>
        <v>Montes Claros|Brazil|-43,861668|-16,735001|-3:00 America</v>
      </c>
      <c r="M215" s="10" t="s">
        <v>2185</v>
      </c>
      <c r="N215" s="10">
        <f t="shared" si="15"/>
        <v>1</v>
      </c>
      <c r="O215">
        <f t="shared" si="19"/>
        <v>0</v>
      </c>
      <c r="P215" t="str">
        <f>IF(O215=1,COUNTIF($O$2:O215,1),"")</f>
        <v/>
      </c>
      <c r="Q215" t="str">
        <f>IFERROR(INDEX($M$2:$M$2388,MATCH(ROWS($P$2:P215),$P$2:$P$2388,0)),"")</f>
        <v/>
      </c>
    </row>
    <row r="216" spans="1:17" ht="15" x14ac:dyDescent="0.25">
      <c r="A216" s="10">
        <v>162</v>
      </c>
      <c r="B216" s="10" t="s">
        <v>2186</v>
      </c>
      <c r="C216" s="880">
        <f t="shared" si="16"/>
        <v>-37.344099999999997</v>
      </c>
      <c r="D216" s="880">
        <f t="shared" si="17"/>
        <v>-5.1875</v>
      </c>
      <c r="E216" s="10">
        <v>-37.344166000000001</v>
      </c>
      <c r="F216" s="10">
        <v>-5.1875</v>
      </c>
      <c r="G216" s="10">
        <v>-3</v>
      </c>
      <c r="H216" s="10" t="s">
        <v>1739</v>
      </c>
      <c r="I216" s="10" t="s">
        <v>2050</v>
      </c>
      <c r="J216" s="10" t="s">
        <v>99</v>
      </c>
      <c r="K216" s="10" t="s">
        <v>2096</v>
      </c>
      <c r="L216" s="65" t="str">
        <f t="shared" si="18"/>
        <v>Mossoro|Brazil|-37,344166|-5,187500|-3:00 America</v>
      </c>
      <c r="M216" s="10" t="s">
        <v>2187</v>
      </c>
      <c r="N216" s="10">
        <f t="shared" si="15"/>
        <v>1</v>
      </c>
      <c r="O216">
        <f t="shared" si="19"/>
        <v>0</v>
      </c>
      <c r="P216" t="str">
        <f>IF(O216=1,COUNTIF($O$2:O216,1),"")</f>
        <v/>
      </c>
      <c r="Q216" t="str">
        <f>IFERROR(INDEX($M$2:$M$2388,MATCH(ROWS($P$2:P216),$P$2:$P$2388,0)),"")</f>
        <v/>
      </c>
    </row>
    <row r="217" spans="1:17" ht="15" x14ac:dyDescent="0.25">
      <c r="A217" s="10">
        <v>161</v>
      </c>
      <c r="B217" s="10" t="s">
        <v>1291</v>
      </c>
      <c r="C217" s="880">
        <f t="shared" si="16"/>
        <v>-35.209400000000002</v>
      </c>
      <c r="D217" s="880">
        <f t="shared" si="17"/>
        <v>-5.7949999999999999</v>
      </c>
      <c r="E217" s="10">
        <v>-35.209446</v>
      </c>
      <c r="F217" s="10">
        <v>-5.7949999999999999</v>
      </c>
      <c r="G217" s="10">
        <v>-3</v>
      </c>
      <c r="H217" s="10" t="s">
        <v>1739</v>
      </c>
      <c r="I217" s="10" t="s">
        <v>2050</v>
      </c>
      <c r="J217" s="10" t="s">
        <v>99</v>
      </c>
      <c r="K217" s="10" t="s">
        <v>92</v>
      </c>
      <c r="L217" s="65" t="str">
        <f t="shared" si="18"/>
        <v>Natal|Brazil|-35,209446|-5,795000|-3:00 America</v>
      </c>
      <c r="M217" s="10" t="s">
        <v>2188</v>
      </c>
      <c r="N217" s="10">
        <f t="shared" si="15"/>
        <v>1</v>
      </c>
      <c r="O217">
        <f t="shared" si="19"/>
        <v>0</v>
      </c>
      <c r="P217" t="str">
        <f>IF(O217=1,COUNTIF($O$2:O217,1),"")</f>
        <v/>
      </c>
      <c r="Q217" t="str">
        <f>IFERROR(INDEX($M$2:$M$2388,MATCH(ROWS($P$2:P217),$P$2:$P$2388,0)),"")</f>
        <v/>
      </c>
    </row>
    <row r="218" spans="1:17" ht="15" x14ac:dyDescent="0.25">
      <c r="A218" s="10">
        <v>216</v>
      </c>
      <c r="B218" s="10" t="s">
        <v>2189</v>
      </c>
      <c r="C218" s="880">
        <f t="shared" si="16"/>
        <v>-43.1036</v>
      </c>
      <c r="D218" s="880">
        <f t="shared" si="17"/>
        <v>-22.883299999999998</v>
      </c>
      <c r="E218" s="10">
        <v>-43.103611000000001</v>
      </c>
      <c r="F218" s="10">
        <v>-22.883333</v>
      </c>
      <c r="G218" s="10">
        <v>-3</v>
      </c>
      <c r="H218" s="10" t="s">
        <v>1739</v>
      </c>
      <c r="I218" s="10" t="s">
        <v>2050</v>
      </c>
      <c r="J218" s="10" t="s">
        <v>99</v>
      </c>
      <c r="K218" s="10" t="s">
        <v>2054</v>
      </c>
      <c r="L218" s="65" t="str">
        <f t="shared" si="18"/>
        <v>Niteroi|Brazil|-43,103611|-22,883333|-3:00 America</v>
      </c>
      <c r="M218" s="10" t="s">
        <v>2190</v>
      </c>
      <c r="N218" s="10">
        <f t="shared" si="15"/>
        <v>1</v>
      </c>
      <c r="O218">
        <f t="shared" si="19"/>
        <v>0</v>
      </c>
      <c r="P218" t="str">
        <f>IF(O218=1,COUNTIF($O$2:O218,1),"")</f>
        <v/>
      </c>
      <c r="Q218" t="str">
        <f>IFERROR(INDEX($M$2:$M$2388,MATCH(ROWS($P$2:P218),$P$2:$P$2388,0)),"")</f>
        <v/>
      </c>
    </row>
    <row r="219" spans="1:17" ht="15" x14ac:dyDescent="0.25">
      <c r="A219" s="10">
        <v>215</v>
      </c>
      <c r="B219" s="10" t="s">
        <v>2191</v>
      </c>
      <c r="C219" s="880">
        <f t="shared" si="16"/>
        <v>-43.451099999999997</v>
      </c>
      <c r="D219" s="880">
        <f t="shared" si="17"/>
        <v>-22.7591</v>
      </c>
      <c r="E219" s="10">
        <v>-43.451110999999997</v>
      </c>
      <c r="F219" s="10">
        <v>-22.759167000000001</v>
      </c>
      <c r="G219" s="10">
        <v>-3</v>
      </c>
      <c r="H219" s="10" t="s">
        <v>1739</v>
      </c>
      <c r="I219" s="10" t="s">
        <v>2050</v>
      </c>
      <c r="J219" s="10" t="s">
        <v>99</v>
      </c>
      <c r="K219" s="10" t="s">
        <v>2054</v>
      </c>
      <c r="L219" s="65" t="str">
        <f t="shared" si="18"/>
        <v>Nova Iguacu|Brazil|-43,451111|-22,759167|-3:00 America</v>
      </c>
      <c r="M219" s="10" t="s">
        <v>2192</v>
      </c>
      <c r="N219" s="10">
        <f t="shared" si="15"/>
        <v>1</v>
      </c>
      <c r="O219">
        <f t="shared" si="19"/>
        <v>0</v>
      </c>
      <c r="P219" t="str">
        <f>IF(O219=1,COUNTIF($O$2:O219,1),"")</f>
        <v/>
      </c>
      <c r="Q219" t="str">
        <f>IFERROR(INDEX($M$2:$M$2388,MATCH(ROWS($P$2:P219),$P$2:$P$2388,0)),"")</f>
        <v/>
      </c>
    </row>
    <row r="220" spans="1:17" ht="15" x14ac:dyDescent="0.25">
      <c r="A220" s="10">
        <v>214</v>
      </c>
      <c r="B220" s="10" t="s">
        <v>2193</v>
      </c>
      <c r="C220" s="880">
        <f t="shared" si="16"/>
        <v>-51.130499999999998</v>
      </c>
      <c r="D220" s="880">
        <f t="shared" si="17"/>
        <v>-29.6783</v>
      </c>
      <c r="E220" s="10">
        <v>-51.130553999999997</v>
      </c>
      <c r="F220" s="10">
        <v>-29.678332999999999</v>
      </c>
      <c r="G220" s="10">
        <v>-3</v>
      </c>
      <c r="H220" s="10" t="s">
        <v>1739</v>
      </c>
      <c r="I220" s="10" t="s">
        <v>2050</v>
      </c>
      <c r="J220" s="10" t="s">
        <v>99</v>
      </c>
      <c r="K220" s="10" t="s">
        <v>2054</v>
      </c>
      <c r="L220" s="65" t="str">
        <f t="shared" si="18"/>
        <v>Novo Hamburgo|Brazil|-51,130554|-29,678333|-3:00 America</v>
      </c>
      <c r="M220" s="10" t="s">
        <v>2194</v>
      </c>
      <c r="N220" s="10">
        <f t="shared" si="15"/>
        <v>1</v>
      </c>
      <c r="O220">
        <f t="shared" si="19"/>
        <v>0</v>
      </c>
      <c r="P220" t="str">
        <f>IF(O220=1,COUNTIF($O$2:O220,1),"")</f>
        <v/>
      </c>
      <c r="Q220" t="str">
        <f>IFERROR(INDEX($M$2:$M$2388,MATCH(ROWS($P$2:P220),$P$2:$P$2388,0)),"")</f>
        <v/>
      </c>
    </row>
    <row r="221" spans="1:17" ht="15" x14ac:dyDescent="0.25">
      <c r="A221" s="10">
        <v>160</v>
      </c>
      <c r="B221" s="10" t="s">
        <v>2195</v>
      </c>
      <c r="C221" s="880">
        <f t="shared" si="16"/>
        <v>-34.855200000000004</v>
      </c>
      <c r="D221" s="880">
        <f t="shared" si="17"/>
        <v>-8.0088000000000008</v>
      </c>
      <c r="E221" s="10">
        <v>-34.855277999999998</v>
      </c>
      <c r="F221" s="10">
        <v>-8.0088889999999999</v>
      </c>
      <c r="G221" s="10">
        <v>-3</v>
      </c>
      <c r="H221" s="10" t="s">
        <v>1739</v>
      </c>
      <c r="I221" s="10" t="s">
        <v>2050</v>
      </c>
      <c r="J221" s="10" t="s">
        <v>99</v>
      </c>
      <c r="K221" s="10" t="s">
        <v>92</v>
      </c>
      <c r="L221" s="65" t="str">
        <f t="shared" si="18"/>
        <v>Olinda|Brazil|-34,855278|-8,008889|-3:00 America</v>
      </c>
      <c r="M221" s="10" t="s">
        <v>2196</v>
      </c>
      <c r="N221" s="10">
        <f t="shared" si="15"/>
        <v>1</v>
      </c>
      <c r="O221">
        <f t="shared" si="19"/>
        <v>0</v>
      </c>
      <c r="P221" t="str">
        <f>IF(O221=1,COUNTIF($O$2:O221,1),"")</f>
        <v/>
      </c>
      <c r="Q221" t="str">
        <f>IFERROR(INDEX($M$2:$M$2388,MATCH(ROWS($P$2:P221),$P$2:$P$2388,0)),"")</f>
        <v/>
      </c>
    </row>
    <row r="222" spans="1:17" ht="15" x14ac:dyDescent="0.25">
      <c r="A222" s="10">
        <v>213</v>
      </c>
      <c r="B222" s="10" t="s">
        <v>2197</v>
      </c>
      <c r="C222" s="880">
        <f t="shared" si="16"/>
        <v>-46.791600000000003</v>
      </c>
      <c r="D222" s="880">
        <f t="shared" si="17"/>
        <v>-23.532399999999999</v>
      </c>
      <c r="E222" s="10">
        <v>-46.791668000000001</v>
      </c>
      <c r="F222" s="10">
        <v>-23.532499000000001</v>
      </c>
      <c r="G222" s="10">
        <v>-3</v>
      </c>
      <c r="H222" s="10" t="s">
        <v>1739</v>
      </c>
      <c r="I222" s="10" t="s">
        <v>2050</v>
      </c>
      <c r="J222" s="10" t="s">
        <v>99</v>
      </c>
      <c r="K222" s="10" t="s">
        <v>2054</v>
      </c>
      <c r="L222" s="65" t="str">
        <f t="shared" si="18"/>
        <v>Osasco|Brazil|-46,791668|-23,532499|-3:00 America</v>
      </c>
      <c r="M222" s="10" t="s">
        <v>2198</v>
      </c>
      <c r="N222" s="10">
        <f t="shared" si="15"/>
        <v>1</v>
      </c>
      <c r="O222">
        <f t="shared" si="19"/>
        <v>0</v>
      </c>
      <c r="P222" t="str">
        <f>IF(O222=1,COUNTIF($O$2:O222,1),"")</f>
        <v/>
      </c>
      <c r="Q222" t="str">
        <f>IFERROR(INDEX($M$2:$M$2388,MATCH(ROWS($P$2:P222),$P$2:$P$2388,0)),"")</f>
        <v/>
      </c>
    </row>
    <row r="223" spans="1:17" ht="15" x14ac:dyDescent="0.25">
      <c r="A223" s="10">
        <v>159</v>
      </c>
      <c r="B223" s="10" t="s">
        <v>2199</v>
      </c>
      <c r="C223" s="880">
        <f t="shared" si="16"/>
        <v>-34.872999999999998</v>
      </c>
      <c r="D223" s="880">
        <f t="shared" si="17"/>
        <v>-7.9408000000000003</v>
      </c>
      <c r="E223" s="10">
        <v>-34.873055000000001</v>
      </c>
      <c r="F223" s="10">
        <v>-7.9408339999999997</v>
      </c>
      <c r="G223" s="10">
        <v>-3</v>
      </c>
      <c r="H223" s="10" t="s">
        <v>1739</v>
      </c>
      <c r="I223" s="10" t="s">
        <v>2050</v>
      </c>
      <c r="J223" s="10" t="s">
        <v>99</v>
      </c>
      <c r="K223" s="10" t="s">
        <v>92</v>
      </c>
      <c r="L223" s="65" t="str">
        <f t="shared" si="18"/>
        <v>Paulista|Brazil|-34,873055|-7,940834|-3:00 America</v>
      </c>
      <c r="M223" s="10" t="s">
        <v>2200</v>
      </c>
      <c r="N223" s="10">
        <f t="shared" si="15"/>
        <v>1</v>
      </c>
      <c r="O223">
        <f t="shared" si="19"/>
        <v>0</v>
      </c>
      <c r="P223" t="str">
        <f>IF(O223=1,COUNTIF($O$2:O223,1),"")</f>
        <v/>
      </c>
      <c r="Q223" t="str">
        <f>IFERROR(INDEX($M$2:$M$2388,MATCH(ROWS($P$2:P223),$P$2:$P$2388,0)),"")</f>
        <v/>
      </c>
    </row>
    <row r="224" spans="1:17" ht="15" x14ac:dyDescent="0.25">
      <c r="A224" s="10">
        <v>212</v>
      </c>
      <c r="B224" s="10" t="s">
        <v>2201</v>
      </c>
      <c r="C224" s="880">
        <f t="shared" si="16"/>
        <v>-52.342399999999998</v>
      </c>
      <c r="D224" s="880">
        <f t="shared" si="17"/>
        <v>-31.771899999999999</v>
      </c>
      <c r="E224" s="10">
        <v>-52.342498999999997</v>
      </c>
      <c r="F224" s="10">
        <v>-31.771944000000001</v>
      </c>
      <c r="G224" s="10">
        <v>-3</v>
      </c>
      <c r="H224" s="10" t="s">
        <v>1739</v>
      </c>
      <c r="I224" s="10" t="s">
        <v>2050</v>
      </c>
      <c r="J224" s="10" t="s">
        <v>99</v>
      </c>
      <c r="K224" s="10" t="s">
        <v>2054</v>
      </c>
      <c r="L224" s="65" t="str">
        <f t="shared" si="18"/>
        <v>Pelotas|Brazil|-52,342499|-31,771944|-3:00 America</v>
      </c>
      <c r="M224" s="10" t="s">
        <v>2202</v>
      </c>
      <c r="N224" s="10">
        <f t="shared" si="15"/>
        <v>1</v>
      </c>
      <c r="O224">
        <f t="shared" si="19"/>
        <v>0</v>
      </c>
      <c r="P224" t="str">
        <f>IF(O224=1,COUNTIF($O$2:O224,1),"")</f>
        <v/>
      </c>
      <c r="Q224" t="str">
        <f>IFERROR(INDEX($M$2:$M$2388,MATCH(ROWS($P$2:P224),$P$2:$P$2388,0)),"")</f>
        <v/>
      </c>
    </row>
    <row r="225" spans="1:17" ht="15" x14ac:dyDescent="0.25">
      <c r="A225" s="10">
        <v>211</v>
      </c>
      <c r="B225" s="10" t="s">
        <v>2203</v>
      </c>
      <c r="C225" s="880">
        <f t="shared" si="16"/>
        <v>-43.178600000000003</v>
      </c>
      <c r="D225" s="880">
        <f t="shared" si="17"/>
        <v>-22.504899999999999</v>
      </c>
      <c r="E225" s="10">
        <v>-43.178612000000001</v>
      </c>
      <c r="F225" s="10">
        <v>-22.504999000000002</v>
      </c>
      <c r="G225" s="10">
        <v>-3</v>
      </c>
      <c r="H225" s="10" t="s">
        <v>1739</v>
      </c>
      <c r="I225" s="10" t="s">
        <v>2050</v>
      </c>
      <c r="J225" s="10" t="s">
        <v>99</v>
      </c>
      <c r="K225" s="10" t="s">
        <v>2054</v>
      </c>
      <c r="L225" s="65" t="str">
        <f t="shared" si="18"/>
        <v>Petropolis|Brazil|-43,178612|-22,504999|-3:00 America</v>
      </c>
      <c r="M225" s="10" t="s">
        <v>2204</v>
      </c>
      <c r="N225" s="10">
        <f t="shared" si="15"/>
        <v>1</v>
      </c>
      <c r="O225">
        <f t="shared" si="19"/>
        <v>0</v>
      </c>
      <c r="P225" t="str">
        <f>IF(O225=1,COUNTIF($O$2:O225,1),"")</f>
        <v/>
      </c>
      <c r="Q225" t="str">
        <f>IFERROR(INDEX($M$2:$M$2388,MATCH(ROWS($P$2:P225),$P$2:$P$2388,0)),"")</f>
        <v/>
      </c>
    </row>
    <row r="226" spans="1:17" ht="15" x14ac:dyDescent="0.25">
      <c r="A226" s="10">
        <v>210</v>
      </c>
      <c r="B226" s="10" t="s">
        <v>2205</v>
      </c>
      <c r="C226" s="880">
        <f t="shared" si="16"/>
        <v>-47.649099999999997</v>
      </c>
      <c r="D226" s="880">
        <f t="shared" si="17"/>
        <v>-22.725200000000001</v>
      </c>
      <c r="E226" s="10">
        <v>-47.649166000000001</v>
      </c>
      <c r="F226" s="10">
        <v>-22.725276999999998</v>
      </c>
      <c r="G226" s="10">
        <v>-3</v>
      </c>
      <c r="H226" s="10" t="s">
        <v>1739</v>
      </c>
      <c r="I226" s="10" t="s">
        <v>2050</v>
      </c>
      <c r="J226" s="10" t="s">
        <v>99</v>
      </c>
      <c r="K226" s="10" t="s">
        <v>2054</v>
      </c>
      <c r="L226" s="65" t="str">
        <f t="shared" si="18"/>
        <v>Piracicaba|Brazil|-47,649166|-22,725277|-3:00 America</v>
      </c>
      <c r="M226" s="10" t="s">
        <v>2206</v>
      </c>
      <c r="N226" s="10">
        <f t="shared" si="15"/>
        <v>1</v>
      </c>
      <c r="O226">
        <f t="shared" si="19"/>
        <v>0</v>
      </c>
      <c r="P226" t="str">
        <f>IF(O226=1,COUNTIF($O$2:O226,1),"")</f>
        <v/>
      </c>
      <c r="Q226" t="str">
        <f>IFERROR(INDEX($M$2:$M$2388,MATCH(ROWS($P$2:P226),$P$2:$P$2388,0)),"")</f>
        <v/>
      </c>
    </row>
    <row r="227" spans="1:17" ht="15" x14ac:dyDescent="0.25">
      <c r="A227" s="10">
        <v>209</v>
      </c>
      <c r="B227" s="10" t="s">
        <v>2207</v>
      </c>
      <c r="C227" s="880">
        <f t="shared" si="16"/>
        <v>-50.161900000000003</v>
      </c>
      <c r="D227" s="880">
        <f t="shared" si="17"/>
        <v>-25.094899999999999</v>
      </c>
      <c r="E227" s="10">
        <v>-50.161945000000003</v>
      </c>
      <c r="F227" s="10">
        <v>-25.094999000000001</v>
      </c>
      <c r="G227" s="10">
        <v>-3</v>
      </c>
      <c r="H227" s="10" t="s">
        <v>1739</v>
      </c>
      <c r="I227" s="10" t="s">
        <v>2050</v>
      </c>
      <c r="J227" s="10" t="s">
        <v>99</v>
      </c>
      <c r="K227" s="10" t="s">
        <v>2054</v>
      </c>
      <c r="L227" s="65" t="str">
        <f t="shared" si="18"/>
        <v>Ponta Grossa|Brazil|-50,161945|-25,094999|-3:00 America</v>
      </c>
      <c r="M227" s="10" t="s">
        <v>2208</v>
      </c>
      <c r="N227" s="10">
        <f t="shared" si="15"/>
        <v>1</v>
      </c>
      <c r="O227">
        <f t="shared" si="19"/>
        <v>0</v>
      </c>
      <c r="P227" t="str">
        <f>IF(O227=1,COUNTIF($O$2:O227,1),"")</f>
        <v/>
      </c>
      <c r="Q227" t="str">
        <f>IFERROR(INDEX($M$2:$M$2388,MATCH(ROWS($P$2:P227),$P$2:$P$2388,0)),"")</f>
        <v/>
      </c>
    </row>
    <row r="228" spans="1:17" ht="15" x14ac:dyDescent="0.25">
      <c r="A228" s="10">
        <v>208</v>
      </c>
      <c r="B228" s="10" t="s">
        <v>2209</v>
      </c>
      <c r="C228" s="880">
        <f t="shared" si="16"/>
        <v>-51.23</v>
      </c>
      <c r="D228" s="880">
        <f t="shared" si="17"/>
        <v>-30.033000000000001</v>
      </c>
      <c r="E228" s="10">
        <v>-51.23</v>
      </c>
      <c r="F228" s="10">
        <v>-30.033055999999998</v>
      </c>
      <c r="G228" s="10">
        <v>-3</v>
      </c>
      <c r="H228" s="10" t="s">
        <v>1739</v>
      </c>
      <c r="I228" s="10" t="s">
        <v>2050</v>
      </c>
      <c r="J228" s="10" t="s">
        <v>99</v>
      </c>
      <c r="K228" s="10" t="s">
        <v>2054</v>
      </c>
      <c r="L228" s="65" t="str">
        <f t="shared" si="18"/>
        <v>Porto Alegre|Brazil|-51,230000|-30,033056|-3:00 America</v>
      </c>
      <c r="M228" s="10" t="s">
        <v>2210</v>
      </c>
      <c r="N228" s="10">
        <f t="shared" si="15"/>
        <v>1</v>
      </c>
      <c r="O228">
        <f t="shared" si="19"/>
        <v>0</v>
      </c>
      <c r="P228" t="str">
        <f>IF(O228=1,COUNTIF($O$2:O228,1),"")</f>
        <v/>
      </c>
      <c r="Q228" t="str">
        <f>IFERROR(INDEX($M$2:$M$2388,MATCH(ROWS($P$2:P228),$P$2:$P$2388,0)),"")</f>
        <v/>
      </c>
    </row>
    <row r="229" spans="1:17" ht="15" x14ac:dyDescent="0.25">
      <c r="A229" s="10">
        <v>266</v>
      </c>
      <c r="B229" s="10" t="s">
        <v>2211</v>
      </c>
      <c r="C229" s="880">
        <f t="shared" si="16"/>
        <v>-63.903799999999997</v>
      </c>
      <c r="D229" s="880">
        <f t="shared" si="17"/>
        <v>-8.7619000000000007</v>
      </c>
      <c r="E229" s="10">
        <v>-63.903888999999999</v>
      </c>
      <c r="F229" s="10">
        <v>-8.7619450000000008</v>
      </c>
      <c r="G229" s="10">
        <v>-4</v>
      </c>
      <c r="H229" s="10" t="s">
        <v>1733</v>
      </c>
      <c r="I229" s="10" t="s">
        <v>2050</v>
      </c>
      <c r="J229" s="10" t="s">
        <v>99</v>
      </c>
      <c r="K229" s="10" t="s">
        <v>2212</v>
      </c>
      <c r="L229" s="65" t="str">
        <f t="shared" si="18"/>
        <v>Porto Velho|Brazil|-63,903889|-8,761945|-4:00 America</v>
      </c>
      <c r="M229" s="10" t="s">
        <v>2213</v>
      </c>
      <c r="N229" s="10">
        <f t="shared" si="15"/>
        <v>1</v>
      </c>
      <c r="O229">
        <f t="shared" si="19"/>
        <v>0</v>
      </c>
      <c r="P229" t="str">
        <f>IF(O229=1,COUNTIF($O$2:O229,1),"")</f>
        <v/>
      </c>
      <c r="Q229" t="str">
        <f>IFERROR(INDEX($M$2:$M$2388,MATCH(ROWS($P$2:P229),$P$2:$P$2388,0)),"")</f>
        <v/>
      </c>
    </row>
    <row r="230" spans="1:17" ht="15" x14ac:dyDescent="0.25">
      <c r="A230" s="10">
        <v>207</v>
      </c>
      <c r="B230" s="10" t="s">
        <v>2214</v>
      </c>
      <c r="C230" s="880">
        <f t="shared" si="16"/>
        <v>-46.402700000000003</v>
      </c>
      <c r="D230" s="880">
        <f t="shared" si="17"/>
        <v>-24.005800000000001</v>
      </c>
      <c r="E230" s="10">
        <v>-46.402779000000002</v>
      </c>
      <c r="F230" s="10">
        <v>-24.005832999999999</v>
      </c>
      <c r="G230" s="10">
        <v>-3</v>
      </c>
      <c r="H230" s="10" t="s">
        <v>1739</v>
      </c>
      <c r="I230" s="10" t="s">
        <v>2050</v>
      </c>
      <c r="J230" s="10" t="s">
        <v>99</v>
      </c>
      <c r="K230" s="10" t="s">
        <v>2054</v>
      </c>
      <c r="L230" s="65" t="str">
        <f t="shared" si="18"/>
        <v>Praia Grande|Brazil|-46,402779|-24,005833|-3:00 America</v>
      </c>
      <c r="M230" s="10" t="s">
        <v>2215</v>
      </c>
      <c r="N230" s="10">
        <f t="shared" si="15"/>
        <v>1</v>
      </c>
      <c r="O230">
        <f t="shared" si="19"/>
        <v>0</v>
      </c>
      <c r="P230" t="str">
        <f>IF(O230=1,COUNTIF($O$2:O230,1),"")</f>
        <v/>
      </c>
      <c r="Q230" t="str">
        <f>IFERROR(INDEX($M$2:$M$2388,MATCH(ROWS($P$2:P230),$P$2:$P$2388,0)),"")</f>
        <v/>
      </c>
    </row>
    <row r="231" spans="1:17" ht="15" x14ac:dyDescent="0.25">
      <c r="A231" s="10">
        <v>206</v>
      </c>
      <c r="B231" s="10" t="s">
        <v>2216</v>
      </c>
      <c r="C231" s="880">
        <f t="shared" si="16"/>
        <v>-51.388800000000003</v>
      </c>
      <c r="D231" s="880">
        <f t="shared" si="17"/>
        <v>-22.125499999999999</v>
      </c>
      <c r="E231" s="10">
        <v>-51.388888999999999</v>
      </c>
      <c r="F231" s="10">
        <v>-22.125554999999999</v>
      </c>
      <c r="G231" s="10">
        <v>-3</v>
      </c>
      <c r="H231" s="10" t="s">
        <v>1739</v>
      </c>
      <c r="I231" s="10" t="s">
        <v>2050</v>
      </c>
      <c r="J231" s="10" t="s">
        <v>99</v>
      </c>
      <c r="K231" s="10" t="s">
        <v>2054</v>
      </c>
      <c r="L231" s="65" t="str">
        <f t="shared" si="18"/>
        <v>Presidente Prudente|Brazil|-51,388889|-22,125555|-3:00 America</v>
      </c>
      <c r="M231" s="10" t="s">
        <v>2217</v>
      </c>
      <c r="N231" s="10">
        <f t="shared" si="15"/>
        <v>1</v>
      </c>
      <c r="O231">
        <f t="shared" si="19"/>
        <v>0</v>
      </c>
      <c r="P231" t="str">
        <f>IF(O231=1,COUNTIF($O$2:O231,1),"")</f>
        <v/>
      </c>
      <c r="Q231" t="str">
        <f>IFERROR(INDEX($M$2:$M$2388,MATCH(ROWS($P$2:P231),$P$2:$P$2388,0)),"")</f>
        <v/>
      </c>
    </row>
    <row r="232" spans="1:17" ht="15" x14ac:dyDescent="0.25">
      <c r="A232" s="10">
        <v>158</v>
      </c>
      <c r="B232" s="10" t="s">
        <v>101</v>
      </c>
      <c r="C232" s="880">
        <f t="shared" si="16"/>
        <v>-34.881100000000004</v>
      </c>
      <c r="D232" s="880">
        <f t="shared" si="17"/>
        <v>-8.0538000000000007</v>
      </c>
      <c r="E232" s="10">
        <v>-34.881110999999997</v>
      </c>
      <c r="F232" s="10">
        <v>-8.0538889999999999</v>
      </c>
      <c r="G232" s="10">
        <v>-3</v>
      </c>
      <c r="H232" s="10" t="s">
        <v>1739</v>
      </c>
      <c r="I232" s="10" t="s">
        <v>2050</v>
      </c>
      <c r="J232" s="10" t="s">
        <v>99</v>
      </c>
      <c r="K232" s="10" t="s">
        <v>92</v>
      </c>
      <c r="L232" s="65" t="str">
        <f t="shared" si="18"/>
        <v>Recife|Brazil|-34,881111|-8,053889|-3:00 America</v>
      </c>
      <c r="M232" s="10" t="s">
        <v>100</v>
      </c>
      <c r="N232" s="10">
        <f t="shared" si="15"/>
        <v>1</v>
      </c>
      <c r="O232">
        <f t="shared" si="19"/>
        <v>1</v>
      </c>
      <c r="P232">
        <f>IF(O232=1,COUNTIF($O$2:O232,1),"")</f>
        <v>1</v>
      </c>
      <c r="Q232" t="str">
        <f>IFERROR(INDEX($M$2:$M$2388,MATCH(ROWS($P$2:P232),$P$2:$P$2388,0)),"")</f>
        <v/>
      </c>
    </row>
    <row r="233" spans="1:17" ht="15" x14ac:dyDescent="0.25">
      <c r="A233" s="10">
        <v>205</v>
      </c>
      <c r="B233" s="10" t="s">
        <v>2218</v>
      </c>
      <c r="C233" s="880">
        <f t="shared" si="16"/>
        <v>-44.086599999999997</v>
      </c>
      <c r="D233" s="880">
        <f t="shared" si="17"/>
        <v>-19.7669</v>
      </c>
      <c r="E233" s="10">
        <v>-44.086666000000001</v>
      </c>
      <c r="F233" s="10">
        <v>-19.766945</v>
      </c>
      <c r="G233" s="10">
        <v>-3</v>
      </c>
      <c r="H233" s="10" t="s">
        <v>1739</v>
      </c>
      <c r="I233" s="10" t="s">
        <v>2050</v>
      </c>
      <c r="J233" s="10" t="s">
        <v>99</v>
      </c>
      <c r="K233" s="10" t="s">
        <v>2054</v>
      </c>
      <c r="L233" s="65" t="str">
        <f t="shared" si="18"/>
        <v>Ribeirao das Neves|Brazil|-44,086666|-19,766945|-3:00 America</v>
      </c>
      <c r="M233" s="10" t="s">
        <v>2219</v>
      </c>
      <c r="N233" s="10">
        <f t="shared" si="15"/>
        <v>1</v>
      </c>
      <c r="O233">
        <f t="shared" si="19"/>
        <v>0</v>
      </c>
      <c r="P233" t="str">
        <f>IF(O233=1,COUNTIF($O$2:O233,1),"")</f>
        <v/>
      </c>
      <c r="Q233" t="str">
        <f>IFERROR(INDEX($M$2:$M$2388,MATCH(ROWS($P$2:P233),$P$2:$P$2388,0)),"")</f>
        <v/>
      </c>
    </row>
    <row r="234" spans="1:17" ht="15" x14ac:dyDescent="0.25">
      <c r="A234" s="10">
        <v>204</v>
      </c>
      <c r="B234" s="10" t="s">
        <v>2220</v>
      </c>
      <c r="C234" s="880">
        <f t="shared" si="16"/>
        <v>-47.810200000000002</v>
      </c>
      <c r="D234" s="880">
        <f t="shared" si="17"/>
        <v>-21.177499999999998</v>
      </c>
      <c r="E234" s="10">
        <v>-47.810276000000002</v>
      </c>
      <c r="F234" s="10">
        <v>-21.177499999999998</v>
      </c>
      <c r="G234" s="10">
        <v>-3</v>
      </c>
      <c r="H234" s="10" t="s">
        <v>1739</v>
      </c>
      <c r="I234" s="10" t="s">
        <v>2050</v>
      </c>
      <c r="J234" s="10" t="s">
        <v>99</v>
      </c>
      <c r="K234" s="10" t="s">
        <v>2054</v>
      </c>
      <c r="L234" s="65" t="str">
        <f t="shared" si="18"/>
        <v>Ribeirao Preto|Brazil|-47,810276|-21,177500|-3:00 America</v>
      </c>
      <c r="M234" s="10" t="s">
        <v>2221</v>
      </c>
      <c r="N234" s="10">
        <f t="shared" si="15"/>
        <v>1</v>
      </c>
      <c r="O234">
        <f t="shared" si="19"/>
        <v>0</v>
      </c>
      <c r="P234" t="str">
        <f>IF(O234=1,COUNTIF($O$2:O234,1),"")</f>
        <v/>
      </c>
      <c r="Q234" t="str">
        <f>IFERROR(INDEX($M$2:$M$2388,MATCH(ROWS($P$2:P234),$P$2:$P$2388,0)),"")</f>
        <v/>
      </c>
    </row>
    <row r="235" spans="1:17" ht="15" x14ac:dyDescent="0.25">
      <c r="A235" s="10">
        <v>265</v>
      </c>
      <c r="B235" s="10" t="s">
        <v>2222</v>
      </c>
      <c r="C235" s="880">
        <f t="shared" si="16"/>
        <v>-67.809899999999999</v>
      </c>
      <c r="D235" s="880">
        <f t="shared" si="17"/>
        <v>-9.9747000000000003</v>
      </c>
      <c r="E235" s="10">
        <v>-67.809997999999993</v>
      </c>
      <c r="F235" s="10">
        <v>-9.9747219999999999</v>
      </c>
      <c r="G235" s="10">
        <v>-5</v>
      </c>
      <c r="H235" s="10" t="s">
        <v>1873</v>
      </c>
      <c r="I235" s="10" t="s">
        <v>2050</v>
      </c>
      <c r="J235" s="10" t="s">
        <v>99</v>
      </c>
      <c r="K235" s="10" t="s">
        <v>2223</v>
      </c>
      <c r="L235" s="65" t="str">
        <f t="shared" si="18"/>
        <v>Rio Branco|Brazil|-67,809998|-9,974722|-5:00 America</v>
      </c>
      <c r="M235" s="10" t="s">
        <v>2224</v>
      </c>
      <c r="N235" s="10">
        <f t="shared" si="15"/>
        <v>1</v>
      </c>
      <c r="O235">
        <f t="shared" si="19"/>
        <v>0</v>
      </c>
      <c r="P235" t="str">
        <f>IF(O235=1,COUNTIF($O$2:O235,1),"")</f>
        <v/>
      </c>
      <c r="Q235" t="str">
        <f>IFERROR(INDEX($M$2:$M$2388,MATCH(ROWS($P$2:P235),$P$2:$P$2388,0)),"")</f>
        <v/>
      </c>
    </row>
    <row r="236" spans="1:17" ht="15" x14ac:dyDescent="0.25">
      <c r="A236" s="10">
        <v>203</v>
      </c>
      <c r="B236" s="10" t="s">
        <v>2225</v>
      </c>
      <c r="C236" s="880">
        <f t="shared" si="16"/>
        <v>-43.207500000000003</v>
      </c>
      <c r="D236" s="880">
        <f t="shared" si="17"/>
        <v>-22.902699999999999</v>
      </c>
      <c r="E236" s="10">
        <v>-43.207500000000003</v>
      </c>
      <c r="F236" s="10">
        <v>-22.902778999999999</v>
      </c>
      <c r="G236" s="10">
        <v>-3</v>
      </c>
      <c r="H236" s="10" t="s">
        <v>1739</v>
      </c>
      <c r="I236" s="10" t="s">
        <v>2050</v>
      </c>
      <c r="J236" s="10" t="s">
        <v>99</v>
      </c>
      <c r="K236" s="10" t="s">
        <v>2054</v>
      </c>
      <c r="L236" s="65" t="str">
        <f t="shared" si="18"/>
        <v>Rio de Janeiro|Brazil|-43,207500|-22,902779|-3:00 America</v>
      </c>
      <c r="M236" s="10" t="s">
        <v>2226</v>
      </c>
      <c r="N236" s="10">
        <f t="shared" si="15"/>
        <v>1</v>
      </c>
      <c r="O236">
        <f t="shared" si="19"/>
        <v>0</v>
      </c>
      <c r="P236" t="str">
        <f>IF(O236=1,COUNTIF($O$2:O236,1),"")</f>
        <v/>
      </c>
      <c r="Q236" t="str">
        <f>IFERROR(INDEX($M$2:$M$2388,MATCH(ROWS($P$2:P236),$P$2:$P$2388,0)),"")</f>
        <v/>
      </c>
    </row>
    <row r="237" spans="1:17" ht="15" x14ac:dyDescent="0.25">
      <c r="A237" s="10">
        <v>202</v>
      </c>
      <c r="B237" s="10" t="s">
        <v>2227</v>
      </c>
      <c r="C237" s="880">
        <f t="shared" si="16"/>
        <v>-38.510800000000003</v>
      </c>
      <c r="D237" s="880">
        <f t="shared" si="17"/>
        <v>-12.9711</v>
      </c>
      <c r="E237" s="10">
        <v>-38.510834000000003</v>
      </c>
      <c r="F237" s="10">
        <v>-12.971111000000001</v>
      </c>
      <c r="G237" s="10">
        <v>-3</v>
      </c>
      <c r="H237" s="10" t="s">
        <v>1739</v>
      </c>
      <c r="I237" s="10" t="s">
        <v>2050</v>
      </c>
      <c r="J237" s="10" t="s">
        <v>99</v>
      </c>
      <c r="K237" s="10" t="s">
        <v>2116</v>
      </c>
      <c r="L237" s="65" t="str">
        <f t="shared" si="18"/>
        <v>Salvador|Brazil|-38,510834|-12,971111|-3:00 America</v>
      </c>
      <c r="M237" s="10" t="s">
        <v>2228</v>
      </c>
      <c r="N237" s="10">
        <f t="shared" si="15"/>
        <v>1</v>
      </c>
      <c r="O237">
        <f t="shared" si="19"/>
        <v>0</v>
      </c>
      <c r="P237" t="str">
        <f>IF(O237=1,COUNTIF($O$2:O237,1),"")</f>
        <v/>
      </c>
      <c r="Q237" t="str">
        <f>IFERROR(INDEX($M$2:$M$2388,MATCH(ROWS($P$2:P237),$P$2:$P$2388,0)),"")</f>
        <v/>
      </c>
    </row>
    <row r="238" spans="1:17" ht="15" x14ac:dyDescent="0.25">
      <c r="A238" s="10">
        <v>201</v>
      </c>
      <c r="B238" s="10" t="s">
        <v>2229</v>
      </c>
      <c r="C238" s="880">
        <f t="shared" si="16"/>
        <v>-43.851300000000002</v>
      </c>
      <c r="D238" s="880">
        <f t="shared" si="17"/>
        <v>-19.7697</v>
      </c>
      <c r="E238" s="10">
        <v>-43.851387000000003</v>
      </c>
      <c r="F238" s="10">
        <v>-19.769722000000002</v>
      </c>
      <c r="G238" s="10">
        <v>-3</v>
      </c>
      <c r="H238" s="10" t="s">
        <v>1739</v>
      </c>
      <c r="I238" s="10" t="s">
        <v>2050</v>
      </c>
      <c r="J238" s="10" t="s">
        <v>99</v>
      </c>
      <c r="K238" s="10" t="s">
        <v>2054</v>
      </c>
      <c r="L238" s="65" t="str">
        <f t="shared" si="18"/>
        <v>Santa Luzia|Brazil|-43,851387|-19,769722|-3:00 America</v>
      </c>
      <c r="M238" s="10" t="s">
        <v>2230</v>
      </c>
      <c r="N238" s="10">
        <f t="shared" si="15"/>
        <v>1</v>
      </c>
      <c r="O238">
        <f t="shared" si="19"/>
        <v>0</v>
      </c>
      <c r="P238" t="str">
        <f>IF(O238=1,COUNTIF($O$2:O238,1),"")</f>
        <v/>
      </c>
      <c r="Q238" t="str">
        <f>IFERROR(INDEX($M$2:$M$2388,MATCH(ROWS($P$2:P238),$P$2:$P$2388,0)),"")</f>
        <v/>
      </c>
    </row>
    <row r="239" spans="1:17" ht="15" x14ac:dyDescent="0.25">
      <c r="A239" s="10">
        <v>200</v>
      </c>
      <c r="B239" s="10" t="s">
        <v>2231</v>
      </c>
      <c r="C239" s="880">
        <f t="shared" si="16"/>
        <v>-53.806899999999999</v>
      </c>
      <c r="D239" s="880">
        <f t="shared" si="17"/>
        <v>-29.684100000000001</v>
      </c>
      <c r="E239" s="10">
        <v>-53.806946000000003</v>
      </c>
      <c r="F239" s="10">
        <v>-29.684166000000001</v>
      </c>
      <c r="G239" s="10">
        <v>-3</v>
      </c>
      <c r="H239" s="10" t="s">
        <v>1739</v>
      </c>
      <c r="I239" s="10" t="s">
        <v>2050</v>
      </c>
      <c r="J239" s="10" t="s">
        <v>99</v>
      </c>
      <c r="K239" s="10" t="s">
        <v>2054</v>
      </c>
      <c r="L239" s="65" t="str">
        <f t="shared" si="18"/>
        <v>Santa Maria|Brazil|-53,806946|-29,684166|-3:00 America</v>
      </c>
      <c r="M239" s="10" t="s">
        <v>2232</v>
      </c>
      <c r="N239" s="10">
        <f t="shared" si="15"/>
        <v>1</v>
      </c>
      <c r="O239">
        <f t="shared" si="19"/>
        <v>0</v>
      </c>
      <c r="P239" t="str">
        <f>IF(O239=1,COUNTIF($O$2:O239,1),"")</f>
        <v/>
      </c>
      <c r="Q239" t="str">
        <f>IFERROR(INDEX($M$2:$M$2388,MATCH(ROWS($P$2:P239),$P$2:$P$2388,0)),"")</f>
        <v/>
      </c>
    </row>
    <row r="240" spans="1:17" ht="15" x14ac:dyDescent="0.25">
      <c r="A240" s="10">
        <v>199</v>
      </c>
      <c r="B240" s="10" t="s">
        <v>2233</v>
      </c>
      <c r="C240" s="880">
        <f t="shared" si="16"/>
        <v>-46.5383</v>
      </c>
      <c r="D240" s="880">
        <f t="shared" si="17"/>
        <v>-23.663799999999998</v>
      </c>
      <c r="E240" s="10">
        <v>-46.538333999999999</v>
      </c>
      <c r="F240" s="10">
        <v>-23.663889000000001</v>
      </c>
      <c r="G240" s="10">
        <v>-3</v>
      </c>
      <c r="H240" s="10" t="s">
        <v>1739</v>
      </c>
      <c r="I240" s="10" t="s">
        <v>2050</v>
      </c>
      <c r="J240" s="10" t="s">
        <v>99</v>
      </c>
      <c r="K240" s="10" t="s">
        <v>2054</v>
      </c>
      <c r="L240" s="65" t="str">
        <f t="shared" si="18"/>
        <v>Santo Andre|Brazil|-46,538334|-23,663889|-3:00 America</v>
      </c>
      <c r="M240" s="10" t="s">
        <v>2234</v>
      </c>
      <c r="N240" s="10">
        <f t="shared" si="15"/>
        <v>1</v>
      </c>
      <c r="O240">
        <f t="shared" si="19"/>
        <v>0</v>
      </c>
      <c r="P240" t="str">
        <f>IF(O240=1,COUNTIF($O$2:O240,1),"")</f>
        <v/>
      </c>
      <c r="Q240" t="str">
        <f>IFERROR(INDEX($M$2:$M$2388,MATCH(ROWS($P$2:P240),$P$2:$P$2388,0)),"")</f>
        <v/>
      </c>
    </row>
    <row r="241" spans="1:17" ht="15" x14ac:dyDescent="0.25">
      <c r="A241" s="10">
        <v>198</v>
      </c>
      <c r="B241" s="10" t="s">
        <v>2235</v>
      </c>
      <c r="C241" s="880">
        <f t="shared" si="16"/>
        <v>-46.333599999999997</v>
      </c>
      <c r="D241" s="880">
        <f t="shared" si="17"/>
        <v>-23.960799999999999</v>
      </c>
      <c r="E241" s="10">
        <v>-46.333610999999998</v>
      </c>
      <c r="F241" s="10">
        <v>-23.960833000000001</v>
      </c>
      <c r="G241" s="10">
        <v>-3</v>
      </c>
      <c r="H241" s="10" t="s">
        <v>1739</v>
      </c>
      <c r="I241" s="10" t="s">
        <v>2050</v>
      </c>
      <c r="J241" s="10" t="s">
        <v>99</v>
      </c>
      <c r="K241" s="10" t="s">
        <v>2054</v>
      </c>
      <c r="L241" s="65" t="str">
        <f t="shared" si="18"/>
        <v>Santos|Brazil|-46,333611|-23,960833|-3:00 America</v>
      </c>
      <c r="M241" s="10" t="s">
        <v>2236</v>
      </c>
      <c r="N241" s="10">
        <f t="shared" si="15"/>
        <v>1</v>
      </c>
      <c r="O241">
        <f t="shared" si="19"/>
        <v>0</v>
      </c>
      <c r="P241" t="str">
        <f>IF(O241=1,COUNTIF($O$2:O241,1),"")</f>
        <v/>
      </c>
      <c r="Q241" t="str">
        <f>IFERROR(INDEX($M$2:$M$2388,MATCH(ROWS($P$2:P241),$P$2:$P$2388,0)),"")</f>
        <v/>
      </c>
    </row>
    <row r="242" spans="1:17" ht="15" x14ac:dyDescent="0.25">
      <c r="A242" s="10">
        <v>197</v>
      </c>
      <c r="B242" s="10" t="s">
        <v>2237</v>
      </c>
      <c r="C242" s="880">
        <f t="shared" si="16"/>
        <v>-46.564900000000002</v>
      </c>
      <c r="D242" s="880">
        <f t="shared" si="17"/>
        <v>-23.6938</v>
      </c>
      <c r="E242" s="10">
        <v>-46.564999</v>
      </c>
      <c r="F242" s="10">
        <v>-23.69389</v>
      </c>
      <c r="G242" s="10">
        <v>-3</v>
      </c>
      <c r="H242" s="10" t="s">
        <v>1739</v>
      </c>
      <c r="I242" s="10" t="s">
        <v>2050</v>
      </c>
      <c r="J242" s="10" t="s">
        <v>99</v>
      </c>
      <c r="K242" s="10" t="s">
        <v>2054</v>
      </c>
      <c r="L242" s="65" t="str">
        <f t="shared" si="18"/>
        <v>Sao Bernardo do Campo|Brazil|-46,564999|-23,693890|-3:00 America</v>
      </c>
      <c r="M242" s="10" t="s">
        <v>2238</v>
      </c>
      <c r="N242" s="10">
        <f t="shared" si="15"/>
        <v>1</v>
      </c>
      <c r="O242">
        <f t="shared" si="19"/>
        <v>0</v>
      </c>
      <c r="P242" t="str">
        <f>IF(O242=1,COUNTIF($O$2:O242,1),"")</f>
        <v/>
      </c>
      <c r="Q242" t="str">
        <f>IFERROR(INDEX($M$2:$M$2388,MATCH(ROWS($P$2:P242),$P$2:$P$2388,0)),"")</f>
        <v/>
      </c>
    </row>
    <row r="243" spans="1:17" ht="15" x14ac:dyDescent="0.25">
      <c r="A243" s="10">
        <v>196</v>
      </c>
      <c r="B243" s="10" t="s">
        <v>2239</v>
      </c>
      <c r="C243" s="880">
        <f t="shared" si="16"/>
        <v>-47.890799999999999</v>
      </c>
      <c r="D243" s="880">
        <f t="shared" si="17"/>
        <v>-22.017499999999998</v>
      </c>
      <c r="E243" s="10">
        <v>-47.890835000000003</v>
      </c>
      <c r="F243" s="10">
        <v>-22.017499999999998</v>
      </c>
      <c r="G243" s="10">
        <v>-3</v>
      </c>
      <c r="H243" s="10" t="s">
        <v>1739</v>
      </c>
      <c r="I243" s="10" t="s">
        <v>2050</v>
      </c>
      <c r="J243" s="10" t="s">
        <v>99</v>
      </c>
      <c r="K243" s="10" t="s">
        <v>2054</v>
      </c>
      <c r="L243" s="65" t="str">
        <f t="shared" si="18"/>
        <v>Sao Carlos|Brazil|-47,890835|-22,017500|-3:00 America</v>
      </c>
      <c r="M243" s="10" t="s">
        <v>2240</v>
      </c>
      <c r="N243" s="10">
        <f t="shared" si="15"/>
        <v>1</v>
      </c>
      <c r="O243">
        <f t="shared" si="19"/>
        <v>0</v>
      </c>
      <c r="P243" t="str">
        <f>IF(O243=1,COUNTIF($O$2:O243,1),"")</f>
        <v/>
      </c>
      <c r="Q243" t="str">
        <f>IFERROR(INDEX($M$2:$M$2388,MATCH(ROWS($P$2:P243),$P$2:$P$2388,0)),"")</f>
        <v/>
      </c>
    </row>
    <row r="244" spans="1:17" ht="15" x14ac:dyDescent="0.25">
      <c r="A244" s="10">
        <v>195</v>
      </c>
      <c r="B244" s="10" t="s">
        <v>2241</v>
      </c>
      <c r="C244" s="880">
        <f t="shared" si="16"/>
        <v>-43.372199999999999</v>
      </c>
      <c r="D244" s="880">
        <f t="shared" si="17"/>
        <v>-22.803799999999999</v>
      </c>
      <c r="E244" s="10">
        <v>-43.372222999999998</v>
      </c>
      <c r="F244" s="10">
        <v>-22.803888000000001</v>
      </c>
      <c r="G244" s="10">
        <v>-3</v>
      </c>
      <c r="H244" s="10" t="s">
        <v>1739</v>
      </c>
      <c r="I244" s="10" t="s">
        <v>2050</v>
      </c>
      <c r="J244" s="10" t="s">
        <v>99</v>
      </c>
      <c r="K244" s="10" t="s">
        <v>2054</v>
      </c>
      <c r="L244" s="65" t="str">
        <f t="shared" si="18"/>
        <v>Sao Joao de Meriti|Brazil|-43,372223|-22,803888|-3:00 America</v>
      </c>
      <c r="M244" s="10" t="s">
        <v>2242</v>
      </c>
      <c r="N244" s="10">
        <f t="shared" si="15"/>
        <v>1</v>
      </c>
      <c r="O244">
        <f t="shared" si="19"/>
        <v>0</v>
      </c>
      <c r="P244" t="str">
        <f>IF(O244=1,COUNTIF($O$2:O244,1),"")</f>
        <v/>
      </c>
      <c r="Q244" t="str">
        <f>IFERROR(INDEX($M$2:$M$2388,MATCH(ROWS($P$2:P244),$P$2:$P$2388,0)),"")</f>
        <v/>
      </c>
    </row>
    <row r="245" spans="1:17" ht="15" x14ac:dyDescent="0.25">
      <c r="A245" s="10">
        <v>194</v>
      </c>
      <c r="B245" s="10" t="s">
        <v>2243</v>
      </c>
      <c r="C245" s="880">
        <f t="shared" si="16"/>
        <v>-49.379399999999997</v>
      </c>
      <c r="D245" s="880">
        <f t="shared" si="17"/>
        <v>-20.819700000000001</v>
      </c>
      <c r="E245" s="10">
        <v>-49.379443999999999</v>
      </c>
      <c r="F245" s="10">
        <v>-20.819723</v>
      </c>
      <c r="G245" s="10">
        <v>-3</v>
      </c>
      <c r="H245" s="10" t="s">
        <v>1739</v>
      </c>
      <c r="I245" s="10" t="s">
        <v>2050</v>
      </c>
      <c r="J245" s="10" t="s">
        <v>99</v>
      </c>
      <c r="K245" s="10" t="s">
        <v>2054</v>
      </c>
      <c r="L245" s="65" t="str">
        <f t="shared" si="18"/>
        <v>Sao Jose do Rio Preto|Brazil|-49,379444|-20,819723|-3:00 America</v>
      </c>
      <c r="M245" s="10" t="s">
        <v>2244</v>
      </c>
      <c r="N245" s="10">
        <f t="shared" si="15"/>
        <v>1</v>
      </c>
      <c r="O245">
        <f t="shared" si="19"/>
        <v>0</v>
      </c>
      <c r="P245" t="str">
        <f>IF(O245=1,COUNTIF($O$2:O245,1),"")</f>
        <v/>
      </c>
      <c r="Q245" t="str">
        <f>IFERROR(INDEX($M$2:$M$2388,MATCH(ROWS($P$2:P245),$P$2:$P$2388,0)),"")</f>
        <v/>
      </c>
    </row>
    <row r="246" spans="1:17" ht="15" x14ac:dyDescent="0.25">
      <c r="A246" s="10">
        <v>193</v>
      </c>
      <c r="B246" s="10" t="s">
        <v>2245</v>
      </c>
      <c r="C246" s="880">
        <f t="shared" si="16"/>
        <v>-45.886899999999997</v>
      </c>
      <c r="D246" s="880">
        <f t="shared" si="17"/>
        <v>-23.179400000000001</v>
      </c>
      <c r="E246" s="10">
        <v>-45.886944</v>
      </c>
      <c r="F246" s="10">
        <v>-23.179445000000001</v>
      </c>
      <c r="G246" s="10">
        <v>-3</v>
      </c>
      <c r="H246" s="10" t="s">
        <v>1739</v>
      </c>
      <c r="I246" s="10" t="s">
        <v>2050</v>
      </c>
      <c r="J246" s="10" t="s">
        <v>99</v>
      </c>
      <c r="K246" s="10" t="s">
        <v>2054</v>
      </c>
      <c r="L246" s="65" t="str">
        <f t="shared" si="18"/>
        <v>Sao Jose dos Campos|Brazil|-45,886944|-23,179445|-3:00 America</v>
      </c>
      <c r="M246" s="10" t="s">
        <v>2246</v>
      </c>
      <c r="N246" s="10">
        <f t="shared" si="15"/>
        <v>1</v>
      </c>
      <c r="O246">
        <f t="shared" si="19"/>
        <v>0</v>
      </c>
      <c r="P246" t="str">
        <f>IF(O246=1,COUNTIF($O$2:O246,1),"")</f>
        <v/>
      </c>
      <c r="Q246" t="str">
        <f>IFERROR(INDEX($M$2:$M$2388,MATCH(ROWS($P$2:P246),$P$2:$P$2388,0)),"")</f>
        <v/>
      </c>
    </row>
    <row r="247" spans="1:17" ht="15" x14ac:dyDescent="0.25">
      <c r="A247" s="10">
        <v>192</v>
      </c>
      <c r="B247" s="10" t="s">
        <v>2247</v>
      </c>
      <c r="C247" s="880">
        <f t="shared" si="16"/>
        <v>-51.147199999999998</v>
      </c>
      <c r="D247" s="880">
        <f t="shared" si="17"/>
        <v>-29.760200000000001</v>
      </c>
      <c r="E247" s="10">
        <v>-51.147221000000002</v>
      </c>
      <c r="F247" s="10">
        <v>-29.760279000000001</v>
      </c>
      <c r="G247" s="10">
        <v>-3</v>
      </c>
      <c r="H247" s="10" t="s">
        <v>1739</v>
      </c>
      <c r="I247" s="10" t="s">
        <v>2050</v>
      </c>
      <c r="J247" s="10" t="s">
        <v>99</v>
      </c>
      <c r="K247" s="10" t="s">
        <v>2054</v>
      </c>
      <c r="L247" s="65" t="str">
        <f t="shared" si="18"/>
        <v>Sao Leopoldo|Brazil|-51,147221|-29,760279|-3:00 America</v>
      </c>
      <c r="M247" s="10" t="s">
        <v>2248</v>
      </c>
      <c r="N247" s="10">
        <f t="shared" si="15"/>
        <v>1</v>
      </c>
      <c r="O247">
        <f t="shared" si="19"/>
        <v>0</v>
      </c>
      <c r="P247" t="str">
        <f>IF(O247=1,COUNTIF($O$2:O247,1),"")</f>
        <v/>
      </c>
      <c r="Q247" t="str">
        <f>IFERROR(INDEX($M$2:$M$2388,MATCH(ROWS($P$2:P247),$P$2:$P$2388,0)),"")</f>
        <v/>
      </c>
    </row>
    <row r="248" spans="1:17" ht="15" x14ac:dyDescent="0.25">
      <c r="A248" s="10">
        <v>157</v>
      </c>
      <c r="B248" s="10" t="s">
        <v>2249</v>
      </c>
      <c r="C248" s="880">
        <f t="shared" si="16"/>
        <v>-44.302700000000002</v>
      </c>
      <c r="D248" s="880">
        <f t="shared" si="17"/>
        <v>-2.5297000000000001</v>
      </c>
      <c r="E248" s="10">
        <v>-44.302776000000001</v>
      </c>
      <c r="F248" s="10">
        <v>-2.529722</v>
      </c>
      <c r="G248" s="10">
        <v>-3</v>
      </c>
      <c r="H248" s="10" t="s">
        <v>1739</v>
      </c>
      <c r="I248" s="10" t="s">
        <v>2050</v>
      </c>
      <c r="J248" s="10" t="s">
        <v>99</v>
      </c>
      <c r="K248" s="10" t="s">
        <v>2051</v>
      </c>
      <c r="L248" s="65" t="str">
        <f t="shared" si="18"/>
        <v>Sao Luis|Brazil|-44,302776|-2,529722|-3:00 America</v>
      </c>
      <c r="M248" s="10" t="s">
        <v>2250</v>
      </c>
      <c r="N248" s="10">
        <f t="shared" si="15"/>
        <v>1</v>
      </c>
      <c r="O248">
        <f t="shared" si="19"/>
        <v>0</v>
      </c>
      <c r="P248" t="str">
        <f>IF(O248=1,COUNTIF($O$2:O248,1),"")</f>
        <v/>
      </c>
      <c r="Q248" t="str">
        <f>IFERROR(INDEX($M$2:$M$2388,MATCH(ROWS($P$2:P248),$P$2:$P$2388,0)),"")</f>
        <v/>
      </c>
    </row>
    <row r="249" spans="1:17" ht="15" x14ac:dyDescent="0.25">
      <c r="A249" s="10">
        <v>191</v>
      </c>
      <c r="B249" s="10" t="s">
        <v>2251</v>
      </c>
      <c r="C249" s="880">
        <f t="shared" si="16"/>
        <v>-46.636099999999999</v>
      </c>
      <c r="D249" s="880">
        <f t="shared" si="17"/>
        <v>-23.547499999999999</v>
      </c>
      <c r="E249" s="10">
        <v>-46.636111999999997</v>
      </c>
      <c r="F249" s="10">
        <v>-23.547501</v>
      </c>
      <c r="G249" s="10">
        <v>-3</v>
      </c>
      <c r="H249" s="10" t="s">
        <v>1739</v>
      </c>
      <c r="I249" s="10" t="s">
        <v>2050</v>
      </c>
      <c r="J249" s="10" t="s">
        <v>99</v>
      </c>
      <c r="K249" s="10" t="s">
        <v>2054</v>
      </c>
      <c r="L249" s="65" t="str">
        <f t="shared" si="18"/>
        <v>Sao Paulo|Brazil|-46,636112|-23,547501|-3:00 America</v>
      </c>
      <c r="M249" s="10" t="s">
        <v>2252</v>
      </c>
      <c r="N249" s="10">
        <f t="shared" si="15"/>
        <v>1</v>
      </c>
      <c r="O249">
        <f t="shared" si="19"/>
        <v>0</v>
      </c>
      <c r="P249" t="str">
        <f>IF(O249=1,COUNTIF($O$2:O249,1),"")</f>
        <v/>
      </c>
      <c r="Q249" t="str">
        <f>IFERROR(INDEX($M$2:$M$2388,MATCH(ROWS($P$2:P249),$P$2:$P$2388,0)),"")</f>
        <v/>
      </c>
    </row>
    <row r="250" spans="1:17" ht="15" x14ac:dyDescent="0.25">
      <c r="A250" s="10">
        <v>190</v>
      </c>
      <c r="B250" s="10" t="s">
        <v>2253</v>
      </c>
      <c r="C250" s="880">
        <f t="shared" si="16"/>
        <v>-46.3919</v>
      </c>
      <c r="D250" s="880">
        <f t="shared" si="17"/>
        <v>-23.963000000000001</v>
      </c>
      <c r="E250" s="10">
        <v>-46.391945</v>
      </c>
      <c r="F250" s="10">
        <v>-23.963055000000001</v>
      </c>
      <c r="G250" s="10">
        <v>-3</v>
      </c>
      <c r="H250" s="10" t="s">
        <v>1739</v>
      </c>
      <c r="I250" s="10" t="s">
        <v>2050</v>
      </c>
      <c r="J250" s="10" t="s">
        <v>99</v>
      </c>
      <c r="K250" s="10" t="s">
        <v>2054</v>
      </c>
      <c r="L250" s="65" t="str">
        <f t="shared" si="18"/>
        <v>Sao Vicente|Brazil|-46,391945|-23,963055|-3:00 America</v>
      </c>
      <c r="M250" s="10" t="s">
        <v>2254</v>
      </c>
      <c r="N250" s="10">
        <f t="shared" si="15"/>
        <v>1</v>
      </c>
      <c r="O250">
        <f t="shared" si="19"/>
        <v>0</v>
      </c>
      <c r="P250" t="str">
        <f>IF(O250=1,COUNTIF($O$2:O250,1),"")</f>
        <v/>
      </c>
      <c r="Q250" t="str">
        <f>IFERROR(INDEX($M$2:$M$2388,MATCH(ROWS($P$2:P250),$P$2:$P$2388,0)),"")</f>
        <v/>
      </c>
    </row>
    <row r="251" spans="1:17" ht="15" x14ac:dyDescent="0.25">
      <c r="A251" s="10">
        <v>189</v>
      </c>
      <c r="B251" s="10" t="s">
        <v>2255</v>
      </c>
      <c r="C251" s="880">
        <f t="shared" si="16"/>
        <v>-40.307699999999997</v>
      </c>
      <c r="D251" s="880">
        <f t="shared" si="17"/>
        <v>-20.128599999999999</v>
      </c>
      <c r="E251" s="10">
        <v>-40.307777000000002</v>
      </c>
      <c r="F251" s="10">
        <v>-20.128610999999999</v>
      </c>
      <c r="G251" s="10">
        <v>-3</v>
      </c>
      <c r="H251" s="10" t="s">
        <v>1739</v>
      </c>
      <c r="I251" s="10" t="s">
        <v>2050</v>
      </c>
      <c r="J251" s="10" t="s">
        <v>99</v>
      </c>
      <c r="K251" s="10" t="s">
        <v>2054</v>
      </c>
      <c r="L251" s="65" t="str">
        <f t="shared" si="18"/>
        <v>Serra|Brazil|-40,307777|-20,128611|-3:00 America</v>
      </c>
      <c r="M251" s="10" t="s">
        <v>2256</v>
      </c>
      <c r="N251" s="10">
        <f t="shared" si="15"/>
        <v>1</v>
      </c>
      <c r="O251">
        <f t="shared" si="19"/>
        <v>0</v>
      </c>
      <c r="P251" t="str">
        <f>IF(O251=1,COUNTIF($O$2:O251,1),"")</f>
        <v/>
      </c>
      <c r="Q251" t="str">
        <f>IFERROR(INDEX($M$2:$M$2388,MATCH(ROWS($P$2:P251),$P$2:$P$2388,0)),"")</f>
        <v/>
      </c>
    </row>
    <row r="252" spans="1:17" ht="15" x14ac:dyDescent="0.25">
      <c r="A252" s="10">
        <v>188</v>
      </c>
      <c r="B252" s="10" t="s">
        <v>2257</v>
      </c>
      <c r="C252" s="880">
        <f t="shared" si="16"/>
        <v>-44.246600000000001</v>
      </c>
      <c r="D252" s="880">
        <f t="shared" si="17"/>
        <v>-19.465800000000002</v>
      </c>
      <c r="E252" s="10">
        <v>-44.246665999999998</v>
      </c>
      <c r="F252" s="10">
        <v>-19.465834000000001</v>
      </c>
      <c r="G252" s="10">
        <v>-3</v>
      </c>
      <c r="H252" s="10" t="s">
        <v>1739</v>
      </c>
      <c r="I252" s="10" t="s">
        <v>2050</v>
      </c>
      <c r="J252" s="10" t="s">
        <v>99</v>
      </c>
      <c r="K252" s="10" t="s">
        <v>2054</v>
      </c>
      <c r="L252" s="65" t="str">
        <f t="shared" si="18"/>
        <v>Sete Lagoas|Brazil|-44,246666|-19,465834|-3:00 America</v>
      </c>
      <c r="M252" s="10" t="s">
        <v>2258</v>
      </c>
      <c r="N252" s="10">
        <f t="shared" si="15"/>
        <v>1</v>
      </c>
      <c r="O252">
        <f t="shared" si="19"/>
        <v>0</v>
      </c>
      <c r="P252" t="str">
        <f>IF(O252=1,COUNTIF($O$2:O252,1),"")</f>
        <v/>
      </c>
      <c r="Q252" t="str">
        <f>IFERROR(INDEX($M$2:$M$2388,MATCH(ROWS($P$2:P252),$P$2:$P$2388,0)),"")</f>
        <v/>
      </c>
    </row>
    <row r="253" spans="1:17" ht="15" x14ac:dyDescent="0.25">
      <c r="A253" s="10">
        <v>187</v>
      </c>
      <c r="B253" s="10" t="s">
        <v>2259</v>
      </c>
      <c r="C253" s="880">
        <f t="shared" si="16"/>
        <v>-47.457999999999998</v>
      </c>
      <c r="D253" s="880">
        <f t="shared" si="17"/>
        <v>-23.5016</v>
      </c>
      <c r="E253" s="10">
        <v>-47.458056999999997</v>
      </c>
      <c r="F253" s="10">
        <v>-23.501667000000001</v>
      </c>
      <c r="G253" s="10">
        <v>-3</v>
      </c>
      <c r="H253" s="10" t="s">
        <v>1739</v>
      </c>
      <c r="I253" s="10" t="s">
        <v>2050</v>
      </c>
      <c r="J253" s="10" t="s">
        <v>99</v>
      </c>
      <c r="K253" s="10" t="s">
        <v>2054</v>
      </c>
      <c r="L253" s="65" t="str">
        <f t="shared" si="18"/>
        <v>Sorocaba|Brazil|-47,458057|-23,501667|-3:00 America</v>
      </c>
      <c r="M253" s="10" t="s">
        <v>2260</v>
      </c>
      <c r="N253" s="10">
        <f t="shared" si="15"/>
        <v>1</v>
      </c>
      <c r="O253">
        <f t="shared" si="19"/>
        <v>0</v>
      </c>
      <c r="P253" t="str">
        <f>IF(O253=1,COUNTIF($O$2:O253,1),"")</f>
        <v/>
      </c>
      <c r="Q253" t="str">
        <f>IFERROR(INDEX($M$2:$M$2388,MATCH(ROWS($P$2:P253),$P$2:$P$2388,0)),"")</f>
        <v/>
      </c>
    </row>
    <row r="254" spans="1:17" ht="15" x14ac:dyDescent="0.25">
      <c r="A254" s="10">
        <v>186</v>
      </c>
      <c r="B254" s="10" t="s">
        <v>2261</v>
      </c>
      <c r="C254" s="880">
        <f t="shared" si="16"/>
        <v>-47.2669</v>
      </c>
      <c r="D254" s="880">
        <f t="shared" si="17"/>
        <v>-22.821899999999999</v>
      </c>
      <c r="E254" s="10">
        <v>-47.266945</v>
      </c>
      <c r="F254" s="10">
        <v>-22.821944999999999</v>
      </c>
      <c r="G254" s="10">
        <v>-3</v>
      </c>
      <c r="H254" s="10" t="s">
        <v>1739</v>
      </c>
      <c r="I254" s="10" t="s">
        <v>2050</v>
      </c>
      <c r="J254" s="10" t="s">
        <v>99</v>
      </c>
      <c r="K254" s="10" t="s">
        <v>2054</v>
      </c>
      <c r="L254" s="65" t="str">
        <f t="shared" si="18"/>
        <v>Sumare|Brazil|-47,266945|-22,821945|-3:00 America</v>
      </c>
      <c r="M254" s="10" t="s">
        <v>2262</v>
      </c>
      <c r="N254" s="10">
        <f t="shared" si="15"/>
        <v>1</v>
      </c>
      <c r="O254">
        <f t="shared" si="19"/>
        <v>0</v>
      </c>
      <c r="P254" t="str">
        <f>IF(O254=1,COUNTIF($O$2:O254,1),"")</f>
        <v/>
      </c>
      <c r="Q254" t="str">
        <f>IFERROR(INDEX($M$2:$M$2388,MATCH(ROWS($P$2:P254),$P$2:$P$2388,0)),"")</f>
        <v/>
      </c>
    </row>
    <row r="255" spans="1:17" ht="15" x14ac:dyDescent="0.25">
      <c r="A255" s="10">
        <v>185</v>
      </c>
      <c r="B255" s="10" t="s">
        <v>2263</v>
      </c>
      <c r="C255" s="880">
        <f t="shared" si="16"/>
        <v>-46.3108</v>
      </c>
      <c r="D255" s="880">
        <f t="shared" si="17"/>
        <v>-23.5425</v>
      </c>
      <c r="E255" s="10">
        <v>-46.310833000000002</v>
      </c>
      <c r="F255" s="10">
        <v>-23.5425</v>
      </c>
      <c r="G255" s="10">
        <v>-3</v>
      </c>
      <c r="H255" s="10" t="s">
        <v>1739</v>
      </c>
      <c r="I255" s="10" t="s">
        <v>2050</v>
      </c>
      <c r="J255" s="10" t="s">
        <v>99</v>
      </c>
      <c r="K255" s="10" t="s">
        <v>2054</v>
      </c>
      <c r="L255" s="65" t="str">
        <f t="shared" si="18"/>
        <v>Suzano|Brazil|-46,310833|-23,542500|-3:00 America</v>
      </c>
      <c r="M255" s="10" t="s">
        <v>2264</v>
      </c>
      <c r="N255" s="10">
        <f t="shared" si="15"/>
        <v>1</v>
      </c>
      <c r="O255">
        <f t="shared" si="19"/>
        <v>0</v>
      </c>
      <c r="P255" t="str">
        <f>IF(O255=1,COUNTIF($O$2:O255,1),"")</f>
        <v/>
      </c>
      <c r="Q255" t="str">
        <f>IFERROR(INDEX($M$2:$M$2388,MATCH(ROWS($P$2:P255),$P$2:$P$2388,0)),"")</f>
        <v/>
      </c>
    </row>
    <row r="256" spans="1:17" ht="15" x14ac:dyDescent="0.25">
      <c r="A256" s="10">
        <v>184</v>
      </c>
      <c r="B256" s="10" t="s">
        <v>2265</v>
      </c>
      <c r="C256" s="880">
        <f t="shared" si="16"/>
        <v>-46.791600000000003</v>
      </c>
      <c r="D256" s="880">
        <f t="shared" si="17"/>
        <v>-23.626100000000001</v>
      </c>
      <c r="E256" s="10">
        <v>-46.791668000000001</v>
      </c>
      <c r="F256" s="10">
        <v>-23.626111999999999</v>
      </c>
      <c r="G256" s="10">
        <v>-3</v>
      </c>
      <c r="H256" s="10" t="s">
        <v>1739</v>
      </c>
      <c r="I256" s="10" t="s">
        <v>2050</v>
      </c>
      <c r="J256" s="10" t="s">
        <v>99</v>
      </c>
      <c r="K256" s="10" t="s">
        <v>2054</v>
      </c>
      <c r="L256" s="65" t="str">
        <f t="shared" si="18"/>
        <v>Taboao da Serra|Brazil|-46,791668|-23,626112|-3:00 America</v>
      </c>
      <c r="M256" s="10" t="s">
        <v>2266</v>
      </c>
      <c r="N256" s="10">
        <f t="shared" si="15"/>
        <v>1</v>
      </c>
      <c r="O256">
        <f t="shared" si="19"/>
        <v>0</v>
      </c>
      <c r="P256" t="str">
        <f>IF(O256=1,COUNTIF($O$2:O256,1),"")</f>
        <v/>
      </c>
      <c r="Q256" t="str">
        <f>IFERROR(INDEX($M$2:$M$2388,MATCH(ROWS($P$2:P256),$P$2:$P$2388,0)),"")</f>
        <v/>
      </c>
    </row>
    <row r="257" spans="1:17" ht="15" x14ac:dyDescent="0.25">
      <c r="A257" s="10">
        <v>183</v>
      </c>
      <c r="B257" s="10" t="s">
        <v>2267</v>
      </c>
      <c r="C257" s="880">
        <f t="shared" si="16"/>
        <v>-45.555199999999999</v>
      </c>
      <c r="D257" s="880">
        <f t="shared" si="17"/>
        <v>-23.026299999999999</v>
      </c>
      <c r="E257" s="10">
        <v>-45.555278999999999</v>
      </c>
      <c r="F257" s="10">
        <v>-23.026388000000001</v>
      </c>
      <c r="G257" s="10">
        <v>-3</v>
      </c>
      <c r="H257" s="10" t="s">
        <v>1739</v>
      </c>
      <c r="I257" s="10" t="s">
        <v>2050</v>
      </c>
      <c r="J257" s="10" t="s">
        <v>99</v>
      </c>
      <c r="K257" s="10" t="s">
        <v>2054</v>
      </c>
      <c r="L257" s="65" t="str">
        <f t="shared" si="18"/>
        <v>Taubate|Brazil|-45,555279|-23,026388|-3:00 America</v>
      </c>
      <c r="M257" s="10" t="s">
        <v>2268</v>
      </c>
      <c r="N257" s="10">
        <f t="shared" si="15"/>
        <v>1</v>
      </c>
      <c r="O257">
        <f t="shared" si="19"/>
        <v>0</v>
      </c>
      <c r="P257" t="str">
        <f>IF(O257=1,COUNTIF($O$2:O257,1),"")</f>
        <v/>
      </c>
      <c r="Q257" t="str">
        <f>IFERROR(INDEX($M$2:$M$2388,MATCH(ROWS($P$2:P257),$P$2:$P$2388,0)),"")</f>
        <v/>
      </c>
    </row>
    <row r="258" spans="1:17" ht="15" x14ac:dyDescent="0.25">
      <c r="A258" s="10">
        <v>156</v>
      </c>
      <c r="B258" s="10" t="s">
        <v>2269</v>
      </c>
      <c r="C258" s="880">
        <f t="shared" si="16"/>
        <v>-42.801900000000003</v>
      </c>
      <c r="D258" s="880">
        <f t="shared" si="17"/>
        <v>-5.0891000000000002</v>
      </c>
      <c r="E258" s="10">
        <v>-42.801945000000003</v>
      </c>
      <c r="F258" s="10">
        <v>-5.0891669999999998</v>
      </c>
      <c r="G258" s="10">
        <v>-3</v>
      </c>
      <c r="H258" s="10" t="s">
        <v>1739</v>
      </c>
      <c r="I258" s="10" t="s">
        <v>2050</v>
      </c>
      <c r="J258" s="10" t="s">
        <v>99</v>
      </c>
      <c r="K258" s="10" t="s">
        <v>2096</v>
      </c>
      <c r="L258" s="65" t="str">
        <f t="shared" si="18"/>
        <v>Teresina|Brazil|-42,801945|-5,089167|-3:00 America</v>
      </c>
      <c r="M258" s="10" t="s">
        <v>2270</v>
      </c>
      <c r="N258" s="10">
        <f t="shared" ref="N258:N321" si="20">--ISNUMBER(IFERROR(SEARCH($R$2,J258,1),""))</f>
        <v>1</v>
      </c>
      <c r="O258">
        <f t="shared" si="19"/>
        <v>0</v>
      </c>
      <c r="P258" t="str">
        <f>IF(O258=1,COUNTIF($O$2:O258,1),"")</f>
        <v/>
      </c>
      <c r="Q258" t="str">
        <f>IFERROR(INDEX($M$2:$M$2388,MATCH(ROWS($P$2:P258),$P$2:$P$2388,0)),"")</f>
        <v/>
      </c>
    </row>
    <row r="259" spans="1:17" ht="15" x14ac:dyDescent="0.25">
      <c r="A259" s="10">
        <v>182</v>
      </c>
      <c r="B259" s="10" t="s">
        <v>2271</v>
      </c>
      <c r="C259" s="880">
        <f t="shared" ref="C259:C322" si="21">TRUNC(E259,4)</f>
        <v>-47.931899999999999</v>
      </c>
      <c r="D259" s="880">
        <f t="shared" ref="D259:D322" si="22">TRUNC(F259,4)</f>
        <v>-19.7483</v>
      </c>
      <c r="E259" s="10">
        <v>-47.931946000000003</v>
      </c>
      <c r="F259" s="10">
        <v>-19.748332999999999</v>
      </c>
      <c r="G259" s="10">
        <v>-3</v>
      </c>
      <c r="H259" s="10" t="s">
        <v>1739</v>
      </c>
      <c r="I259" s="10" t="s">
        <v>2050</v>
      </c>
      <c r="J259" s="10" t="s">
        <v>99</v>
      </c>
      <c r="K259" s="10" t="s">
        <v>2054</v>
      </c>
      <c r="L259" s="65" t="str">
        <f t="shared" ref="L259:L322" si="23">MID(M259,1,LEN(M259)-(LEN(K259)-SEARCH("/",K259)+1))</f>
        <v>Uberaba|Brazil|-47,931946|-19,748333|-3:00 America</v>
      </c>
      <c r="M259" s="10" t="s">
        <v>2272</v>
      </c>
      <c r="N259" s="10">
        <f t="shared" si="20"/>
        <v>1</v>
      </c>
      <c r="O259">
        <f t="shared" ref="O259:O322" si="24">IF(N259=0,"",--ISNUMBER(IFERROR(SEARCH($U$2,L259,1),"")))</f>
        <v>0</v>
      </c>
      <c r="P259" t="str">
        <f>IF(O259=1,COUNTIF($O$2:O259,1),"")</f>
        <v/>
      </c>
      <c r="Q259" t="str">
        <f>IFERROR(INDEX($M$2:$M$2388,MATCH(ROWS($P$2:P259),$P$2:$P$2388,0)),"")</f>
        <v/>
      </c>
    </row>
    <row r="260" spans="1:17" ht="15" x14ac:dyDescent="0.25">
      <c r="A260" s="10">
        <v>181</v>
      </c>
      <c r="B260" s="10" t="s">
        <v>2273</v>
      </c>
      <c r="C260" s="880">
        <f t="shared" si="21"/>
        <v>-48.277200000000001</v>
      </c>
      <c r="D260" s="880">
        <f t="shared" si="22"/>
        <v>-18.918600000000001</v>
      </c>
      <c r="E260" s="10">
        <v>-48.277222000000002</v>
      </c>
      <c r="F260" s="10">
        <v>-18.918612</v>
      </c>
      <c r="G260" s="10">
        <v>-3</v>
      </c>
      <c r="H260" s="10" t="s">
        <v>1739</v>
      </c>
      <c r="I260" s="10" t="s">
        <v>2050</v>
      </c>
      <c r="J260" s="10" t="s">
        <v>99</v>
      </c>
      <c r="K260" s="10" t="s">
        <v>2054</v>
      </c>
      <c r="L260" s="65" t="str">
        <f t="shared" si="23"/>
        <v>Uberlandia|Brazil|-48,277222|-18,918612|-3:00 America</v>
      </c>
      <c r="M260" s="10" t="s">
        <v>2274</v>
      </c>
      <c r="N260" s="10">
        <f t="shared" si="20"/>
        <v>1</v>
      </c>
      <c r="O260">
        <f t="shared" si="24"/>
        <v>0</v>
      </c>
      <c r="P260" t="str">
        <f>IF(O260=1,COUNTIF($O$2:O260,1),"")</f>
        <v/>
      </c>
      <c r="Q260" t="str">
        <f>IFERROR(INDEX($M$2:$M$2388,MATCH(ROWS($P$2:P260),$P$2:$P$2388,0)),"")</f>
        <v/>
      </c>
    </row>
    <row r="261" spans="1:17" ht="15" x14ac:dyDescent="0.25">
      <c r="A261" s="10">
        <v>180</v>
      </c>
      <c r="B261" s="10" t="s">
        <v>2275</v>
      </c>
      <c r="C261" s="880">
        <f t="shared" si="21"/>
        <v>-56.1325</v>
      </c>
      <c r="D261" s="880">
        <f t="shared" si="22"/>
        <v>-15.646599999999999</v>
      </c>
      <c r="E261" s="10">
        <v>-56.1325</v>
      </c>
      <c r="F261" s="10">
        <v>-15.646667000000001</v>
      </c>
      <c r="G261" s="10">
        <v>-3</v>
      </c>
      <c r="H261" s="10" t="s">
        <v>1739</v>
      </c>
      <c r="I261" s="10" t="s">
        <v>2050</v>
      </c>
      <c r="J261" s="10" t="s">
        <v>99</v>
      </c>
      <c r="K261" s="10" t="s">
        <v>2105</v>
      </c>
      <c r="L261" s="65" t="str">
        <f t="shared" si="23"/>
        <v>Varzea Grande|Brazil|-56,132500|-15,646667|-3:00 America</v>
      </c>
      <c r="M261" s="10" t="s">
        <v>2276</v>
      </c>
      <c r="N261" s="10">
        <f t="shared" si="20"/>
        <v>1</v>
      </c>
      <c r="O261">
        <f t="shared" si="24"/>
        <v>0</v>
      </c>
      <c r="P261" t="str">
        <f>IF(O261=1,COUNTIF($O$2:O261,1),"")</f>
        <v/>
      </c>
      <c r="Q261" t="str">
        <f>IFERROR(INDEX($M$2:$M$2388,MATCH(ROWS($P$2:P261),$P$2:$P$2388,0)),"")</f>
        <v/>
      </c>
    </row>
    <row r="262" spans="1:17" ht="15" x14ac:dyDescent="0.25">
      <c r="A262" s="10">
        <v>179</v>
      </c>
      <c r="B262" s="10" t="s">
        <v>2277</v>
      </c>
      <c r="C262" s="880">
        <f t="shared" si="21"/>
        <v>-51.023299999999999</v>
      </c>
      <c r="D262" s="880">
        <f t="shared" si="22"/>
        <v>-30.081099999999999</v>
      </c>
      <c r="E262" s="10">
        <v>-51.023335000000003</v>
      </c>
      <c r="F262" s="10">
        <v>-30.081112000000001</v>
      </c>
      <c r="G262" s="10">
        <v>-3</v>
      </c>
      <c r="H262" s="10" t="s">
        <v>1739</v>
      </c>
      <c r="I262" s="10" t="s">
        <v>2050</v>
      </c>
      <c r="J262" s="10" t="s">
        <v>99</v>
      </c>
      <c r="K262" s="10" t="s">
        <v>2054</v>
      </c>
      <c r="L262" s="65" t="str">
        <f t="shared" si="23"/>
        <v>Viamao|Brazil|-51,023335|-30,081112|-3:00 America</v>
      </c>
      <c r="M262" s="10" t="s">
        <v>2278</v>
      </c>
      <c r="N262" s="10">
        <f t="shared" si="20"/>
        <v>1</v>
      </c>
      <c r="O262">
        <f t="shared" si="24"/>
        <v>0</v>
      </c>
      <c r="P262" t="str">
        <f>IF(O262=1,COUNTIF($O$2:O262,1),"")</f>
        <v/>
      </c>
      <c r="Q262" t="str">
        <f>IFERROR(INDEX($M$2:$M$2388,MATCH(ROWS($P$2:P262),$P$2:$P$2388,0)),"")</f>
        <v/>
      </c>
    </row>
    <row r="263" spans="1:17" ht="15" x14ac:dyDescent="0.25">
      <c r="A263" s="10">
        <v>178</v>
      </c>
      <c r="B263" s="10" t="s">
        <v>2279</v>
      </c>
      <c r="C263" s="880">
        <f t="shared" si="21"/>
        <v>-40.292499999999997</v>
      </c>
      <c r="D263" s="880">
        <f t="shared" si="22"/>
        <v>-20.329699999999999</v>
      </c>
      <c r="E263" s="10">
        <v>-40.292499999999997</v>
      </c>
      <c r="F263" s="10">
        <v>-20.329720999999999</v>
      </c>
      <c r="G263" s="10">
        <v>-3</v>
      </c>
      <c r="H263" s="10" t="s">
        <v>1739</v>
      </c>
      <c r="I263" s="10" t="s">
        <v>2050</v>
      </c>
      <c r="J263" s="10" t="s">
        <v>99</v>
      </c>
      <c r="K263" s="10" t="s">
        <v>2054</v>
      </c>
      <c r="L263" s="65" t="str">
        <f t="shared" si="23"/>
        <v>Vila Velha|Brazil|-40,292500|-20,329721|-3:00 America</v>
      </c>
      <c r="M263" s="10" t="s">
        <v>2280</v>
      </c>
      <c r="N263" s="10">
        <f t="shared" si="20"/>
        <v>1</v>
      </c>
      <c r="O263">
        <f t="shared" si="24"/>
        <v>0</v>
      </c>
      <c r="P263" t="str">
        <f>IF(O263=1,COUNTIF($O$2:O263,1),"")</f>
        <v/>
      </c>
      <c r="Q263" t="str">
        <f>IFERROR(INDEX($M$2:$M$2388,MATCH(ROWS($P$2:P263),$P$2:$P$2388,0)),"")</f>
        <v/>
      </c>
    </row>
    <row r="264" spans="1:17" ht="15" x14ac:dyDescent="0.25">
      <c r="A264" s="10">
        <v>177</v>
      </c>
      <c r="B264" s="10" t="s">
        <v>2281</v>
      </c>
      <c r="C264" s="880">
        <f t="shared" si="21"/>
        <v>-40.337699999999998</v>
      </c>
      <c r="D264" s="880">
        <f t="shared" si="22"/>
        <v>-20.319400000000002</v>
      </c>
      <c r="E264" s="10">
        <v>-40.337775999999998</v>
      </c>
      <c r="F264" s="10">
        <v>-20.319445000000002</v>
      </c>
      <c r="G264" s="10">
        <v>-3</v>
      </c>
      <c r="H264" s="10" t="s">
        <v>1739</v>
      </c>
      <c r="I264" s="10" t="s">
        <v>2050</v>
      </c>
      <c r="J264" s="10" t="s">
        <v>99</v>
      </c>
      <c r="K264" s="10" t="s">
        <v>2054</v>
      </c>
      <c r="L264" s="65" t="str">
        <f t="shared" si="23"/>
        <v>Vitoria|Brazil|-40,337776|-20,319445|-3:00 America</v>
      </c>
      <c r="M264" s="10" t="s">
        <v>2282</v>
      </c>
      <c r="N264" s="10">
        <f t="shared" si="20"/>
        <v>1</v>
      </c>
      <c r="O264">
        <f t="shared" si="24"/>
        <v>0</v>
      </c>
      <c r="P264" t="str">
        <f>IF(O264=1,COUNTIF($O$2:O264,1),"")</f>
        <v/>
      </c>
      <c r="Q264" t="str">
        <f>IFERROR(INDEX($M$2:$M$2388,MATCH(ROWS($P$2:P264),$P$2:$P$2388,0)),"")</f>
        <v/>
      </c>
    </row>
    <row r="265" spans="1:17" ht="15" x14ac:dyDescent="0.25">
      <c r="A265" s="10">
        <v>176</v>
      </c>
      <c r="B265" s="10" t="s">
        <v>2283</v>
      </c>
      <c r="C265" s="880">
        <f t="shared" si="21"/>
        <v>-40.839399999999998</v>
      </c>
      <c r="D265" s="880">
        <f t="shared" si="22"/>
        <v>-14.866099999999999</v>
      </c>
      <c r="E265" s="10">
        <v>-40.839443000000003</v>
      </c>
      <c r="F265" s="10">
        <v>-14.866111</v>
      </c>
      <c r="G265" s="10">
        <v>-3</v>
      </c>
      <c r="H265" s="10" t="s">
        <v>1739</v>
      </c>
      <c r="I265" s="10" t="s">
        <v>2050</v>
      </c>
      <c r="J265" s="10" t="s">
        <v>99</v>
      </c>
      <c r="K265" s="10" t="s">
        <v>2116</v>
      </c>
      <c r="L265" s="65" t="str">
        <f t="shared" si="23"/>
        <v>Vitoria da Conquista|Brazil|-40,839443|-14,866111|-3:00 America</v>
      </c>
      <c r="M265" s="10" t="s">
        <v>2284</v>
      </c>
      <c r="N265" s="10">
        <f t="shared" si="20"/>
        <v>1</v>
      </c>
      <c r="O265">
        <f t="shared" si="24"/>
        <v>0</v>
      </c>
      <c r="P265" t="str">
        <f>IF(O265=1,COUNTIF($O$2:O265,1),"")</f>
        <v/>
      </c>
      <c r="Q265" t="str">
        <f>IFERROR(INDEX($M$2:$M$2388,MATCH(ROWS($P$2:P265),$P$2:$P$2388,0)),"")</f>
        <v/>
      </c>
    </row>
    <row r="266" spans="1:17" ht="15" x14ac:dyDescent="0.25">
      <c r="A266" s="10">
        <v>155</v>
      </c>
      <c r="B266" s="10" t="s">
        <v>2285</v>
      </c>
      <c r="C266" s="880">
        <f t="shared" si="21"/>
        <v>-35.2913</v>
      </c>
      <c r="D266" s="880">
        <f t="shared" si="22"/>
        <v>-8.1180000000000003</v>
      </c>
      <c r="E266" s="10">
        <v>-35.291389000000002</v>
      </c>
      <c r="F266" s="10">
        <v>-8.118055</v>
      </c>
      <c r="G266" s="10">
        <v>-3</v>
      </c>
      <c r="H266" s="10" t="s">
        <v>1739</v>
      </c>
      <c r="I266" s="10" t="s">
        <v>2050</v>
      </c>
      <c r="J266" s="10" t="s">
        <v>99</v>
      </c>
      <c r="K266" s="10" t="s">
        <v>92</v>
      </c>
      <c r="L266" s="65" t="str">
        <f t="shared" si="23"/>
        <v>Vitoria de Santo Antao|Brazil|-35,291389|-8,118055|-3:00 America</v>
      </c>
      <c r="M266" s="10" t="s">
        <v>2286</v>
      </c>
      <c r="N266" s="10">
        <f t="shared" si="20"/>
        <v>1</v>
      </c>
      <c r="O266">
        <f t="shared" si="24"/>
        <v>0</v>
      </c>
      <c r="P266" t="str">
        <f>IF(O266=1,COUNTIF($O$2:O266,1),"")</f>
        <v/>
      </c>
      <c r="Q266" t="str">
        <f>IFERROR(INDEX($M$2:$M$2388,MATCH(ROWS($P$2:P266),$P$2:$P$2388,0)),"")</f>
        <v/>
      </c>
    </row>
    <row r="267" spans="1:17" ht="15" x14ac:dyDescent="0.25">
      <c r="A267" s="10">
        <v>154</v>
      </c>
      <c r="B267" s="10" t="s">
        <v>2287</v>
      </c>
      <c r="C267" s="880">
        <f t="shared" si="21"/>
        <v>-44.8705</v>
      </c>
      <c r="D267" s="880">
        <f t="shared" si="22"/>
        <v>-3.4622000000000002</v>
      </c>
      <c r="E267" s="10">
        <v>-44.870556000000001</v>
      </c>
      <c r="F267" s="10">
        <v>-3.4622220000000001</v>
      </c>
      <c r="G267" s="10">
        <v>-3</v>
      </c>
      <c r="H267" s="10" t="s">
        <v>1739</v>
      </c>
      <c r="I267" s="10" t="s">
        <v>2050</v>
      </c>
      <c r="J267" s="10" t="s">
        <v>99</v>
      </c>
      <c r="K267" s="10" t="s">
        <v>2051</v>
      </c>
      <c r="L267" s="65" t="str">
        <f t="shared" si="23"/>
        <v>Vitoria do Mearim|Brazil|-44,870556|-3,462222|-3:00 America</v>
      </c>
      <c r="M267" s="10" t="s">
        <v>2288</v>
      </c>
      <c r="N267" s="10">
        <f t="shared" si="20"/>
        <v>1</v>
      </c>
      <c r="O267">
        <f t="shared" si="24"/>
        <v>0</v>
      </c>
      <c r="P267" t="str">
        <f>IF(O267=1,COUNTIF($O$2:O267,1),"")</f>
        <v/>
      </c>
      <c r="Q267" t="str">
        <f>IFERROR(INDEX($M$2:$M$2388,MATCH(ROWS($P$2:P267),$P$2:$P$2388,0)),"")</f>
        <v/>
      </c>
    </row>
    <row r="268" spans="1:17" ht="15" x14ac:dyDescent="0.25">
      <c r="A268" s="10">
        <v>153</v>
      </c>
      <c r="B268" s="10" t="s">
        <v>2289</v>
      </c>
      <c r="C268" s="880">
        <f t="shared" si="21"/>
        <v>-45.166600000000003</v>
      </c>
      <c r="D268" s="880">
        <f t="shared" si="22"/>
        <v>-4.0666000000000002</v>
      </c>
      <c r="E268" s="10">
        <v>-45.166668000000001</v>
      </c>
      <c r="F268" s="10">
        <v>-4.0666669999999998</v>
      </c>
      <c r="G268" s="10">
        <v>-3</v>
      </c>
      <c r="H268" s="10" t="s">
        <v>1739</v>
      </c>
      <c r="I268" s="10" t="s">
        <v>2050</v>
      </c>
      <c r="J268" s="10" t="s">
        <v>99</v>
      </c>
      <c r="K268" s="10" t="s">
        <v>2051</v>
      </c>
      <c r="L268" s="65" t="str">
        <f t="shared" si="23"/>
        <v>Vitorino Freire|Brazil|-45,166668|-4,066667|-3:00 America</v>
      </c>
      <c r="M268" s="10" t="s">
        <v>2290</v>
      </c>
      <c r="N268" s="10">
        <f t="shared" si="20"/>
        <v>1</v>
      </c>
      <c r="O268">
        <f t="shared" si="24"/>
        <v>0</v>
      </c>
      <c r="P268" t="str">
        <f>IF(O268=1,COUNTIF($O$2:O268,1),"")</f>
        <v/>
      </c>
      <c r="Q268" t="str">
        <f>IFERROR(INDEX($M$2:$M$2388,MATCH(ROWS($P$2:P268),$P$2:$P$2388,0)),"")</f>
        <v/>
      </c>
    </row>
    <row r="269" spans="1:17" ht="15" x14ac:dyDescent="0.25">
      <c r="A269" s="10">
        <v>175</v>
      </c>
      <c r="B269" s="10" t="s">
        <v>2291</v>
      </c>
      <c r="C269" s="880">
        <f t="shared" si="21"/>
        <v>-44.104100000000003</v>
      </c>
      <c r="D269" s="880">
        <f t="shared" si="22"/>
        <v>-22.523</v>
      </c>
      <c r="E269" s="10">
        <v>-44.104168000000001</v>
      </c>
      <c r="F269" s="10">
        <v>-22.523056</v>
      </c>
      <c r="G269" s="10">
        <v>-3</v>
      </c>
      <c r="H269" s="10" t="s">
        <v>1739</v>
      </c>
      <c r="I269" s="10" t="s">
        <v>2050</v>
      </c>
      <c r="J269" s="10" t="s">
        <v>99</v>
      </c>
      <c r="K269" s="10" t="s">
        <v>2054</v>
      </c>
      <c r="L269" s="65" t="str">
        <f t="shared" si="23"/>
        <v>Volta Redonda|Brazil|-44,104168|-22,523056|-3:00 America</v>
      </c>
      <c r="M269" s="10" t="s">
        <v>2292</v>
      </c>
      <c r="N269" s="10">
        <f t="shared" si="20"/>
        <v>1</v>
      </c>
      <c r="O269">
        <f t="shared" si="24"/>
        <v>0</v>
      </c>
      <c r="P269" t="str">
        <f>IF(O269=1,COUNTIF($O$2:O269,1),"")</f>
        <v/>
      </c>
      <c r="Q269" t="str">
        <f>IFERROR(INDEX($M$2:$M$2388,MATCH(ROWS($P$2:P269),$P$2:$P$2388,0)),"")</f>
        <v/>
      </c>
    </row>
    <row r="270" spans="1:17" ht="15" x14ac:dyDescent="0.25">
      <c r="A270" s="10">
        <v>144</v>
      </c>
      <c r="B270" s="10" t="s">
        <v>2293</v>
      </c>
      <c r="C270" s="880">
        <f t="shared" si="21"/>
        <v>114.1833</v>
      </c>
      <c r="D270" s="880">
        <f t="shared" si="22"/>
        <v>4.5833000000000004</v>
      </c>
      <c r="E270" s="10">
        <v>114.183334</v>
      </c>
      <c r="F270" s="10">
        <v>4.5833329999999997</v>
      </c>
      <c r="G270" s="10">
        <v>8</v>
      </c>
      <c r="H270" s="10" t="s">
        <v>1831</v>
      </c>
      <c r="I270" s="10" t="s">
        <v>2294</v>
      </c>
      <c r="J270" s="10" t="s">
        <v>2295</v>
      </c>
      <c r="K270" s="10" t="s">
        <v>2296</v>
      </c>
      <c r="L270" s="65" t="str">
        <f t="shared" si="23"/>
        <v>Kuala Belait|Brunei|114,183334|4,583333|+8:00 Asia</v>
      </c>
      <c r="M270" s="10" t="s">
        <v>2297</v>
      </c>
      <c r="N270" s="10">
        <f t="shared" si="20"/>
        <v>0</v>
      </c>
      <c r="O270" t="str">
        <f t="shared" si="24"/>
        <v/>
      </c>
      <c r="P270" t="str">
        <f>IF(O270=1,COUNTIF($O$2:O270,1),"")</f>
        <v/>
      </c>
      <c r="Q270" t="str">
        <f>IFERROR(INDEX($M$2:$M$2388,MATCH(ROWS($P$2:P270),$P$2:$P$2388,0)),"")</f>
        <v/>
      </c>
    </row>
    <row r="271" spans="1:17" ht="15" x14ac:dyDescent="0.25">
      <c r="A271" s="10">
        <v>143</v>
      </c>
      <c r="B271" s="10" t="s">
        <v>2298</v>
      </c>
      <c r="C271" s="880">
        <f t="shared" si="21"/>
        <v>114.31659999999999</v>
      </c>
      <c r="D271" s="880">
        <f t="shared" si="22"/>
        <v>4.6166</v>
      </c>
      <c r="E271" s="10">
        <v>114.316666</v>
      </c>
      <c r="F271" s="10">
        <v>4.6166669999999996</v>
      </c>
      <c r="G271" s="10">
        <v>8</v>
      </c>
      <c r="H271" s="10" t="s">
        <v>1831</v>
      </c>
      <c r="I271" s="10" t="s">
        <v>2294</v>
      </c>
      <c r="J271" s="10" t="s">
        <v>2295</v>
      </c>
      <c r="K271" s="10" t="s">
        <v>2296</v>
      </c>
      <c r="L271" s="65" t="str">
        <f t="shared" si="23"/>
        <v>Seria|Brunei|114,316666|4,616667|+8:00 Asia</v>
      </c>
      <c r="M271" s="10" t="s">
        <v>2299</v>
      </c>
      <c r="N271" s="10">
        <f t="shared" si="20"/>
        <v>0</v>
      </c>
      <c r="O271" t="str">
        <f t="shared" si="24"/>
        <v/>
      </c>
      <c r="P271" t="str">
        <f>IF(O271=1,COUNTIF($O$2:O271,1),"")</f>
        <v/>
      </c>
      <c r="Q271" t="str">
        <f>IFERROR(INDEX($M$2:$M$2388,MATCH(ROWS($P$2:P271),$P$2:$P$2388,0)),"")</f>
        <v/>
      </c>
    </row>
    <row r="272" spans="1:17" ht="15" x14ac:dyDescent="0.25">
      <c r="A272" s="10">
        <v>142</v>
      </c>
      <c r="B272" s="10" t="s">
        <v>2300</v>
      </c>
      <c r="C272" s="880">
        <f t="shared" si="21"/>
        <v>114.65</v>
      </c>
      <c r="D272" s="880">
        <f t="shared" si="22"/>
        <v>4.8</v>
      </c>
      <c r="E272" s="10">
        <v>114.650002</v>
      </c>
      <c r="F272" s="10">
        <v>4.8</v>
      </c>
      <c r="G272" s="10">
        <v>8</v>
      </c>
      <c r="H272" s="10" t="s">
        <v>1831</v>
      </c>
      <c r="I272" s="10" t="s">
        <v>2294</v>
      </c>
      <c r="J272" s="10" t="s">
        <v>2295</v>
      </c>
      <c r="K272" s="10" t="s">
        <v>2296</v>
      </c>
      <c r="L272" s="65" t="str">
        <f t="shared" si="23"/>
        <v>Tutong|Brunei|114,650002|4,800000|+8:00 Asia</v>
      </c>
      <c r="M272" s="10" t="s">
        <v>2301</v>
      </c>
      <c r="N272" s="10">
        <f t="shared" si="20"/>
        <v>0</v>
      </c>
      <c r="O272" t="str">
        <f t="shared" si="24"/>
        <v/>
      </c>
      <c r="P272" t="str">
        <f>IF(O272=1,COUNTIF($O$2:O272,1),"")</f>
        <v/>
      </c>
      <c r="Q272" t="str">
        <f>IFERROR(INDEX($M$2:$M$2388,MATCH(ROWS($P$2:P272),$P$2:$P$2388,0)),"")</f>
        <v/>
      </c>
    </row>
    <row r="273" spans="1:17" ht="15" x14ac:dyDescent="0.25">
      <c r="A273" s="10">
        <v>121</v>
      </c>
      <c r="B273" s="10" t="s">
        <v>2302</v>
      </c>
      <c r="C273" s="880">
        <f t="shared" si="21"/>
        <v>27.7</v>
      </c>
      <c r="D273" s="880">
        <f t="shared" si="22"/>
        <v>43.183300000000003</v>
      </c>
      <c r="E273" s="10">
        <v>27.700001</v>
      </c>
      <c r="F273" s="10">
        <v>43.183334000000002</v>
      </c>
      <c r="G273" s="10">
        <v>2</v>
      </c>
      <c r="H273" s="10" t="s">
        <v>1938</v>
      </c>
      <c r="I273" s="10" t="s">
        <v>2303</v>
      </c>
      <c r="J273" s="10" t="s">
        <v>2304</v>
      </c>
      <c r="K273" s="10" t="s">
        <v>2305</v>
      </c>
      <c r="L273" s="65" t="str">
        <f t="shared" si="23"/>
        <v>Beloslav|Bulgaria|27,700001|43,183334|+2:00 Europe</v>
      </c>
      <c r="M273" s="10" t="s">
        <v>2306</v>
      </c>
      <c r="N273" s="10">
        <f t="shared" si="20"/>
        <v>0</v>
      </c>
      <c r="O273" t="str">
        <f t="shared" si="24"/>
        <v/>
      </c>
      <c r="P273" t="str">
        <f>IF(O273=1,COUNTIF($O$2:O273,1),"")</f>
        <v/>
      </c>
      <c r="Q273" t="str">
        <f>IFERROR(INDEX($M$2:$M$2388,MATCH(ROWS($P$2:P273),$P$2:$P$2388,0)),"")</f>
        <v/>
      </c>
    </row>
    <row r="274" spans="1:17" ht="15" x14ac:dyDescent="0.25">
      <c r="A274" s="10">
        <v>126</v>
      </c>
      <c r="B274" s="10" t="s">
        <v>2307</v>
      </c>
      <c r="C274" s="880">
        <f t="shared" si="21"/>
        <v>24.75</v>
      </c>
      <c r="D274" s="880">
        <f t="shared" si="22"/>
        <v>42.15</v>
      </c>
      <c r="E274" s="10">
        <v>24.75</v>
      </c>
      <c r="F274" s="10">
        <v>42.150002000000001</v>
      </c>
      <c r="G274" s="10">
        <v>2</v>
      </c>
      <c r="H274" s="10" t="s">
        <v>1938</v>
      </c>
      <c r="I274" s="10" t="s">
        <v>2303</v>
      </c>
      <c r="J274" s="10" t="s">
        <v>2304</v>
      </c>
      <c r="K274" s="10" t="s">
        <v>2305</v>
      </c>
      <c r="L274" s="65" t="str">
        <f t="shared" si="23"/>
        <v>Plovdiv|Bulgaria|24,750000|42,150002|+2:00 Europe</v>
      </c>
      <c r="M274" s="10" t="s">
        <v>2308</v>
      </c>
      <c r="N274" s="10">
        <f t="shared" si="20"/>
        <v>0</v>
      </c>
      <c r="O274" t="str">
        <f t="shared" si="24"/>
        <v/>
      </c>
      <c r="P274" t="str">
        <f>IF(O274=1,COUNTIF($O$2:O274,1),"")</f>
        <v/>
      </c>
      <c r="Q274" t="str">
        <f>IFERROR(INDEX($M$2:$M$2388,MATCH(ROWS($P$2:P274),$P$2:$P$2388,0)),"")</f>
        <v/>
      </c>
    </row>
    <row r="275" spans="1:17" ht="15" x14ac:dyDescent="0.25">
      <c r="A275" s="10">
        <v>125</v>
      </c>
      <c r="B275" s="10" t="s">
        <v>2309</v>
      </c>
      <c r="C275" s="880">
        <f t="shared" si="21"/>
        <v>23.324100000000001</v>
      </c>
      <c r="D275" s="880">
        <f t="shared" si="22"/>
        <v>42.697499999999998</v>
      </c>
      <c r="E275" s="10">
        <v>23.324145999999999</v>
      </c>
      <c r="F275" s="10">
        <v>42.697513999999998</v>
      </c>
      <c r="G275" s="10">
        <v>2</v>
      </c>
      <c r="H275" s="10" t="s">
        <v>1938</v>
      </c>
      <c r="I275" s="10" t="s">
        <v>2303</v>
      </c>
      <c r="J275" s="10" t="s">
        <v>2304</v>
      </c>
      <c r="K275" s="10" t="s">
        <v>2305</v>
      </c>
      <c r="L275" s="65" t="str">
        <f t="shared" si="23"/>
        <v>Sofia|Bulgaria|23,324146|42,697514|+2:00 Europe</v>
      </c>
      <c r="M275" s="10" t="s">
        <v>2310</v>
      </c>
      <c r="N275" s="10">
        <f t="shared" si="20"/>
        <v>0</v>
      </c>
      <c r="O275" t="str">
        <f t="shared" si="24"/>
        <v/>
      </c>
      <c r="P275" t="str">
        <f>IF(O275=1,COUNTIF($O$2:O275,1),"")</f>
        <v/>
      </c>
      <c r="Q275" t="str">
        <f>IFERROR(INDEX($M$2:$M$2388,MATCH(ROWS($P$2:P275),$P$2:$P$2388,0)),"")</f>
        <v/>
      </c>
    </row>
    <row r="276" spans="1:17" ht="15" x14ac:dyDescent="0.25">
      <c r="A276" s="10">
        <v>124</v>
      </c>
      <c r="B276" s="10" t="s">
        <v>2311</v>
      </c>
      <c r="C276" s="880">
        <f t="shared" si="21"/>
        <v>27.916599999999999</v>
      </c>
      <c r="D276" s="880">
        <f t="shared" si="22"/>
        <v>43.2166</v>
      </c>
      <c r="E276" s="10">
        <v>27.916665999999999</v>
      </c>
      <c r="F276" s="10">
        <v>43.216667000000001</v>
      </c>
      <c r="G276" s="10">
        <v>2</v>
      </c>
      <c r="H276" s="10" t="s">
        <v>1938</v>
      </c>
      <c r="I276" s="10" t="s">
        <v>2303</v>
      </c>
      <c r="J276" s="10" t="s">
        <v>2304</v>
      </c>
      <c r="K276" s="10" t="s">
        <v>2305</v>
      </c>
      <c r="L276" s="65" t="str">
        <f t="shared" si="23"/>
        <v>Varna|Bulgaria|27,916666|43,216667|+2:00 Europe</v>
      </c>
      <c r="M276" s="10" t="s">
        <v>2312</v>
      </c>
      <c r="N276" s="10">
        <f t="shared" si="20"/>
        <v>0</v>
      </c>
      <c r="O276" t="str">
        <f t="shared" si="24"/>
        <v/>
      </c>
      <c r="P276" t="str">
        <f>IF(O276=1,COUNTIF($O$2:O276,1),"")</f>
        <v/>
      </c>
      <c r="Q276" t="str">
        <f>IFERROR(INDEX($M$2:$M$2388,MATCH(ROWS($P$2:P276),$P$2:$P$2388,0)),"")</f>
        <v/>
      </c>
    </row>
    <row r="277" spans="1:17" ht="15" x14ac:dyDescent="0.25">
      <c r="A277" s="10">
        <v>123</v>
      </c>
      <c r="B277" s="10" t="s">
        <v>2313</v>
      </c>
      <c r="C277" s="880">
        <f t="shared" si="21"/>
        <v>24.133299999999998</v>
      </c>
      <c r="D277" s="880">
        <f t="shared" si="22"/>
        <v>42.7166</v>
      </c>
      <c r="E277" s="10">
        <v>24.133333</v>
      </c>
      <c r="F277" s="10">
        <v>42.716667000000001</v>
      </c>
      <c r="G277" s="10">
        <v>2</v>
      </c>
      <c r="H277" s="10" t="s">
        <v>1938</v>
      </c>
      <c r="I277" s="10" t="s">
        <v>2303</v>
      </c>
      <c r="J277" s="10" t="s">
        <v>2304</v>
      </c>
      <c r="K277" s="10" t="s">
        <v>2305</v>
      </c>
      <c r="L277" s="65" t="str">
        <f t="shared" si="23"/>
        <v>Zlatitsa|Bulgaria|24,133333|42,716667|+2:00 Europe</v>
      </c>
      <c r="M277" s="10" t="s">
        <v>2314</v>
      </c>
      <c r="N277" s="10">
        <f t="shared" si="20"/>
        <v>0</v>
      </c>
      <c r="O277" t="str">
        <f t="shared" si="24"/>
        <v/>
      </c>
      <c r="P277" t="str">
        <f>IF(O277=1,COUNTIF($O$2:O277,1),"")</f>
        <v/>
      </c>
      <c r="Q277" t="str">
        <f>IFERROR(INDEX($M$2:$M$2388,MATCH(ROWS($P$2:P277),$P$2:$P$2388,0)),"")</f>
        <v/>
      </c>
    </row>
    <row r="278" spans="1:17" ht="15" x14ac:dyDescent="0.25">
      <c r="A278" s="10">
        <v>122</v>
      </c>
      <c r="B278" s="10" t="s">
        <v>2315</v>
      </c>
      <c r="C278" s="880">
        <f t="shared" si="21"/>
        <v>25.1</v>
      </c>
      <c r="D278" s="880">
        <f t="shared" si="22"/>
        <v>41.383299999999998</v>
      </c>
      <c r="E278" s="10">
        <v>25.1</v>
      </c>
      <c r="F278" s="10">
        <v>41.383335000000002</v>
      </c>
      <c r="G278" s="10">
        <v>2</v>
      </c>
      <c r="H278" s="10" t="s">
        <v>1938</v>
      </c>
      <c r="I278" s="10" t="s">
        <v>2303</v>
      </c>
      <c r="J278" s="10" t="s">
        <v>2304</v>
      </c>
      <c r="K278" s="10" t="s">
        <v>2305</v>
      </c>
      <c r="L278" s="65" t="str">
        <f t="shared" si="23"/>
        <v>Zlatograd|Bulgaria|25,100000|41,383335|+2:00 Europe</v>
      </c>
      <c r="M278" s="10" t="s">
        <v>2316</v>
      </c>
      <c r="N278" s="10">
        <f t="shared" si="20"/>
        <v>0</v>
      </c>
      <c r="O278" t="str">
        <f t="shared" si="24"/>
        <v/>
      </c>
      <c r="P278" t="str">
        <f>IF(O278=1,COUNTIF($O$2:O278,1),"")</f>
        <v/>
      </c>
      <c r="Q278" t="str">
        <f>IFERROR(INDEX($M$2:$M$2388,MATCH(ROWS($P$2:P278),$P$2:$P$2388,0)),"")</f>
        <v/>
      </c>
    </row>
    <row r="279" spans="1:17" ht="15" x14ac:dyDescent="0.25">
      <c r="A279" s="10">
        <v>120</v>
      </c>
      <c r="B279" s="10" t="s">
        <v>2317</v>
      </c>
      <c r="C279" s="880">
        <f t="shared" si="21"/>
        <v>-4.3</v>
      </c>
      <c r="D279" s="880">
        <f t="shared" si="22"/>
        <v>11.2</v>
      </c>
      <c r="E279" s="10">
        <v>-4.3</v>
      </c>
      <c r="F279" s="10">
        <v>11.2</v>
      </c>
      <c r="G279" s="10">
        <v>0</v>
      </c>
      <c r="H279" s="10" t="s">
        <v>2318</v>
      </c>
      <c r="I279" s="10" t="s">
        <v>2319</v>
      </c>
      <c r="J279" s="10" t="s">
        <v>2320</v>
      </c>
      <c r="K279" s="10" t="s">
        <v>2321</v>
      </c>
      <c r="L279" s="65" t="str">
        <f t="shared" si="23"/>
        <v>Bobo Dioulasso|Burkina Faso|-4,300000|11,200000|+0:00 Africa</v>
      </c>
      <c r="M279" s="10" t="s">
        <v>2322</v>
      </c>
      <c r="N279" s="10">
        <f t="shared" si="20"/>
        <v>0</v>
      </c>
      <c r="O279" t="str">
        <f t="shared" si="24"/>
        <v/>
      </c>
      <c r="P279" t="str">
        <f>IF(O279=1,COUNTIF($O$2:O279,1),"")</f>
        <v/>
      </c>
      <c r="Q279" t="str">
        <f>IFERROR(INDEX($M$2:$M$2388,MATCH(ROWS($P$2:P279),$P$2:$P$2388,0)),"")</f>
        <v/>
      </c>
    </row>
    <row r="280" spans="1:17" ht="15" x14ac:dyDescent="0.25">
      <c r="A280" s="10">
        <v>119</v>
      </c>
      <c r="B280" s="10" t="s">
        <v>2323</v>
      </c>
      <c r="C280" s="880">
        <f t="shared" si="21"/>
        <v>-1.5246999999999999</v>
      </c>
      <c r="D280" s="880">
        <f t="shared" si="22"/>
        <v>12.370200000000001</v>
      </c>
      <c r="E280" s="10">
        <v>-1.5247219999999999</v>
      </c>
      <c r="F280" s="10">
        <v>12.370277</v>
      </c>
      <c r="G280" s="10">
        <v>0</v>
      </c>
      <c r="H280" s="10" t="s">
        <v>2318</v>
      </c>
      <c r="I280" s="10" t="s">
        <v>2319</v>
      </c>
      <c r="J280" s="10" t="s">
        <v>2320</v>
      </c>
      <c r="K280" s="10" t="s">
        <v>2321</v>
      </c>
      <c r="L280" s="65" t="str">
        <f t="shared" si="23"/>
        <v>Ouagadougou|Burkina Faso|-1,524722|12,370277|+0:00 Africa</v>
      </c>
      <c r="M280" s="10" t="s">
        <v>2324</v>
      </c>
      <c r="N280" s="10">
        <f t="shared" si="20"/>
        <v>0</v>
      </c>
      <c r="O280" t="str">
        <f t="shared" si="24"/>
        <v/>
      </c>
      <c r="P280" t="str">
        <f>IF(O280=1,COUNTIF($O$2:O280,1),"")</f>
        <v/>
      </c>
      <c r="Q280" t="str">
        <f>IFERROR(INDEX($M$2:$M$2388,MATCH(ROWS($P$2:P280),$P$2:$P$2388,0)),"")</f>
        <v/>
      </c>
    </row>
    <row r="281" spans="1:17" ht="15" x14ac:dyDescent="0.25">
      <c r="A281" s="10">
        <v>118</v>
      </c>
      <c r="B281" s="10" t="s">
        <v>2325</v>
      </c>
      <c r="C281" s="880">
        <f t="shared" si="21"/>
        <v>-2.2665999999999999</v>
      </c>
      <c r="D281" s="880">
        <f t="shared" si="22"/>
        <v>12.9666</v>
      </c>
      <c r="E281" s="10">
        <v>-2.266667</v>
      </c>
      <c r="F281" s="10">
        <v>12.966666999999999</v>
      </c>
      <c r="G281" s="10">
        <v>0</v>
      </c>
      <c r="H281" s="10" t="s">
        <v>2318</v>
      </c>
      <c r="I281" s="10" t="s">
        <v>2319</v>
      </c>
      <c r="J281" s="10" t="s">
        <v>2320</v>
      </c>
      <c r="K281" s="10" t="s">
        <v>2321</v>
      </c>
      <c r="L281" s="65" t="str">
        <f t="shared" si="23"/>
        <v>Yako|Burkina Faso|-2,266667|12,966667|+0:00 Africa</v>
      </c>
      <c r="M281" s="10" t="s">
        <v>2326</v>
      </c>
      <c r="N281" s="10">
        <f t="shared" si="20"/>
        <v>0</v>
      </c>
      <c r="O281" t="str">
        <f t="shared" si="24"/>
        <v/>
      </c>
      <c r="P281" t="str">
        <f>IF(O281=1,COUNTIF($O$2:O281,1),"")</f>
        <v/>
      </c>
      <c r="Q281" t="str">
        <f>IFERROR(INDEX($M$2:$M$2388,MATCH(ROWS($P$2:P281),$P$2:$P$2388,0)),"")</f>
        <v/>
      </c>
    </row>
    <row r="282" spans="1:17" ht="15" x14ac:dyDescent="0.25">
      <c r="A282" s="10">
        <v>117</v>
      </c>
      <c r="B282" s="10" t="s">
        <v>2327</v>
      </c>
      <c r="C282" s="880">
        <f t="shared" si="21"/>
        <v>-1.2983</v>
      </c>
      <c r="D282" s="880">
        <f t="shared" si="22"/>
        <v>12.5822</v>
      </c>
      <c r="E282" s="10">
        <v>-1.298333</v>
      </c>
      <c r="F282" s="10">
        <v>12.582222</v>
      </c>
      <c r="G282" s="10">
        <v>0</v>
      </c>
      <c r="H282" s="10" t="s">
        <v>2318</v>
      </c>
      <c r="I282" s="10" t="s">
        <v>2319</v>
      </c>
      <c r="J282" s="10" t="s">
        <v>2320</v>
      </c>
      <c r="K282" s="10" t="s">
        <v>2321</v>
      </c>
      <c r="L282" s="65" t="str">
        <f t="shared" si="23"/>
        <v>Ziniare|Burkina Faso|-1,298333|12,582222|+0:00 Africa</v>
      </c>
      <c r="M282" s="10" t="s">
        <v>2328</v>
      </c>
      <c r="N282" s="10">
        <f t="shared" si="20"/>
        <v>0</v>
      </c>
      <c r="O282" t="str">
        <f t="shared" si="24"/>
        <v/>
      </c>
      <c r="P282" t="str">
        <f>IF(O282=1,COUNTIF($O$2:O282,1),"")</f>
        <v/>
      </c>
      <c r="Q282" t="str">
        <f>IFERROR(INDEX($M$2:$M$2388,MATCH(ROWS($P$2:P282),$P$2:$P$2388,0)),"")</f>
        <v/>
      </c>
    </row>
    <row r="283" spans="1:17" ht="15" x14ac:dyDescent="0.25">
      <c r="A283" s="10">
        <v>116</v>
      </c>
      <c r="B283" s="10" t="s">
        <v>2329</v>
      </c>
      <c r="C283" s="880">
        <f t="shared" si="21"/>
        <v>-0.61580000000000001</v>
      </c>
      <c r="D283" s="880">
        <f t="shared" si="22"/>
        <v>12.248799999999999</v>
      </c>
      <c r="E283" s="10">
        <v>-0.61583299999999996</v>
      </c>
      <c r="F283" s="10">
        <v>12.248889</v>
      </c>
      <c r="G283" s="10">
        <v>0</v>
      </c>
      <c r="H283" s="10" t="s">
        <v>2318</v>
      </c>
      <c r="I283" s="10" t="s">
        <v>2319</v>
      </c>
      <c r="J283" s="10" t="s">
        <v>2320</v>
      </c>
      <c r="K283" s="10" t="s">
        <v>2321</v>
      </c>
      <c r="L283" s="65" t="str">
        <f t="shared" si="23"/>
        <v>Zorgho|Burkina Faso|-0,615833|12,248889|+0:00 Africa</v>
      </c>
      <c r="M283" s="10" t="s">
        <v>2330</v>
      </c>
      <c r="N283" s="10">
        <f t="shared" si="20"/>
        <v>0</v>
      </c>
      <c r="O283" t="str">
        <f t="shared" si="24"/>
        <v/>
      </c>
      <c r="P283" t="str">
        <f>IF(O283=1,COUNTIF($O$2:O283,1),"")</f>
        <v/>
      </c>
      <c r="Q283" t="str">
        <f>IFERROR(INDEX($M$2:$M$2388,MATCH(ROWS($P$2:P283),$P$2:$P$2388,0)),"")</f>
        <v/>
      </c>
    </row>
    <row r="284" spans="1:17" ht="15" x14ac:dyDescent="0.25">
      <c r="A284" s="10">
        <v>1501</v>
      </c>
      <c r="B284" s="10" t="s">
        <v>2331</v>
      </c>
      <c r="C284" s="880">
        <f t="shared" si="21"/>
        <v>96.479699999999994</v>
      </c>
      <c r="D284" s="880">
        <f t="shared" si="22"/>
        <v>17.336600000000001</v>
      </c>
      <c r="E284" s="10">
        <v>96.479720999999998</v>
      </c>
      <c r="F284" s="10">
        <v>17.336666000000001</v>
      </c>
      <c r="G284" s="10">
        <v>6.5</v>
      </c>
      <c r="H284" s="10" t="s">
        <v>2332</v>
      </c>
      <c r="I284" s="10" t="s">
        <v>2333</v>
      </c>
      <c r="J284" s="10" t="s">
        <v>2334</v>
      </c>
      <c r="K284" s="10" t="s">
        <v>2335</v>
      </c>
      <c r="L284" s="65" t="str">
        <f t="shared" si="23"/>
        <v>Bago|Burma|96,479721|17,336666|+6:30 Asia</v>
      </c>
      <c r="M284" s="10" t="s">
        <v>2336</v>
      </c>
      <c r="N284" s="10">
        <f t="shared" si="20"/>
        <v>0</v>
      </c>
      <c r="O284" t="str">
        <f t="shared" si="24"/>
        <v/>
      </c>
      <c r="P284" t="str">
        <f>IF(O284=1,COUNTIF($O$2:O284,1),"")</f>
        <v/>
      </c>
      <c r="Q284" t="str">
        <f>IFERROR(INDEX($M$2:$M$2388,MATCH(ROWS($P$2:P284),$P$2:$P$2388,0)),"")</f>
        <v/>
      </c>
    </row>
    <row r="285" spans="1:17" ht="15" x14ac:dyDescent="0.25">
      <c r="A285" s="10">
        <v>1503</v>
      </c>
      <c r="B285" s="10" t="s">
        <v>2337</v>
      </c>
      <c r="C285" s="880">
        <f t="shared" si="21"/>
        <v>96.083299999999994</v>
      </c>
      <c r="D285" s="880">
        <f t="shared" si="22"/>
        <v>22</v>
      </c>
      <c r="E285" s="10">
        <v>96.083336000000003</v>
      </c>
      <c r="F285" s="10">
        <v>22</v>
      </c>
      <c r="G285" s="10">
        <v>6.5</v>
      </c>
      <c r="H285" s="10" t="s">
        <v>2332</v>
      </c>
      <c r="I285" s="10" t="s">
        <v>2333</v>
      </c>
      <c r="J285" s="10" t="s">
        <v>2334</v>
      </c>
      <c r="K285" s="10" t="s">
        <v>2335</v>
      </c>
      <c r="L285" s="65" t="str">
        <f t="shared" si="23"/>
        <v>Mandalay|Burma|96,083336|22,000000|+6:30 Asia</v>
      </c>
      <c r="M285" s="10" t="s">
        <v>2338</v>
      </c>
      <c r="N285" s="10">
        <f t="shared" si="20"/>
        <v>0</v>
      </c>
      <c r="O285" t="str">
        <f t="shared" si="24"/>
        <v/>
      </c>
      <c r="P285" t="str">
        <f>IF(O285=1,COUNTIF($O$2:O285,1),"")</f>
        <v/>
      </c>
      <c r="Q285" t="str">
        <f>IFERROR(INDEX($M$2:$M$2388,MATCH(ROWS($P$2:P285),$P$2:$P$2388,0)),"")</f>
        <v/>
      </c>
    </row>
    <row r="286" spans="1:17" ht="15" x14ac:dyDescent="0.25">
      <c r="A286" s="10">
        <v>1502</v>
      </c>
      <c r="B286" s="10" t="s">
        <v>2339</v>
      </c>
      <c r="C286" s="880">
        <f t="shared" si="21"/>
        <v>97.625500000000002</v>
      </c>
      <c r="D286" s="880">
        <f t="shared" si="22"/>
        <v>16.491299999999999</v>
      </c>
      <c r="E286" s="10">
        <v>97.625557000000001</v>
      </c>
      <c r="F286" s="10">
        <v>16.491388000000001</v>
      </c>
      <c r="G286" s="10">
        <v>6.5</v>
      </c>
      <c r="H286" s="10" t="s">
        <v>2332</v>
      </c>
      <c r="I286" s="10" t="s">
        <v>2333</v>
      </c>
      <c r="J286" s="10" t="s">
        <v>2334</v>
      </c>
      <c r="K286" s="10" t="s">
        <v>2335</v>
      </c>
      <c r="L286" s="65" t="str">
        <f t="shared" si="23"/>
        <v>Mawlamyine|Burma|97,625557|16,491388|+6:30 Asia</v>
      </c>
      <c r="M286" s="10" t="s">
        <v>2340</v>
      </c>
      <c r="N286" s="10">
        <f t="shared" si="20"/>
        <v>0</v>
      </c>
      <c r="O286" t="str">
        <f t="shared" si="24"/>
        <v/>
      </c>
      <c r="P286" t="str">
        <f>IF(O286=1,COUNTIF($O$2:O286,1),"")</f>
        <v/>
      </c>
      <c r="Q286" t="str">
        <f>IFERROR(INDEX($M$2:$M$2388,MATCH(ROWS($P$2:P286),$P$2:$P$2388,0)),"")</f>
        <v/>
      </c>
    </row>
    <row r="287" spans="1:17" ht="15" x14ac:dyDescent="0.25">
      <c r="A287" s="10">
        <v>1498</v>
      </c>
      <c r="B287" s="10" t="s">
        <v>2341</v>
      </c>
      <c r="C287" s="880">
        <f t="shared" si="21"/>
        <v>95.65</v>
      </c>
      <c r="D287" s="880">
        <f t="shared" si="22"/>
        <v>17.033300000000001</v>
      </c>
      <c r="E287" s="10">
        <v>95.650002000000001</v>
      </c>
      <c r="F287" s="10">
        <v>17.033332999999999</v>
      </c>
      <c r="G287" s="10">
        <v>6.5</v>
      </c>
      <c r="H287" s="10" t="s">
        <v>2332</v>
      </c>
      <c r="I287" s="10" t="s">
        <v>2333</v>
      </c>
      <c r="J287" s="10" t="s">
        <v>2334</v>
      </c>
      <c r="K287" s="10" t="s">
        <v>2335</v>
      </c>
      <c r="L287" s="65" t="str">
        <f t="shared" si="23"/>
        <v>Nyaungdon|Burma|95,650002|17,033333|+6:30 Asia</v>
      </c>
      <c r="M287" s="10" t="s">
        <v>2342</v>
      </c>
      <c r="N287" s="10">
        <f t="shared" si="20"/>
        <v>0</v>
      </c>
      <c r="O287" t="str">
        <f t="shared" si="24"/>
        <v/>
      </c>
      <c r="P287" t="str">
        <f>IF(O287=1,COUNTIF($O$2:O287,1),"")</f>
        <v/>
      </c>
      <c r="Q287" t="str">
        <f>IFERROR(INDEX($M$2:$M$2388,MATCH(ROWS($P$2:P287),$P$2:$P$2388,0)),"")</f>
        <v/>
      </c>
    </row>
    <row r="288" spans="1:17" ht="15" x14ac:dyDescent="0.25">
      <c r="A288" s="10">
        <v>1504</v>
      </c>
      <c r="B288" s="10" t="s">
        <v>2343</v>
      </c>
      <c r="C288" s="880">
        <f t="shared" si="21"/>
        <v>94.7333</v>
      </c>
      <c r="D288" s="880">
        <f t="shared" si="22"/>
        <v>16.783300000000001</v>
      </c>
      <c r="E288" s="10">
        <v>94.733329999999995</v>
      </c>
      <c r="F288" s="10">
        <v>16.783332999999999</v>
      </c>
      <c r="G288" s="10">
        <v>6.5</v>
      </c>
      <c r="H288" s="10" t="s">
        <v>2332</v>
      </c>
      <c r="I288" s="10" t="s">
        <v>2333</v>
      </c>
      <c r="J288" s="10" t="s">
        <v>2334</v>
      </c>
      <c r="K288" s="10" t="s">
        <v>2335</v>
      </c>
      <c r="L288" s="65" t="str">
        <f t="shared" si="23"/>
        <v>Pathein|Burma|94,733330|16,783333|+6:30 Asia</v>
      </c>
      <c r="M288" s="10" t="s">
        <v>2344</v>
      </c>
      <c r="N288" s="10">
        <f t="shared" si="20"/>
        <v>0</v>
      </c>
      <c r="O288" t="str">
        <f t="shared" si="24"/>
        <v/>
      </c>
      <c r="P288" t="str">
        <f>IF(O288=1,COUNTIF($O$2:O288,1),"")</f>
        <v/>
      </c>
      <c r="Q288" t="str">
        <f>IFERROR(INDEX($M$2:$M$2388,MATCH(ROWS($P$2:P288),$P$2:$P$2388,0)),"")</f>
        <v/>
      </c>
    </row>
    <row r="289" spans="1:17" ht="15" x14ac:dyDescent="0.25">
      <c r="A289" s="10">
        <v>1500</v>
      </c>
      <c r="B289" s="10" t="s">
        <v>2345</v>
      </c>
      <c r="C289" s="880">
        <f t="shared" si="21"/>
        <v>96.156099999999995</v>
      </c>
      <c r="D289" s="880">
        <f t="shared" si="22"/>
        <v>16.805199999999999</v>
      </c>
      <c r="E289" s="10">
        <v>96.156113000000005</v>
      </c>
      <c r="F289" s="10">
        <v>16.805277</v>
      </c>
      <c r="G289" s="10">
        <v>6.5</v>
      </c>
      <c r="H289" s="10" t="s">
        <v>2332</v>
      </c>
      <c r="I289" s="10" t="s">
        <v>2333</v>
      </c>
      <c r="J289" s="10" t="s">
        <v>2334</v>
      </c>
      <c r="K289" s="10" t="s">
        <v>2335</v>
      </c>
      <c r="L289" s="65" t="str">
        <f t="shared" si="23"/>
        <v>Rangoon|Burma|96,156113|16,805277|+6:30 Asia</v>
      </c>
      <c r="M289" s="10" t="s">
        <v>2346</v>
      </c>
      <c r="N289" s="10">
        <f t="shared" si="20"/>
        <v>0</v>
      </c>
      <c r="O289" t="str">
        <f t="shared" si="24"/>
        <v/>
      </c>
      <c r="P289" t="str">
        <f>IF(O289=1,COUNTIF($O$2:O289,1),"")</f>
        <v/>
      </c>
      <c r="Q289" t="str">
        <f>IFERROR(INDEX($M$2:$M$2388,MATCH(ROWS($P$2:P289),$P$2:$P$2388,0)),"")</f>
        <v/>
      </c>
    </row>
    <row r="290" spans="1:17" ht="15" x14ac:dyDescent="0.25">
      <c r="A290" s="10">
        <v>1499</v>
      </c>
      <c r="B290" s="10" t="s">
        <v>2347</v>
      </c>
      <c r="C290" s="880">
        <f t="shared" si="21"/>
        <v>96.15</v>
      </c>
      <c r="D290" s="880">
        <f t="shared" si="22"/>
        <v>20.433299999999999</v>
      </c>
      <c r="E290" s="10">
        <v>96.150002000000001</v>
      </c>
      <c r="F290" s="10">
        <v>20.433332</v>
      </c>
      <c r="G290" s="10">
        <v>6.5</v>
      </c>
      <c r="H290" s="10" t="s">
        <v>2332</v>
      </c>
      <c r="I290" s="10" t="s">
        <v>2333</v>
      </c>
      <c r="J290" s="10" t="s">
        <v>2334</v>
      </c>
      <c r="K290" s="10" t="s">
        <v>2335</v>
      </c>
      <c r="L290" s="65" t="str">
        <f t="shared" si="23"/>
        <v>Yamethin|Burma|96,150002|20,433332|+6:30 Asia</v>
      </c>
      <c r="M290" s="10" t="s">
        <v>2348</v>
      </c>
      <c r="N290" s="10">
        <f t="shared" si="20"/>
        <v>0</v>
      </c>
      <c r="O290" t="str">
        <f t="shared" si="24"/>
        <v/>
      </c>
      <c r="P290" t="str">
        <f>IF(O290=1,COUNTIF($O$2:O290,1),"")</f>
        <v/>
      </c>
      <c r="Q290" t="str">
        <f>IFERROR(INDEX($M$2:$M$2388,MATCH(ROWS($P$2:P290),$P$2:$P$2388,0)),"")</f>
        <v/>
      </c>
    </row>
    <row r="291" spans="1:17" ht="15" x14ac:dyDescent="0.25">
      <c r="A291" s="10">
        <v>1497</v>
      </c>
      <c r="B291" s="10" t="s">
        <v>2349</v>
      </c>
      <c r="C291" s="880">
        <f t="shared" si="21"/>
        <v>94.883300000000006</v>
      </c>
      <c r="D291" s="880">
        <f t="shared" si="22"/>
        <v>20.4666</v>
      </c>
      <c r="E291" s="10">
        <v>94.883330999999998</v>
      </c>
      <c r="F291" s="10">
        <v>20.466667000000001</v>
      </c>
      <c r="G291" s="10">
        <v>6.5</v>
      </c>
      <c r="H291" s="10" t="s">
        <v>2332</v>
      </c>
      <c r="I291" s="10" t="s">
        <v>2333</v>
      </c>
      <c r="J291" s="10" t="s">
        <v>2334</v>
      </c>
      <c r="K291" s="10" t="s">
        <v>2335</v>
      </c>
      <c r="L291" s="65" t="str">
        <f t="shared" si="23"/>
        <v>Yenangyaung|Burma|94,883331|20,466667|+6:30 Asia</v>
      </c>
      <c r="M291" s="10" t="s">
        <v>2350</v>
      </c>
      <c r="N291" s="10">
        <f t="shared" si="20"/>
        <v>0</v>
      </c>
      <c r="O291" t="str">
        <f t="shared" si="24"/>
        <v/>
      </c>
      <c r="P291" t="str">
        <f>IF(O291=1,COUNTIF($O$2:O291,1),"")</f>
        <v/>
      </c>
      <c r="Q291" t="str">
        <f>IFERROR(INDEX($M$2:$M$2388,MATCH(ROWS($P$2:P291),$P$2:$P$2388,0)),"")</f>
        <v/>
      </c>
    </row>
    <row r="292" spans="1:17" ht="15" x14ac:dyDescent="0.25">
      <c r="A292" s="10">
        <v>133</v>
      </c>
      <c r="B292" s="10" t="s">
        <v>2351</v>
      </c>
      <c r="C292" s="880">
        <f t="shared" si="21"/>
        <v>29.36</v>
      </c>
      <c r="D292" s="880">
        <f t="shared" si="22"/>
        <v>-3.3761000000000001</v>
      </c>
      <c r="E292" s="10">
        <v>29.360001</v>
      </c>
      <c r="F292" s="10">
        <v>-3.3761109999999999</v>
      </c>
      <c r="G292" s="10">
        <v>2</v>
      </c>
      <c r="H292" s="10" t="s">
        <v>1938</v>
      </c>
      <c r="I292" s="10" t="s">
        <v>2352</v>
      </c>
      <c r="J292" s="10" t="s">
        <v>2353</v>
      </c>
      <c r="K292" s="10" t="s">
        <v>2354</v>
      </c>
      <c r="L292" s="65" t="str">
        <f t="shared" si="23"/>
        <v>Bujumbura|Burundi|29,360001|-3,376111|+2:00 Africa</v>
      </c>
      <c r="M292" s="10" t="s">
        <v>2355</v>
      </c>
      <c r="N292" s="10">
        <f t="shared" si="20"/>
        <v>0</v>
      </c>
      <c r="O292" t="str">
        <f t="shared" si="24"/>
        <v/>
      </c>
      <c r="P292" t="str">
        <f>IF(O292=1,COUNTIF($O$2:O292,1),"")</f>
        <v/>
      </c>
      <c r="Q292" t="str">
        <f>IFERROR(INDEX($M$2:$M$2388,MATCH(ROWS($P$2:P292),$P$2:$P$2388,0)),"")</f>
        <v/>
      </c>
    </row>
    <row r="293" spans="1:17" ht="15" x14ac:dyDescent="0.25">
      <c r="A293" s="10">
        <v>131</v>
      </c>
      <c r="B293" s="10" t="s">
        <v>2356</v>
      </c>
      <c r="C293" s="880">
        <f t="shared" si="21"/>
        <v>29.624300000000002</v>
      </c>
      <c r="D293" s="880">
        <f t="shared" si="22"/>
        <v>-3.9487000000000001</v>
      </c>
      <c r="E293" s="10">
        <v>29.624376000000002</v>
      </c>
      <c r="F293" s="10">
        <v>-3.9487730000000001</v>
      </c>
      <c r="G293" s="10">
        <v>2</v>
      </c>
      <c r="H293" s="10" t="s">
        <v>1938</v>
      </c>
      <c r="I293" s="10" t="s">
        <v>2352</v>
      </c>
      <c r="J293" s="10" t="s">
        <v>2353</v>
      </c>
      <c r="K293" s="10" t="s">
        <v>2354</v>
      </c>
      <c r="L293" s="65" t="str">
        <f t="shared" si="23"/>
        <v>Bururi|Burundi|29,624376|-3,948773|+2:00 Africa</v>
      </c>
      <c r="M293" s="10" t="s">
        <v>2357</v>
      </c>
      <c r="N293" s="10">
        <f t="shared" si="20"/>
        <v>0</v>
      </c>
      <c r="O293" t="str">
        <f t="shared" si="24"/>
        <v/>
      </c>
      <c r="P293" t="str">
        <f>IF(O293=1,COUNTIF($O$2:O293,1),"")</f>
        <v/>
      </c>
      <c r="Q293" t="str">
        <f>IFERROR(INDEX($M$2:$M$2388,MATCH(ROWS($P$2:P293),$P$2:$P$2388,0)),"")</f>
        <v/>
      </c>
    </row>
    <row r="294" spans="1:17" ht="15" x14ac:dyDescent="0.25">
      <c r="A294" s="10">
        <v>130</v>
      </c>
      <c r="B294" s="10" t="s">
        <v>2358</v>
      </c>
      <c r="C294" s="880">
        <f t="shared" si="21"/>
        <v>29.805</v>
      </c>
      <c r="D294" s="880">
        <f t="shared" si="22"/>
        <v>-4.1346999999999996</v>
      </c>
      <c r="E294" s="10">
        <v>29.805</v>
      </c>
      <c r="F294" s="10">
        <v>-4.134722</v>
      </c>
      <c r="G294" s="10">
        <v>2</v>
      </c>
      <c r="H294" s="10" t="s">
        <v>1938</v>
      </c>
      <c r="I294" s="10" t="s">
        <v>2352</v>
      </c>
      <c r="J294" s="10" t="s">
        <v>2353</v>
      </c>
      <c r="K294" s="10" t="s">
        <v>2354</v>
      </c>
      <c r="L294" s="65" t="str">
        <f t="shared" si="23"/>
        <v>Makamba|Burundi|29,805000|-4,134722|+2:00 Africa</v>
      </c>
      <c r="M294" s="10" t="s">
        <v>2359</v>
      </c>
      <c r="N294" s="10">
        <f t="shared" si="20"/>
        <v>0</v>
      </c>
      <c r="O294" t="str">
        <f t="shared" si="24"/>
        <v/>
      </c>
      <c r="P294" t="str">
        <f>IF(O294=1,COUNTIF($O$2:O294,1),"")</f>
        <v/>
      </c>
      <c r="Q294" t="str">
        <f>IFERROR(INDEX($M$2:$M$2388,MATCH(ROWS($P$2:P294),$P$2:$P$2388,0)),"")</f>
        <v/>
      </c>
    </row>
    <row r="295" spans="1:17" ht="15" x14ac:dyDescent="0.25">
      <c r="A295" s="10">
        <v>132</v>
      </c>
      <c r="B295" s="10" t="s">
        <v>2360</v>
      </c>
      <c r="C295" s="880">
        <f t="shared" si="21"/>
        <v>29.438800000000001</v>
      </c>
      <c r="D295" s="880">
        <f t="shared" si="22"/>
        <v>-3.9722</v>
      </c>
      <c r="E295" s="10">
        <v>29.438889</v>
      </c>
      <c r="F295" s="10">
        <v>-3.9722219999999999</v>
      </c>
      <c r="G295" s="10">
        <v>2</v>
      </c>
      <c r="H295" s="10" t="s">
        <v>1938</v>
      </c>
      <c r="I295" s="10" t="s">
        <v>2352</v>
      </c>
      <c r="J295" s="10" t="s">
        <v>2353</v>
      </c>
      <c r="K295" s="10" t="s">
        <v>2354</v>
      </c>
      <c r="L295" s="65" t="str">
        <f t="shared" si="23"/>
        <v>Rumonge|Burundi|29,438889|-3,972222|+2:00 Africa</v>
      </c>
      <c r="M295" s="10" t="s">
        <v>2361</v>
      </c>
      <c r="N295" s="10">
        <f t="shared" si="20"/>
        <v>0</v>
      </c>
      <c r="O295" t="str">
        <f t="shared" si="24"/>
        <v/>
      </c>
      <c r="P295" t="str">
        <f>IF(O295=1,COUNTIF($O$2:O295,1),"")</f>
        <v/>
      </c>
      <c r="Q295" t="str">
        <f>IFERROR(INDEX($M$2:$M$2388,MATCH(ROWS($P$2:P295),$P$2:$P$2388,0)),"")</f>
        <v/>
      </c>
    </row>
    <row r="296" spans="1:17" ht="15" x14ac:dyDescent="0.25">
      <c r="A296" s="10">
        <v>1347</v>
      </c>
      <c r="B296" s="10" t="s">
        <v>2362</v>
      </c>
      <c r="C296" s="880">
        <f t="shared" si="21"/>
        <v>104.9166</v>
      </c>
      <c r="D296" s="880">
        <f t="shared" si="22"/>
        <v>11.55</v>
      </c>
      <c r="E296" s="10">
        <v>104.916664</v>
      </c>
      <c r="F296" s="10">
        <v>11.55</v>
      </c>
      <c r="G296" s="10">
        <v>7</v>
      </c>
      <c r="H296" s="10" t="s">
        <v>2363</v>
      </c>
      <c r="I296" s="10" t="s">
        <v>2364</v>
      </c>
      <c r="J296" s="10" t="s">
        <v>2365</v>
      </c>
      <c r="K296" s="10" t="s">
        <v>2366</v>
      </c>
      <c r="L296" s="65" t="str">
        <f t="shared" si="23"/>
        <v>Phnom Penh|Cambodia|104,916664|11,550000|+7:00 Asia</v>
      </c>
      <c r="M296" s="10" t="s">
        <v>2367</v>
      </c>
      <c r="N296" s="10">
        <f t="shared" si="20"/>
        <v>0</v>
      </c>
      <c r="O296" t="str">
        <f t="shared" si="24"/>
        <v/>
      </c>
      <c r="P296" t="str">
        <f>IF(O296=1,COUNTIF($O$2:O296,1),"")</f>
        <v/>
      </c>
      <c r="Q296" t="str">
        <f>IFERROR(INDEX($M$2:$M$2388,MATCH(ROWS($P$2:P296),$P$2:$P$2388,0)),"")</f>
        <v/>
      </c>
    </row>
    <row r="297" spans="1:17" ht="15" x14ac:dyDescent="0.25">
      <c r="A297" s="10">
        <v>1349</v>
      </c>
      <c r="B297" s="10" t="s">
        <v>2368</v>
      </c>
      <c r="C297" s="880">
        <f t="shared" si="21"/>
        <v>102.9833</v>
      </c>
      <c r="D297" s="880">
        <f t="shared" si="22"/>
        <v>13.583299999999999</v>
      </c>
      <c r="E297" s="10">
        <v>102.98333</v>
      </c>
      <c r="F297" s="10">
        <v>13.583333</v>
      </c>
      <c r="G297" s="10">
        <v>7</v>
      </c>
      <c r="H297" s="10" t="s">
        <v>2363</v>
      </c>
      <c r="I297" s="10" t="s">
        <v>2364</v>
      </c>
      <c r="J297" s="10" t="s">
        <v>2365</v>
      </c>
      <c r="K297" s="10" t="s">
        <v>2366</v>
      </c>
      <c r="L297" s="65" t="str">
        <f t="shared" si="23"/>
        <v>Sisophon|Cambodia|102,983330|13,583333|+7:00 Asia</v>
      </c>
      <c r="M297" s="10" t="s">
        <v>2369</v>
      </c>
      <c r="N297" s="10">
        <f t="shared" si="20"/>
        <v>0</v>
      </c>
      <c r="O297" t="str">
        <f t="shared" si="24"/>
        <v/>
      </c>
      <c r="P297" t="str">
        <f>IF(O297=1,COUNTIF($O$2:O297,1),"")</f>
        <v/>
      </c>
      <c r="Q297" t="str">
        <f>IFERROR(INDEX($M$2:$M$2388,MATCH(ROWS($P$2:P297),$P$2:$P$2388,0)),"")</f>
        <v/>
      </c>
    </row>
    <row r="298" spans="1:17" ht="15" x14ac:dyDescent="0.25">
      <c r="A298" s="10">
        <v>1348</v>
      </c>
      <c r="B298" s="10" t="s">
        <v>2370</v>
      </c>
      <c r="C298" s="880">
        <f t="shared" si="21"/>
        <v>104.9499</v>
      </c>
      <c r="D298" s="880">
        <f t="shared" si="22"/>
        <v>11.4833</v>
      </c>
      <c r="E298" s="10">
        <v>104.949997</v>
      </c>
      <c r="F298" s="10">
        <v>11.483333999999999</v>
      </c>
      <c r="G298" s="10">
        <v>7</v>
      </c>
      <c r="H298" s="10" t="s">
        <v>2363</v>
      </c>
      <c r="I298" s="10" t="s">
        <v>2364</v>
      </c>
      <c r="J298" s="10" t="s">
        <v>2365</v>
      </c>
      <c r="K298" s="10" t="s">
        <v>2366</v>
      </c>
      <c r="L298" s="65" t="str">
        <f t="shared" si="23"/>
        <v>Ta Khmau|Cambodia|104,949997|11,483334|+7:00 Asia</v>
      </c>
      <c r="M298" s="10" t="s">
        <v>2371</v>
      </c>
      <c r="N298" s="10">
        <f t="shared" si="20"/>
        <v>0</v>
      </c>
      <c r="O298" t="str">
        <f t="shared" si="24"/>
        <v/>
      </c>
      <c r="P298" t="str">
        <f>IF(O298=1,COUNTIF($O$2:O298,1),"")</f>
        <v/>
      </c>
      <c r="Q298" t="str">
        <f>IFERROR(INDEX($M$2:$M$2388,MATCH(ROWS($P$2:P298),$P$2:$P$2388,0)),"")</f>
        <v/>
      </c>
    </row>
    <row r="299" spans="1:17" ht="15" x14ac:dyDescent="0.25">
      <c r="A299" s="10">
        <v>364</v>
      </c>
      <c r="B299" s="10" t="s">
        <v>2372</v>
      </c>
      <c r="C299" s="880">
        <f t="shared" si="21"/>
        <v>10.416600000000001</v>
      </c>
      <c r="D299" s="880">
        <f t="shared" si="22"/>
        <v>5.4665999999999997</v>
      </c>
      <c r="E299" s="10">
        <v>10.416667</v>
      </c>
      <c r="F299" s="10">
        <v>5.4666670000000002</v>
      </c>
      <c r="G299" s="10">
        <v>1</v>
      </c>
      <c r="H299" s="10" t="s">
        <v>1670</v>
      </c>
      <c r="I299" s="10" t="s">
        <v>2373</v>
      </c>
      <c r="J299" s="10" t="s">
        <v>2374</v>
      </c>
      <c r="K299" s="10" t="s">
        <v>2375</v>
      </c>
      <c r="L299" s="65" t="str">
        <f t="shared" si="23"/>
        <v>Bafoussam|Cameroon|10,416667|5,466667|+1:00 Africa</v>
      </c>
      <c r="M299" s="10" t="s">
        <v>2376</v>
      </c>
      <c r="N299" s="10">
        <f t="shared" si="20"/>
        <v>0</v>
      </c>
      <c r="O299" t="str">
        <f t="shared" si="24"/>
        <v/>
      </c>
      <c r="P299" t="str">
        <f>IF(O299=1,COUNTIF($O$2:O299,1),"")</f>
        <v/>
      </c>
      <c r="Q299" t="str">
        <f>IFERROR(INDEX($M$2:$M$2388,MATCH(ROWS($P$2:P299),$P$2:$P$2388,0)),"")</f>
        <v/>
      </c>
    </row>
    <row r="300" spans="1:17" ht="15" x14ac:dyDescent="0.25">
      <c r="A300" s="10">
        <v>363</v>
      </c>
      <c r="B300" s="10" t="s">
        <v>2377</v>
      </c>
      <c r="C300" s="880">
        <f t="shared" si="21"/>
        <v>10.166600000000001</v>
      </c>
      <c r="D300" s="880">
        <f t="shared" si="22"/>
        <v>5.9333</v>
      </c>
      <c r="E300" s="10">
        <v>10.166667</v>
      </c>
      <c r="F300" s="10">
        <v>5.9333330000000002</v>
      </c>
      <c r="G300" s="10">
        <v>1</v>
      </c>
      <c r="H300" s="10" t="s">
        <v>1670</v>
      </c>
      <c r="I300" s="10" t="s">
        <v>2373</v>
      </c>
      <c r="J300" s="10" t="s">
        <v>2374</v>
      </c>
      <c r="K300" s="10" t="s">
        <v>2375</v>
      </c>
      <c r="L300" s="65" t="str">
        <f t="shared" si="23"/>
        <v>Bamenda|Cameroon|10,166667|5,933333|+1:00 Africa</v>
      </c>
      <c r="M300" s="10" t="s">
        <v>2378</v>
      </c>
      <c r="N300" s="10">
        <f t="shared" si="20"/>
        <v>0</v>
      </c>
      <c r="O300" t="str">
        <f t="shared" si="24"/>
        <v/>
      </c>
      <c r="P300" t="str">
        <f>IF(O300=1,COUNTIF($O$2:O300,1),"")</f>
        <v/>
      </c>
      <c r="Q300" t="str">
        <f>IFERROR(INDEX($M$2:$M$2388,MATCH(ROWS($P$2:P300),$P$2:$P$2388,0)),"")</f>
        <v/>
      </c>
    </row>
    <row r="301" spans="1:17" ht="15" x14ac:dyDescent="0.25">
      <c r="A301" s="10">
        <v>362</v>
      </c>
      <c r="B301" s="10" t="s">
        <v>2379</v>
      </c>
      <c r="C301" s="880">
        <f t="shared" si="21"/>
        <v>13.683299999999999</v>
      </c>
      <c r="D301" s="880">
        <f t="shared" si="22"/>
        <v>4.5833000000000004</v>
      </c>
      <c r="E301" s="10">
        <v>13.683332999999999</v>
      </c>
      <c r="F301" s="10">
        <v>4.5833329999999997</v>
      </c>
      <c r="G301" s="10">
        <v>1</v>
      </c>
      <c r="H301" s="10" t="s">
        <v>1670</v>
      </c>
      <c r="I301" s="10" t="s">
        <v>2373</v>
      </c>
      <c r="J301" s="10" t="s">
        <v>2374</v>
      </c>
      <c r="K301" s="10" t="s">
        <v>2375</v>
      </c>
      <c r="L301" s="65" t="str">
        <f t="shared" si="23"/>
        <v>Bertoua|Cameroon|13,683333|4,583333|+1:00 Africa</v>
      </c>
      <c r="M301" s="10" t="s">
        <v>2380</v>
      </c>
      <c r="N301" s="10">
        <f t="shared" si="20"/>
        <v>0</v>
      </c>
      <c r="O301" t="str">
        <f t="shared" si="24"/>
        <v/>
      </c>
      <c r="P301" t="str">
        <f>IF(O301=1,COUNTIF($O$2:O301,1),"")</f>
        <v/>
      </c>
      <c r="Q301" t="str">
        <f>IFERROR(INDEX($M$2:$M$2388,MATCH(ROWS($P$2:P301),$P$2:$P$2388,0)),"")</f>
        <v/>
      </c>
    </row>
    <row r="302" spans="1:17" ht="15" x14ac:dyDescent="0.25">
      <c r="A302" s="10">
        <v>361</v>
      </c>
      <c r="B302" s="10" t="s">
        <v>2381</v>
      </c>
      <c r="C302" s="880">
        <f t="shared" si="21"/>
        <v>9.6999999999999993</v>
      </c>
      <c r="D302" s="880">
        <f t="shared" si="22"/>
        <v>4.0502000000000002</v>
      </c>
      <c r="E302" s="10">
        <v>9.6999999999999993</v>
      </c>
      <c r="F302" s="10">
        <v>4.0502779999999996</v>
      </c>
      <c r="G302" s="10">
        <v>1</v>
      </c>
      <c r="H302" s="10" t="s">
        <v>1670</v>
      </c>
      <c r="I302" s="10" t="s">
        <v>2373</v>
      </c>
      <c r="J302" s="10" t="s">
        <v>2374</v>
      </c>
      <c r="K302" s="10" t="s">
        <v>2375</v>
      </c>
      <c r="L302" s="65" t="str">
        <f t="shared" si="23"/>
        <v>Douala|Cameroon|9,700000|4,050278|+1:00 Africa</v>
      </c>
      <c r="M302" s="10" t="s">
        <v>2382</v>
      </c>
      <c r="N302" s="10">
        <f t="shared" si="20"/>
        <v>0</v>
      </c>
      <c r="O302" t="str">
        <f t="shared" si="24"/>
        <v/>
      </c>
      <c r="P302" t="str">
        <f>IF(O302=1,COUNTIF($O$2:O302,1),"")</f>
        <v/>
      </c>
      <c r="Q302" t="str">
        <f>IFERROR(INDEX($M$2:$M$2388,MATCH(ROWS($P$2:P302),$P$2:$P$2388,0)),"")</f>
        <v/>
      </c>
    </row>
    <row r="303" spans="1:17" ht="15" x14ac:dyDescent="0.25">
      <c r="A303" s="10">
        <v>360</v>
      </c>
      <c r="B303" s="10" t="s">
        <v>2383</v>
      </c>
      <c r="C303" s="880">
        <f t="shared" si="21"/>
        <v>10.1333</v>
      </c>
      <c r="D303" s="880">
        <f t="shared" si="22"/>
        <v>3.8</v>
      </c>
      <c r="E303" s="10">
        <v>10.133333</v>
      </c>
      <c r="F303" s="10">
        <v>3.8</v>
      </c>
      <c r="G303" s="10">
        <v>1</v>
      </c>
      <c r="H303" s="10" t="s">
        <v>1670</v>
      </c>
      <c r="I303" s="10" t="s">
        <v>2373</v>
      </c>
      <c r="J303" s="10" t="s">
        <v>2374</v>
      </c>
      <c r="K303" s="10" t="s">
        <v>2375</v>
      </c>
      <c r="L303" s="65" t="str">
        <f t="shared" si="23"/>
        <v>Edea|Cameroon|10,133333|3,800000|+1:00 Africa</v>
      </c>
      <c r="M303" s="10" t="s">
        <v>2384</v>
      </c>
      <c r="N303" s="10">
        <f t="shared" si="20"/>
        <v>0</v>
      </c>
      <c r="O303" t="str">
        <f t="shared" si="24"/>
        <v/>
      </c>
      <c r="P303" t="str">
        <f>IF(O303=1,COUNTIF($O$2:O303,1),"")</f>
        <v/>
      </c>
      <c r="Q303" t="str">
        <f>IFERROR(INDEX($M$2:$M$2388,MATCH(ROWS($P$2:P303),$P$2:$P$2388,0)),"")</f>
        <v/>
      </c>
    </row>
    <row r="304" spans="1:17" ht="15" x14ac:dyDescent="0.25">
      <c r="A304" s="10">
        <v>359</v>
      </c>
      <c r="B304" s="10" t="s">
        <v>2385</v>
      </c>
      <c r="C304" s="880">
        <f t="shared" si="21"/>
        <v>13.4</v>
      </c>
      <c r="D304" s="880">
        <f t="shared" si="22"/>
        <v>9.3000000000000007</v>
      </c>
      <c r="E304" s="10">
        <v>13.4</v>
      </c>
      <c r="F304" s="10">
        <v>9.3000000000000007</v>
      </c>
      <c r="G304" s="10">
        <v>1</v>
      </c>
      <c r="H304" s="10" t="s">
        <v>1670</v>
      </c>
      <c r="I304" s="10" t="s">
        <v>2373</v>
      </c>
      <c r="J304" s="10" t="s">
        <v>2374</v>
      </c>
      <c r="K304" s="10" t="s">
        <v>2375</v>
      </c>
      <c r="L304" s="65" t="str">
        <f t="shared" si="23"/>
        <v>Garoua|Cameroon|13,400000|9,300000|+1:00 Africa</v>
      </c>
      <c r="M304" s="10" t="s">
        <v>2386</v>
      </c>
      <c r="N304" s="10">
        <f t="shared" si="20"/>
        <v>0</v>
      </c>
      <c r="O304" t="str">
        <f t="shared" si="24"/>
        <v/>
      </c>
      <c r="P304" t="str">
        <f>IF(O304=1,COUNTIF($O$2:O304,1),"")</f>
        <v/>
      </c>
      <c r="Q304" t="str">
        <f>IFERROR(INDEX($M$2:$M$2388,MATCH(ROWS($P$2:P304),$P$2:$P$2388,0)),"")</f>
        <v/>
      </c>
    </row>
    <row r="305" spans="1:17" ht="15" x14ac:dyDescent="0.25">
      <c r="A305" s="10">
        <v>358</v>
      </c>
      <c r="B305" s="10" t="s">
        <v>2387</v>
      </c>
      <c r="C305" s="880">
        <f t="shared" si="21"/>
        <v>15.030799999999999</v>
      </c>
      <c r="D305" s="880">
        <f t="shared" si="22"/>
        <v>12.0783</v>
      </c>
      <c r="E305" s="10">
        <v>15.030832999999999</v>
      </c>
      <c r="F305" s="10">
        <v>12.078333000000001</v>
      </c>
      <c r="G305" s="10">
        <v>1</v>
      </c>
      <c r="H305" s="10" t="s">
        <v>1670</v>
      </c>
      <c r="I305" s="10" t="s">
        <v>2373</v>
      </c>
      <c r="J305" s="10" t="s">
        <v>2374</v>
      </c>
      <c r="K305" s="10" t="s">
        <v>2375</v>
      </c>
      <c r="L305" s="65" t="str">
        <f t="shared" si="23"/>
        <v>Kousseri|Cameroon|15,030833|12,078333|+1:00 Africa</v>
      </c>
      <c r="M305" s="10" t="s">
        <v>2388</v>
      </c>
      <c r="N305" s="10">
        <f t="shared" si="20"/>
        <v>0</v>
      </c>
      <c r="O305" t="str">
        <f t="shared" si="24"/>
        <v/>
      </c>
      <c r="P305" t="str">
        <f>IF(O305=1,COUNTIF($O$2:O305,1),"")</f>
        <v/>
      </c>
      <c r="Q305" t="str">
        <f>IFERROR(INDEX($M$2:$M$2388,MATCH(ROWS($P$2:P305),$P$2:$P$2388,0)),"")</f>
        <v/>
      </c>
    </row>
    <row r="306" spans="1:17" ht="15" x14ac:dyDescent="0.25">
      <c r="A306" s="10">
        <v>357</v>
      </c>
      <c r="B306" s="10" t="s">
        <v>2389</v>
      </c>
      <c r="C306" s="880">
        <f t="shared" si="21"/>
        <v>14.3247</v>
      </c>
      <c r="D306" s="880">
        <f t="shared" si="22"/>
        <v>10.595499999999999</v>
      </c>
      <c r="E306" s="10">
        <v>14.324722</v>
      </c>
      <c r="F306" s="10">
        <v>10.595554999999999</v>
      </c>
      <c r="G306" s="10">
        <v>1</v>
      </c>
      <c r="H306" s="10" t="s">
        <v>1670</v>
      </c>
      <c r="I306" s="10" t="s">
        <v>2373</v>
      </c>
      <c r="J306" s="10" t="s">
        <v>2374</v>
      </c>
      <c r="K306" s="10" t="s">
        <v>2375</v>
      </c>
      <c r="L306" s="65" t="str">
        <f t="shared" si="23"/>
        <v>Maroua|Cameroon|14,324722|10,595555|+1:00 Africa</v>
      </c>
      <c r="M306" s="10" t="s">
        <v>2390</v>
      </c>
      <c r="N306" s="10">
        <f t="shared" si="20"/>
        <v>0</v>
      </c>
      <c r="O306" t="str">
        <f t="shared" si="24"/>
        <v/>
      </c>
      <c r="P306" t="str">
        <f>IF(O306=1,COUNTIF($O$2:O306,1),"")</f>
        <v/>
      </c>
      <c r="Q306" t="str">
        <f>IFERROR(INDEX($M$2:$M$2388,MATCH(ROWS($P$2:P306),$P$2:$P$2388,0)),"")</f>
        <v/>
      </c>
    </row>
    <row r="307" spans="1:17" ht="15" x14ac:dyDescent="0.25">
      <c r="A307" s="10">
        <v>356</v>
      </c>
      <c r="B307" s="10" t="s">
        <v>2391</v>
      </c>
      <c r="C307" s="880">
        <f t="shared" si="21"/>
        <v>13.8027</v>
      </c>
      <c r="D307" s="880">
        <f t="shared" si="22"/>
        <v>10.7402</v>
      </c>
      <c r="E307" s="10">
        <v>13.802778</v>
      </c>
      <c r="F307" s="10">
        <v>10.740278</v>
      </c>
      <c r="G307" s="10">
        <v>1</v>
      </c>
      <c r="H307" s="10" t="s">
        <v>1670</v>
      </c>
      <c r="I307" s="10" t="s">
        <v>2373</v>
      </c>
      <c r="J307" s="10" t="s">
        <v>2374</v>
      </c>
      <c r="K307" s="10" t="s">
        <v>2375</v>
      </c>
      <c r="L307" s="65" t="str">
        <f t="shared" si="23"/>
        <v>Mokolo|Cameroon|13,802778|10,740278|+1:00 Africa</v>
      </c>
      <c r="M307" s="10" t="s">
        <v>2392</v>
      </c>
      <c r="N307" s="10">
        <f t="shared" si="20"/>
        <v>0</v>
      </c>
      <c r="O307" t="str">
        <f t="shared" si="24"/>
        <v/>
      </c>
      <c r="P307" t="str">
        <f>IF(O307=1,COUNTIF($O$2:O307,1),"")</f>
        <v/>
      </c>
      <c r="Q307" t="str">
        <f>IFERROR(INDEX($M$2:$M$2388,MATCH(ROWS($P$2:P307),$P$2:$P$2388,0)),"")</f>
        <v/>
      </c>
    </row>
    <row r="308" spans="1:17" ht="15" x14ac:dyDescent="0.25">
      <c r="A308" s="10">
        <v>355</v>
      </c>
      <c r="B308" s="10" t="s">
        <v>2393</v>
      </c>
      <c r="C308" s="880">
        <f t="shared" si="21"/>
        <v>13.583299999999999</v>
      </c>
      <c r="D308" s="880">
        <f t="shared" si="22"/>
        <v>7.3166000000000002</v>
      </c>
      <c r="E308" s="10">
        <v>13.583333</v>
      </c>
      <c r="F308" s="10">
        <v>7.3166669999999998</v>
      </c>
      <c r="G308" s="10">
        <v>1</v>
      </c>
      <c r="H308" s="10" t="s">
        <v>1670</v>
      </c>
      <c r="I308" s="10" t="s">
        <v>2373</v>
      </c>
      <c r="J308" s="10" t="s">
        <v>2374</v>
      </c>
      <c r="K308" s="10" t="s">
        <v>2375</v>
      </c>
      <c r="L308" s="65" t="str">
        <f t="shared" si="23"/>
        <v>Ngaoundere|Cameroon|13,583333|7,316667|+1:00 Africa</v>
      </c>
      <c r="M308" s="10" t="s">
        <v>2394</v>
      </c>
      <c r="N308" s="10">
        <f t="shared" si="20"/>
        <v>0</v>
      </c>
      <c r="O308" t="str">
        <f t="shared" si="24"/>
        <v/>
      </c>
      <c r="P308" t="str">
        <f>IF(O308=1,COUNTIF($O$2:O308,1),"")</f>
        <v/>
      </c>
      <c r="Q308" t="str">
        <f>IFERROR(INDEX($M$2:$M$2388,MATCH(ROWS($P$2:P308),$P$2:$P$2388,0)),"")</f>
        <v/>
      </c>
    </row>
    <row r="309" spans="1:17" ht="15" x14ac:dyDescent="0.25">
      <c r="A309" s="10">
        <v>354</v>
      </c>
      <c r="B309" s="10" t="s">
        <v>2395</v>
      </c>
      <c r="C309" s="880">
        <f t="shared" si="21"/>
        <v>11.5166</v>
      </c>
      <c r="D309" s="880">
        <f t="shared" si="22"/>
        <v>3.8666</v>
      </c>
      <c r="E309" s="10">
        <v>11.516666000000001</v>
      </c>
      <c r="F309" s="10">
        <v>3.8666670000000001</v>
      </c>
      <c r="G309" s="10">
        <v>1</v>
      </c>
      <c r="H309" s="10" t="s">
        <v>1670</v>
      </c>
      <c r="I309" s="10" t="s">
        <v>2373</v>
      </c>
      <c r="J309" s="10" t="s">
        <v>2374</v>
      </c>
      <c r="K309" s="10" t="s">
        <v>2375</v>
      </c>
      <c r="L309" s="65" t="str">
        <f t="shared" si="23"/>
        <v>Yaounde|Cameroon|11,516666|3,866667|+1:00 Africa</v>
      </c>
      <c r="M309" s="10" t="s">
        <v>2396</v>
      </c>
      <c r="N309" s="10">
        <f t="shared" si="20"/>
        <v>0</v>
      </c>
      <c r="O309" t="str">
        <f t="shared" si="24"/>
        <v/>
      </c>
      <c r="P309" t="str">
        <f>IF(O309=1,COUNTIF($O$2:O309,1),"")</f>
        <v/>
      </c>
      <c r="Q309" t="str">
        <f>IFERROR(INDEX($M$2:$M$2388,MATCH(ROWS($P$2:P309),$P$2:$P$2388,0)),"")</f>
        <v/>
      </c>
    </row>
    <row r="310" spans="1:17" ht="15" x14ac:dyDescent="0.25">
      <c r="A310" s="10">
        <v>353</v>
      </c>
      <c r="B310" s="10" t="s">
        <v>2397</v>
      </c>
      <c r="C310" s="880">
        <f t="shared" si="21"/>
        <v>15.05</v>
      </c>
      <c r="D310" s="880">
        <f t="shared" si="22"/>
        <v>3.5165999999999999</v>
      </c>
      <c r="E310" s="10">
        <v>15.05</v>
      </c>
      <c r="F310" s="10">
        <v>3.516667</v>
      </c>
      <c r="G310" s="10">
        <v>1</v>
      </c>
      <c r="H310" s="10" t="s">
        <v>1670</v>
      </c>
      <c r="I310" s="10" t="s">
        <v>2373</v>
      </c>
      <c r="J310" s="10" t="s">
        <v>2374</v>
      </c>
      <c r="K310" s="10" t="s">
        <v>2375</v>
      </c>
      <c r="L310" s="65" t="str">
        <f t="shared" si="23"/>
        <v>Yokadouma|Cameroon|15,050000|3,516667|+1:00 Africa</v>
      </c>
      <c r="M310" s="10" t="s">
        <v>2398</v>
      </c>
      <c r="N310" s="10">
        <f t="shared" si="20"/>
        <v>0</v>
      </c>
      <c r="O310" t="str">
        <f t="shared" si="24"/>
        <v/>
      </c>
      <c r="P310" t="str">
        <f>IF(O310=1,COUNTIF($O$2:O310,1),"")</f>
        <v/>
      </c>
      <c r="Q310" t="str">
        <f>IFERROR(INDEX($M$2:$M$2388,MATCH(ROWS($P$2:P310),$P$2:$P$2388,0)),"")</f>
        <v/>
      </c>
    </row>
    <row r="311" spans="1:17" ht="15" x14ac:dyDescent="0.25">
      <c r="A311" s="10">
        <v>352</v>
      </c>
      <c r="B311" s="10" t="s">
        <v>2399</v>
      </c>
      <c r="C311" s="880">
        <f t="shared" si="21"/>
        <v>12.316599999999999</v>
      </c>
      <c r="D311" s="880">
        <f t="shared" si="22"/>
        <v>5.5332999999999997</v>
      </c>
      <c r="E311" s="10">
        <v>12.316667000000001</v>
      </c>
      <c r="F311" s="10">
        <v>5.5333329999999998</v>
      </c>
      <c r="G311" s="10">
        <v>1</v>
      </c>
      <c r="H311" s="10" t="s">
        <v>1670</v>
      </c>
      <c r="I311" s="10" t="s">
        <v>2373</v>
      </c>
      <c r="J311" s="10" t="s">
        <v>2374</v>
      </c>
      <c r="K311" s="10" t="s">
        <v>2375</v>
      </c>
      <c r="L311" s="65" t="str">
        <f t="shared" si="23"/>
        <v>Yoko|Cameroon|12,316667|5,533333|+1:00 Africa</v>
      </c>
      <c r="M311" s="10" t="s">
        <v>2400</v>
      </c>
      <c r="N311" s="10">
        <f t="shared" si="20"/>
        <v>0</v>
      </c>
      <c r="O311" t="str">
        <f t="shared" si="24"/>
        <v/>
      </c>
      <c r="P311" t="str">
        <f>IF(O311=1,COUNTIF($O$2:O311,1),"")</f>
        <v/>
      </c>
      <c r="Q311" t="str">
        <f>IFERROR(INDEX($M$2:$M$2388,MATCH(ROWS($P$2:P311),$P$2:$P$2388,0)),"")</f>
        <v/>
      </c>
    </row>
    <row r="312" spans="1:17" ht="15" x14ac:dyDescent="0.25">
      <c r="A312" s="10">
        <v>289</v>
      </c>
      <c r="B312" s="10" t="s">
        <v>2401</v>
      </c>
      <c r="C312" s="880">
        <f t="shared" si="21"/>
        <v>-122.2525</v>
      </c>
      <c r="D312" s="880">
        <f t="shared" si="22"/>
        <v>49.057899999999997</v>
      </c>
      <c r="E312" s="10">
        <v>-122.252571</v>
      </c>
      <c r="F312" s="10">
        <v>49.057975999999996</v>
      </c>
      <c r="G312" s="10">
        <v>-8</v>
      </c>
      <c r="H312" s="10" t="s">
        <v>2402</v>
      </c>
      <c r="I312" s="10" t="s">
        <v>2403</v>
      </c>
      <c r="J312" s="10" t="s">
        <v>2404</v>
      </c>
      <c r="K312" s="10" t="s">
        <v>2405</v>
      </c>
      <c r="L312" s="65" t="str">
        <f t="shared" si="23"/>
        <v>Abbotsford|Canada|-122,252571|49,057976|-8:00 America</v>
      </c>
      <c r="M312" s="10" t="s">
        <v>2406</v>
      </c>
      <c r="N312" s="10">
        <f t="shared" si="20"/>
        <v>0</v>
      </c>
      <c r="O312" t="str">
        <f t="shared" si="24"/>
        <v/>
      </c>
      <c r="P312" t="str">
        <f>IF(O312=1,COUNTIF($O$2:O312,1),"")</f>
        <v/>
      </c>
      <c r="Q312" t="str">
        <f>IFERROR(INDEX($M$2:$M$2388,MATCH(ROWS($P$2:P312),$P$2:$P$2388,0)),"")</f>
        <v/>
      </c>
    </row>
    <row r="313" spans="1:17" ht="15" x14ac:dyDescent="0.25">
      <c r="A313" s="10">
        <v>290</v>
      </c>
      <c r="B313" s="10" t="s">
        <v>2407</v>
      </c>
      <c r="C313" s="880">
        <f t="shared" si="21"/>
        <v>-72.565799999999996</v>
      </c>
      <c r="D313" s="880">
        <f t="shared" si="22"/>
        <v>45.65</v>
      </c>
      <c r="E313" s="10">
        <v>-72.565819000000005</v>
      </c>
      <c r="F313" s="10">
        <v>45.650069999999999</v>
      </c>
      <c r="G313" s="10">
        <v>-5</v>
      </c>
      <c r="H313" s="10" t="s">
        <v>1873</v>
      </c>
      <c r="I313" s="10" t="s">
        <v>2403</v>
      </c>
      <c r="J313" s="10" t="s">
        <v>2404</v>
      </c>
      <c r="K313" s="10" t="s">
        <v>2408</v>
      </c>
      <c r="L313" s="65" t="str">
        <f t="shared" si="23"/>
        <v>Acton Vale|Canada|-72,565819|45,650070|-5:00 America</v>
      </c>
      <c r="M313" s="10" t="s">
        <v>2409</v>
      </c>
      <c r="N313" s="10">
        <f t="shared" si="20"/>
        <v>0</v>
      </c>
      <c r="O313" t="str">
        <f t="shared" si="24"/>
        <v/>
      </c>
      <c r="P313" t="str">
        <f>IF(O313=1,COUNTIF($O$2:O313,1),"")</f>
        <v/>
      </c>
      <c r="Q313" t="str">
        <f>IFERROR(INDEX($M$2:$M$2388,MATCH(ROWS($P$2:P313),$P$2:$P$2388,0)),"")</f>
        <v/>
      </c>
    </row>
    <row r="314" spans="1:17" ht="15" x14ac:dyDescent="0.25">
      <c r="A314" s="10">
        <v>291</v>
      </c>
      <c r="B314" s="10" t="s">
        <v>2410</v>
      </c>
      <c r="C314" s="880">
        <f t="shared" si="21"/>
        <v>-114.0352</v>
      </c>
      <c r="D314" s="880">
        <f t="shared" si="22"/>
        <v>51.3001</v>
      </c>
      <c r="E314" s="10">
        <v>-114.035286</v>
      </c>
      <c r="F314" s="10">
        <v>51.300114000000001</v>
      </c>
      <c r="G314" s="10">
        <v>-7</v>
      </c>
      <c r="H314" s="10" t="s">
        <v>2411</v>
      </c>
      <c r="I314" s="10" t="s">
        <v>2403</v>
      </c>
      <c r="J314" s="10" t="s">
        <v>2404</v>
      </c>
      <c r="K314" s="10" t="s">
        <v>2412</v>
      </c>
      <c r="L314" s="65" t="str">
        <f t="shared" si="23"/>
        <v>Airdrie|Canada|-114,035286|51,300114|-7:00 America</v>
      </c>
      <c r="M314" s="10" t="s">
        <v>2413</v>
      </c>
      <c r="N314" s="10">
        <f t="shared" si="20"/>
        <v>0</v>
      </c>
      <c r="O314" t="str">
        <f t="shared" si="24"/>
        <v/>
      </c>
      <c r="P314" t="str">
        <f>IF(O314=1,COUNTIF($O$2:O314,1),"")</f>
        <v/>
      </c>
      <c r="Q314" t="str">
        <f>IFERROR(INDEX($M$2:$M$2388,MATCH(ROWS($P$2:P314),$P$2:$P$2388,0)),"")</f>
        <v/>
      </c>
    </row>
    <row r="315" spans="1:17" ht="15" x14ac:dyDescent="0.25">
      <c r="A315" s="10">
        <v>292</v>
      </c>
      <c r="B315" s="10" t="s">
        <v>2414</v>
      </c>
      <c r="C315" s="880">
        <f t="shared" si="21"/>
        <v>-114.0852</v>
      </c>
      <c r="D315" s="880">
        <f t="shared" si="22"/>
        <v>51.0501</v>
      </c>
      <c r="E315" s="10">
        <v>-114.08528099999999</v>
      </c>
      <c r="F315" s="10">
        <v>51.050114000000001</v>
      </c>
      <c r="G315" s="10">
        <v>-7</v>
      </c>
      <c r="H315" s="10" t="s">
        <v>2411</v>
      </c>
      <c r="I315" s="10" t="s">
        <v>2403</v>
      </c>
      <c r="J315" s="10" t="s">
        <v>2404</v>
      </c>
      <c r="K315" s="10" t="s">
        <v>2412</v>
      </c>
      <c r="L315" s="65" t="str">
        <f t="shared" si="23"/>
        <v>Calgary|Canada|-114,085281|51,050114|-7:00 America</v>
      </c>
      <c r="M315" s="10" t="s">
        <v>2415</v>
      </c>
      <c r="N315" s="10">
        <f t="shared" si="20"/>
        <v>0</v>
      </c>
      <c r="O315" t="str">
        <f t="shared" si="24"/>
        <v/>
      </c>
      <c r="P315" t="str">
        <f>IF(O315=1,COUNTIF($O$2:O315,1),"")</f>
        <v/>
      </c>
      <c r="Q315" t="str">
        <f>IFERROR(INDEX($M$2:$M$2388,MATCH(ROWS($P$2:P315),$P$2:$P$2388,0)),"")</f>
        <v/>
      </c>
    </row>
    <row r="316" spans="1:17" ht="15" x14ac:dyDescent="0.25">
      <c r="A316" s="10">
        <v>293</v>
      </c>
      <c r="B316" s="10" t="s">
        <v>2416</v>
      </c>
      <c r="C316" s="880">
        <f t="shared" si="21"/>
        <v>-113.4687</v>
      </c>
      <c r="D316" s="880">
        <f t="shared" si="22"/>
        <v>53.5501</v>
      </c>
      <c r="E316" s="10">
        <v>-113.468712</v>
      </c>
      <c r="F316" s="10">
        <v>53.550136999999999</v>
      </c>
      <c r="G316" s="10">
        <v>-7</v>
      </c>
      <c r="H316" s="10" t="s">
        <v>2411</v>
      </c>
      <c r="I316" s="10" t="s">
        <v>2403</v>
      </c>
      <c r="J316" s="10" t="s">
        <v>2404</v>
      </c>
      <c r="K316" s="10" t="s">
        <v>2412</v>
      </c>
      <c r="L316" s="65" t="str">
        <f t="shared" si="23"/>
        <v>Edmonton|Canada|-113,468712|53,550137|-7:00 America</v>
      </c>
      <c r="M316" s="10" t="s">
        <v>2417</v>
      </c>
      <c r="N316" s="10">
        <f t="shared" si="20"/>
        <v>0</v>
      </c>
      <c r="O316" t="str">
        <f t="shared" si="24"/>
        <v/>
      </c>
      <c r="P316" t="str">
        <f>IF(O316=1,COUNTIF($O$2:O316,1),"")</f>
        <v/>
      </c>
      <c r="Q316" t="str">
        <f>IFERROR(INDEX($M$2:$M$2388,MATCH(ROWS($P$2:P316),$P$2:$P$2388,0)),"")</f>
        <v/>
      </c>
    </row>
    <row r="317" spans="1:17" ht="15" x14ac:dyDescent="0.25">
      <c r="A317" s="10">
        <v>305</v>
      </c>
      <c r="B317" s="10" t="s">
        <v>2418</v>
      </c>
      <c r="C317" s="880">
        <f t="shared" si="21"/>
        <v>-63.596800000000002</v>
      </c>
      <c r="D317" s="880">
        <f t="shared" si="22"/>
        <v>44.651899999999998</v>
      </c>
      <c r="E317" s="10">
        <v>-63.596848000000001</v>
      </c>
      <c r="F317" s="10">
        <v>44.651985000000003</v>
      </c>
      <c r="G317" s="10">
        <v>-4</v>
      </c>
      <c r="H317" s="10" t="s">
        <v>1733</v>
      </c>
      <c r="I317" s="10" t="s">
        <v>2403</v>
      </c>
      <c r="J317" s="10" t="s">
        <v>2404</v>
      </c>
      <c r="K317" s="10" t="s">
        <v>2419</v>
      </c>
      <c r="L317" s="65" t="str">
        <f t="shared" si="23"/>
        <v>Halifax|Canada|-63,596848|44,651985|-4:00 America</v>
      </c>
      <c r="M317" s="10" t="s">
        <v>2420</v>
      </c>
      <c r="N317" s="10">
        <f t="shared" si="20"/>
        <v>0</v>
      </c>
      <c r="O317" t="str">
        <f t="shared" si="24"/>
        <v/>
      </c>
      <c r="P317" t="str">
        <f>IF(O317=1,COUNTIF($O$2:O317,1),"")</f>
        <v/>
      </c>
      <c r="Q317" t="str">
        <f>IFERROR(INDEX($M$2:$M$2388,MATCH(ROWS($P$2:P317),$P$2:$P$2388,0)),"")</f>
        <v/>
      </c>
    </row>
    <row r="318" spans="1:17" ht="15" x14ac:dyDescent="0.25">
      <c r="A318" s="10">
        <v>294</v>
      </c>
      <c r="B318" s="10" t="s">
        <v>2421</v>
      </c>
      <c r="C318" s="880">
        <f t="shared" si="21"/>
        <v>-79.949600000000004</v>
      </c>
      <c r="D318" s="880">
        <f t="shared" si="22"/>
        <v>43.233400000000003</v>
      </c>
      <c r="E318" s="10">
        <v>-79.949637999999993</v>
      </c>
      <c r="F318" s="10">
        <v>43.233409999999999</v>
      </c>
      <c r="G318" s="10">
        <v>-5</v>
      </c>
      <c r="H318" s="10" t="s">
        <v>1873</v>
      </c>
      <c r="I318" s="10" t="s">
        <v>2403</v>
      </c>
      <c r="J318" s="10" t="s">
        <v>2404</v>
      </c>
      <c r="K318" s="10" t="s">
        <v>2422</v>
      </c>
      <c r="L318" s="65" t="str">
        <f t="shared" si="23"/>
        <v>Hamilton|Canada|-79,949638|43,233410|-5:00 America</v>
      </c>
      <c r="M318" s="10" t="s">
        <v>2423</v>
      </c>
      <c r="N318" s="10">
        <f t="shared" si="20"/>
        <v>0</v>
      </c>
      <c r="O318" t="str">
        <f t="shared" si="24"/>
        <v/>
      </c>
      <c r="P318" t="str">
        <f>IF(O318=1,COUNTIF($O$2:O318,1),"")</f>
        <v/>
      </c>
      <c r="Q318" t="str">
        <f>IFERROR(INDEX($M$2:$M$2388,MATCH(ROWS($P$2:P318),$P$2:$P$2388,0)),"")</f>
        <v/>
      </c>
    </row>
    <row r="319" spans="1:17" ht="15" x14ac:dyDescent="0.25">
      <c r="A319" s="10">
        <v>295</v>
      </c>
      <c r="B319" s="10" t="s">
        <v>2424</v>
      </c>
      <c r="C319" s="880">
        <f t="shared" si="21"/>
        <v>-80.482900000000001</v>
      </c>
      <c r="D319" s="880">
        <f t="shared" si="22"/>
        <v>43.45</v>
      </c>
      <c r="E319" s="10">
        <v>-80.482985999999997</v>
      </c>
      <c r="F319" s="10">
        <v>43.450096000000002</v>
      </c>
      <c r="G319" s="10">
        <v>-5</v>
      </c>
      <c r="H319" s="10" t="s">
        <v>1873</v>
      </c>
      <c r="I319" s="10" t="s">
        <v>2403</v>
      </c>
      <c r="J319" s="10" t="s">
        <v>2404</v>
      </c>
      <c r="K319" s="10" t="s">
        <v>2422</v>
      </c>
      <c r="L319" s="65" t="str">
        <f t="shared" si="23"/>
        <v>Kitchener|Canada|-80,482986|43,450096|-5:00 America</v>
      </c>
      <c r="M319" s="10" t="s">
        <v>2425</v>
      </c>
      <c r="N319" s="10">
        <f t="shared" si="20"/>
        <v>0</v>
      </c>
      <c r="O319" t="str">
        <f t="shared" si="24"/>
        <v/>
      </c>
      <c r="P319" t="str">
        <f>IF(O319=1,COUNTIF($O$2:O319,1),"")</f>
        <v/>
      </c>
      <c r="Q319" t="str">
        <f>IFERROR(INDEX($M$2:$M$2388,MATCH(ROWS($P$2:P319),$P$2:$P$2388,0)),"")</f>
        <v/>
      </c>
    </row>
    <row r="320" spans="1:17" ht="15" x14ac:dyDescent="0.25">
      <c r="A320" s="10">
        <v>296</v>
      </c>
      <c r="B320" s="10" t="s">
        <v>2426</v>
      </c>
      <c r="C320" s="880">
        <f t="shared" si="21"/>
        <v>-81.233000000000004</v>
      </c>
      <c r="D320" s="880">
        <f t="shared" si="22"/>
        <v>42.9833</v>
      </c>
      <c r="E320" s="10">
        <v>-81.233040000000003</v>
      </c>
      <c r="F320" s="10">
        <v>42.983390999999997</v>
      </c>
      <c r="G320" s="10">
        <v>-5</v>
      </c>
      <c r="H320" s="10" t="s">
        <v>1873</v>
      </c>
      <c r="I320" s="10" t="s">
        <v>2403</v>
      </c>
      <c r="J320" s="10" t="s">
        <v>2404</v>
      </c>
      <c r="K320" s="10" t="s">
        <v>2422</v>
      </c>
      <c r="L320" s="65" t="str">
        <f t="shared" si="23"/>
        <v>London|Canada|-81,233040|42,983391|-5:00 America</v>
      </c>
      <c r="M320" s="10" t="s">
        <v>2427</v>
      </c>
      <c r="N320" s="10">
        <f t="shared" si="20"/>
        <v>0</v>
      </c>
      <c r="O320" t="str">
        <f t="shared" si="24"/>
        <v/>
      </c>
      <c r="P320" t="str">
        <f>IF(O320=1,COUNTIF($O$2:O320,1),"")</f>
        <v/>
      </c>
      <c r="Q320" t="str">
        <f>IFERROR(INDEX($M$2:$M$2388,MATCH(ROWS($P$2:P320),$P$2:$P$2388,0)),"")</f>
        <v/>
      </c>
    </row>
    <row r="321" spans="1:17" ht="15" x14ac:dyDescent="0.25">
      <c r="A321" s="10">
        <v>297</v>
      </c>
      <c r="B321" s="10" t="s">
        <v>2428</v>
      </c>
      <c r="C321" s="880">
        <f t="shared" si="21"/>
        <v>-73.649100000000004</v>
      </c>
      <c r="D321" s="880">
        <f t="shared" si="22"/>
        <v>45.5167</v>
      </c>
      <c r="E321" s="10">
        <v>-73.649178000000006</v>
      </c>
      <c r="F321" s="10">
        <v>45.516781000000002</v>
      </c>
      <c r="G321" s="10">
        <v>-5</v>
      </c>
      <c r="H321" s="10" t="s">
        <v>1873</v>
      </c>
      <c r="I321" s="10" t="s">
        <v>2403</v>
      </c>
      <c r="J321" s="10" t="s">
        <v>2404</v>
      </c>
      <c r="K321" s="10" t="s">
        <v>2408</v>
      </c>
      <c r="L321" s="65" t="str">
        <f t="shared" si="23"/>
        <v>Montreal|Canada|-73,649178|45,516781|-5:00 America</v>
      </c>
      <c r="M321" s="10" t="s">
        <v>2429</v>
      </c>
      <c r="N321" s="10">
        <f t="shared" si="20"/>
        <v>0</v>
      </c>
      <c r="O321" t="str">
        <f t="shared" si="24"/>
        <v/>
      </c>
      <c r="P321" t="str">
        <f>IF(O321=1,COUNTIF($O$2:O321,1),"")</f>
        <v/>
      </c>
      <c r="Q321" t="str">
        <f>IFERROR(INDEX($M$2:$M$2388,MATCH(ROWS($P$2:P321),$P$2:$P$2388,0)),"")</f>
        <v/>
      </c>
    </row>
    <row r="322" spans="1:17" ht="15" x14ac:dyDescent="0.25">
      <c r="A322" s="10">
        <v>298</v>
      </c>
      <c r="B322" s="10" t="s">
        <v>2430</v>
      </c>
      <c r="C322" s="880">
        <f t="shared" si="21"/>
        <v>-78.849500000000006</v>
      </c>
      <c r="D322" s="880">
        <f t="shared" si="22"/>
        <v>43.900100000000002</v>
      </c>
      <c r="E322" s="10">
        <v>-78.849570999999997</v>
      </c>
      <c r="F322" s="10">
        <v>43.900120000000001</v>
      </c>
      <c r="G322" s="10">
        <v>-5</v>
      </c>
      <c r="H322" s="10" t="s">
        <v>1873</v>
      </c>
      <c r="I322" s="10" t="s">
        <v>2403</v>
      </c>
      <c r="J322" s="10" t="s">
        <v>2404</v>
      </c>
      <c r="K322" s="10" t="s">
        <v>2422</v>
      </c>
      <c r="L322" s="65" t="str">
        <f t="shared" si="23"/>
        <v>Oshawa|Canada|-78,849571|43,900120|-5:00 America</v>
      </c>
      <c r="M322" s="10" t="s">
        <v>2431</v>
      </c>
      <c r="N322" s="10">
        <f t="shared" ref="N322:N385" si="25">--ISNUMBER(IFERROR(SEARCH($R$2,J322,1),""))</f>
        <v>0</v>
      </c>
      <c r="O322" t="str">
        <f t="shared" si="24"/>
        <v/>
      </c>
      <c r="P322" t="str">
        <f>IF(O322=1,COUNTIF($O$2:O322,1),"")</f>
        <v/>
      </c>
      <c r="Q322" t="str">
        <f>IFERROR(INDEX($M$2:$M$2388,MATCH(ROWS($P$2:P322),$P$2:$P$2388,0)),"")</f>
        <v/>
      </c>
    </row>
    <row r="323" spans="1:17" ht="15" x14ac:dyDescent="0.25">
      <c r="A323" s="10">
        <v>299</v>
      </c>
      <c r="B323" s="10" t="s">
        <v>2432</v>
      </c>
      <c r="C323" s="880">
        <f t="shared" ref="C323:C386" si="26">TRUNC(E323,4)</f>
        <v>-75.690200000000004</v>
      </c>
      <c r="D323" s="880">
        <f t="shared" ref="D323:D386" si="27">TRUNC(F323,4)</f>
        <v>45.420900000000003</v>
      </c>
      <c r="E323" s="10">
        <v>-75.690285000000003</v>
      </c>
      <c r="F323" s="10">
        <v>45.420940000000002</v>
      </c>
      <c r="G323" s="10">
        <v>-5</v>
      </c>
      <c r="H323" s="10" t="s">
        <v>1873</v>
      </c>
      <c r="I323" s="10" t="s">
        <v>2403</v>
      </c>
      <c r="J323" s="10" t="s">
        <v>2404</v>
      </c>
      <c r="K323" s="10" t="s">
        <v>2408</v>
      </c>
      <c r="L323" s="65" t="str">
        <f t="shared" ref="L323:L386" si="28">MID(M323,1,LEN(M323)-(LEN(K323)-SEARCH("/",K323)+1))</f>
        <v>Ottawa|Canada|-75,690285|45,420940|-5:00 America</v>
      </c>
      <c r="M323" s="10" t="s">
        <v>2433</v>
      </c>
      <c r="N323" s="10">
        <f t="shared" si="25"/>
        <v>0</v>
      </c>
      <c r="O323" t="str">
        <f t="shared" ref="O323:O386" si="29">IF(N323=0,"",--ISNUMBER(IFERROR(SEARCH($U$2,L323,1),"")))</f>
        <v/>
      </c>
      <c r="P323" t="str">
        <f>IF(O323=1,COUNTIF($O$2:O323,1),"")</f>
        <v/>
      </c>
      <c r="Q323" t="str">
        <f>IFERROR(INDEX($M$2:$M$2388,MATCH(ROWS($P$2:P323),$P$2:$P$2388,0)),"")</f>
        <v/>
      </c>
    </row>
    <row r="324" spans="1:17" ht="15" x14ac:dyDescent="0.25">
      <c r="A324" s="10">
        <v>306</v>
      </c>
      <c r="B324" s="10" t="s">
        <v>2434</v>
      </c>
      <c r="C324" s="880">
        <f t="shared" si="26"/>
        <v>-71.214500000000001</v>
      </c>
      <c r="D324" s="880">
        <f t="shared" si="27"/>
        <v>46.812199999999997</v>
      </c>
      <c r="E324" s="10">
        <v>-71.214539000000002</v>
      </c>
      <c r="F324" s="10">
        <v>46.812278999999997</v>
      </c>
      <c r="G324" s="10">
        <v>-5</v>
      </c>
      <c r="H324" s="10" t="s">
        <v>1873</v>
      </c>
      <c r="I324" s="10" t="s">
        <v>2403</v>
      </c>
      <c r="J324" s="10" t="s">
        <v>2404</v>
      </c>
      <c r="K324" s="10" t="s">
        <v>2408</v>
      </c>
      <c r="L324" s="65" t="str">
        <f t="shared" si="28"/>
        <v>Quebec|Canada|-71,214539|46,812279|-5:00 America</v>
      </c>
      <c r="M324" s="10" t="s">
        <v>2435</v>
      </c>
      <c r="N324" s="10">
        <f t="shared" si="25"/>
        <v>0</v>
      </c>
      <c r="O324" t="str">
        <f t="shared" si="29"/>
        <v/>
      </c>
      <c r="P324" t="str">
        <f>IF(O324=1,COUNTIF($O$2:O324,1),"")</f>
        <v/>
      </c>
      <c r="Q324" t="str">
        <f>IFERROR(INDEX($M$2:$M$2388,MATCH(ROWS($P$2:P324),$P$2:$P$2388,0)),"")</f>
        <v/>
      </c>
    </row>
    <row r="325" spans="1:17" ht="15" x14ac:dyDescent="0.25">
      <c r="A325" s="10">
        <v>300</v>
      </c>
      <c r="B325" s="10" t="s">
        <v>2436</v>
      </c>
      <c r="C325" s="880">
        <f t="shared" si="26"/>
        <v>-79.416300000000007</v>
      </c>
      <c r="D325" s="880">
        <f t="shared" si="27"/>
        <v>43.700099999999999</v>
      </c>
      <c r="E325" s="10">
        <v>-79.416306000000006</v>
      </c>
      <c r="F325" s="10">
        <v>43.700114999999997</v>
      </c>
      <c r="G325" s="10">
        <v>-5</v>
      </c>
      <c r="H325" s="10" t="s">
        <v>1873</v>
      </c>
      <c r="I325" s="10" t="s">
        <v>2403</v>
      </c>
      <c r="J325" s="10" t="s">
        <v>2404</v>
      </c>
      <c r="K325" s="10" t="s">
        <v>2422</v>
      </c>
      <c r="L325" s="65" t="str">
        <f t="shared" si="28"/>
        <v>Toronto|Canada|-79,416306|43,700115|-5:00 America</v>
      </c>
      <c r="M325" s="10" t="s">
        <v>2437</v>
      </c>
      <c r="N325" s="10">
        <f t="shared" si="25"/>
        <v>0</v>
      </c>
      <c r="O325" t="str">
        <f t="shared" si="29"/>
        <v/>
      </c>
      <c r="P325" t="str">
        <f>IF(O325=1,COUNTIF($O$2:O325,1),"")</f>
        <v/>
      </c>
      <c r="Q325" t="str">
        <f>IFERROR(INDEX($M$2:$M$2388,MATCH(ROWS($P$2:P325),$P$2:$P$2388,0)),"")</f>
        <v/>
      </c>
    </row>
    <row r="326" spans="1:17" ht="15" x14ac:dyDescent="0.25">
      <c r="A326" s="10">
        <v>301</v>
      </c>
      <c r="B326" s="10" t="s">
        <v>2438</v>
      </c>
      <c r="C326" s="880">
        <f t="shared" si="26"/>
        <v>-123.1193</v>
      </c>
      <c r="D326" s="880">
        <f t="shared" si="27"/>
        <v>49.249600000000001</v>
      </c>
      <c r="E326" s="10">
        <v>-123.119339</v>
      </c>
      <c r="F326" s="10">
        <v>49.249656999999999</v>
      </c>
      <c r="G326" s="10">
        <v>-8</v>
      </c>
      <c r="H326" s="10" t="s">
        <v>2402</v>
      </c>
      <c r="I326" s="10" t="s">
        <v>2403</v>
      </c>
      <c r="J326" s="10" t="s">
        <v>2404</v>
      </c>
      <c r="K326" s="10" t="s">
        <v>2405</v>
      </c>
      <c r="L326" s="65" t="str">
        <f t="shared" si="28"/>
        <v>Vancouver|Canada|-123,119339|49,249657|-8:00 America</v>
      </c>
      <c r="M326" s="10" t="s">
        <v>2439</v>
      </c>
      <c r="N326" s="10">
        <f t="shared" si="25"/>
        <v>0</v>
      </c>
      <c r="O326" t="str">
        <f t="shared" si="29"/>
        <v/>
      </c>
      <c r="P326" t="str">
        <f>IF(O326=1,COUNTIF($O$2:O326,1),"")</f>
        <v/>
      </c>
      <c r="Q326" t="str">
        <f>IFERROR(INDEX($M$2:$M$2388,MATCH(ROWS($P$2:P326),$P$2:$P$2388,0)),"")</f>
        <v/>
      </c>
    </row>
    <row r="327" spans="1:17" ht="15" x14ac:dyDescent="0.25">
      <c r="A327" s="10">
        <v>302</v>
      </c>
      <c r="B327" s="10" t="s">
        <v>2440</v>
      </c>
      <c r="C327" s="880">
        <f t="shared" si="26"/>
        <v>-123.3693</v>
      </c>
      <c r="D327" s="880">
        <f t="shared" si="27"/>
        <v>48.432899999999997</v>
      </c>
      <c r="E327" s="10">
        <v>-123.36930099999999</v>
      </c>
      <c r="F327" s="10">
        <v>48.432938</v>
      </c>
      <c r="G327" s="10">
        <v>-8</v>
      </c>
      <c r="H327" s="10" t="s">
        <v>2402</v>
      </c>
      <c r="I327" s="10" t="s">
        <v>2403</v>
      </c>
      <c r="J327" s="10" t="s">
        <v>2404</v>
      </c>
      <c r="K327" s="10" t="s">
        <v>2405</v>
      </c>
      <c r="L327" s="65" t="str">
        <f t="shared" si="28"/>
        <v>Victoria|Canada|-123,369301|48,432938|-8:00 America</v>
      </c>
      <c r="M327" s="10" t="s">
        <v>2441</v>
      </c>
      <c r="N327" s="10">
        <f t="shared" si="25"/>
        <v>0</v>
      </c>
      <c r="O327" t="str">
        <f t="shared" si="29"/>
        <v/>
      </c>
      <c r="P327" t="str">
        <f>IF(O327=1,COUNTIF($O$2:O327,1),"")</f>
        <v/>
      </c>
      <c r="Q327" t="str">
        <f>IFERROR(INDEX($M$2:$M$2388,MATCH(ROWS($P$2:P327),$P$2:$P$2388,0)),"")</f>
        <v/>
      </c>
    </row>
    <row r="328" spans="1:17" ht="15" x14ac:dyDescent="0.25">
      <c r="A328" s="10">
        <v>303</v>
      </c>
      <c r="B328" s="10" t="s">
        <v>2442</v>
      </c>
      <c r="C328" s="880">
        <f t="shared" si="26"/>
        <v>-83.016499999999994</v>
      </c>
      <c r="D328" s="880">
        <f t="shared" si="27"/>
        <v>42.3</v>
      </c>
      <c r="E328" s="10">
        <v>-83.016541000000004</v>
      </c>
      <c r="F328" s="10">
        <v>42.300083000000001</v>
      </c>
      <c r="G328" s="10">
        <v>-5</v>
      </c>
      <c r="H328" s="10" t="s">
        <v>1873</v>
      </c>
      <c r="I328" s="10" t="s">
        <v>2403</v>
      </c>
      <c r="J328" s="10" t="s">
        <v>2404</v>
      </c>
      <c r="K328" s="10" t="s">
        <v>2422</v>
      </c>
      <c r="L328" s="65" t="str">
        <f t="shared" si="28"/>
        <v>Windsor|Canada|-83,016541|42,300083|-5:00 America</v>
      </c>
      <c r="M328" s="10" t="s">
        <v>2443</v>
      </c>
      <c r="N328" s="10">
        <f t="shared" si="25"/>
        <v>0</v>
      </c>
      <c r="O328" t="str">
        <f t="shared" si="29"/>
        <v/>
      </c>
      <c r="P328" t="str">
        <f>IF(O328=1,COUNTIF($O$2:O328,1),"")</f>
        <v/>
      </c>
      <c r="Q328" t="str">
        <f>IFERROR(INDEX($M$2:$M$2388,MATCH(ROWS($P$2:P328),$P$2:$P$2388,0)),"")</f>
        <v/>
      </c>
    </row>
    <row r="329" spans="1:17" ht="15" x14ac:dyDescent="0.25">
      <c r="A329" s="10">
        <v>304</v>
      </c>
      <c r="B329" s="10" t="s">
        <v>2444</v>
      </c>
      <c r="C329" s="880">
        <f t="shared" si="26"/>
        <v>-97.147000000000006</v>
      </c>
      <c r="D329" s="880">
        <f t="shared" si="27"/>
        <v>49.884300000000003</v>
      </c>
      <c r="E329" s="10">
        <v>-97.147041000000002</v>
      </c>
      <c r="F329" s="10">
        <v>49.884399000000002</v>
      </c>
      <c r="G329" s="10">
        <v>-6</v>
      </c>
      <c r="H329" s="10" t="s">
        <v>1975</v>
      </c>
      <c r="I329" s="10" t="s">
        <v>2403</v>
      </c>
      <c r="J329" s="10" t="s">
        <v>2404</v>
      </c>
      <c r="K329" s="10" t="s">
        <v>2445</v>
      </c>
      <c r="L329" s="65" t="str">
        <f t="shared" si="28"/>
        <v>Winnipeg|Canada|-97,147041|49,884399|-6:00 America</v>
      </c>
      <c r="M329" s="10" t="s">
        <v>2446</v>
      </c>
      <c r="N329" s="10">
        <f t="shared" si="25"/>
        <v>0</v>
      </c>
      <c r="O329" t="str">
        <f t="shared" si="29"/>
        <v/>
      </c>
      <c r="P329" t="str">
        <f>IF(O329=1,COUNTIF($O$2:O329,1),"")</f>
        <v/>
      </c>
      <c r="Q329" t="str">
        <f>IFERROR(INDEX($M$2:$M$2388,MATCH(ROWS($P$2:P329),$P$2:$P$2388,0)),"")</f>
        <v/>
      </c>
    </row>
    <row r="330" spans="1:17" ht="15" x14ac:dyDescent="0.25">
      <c r="A330" s="10">
        <v>618</v>
      </c>
      <c r="B330" s="10" t="s">
        <v>2447</v>
      </c>
      <c r="C330" s="880">
        <f t="shared" si="26"/>
        <v>-24.5166</v>
      </c>
      <c r="D330" s="880">
        <f t="shared" si="27"/>
        <v>14.9</v>
      </c>
      <c r="E330" s="10">
        <v>-24.516666000000001</v>
      </c>
      <c r="F330" s="10">
        <v>14.9</v>
      </c>
      <c r="G330" s="10">
        <v>-1</v>
      </c>
      <c r="H330" s="10" t="s">
        <v>2448</v>
      </c>
      <c r="I330" s="10" t="s">
        <v>2449</v>
      </c>
      <c r="J330" s="10" t="s">
        <v>2450</v>
      </c>
      <c r="K330" s="10" t="s">
        <v>2451</v>
      </c>
      <c r="L330" s="65" t="str">
        <f t="shared" si="28"/>
        <v>Sao Filipe|Cape Verde|-24,516666|14,900000|-1:00 Atlantic</v>
      </c>
      <c r="M330" s="10" t="s">
        <v>2452</v>
      </c>
      <c r="N330" s="10">
        <f t="shared" si="25"/>
        <v>0</v>
      </c>
      <c r="O330" t="str">
        <f t="shared" si="29"/>
        <v/>
      </c>
      <c r="P330" t="str">
        <f>IF(O330=1,COUNTIF($O$2:O330,1),"")</f>
        <v/>
      </c>
      <c r="Q330" t="str">
        <f>IFERROR(INDEX($M$2:$M$2388,MATCH(ROWS($P$2:P330),$P$2:$P$2388,0)),"")</f>
        <v/>
      </c>
    </row>
    <row r="331" spans="1:17" ht="15" x14ac:dyDescent="0.25">
      <c r="A331" s="10">
        <v>617</v>
      </c>
      <c r="B331" s="10" t="s">
        <v>2453</v>
      </c>
      <c r="C331" s="880">
        <f t="shared" si="26"/>
        <v>-23.7666</v>
      </c>
      <c r="D331" s="880">
        <f t="shared" si="27"/>
        <v>15.283300000000001</v>
      </c>
      <c r="E331" s="10">
        <v>-23.766666000000001</v>
      </c>
      <c r="F331" s="10">
        <v>15.283333000000001</v>
      </c>
      <c r="G331" s="10">
        <v>-1</v>
      </c>
      <c r="H331" s="10" t="s">
        <v>2448</v>
      </c>
      <c r="I331" s="10" t="s">
        <v>2449</v>
      </c>
      <c r="J331" s="10" t="s">
        <v>2450</v>
      </c>
      <c r="K331" s="10" t="s">
        <v>2451</v>
      </c>
      <c r="L331" s="65" t="str">
        <f t="shared" si="28"/>
        <v>Tarrafal|Cape Verde|-23,766666|15,283333|-1:00 Atlantic</v>
      </c>
      <c r="M331" s="10" t="s">
        <v>2454</v>
      </c>
      <c r="N331" s="10">
        <f t="shared" si="25"/>
        <v>0</v>
      </c>
      <c r="O331" t="str">
        <f t="shared" si="29"/>
        <v/>
      </c>
      <c r="P331" t="str">
        <f>IF(O331=1,COUNTIF($O$2:O331,1),"")</f>
        <v/>
      </c>
      <c r="Q331" t="str">
        <f>IFERROR(INDEX($M$2:$M$2388,MATCH(ROWS($P$2:P331),$P$2:$P$2388,0)),"")</f>
        <v/>
      </c>
    </row>
    <row r="332" spans="1:17" ht="15" x14ac:dyDescent="0.25">
      <c r="A332" s="10">
        <v>616</v>
      </c>
      <c r="B332" s="10" t="s">
        <v>2455</v>
      </c>
      <c r="C332" s="880">
        <f t="shared" si="26"/>
        <v>-24.299900000000001</v>
      </c>
      <c r="D332" s="880">
        <f t="shared" si="27"/>
        <v>16.616599999999998</v>
      </c>
      <c r="E332" s="10">
        <v>-24.299999</v>
      </c>
      <c r="F332" s="10">
        <v>16.616667</v>
      </c>
      <c r="G332" s="10">
        <v>-1</v>
      </c>
      <c r="H332" s="10" t="s">
        <v>2448</v>
      </c>
      <c r="I332" s="10" t="s">
        <v>2449</v>
      </c>
      <c r="J332" s="10" t="s">
        <v>2450</v>
      </c>
      <c r="K332" s="10" t="s">
        <v>2451</v>
      </c>
      <c r="L332" s="65" t="str">
        <f t="shared" si="28"/>
        <v>Vila da Ribeira Brava|Cape Verde|-24,299999|16,616667|-1:00 Atlantic</v>
      </c>
      <c r="M332" s="10" t="s">
        <v>2456</v>
      </c>
      <c r="N332" s="10">
        <f t="shared" si="25"/>
        <v>0</v>
      </c>
      <c r="O332" t="str">
        <f t="shared" si="29"/>
        <v/>
      </c>
      <c r="P332" t="str">
        <f>IF(O332=1,COUNTIF($O$2:O332,1),"")</f>
        <v/>
      </c>
      <c r="Q332" t="str">
        <f>IFERROR(INDEX($M$2:$M$2388,MATCH(ROWS($P$2:P332),$P$2:$P$2388,0)),"")</f>
        <v/>
      </c>
    </row>
    <row r="333" spans="1:17" ht="15" x14ac:dyDescent="0.25">
      <c r="A333" s="10">
        <v>1404</v>
      </c>
      <c r="B333" s="10" t="s">
        <v>2457</v>
      </c>
      <c r="C333" s="880">
        <f t="shared" si="26"/>
        <v>-81.25</v>
      </c>
      <c r="D333" s="880">
        <f t="shared" si="27"/>
        <v>19.283300000000001</v>
      </c>
      <c r="E333" s="10">
        <v>-81.25</v>
      </c>
      <c r="F333" s="10">
        <v>19.283332999999999</v>
      </c>
      <c r="G333" s="10">
        <v>-5</v>
      </c>
      <c r="H333" s="10" t="s">
        <v>1873</v>
      </c>
      <c r="I333" s="10" t="s">
        <v>2458</v>
      </c>
      <c r="J333" s="10" t="s">
        <v>2459</v>
      </c>
      <c r="K333" s="10" t="s">
        <v>2460</v>
      </c>
      <c r="L333" s="65" t="str">
        <f t="shared" si="28"/>
        <v>Bodden Town|Cauman|-81,250000|19,283333|-5:00 America</v>
      </c>
      <c r="M333" s="10" t="s">
        <v>2461</v>
      </c>
      <c r="N333" s="10">
        <f t="shared" si="25"/>
        <v>0</v>
      </c>
      <c r="O333" t="str">
        <f t="shared" si="29"/>
        <v/>
      </c>
      <c r="P333" t="str">
        <f>IF(O333=1,COUNTIF($O$2:O333,1),"")</f>
        <v/>
      </c>
      <c r="Q333" t="str">
        <f>IFERROR(INDEX($M$2:$M$2388,MATCH(ROWS($P$2:P333),$P$2:$P$2388,0)),"")</f>
        <v/>
      </c>
    </row>
    <row r="334" spans="1:17" ht="15" x14ac:dyDescent="0.25">
      <c r="A334" s="10">
        <v>1403</v>
      </c>
      <c r="B334" s="10" t="s">
        <v>2462</v>
      </c>
      <c r="C334" s="880">
        <f t="shared" si="26"/>
        <v>-81.383300000000006</v>
      </c>
      <c r="D334" s="880">
        <f t="shared" si="27"/>
        <v>19.299900000000001</v>
      </c>
      <c r="E334" s="10">
        <v>-81.383330999999998</v>
      </c>
      <c r="F334" s="10">
        <v>19.299999</v>
      </c>
      <c r="G334" s="10">
        <v>-5</v>
      </c>
      <c r="H334" s="10" t="s">
        <v>1873</v>
      </c>
      <c r="I334" s="10" t="s">
        <v>2458</v>
      </c>
      <c r="J334" s="10" t="s">
        <v>2459</v>
      </c>
      <c r="K334" s="10" t="s">
        <v>2460</v>
      </c>
      <c r="L334" s="65" t="str">
        <f t="shared" si="28"/>
        <v>George Town|Cauman|-81,383331|19,299999|-5:00 America</v>
      </c>
      <c r="M334" s="10" t="s">
        <v>2463</v>
      </c>
      <c r="N334" s="10">
        <f t="shared" si="25"/>
        <v>0</v>
      </c>
      <c r="O334" t="str">
        <f t="shared" si="29"/>
        <v/>
      </c>
      <c r="P334" t="str">
        <f>IF(O334=1,COUNTIF($O$2:O334,1),"")</f>
        <v/>
      </c>
      <c r="Q334" t="str">
        <f>IFERROR(INDEX($M$2:$M$2388,MATCH(ROWS($P$2:P334),$P$2:$P$2388,0)),"")</f>
        <v/>
      </c>
    </row>
    <row r="335" spans="1:17" ht="15" x14ac:dyDescent="0.25">
      <c r="A335" s="10">
        <v>1402</v>
      </c>
      <c r="B335" s="10" t="s">
        <v>2464</v>
      </c>
      <c r="C335" s="880">
        <f t="shared" si="26"/>
        <v>-81.416600000000003</v>
      </c>
      <c r="D335" s="880">
        <f t="shared" si="27"/>
        <v>19.366599999999998</v>
      </c>
      <c r="E335" s="10">
        <v>-81.416663999999997</v>
      </c>
      <c r="F335" s="10">
        <v>19.366667</v>
      </c>
      <c r="G335" s="10">
        <v>-5</v>
      </c>
      <c r="H335" s="10" t="s">
        <v>1873</v>
      </c>
      <c r="I335" s="10" t="s">
        <v>2458</v>
      </c>
      <c r="J335" s="10" t="s">
        <v>2459</v>
      </c>
      <c r="K335" s="10" t="s">
        <v>2460</v>
      </c>
      <c r="L335" s="65" t="str">
        <f t="shared" si="28"/>
        <v>West Bay|Cauman|-81,416664|19,366667|-5:00 America</v>
      </c>
      <c r="M335" s="10" t="s">
        <v>2465</v>
      </c>
      <c r="N335" s="10">
        <f t="shared" si="25"/>
        <v>0</v>
      </c>
      <c r="O335" t="str">
        <f t="shared" si="29"/>
        <v/>
      </c>
      <c r="P335" t="str">
        <f>IF(O335=1,COUNTIF($O$2:O335,1),"")</f>
        <v/>
      </c>
      <c r="Q335" t="str">
        <f>IFERROR(INDEX($M$2:$M$2388,MATCH(ROWS($P$2:P335),$P$2:$P$2388,0)),"")</f>
        <v/>
      </c>
    </row>
    <row r="336" spans="1:17" ht="15" x14ac:dyDescent="0.25">
      <c r="A336" s="10">
        <v>323</v>
      </c>
      <c r="B336" s="10" t="s">
        <v>2466</v>
      </c>
      <c r="C336" s="880">
        <f t="shared" si="26"/>
        <v>18.583300000000001</v>
      </c>
      <c r="D336" s="880">
        <f t="shared" si="27"/>
        <v>4.3666</v>
      </c>
      <c r="E336" s="10">
        <v>18.583334000000001</v>
      </c>
      <c r="F336" s="10">
        <v>4.3666669999999996</v>
      </c>
      <c r="G336" s="10">
        <v>1</v>
      </c>
      <c r="H336" s="10" t="s">
        <v>1670</v>
      </c>
      <c r="I336" s="10" t="s">
        <v>2467</v>
      </c>
      <c r="J336" s="10" t="s">
        <v>2468</v>
      </c>
      <c r="K336" s="10" t="s">
        <v>2469</v>
      </c>
      <c r="L336" s="65" t="str">
        <f t="shared" si="28"/>
        <v>Bangui|Central African Republic|18,583334|4,366667|+1:00 Africa</v>
      </c>
      <c r="M336" s="10" t="s">
        <v>2470</v>
      </c>
      <c r="N336" s="10">
        <f t="shared" si="25"/>
        <v>0</v>
      </c>
      <c r="O336" t="str">
        <f t="shared" si="29"/>
        <v/>
      </c>
      <c r="P336" t="str">
        <f>IF(O336=1,COUNTIF($O$2:O336,1),"")</f>
        <v/>
      </c>
      <c r="Q336" t="str">
        <f>IFERROR(INDEX($M$2:$M$2388,MATCH(ROWS($P$2:P336),$P$2:$P$2388,0)),"")</f>
        <v/>
      </c>
    </row>
    <row r="337" spans="1:17" ht="15" x14ac:dyDescent="0.25">
      <c r="A337" s="10">
        <v>322</v>
      </c>
      <c r="B337" s="10" t="s">
        <v>2471</v>
      </c>
      <c r="C337" s="880">
        <f t="shared" si="26"/>
        <v>26.5</v>
      </c>
      <c r="D337" s="880">
        <f t="shared" si="27"/>
        <v>5.4</v>
      </c>
      <c r="E337" s="10">
        <v>26.5</v>
      </c>
      <c r="F337" s="10">
        <v>5.4</v>
      </c>
      <c r="G337" s="10">
        <v>1</v>
      </c>
      <c r="H337" s="10" t="s">
        <v>1670</v>
      </c>
      <c r="I337" s="10" t="s">
        <v>2467</v>
      </c>
      <c r="J337" s="10" t="s">
        <v>2468</v>
      </c>
      <c r="K337" s="10" t="s">
        <v>2469</v>
      </c>
      <c r="L337" s="65" t="str">
        <f t="shared" si="28"/>
        <v>Obo|Central African Republic|26,500000|5,400000|+1:00 Africa</v>
      </c>
      <c r="M337" s="10" t="s">
        <v>2472</v>
      </c>
      <c r="N337" s="10">
        <f t="shared" si="25"/>
        <v>0</v>
      </c>
      <c r="O337" t="str">
        <f t="shared" si="29"/>
        <v/>
      </c>
      <c r="P337" t="str">
        <f>IF(O337=1,COUNTIF($O$2:O337,1),"")</f>
        <v/>
      </c>
      <c r="Q337" t="str">
        <f>IFERROR(INDEX($M$2:$M$2388,MATCH(ROWS($P$2:P337),$P$2:$P$2388,0)),"")</f>
        <v/>
      </c>
    </row>
    <row r="338" spans="1:17" ht="15" x14ac:dyDescent="0.25">
      <c r="A338" s="10">
        <v>321</v>
      </c>
      <c r="B338" s="10" t="s">
        <v>2473</v>
      </c>
      <c r="C338" s="880">
        <f t="shared" si="26"/>
        <v>22.4</v>
      </c>
      <c r="D338" s="880">
        <f t="shared" si="27"/>
        <v>8.0665999999999993</v>
      </c>
      <c r="E338" s="10">
        <v>22.4</v>
      </c>
      <c r="F338" s="10">
        <v>8.0666670000000007</v>
      </c>
      <c r="G338" s="10">
        <v>1</v>
      </c>
      <c r="H338" s="10" t="s">
        <v>1670</v>
      </c>
      <c r="I338" s="10" t="s">
        <v>2467</v>
      </c>
      <c r="J338" s="10" t="s">
        <v>2468</v>
      </c>
      <c r="K338" s="10" t="s">
        <v>2469</v>
      </c>
      <c r="L338" s="65" t="str">
        <f t="shared" si="28"/>
        <v>Ouadda|Central African Republic|22,400000|8,066667|+1:00 Africa</v>
      </c>
      <c r="M338" s="10" t="s">
        <v>2474</v>
      </c>
      <c r="N338" s="10">
        <f t="shared" si="25"/>
        <v>0</v>
      </c>
      <c r="O338" t="str">
        <f t="shared" si="29"/>
        <v/>
      </c>
      <c r="P338" t="str">
        <f>IF(O338=1,COUNTIF($O$2:O338,1),"")</f>
        <v/>
      </c>
      <c r="Q338" t="str">
        <f>IFERROR(INDEX($M$2:$M$2388,MATCH(ROWS($P$2:P338),$P$2:$P$2388,0)),"")</f>
        <v/>
      </c>
    </row>
    <row r="339" spans="1:17" ht="15" x14ac:dyDescent="0.25">
      <c r="A339" s="10">
        <v>320</v>
      </c>
      <c r="B339" s="10" t="s">
        <v>2475</v>
      </c>
      <c r="C339" s="880">
        <f t="shared" si="26"/>
        <v>23.916599999999999</v>
      </c>
      <c r="D339" s="880">
        <f t="shared" si="27"/>
        <v>4.95</v>
      </c>
      <c r="E339" s="10">
        <v>23.916665999999999</v>
      </c>
      <c r="F339" s="10">
        <v>4.95</v>
      </c>
      <c r="G339" s="10">
        <v>1</v>
      </c>
      <c r="H339" s="10" t="s">
        <v>1670</v>
      </c>
      <c r="I339" s="10" t="s">
        <v>2467</v>
      </c>
      <c r="J339" s="10" t="s">
        <v>2468</v>
      </c>
      <c r="K339" s="10" t="s">
        <v>2469</v>
      </c>
      <c r="L339" s="65" t="str">
        <f t="shared" si="28"/>
        <v>Rafai|Central African Republic|23,916666|4,950000|+1:00 Africa</v>
      </c>
      <c r="M339" s="10" t="s">
        <v>2476</v>
      </c>
      <c r="N339" s="10">
        <f t="shared" si="25"/>
        <v>0</v>
      </c>
      <c r="O339" t="str">
        <f t="shared" si="29"/>
        <v/>
      </c>
      <c r="P339" t="str">
        <f>IF(O339=1,COUNTIF($O$2:O339,1),"")</f>
        <v/>
      </c>
      <c r="Q339" t="str">
        <f>IFERROR(INDEX($M$2:$M$2388,MATCH(ROWS($P$2:P339),$P$2:$P$2388,0)),"")</f>
        <v/>
      </c>
    </row>
    <row r="340" spans="1:17" ht="15" x14ac:dyDescent="0.25">
      <c r="A340" s="10">
        <v>2056</v>
      </c>
      <c r="B340" s="10" t="s">
        <v>2477</v>
      </c>
      <c r="C340" s="880">
        <f t="shared" si="26"/>
        <v>22.2</v>
      </c>
      <c r="D340" s="880">
        <f t="shared" si="27"/>
        <v>13.4666</v>
      </c>
      <c r="E340" s="10">
        <v>22.200001</v>
      </c>
      <c r="F340" s="10">
        <v>13.466666999999999</v>
      </c>
      <c r="G340" s="10">
        <v>1</v>
      </c>
      <c r="H340" s="10" t="s">
        <v>1670</v>
      </c>
      <c r="I340" s="10" t="s">
        <v>2478</v>
      </c>
      <c r="J340" s="10" t="s">
        <v>2479</v>
      </c>
      <c r="K340" s="10" t="s">
        <v>2480</v>
      </c>
      <c r="L340" s="65" t="str">
        <f t="shared" si="28"/>
        <v>Adre|Chad|22,200001|13,466667|+1:00 Africa</v>
      </c>
      <c r="M340" s="10" t="s">
        <v>2481</v>
      </c>
      <c r="N340" s="10">
        <f t="shared" si="25"/>
        <v>0</v>
      </c>
      <c r="O340" t="str">
        <f t="shared" si="29"/>
        <v/>
      </c>
      <c r="P340" t="str">
        <f>IF(O340=1,COUNTIF($O$2:O340,1),"")</f>
        <v/>
      </c>
      <c r="Q340" t="str">
        <f>IFERROR(INDEX($M$2:$M$2388,MATCH(ROWS($P$2:P340),$P$2:$P$2388,0)),"")</f>
        <v/>
      </c>
    </row>
    <row r="341" spans="1:17" ht="15" x14ac:dyDescent="0.25">
      <c r="A341" s="10">
        <v>2055</v>
      </c>
      <c r="B341" s="10" t="s">
        <v>2482</v>
      </c>
      <c r="C341" s="880">
        <f t="shared" si="26"/>
        <v>20.283300000000001</v>
      </c>
      <c r="D341" s="880">
        <f t="shared" si="27"/>
        <v>11.033300000000001</v>
      </c>
      <c r="E341" s="10">
        <v>20.283332999999999</v>
      </c>
      <c r="F341" s="10">
        <v>11.033333000000001</v>
      </c>
      <c r="G341" s="10">
        <v>1</v>
      </c>
      <c r="H341" s="10" t="s">
        <v>1670</v>
      </c>
      <c r="I341" s="10" t="s">
        <v>2478</v>
      </c>
      <c r="J341" s="10" t="s">
        <v>2479</v>
      </c>
      <c r="K341" s="10" t="s">
        <v>2480</v>
      </c>
      <c r="L341" s="65" t="str">
        <f t="shared" si="28"/>
        <v>Am Timan|Chad|20,283333|11,033333|+1:00 Africa</v>
      </c>
      <c r="M341" s="10" t="s">
        <v>2483</v>
      </c>
      <c r="N341" s="10">
        <f t="shared" si="25"/>
        <v>0</v>
      </c>
      <c r="O341" t="str">
        <f t="shared" si="29"/>
        <v/>
      </c>
      <c r="P341" t="str">
        <f>IF(O341=1,COUNTIF($O$2:O341,1),"")</f>
        <v/>
      </c>
      <c r="Q341" t="str">
        <f>IFERROR(INDEX($M$2:$M$2388,MATCH(ROWS($P$2:P341),$P$2:$P$2388,0)),"")</f>
        <v/>
      </c>
    </row>
    <row r="342" spans="1:17" ht="15" x14ac:dyDescent="0.25">
      <c r="A342" s="10">
        <v>2054</v>
      </c>
      <c r="B342" s="10" t="s">
        <v>2484</v>
      </c>
      <c r="C342" s="880">
        <f t="shared" si="26"/>
        <v>20.916599999999999</v>
      </c>
      <c r="D342" s="880">
        <f t="shared" si="27"/>
        <v>14.533300000000001</v>
      </c>
      <c r="E342" s="10">
        <v>20.916665999999999</v>
      </c>
      <c r="F342" s="10">
        <v>14.533333000000001</v>
      </c>
      <c r="G342" s="10">
        <v>1</v>
      </c>
      <c r="H342" s="10" t="s">
        <v>1670</v>
      </c>
      <c r="I342" s="10" t="s">
        <v>2478</v>
      </c>
      <c r="J342" s="10" t="s">
        <v>2479</v>
      </c>
      <c r="K342" s="10" t="s">
        <v>2480</v>
      </c>
      <c r="L342" s="65" t="str">
        <f t="shared" si="28"/>
        <v>Biltine|Chad|20,916666|14,533333|+1:00 Africa</v>
      </c>
      <c r="M342" s="10" t="s">
        <v>2485</v>
      </c>
      <c r="N342" s="10">
        <f t="shared" si="25"/>
        <v>0</v>
      </c>
      <c r="O342" t="str">
        <f t="shared" si="29"/>
        <v/>
      </c>
      <c r="P342" t="str">
        <f>IF(O342=1,COUNTIF($O$2:O342,1),"")</f>
        <v/>
      </c>
      <c r="Q342" t="str">
        <f>IFERROR(INDEX($M$2:$M$2388,MATCH(ROWS($P$2:P342),$P$2:$P$2388,0)),"")</f>
        <v/>
      </c>
    </row>
    <row r="343" spans="1:17" ht="15" x14ac:dyDescent="0.25">
      <c r="A343" s="10">
        <v>2057</v>
      </c>
      <c r="B343" s="10" t="s">
        <v>2486</v>
      </c>
      <c r="C343" s="880">
        <f t="shared" si="26"/>
        <v>15.049099999999999</v>
      </c>
      <c r="D343" s="880">
        <f t="shared" si="27"/>
        <v>12.113</v>
      </c>
      <c r="E343" s="10">
        <v>15.049167000000001</v>
      </c>
      <c r="F343" s="10">
        <v>12.113054999999999</v>
      </c>
      <c r="G343" s="10">
        <v>1</v>
      </c>
      <c r="H343" s="10" t="s">
        <v>1670</v>
      </c>
      <c r="I343" s="10" t="s">
        <v>2478</v>
      </c>
      <c r="J343" s="10" t="s">
        <v>2479</v>
      </c>
      <c r="K343" s="10" t="s">
        <v>2480</v>
      </c>
      <c r="L343" s="65" t="str">
        <f t="shared" si="28"/>
        <v>N'Djamena|Chad|15,049167|12,113055|+1:00 Africa</v>
      </c>
      <c r="M343" s="10" t="s">
        <v>2487</v>
      </c>
      <c r="N343" s="10">
        <f t="shared" si="25"/>
        <v>0</v>
      </c>
      <c r="O343" t="str">
        <f t="shared" si="29"/>
        <v/>
      </c>
      <c r="P343" t="str">
        <f>IF(O343=1,COUNTIF($O$2:O343,1),"")</f>
        <v/>
      </c>
      <c r="Q343" t="str">
        <f>IFERROR(INDEX($M$2:$M$2388,MATCH(ROWS($P$2:P343),$P$2:$P$2388,0)),"")</f>
        <v/>
      </c>
    </row>
    <row r="344" spans="1:17" ht="15" x14ac:dyDescent="0.25">
      <c r="A344" s="10">
        <v>351</v>
      </c>
      <c r="B344" s="10" t="s">
        <v>2488</v>
      </c>
      <c r="C344" s="880">
        <f t="shared" si="26"/>
        <v>-70.400000000000006</v>
      </c>
      <c r="D344" s="880">
        <f t="shared" si="27"/>
        <v>-23.65</v>
      </c>
      <c r="E344" s="10">
        <v>-70.400002000000001</v>
      </c>
      <c r="F344" s="10">
        <v>-23.65</v>
      </c>
      <c r="G344" s="10">
        <v>-4</v>
      </c>
      <c r="H344" s="10" t="s">
        <v>1733</v>
      </c>
      <c r="I344" s="10" t="s">
        <v>2489</v>
      </c>
      <c r="J344" s="10" t="s">
        <v>2490</v>
      </c>
      <c r="K344" s="10" t="s">
        <v>2491</v>
      </c>
      <c r="L344" s="65" t="str">
        <f t="shared" si="28"/>
        <v>Antofagasta|Chile|-70,400002|-23,650000|-4:00 America</v>
      </c>
      <c r="M344" s="10" t="s">
        <v>2492</v>
      </c>
      <c r="N344" s="10">
        <f t="shared" si="25"/>
        <v>0</v>
      </c>
      <c r="O344" t="str">
        <f t="shared" si="29"/>
        <v/>
      </c>
      <c r="P344" t="str">
        <f>IF(O344=1,COUNTIF($O$2:O344,1),"")</f>
        <v/>
      </c>
      <c r="Q344" t="str">
        <f>IFERROR(INDEX($M$2:$M$2388,MATCH(ROWS($P$2:P344),$P$2:$P$2388,0)),"")</f>
        <v/>
      </c>
    </row>
    <row r="345" spans="1:17" ht="15" x14ac:dyDescent="0.25">
      <c r="A345" s="10">
        <v>350</v>
      </c>
      <c r="B345" s="10" t="s">
        <v>2493</v>
      </c>
      <c r="C345" s="880">
        <f t="shared" si="26"/>
        <v>-73.05</v>
      </c>
      <c r="D345" s="880">
        <f t="shared" si="27"/>
        <v>-36.833300000000001</v>
      </c>
      <c r="E345" s="10">
        <v>-73.050003000000004</v>
      </c>
      <c r="F345" s="10">
        <v>-36.833331999999999</v>
      </c>
      <c r="G345" s="10">
        <v>-4</v>
      </c>
      <c r="H345" s="10" t="s">
        <v>1733</v>
      </c>
      <c r="I345" s="10" t="s">
        <v>2489</v>
      </c>
      <c r="J345" s="10" t="s">
        <v>2490</v>
      </c>
      <c r="K345" s="10" t="s">
        <v>2491</v>
      </c>
      <c r="L345" s="65" t="str">
        <f t="shared" si="28"/>
        <v>Concepcion|Chile|-73,050003|-36,833332|-4:00 America</v>
      </c>
      <c r="M345" s="10" t="s">
        <v>2494</v>
      </c>
      <c r="N345" s="10">
        <f t="shared" si="25"/>
        <v>0</v>
      </c>
      <c r="O345" t="str">
        <f t="shared" si="29"/>
        <v/>
      </c>
      <c r="P345" t="str">
        <f>IF(O345=1,COUNTIF($O$2:O345,1),"")</f>
        <v/>
      </c>
      <c r="Q345" t="str">
        <f>IFERROR(INDEX($M$2:$M$2388,MATCH(ROWS($P$2:P345),$P$2:$P$2388,0)),"")</f>
        <v/>
      </c>
    </row>
    <row r="346" spans="1:17" ht="15" x14ac:dyDescent="0.25">
      <c r="A346" s="10">
        <v>349</v>
      </c>
      <c r="B346" s="10" t="s">
        <v>2495</v>
      </c>
      <c r="C346" s="880">
        <f t="shared" si="26"/>
        <v>-70.166600000000003</v>
      </c>
      <c r="D346" s="880">
        <f t="shared" si="27"/>
        <v>-20.2166</v>
      </c>
      <c r="E346" s="10">
        <v>-70.166663999999997</v>
      </c>
      <c r="F346" s="10">
        <v>-20.216667000000001</v>
      </c>
      <c r="G346" s="10">
        <v>-4</v>
      </c>
      <c r="H346" s="10" t="s">
        <v>1733</v>
      </c>
      <c r="I346" s="10" t="s">
        <v>2489</v>
      </c>
      <c r="J346" s="10" t="s">
        <v>2490</v>
      </c>
      <c r="K346" s="10" t="s">
        <v>2491</v>
      </c>
      <c r="L346" s="65" t="str">
        <f t="shared" si="28"/>
        <v>Iquique|Chile|-70,166664|-20,216667|-4:00 America</v>
      </c>
      <c r="M346" s="10" t="s">
        <v>2496</v>
      </c>
      <c r="N346" s="10">
        <f t="shared" si="25"/>
        <v>0</v>
      </c>
      <c r="O346" t="str">
        <f t="shared" si="29"/>
        <v/>
      </c>
      <c r="P346" t="str">
        <f>IF(O346=1,COUNTIF($O$2:O346,1),"")</f>
        <v/>
      </c>
      <c r="Q346" t="str">
        <f>IFERROR(INDEX($M$2:$M$2388,MATCH(ROWS($P$2:P346),$P$2:$P$2388,0)),"")</f>
        <v/>
      </c>
    </row>
    <row r="347" spans="1:17" ht="15" x14ac:dyDescent="0.25">
      <c r="A347" s="10">
        <v>347</v>
      </c>
      <c r="B347" s="10" t="s">
        <v>2497</v>
      </c>
      <c r="C347" s="880">
        <f t="shared" si="26"/>
        <v>-70.75</v>
      </c>
      <c r="D347" s="880">
        <f t="shared" si="27"/>
        <v>-34.166600000000003</v>
      </c>
      <c r="E347" s="10">
        <v>-70.75</v>
      </c>
      <c r="F347" s="10">
        <v>-34.166668000000001</v>
      </c>
      <c r="G347" s="10">
        <v>-4</v>
      </c>
      <c r="H347" s="10" t="s">
        <v>1733</v>
      </c>
      <c r="I347" s="10" t="s">
        <v>2489</v>
      </c>
      <c r="J347" s="10" t="s">
        <v>2490</v>
      </c>
      <c r="K347" s="10" t="s">
        <v>2491</v>
      </c>
      <c r="L347" s="65" t="str">
        <f t="shared" si="28"/>
        <v>Rancagua|Chile|-70,750000|-34,166668|-4:00 America</v>
      </c>
      <c r="M347" s="10" t="s">
        <v>2498</v>
      </c>
      <c r="N347" s="10">
        <f t="shared" si="25"/>
        <v>0</v>
      </c>
      <c r="O347" t="str">
        <f t="shared" si="29"/>
        <v/>
      </c>
      <c r="P347" t="str">
        <f>IF(O347=1,COUNTIF($O$2:O347,1),"")</f>
        <v/>
      </c>
      <c r="Q347" t="str">
        <f>IFERROR(INDEX($M$2:$M$2388,MATCH(ROWS($P$2:P347),$P$2:$P$2388,0)),"")</f>
        <v/>
      </c>
    </row>
    <row r="348" spans="1:17" ht="15" x14ac:dyDescent="0.25">
      <c r="A348" s="10">
        <v>346</v>
      </c>
      <c r="B348" s="10" t="s">
        <v>2499</v>
      </c>
      <c r="C348" s="880">
        <f t="shared" si="26"/>
        <v>-70.7166</v>
      </c>
      <c r="D348" s="880">
        <f t="shared" si="27"/>
        <v>-33.599899999999998</v>
      </c>
      <c r="E348" s="10">
        <v>-70.716667000000001</v>
      </c>
      <c r="F348" s="10">
        <v>-33.599997999999999</v>
      </c>
      <c r="G348" s="10">
        <v>-4</v>
      </c>
      <c r="H348" s="10" t="s">
        <v>1733</v>
      </c>
      <c r="I348" s="10" t="s">
        <v>2489</v>
      </c>
      <c r="J348" s="10" t="s">
        <v>2490</v>
      </c>
      <c r="K348" s="10" t="s">
        <v>2491</v>
      </c>
      <c r="L348" s="65" t="str">
        <f t="shared" si="28"/>
        <v>San Bernardo|Chile|-70,716667|-33,599998|-4:00 America</v>
      </c>
      <c r="M348" s="10" t="s">
        <v>2500</v>
      </c>
      <c r="N348" s="10">
        <f t="shared" si="25"/>
        <v>0</v>
      </c>
      <c r="O348" t="str">
        <f t="shared" si="29"/>
        <v/>
      </c>
      <c r="P348" t="str">
        <f>IF(O348=1,COUNTIF($O$2:O348,1),"")</f>
        <v/>
      </c>
      <c r="Q348" t="str">
        <f>IFERROR(INDEX($M$2:$M$2388,MATCH(ROWS($P$2:P348),$P$2:$P$2388,0)),"")</f>
        <v/>
      </c>
    </row>
    <row r="349" spans="1:17" ht="15" x14ac:dyDescent="0.25">
      <c r="A349" s="10">
        <v>345</v>
      </c>
      <c r="B349" s="10" t="s">
        <v>2501</v>
      </c>
      <c r="C349" s="880">
        <f t="shared" si="26"/>
        <v>-70.666600000000003</v>
      </c>
      <c r="D349" s="880">
        <f t="shared" si="27"/>
        <v>-33.450000000000003</v>
      </c>
      <c r="E349" s="10">
        <v>-70.666663999999997</v>
      </c>
      <c r="F349" s="10">
        <v>-33.450001</v>
      </c>
      <c r="G349" s="10">
        <v>-4</v>
      </c>
      <c r="H349" s="10" t="s">
        <v>1733</v>
      </c>
      <c r="I349" s="10" t="s">
        <v>2489</v>
      </c>
      <c r="J349" s="10" t="s">
        <v>2490</v>
      </c>
      <c r="K349" s="10" t="s">
        <v>2491</v>
      </c>
      <c r="L349" s="65" t="str">
        <f t="shared" si="28"/>
        <v>Santiago|Chile|-70,666664|-33,450001|-4:00 America</v>
      </c>
      <c r="M349" s="10" t="s">
        <v>2502</v>
      </c>
      <c r="N349" s="10">
        <f t="shared" si="25"/>
        <v>0</v>
      </c>
      <c r="O349" t="str">
        <f t="shared" si="29"/>
        <v/>
      </c>
      <c r="P349" t="str">
        <f>IF(O349=1,COUNTIF($O$2:O349,1),"")</f>
        <v/>
      </c>
      <c r="Q349" t="str">
        <f>IFERROR(INDEX($M$2:$M$2388,MATCH(ROWS($P$2:P349),$P$2:$P$2388,0)),"")</f>
        <v/>
      </c>
    </row>
    <row r="350" spans="1:17" ht="15" x14ac:dyDescent="0.25">
      <c r="A350" s="10">
        <v>344</v>
      </c>
      <c r="B350" s="10" t="s">
        <v>2503</v>
      </c>
      <c r="C350" s="880">
        <f t="shared" si="26"/>
        <v>-73.116600000000005</v>
      </c>
      <c r="D350" s="880">
        <f t="shared" si="27"/>
        <v>-36.7166</v>
      </c>
      <c r="E350" s="10">
        <v>-73.116669000000002</v>
      </c>
      <c r="F350" s="10">
        <v>-36.716667000000001</v>
      </c>
      <c r="G350" s="10">
        <v>-4</v>
      </c>
      <c r="H350" s="10" t="s">
        <v>1733</v>
      </c>
      <c r="I350" s="10" t="s">
        <v>2489</v>
      </c>
      <c r="J350" s="10" t="s">
        <v>2490</v>
      </c>
      <c r="K350" s="10" t="s">
        <v>2491</v>
      </c>
      <c r="L350" s="65" t="str">
        <f t="shared" si="28"/>
        <v>Talcahuano|Chile|-73,116669|-36,716667|-4:00 America</v>
      </c>
      <c r="M350" s="10" t="s">
        <v>2504</v>
      </c>
      <c r="N350" s="10">
        <f t="shared" si="25"/>
        <v>0</v>
      </c>
      <c r="O350" t="str">
        <f t="shared" si="29"/>
        <v/>
      </c>
      <c r="P350" t="str">
        <f>IF(O350=1,COUNTIF($O$2:O350,1),"")</f>
        <v/>
      </c>
      <c r="Q350" t="str">
        <f>IFERROR(INDEX($M$2:$M$2388,MATCH(ROWS($P$2:P350),$P$2:$P$2388,0)),"")</f>
        <v/>
      </c>
    </row>
    <row r="351" spans="1:17" ht="15" x14ac:dyDescent="0.25">
      <c r="A351" s="10">
        <v>343</v>
      </c>
      <c r="B351" s="10" t="s">
        <v>2505</v>
      </c>
      <c r="C351" s="880">
        <f t="shared" si="26"/>
        <v>-72.599900000000005</v>
      </c>
      <c r="D351" s="880">
        <f t="shared" si="27"/>
        <v>-38.7333</v>
      </c>
      <c r="E351" s="10">
        <v>-72.599997999999999</v>
      </c>
      <c r="F351" s="10">
        <v>-38.733333999999999</v>
      </c>
      <c r="G351" s="10">
        <v>-4</v>
      </c>
      <c r="H351" s="10" t="s">
        <v>1733</v>
      </c>
      <c r="I351" s="10" t="s">
        <v>2489</v>
      </c>
      <c r="J351" s="10" t="s">
        <v>2490</v>
      </c>
      <c r="K351" s="10" t="s">
        <v>2491</v>
      </c>
      <c r="L351" s="65" t="str">
        <f t="shared" si="28"/>
        <v>Temuco|Chile|-72,599998|-38,733334|-4:00 America</v>
      </c>
      <c r="M351" s="10" t="s">
        <v>2506</v>
      </c>
      <c r="N351" s="10">
        <f t="shared" si="25"/>
        <v>0</v>
      </c>
      <c r="O351" t="str">
        <f t="shared" si="29"/>
        <v/>
      </c>
      <c r="P351" t="str">
        <f>IF(O351=1,COUNTIF($O$2:O351,1),"")</f>
        <v/>
      </c>
      <c r="Q351" t="str">
        <f>IFERROR(INDEX($M$2:$M$2388,MATCH(ROWS($P$2:P351),$P$2:$P$2388,0)),"")</f>
        <v/>
      </c>
    </row>
    <row r="352" spans="1:17" ht="15" x14ac:dyDescent="0.25">
      <c r="A352" s="10">
        <v>342</v>
      </c>
      <c r="B352" s="10" t="s">
        <v>2507</v>
      </c>
      <c r="C352" s="880">
        <f t="shared" si="26"/>
        <v>-71.601100000000002</v>
      </c>
      <c r="D352" s="880">
        <f t="shared" si="27"/>
        <v>-33.047699999999999</v>
      </c>
      <c r="E352" s="10">
        <v>-71.601112000000001</v>
      </c>
      <c r="F352" s="10">
        <v>-33.047778999999998</v>
      </c>
      <c r="G352" s="10">
        <v>-4</v>
      </c>
      <c r="H352" s="10" t="s">
        <v>1733</v>
      </c>
      <c r="I352" s="10" t="s">
        <v>2489</v>
      </c>
      <c r="J352" s="10" t="s">
        <v>2490</v>
      </c>
      <c r="K352" s="10" t="s">
        <v>2491</v>
      </c>
      <c r="L352" s="65" t="str">
        <f t="shared" si="28"/>
        <v>Valparaiso|Chile|-71,601112|-33,047779|-4:00 America</v>
      </c>
      <c r="M352" s="10" t="s">
        <v>2508</v>
      </c>
      <c r="N352" s="10">
        <f t="shared" si="25"/>
        <v>0</v>
      </c>
      <c r="O352" t="str">
        <f t="shared" si="29"/>
        <v/>
      </c>
      <c r="P352" t="str">
        <f>IF(O352=1,COUNTIF($O$2:O352,1),"")</f>
        <v/>
      </c>
      <c r="Q352" t="str">
        <f>IFERROR(INDEX($M$2:$M$2388,MATCH(ROWS($P$2:P352),$P$2:$P$2388,0)),"")</f>
        <v/>
      </c>
    </row>
    <row r="353" spans="1:17" ht="15" x14ac:dyDescent="0.25">
      <c r="A353" s="10">
        <v>341</v>
      </c>
      <c r="B353" s="10" t="s">
        <v>2509</v>
      </c>
      <c r="C353" s="880">
        <f t="shared" si="26"/>
        <v>-72.2166</v>
      </c>
      <c r="D353" s="880">
        <f t="shared" si="27"/>
        <v>-39.266599999999997</v>
      </c>
      <c r="E353" s="10">
        <v>-72.216667000000001</v>
      </c>
      <c r="F353" s="10">
        <v>-39.266666000000001</v>
      </c>
      <c r="G353" s="10">
        <v>-4</v>
      </c>
      <c r="H353" s="10" t="s">
        <v>1733</v>
      </c>
      <c r="I353" s="10" t="s">
        <v>2489</v>
      </c>
      <c r="J353" s="10" t="s">
        <v>2490</v>
      </c>
      <c r="K353" s="10" t="s">
        <v>2491</v>
      </c>
      <c r="L353" s="65" t="str">
        <f t="shared" si="28"/>
        <v>Villarrica|Chile|-72,216667|-39,266666|-4:00 America</v>
      </c>
      <c r="M353" s="10" t="s">
        <v>2510</v>
      </c>
      <c r="N353" s="10">
        <f t="shared" si="25"/>
        <v>0</v>
      </c>
      <c r="O353" t="str">
        <f t="shared" si="29"/>
        <v/>
      </c>
      <c r="P353" t="str">
        <f>IF(O353=1,COUNTIF($O$2:O353,1),"")</f>
        <v/>
      </c>
      <c r="Q353" t="str">
        <f>IFERROR(INDEX($M$2:$M$2388,MATCH(ROWS($P$2:P353),$P$2:$P$2388,0)),"")</f>
        <v/>
      </c>
    </row>
    <row r="354" spans="1:17" ht="15" x14ac:dyDescent="0.25">
      <c r="A354" s="10">
        <v>348</v>
      </c>
      <c r="B354" s="10" t="s">
        <v>2511</v>
      </c>
      <c r="C354" s="880">
        <f t="shared" si="26"/>
        <v>-70.583299999999994</v>
      </c>
      <c r="D354" s="880">
        <f t="shared" si="27"/>
        <v>-33.616599999999998</v>
      </c>
      <c r="E354" s="10">
        <v>-70.583336000000003</v>
      </c>
      <c r="F354" s="10">
        <v>-33.616664999999998</v>
      </c>
      <c r="G354" s="10">
        <v>-4</v>
      </c>
      <c r="H354" s="10" t="s">
        <v>1733</v>
      </c>
      <c r="I354" s="10" t="s">
        <v>2489</v>
      </c>
      <c r="J354" s="10" t="s">
        <v>2490</v>
      </c>
      <c r="K354" s="10" t="s">
        <v>2491</v>
      </c>
      <c r="L354" s="65" t="str">
        <f t="shared" si="28"/>
        <v>vina causino|Chile|-70,583336|-33,616665|-4:00 America</v>
      </c>
      <c r="M354" s="10" t="s">
        <v>2512</v>
      </c>
      <c r="N354" s="10">
        <f t="shared" si="25"/>
        <v>0</v>
      </c>
      <c r="O354" t="str">
        <f t="shared" si="29"/>
        <v/>
      </c>
      <c r="P354" t="str">
        <f>IF(O354=1,COUNTIF($O$2:O354,1),"")</f>
        <v/>
      </c>
      <c r="Q354" t="str">
        <f>IFERROR(INDEX($M$2:$M$2388,MATCH(ROWS($P$2:P354),$P$2:$P$2388,0)),"")</f>
        <v/>
      </c>
    </row>
    <row r="355" spans="1:17" ht="15" x14ac:dyDescent="0.25">
      <c r="A355" s="10">
        <v>340</v>
      </c>
      <c r="B355" s="10" t="s">
        <v>2513</v>
      </c>
      <c r="C355" s="880">
        <f t="shared" si="26"/>
        <v>-71.5197</v>
      </c>
      <c r="D355" s="880">
        <f t="shared" si="27"/>
        <v>-33.008000000000003</v>
      </c>
      <c r="E355" s="10">
        <v>-71.519722000000002</v>
      </c>
      <c r="F355" s="10">
        <v>-33.008057000000001</v>
      </c>
      <c r="G355" s="10">
        <v>-4</v>
      </c>
      <c r="H355" s="10" t="s">
        <v>1733</v>
      </c>
      <c r="I355" s="10" t="s">
        <v>2489</v>
      </c>
      <c r="J355" s="10" t="s">
        <v>2490</v>
      </c>
      <c r="K355" s="10" t="s">
        <v>2491</v>
      </c>
      <c r="L355" s="65" t="str">
        <f t="shared" si="28"/>
        <v>Vina del Mar|Chile|-71,519722|-33,008057|-4:00 America</v>
      </c>
      <c r="M355" s="10" t="s">
        <v>2514</v>
      </c>
      <c r="N355" s="10">
        <f t="shared" si="25"/>
        <v>0</v>
      </c>
      <c r="O355" t="str">
        <f t="shared" si="29"/>
        <v/>
      </c>
      <c r="P355" t="str">
        <f>IF(O355=1,COUNTIF($O$2:O355,1),"")</f>
        <v/>
      </c>
      <c r="Q355" t="str">
        <f>IFERROR(INDEX($M$2:$M$2388,MATCH(ROWS($P$2:P355),$P$2:$P$2388,0)),"")</f>
        <v/>
      </c>
    </row>
    <row r="356" spans="1:17" ht="15" x14ac:dyDescent="0.25">
      <c r="A356" s="10">
        <v>339</v>
      </c>
      <c r="B356" s="10" t="s">
        <v>2515</v>
      </c>
      <c r="C356" s="880">
        <f t="shared" si="26"/>
        <v>-72.566599999999994</v>
      </c>
      <c r="D356" s="880">
        <f t="shared" si="27"/>
        <v>-37.083300000000001</v>
      </c>
      <c r="E356" s="10">
        <v>-72.566665999999998</v>
      </c>
      <c r="F356" s="10">
        <v>-37.083331999999999</v>
      </c>
      <c r="G356" s="10">
        <v>-4</v>
      </c>
      <c r="H356" s="10" t="s">
        <v>1733</v>
      </c>
      <c r="I356" s="10" t="s">
        <v>2489</v>
      </c>
      <c r="J356" s="10" t="s">
        <v>2490</v>
      </c>
      <c r="K356" s="10" t="s">
        <v>2491</v>
      </c>
      <c r="L356" s="65" t="str">
        <f t="shared" si="28"/>
        <v>Yumbel|Chile|-72,566666|-37,083332|-4:00 America</v>
      </c>
      <c r="M356" s="10" t="s">
        <v>2516</v>
      </c>
      <c r="N356" s="10">
        <f t="shared" si="25"/>
        <v>0</v>
      </c>
      <c r="O356" t="str">
        <f t="shared" si="29"/>
        <v/>
      </c>
      <c r="P356" t="str">
        <f>IF(O356=1,COUNTIF($O$2:O356,1),"")</f>
        <v/>
      </c>
      <c r="Q356" t="str">
        <f>IFERROR(INDEX($M$2:$M$2388,MATCH(ROWS($P$2:P356),$P$2:$P$2388,0)),"")</f>
        <v/>
      </c>
    </row>
    <row r="357" spans="1:17" ht="15" x14ac:dyDescent="0.25">
      <c r="A357" s="10">
        <v>373</v>
      </c>
      <c r="B357" s="10" t="s">
        <v>2517</v>
      </c>
      <c r="C357" s="880">
        <f t="shared" si="26"/>
        <v>80.264399999999995</v>
      </c>
      <c r="D357" s="880">
        <f t="shared" si="27"/>
        <v>41.122999999999998</v>
      </c>
      <c r="E357" s="10">
        <v>80.264442000000003</v>
      </c>
      <c r="F357" s="10">
        <v>41.123055000000001</v>
      </c>
      <c r="G357" s="10">
        <v>8</v>
      </c>
      <c r="H357" s="10" t="s">
        <v>1831</v>
      </c>
      <c r="I357" s="10" t="s">
        <v>2518</v>
      </c>
      <c r="J357" s="10" t="s">
        <v>2519</v>
      </c>
      <c r="K357" s="10" t="s">
        <v>2520</v>
      </c>
      <c r="L357" s="65" t="str">
        <f t="shared" si="28"/>
        <v>Aksu|China|80,264442|41,123055|+8:00 Asia</v>
      </c>
      <c r="M357" s="10" t="s">
        <v>2521</v>
      </c>
      <c r="N357" s="10">
        <f t="shared" si="25"/>
        <v>0</v>
      </c>
      <c r="O357" t="str">
        <f t="shared" si="29"/>
        <v/>
      </c>
      <c r="P357" t="str">
        <f>IF(O357=1,COUNTIF($O$2:O357,1),"")</f>
        <v/>
      </c>
      <c r="Q357" t="str">
        <f>IFERROR(INDEX($M$2:$M$2388,MATCH(ROWS($P$2:P357),$P$2:$P$2388,0)),"")</f>
        <v/>
      </c>
    </row>
    <row r="358" spans="1:17" ht="15" x14ac:dyDescent="0.25">
      <c r="A358" s="10">
        <v>530</v>
      </c>
      <c r="B358" s="10" t="s">
        <v>2522</v>
      </c>
      <c r="C358" s="880">
        <f t="shared" si="26"/>
        <v>117.0505</v>
      </c>
      <c r="D358" s="880">
        <f t="shared" si="27"/>
        <v>30.5091</v>
      </c>
      <c r="E358" s="10">
        <v>117.050552</v>
      </c>
      <c r="F358" s="10">
        <v>30.509167000000001</v>
      </c>
      <c r="G358" s="10">
        <v>8</v>
      </c>
      <c r="H358" s="10" t="s">
        <v>1831</v>
      </c>
      <c r="I358" s="10" t="s">
        <v>2518</v>
      </c>
      <c r="J358" s="10" t="s">
        <v>2519</v>
      </c>
      <c r="K358" s="10" t="s">
        <v>2523</v>
      </c>
      <c r="L358" s="65" t="str">
        <f t="shared" si="28"/>
        <v>Anqing|China|117,050552|30,509167|+8:00 Asia</v>
      </c>
      <c r="M358" s="10" t="s">
        <v>2524</v>
      </c>
      <c r="N358" s="10">
        <f t="shared" si="25"/>
        <v>0</v>
      </c>
      <c r="O358" t="str">
        <f t="shared" si="29"/>
        <v/>
      </c>
      <c r="P358" t="str">
        <f>IF(O358=1,COUNTIF($O$2:O358,1),"")</f>
        <v/>
      </c>
      <c r="Q358" t="str">
        <f>IFERROR(INDEX($M$2:$M$2388,MATCH(ROWS($P$2:P358),$P$2:$P$2388,0)),"")</f>
        <v/>
      </c>
    </row>
    <row r="359" spans="1:17" ht="15" x14ac:dyDescent="0.25">
      <c r="A359" s="10">
        <v>572</v>
      </c>
      <c r="B359" s="10" t="s">
        <v>2525</v>
      </c>
      <c r="C359" s="880">
        <f t="shared" si="26"/>
        <v>122.98990000000001</v>
      </c>
      <c r="D359" s="880">
        <f t="shared" si="27"/>
        <v>41.123600000000003</v>
      </c>
      <c r="E359" s="10">
        <v>122.989998</v>
      </c>
      <c r="F359" s="10">
        <v>41.123610999999997</v>
      </c>
      <c r="G359" s="10">
        <v>8</v>
      </c>
      <c r="H359" s="10" t="s">
        <v>1831</v>
      </c>
      <c r="I359" s="10" t="s">
        <v>2518</v>
      </c>
      <c r="J359" s="10" t="s">
        <v>2519</v>
      </c>
      <c r="K359" s="10" t="s">
        <v>2526</v>
      </c>
      <c r="L359" s="65" t="str">
        <f t="shared" si="28"/>
        <v>Anshan|China|122,989998|41,123611|+8:00 Asia</v>
      </c>
      <c r="M359" s="10" t="s">
        <v>2527</v>
      </c>
      <c r="N359" s="10">
        <f t="shared" si="25"/>
        <v>0</v>
      </c>
      <c r="O359" t="str">
        <f t="shared" si="29"/>
        <v/>
      </c>
      <c r="P359" t="str">
        <f>IF(O359=1,COUNTIF($O$2:O359,1),"")</f>
        <v/>
      </c>
      <c r="Q359" t="str">
        <f>IFERROR(INDEX($M$2:$M$2388,MATCH(ROWS($P$2:P359),$P$2:$P$2388,0)),"")</f>
        <v/>
      </c>
    </row>
    <row r="360" spans="1:17" ht="15" x14ac:dyDescent="0.25">
      <c r="A360" s="10">
        <v>529</v>
      </c>
      <c r="B360" s="10" t="s">
        <v>2528</v>
      </c>
      <c r="C360" s="880">
        <f t="shared" si="26"/>
        <v>105.9333</v>
      </c>
      <c r="D360" s="880">
        <f t="shared" si="27"/>
        <v>26.25</v>
      </c>
      <c r="E360" s="10">
        <v>105.933334</v>
      </c>
      <c r="F360" s="10">
        <v>26.25</v>
      </c>
      <c r="G360" s="10">
        <v>8</v>
      </c>
      <c r="H360" s="10" t="s">
        <v>1831</v>
      </c>
      <c r="I360" s="10" t="s">
        <v>2518</v>
      </c>
      <c r="J360" s="10" t="s">
        <v>2519</v>
      </c>
      <c r="K360" s="10" t="s">
        <v>2529</v>
      </c>
      <c r="L360" s="65" t="str">
        <f t="shared" si="28"/>
        <v>Anshun|China|105,933334|26,250000|+8:00 Asia</v>
      </c>
      <c r="M360" s="10" t="s">
        <v>2530</v>
      </c>
      <c r="N360" s="10">
        <f t="shared" si="25"/>
        <v>0</v>
      </c>
      <c r="O360" t="str">
        <f t="shared" si="29"/>
        <v/>
      </c>
      <c r="P360" t="str">
        <f>IF(O360=1,COUNTIF($O$2:O360,1),"")</f>
        <v/>
      </c>
      <c r="Q360" t="str">
        <f>IFERROR(INDEX($M$2:$M$2388,MATCH(ROWS($P$2:P360),$P$2:$P$2388,0)),"")</f>
        <v/>
      </c>
    </row>
    <row r="361" spans="1:17" ht="15" x14ac:dyDescent="0.25">
      <c r="A361" s="10">
        <v>385</v>
      </c>
      <c r="B361" s="10" t="s">
        <v>2531</v>
      </c>
      <c r="C361" s="880">
        <f t="shared" si="26"/>
        <v>114.3288</v>
      </c>
      <c r="D361" s="880">
        <f t="shared" si="27"/>
        <v>36.099400000000003</v>
      </c>
      <c r="E361" s="10">
        <v>114.32888800000001</v>
      </c>
      <c r="F361" s="10">
        <v>36.099445000000003</v>
      </c>
      <c r="G361" s="10">
        <v>8</v>
      </c>
      <c r="H361" s="10" t="s">
        <v>1831</v>
      </c>
      <c r="I361" s="10" t="s">
        <v>2518</v>
      </c>
      <c r="J361" s="10" t="s">
        <v>2519</v>
      </c>
      <c r="K361" s="10" t="s">
        <v>2523</v>
      </c>
      <c r="L361" s="65" t="str">
        <f t="shared" si="28"/>
        <v>Anyang|China|114,328888|36,099445|+8:00 Asia</v>
      </c>
      <c r="M361" s="10" t="s">
        <v>2532</v>
      </c>
      <c r="N361" s="10">
        <f t="shared" si="25"/>
        <v>0</v>
      </c>
      <c r="O361" t="str">
        <f t="shared" si="29"/>
        <v/>
      </c>
      <c r="P361" t="str">
        <f>IF(O361=1,COUNTIF($O$2:O361,1),"")</f>
        <v/>
      </c>
      <c r="Q361" t="str">
        <f>IFERROR(INDEX($M$2:$M$2388,MATCH(ROWS($P$2:P361),$P$2:$P$2388,0)),"")</f>
        <v/>
      </c>
    </row>
    <row r="362" spans="1:17" ht="15" x14ac:dyDescent="0.25">
      <c r="A362" s="10">
        <v>372</v>
      </c>
      <c r="B362" s="10" t="s">
        <v>2533</v>
      </c>
      <c r="C362" s="880">
        <f t="shared" si="26"/>
        <v>81.263599999999997</v>
      </c>
      <c r="D362" s="880">
        <f t="shared" si="27"/>
        <v>40.515500000000003</v>
      </c>
      <c r="E362" s="10">
        <v>81.263610999999997</v>
      </c>
      <c r="F362" s="10">
        <v>40.515555999999997</v>
      </c>
      <c r="G362" s="10">
        <v>8</v>
      </c>
      <c r="H362" s="10" t="s">
        <v>1831</v>
      </c>
      <c r="I362" s="10" t="s">
        <v>2518</v>
      </c>
      <c r="J362" s="10" t="s">
        <v>2519</v>
      </c>
      <c r="K362" s="10" t="s">
        <v>2520</v>
      </c>
      <c r="L362" s="65" t="str">
        <f t="shared" si="28"/>
        <v>Aral|China|81,263611|40,515556|+8:00 Asia</v>
      </c>
      <c r="M362" s="10" t="s">
        <v>2534</v>
      </c>
      <c r="N362" s="10">
        <f t="shared" si="25"/>
        <v>0</v>
      </c>
      <c r="O362" t="str">
        <f t="shared" si="29"/>
        <v/>
      </c>
      <c r="P362" t="str">
        <f>IF(O362=1,COUNTIF($O$2:O362,1),"")</f>
        <v/>
      </c>
      <c r="Q362" t="str">
        <f>IFERROR(INDEX($M$2:$M$2388,MATCH(ROWS($P$2:P362),$P$2:$P$2388,0)),"")</f>
        <v/>
      </c>
    </row>
    <row r="363" spans="1:17" ht="15" x14ac:dyDescent="0.25">
      <c r="A363" s="10">
        <v>571</v>
      </c>
      <c r="B363" s="10" t="s">
        <v>2535</v>
      </c>
      <c r="C363" s="880">
        <f t="shared" si="26"/>
        <v>122.81659999999999</v>
      </c>
      <c r="D363" s="880">
        <f t="shared" si="27"/>
        <v>45.616599999999998</v>
      </c>
      <c r="E363" s="10">
        <v>122.816666</v>
      </c>
      <c r="F363" s="10">
        <v>45.616664999999998</v>
      </c>
      <c r="G363" s="10">
        <v>8</v>
      </c>
      <c r="H363" s="10" t="s">
        <v>1831</v>
      </c>
      <c r="I363" s="10" t="s">
        <v>2518</v>
      </c>
      <c r="J363" s="10" t="s">
        <v>2519</v>
      </c>
      <c r="K363" s="10" t="s">
        <v>2526</v>
      </c>
      <c r="L363" s="65" t="str">
        <f t="shared" si="28"/>
        <v>Baicheng|China|122,816666|45,616665|+8:00 Asia</v>
      </c>
      <c r="M363" s="10" t="s">
        <v>2536</v>
      </c>
      <c r="N363" s="10">
        <f t="shared" si="25"/>
        <v>0</v>
      </c>
      <c r="O363" t="str">
        <f t="shared" si="29"/>
        <v/>
      </c>
      <c r="P363" t="str">
        <f>IF(O363=1,COUNTIF($O$2:O363,1),"")</f>
        <v/>
      </c>
      <c r="Q363" t="str">
        <f>IFERROR(INDEX($M$2:$M$2388,MATCH(ROWS($P$2:P363),$P$2:$P$2388,0)),"")</f>
        <v/>
      </c>
    </row>
    <row r="364" spans="1:17" ht="15" x14ac:dyDescent="0.25">
      <c r="A364" s="10">
        <v>528</v>
      </c>
      <c r="B364" s="10" t="s">
        <v>2537</v>
      </c>
      <c r="C364" s="880">
        <f t="shared" si="26"/>
        <v>115.4902</v>
      </c>
      <c r="D364" s="880">
        <f t="shared" si="27"/>
        <v>38.851100000000002</v>
      </c>
      <c r="E364" s="10">
        <v>115.49028</v>
      </c>
      <c r="F364" s="10">
        <v>38.851112000000001</v>
      </c>
      <c r="G364" s="10">
        <v>8</v>
      </c>
      <c r="H364" s="10" t="s">
        <v>1831</v>
      </c>
      <c r="I364" s="10" t="s">
        <v>2518</v>
      </c>
      <c r="J364" s="10" t="s">
        <v>2519</v>
      </c>
      <c r="K364" s="10" t="s">
        <v>2523</v>
      </c>
      <c r="L364" s="65" t="str">
        <f t="shared" si="28"/>
        <v>Baoding|China|115,490280|38,851112|+8:00 Asia</v>
      </c>
      <c r="M364" s="10" t="s">
        <v>2538</v>
      </c>
      <c r="N364" s="10">
        <f t="shared" si="25"/>
        <v>0</v>
      </c>
      <c r="O364" t="str">
        <f t="shared" si="29"/>
        <v/>
      </c>
      <c r="P364" t="str">
        <f>IF(O364=1,COUNTIF($O$2:O364,1),"")</f>
        <v/>
      </c>
      <c r="Q364" t="str">
        <f>IFERROR(INDEX($M$2:$M$2388,MATCH(ROWS($P$2:P364),$P$2:$P$2388,0)),"")</f>
        <v/>
      </c>
    </row>
    <row r="365" spans="1:17" ht="15" x14ac:dyDescent="0.25">
      <c r="A365" s="10">
        <v>570</v>
      </c>
      <c r="B365" s="10" t="s">
        <v>2539</v>
      </c>
      <c r="C365" s="880">
        <f t="shared" si="26"/>
        <v>109.8222</v>
      </c>
      <c r="D365" s="880">
        <f t="shared" si="27"/>
        <v>40.652200000000001</v>
      </c>
      <c r="E365" s="10">
        <v>109.82222</v>
      </c>
      <c r="F365" s="10">
        <v>40.652222000000002</v>
      </c>
      <c r="G365" s="10">
        <v>8</v>
      </c>
      <c r="H365" s="10" t="s">
        <v>1831</v>
      </c>
      <c r="I365" s="10" t="s">
        <v>2518</v>
      </c>
      <c r="J365" s="10" t="s">
        <v>2519</v>
      </c>
      <c r="K365" s="10" t="s">
        <v>2529</v>
      </c>
      <c r="L365" s="65" t="str">
        <f t="shared" si="28"/>
        <v>Baotou|China|109,822220|40,652222|+8:00 Asia</v>
      </c>
      <c r="M365" s="10" t="s">
        <v>2540</v>
      </c>
      <c r="N365" s="10">
        <f t="shared" si="25"/>
        <v>0</v>
      </c>
      <c r="O365" t="str">
        <f t="shared" si="29"/>
        <v/>
      </c>
      <c r="P365" t="str">
        <f>IF(O365=1,COUNTIF($O$2:O365,1),"")</f>
        <v/>
      </c>
      <c r="Q365" t="str">
        <f>IFERROR(INDEX($M$2:$M$2388,MATCH(ROWS($P$2:P365),$P$2:$P$2388,0)),"")</f>
        <v/>
      </c>
    </row>
    <row r="366" spans="1:17" ht="15" x14ac:dyDescent="0.25">
      <c r="A366" s="10">
        <v>527</v>
      </c>
      <c r="B366" s="10" t="s">
        <v>2541</v>
      </c>
      <c r="C366" s="880">
        <f t="shared" si="26"/>
        <v>109.09990000000001</v>
      </c>
      <c r="D366" s="880">
        <f t="shared" si="27"/>
        <v>21.4833</v>
      </c>
      <c r="E366" s="10">
        <v>109.099998</v>
      </c>
      <c r="F366" s="10">
        <v>21.483333999999999</v>
      </c>
      <c r="G366" s="10">
        <v>8</v>
      </c>
      <c r="H366" s="10" t="s">
        <v>1831</v>
      </c>
      <c r="I366" s="10" t="s">
        <v>2518</v>
      </c>
      <c r="J366" s="10" t="s">
        <v>2519</v>
      </c>
      <c r="K366" s="10" t="s">
        <v>2529</v>
      </c>
      <c r="L366" s="65" t="str">
        <f t="shared" si="28"/>
        <v>Beihai|China|109,099998|21,483334|+8:00 Asia</v>
      </c>
      <c r="M366" s="10" t="s">
        <v>2542</v>
      </c>
      <c r="N366" s="10">
        <f t="shared" si="25"/>
        <v>0</v>
      </c>
      <c r="O366" t="str">
        <f t="shared" si="29"/>
        <v/>
      </c>
      <c r="P366" t="str">
        <f>IF(O366=1,COUNTIF($O$2:O366,1),"")</f>
        <v/>
      </c>
      <c r="Q366" t="str">
        <f>IFERROR(INDEX($M$2:$M$2388,MATCH(ROWS($P$2:P366),$P$2:$P$2388,0)),"")</f>
        <v/>
      </c>
    </row>
    <row r="367" spans="1:17" ht="15" x14ac:dyDescent="0.25">
      <c r="A367" s="10">
        <v>526</v>
      </c>
      <c r="B367" s="10" t="s">
        <v>2543</v>
      </c>
      <c r="C367" s="880">
        <f t="shared" si="26"/>
        <v>116.3883</v>
      </c>
      <c r="D367" s="880">
        <f t="shared" si="27"/>
        <v>39.928800000000003</v>
      </c>
      <c r="E367" s="10">
        <v>116.388336</v>
      </c>
      <c r="F367" s="10">
        <v>39.928890000000003</v>
      </c>
      <c r="G367" s="10">
        <v>8</v>
      </c>
      <c r="H367" s="10" t="s">
        <v>1831</v>
      </c>
      <c r="I367" s="10" t="s">
        <v>2518</v>
      </c>
      <c r="J367" s="10" t="s">
        <v>2519</v>
      </c>
      <c r="K367" s="10" t="s">
        <v>2526</v>
      </c>
      <c r="L367" s="65" t="str">
        <f t="shared" si="28"/>
        <v>Beijing|China|116,388336|39,928890|+8:00 Asia</v>
      </c>
      <c r="M367" s="10" t="s">
        <v>2544</v>
      </c>
      <c r="N367" s="10">
        <f t="shared" si="25"/>
        <v>0</v>
      </c>
      <c r="O367" t="str">
        <f t="shared" si="29"/>
        <v/>
      </c>
      <c r="P367" t="str">
        <f>IF(O367=1,COUNTIF($O$2:O367,1),"")</f>
        <v/>
      </c>
      <c r="Q367" t="str">
        <f>IFERROR(INDEX($M$2:$M$2388,MATCH(ROWS($P$2:P367),$P$2:$P$2388,0)),"")</f>
        <v/>
      </c>
    </row>
    <row r="368" spans="1:17" ht="15" x14ac:dyDescent="0.25">
      <c r="A368" s="10">
        <v>525</v>
      </c>
      <c r="B368" s="10" t="s">
        <v>2545</v>
      </c>
      <c r="C368" s="880">
        <f t="shared" si="26"/>
        <v>117.3608</v>
      </c>
      <c r="D368" s="880">
        <f t="shared" si="27"/>
        <v>32.940800000000003</v>
      </c>
      <c r="E368" s="10">
        <v>117.360832</v>
      </c>
      <c r="F368" s="10">
        <v>32.940834000000002</v>
      </c>
      <c r="G368" s="10">
        <v>8</v>
      </c>
      <c r="H368" s="10" t="s">
        <v>1831</v>
      </c>
      <c r="I368" s="10" t="s">
        <v>2518</v>
      </c>
      <c r="J368" s="10" t="s">
        <v>2519</v>
      </c>
      <c r="K368" s="10" t="s">
        <v>2523</v>
      </c>
      <c r="L368" s="65" t="str">
        <f t="shared" si="28"/>
        <v>Bengbu|China|117,360832|32,940834|+8:00 Asia</v>
      </c>
      <c r="M368" s="10" t="s">
        <v>2546</v>
      </c>
      <c r="N368" s="10">
        <f t="shared" si="25"/>
        <v>0</v>
      </c>
      <c r="O368" t="str">
        <f t="shared" si="29"/>
        <v/>
      </c>
      <c r="P368" t="str">
        <f>IF(O368=1,COUNTIF($O$2:O368,1),"")</f>
        <v/>
      </c>
      <c r="Q368" t="str">
        <f>IFERROR(INDEX($M$2:$M$2388,MATCH(ROWS($P$2:P368),$P$2:$P$2388,0)),"")</f>
        <v/>
      </c>
    </row>
    <row r="369" spans="1:17" ht="15" x14ac:dyDescent="0.25">
      <c r="A369" s="10">
        <v>569</v>
      </c>
      <c r="B369" s="10" t="s">
        <v>2547</v>
      </c>
      <c r="C369" s="880">
        <f t="shared" si="26"/>
        <v>123.7649</v>
      </c>
      <c r="D369" s="880">
        <f t="shared" si="27"/>
        <v>41.288600000000002</v>
      </c>
      <c r="E369" s="10">
        <v>123.764999</v>
      </c>
      <c r="F369" s="10">
        <v>41.288612000000001</v>
      </c>
      <c r="G369" s="10">
        <v>8</v>
      </c>
      <c r="H369" s="10" t="s">
        <v>1831</v>
      </c>
      <c r="I369" s="10" t="s">
        <v>2518</v>
      </c>
      <c r="J369" s="10" t="s">
        <v>2519</v>
      </c>
      <c r="K369" s="10" t="s">
        <v>2526</v>
      </c>
      <c r="L369" s="65" t="str">
        <f t="shared" si="28"/>
        <v>Benxi|China|123,764999|41,288612|+8:00 Asia</v>
      </c>
      <c r="M369" s="10" t="s">
        <v>2548</v>
      </c>
      <c r="N369" s="10">
        <f t="shared" si="25"/>
        <v>0</v>
      </c>
      <c r="O369" t="str">
        <f t="shared" si="29"/>
        <v/>
      </c>
      <c r="P369" t="str">
        <f>IF(O369=1,COUNTIF($O$2:O369,1),"")</f>
        <v/>
      </c>
      <c r="Q369" t="str">
        <f>IFERROR(INDEX($M$2:$M$2388,MATCH(ROWS($P$2:P369),$P$2:$P$2388,0)),"")</f>
        <v/>
      </c>
    </row>
    <row r="370" spans="1:17" ht="15" x14ac:dyDescent="0.25">
      <c r="A370" s="10">
        <v>524</v>
      </c>
      <c r="B370" s="10" t="s">
        <v>2549</v>
      </c>
      <c r="C370" s="880">
        <f t="shared" si="26"/>
        <v>116.86660000000001</v>
      </c>
      <c r="D370" s="880">
        <f t="shared" si="27"/>
        <v>38.316600000000001</v>
      </c>
      <c r="E370" s="10">
        <v>116.866669</v>
      </c>
      <c r="F370" s="10">
        <v>38.316665999999998</v>
      </c>
      <c r="G370" s="10">
        <v>8</v>
      </c>
      <c r="H370" s="10" t="s">
        <v>1831</v>
      </c>
      <c r="I370" s="10" t="s">
        <v>2518</v>
      </c>
      <c r="J370" s="10" t="s">
        <v>2519</v>
      </c>
      <c r="K370" s="10" t="s">
        <v>2523</v>
      </c>
      <c r="L370" s="65" t="str">
        <f t="shared" si="28"/>
        <v>Cangzhou|China|116,866669|38,316666|+8:00 Asia</v>
      </c>
      <c r="M370" s="10" t="s">
        <v>2550</v>
      </c>
      <c r="N370" s="10">
        <f t="shared" si="25"/>
        <v>0</v>
      </c>
      <c r="O370" t="str">
        <f t="shared" si="29"/>
        <v/>
      </c>
      <c r="P370" t="str">
        <f>IF(O370=1,COUNTIF($O$2:O370,1),"")</f>
        <v/>
      </c>
      <c r="Q370" t="str">
        <f>IFERROR(INDEX($M$2:$M$2388,MATCH(ROWS($P$2:P370),$P$2:$P$2388,0)),"")</f>
        <v/>
      </c>
    </row>
    <row r="371" spans="1:17" ht="15" x14ac:dyDescent="0.25">
      <c r="A371" s="10">
        <v>568</v>
      </c>
      <c r="B371" s="10" t="s">
        <v>2551</v>
      </c>
      <c r="C371" s="880">
        <f t="shared" si="26"/>
        <v>125.3227</v>
      </c>
      <c r="D371" s="880">
        <f t="shared" si="27"/>
        <v>43.88</v>
      </c>
      <c r="E371" s="10">
        <v>125.322777</v>
      </c>
      <c r="F371" s="10">
        <v>43.880001</v>
      </c>
      <c r="G371" s="10">
        <v>8</v>
      </c>
      <c r="H371" s="10" t="s">
        <v>1831</v>
      </c>
      <c r="I371" s="10" t="s">
        <v>2518</v>
      </c>
      <c r="J371" s="10" t="s">
        <v>2519</v>
      </c>
      <c r="K371" s="10" t="s">
        <v>2526</v>
      </c>
      <c r="L371" s="65" t="str">
        <f t="shared" si="28"/>
        <v>Changchun|China|125,322777|43,880001|+8:00 Asia</v>
      </c>
      <c r="M371" s="10" t="s">
        <v>2552</v>
      </c>
      <c r="N371" s="10">
        <f t="shared" si="25"/>
        <v>0</v>
      </c>
      <c r="O371" t="str">
        <f t="shared" si="29"/>
        <v/>
      </c>
      <c r="P371" t="str">
        <f>IF(O371=1,COUNTIF($O$2:O371,1),"")</f>
        <v/>
      </c>
      <c r="Q371" t="str">
        <f>IFERROR(INDEX($M$2:$M$2388,MATCH(ROWS($P$2:P371),$P$2:$P$2388,0)),"")</f>
        <v/>
      </c>
    </row>
    <row r="372" spans="1:17" ht="15" x14ac:dyDescent="0.25">
      <c r="A372" s="10">
        <v>416</v>
      </c>
      <c r="B372" s="10" t="s">
        <v>2553</v>
      </c>
      <c r="C372" s="880">
        <f t="shared" si="26"/>
        <v>111.678</v>
      </c>
      <c r="D372" s="880">
        <f t="shared" si="27"/>
        <v>29.0322</v>
      </c>
      <c r="E372" s="10">
        <v>111.678055</v>
      </c>
      <c r="F372" s="10">
        <v>29.032222999999998</v>
      </c>
      <c r="G372" s="10">
        <v>8</v>
      </c>
      <c r="H372" s="10" t="s">
        <v>1831</v>
      </c>
      <c r="I372" s="10" t="s">
        <v>2518</v>
      </c>
      <c r="J372" s="10" t="s">
        <v>2519</v>
      </c>
      <c r="K372" s="10" t="s">
        <v>2529</v>
      </c>
      <c r="L372" s="65" t="str">
        <f t="shared" si="28"/>
        <v>Changde|China|111,678055|29,032223|+8:00 Asia</v>
      </c>
      <c r="M372" s="10" t="s">
        <v>2554</v>
      </c>
      <c r="N372" s="10">
        <f t="shared" si="25"/>
        <v>0</v>
      </c>
      <c r="O372" t="str">
        <f t="shared" si="29"/>
        <v/>
      </c>
      <c r="P372" t="str">
        <f>IF(O372=1,COUNTIF($O$2:O372,1),"")</f>
        <v/>
      </c>
      <c r="Q372" t="str">
        <f>IFERROR(INDEX($M$2:$M$2388,MATCH(ROWS($P$2:P372),$P$2:$P$2388,0)),"")</f>
        <v/>
      </c>
    </row>
    <row r="373" spans="1:17" ht="15" x14ac:dyDescent="0.25">
      <c r="A373" s="10">
        <v>523</v>
      </c>
      <c r="B373" s="10" t="s">
        <v>2555</v>
      </c>
      <c r="C373" s="880">
        <f t="shared" si="26"/>
        <v>112.9666</v>
      </c>
      <c r="D373" s="880">
        <f t="shared" si="27"/>
        <v>28.2</v>
      </c>
      <c r="E373" s="10">
        <v>112.966667</v>
      </c>
      <c r="F373" s="10">
        <v>28.200001</v>
      </c>
      <c r="G373" s="10">
        <v>8</v>
      </c>
      <c r="H373" s="10" t="s">
        <v>1831</v>
      </c>
      <c r="I373" s="10" t="s">
        <v>2518</v>
      </c>
      <c r="J373" s="10" t="s">
        <v>2519</v>
      </c>
      <c r="K373" s="10" t="s">
        <v>2529</v>
      </c>
      <c r="L373" s="65" t="str">
        <f t="shared" si="28"/>
        <v>Changsha|China|112,966667|28,200001|+8:00 Asia</v>
      </c>
      <c r="M373" s="10" t="s">
        <v>2556</v>
      </c>
      <c r="N373" s="10">
        <f t="shared" si="25"/>
        <v>0</v>
      </c>
      <c r="O373" t="str">
        <f t="shared" si="29"/>
        <v/>
      </c>
      <c r="P373" t="str">
        <f>IF(O373=1,COUNTIF($O$2:O373,1),"")</f>
        <v/>
      </c>
      <c r="Q373" t="str">
        <f>IFERROR(INDEX($M$2:$M$2388,MATCH(ROWS($P$2:P373),$P$2:$P$2388,0)),"")</f>
        <v/>
      </c>
    </row>
    <row r="374" spans="1:17" ht="15" x14ac:dyDescent="0.25">
      <c r="A374" s="10">
        <v>522</v>
      </c>
      <c r="B374" s="10" t="s">
        <v>2557</v>
      </c>
      <c r="C374" s="880">
        <f t="shared" si="26"/>
        <v>111.73860000000001</v>
      </c>
      <c r="D374" s="880">
        <f t="shared" si="27"/>
        <v>35.208799999999997</v>
      </c>
      <c r="E374" s="10">
        <v>111.738609</v>
      </c>
      <c r="F374" s="10">
        <v>35.208888999999999</v>
      </c>
      <c r="G374" s="10">
        <v>8</v>
      </c>
      <c r="H374" s="10" t="s">
        <v>1831</v>
      </c>
      <c r="I374" s="10" t="s">
        <v>2518</v>
      </c>
      <c r="J374" s="10" t="s">
        <v>2519</v>
      </c>
      <c r="K374" s="10" t="s">
        <v>2529</v>
      </c>
      <c r="L374" s="65" t="str">
        <f t="shared" si="28"/>
        <v>Changzhi|China|111,738609|35,208889|+8:00 Asia</v>
      </c>
      <c r="M374" s="10" t="s">
        <v>2558</v>
      </c>
      <c r="N374" s="10">
        <f t="shared" si="25"/>
        <v>0</v>
      </c>
      <c r="O374" t="str">
        <f t="shared" si="29"/>
        <v/>
      </c>
      <c r="P374" t="str">
        <f>IF(O374=1,COUNTIF($O$2:O374,1),"")</f>
        <v/>
      </c>
      <c r="Q374" t="str">
        <f>IFERROR(INDEX($M$2:$M$2388,MATCH(ROWS($P$2:P374),$P$2:$P$2388,0)),"")</f>
        <v/>
      </c>
    </row>
    <row r="375" spans="1:17" ht="15" x14ac:dyDescent="0.25">
      <c r="A375" s="10">
        <v>521</v>
      </c>
      <c r="B375" s="10" t="s">
        <v>2559</v>
      </c>
      <c r="C375" s="880">
        <f t="shared" si="26"/>
        <v>119.9666</v>
      </c>
      <c r="D375" s="880">
        <f t="shared" si="27"/>
        <v>31.783300000000001</v>
      </c>
      <c r="E375" s="10">
        <v>119.966667</v>
      </c>
      <c r="F375" s="10">
        <v>31.783332999999999</v>
      </c>
      <c r="G375" s="10">
        <v>8</v>
      </c>
      <c r="H375" s="10" t="s">
        <v>1831</v>
      </c>
      <c r="I375" s="10" t="s">
        <v>2518</v>
      </c>
      <c r="J375" s="10" t="s">
        <v>2519</v>
      </c>
      <c r="K375" s="10" t="s">
        <v>2523</v>
      </c>
      <c r="L375" s="65" t="str">
        <f t="shared" si="28"/>
        <v>Changzhou|China|119,966667|31,783333|+8:00 Asia</v>
      </c>
      <c r="M375" s="10" t="s">
        <v>2560</v>
      </c>
      <c r="N375" s="10">
        <f t="shared" si="25"/>
        <v>0</v>
      </c>
      <c r="O375" t="str">
        <f t="shared" si="29"/>
        <v/>
      </c>
      <c r="P375" t="str">
        <f>IF(O375=1,COUNTIF($O$2:O375,1),"")</f>
        <v/>
      </c>
      <c r="Q375" t="str">
        <f>IFERROR(INDEX($M$2:$M$2388,MATCH(ROWS($P$2:P375),$P$2:$P$2388,0)),"")</f>
        <v/>
      </c>
    </row>
    <row r="376" spans="1:17" ht="15" x14ac:dyDescent="0.25">
      <c r="A376" s="10">
        <v>567</v>
      </c>
      <c r="B376" s="10" t="s">
        <v>2561</v>
      </c>
      <c r="C376" s="880">
        <f t="shared" si="26"/>
        <v>120.4586</v>
      </c>
      <c r="D376" s="880">
        <f t="shared" si="27"/>
        <v>41.5702</v>
      </c>
      <c r="E376" s="10">
        <v>120.458611</v>
      </c>
      <c r="F376" s="10">
        <v>41.570278000000002</v>
      </c>
      <c r="G376" s="10">
        <v>8</v>
      </c>
      <c r="H376" s="10" t="s">
        <v>1831</v>
      </c>
      <c r="I376" s="10" t="s">
        <v>2518</v>
      </c>
      <c r="J376" s="10" t="s">
        <v>2519</v>
      </c>
      <c r="K376" s="10" t="s">
        <v>2526</v>
      </c>
      <c r="L376" s="65" t="str">
        <f t="shared" si="28"/>
        <v>Chaoyang|China|120,458611|41,570278|+8:00 Asia</v>
      </c>
      <c r="M376" s="10" t="s">
        <v>2562</v>
      </c>
      <c r="N376" s="10">
        <f t="shared" si="25"/>
        <v>0</v>
      </c>
      <c r="O376" t="str">
        <f t="shared" si="29"/>
        <v/>
      </c>
      <c r="P376" t="str">
        <f>IF(O376=1,COUNTIF($O$2:O376,1),"")</f>
        <v/>
      </c>
      <c r="Q376" t="str">
        <f>IFERROR(INDEX($M$2:$M$2388,MATCH(ROWS($P$2:P376),$P$2:$P$2388,0)),"")</f>
        <v/>
      </c>
    </row>
    <row r="377" spans="1:17" ht="15" x14ac:dyDescent="0.25">
      <c r="A377" s="10">
        <v>520</v>
      </c>
      <c r="B377" s="10" t="s">
        <v>2563</v>
      </c>
      <c r="C377" s="880">
        <f t="shared" si="26"/>
        <v>116.6399</v>
      </c>
      <c r="D377" s="880">
        <f t="shared" si="27"/>
        <v>23.665800000000001</v>
      </c>
      <c r="E377" s="10">
        <v>116.639999</v>
      </c>
      <c r="F377" s="10">
        <v>23.665832999999999</v>
      </c>
      <c r="G377" s="10">
        <v>8</v>
      </c>
      <c r="H377" s="10" t="s">
        <v>1831</v>
      </c>
      <c r="I377" s="10" t="s">
        <v>2518</v>
      </c>
      <c r="J377" s="10" t="s">
        <v>2519</v>
      </c>
      <c r="K377" s="10" t="s">
        <v>2523</v>
      </c>
      <c r="L377" s="65" t="str">
        <f t="shared" si="28"/>
        <v>Chaozhou|China|116,639999|23,665833|+8:00 Asia</v>
      </c>
      <c r="M377" s="10" t="s">
        <v>2564</v>
      </c>
      <c r="N377" s="10">
        <f t="shared" si="25"/>
        <v>0</v>
      </c>
      <c r="O377" t="str">
        <f t="shared" si="29"/>
        <v/>
      </c>
      <c r="P377" t="str">
        <f>IF(O377=1,COUNTIF($O$2:O377,1),"")</f>
        <v/>
      </c>
      <c r="Q377" t="str">
        <f>IFERROR(INDEX($M$2:$M$2388,MATCH(ROWS($P$2:P377),$P$2:$P$2388,0)),"")</f>
        <v/>
      </c>
    </row>
    <row r="378" spans="1:17" ht="15" x14ac:dyDescent="0.25">
      <c r="A378" s="10">
        <v>566</v>
      </c>
      <c r="B378" s="10" t="s">
        <v>2565</v>
      </c>
      <c r="C378" s="880">
        <f t="shared" si="26"/>
        <v>117.9361</v>
      </c>
      <c r="D378" s="880">
        <f t="shared" si="27"/>
        <v>40.972499999999997</v>
      </c>
      <c r="E378" s="10">
        <v>117.936111</v>
      </c>
      <c r="F378" s="10">
        <v>40.972499999999997</v>
      </c>
      <c r="G378" s="10">
        <v>8</v>
      </c>
      <c r="H378" s="10" t="s">
        <v>1831</v>
      </c>
      <c r="I378" s="10" t="s">
        <v>2518</v>
      </c>
      <c r="J378" s="10" t="s">
        <v>2519</v>
      </c>
      <c r="K378" s="10" t="s">
        <v>2526</v>
      </c>
      <c r="L378" s="65" t="str">
        <f t="shared" si="28"/>
        <v>Chengde|China|117,936111|40,972500|+8:00 Asia</v>
      </c>
      <c r="M378" s="10" t="s">
        <v>2566</v>
      </c>
      <c r="N378" s="10">
        <f t="shared" si="25"/>
        <v>0</v>
      </c>
      <c r="O378" t="str">
        <f t="shared" si="29"/>
        <v/>
      </c>
      <c r="P378" t="str">
        <f>IF(O378=1,COUNTIF($O$2:O378,1),"")</f>
        <v/>
      </c>
      <c r="Q378" t="str">
        <f>IFERROR(INDEX($M$2:$M$2388,MATCH(ROWS($P$2:P378),$P$2:$P$2388,0)),"")</f>
        <v/>
      </c>
    </row>
    <row r="379" spans="1:17" ht="15" x14ac:dyDescent="0.25">
      <c r="A379" s="10">
        <v>519</v>
      </c>
      <c r="B379" s="10" t="s">
        <v>2567</v>
      </c>
      <c r="C379" s="880">
        <f t="shared" si="26"/>
        <v>104.06659999999999</v>
      </c>
      <c r="D379" s="880">
        <f t="shared" si="27"/>
        <v>30.666599999999999</v>
      </c>
      <c r="E379" s="10">
        <v>104.066666</v>
      </c>
      <c r="F379" s="10">
        <v>30.666665999999999</v>
      </c>
      <c r="G379" s="10">
        <v>8</v>
      </c>
      <c r="H379" s="10" t="s">
        <v>1831</v>
      </c>
      <c r="I379" s="10" t="s">
        <v>2518</v>
      </c>
      <c r="J379" s="10" t="s">
        <v>2519</v>
      </c>
      <c r="K379" s="10" t="s">
        <v>2529</v>
      </c>
      <c r="L379" s="65" t="str">
        <f t="shared" si="28"/>
        <v>Chengdu|China|104,066666|30,666666|+8:00 Asia</v>
      </c>
      <c r="M379" s="10" t="s">
        <v>2568</v>
      </c>
      <c r="N379" s="10">
        <f t="shared" si="25"/>
        <v>0</v>
      </c>
      <c r="O379" t="str">
        <f t="shared" si="29"/>
        <v/>
      </c>
      <c r="P379" t="str">
        <f>IF(O379=1,COUNTIF($O$2:O379,1),"")</f>
        <v/>
      </c>
      <c r="Q379" t="str">
        <f>IFERROR(INDEX($M$2:$M$2388,MATCH(ROWS($P$2:P379),$P$2:$P$2388,0)),"")</f>
        <v/>
      </c>
    </row>
    <row r="380" spans="1:17" ht="15" x14ac:dyDescent="0.25">
      <c r="A380" s="10">
        <v>565</v>
      </c>
      <c r="B380" s="10" t="s">
        <v>2569</v>
      </c>
      <c r="C380" s="880">
        <f t="shared" si="26"/>
        <v>118.9636</v>
      </c>
      <c r="D380" s="880">
        <f t="shared" si="27"/>
        <v>42.268300000000004</v>
      </c>
      <c r="E380" s="10">
        <v>118.96360799999999</v>
      </c>
      <c r="F380" s="10">
        <v>42.268332999999998</v>
      </c>
      <c r="G380" s="10">
        <v>8</v>
      </c>
      <c r="H380" s="10" t="s">
        <v>1831</v>
      </c>
      <c r="I380" s="10" t="s">
        <v>2518</v>
      </c>
      <c r="J380" s="10" t="s">
        <v>2519</v>
      </c>
      <c r="K380" s="10" t="s">
        <v>2526</v>
      </c>
      <c r="L380" s="65" t="str">
        <f t="shared" si="28"/>
        <v>Chifeng|China|118,963608|42,268333|+8:00 Asia</v>
      </c>
      <c r="M380" s="10" t="s">
        <v>2570</v>
      </c>
      <c r="N380" s="10">
        <f t="shared" si="25"/>
        <v>0</v>
      </c>
      <c r="O380" t="str">
        <f t="shared" si="29"/>
        <v/>
      </c>
      <c r="P380" t="str">
        <f>IF(O380=1,COUNTIF($O$2:O380,1),"")</f>
        <v/>
      </c>
      <c r="Q380" t="str">
        <f>IFERROR(INDEX($M$2:$M$2388,MATCH(ROWS($P$2:P380),$P$2:$P$2388,0)),"")</f>
        <v/>
      </c>
    </row>
    <row r="381" spans="1:17" ht="15" x14ac:dyDescent="0.25">
      <c r="A381" s="10">
        <v>518</v>
      </c>
      <c r="B381" s="10" t="s">
        <v>2571</v>
      </c>
      <c r="C381" s="880">
        <f t="shared" si="26"/>
        <v>106.5527</v>
      </c>
      <c r="D381" s="880">
        <f t="shared" si="27"/>
        <v>29.5627</v>
      </c>
      <c r="E381" s="10">
        <v>106.55278</v>
      </c>
      <c r="F381" s="10">
        <v>29.562778000000002</v>
      </c>
      <c r="G381" s="10">
        <v>8</v>
      </c>
      <c r="H381" s="10" t="s">
        <v>1831</v>
      </c>
      <c r="I381" s="10" t="s">
        <v>2518</v>
      </c>
      <c r="J381" s="10" t="s">
        <v>2519</v>
      </c>
      <c r="K381" s="10" t="s">
        <v>2529</v>
      </c>
      <c r="L381" s="65" t="str">
        <f t="shared" si="28"/>
        <v>Chongqing|China|106,552780|29,562778|+8:00 Asia</v>
      </c>
      <c r="M381" s="10" t="s">
        <v>2572</v>
      </c>
      <c r="N381" s="10">
        <f t="shared" si="25"/>
        <v>0</v>
      </c>
      <c r="O381" t="str">
        <f t="shared" si="29"/>
        <v/>
      </c>
      <c r="P381" t="str">
        <f>IF(O381=1,COUNTIF($O$2:O381,1),"")</f>
        <v/>
      </c>
      <c r="Q381" t="str">
        <f>IFERROR(INDEX($M$2:$M$2388,MATCH(ROWS($P$2:P381),$P$2:$P$2388,0)),"")</f>
        <v/>
      </c>
    </row>
    <row r="382" spans="1:17" ht="15" x14ac:dyDescent="0.25">
      <c r="A382" s="10">
        <v>517</v>
      </c>
      <c r="B382" s="10" t="s">
        <v>2573</v>
      </c>
      <c r="C382" s="880">
        <f t="shared" si="26"/>
        <v>118.29770000000001</v>
      </c>
      <c r="D382" s="880">
        <f t="shared" si="27"/>
        <v>32.321899999999999</v>
      </c>
      <c r="E382" s="10">
        <v>118.297775</v>
      </c>
      <c r="F382" s="10">
        <v>32.321944999999999</v>
      </c>
      <c r="G382" s="10">
        <v>8</v>
      </c>
      <c r="H382" s="10" t="s">
        <v>1831</v>
      </c>
      <c r="I382" s="10" t="s">
        <v>2518</v>
      </c>
      <c r="J382" s="10" t="s">
        <v>2519</v>
      </c>
      <c r="K382" s="10" t="s">
        <v>2523</v>
      </c>
      <c r="L382" s="65" t="str">
        <f t="shared" si="28"/>
        <v>Chuzhou|China|118,297775|32,321945|+8:00 Asia</v>
      </c>
      <c r="M382" s="10" t="s">
        <v>2574</v>
      </c>
      <c r="N382" s="10">
        <f t="shared" si="25"/>
        <v>0</v>
      </c>
      <c r="O382" t="str">
        <f t="shared" si="29"/>
        <v/>
      </c>
      <c r="P382" t="str">
        <f>IF(O382=1,COUNTIF($O$2:O382,1),"")</f>
        <v/>
      </c>
      <c r="Q382" t="str">
        <f>IFERROR(INDEX($M$2:$M$2388,MATCH(ROWS($P$2:P382),$P$2:$P$2388,0)),"")</f>
        <v/>
      </c>
    </row>
    <row r="383" spans="1:17" ht="15" x14ac:dyDescent="0.25">
      <c r="A383" s="10">
        <v>516</v>
      </c>
      <c r="B383" s="10" t="s">
        <v>2575</v>
      </c>
      <c r="C383" s="880">
        <f t="shared" si="26"/>
        <v>121.6022</v>
      </c>
      <c r="D383" s="880">
        <f t="shared" si="27"/>
        <v>38.912199999999999</v>
      </c>
      <c r="E383" s="10">
        <v>121.60221900000001</v>
      </c>
      <c r="F383" s="10">
        <v>38.912224000000002</v>
      </c>
      <c r="G383" s="10">
        <v>8</v>
      </c>
      <c r="H383" s="10" t="s">
        <v>1831</v>
      </c>
      <c r="I383" s="10" t="s">
        <v>2518</v>
      </c>
      <c r="J383" s="10" t="s">
        <v>2519</v>
      </c>
      <c r="K383" s="10" t="s">
        <v>2523</v>
      </c>
      <c r="L383" s="65" t="str">
        <f t="shared" si="28"/>
        <v>Dalian|China|121,602219|38,912224|+8:00 Asia</v>
      </c>
      <c r="M383" s="10" t="s">
        <v>2576</v>
      </c>
      <c r="N383" s="10">
        <f t="shared" si="25"/>
        <v>0</v>
      </c>
      <c r="O383" t="str">
        <f t="shared" si="29"/>
        <v/>
      </c>
      <c r="P383" t="str">
        <f>IF(O383=1,COUNTIF($O$2:O383,1),"")</f>
        <v/>
      </c>
      <c r="Q383" t="str">
        <f>IFERROR(INDEX($M$2:$M$2388,MATCH(ROWS($P$2:P383),$P$2:$P$2388,0)),"")</f>
        <v/>
      </c>
    </row>
    <row r="384" spans="1:17" ht="15" x14ac:dyDescent="0.25">
      <c r="A384" s="10">
        <v>515</v>
      </c>
      <c r="B384" s="10" t="s">
        <v>2577</v>
      </c>
      <c r="C384" s="880">
        <f t="shared" si="26"/>
        <v>113.2452</v>
      </c>
      <c r="D384" s="880">
        <f t="shared" si="27"/>
        <v>22.840800000000002</v>
      </c>
      <c r="E384" s="10">
        <v>113.245277</v>
      </c>
      <c r="F384" s="10">
        <v>22.840834000000001</v>
      </c>
      <c r="G384" s="10">
        <v>8</v>
      </c>
      <c r="H384" s="10" t="s">
        <v>1831</v>
      </c>
      <c r="I384" s="10" t="s">
        <v>2518</v>
      </c>
      <c r="J384" s="10" t="s">
        <v>2519</v>
      </c>
      <c r="K384" s="10" t="s">
        <v>2529</v>
      </c>
      <c r="L384" s="65" t="str">
        <f t="shared" si="28"/>
        <v>Daliang|China|113,245277|22,840834|+8:00 Asia</v>
      </c>
      <c r="M384" s="10" t="s">
        <v>2578</v>
      </c>
      <c r="N384" s="10">
        <f t="shared" si="25"/>
        <v>0</v>
      </c>
      <c r="O384" t="str">
        <f t="shared" si="29"/>
        <v/>
      </c>
      <c r="P384" t="str">
        <f>IF(O384=1,COUNTIF($O$2:O384,1),"")</f>
        <v/>
      </c>
      <c r="Q384" t="str">
        <f>IFERROR(INDEX($M$2:$M$2388,MATCH(ROWS($P$2:P384),$P$2:$P$2388,0)),"")</f>
        <v/>
      </c>
    </row>
    <row r="385" spans="1:17" ht="15" x14ac:dyDescent="0.25">
      <c r="A385" s="10">
        <v>564</v>
      </c>
      <c r="B385" s="10" t="s">
        <v>2579</v>
      </c>
      <c r="C385" s="880">
        <f t="shared" si="26"/>
        <v>124.3947</v>
      </c>
      <c r="D385" s="880">
        <f t="shared" si="27"/>
        <v>40.129100000000001</v>
      </c>
      <c r="E385" s="10">
        <v>124.394722</v>
      </c>
      <c r="F385" s="10">
        <v>40.129165999999998</v>
      </c>
      <c r="G385" s="10">
        <v>8</v>
      </c>
      <c r="H385" s="10" t="s">
        <v>1831</v>
      </c>
      <c r="I385" s="10" t="s">
        <v>2518</v>
      </c>
      <c r="J385" s="10" t="s">
        <v>2519</v>
      </c>
      <c r="K385" s="10" t="s">
        <v>2526</v>
      </c>
      <c r="L385" s="65" t="str">
        <f t="shared" si="28"/>
        <v>Dandong|China|124,394722|40,129166|+8:00 Asia</v>
      </c>
      <c r="M385" s="10" t="s">
        <v>2580</v>
      </c>
      <c r="N385" s="10">
        <f t="shared" si="25"/>
        <v>0</v>
      </c>
      <c r="O385" t="str">
        <f t="shared" si="29"/>
        <v/>
      </c>
      <c r="P385" t="str">
        <f>IF(O385=1,COUNTIF($O$2:O385,1),"")</f>
        <v/>
      </c>
      <c r="Q385" t="str">
        <f>IFERROR(INDEX($M$2:$M$2388,MATCH(ROWS($P$2:P385),$P$2:$P$2388,0)),"")</f>
        <v/>
      </c>
    </row>
    <row r="386" spans="1:17" ht="15" x14ac:dyDescent="0.25">
      <c r="A386" s="10">
        <v>563</v>
      </c>
      <c r="B386" s="10" t="s">
        <v>2581</v>
      </c>
      <c r="C386" s="880">
        <f t="shared" si="26"/>
        <v>125</v>
      </c>
      <c r="D386" s="880">
        <f t="shared" si="27"/>
        <v>46.583300000000001</v>
      </c>
      <c r="E386" s="10">
        <v>125</v>
      </c>
      <c r="F386" s="10">
        <v>46.583331999999999</v>
      </c>
      <c r="G386" s="10">
        <v>8</v>
      </c>
      <c r="H386" s="10" t="s">
        <v>1831</v>
      </c>
      <c r="I386" s="10" t="s">
        <v>2518</v>
      </c>
      <c r="J386" s="10" t="s">
        <v>2519</v>
      </c>
      <c r="K386" s="10" t="s">
        <v>2526</v>
      </c>
      <c r="L386" s="65" t="str">
        <f t="shared" si="28"/>
        <v>Daqing|China|125,000000|46,583332|+8:00 Asia</v>
      </c>
      <c r="M386" s="10" t="s">
        <v>2582</v>
      </c>
      <c r="N386" s="10">
        <f t="shared" ref="N386:N449" si="30">--ISNUMBER(IFERROR(SEARCH($R$2,J386,1),""))</f>
        <v>0</v>
      </c>
      <c r="O386" t="str">
        <f t="shared" si="29"/>
        <v/>
      </c>
      <c r="P386" t="str">
        <f>IF(O386=1,COUNTIF($O$2:O386,1),"")</f>
        <v/>
      </c>
      <c r="Q386" t="str">
        <f>IFERROR(INDEX($M$2:$M$2388,MATCH(ROWS($P$2:P386),$P$2:$P$2388,0)),"")</f>
        <v/>
      </c>
    </row>
    <row r="387" spans="1:17" ht="15" x14ac:dyDescent="0.25">
      <c r="A387" s="10">
        <v>562</v>
      </c>
      <c r="B387" s="10" t="s">
        <v>2583</v>
      </c>
      <c r="C387" s="880">
        <f t="shared" ref="C387:C450" si="31">TRUNC(E387,4)</f>
        <v>113.29130000000001</v>
      </c>
      <c r="D387" s="880">
        <f t="shared" ref="D387:D450" si="32">TRUNC(F387,4)</f>
        <v>40.093600000000002</v>
      </c>
      <c r="E387" s="10">
        <v>113.291389</v>
      </c>
      <c r="F387" s="10">
        <v>40.093612999999998</v>
      </c>
      <c r="G387" s="10">
        <v>8</v>
      </c>
      <c r="H387" s="10" t="s">
        <v>1831</v>
      </c>
      <c r="I387" s="10" t="s">
        <v>2518</v>
      </c>
      <c r="J387" s="10" t="s">
        <v>2519</v>
      </c>
      <c r="K387" s="10" t="s">
        <v>2523</v>
      </c>
      <c r="L387" s="65" t="str">
        <f t="shared" ref="L387:L450" si="33">MID(M387,1,LEN(M387)-(LEN(K387)-SEARCH("/",K387)+1))</f>
        <v>Datong|China|113,291389|40,093613|+8:00 Asia</v>
      </c>
      <c r="M387" s="10" t="s">
        <v>2584</v>
      </c>
      <c r="N387" s="10">
        <f t="shared" si="30"/>
        <v>0</v>
      </c>
      <c r="O387" t="str">
        <f t="shared" ref="O387:O450" si="34">IF(N387=0,"",--ISNUMBER(IFERROR(SEARCH($U$2,L387,1),"")))</f>
        <v/>
      </c>
      <c r="P387" t="str">
        <f>IF(O387=1,COUNTIF($O$2:O387,1),"")</f>
        <v/>
      </c>
      <c r="Q387" t="str">
        <f>IFERROR(INDEX($M$2:$M$2388,MATCH(ROWS($P$2:P387),$P$2:$P$2388,0)),"")</f>
        <v/>
      </c>
    </row>
    <row r="388" spans="1:17" ht="15" x14ac:dyDescent="0.25">
      <c r="A388" s="10">
        <v>514</v>
      </c>
      <c r="B388" s="10" t="s">
        <v>2585</v>
      </c>
      <c r="C388" s="880">
        <f t="shared" si="31"/>
        <v>116.2925</v>
      </c>
      <c r="D388" s="880">
        <f t="shared" si="32"/>
        <v>37.448599999999999</v>
      </c>
      <c r="E388" s="10">
        <v>116.292503</v>
      </c>
      <c r="F388" s="10">
        <v>37.448611999999997</v>
      </c>
      <c r="G388" s="10">
        <v>8</v>
      </c>
      <c r="H388" s="10" t="s">
        <v>1831</v>
      </c>
      <c r="I388" s="10" t="s">
        <v>2518</v>
      </c>
      <c r="J388" s="10" t="s">
        <v>2519</v>
      </c>
      <c r="K388" s="10" t="s">
        <v>2523</v>
      </c>
      <c r="L388" s="65" t="str">
        <f t="shared" si="33"/>
        <v>Dezhou|China|116,292503|37,448612|+8:00 Asia</v>
      </c>
      <c r="M388" s="10" t="s">
        <v>2586</v>
      </c>
      <c r="N388" s="10">
        <f t="shared" si="30"/>
        <v>0</v>
      </c>
      <c r="O388" t="str">
        <f t="shared" si="34"/>
        <v/>
      </c>
      <c r="P388" t="str">
        <f>IF(O388=1,COUNTIF($O$2:O388,1),"")</f>
        <v/>
      </c>
      <c r="Q388" t="str">
        <f>IFERROR(INDEX($M$2:$M$2388,MATCH(ROWS($P$2:P388),$P$2:$P$2388,0)),"")</f>
        <v/>
      </c>
    </row>
    <row r="389" spans="1:17" ht="15" x14ac:dyDescent="0.25">
      <c r="A389" s="10">
        <v>513</v>
      </c>
      <c r="B389" s="10" t="s">
        <v>2587</v>
      </c>
      <c r="C389" s="880">
        <f t="shared" si="31"/>
        <v>113.74469999999999</v>
      </c>
      <c r="D389" s="880">
        <f t="shared" si="32"/>
        <v>23.0488</v>
      </c>
      <c r="E389" s="10">
        <v>113.74472</v>
      </c>
      <c r="F389" s="10">
        <v>23.048888999999999</v>
      </c>
      <c r="G389" s="10">
        <v>8</v>
      </c>
      <c r="H389" s="10" t="s">
        <v>1831</v>
      </c>
      <c r="I389" s="10" t="s">
        <v>2518</v>
      </c>
      <c r="J389" s="10" t="s">
        <v>2519</v>
      </c>
      <c r="K389" s="10" t="s">
        <v>2529</v>
      </c>
      <c r="L389" s="65" t="str">
        <f t="shared" si="33"/>
        <v>Dongguan|China|113,744720|23,048889|+8:00 Asia</v>
      </c>
      <c r="M389" s="10" t="s">
        <v>2588</v>
      </c>
      <c r="N389" s="10">
        <f t="shared" si="30"/>
        <v>0</v>
      </c>
      <c r="O389" t="str">
        <f t="shared" si="34"/>
        <v/>
      </c>
      <c r="P389" t="str">
        <f>IF(O389=1,COUNTIF($O$2:O389,1),"")</f>
        <v/>
      </c>
      <c r="Q389" t="str">
        <f>IFERROR(INDEX($M$2:$M$2388,MATCH(ROWS($P$2:P389),$P$2:$P$2388,0)),"")</f>
        <v/>
      </c>
    </row>
    <row r="390" spans="1:17" ht="15" x14ac:dyDescent="0.25">
      <c r="A390" s="10">
        <v>512</v>
      </c>
      <c r="B390" s="10" t="s">
        <v>2589</v>
      </c>
      <c r="C390" s="880">
        <f t="shared" si="31"/>
        <v>118.4855</v>
      </c>
      <c r="D390" s="880">
        <f t="shared" si="32"/>
        <v>37.456299999999999</v>
      </c>
      <c r="E390" s="10">
        <v>118.485558</v>
      </c>
      <c r="F390" s="10">
        <v>37.456389999999999</v>
      </c>
      <c r="G390" s="10">
        <v>8</v>
      </c>
      <c r="H390" s="10" t="s">
        <v>1831</v>
      </c>
      <c r="I390" s="10" t="s">
        <v>2518</v>
      </c>
      <c r="J390" s="10" t="s">
        <v>2519</v>
      </c>
      <c r="K390" s="10" t="s">
        <v>2523</v>
      </c>
      <c r="L390" s="65" t="str">
        <f t="shared" si="33"/>
        <v>Dongying|China|118,485558|37,456390|+8:00 Asia</v>
      </c>
      <c r="M390" s="10" t="s">
        <v>2590</v>
      </c>
      <c r="N390" s="10">
        <f t="shared" si="30"/>
        <v>0</v>
      </c>
      <c r="O390" t="str">
        <f t="shared" si="34"/>
        <v/>
      </c>
      <c r="P390" t="str">
        <f>IF(O390=1,COUNTIF($O$2:O390,1),"")</f>
        <v/>
      </c>
      <c r="Q390" t="str">
        <f>IFERROR(INDEX($M$2:$M$2388,MATCH(ROWS($P$2:P390),$P$2:$P$2388,0)),"")</f>
        <v/>
      </c>
    </row>
    <row r="391" spans="1:17" ht="15" x14ac:dyDescent="0.25">
      <c r="A391" s="10">
        <v>511</v>
      </c>
      <c r="B391" s="10" t="s">
        <v>2591</v>
      </c>
      <c r="C391" s="880">
        <f t="shared" si="31"/>
        <v>113.11660000000001</v>
      </c>
      <c r="D391" s="880">
        <f t="shared" si="32"/>
        <v>23.033300000000001</v>
      </c>
      <c r="E391" s="10">
        <v>113.116669</v>
      </c>
      <c r="F391" s="10">
        <v>23.033332999999999</v>
      </c>
      <c r="G391" s="10">
        <v>8</v>
      </c>
      <c r="H391" s="10" t="s">
        <v>1831</v>
      </c>
      <c r="I391" s="10" t="s">
        <v>2518</v>
      </c>
      <c r="J391" s="10" t="s">
        <v>2519</v>
      </c>
      <c r="K391" s="10" t="s">
        <v>2529</v>
      </c>
      <c r="L391" s="65" t="str">
        <f t="shared" si="33"/>
        <v>Foshan|China|113,116669|23,033333|+8:00 Asia</v>
      </c>
      <c r="M391" s="10" t="s">
        <v>2592</v>
      </c>
      <c r="N391" s="10">
        <f t="shared" si="30"/>
        <v>0</v>
      </c>
      <c r="O391" t="str">
        <f t="shared" si="34"/>
        <v/>
      </c>
      <c r="P391" t="str">
        <f>IF(O391=1,COUNTIF($O$2:O391,1),"")</f>
        <v/>
      </c>
      <c r="Q391" t="str">
        <f>IFERROR(INDEX($M$2:$M$2388,MATCH(ROWS($P$2:P391),$P$2:$P$2388,0)),"")</f>
        <v/>
      </c>
    </row>
    <row r="392" spans="1:17" ht="15" x14ac:dyDescent="0.25">
      <c r="A392" s="10">
        <v>561</v>
      </c>
      <c r="B392" s="10" t="s">
        <v>2593</v>
      </c>
      <c r="C392" s="880">
        <f t="shared" si="31"/>
        <v>123.9233</v>
      </c>
      <c r="D392" s="880">
        <f t="shared" si="32"/>
        <v>41.855800000000002</v>
      </c>
      <c r="E392" s="10">
        <v>123.923332</v>
      </c>
      <c r="F392" s="10">
        <v>41.855834999999999</v>
      </c>
      <c r="G392" s="10">
        <v>8</v>
      </c>
      <c r="H392" s="10" t="s">
        <v>1831</v>
      </c>
      <c r="I392" s="10" t="s">
        <v>2518</v>
      </c>
      <c r="J392" s="10" t="s">
        <v>2519</v>
      </c>
      <c r="K392" s="10" t="s">
        <v>2526</v>
      </c>
      <c r="L392" s="65" t="str">
        <f t="shared" si="33"/>
        <v>Fushun|China|123,923332|41,855835|+8:00 Asia</v>
      </c>
      <c r="M392" s="10" t="s">
        <v>2594</v>
      </c>
      <c r="N392" s="10">
        <f t="shared" si="30"/>
        <v>0</v>
      </c>
      <c r="O392" t="str">
        <f t="shared" si="34"/>
        <v/>
      </c>
      <c r="P392" t="str">
        <f>IF(O392=1,COUNTIF($O$2:O392,1),"")</f>
        <v/>
      </c>
      <c r="Q392" t="str">
        <f>IFERROR(INDEX($M$2:$M$2388,MATCH(ROWS($P$2:P392),$P$2:$P$2388,0)),"")</f>
        <v/>
      </c>
    </row>
    <row r="393" spans="1:17" ht="15" x14ac:dyDescent="0.25">
      <c r="A393" s="10">
        <v>560</v>
      </c>
      <c r="B393" s="10" t="s">
        <v>2595</v>
      </c>
      <c r="C393" s="880">
        <f t="shared" si="31"/>
        <v>121.6588</v>
      </c>
      <c r="D393" s="880">
        <f t="shared" si="32"/>
        <v>42.015500000000003</v>
      </c>
      <c r="E393" s="10">
        <v>121.65889</v>
      </c>
      <c r="F393" s="10">
        <v>42.015555999999997</v>
      </c>
      <c r="G393" s="10">
        <v>8</v>
      </c>
      <c r="H393" s="10" t="s">
        <v>1831</v>
      </c>
      <c r="I393" s="10" t="s">
        <v>2518</v>
      </c>
      <c r="J393" s="10" t="s">
        <v>2519</v>
      </c>
      <c r="K393" s="10" t="s">
        <v>2526</v>
      </c>
      <c r="L393" s="65" t="str">
        <f t="shared" si="33"/>
        <v>Fuxin|China|121,658890|42,015556|+8:00 Asia</v>
      </c>
      <c r="M393" s="10" t="s">
        <v>2596</v>
      </c>
      <c r="N393" s="10">
        <f t="shared" si="30"/>
        <v>0</v>
      </c>
      <c r="O393" t="str">
        <f t="shared" si="34"/>
        <v/>
      </c>
      <c r="P393" t="str">
        <f>IF(O393=1,COUNTIF($O$2:O393,1),"")</f>
        <v/>
      </c>
      <c r="Q393" t="str">
        <f>IFERROR(INDEX($M$2:$M$2388,MATCH(ROWS($P$2:P393),$P$2:$P$2388,0)),"")</f>
        <v/>
      </c>
    </row>
    <row r="394" spans="1:17" ht="15" x14ac:dyDescent="0.25">
      <c r="A394" s="10">
        <v>510</v>
      </c>
      <c r="B394" s="10" t="s">
        <v>2597</v>
      </c>
      <c r="C394" s="880">
        <f t="shared" si="31"/>
        <v>119.3061</v>
      </c>
      <c r="D394" s="880">
        <f t="shared" si="32"/>
        <v>26.061299999999999</v>
      </c>
      <c r="E394" s="10">
        <v>119.30611399999999</v>
      </c>
      <c r="F394" s="10">
        <v>26.061388000000001</v>
      </c>
      <c r="G394" s="10">
        <v>8</v>
      </c>
      <c r="H394" s="10" t="s">
        <v>1831</v>
      </c>
      <c r="I394" s="10" t="s">
        <v>2518</v>
      </c>
      <c r="J394" s="10" t="s">
        <v>2519</v>
      </c>
      <c r="K394" s="10" t="s">
        <v>2523</v>
      </c>
      <c r="L394" s="65" t="str">
        <f t="shared" si="33"/>
        <v>Fuzhou|China|119,306114|26,061388|+8:00 Asia</v>
      </c>
      <c r="M394" s="10" t="s">
        <v>2598</v>
      </c>
      <c r="N394" s="10">
        <f t="shared" si="30"/>
        <v>0</v>
      </c>
      <c r="O394" t="str">
        <f t="shared" si="34"/>
        <v/>
      </c>
      <c r="P394" t="str">
        <f>IF(O394=1,COUNTIF($O$2:O394,1),"")</f>
        <v/>
      </c>
      <c r="Q394" t="str">
        <f>IFERROR(INDEX($M$2:$M$2388,MATCH(ROWS($P$2:P394),$P$2:$P$2388,0)),"")</f>
        <v/>
      </c>
    </row>
    <row r="395" spans="1:17" ht="15" x14ac:dyDescent="0.25">
      <c r="A395" s="10">
        <v>509</v>
      </c>
      <c r="B395" s="10" t="s">
        <v>2599</v>
      </c>
      <c r="C395" s="880">
        <f t="shared" si="31"/>
        <v>106.13330000000001</v>
      </c>
      <c r="D395" s="880">
        <f t="shared" si="32"/>
        <v>30.783300000000001</v>
      </c>
      <c r="E395" s="10">
        <v>106.133331</v>
      </c>
      <c r="F395" s="10">
        <v>30.783332999999999</v>
      </c>
      <c r="G395" s="10">
        <v>8</v>
      </c>
      <c r="H395" s="10" t="s">
        <v>1831</v>
      </c>
      <c r="I395" s="10" t="s">
        <v>2518</v>
      </c>
      <c r="J395" s="10" t="s">
        <v>2519</v>
      </c>
      <c r="K395" s="10" t="s">
        <v>2529</v>
      </c>
      <c r="L395" s="65" t="str">
        <f t="shared" si="33"/>
        <v>Gaoping|China|106,133331|30,783333|+8:00 Asia</v>
      </c>
      <c r="M395" s="10" t="s">
        <v>2600</v>
      </c>
      <c r="N395" s="10">
        <f t="shared" si="30"/>
        <v>0</v>
      </c>
      <c r="O395" t="str">
        <f t="shared" si="34"/>
        <v/>
      </c>
      <c r="P395" t="str">
        <f>IF(O395=1,COUNTIF($O$2:O395,1),"")</f>
        <v/>
      </c>
      <c r="Q395" t="str">
        <f>IFERROR(INDEX($M$2:$M$2388,MATCH(ROWS($P$2:P395),$P$2:$P$2388,0)),"")</f>
        <v/>
      </c>
    </row>
    <row r="396" spans="1:17" ht="15" x14ac:dyDescent="0.25">
      <c r="A396" s="10">
        <v>488</v>
      </c>
      <c r="B396" s="10" t="s">
        <v>2601</v>
      </c>
      <c r="C396" s="880">
        <f t="shared" si="31"/>
        <v>105.82129999999999</v>
      </c>
      <c r="D396" s="880">
        <f t="shared" si="32"/>
        <v>32.440199999999997</v>
      </c>
      <c r="E396" s="10">
        <v>105.821388</v>
      </c>
      <c r="F396" s="10">
        <v>32.440277000000002</v>
      </c>
      <c r="G396" s="10">
        <v>8</v>
      </c>
      <c r="H396" s="10" t="s">
        <v>1831</v>
      </c>
      <c r="I396" s="10" t="s">
        <v>2518</v>
      </c>
      <c r="J396" s="10" t="s">
        <v>2519</v>
      </c>
      <c r="K396" s="10" t="s">
        <v>2529</v>
      </c>
      <c r="L396" s="65" t="str">
        <f t="shared" si="33"/>
        <v>Guangyuan|China|105,821388|32,440277|+8:00 Asia</v>
      </c>
      <c r="M396" s="10" t="s">
        <v>2602</v>
      </c>
      <c r="N396" s="10">
        <f t="shared" si="30"/>
        <v>0</v>
      </c>
      <c r="O396" t="str">
        <f t="shared" si="34"/>
        <v/>
      </c>
      <c r="P396" t="str">
        <f>IF(O396=1,COUNTIF($O$2:O396,1),"")</f>
        <v/>
      </c>
      <c r="Q396" t="str">
        <f>IFERROR(INDEX($M$2:$M$2388,MATCH(ROWS($P$2:P396),$P$2:$P$2388,0)),"")</f>
        <v/>
      </c>
    </row>
    <row r="397" spans="1:17" ht="15" x14ac:dyDescent="0.25">
      <c r="A397" s="10">
        <v>508</v>
      </c>
      <c r="B397" s="10" t="s">
        <v>2603</v>
      </c>
      <c r="C397" s="880">
        <f t="shared" si="31"/>
        <v>113.25</v>
      </c>
      <c r="D397" s="880">
        <f t="shared" si="32"/>
        <v>23.116599999999998</v>
      </c>
      <c r="E397" s="10">
        <v>113.25</v>
      </c>
      <c r="F397" s="10">
        <v>23.116667</v>
      </c>
      <c r="G397" s="10">
        <v>8</v>
      </c>
      <c r="H397" s="10" t="s">
        <v>1831</v>
      </c>
      <c r="I397" s="10" t="s">
        <v>2518</v>
      </c>
      <c r="J397" s="10" t="s">
        <v>2519</v>
      </c>
      <c r="K397" s="10" t="s">
        <v>2529</v>
      </c>
      <c r="L397" s="65" t="str">
        <f t="shared" si="33"/>
        <v>Guangzhou|China|113,250000|23,116667|+8:00 Asia</v>
      </c>
      <c r="M397" s="10" t="s">
        <v>2604</v>
      </c>
      <c r="N397" s="10">
        <f t="shared" si="30"/>
        <v>0</v>
      </c>
      <c r="O397" t="str">
        <f t="shared" si="34"/>
        <v/>
      </c>
      <c r="P397" t="str">
        <f>IF(O397=1,COUNTIF($O$2:O397,1),"")</f>
        <v/>
      </c>
      <c r="Q397" t="str">
        <f>IFERROR(INDEX($M$2:$M$2388,MATCH(ROWS($P$2:P397),$P$2:$P$2388,0)),"")</f>
        <v/>
      </c>
    </row>
    <row r="398" spans="1:17" ht="15" x14ac:dyDescent="0.25">
      <c r="A398" s="10">
        <v>507</v>
      </c>
      <c r="B398" s="10" t="s">
        <v>2605</v>
      </c>
      <c r="C398" s="880">
        <f t="shared" si="31"/>
        <v>110.2863</v>
      </c>
      <c r="D398" s="880">
        <f t="shared" si="32"/>
        <v>25.2819</v>
      </c>
      <c r="E398" s="10">
        <v>110.28639200000001</v>
      </c>
      <c r="F398" s="10">
        <v>25.281943999999999</v>
      </c>
      <c r="G398" s="10">
        <v>8</v>
      </c>
      <c r="H398" s="10" t="s">
        <v>1831</v>
      </c>
      <c r="I398" s="10" t="s">
        <v>2518</v>
      </c>
      <c r="J398" s="10" t="s">
        <v>2519</v>
      </c>
      <c r="K398" s="10" t="s">
        <v>2529</v>
      </c>
      <c r="L398" s="65" t="str">
        <f t="shared" si="33"/>
        <v>Guilin|China|110,286392|25,281944|+8:00 Asia</v>
      </c>
      <c r="M398" s="10" t="s">
        <v>2606</v>
      </c>
      <c r="N398" s="10">
        <f t="shared" si="30"/>
        <v>0</v>
      </c>
      <c r="O398" t="str">
        <f t="shared" si="34"/>
        <v/>
      </c>
      <c r="P398" t="str">
        <f>IF(O398=1,COUNTIF($O$2:O398,1),"")</f>
        <v/>
      </c>
      <c r="Q398" t="str">
        <f>IFERROR(INDEX($M$2:$M$2388,MATCH(ROWS($P$2:P398),$P$2:$P$2388,0)),"")</f>
        <v/>
      </c>
    </row>
    <row r="399" spans="1:17" ht="15" x14ac:dyDescent="0.25">
      <c r="A399" s="10">
        <v>506</v>
      </c>
      <c r="B399" s="10" t="s">
        <v>2607</v>
      </c>
      <c r="C399" s="880">
        <f t="shared" si="31"/>
        <v>106.7166</v>
      </c>
      <c r="D399" s="880">
        <f t="shared" si="32"/>
        <v>26.583300000000001</v>
      </c>
      <c r="E399" s="10">
        <v>106.716667</v>
      </c>
      <c r="F399" s="10">
        <v>26.583334000000001</v>
      </c>
      <c r="G399" s="10">
        <v>8</v>
      </c>
      <c r="H399" s="10" t="s">
        <v>1831</v>
      </c>
      <c r="I399" s="10" t="s">
        <v>2518</v>
      </c>
      <c r="J399" s="10" t="s">
        <v>2519</v>
      </c>
      <c r="K399" s="10" t="s">
        <v>2529</v>
      </c>
      <c r="L399" s="65" t="str">
        <f t="shared" si="33"/>
        <v>Guiyang|China|106,716667|26,583334|+8:00 Asia</v>
      </c>
      <c r="M399" s="10" t="s">
        <v>2608</v>
      </c>
      <c r="N399" s="10">
        <f t="shared" si="30"/>
        <v>0</v>
      </c>
      <c r="O399" t="str">
        <f t="shared" si="34"/>
        <v/>
      </c>
      <c r="P399" t="str">
        <f>IF(O399=1,COUNTIF($O$2:O399,1),"")</f>
        <v/>
      </c>
      <c r="Q399" t="str">
        <f>IFERROR(INDEX($M$2:$M$2388,MATCH(ROWS($P$2:P399),$P$2:$P$2388,0)),"")</f>
        <v/>
      </c>
    </row>
    <row r="400" spans="1:17" ht="15" x14ac:dyDescent="0.25">
      <c r="A400" s="10">
        <v>505</v>
      </c>
      <c r="B400" s="10" t="s">
        <v>2609</v>
      </c>
      <c r="C400" s="880">
        <f t="shared" si="31"/>
        <v>120.0333</v>
      </c>
      <c r="D400" s="880">
        <f t="shared" si="32"/>
        <v>28.883299999999998</v>
      </c>
      <c r="E400" s="10">
        <v>120.033333</v>
      </c>
      <c r="F400" s="10">
        <v>28.883333</v>
      </c>
      <c r="G400" s="10">
        <v>8</v>
      </c>
      <c r="H400" s="10" t="s">
        <v>1831</v>
      </c>
      <c r="I400" s="10" t="s">
        <v>2518</v>
      </c>
      <c r="J400" s="10" t="s">
        <v>2519</v>
      </c>
      <c r="K400" s="10" t="s">
        <v>2523</v>
      </c>
      <c r="L400" s="65" t="str">
        <f t="shared" si="33"/>
        <v>Guli|China|120,033333|28,883333|+8:00 Asia</v>
      </c>
      <c r="M400" s="10" t="s">
        <v>2610</v>
      </c>
      <c r="N400" s="10">
        <f t="shared" si="30"/>
        <v>0</v>
      </c>
      <c r="O400" t="str">
        <f t="shared" si="34"/>
        <v/>
      </c>
      <c r="P400" t="str">
        <f>IF(O400=1,COUNTIF($O$2:O400,1),"")</f>
        <v/>
      </c>
      <c r="Q400" t="str">
        <f>IFERROR(INDEX($M$2:$M$2388,MATCH(ROWS($P$2:P400),$P$2:$P$2388,0)),"")</f>
        <v/>
      </c>
    </row>
    <row r="401" spans="1:17" ht="15" x14ac:dyDescent="0.25">
      <c r="A401" s="10">
        <v>504</v>
      </c>
      <c r="B401" s="10" t="s">
        <v>2611</v>
      </c>
      <c r="C401" s="880">
        <f t="shared" si="31"/>
        <v>110.3416</v>
      </c>
      <c r="D401" s="880">
        <f t="shared" si="32"/>
        <v>20.0458</v>
      </c>
      <c r="E401" s="10">
        <v>110.341667</v>
      </c>
      <c r="F401" s="10">
        <v>20.045833999999999</v>
      </c>
      <c r="G401" s="10">
        <v>8</v>
      </c>
      <c r="H401" s="10" t="s">
        <v>1831</v>
      </c>
      <c r="I401" s="10" t="s">
        <v>2518</v>
      </c>
      <c r="J401" s="10" t="s">
        <v>2519</v>
      </c>
      <c r="K401" s="10" t="s">
        <v>2529</v>
      </c>
      <c r="L401" s="65" t="str">
        <f t="shared" si="33"/>
        <v>Haikou|China|110,341667|20,045834|+8:00 Asia</v>
      </c>
      <c r="M401" s="10" t="s">
        <v>2612</v>
      </c>
      <c r="N401" s="10">
        <f t="shared" si="30"/>
        <v>0</v>
      </c>
      <c r="O401" t="str">
        <f t="shared" si="34"/>
        <v/>
      </c>
      <c r="P401" t="str">
        <f>IF(O401=1,COUNTIF($O$2:O401,1),"")</f>
        <v/>
      </c>
      <c r="Q401" t="str">
        <f>IFERROR(INDEX($M$2:$M$2388,MATCH(ROWS($P$2:P401),$P$2:$P$2388,0)),"")</f>
        <v/>
      </c>
    </row>
    <row r="402" spans="1:17" ht="15" x14ac:dyDescent="0.25">
      <c r="A402" s="10">
        <v>559</v>
      </c>
      <c r="B402" s="10" t="s">
        <v>2613</v>
      </c>
      <c r="C402" s="880">
        <f t="shared" si="31"/>
        <v>119.6999</v>
      </c>
      <c r="D402" s="880">
        <f t="shared" si="32"/>
        <v>49.2</v>
      </c>
      <c r="E402" s="10">
        <v>119.699997</v>
      </c>
      <c r="F402" s="10">
        <v>49.200001</v>
      </c>
      <c r="G402" s="10">
        <v>8</v>
      </c>
      <c r="H402" s="10" t="s">
        <v>1831</v>
      </c>
      <c r="I402" s="10" t="s">
        <v>2518</v>
      </c>
      <c r="J402" s="10" t="s">
        <v>2519</v>
      </c>
      <c r="K402" s="10" t="s">
        <v>2526</v>
      </c>
      <c r="L402" s="65" t="str">
        <f t="shared" si="33"/>
        <v>Hailar|China|119,699997|49,200001|+8:00 Asia</v>
      </c>
      <c r="M402" s="10" t="s">
        <v>2614</v>
      </c>
      <c r="N402" s="10">
        <f t="shared" si="30"/>
        <v>0</v>
      </c>
      <c r="O402" t="str">
        <f t="shared" si="34"/>
        <v/>
      </c>
      <c r="P402" t="str">
        <f>IF(O402=1,COUNTIF($O$2:O402,1),"")</f>
        <v/>
      </c>
      <c r="Q402" t="str">
        <f>IFERROR(INDEX($M$2:$M$2388,MATCH(ROWS($P$2:P402),$P$2:$P$2388,0)),"")</f>
        <v/>
      </c>
    </row>
    <row r="403" spans="1:17" ht="15" x14ac:dyDescent="0.25">
      <c r="A403" s="10">
        <v>502</v>
      </c>
      <c r="B403" s="10" t="s">
        <v>2615</v>
      </c>
      <c r="C403" s="880">
        <f t="shared" si="31"/>
        <v>114.46769999999999</v>
      </c>
      <c r="D403" s="880">
        <f t="shared" si="32"/>
        <v>36.600499999999997</v>
      </c>
      <c r="E403" s="10">
        <v>114.467781</v>
      </c>
      <c r="F403" s="10">
        <v>36.600555</v>
      </c>
      <c r="G403" s="10">
        <v>8</v>
      </c>
      <c r="H403" s="10" t="s">
        <v>1831</v>
      </c>
      <c r="I403" s="10" t="s">
        <v>2518</v>
      </c>
      <c r="J403" s="10" t="s">
        <v>2519</v>
      </c>
      <c r="K403" s="10" t="s">
        <v>2523</v>
      </c>
      <c r="L403" s="65" t="str">
        <f t="shared" si="33"/>
        <v>Handan|China|114,467781|36,600555|+8:00 Asia</v>
      </c>
      <c r="M403" s="10" t="s">
        <v>2616</v>
      </c>
      <c r="N403" s="10">
        <f t="shared" si="30"/>
        <v>0</v>
      </c>
      <c r="O403" t="str">
        <f t="shared" si="34"/>
        <v/>
      </c>
      <c r="P403" t="str">
        <f>IF(O403=1,COUNTIF($O$2:O403,1),"")</f>
        <v/>
      </c>
      <c r="Q403" t="str">
        <f>IFERROR(INDEX($M$2:$M$2388,MATCH(ROWS($P$2:P403),$P$2:$P$2388,0)),"")</f>
        <v/>
      </c>
    </row>
    <row r="404" spans="1:17" ht="15" x14ac:dyDescent="0.25">
      <c r="A404" s="10">
        <v>501</v>
      </c>
      <c r="B404" s="10" t="s">
        <v>2617</v>
      </c>
      <c r="C404" s="880">
        <f t="shared" si="31"/>
        <v>117.7891</v>
      </c>
      <c r="D404" s="880">
        <f t="shared" si="32"/>
        <v>39.248800000000003</v>
      </c>
      <c r="E404" s="10">
        <v>117.789169</v>
      </c>
      <c r="F404" s="10">
        <v>39.248890000000003</v>
      </c>
      <c r="G404" s="10">
        <v>8</v>
      </c>
      <c r="H404" s="10" t="s">
        <v>1831</v>
      </c>
      <c r="I404" s="10" t="s">
        <v>2518</v>
      </c>
      <c r="J404" s="10" t="s">
        <v>2519</v>
      </c>
      <c r="K404" s="10" t="s">
        <v>2523</v>
      </c>
      <c r="L404" s="65" t="str">
        <f t="shared" si="33"/>
        <v>Hangu|China|117,789169|39,248890|+8:00 Asia</v>
      </c>
      <c r="M404" s="10" t="s">
        <v>2618</v>
      </c>
      <c r="N404" s="10">
        <f t="shared" si="30"/>
        <v>0</v>
      </c>
      <c r="O404" t="str">
        <f t="shared" si="34"/>
        <v/>
      </c>
      <c r="P404" t="str">
        <f>IF(O404=1,COUNTIF($O$2:O404,1),"")</f>
        <v/>
      </c>
      <c r="Q404" t="str">
        <f>IFERROR(INDEX($M$2:$M$2388,MATCH(ROWS($P$2:P404),$P$2:$P$2388,0)),"")</f>
        <v/>
      </c>
    </row>
    <row r="405" spans="1:17" ht="15" x14ac:dyDescent="0.25">
      <c r="A405" s="10">
        <v>500</v>
      </c>
      <c r="B405" s="10" t="s">
        <v>2619</v>
      </c>
      <c r="C405" s="880">
        <f t="shared" si="31"/>
        <v>120.1688</v>
      </c>
      <c r="D405" s="880">
        <f t="shared" si="32"/>
        <v>30.255199999999999</v>
      </c>
      <c r="E405" s="10">
        <v>120.168892</v>
      </c>
      <c r="F405" s="10">
        <v>30.255278000000001</v>
      </c>
      <c r="G405" s="10">
        <v>8</v>
      </c>
      <c r="H405" s="10" t="s">
        <v>1831</v>
      </c>
      <c r="I405" s="10" t="s">
        <v>2518</v>
      </c>
      <c r="J405" s="10" t="s">
        <v>2519</v>
      </c>
      <c r="K405" s="10" t="s">
        <v>2523</v>
      </c>
      <c r="L405" s="65" t="str">
        <f t="shared" si="33"/>
        <v>Hangzhou|China|120,168892|30,255278|+8:00 Asia</v>
      </c>
      <c r="M405" s="10" t="s">
        <v>2620</v>
      </c>
      <c r="N405" s="10">
        <f t="shared" si="30"/>
        <v>0</v>
      </c>
      <c r="O405" t="str">
        <f t="shared" si="34"/>
        <v/>
      </c>
      <c r="P405" t="str">
        <f>IF(O405=1,COUNTIF($O$2:O405,1),"")</f>
        <v/>
      </c>
      <c r="Q405" t="str">
        <f>IFERROR(INDEX($M$2:$M$2388,MATCH(ROWS($P$2:P405),$P$2:$P$2388,0)),"")</f>
        <v/>
      </c>
    </row>
    <row r="406" spans="1:17" ht="15" x14ac:dyDescent="0.25">
      <c r="A406" s="10">
        <v>558</v>
      </c>
      <c r="B406" s="10" t="s">
        <v>2621</v>
      </c>
      <c r="C406" s="880">
        <f t="shared" si="31"/>
        <v>126.65</v>
      </c>
      <c r="D406" s="880">
        <f t="shared" si="32"/>
        <v>45.75</v>
      </c>
      <c r="E406" s="10">
        <v>126.650002</v>
      </c>
      <c r="F406" s="10">
        <v>45.75</v>
      </c>
      <c r="G406" s="10">
        <v>8</v>
      </c>
      <c r="H406" s="10" t="s">
        <v>1831</v>
      </c>
      <c r="I406" s="10" t="s">
        <v>2518</v>
      </c>
      <c r="J406" s="10" t="s">
        <v>2519</v>
      </c>
      <c r="K406" s="10" t="s">
        <v>2526</v>
      </c>
      <c r="L406" s="65" t="str">
        <f t="shared" si="33"/>
        <v>Harbin|China|126,650002|45,750000|+8:00 Asia</v>
      </c>
      <c r="M406" s="10" t="s">
        <v>2622</v>
      </c>
      <c r="N406" s="10">
        <f t="shared" si="30"/>
        <v>0</v>
      </c>
      <c r="O406" t="str">
        <f t="shared" si="34"/>
        <v/>
      </c>
      <c r="P406" t="str">
        <f>IF(O406=1,COUNTIF($O$2:O406,1),"")</f>
        <v/>
      </c>
      <c r="Q406" t="str">
        <f>IFERROR(INDEX($M$2:$M$2388,MATCH(ROWS($P$2:P406),$P$2:$P$2388,0)),"")</f>
        <v/>
      </c>
    </row>
    <row r="407" spans="1:17" ht="15" x14ac:dyDescent="0.25">
      <c r="A407" s="10">
        <v>499</v>
      </c>
      <c r="B407" s="10" t="s">
        <v>2623</v>
      </c>
      <c r="C407" s="880">
        <f t="shared" si="31"/>
        <v>114.19240000000001</v>
      </c>
      <c r="D407" s="880">
        <f t="shared" si="32"/>
        <v>35.899099999999997</v>
      </c>
      <c r="E407" s="10">
        <v>114.192497</v>
      </c>
      <c r="F407" s="10">
        <v>35.899166000000001</v>
      </c>
      <c r="G407" s="10">
        <v>8</v>
      </c>
      <c r="H407" s="10" t="s">
        <v>1831</v>
      </c>
      <c r="I407" s="10" t="s">
        <v>2518</v>
      </c>
      <c r="J407" s="10" t="s">
        <v>2519</v>
      </c>
      <c r="K407" s="10" t="s">
        <v>2523</v>
      </c>
      <c r="L407" s="65" t="str">
        <f t="shared" si="33"/>
        <v>Hebi|China|114,192497|35,899166|+8:00 Asia</v>
      </c>
      <c r="M407" s="10" t="s">
        <v>2624</v>
      </c>
      <c r="N407" s="10">
        <f t="shared" si="30"/>
        <v>0</v>
      </c>
      <c r="O407" t="str">
        <f t="shared" si="34"/>
        <v/>
      </c>
      <c r="P407" t="str">
        <f>IF(O407=1,COUNTIF($O$2:O407,1),"")</f>
        <v/>
      </c>
      <c r="Q407" t="str">
        <f>IFERROR(INDEX($M$2:$M$2388,MATCH(ROWS($P$2:P407),$P$2:$P$2388,0)),"")</f>
        <v/>
      </c>
    </row>
    <row r="408" spans="1:17" ht="15" x14ac:dyDescent="0.25">
      <c r="A408" s="10">
        <v>498</v>
      </c>
      <c r="B408" s="10" t="s">
        <v>2625</v>
      </c>
      <c r="C408" s="880">
        <f t="shared" si="31"/>
        <v>117.2808</v>
      </c>
      <c r="D408" s="880">
        <f t="shared" si="32"/>
        <v>31.863800000000001</v>
      </c>
      <c r="E408" s="10">
        <v>117.28082999999999</v>
      </c>
      <c r="F408" s="10">
        <v>31.863890000000001</v>
      </c>
      <c r="G408" s="10">
        <v>8</v>
      </c>
      <c r="H408" s="10" t="s">
        <v>1831</v>
      </c>
      <c r="I408" s="10" t="s">
        <v>2518</v>
      </c>
      <c r="J408" s="10" t="s">
        <v>2519</v>
      </c>
      <c r="K408" s="10" t="s">
        <v>2523</v>
      </c>
      <c r="L408" s="65" t="str">
        <f t="shared" si="33"/>
        <v>Hefei|China|117,280830|31,863890|+8:00 Asia</v>
      </c>
      <c r="M408" s="10" t="s">
        <v>2626</v>
      </c>
      <c r="N408" s="10">
        <f t="shared" si="30"/>
        <v>0</v>
      </c>
      <c r="O408" t="str">
        <f t="shared" si="34"/>
        <v/>
      </c>
      <c r="P408" t="str">
        <f>IF(O408=1,COUNTIF($O$2:O408,1),"")</f>
        <v/>
      </c>
      <c r="Q408" t="str">
        <f>IFERROR(INDEX($M$2:$M$2388,MATCH(ROWS($P$2:P408),$P$2:$P$2388,0)),"")</f>
        <v/>
      </c>
    </row>
    <row r="409" spans="1:17" ht="15" x14ac:dyDescent="0.25">
      <c r="A409" s="10">
        <v>557</v>
      </c>
      <c r="B409" s="10" t="s">
        <v>2627</v>
      </c>
      <c r="C409" s="880">
        <f t="shared" si="31"/>
        <v>130.36660000000001</v>
      </c>
      <c r="D409" s="880">
        <f t="shared" si="32"/>
        <v>47.4</v>
      </c>
      <c r="E409" s="10">
        <v>130.366669</v>
      </c>
      <c r="F409" s="10">
        <v>47.400002000000001</v>
      </c>
      <c r="G409" s="10">
        <v>8</v>
      </c>
      <c r="H409" s="10" t="s">
        <v>1831</v>
      </c>
      <c r="I409" s="10" t="s">
        <v>2518</v>
      </c>
      <c r="J409" s="10" t="s">
        <v>2519</v>
      </c>
      <c r="K409" s="10" t="s">
        <v>2526</v>
      </c>
      <c r="L409" s="65" t="str">
        <f t="shared" si="33"/>
        <v>Hegang|China|130,366669|47,400002|+8:00 Asia</v>
      </c>
      <c r="M409" s="10" t="s">
        <v>2628</v>
      </c>
      <c r="N409" s="10">
        <f t="shared" si="30"/>
        <v>0</v>
      </c>
      <c r="O409" t="str">
        <f t="shared" si="34"/>
        <v/>
      </c>
      <c r="P409" t="str">
        <f>IF(O409=1,COUNTIF($O$2:O409,1),"")</f>
        <v/>
      </c>
      <c r="Q409" t="str">
        <f>IFERROR(INDEX($M$2:$M$2388,MATCH(ROWS($P$2:P409),$P$2:$P$2388,0)),"")</f>
        <v/>
      </c>
    </row>
    <row r="410" spans="1:17" ht="15" x14ac:dyDescent="0.25">
      <c r="A410" s="10">
        <v>497</v>
      </c>
      <c r="B410" s="10" t="s">
        <v>2629</v>
      </c>
      <c r="C410" s="880">
        <f t="shared" si="31"/>
        <v>115.7011</v>
      </c>
      <c r="D410" s="880">
        <f t="shared" si="32"/>
        <v>37.732199999999999</v>
      </c>
      <c r="E410" s="10">
        <v>115.701111</v>
      </c>
      <c r="F410" s="10">
        <v>37.732224000000002</v>
      </c>
      <c r="G410" s="10">
        <v>8</v>
      </c>
      <c r="H410" s="10" t="s">
        <v>1831</v>
      </c>
      <c r="I410" s="10" t="s">
        <v>2518</v>
      </c>
      <c r="J410" s="10" t="s">
        <v>2519</v>
      </c>
      <c r="K410" s="10" t="s">
        <v>2523</v>
      </c>
      <c r="L410" s="65" t="str">
        <f t="shared" si="33"/>
        <v>Hengshui|China|115,701111|37,732224|+8:00 Asia</v>
      </c>
      <c r="M410" s="10" t="s">
        <v>2630</v>
      </c>
      <c r="N410" s="10">
        <f t="shared" si="30"/>
        <v>0</v>
      </c>
      <c r="O410" t="str">
        <f t="shared" si="34"/>
        <v/>
      </c>
      <c r="P410" t="str">
        <f>IF(O410=1,COUNTIF($O$2:O410,1),"")</f>
        <v/>
      </c>
      <c r="Q410" t="str">
        <f>IFERROR(INDEX($M$2:$M$2388,MATCH(ROWS($P$2:P410),$P$2:$P$2388,0)),"")</f>
        <v/>
      </c>
    </row>
    <row r="411" spans="1:17" ht="15" x14ac:dyDescent="0.25">
      <c r="A411" s="10">
        <v>496</v>
      </c>
      <c r="B411" s="10" t="s">
        <v>2631</v>
      </c>
      <c r="C411" s="880">
        <f t="shared" si="31"/>
        <v>112.61490000000001</v>
      </c>
      <c r="D411" s="880">
        <f t="shared" si="32"/>
        <v>26.888000000000002</v>
      </c>
      <c r="E411" s="10">
        <v>112.614998</v>
      </c>
      <c r="F411" s="10">
        <v>26.888055999999999</v>
      </c>
      <c r="G411" s="10">
        <v>8</v>
      </c>
      <c r="H411" s="10" t="s">
        <v>1831</v>
      </c>
      <c r="I411" s="10" t="s">
        <v>2518</v>
      </c>
      <c r="J411" s="10" t="s">
        <v>2519</v>
      </c>
      <c r="K411" s="10" t="s">
        <v>2529</v>
      </c>
      <c r="L411" s="65" t="str">
        <f t="shared" si="33"/>
        <v>Hengyang|China|112,614998|26,888056|+8:00 Asia</v>
      </c>
      <c r="M411" s="10" t="s">
        <v>2632</v>
      </c>
      <c r="N411" s="10">
        <f t="shared" si="30"/>
        <v>0</v>
      </c>
      <c r="O411" t="str">
        <f t="shared" si="34"/>
        <v/>
      </c>
      <c r="P411" t="str">
        <f>IF(O411=1,COUNTIF($O$2:O411,1),"")</f>
        <v/>
      </c>
      <c r="Q411" t="str">
        <f>IFERROR(INDEX($M$2:$M$2388,MATCH(ROWS($P$2:P411),$P$2:$P$2388,0)),"")</f>
        <v/>
      </c>
    </row>
    <row r="412" spans="1:17" ht="15" x14ac:dyDescent="0.25">
      <c r="A412" s="10">
        <v>494</v>
      </c>
      <c r="B412" s="10" t="s">
        <v>2633</v>
      </c>
      <c r="C412" s="880">
        <f t="shared" si="31"/>
        <v>115.44110000000001</v>
      </c>
      <c r="D412" s="880">
        <f t="shared" si="32"/>
        <v>35.243000000000002</v>
      </c>
      <c r="E412" s="10">
        <v>115.441109</v>
      </c>
      <c r="F412" s="10">
        <v>35.243057</v>
      </c>
      <c r="G412" s="10">
        <v>8</v>
      </c>
      <c r="H412" s="10" t="s">
        <v>1831</v>
      </c>
      <c r="I412" s="10" t="s">
        <v>2518</v>
      </c>
      <c r="J412" s="10" t="s">
        <v>2519</v>
      </c>
      <c r="K412" s="10" t="s">
        <v>2523</v>
      </c>
      <c r="L412" s="65" t="str">
        <f t="shared" si="33"/>
        <v>Heze|China|115,441109|35,243057|+8:00 Asia</v>
      </c>
      <c r="M412" s="10" t="s">
        <v>2634</v>
      </c>
      <c r="N412" s="10">
        <f t="shared" si="30"/>
        <v>0</v>
      </c>
      <c r="O412" t="str">
        <f t="shared" si="34"/>
        <v/>
      </c>
      <c r="P412" t="str">
        <f>IF(O412=1,COUNTIF($O$2:O412,1),"")</f>
        <v/>
      </c>
      <c r="Q412" t="str">
        <f>IFERROR(INDEX($M$2:$M$2388,MATCH(ROWS($P$2:P412),$P$2:$P$2388,0)),"")</f>
        <v/>
      </c>
    </row>
    <row r="413" spans="1:17" ht="15" x14ac:dyDescent="0.25">
      <c r="A413" s="10">
        <v>556</v>
      </c>
      <c r="B413" s="10" t="s">
        <v>2635</v>
      </c>
      <c r="C413" s="880">
        <f t="shared" si="31"/>
        <v>111.65219999999999</v>
      </c>
      <c r="D413" s="880">
        <f t="shared" si="32"/>
        <v>40.810499999999998</v>
      </c>
      <c r="E413" s="10">
        <v>111.65222199999999</v>
      </c>
      <c r="F413" s="10">
        <v>40.810555000000001</v>
      </c>
      <c r="G413" s="10">
        <v>8</v>
      </c>
      <c r="H413" s="10" t="s">
        <v>1831</v>
      </c>
      <c r="I413" s="10" t="s">
        <v>2518</v>
      </c>
      <c r="J413" s="10" t="s">
        <v>2519</v>
      </c>
      <c r="K413" s="10" t="s">
        <v>2529</v>
      </c>
      <c r="L413" s="65" t="str">
        <f t="shared" si="33"/>
        <v>Hohhot|China|111,652222|40,810555|+8:00 Asia</v>
      </c>
      <c r="M413" s="10" t="s">
        <v>2636</v>
      </c>
      <c r="N413" s="10">
        <f t="shared" si="30"/>
        <v>0</v>
      </c>
      <c r="O413" t="str">
        <f t="shared" si="34"/>
        <v/>
      </c>
      <c r="P413" t="str">
        <f>IF(O413=1,COUNTIF($O$2:O413,1),"")</f>
        <v/>
      </c>
      <c r="Q413" t="str">
        <f>IFERROR(INDEX($M$2:$M$2388,MATCH(ROWS($P$2:P413),$P$2:$P$2388,0)),"")</f>
        <v/>
      </c>
    </row>
    <row r="414" spans="1:17" ht="15" x14ac:dyDescent="0.25">
      <c r="A414" s="10">
        <v>493</v>
      </c>
      <c r="B414" s="10" t="s">
        <v>2637</v>
      </c>
      <c r="C414" s="880">
        <f t="shared" si="31"/>
        <v>116.7916</v>
      </c>
      <c r="D414" s="880">
        <f t="shared" si="32"/>
        <v>33.974400000000003</v>
      </c>
      <c r="E414" s="10">
        <v>116.791664</v>
      </c>
      <c r="F414" s="10">
        <v>33.974445000000003</v>
      </c>
      <c r="G414" s="10">
        <v>8</v>
      </c>
      <c r="H414" s="10" t="s">
        <v>1831</v>
      </c>
      <c r="I414" s="10" t="s">
        <v>2518</v>
      </c>
      <c r="J414" s="10" t="s">
        <v>2519</v>
      </c>
      <c r="K414" s="10" t="s">
        <v>2523</v>
      </c>
      <c r="L414" s="65" t="str">
        <f t="shared" si="33"/>
        <v>Huaibei|China|116,791664|33,974445|+8:00 Asia</v>
      </c>
      <c r="M414" s="10" t="s">
        <v>2638</v>
      </c>
      <c r="N414" s="10">
        <f t="shared" si="30"/>
        <v>0</v>
      </c>
      <c r="O414" t="str">
        <f t="shared" si="34"/>
        <v/>
      </c>
      <c r="P414" t="str">
        <f>IF(O414=1,COUNTIF($O$2:O414,1),"")</f>
        <v/>
      </c>
      <c r="Q414" t="str">
        <f>IFERROR(INDEX($M$2:$M$2388,MATCH(ROWS($P$2:P414),$P$2:$P$2388,0)),"")</f>
        <v/>
      </c>
    </row>
    <row r="415" spans="1:17" ht="15" x14ac:dyDescent="0.25">
      <c r="A415" s="10">
        <v>492</v>
      </c>
      <c r="B415" s="10" t="s">
        <v>2639</v>
      </c>
      <c r="C415" s="880">
        <f t="shared" si="31"/>
        <v>116.9969</v>
      </c>
      <c r="D415" s="880">
        <f t="shared" si="32"/>
        <v>32.626300000000001</v>
      </c>
      <c r="E415" s="10">
        <v>116.99694100000001</v>
      </c>
      <c r="F415" s="10">
        <v>32.626389000000003</v>
      </c>
      <c r="G415" s="10">
        <v>8</v>
      </c>
      <c r="H415" s="10" t="s">
        <v>1831</v>
      </c>
      <c r="I415" s="10" t="s">
        <v>2518</v>
      </c>
      <c r="J415" s="10" t="s">
        <v>2519</v>
      </c>
      <c r="K415" s="10" t="s">
        <v>2523</v>
      </c>
      <c r="L415" s="65" t="str">
        <f t="shared" si="33"/>
        <v>Huainan|China|116,996941|32,626389|+8:00 Asia</v>
      </c>
      <c r="M415" s="10" t="s">
        <v>2640</v>
      </c>
      <c r="N415" s="10">
        <f t="shared" si="30"/>
        <v>0</v>
      </c>
      <c r="O415" t="str">
        <f t="shared" si="34"/>
        <v/>
      </c>
      <c r="P415" t="str">
        <f>IF(O415=1,COUNTIF($O$2:O415,1),"")</f>
        <v/>
      </c>
      <c r="Q415" t="str">
        <f>IFERROR(INDEX($M$2:$M$2388,MATCH(ROWS($P$2:P415),$P$2:$P$2388,0)),"")</f>
        <v/>
      </c>
    </row>
    <row r="416" spans="1:17" ht="15" x14ac:dyDescent="0.25">
      <c r="A416" s="10">
        <v>447</v>
      </c>
      <c r="B416" s="10" t="s">
        <v>2641</v>
      </c>
      <c r="C416" s="880">
        <f t="shared" si="31"/>
        <v>119.01909999999999</v>
      </c>
      <c r="D416" s="880">
        <f t="shared" si="32"/>
        <v>33.5886</v>
      </c>
      <c r="E416" s="10">
        <v>119.019165</v>
      </c>
      <c r="F416" s="10">
        <v>33.588611999999998</v>
      </c>
      <c r="G416" s="10">
        <v>8</v>
      </c>
      <c r="H416" s="10" t="s">
        <v>1831</v>
      </c>
      <c r="I416" s="10" t="s">
        <v>2518</v>
      </c>
      <c r="J416" s="10" t="s">
        <v>2519</v>
      </c>
      <c r="K416" s="10" t="s">
        <v>2523</v>
      </c>
      <c r="L416" s="65" t="str">
        <f t="shared" si="33"/>
        <v>Huaiyin|China|119,019165|33,588612|+8:00 Asia</v>
      </c>
      <c r="M416" s="10" t="s">
        <v>2642</v>
      </c>
      <c r="N416" s="10">
        <f t="shared" si="30"/>
        <v>0</v>
      </c>
      <c r="O416" t="str">
        <f t="shared" si="34"/>
        <v/>
      </c>
      <c r="P416" t="str">
        <f>IF(O416=1,COUNTIF($O$2:O416,1),"")</f>
        <v/>
      </c>
      <c r="Q416" t="str">
        <f>IFERROR(INDEX($M$2:$M$2388,MATCH(ROWS($P$2:P416),$P$2:$P$2388,0)),"")</f>
        <v/>
      </c>
    </row>
    <row r="417" spans="1:17" ht="15" x14ac:dyDescent="0.25">
      <c r="A417" s="10">
        <v>491</v>
      </c>
      <c r="B417" s="10" t="s">
        <v>2643</v>
      </c>
      <c r="C417" s="880">
        <f t="shared" si="31"/>
        <v>117.0033</v>
      </c>
      <c r="D417" s="880">
        <f t="shared" si="32"/>
        <v>23.6752</v>
      </c>
      <c r="E417" s="10">
        <v>117.003334</v>
      </c>
      <c r="F417" s="10">
        <v>23.675277999999999</v>
      </c>
      <c r="G417" s="10">
        <v>8</v>
      </c>
      <c r="H417" s="10" t="s">
        <v>1831</v>
      </c>
      <c r="I417" s="10" t="s">
        <v>2518</v>
      </c>
      <c r="J417" s="10" t="s">
        <v>2519</v>
      </c>
      <c r="K417" s="10" t="s">
        <v>2523</v>
      </c>
      <c r="L417" s="65" t="str">
        <f t="shared" si="33"/>
        <v>Huanggang|China|117,003334|23,675278|+8:00 Asia</v>
      </c>
      <c r="M417" s="10" t="s">
        <v>2644</v>
      </c>
      <c r="N417" s="10">
        <f t="shared" si="30"/>
        <v>0</v>
      </c>
      <c r="O417" t="str">
        <f t="shared" si="34"/>
        <v/>
      </c>
      <c r="P417" t="str">
        <f>IF(O417=1,COUNTIF($O$2:O417,1),"")</f>
        <v/>
      </c>
      <c r="Q417" t="str">
        <f>IFERROR(INDEX($M$2:$M$2388,MATCH(ROWS($P$2:P417),$P$2:$P$2388,0)),"")</f>
        <v/>
      </c>
    </row>
    <row r="418" spans="1:17" ht="15" x14ac:dyDescent="0.25">
      <c r="A418" s="10">
        <v>490</v>
      </c>
      <c r="B418" s="10" t="s">
        <v>2645</v>
      </c>
      <c r="C418" s="880">
        <f t="shared" si="31"/>
        <v>115.09990000000001</v>
      </c>
      <c r="D418" s="880">
        <f t="shared" si="32"/>
        <v>30.2166</v>
      </c>
      <c r="E418" s="10">
        <v>115.099998</v>
      </c>
      <c r="F418" s="10">
        <v>30.216667000000001</v>
      </c>
      <c r="G418" s="10">
        <v>8</v>
      </c>
      <c r="H418" s="10" t="s">
        <v>1831</v>
      </c>
      <c r="I418" s="10" t="s">
        <v>2518</v>
      </c>
      <c r="J418" s="10" t="s">
        <v>2519</v>
      </c>
      <c r="K418" s="10" t="s">
        <v>2523</v>
      </c>
      <c r="L418" s="65" t="str">
        <f t="shared" si="33"/>
        <v>Huangshi|China|115,099998|30,216667|+8:00 Asia</v>
      </c>
      <c r="M418" s="10" t="s">
        <v>2646</v>
      </c>
      <c r="N418" s="10">
        <f t="shared" si="30"/>
        <v>0</v>
      </c>
      <c r="O418" t="str">
        <f t="shared" si="34"/>
        <v/>
      </c>
      <c r="P418" t="str">
        <f>IF(O418=1,COUNTIF($O$2:O418,1),"")</f>
        <v/>
      </c>
      <c r="Q418" t="str">
        <f>IFERROR(INDEX($M$2:$M$2388,MATCH(ROWS($P$2:P418),$P$2:$P$2388,0)),"")</f>
        <v/>
      </c>
    </row>
    <row r="419" spans="1:17" ht="15" x14ac:dyDescent="0.25">
      <c r="A419" s="10">
        <v>489</v>
      </c>
      <c r="B419" s="10" t="s">
        <v>2647</v>
      </c>
      <c r="C419" s="880">
        <f t="shared" si="31"/>
        <v>114.4</v>
      </c>
      <c r="D419" s="880">
        <f t="shared" si="32"/>
        <v>23.083300000000001</v>
      </c>
      <c r="E419" s="10">
        <v>114.400002</v>
      </c>
      <c r="F419" s="10">
        <v>23.083334000000001</v>
      </c>
      <c r="G419" s="10">
        <v>8</v>
      </c>
      <c r="H419" s="10" t="s">
        <v>1831</v>
      </c>
      <c r="I419" s="10" t="s">
        <v>2518</v>
      </c>
      <c r="J419" s="10" t="s">
        <v>2519</v>
      </c>
      <c r="K419" s="10" t="s">
        <v>2529</v>
      </c>
      <c r="L419" s="65" t="str">
        <f t="shared" si="33"/>
        <v>Huizhou|China|114,400002|23,083334|+8:00 Asia</v>
      </c>
      <c r="M419" s="10" t="s">
        <v>2648</v>
      </c>
      <c r="N419" s="10">
        <f t="shared" si="30"/>
        <v>0</v>
      </c>
      <c r="O419" t="str">
        <f t="shared" si="34"/>
        <v/>
      </c>
      <c r="P419" t="str">
        <f>IF(O419=1,COUNTIF($O$2:O419,1),"")</f>
        <v/>
      </c>
      <c r="Q419" t="str">
        <f>IFERROR(INDEX($M$2:$M$2388,MATCH(ROWS($P$2:P419),$P$2:$P$2388,0)),"")</f>
        <v/>
      </c>
    </row>
    <row r="420" spans="1:17" ht="15" x14ac:dyDescent="0.25">
      <c r="A420" s="10">
        <v>555</v>
      </c>
      <c r="B420" s="10" t="s">
        <v>2649</v>
      </c>
      <c r="C420" s="880">
        <f t="shared" si="31"/>
        <v>123.63330000000001</v>
      </c>
      <c r="D420" s="880">
        <f t="shared" si="32"/>
        <v>47.204099999999997</v>
      </c>
      <c r="E420" s="10">
        <v>123.633331</v>
      </c>
      <c r="F420" s="10">
        <v>47.204166000000001</v>
      </c>
      <c r="G420" s="10">
        <v>8</v>
      </c>
      <c r="H420" s="10" t="s">
        <v>1831</v>
      </c>
      <c r="I420" s="10" t="s">
        <v>2518</v>
      </c>
      <c r="J420" s="10" t="s">
        <v>2519</v>
      </c>
      <c r="K420" s="10" t="s">
        <v>2526</v>
      </c>
      <c r="L420" s="65" t="str">
        <f t="shared" si="33"/>
        <v>Hulan Ergi|China|123,633331|47,204166|+8:00 Asia</v>
      </c>
      <c r="M420" s="10" t="s">
        <v>2650</v>
      </c>
      <c r="N420" s="10">
        <f t="shared" si="30"/>
        <v>0</v>
      </c>
      <c r="O420" t="str">
        <f t="shared" si="34"/>
        <v/>
      </c>
      <c r="P420" t="str">
        <f>IF(O420=1,COUNTIF($O$2:O420,1),"")</f>
        <v/>
      </c>
      <c r="Q420" t="str">
        <f>IFERROR(INDEX($M$2:$M$2388,MATCH(ROWS($P$2:P420),$P$2:$P$2388,0)),"")</f>
        <v/>
      </c>
    </row>
    <row r="421" spans="1:17" ht="15" x14ac:dyDescent="0.25">
      <c r="A421" s="10">
        <v>554</v>
      </c>
      <c r="B421" s="10" t="s">
        <v>2651</v>
      </c>
      <c r="C421" s="880">
        <f t="shared" si="31"/>
        <v>130.35</v>
      </c>
      <c r="D421" s="880">
        <f t="shared" si="32"/>
        <v>46.833300000000001</v>
      </c>
      <c r="E421" s="10">
        <v>130.35000600000001</v>
      </c>
      <c r="F421" s="10">
        <v>46.833331999999999</v>
      </c>
      <c r="G421" s="10">
        <v>8</v>
      </c>
      <c r="H421" s="10" t="s">
        <v>1831</v>
      </c>
      <c r="I421" s="10" t="s">
        <v>2518</v>
      </c>
      <c r="J421" s="10" t="s">
        <v>2519</v>
      </c>
      <c r="K421" s="10" t="s">
        <v>2526</v>
      </c>
      <c r="L421" s="65" t="str">
        <f t="shared" si="33"/>
        <v>Jiamusi|China|130,350006|46,833332|+8:00 Asia</v>
      </c>
      <c r="M421" s="10" t="s">
        <v>2652</v>
      </c>
      <c r="N421" s="10">
        <f t="shared" si="30"/>
        <v>0</v>
      </c>
      <c r="O421" t="str">
        <f t="shared" si="34"/>
        <v/>
      </c>
      <c r="P421" t="str">
        <f>IF(O421=1,COUNTIF($O$2:O421,1),"")</f>
        <v/>
      </c>
      <c r="Q421" t="str">
        <f>IFERROR(INDEX($M$2:$M$2388,MATCH(ROWS($P$2:P421),$P$2:$P$2388,0)),"")</f>
        <v/>
      </c>
    </row>
    <row r="422" spans="1:17" ht="15" x14ac:dyDescent="0.25">
      <c r="A422" s="10">
        <v>487</v>
      </c>
      <c r="B422" s="10" t="s">
        <v>2653</v>
      </c>
      <c r="C422" s="880">
        <f t="shared" si="31"/>
        <v>115</v>
      </c>
      <c r="D422" s="880">
        <f t="shared" si="32"/>
        <v>27.133299999999998</v>
      </c>
      <c r="E422" s="10">
        <v>115</v>
      </c>
      <c r="F422" s="10">
        <v>27.133333</v>
      </c>
      <c r="G422" s="10">
        <v>8</v>
      </c>
      <c r="H422" s="10" t="s">
        <v>1831</v>
      </c>
      <c r="I422" s="10" t="s">
        <v>2518</v>
      </c>
      <c r="J422" s="10" t="s">
        <v>2519</v>
      </c>
      <c r="K422" s="10" t="s">
        <v>2523</v>
      </c>
      <c r="L422" s="65" t="str">
        <f t="shared" si="33"/>
        <v>Ji'an|China|115,000000|27,133333|+8:00 Asia</v>
      </c>
      <c r="M422" s="10" t="s">
        <v>2654</v>
      </c>
      <c r="N422" s="10">
        <f t="shared" si="30"/>
        <v>0</v>
      </c>
      <c r="O422" t="str">
        <f t="shared" si="34"/>
        <v/>
      </c>
      <c r="P422" t="str">
        <f>IF(O422=1,COUNTIF($O$2:O422,1),"")</f>
        <v/>
      </c>
      <c r="Q422" t="str">
        <f>IFERROR(INDEX($M$2:$M$2388,MATCH(ROWS($P$2:P422),$P$2:$P$2388,0)),"")</f>
        <v/>
      </c>
    </row>
    <row r="423" spans="1:17" ht="15" x14ac:dyDescent="0.25">
      <c r="A423" s="10">
        <v>485</v>
      </c>
      <c r="B423" s="10" t="s">
        <v>2655</v>
      </c>
      <c r="C423" s="880">
        <f t="shared" si="31"/>
        <v>113.08329999999999</v>
      </c>
      <c r="D423" s="880">
        <f t="shared" si="32"/>
        <v>22.583300000000001</v>
      </c>
      <c r="E423" s="10">
        <v>113.083336</v>
      </c>
      <c r="F423" s="10">
        <v>22.583334000000001</v>
      </c>
      <c r="G423" s="10">
        <v>8</v>
      </c>
      <c r="H423" s="10" t="s">
        <v>1831</v>
      </c>
      <c r="I423" s="10" t="s">
        <v>2518</v>
      </c>
      <c r="J423" s="10" t="s">
        <v>2519</v>
      </c>
      <c r="K423" s="10" t="s">
        <v>2529</v>
      </c>
      <c r="L423" s="65" t="str">
        <f t="shared" si="33"/>
        <v>Jiangmen|China|113,083336|22,583334|+8:00 Asia</v>
      </c>
      <c r="M423" s="10" t="s">
        <v>2656</v>
      </c>
      <c r="N423" s="10">
        <f t="shared" si="30"/>
        <v>0</v>
      </c>
      <c r="O423" t="str">
        <f t="shared" si="34"/>
        <v/>
      </c>
      <c r="P423" t="str">
        <f>IF(O423=1,COUNTIF($O$2:O423,1),"")</f>
        <v/>
      </c>
      <c r="Q423" t="str">
        <f>IFERROR(INDEX($M$2:$M$2388,MATCH(ROWS($P$2:P423),$P$2:$P$2388,0)),"")</f>
        <v/>
      </c>
    </row>
    <row r="424" spans="1:17" ht="15" x14ac:dyDescent="0.25">
      <c r="A424" s="10">
        <v>503</v>
      </c>
      <c r="B424" s="10" t="s">
        <v>2657</v>
      </c>
      <c r="C424" s="880">
        <f t="shared" si="31"/>
        <v>121.4427</v>
      </c>
      <c r="D424" s="880">
        <f t="shared" si="32"/>
        <v>28.680199999999999</v>
      </c>
      <c r="E424" s="10">
        <v>121.44278</v>
      </c>
      <c r="F424" s="10">
        <v>28.680277</v>
      </c>
      <c r="G424" s="10">
        <v>8</v>
      </c>
      <c r="H424" s="10" t="s">
        <v>1831</v>
      </c>
      <c r="I424" s="10" t="s">
        <v>2518</v>
      </c>
      <c r="J424" s="10" t="s">
        <v>2519</v>
      </c>
      <c r="K424" s="10" t="s">
        <v>2523</v>
      </c>
      <c r="L424" s="65" t="str">
        <f t="shared" si="33"/>
        <v>Jiaojiang|China|121,442780|28,680277|+8:00 Asia</v>
      </c>
      <c r="M424" s="10" t="s">
        <v>2658</v>
      </c>
      <c r="N424" s="10">
        <f t="shared" si="30"/>
        <v>0</v>
      </c>
      <c r="O424" t="str">
        <f t="shared" si="34"/>
        <v/>
      </c>
      <c r="P424" t="str">
        <f>IF(O424=1,COUNTIF($O$2:O424,1),"")</f>
        <v/>
      </c>
      <c r="Q424" t="str">
        <f>IFERROR(INDEX($M$2:$M$2388,MATCH(ROWS($P$2:P424),$P$2:$P$2388,0)),"")</f>
        <v/>
      </c>
    </row>
    <row r="425" spans="1:17" ht="15" x14ac:dyDescent="0.25">
      <c r="A425" s="10">
        <v>484</v>
      </c>
      <c r="B425" s="10" t="s">
        <v>2659</v>
      </c>
      <c r="C425" s="880">
        <f t="shared" si="31"/>
        <v>113.233</v>
      </c>
      <c r="D425" s="880">
        <f t="shared" si="32"/>
        <v>35.239699999999999</v>
      </c>
      <c r="E425" s="10">
        <v>113.23305499999999</v>
      </c>
      <c r="F425" s="10">
        <v>35.239722999999998</v>
      </c>
      <c r="G425" s="10">
        <v>8</v>
      </c>
      <c r="H425" s="10" t="s">
        <v>1831</v>
      </c>
      <c r="I425" s="10" t="s">
        <v>2518</v>
      </c>
      <c r="J425" s="10" t="s">
        <v>2519</v>
      </c>
      <c r="K425" s="10" t="s">
        <v>2523</v>
      </c>
      <c r="L425" s="65" t="str">
        <f t="shared" si="33"/>
        <v>Jiaozuo|China|113,233055|35,239723|+8:00 Asia</v>
      </c>
      <c r="M425" s="10" t="s">
        <v>2660</v>
      </c>
      <c r="N425" s="10">
        <f t="shared" si="30"/>
        <v>0</v>
      </c>
      <c r="O425" t="str">
        <f t="shared" si="34"/>
        <v/>
      </c>
      <c r="P425" t="str">
        <f>IF(O425=1,COUNTIF($O$2:O425,1),"")</f>
        <v/>
      </c>
      <c r="Q425" t="str">
        <f>IFERROR(INDEX($M$2:$M$2388,MATCH(ROWS($P$2:P425),$P$2:$P$2388,0)),"")</f>
        <v/>
      </c>
    </row>
    <row r="426" spans="1:17" ht="15" x14ac:dyDescent="0.25">
      <c r="A426" s="10">
        <v>483</v>
      </c>
      <c r="B426" s="10" t="s">
        <v>2661</v>
      </c>
      <c r="C426" s="880">
        <f t="shared" si="31"/>
        <v>120.7483</v>
      </c>
      <c r="D426" s="880">
        <f t="shared" si="32"/>
        <v>30.765499999999999</v>
      </c>
      <c r="E426" s="10">
        <v>120.74833700000001</v>
      </c>
      <c r="F426" s="10">
        <v>30.765556</v>
      </c>
      <c r="G426" s="10">
        <v>8</v>
      </c>
      <c r="H426" s="10" t="s">
        <v>1831</v>
      </c>
      <c r="I426" s="10" t="s">
        <v>2518</v>
      </c>
      <c r="J426" s="10" t="s">
        <v>2519</v>
      </c>
      <c r="K426" s="10" t="s">
        <v>2523</v>
      </c>
      <c r="L426" s="65" t="str">
        <f t="shared" si="33"/>
        <v>Jiaxing|China|120,748337|30,765556|+8:00 Asia</v>
      </c>
      <c r="M426" s="10" t="s">
        <v>2662</v>
      </c>
      <c r="N426" s="10">
        <f t="shared" si="30"/>
        <v>0</v>
      </c>
      <c r="O426" t="str">
        <f t="shared" si="34"/>
        <v/>
      </c>
      <c r="P426" t="str">
        <f>IF(O426=1,COUNTIF($O$2:O426,1),"")</f>
        <v/>
      </c>
      <c r="Q426" t="str">
        <f>IFERROR(INDEX($M$2:$M$2388,MATCH(ROWS($P$2:P426),$P$2:$P$2388,0)),"")</f>
        <v/>
      </c>
    </row>
    <row r="427" spans="1:17" ht="15" x14ac:dyDescent="0.25">
      <c r="A427" s="10">
        <v>444</v>
      </c>
      <c r="B427" s="10" t="s">
        <v>2663</v>
      </c>
      <c r="C427" s="880">
        <f t="shared" si="31"/>
        <v>116.3655</v>
      </c>
      <c r="D427" s="880">
        <f t="shared" si="32"/>
        <v>23.529699999999998</v>
      </c>
      <c r="E427" s="10">
        <v>116.365555</v>
      </c>
      <c r="F427" s="10">
        <v>23.529722</v>
      </c>
      <c r="G427" s="10">
        <v>8</v>
      </c>
      <c r="H427" s="10" t="s">
        <v>1831</v>
      </c>
      <c r="I427" s="10" t="s">
        <v>2518</v>
      </c>
      <c r="J427" s="10" t="s">
        <v>2519</v>
      </c>
      <c r="K427" s="10" t="s">
        <v>2523</v>
      </c>
      <c r="L427" s="65" t="str">
        <f t="shared" si="33"/>
        <v>Jieyang|China|116,365555|23,529722|+8:00 Asia</v>
      </c>
      <c r="M427" s="10" t="s">
        <v>2664</v>
      </c>
      <c r="N427" s="10">
        <f t="shared" si="30"/>
        <v>0</v>
      </c>
      <c r="O427" t="str">
        <f t="shared" si="34"/>
        <v/>
      </c>
      <c r="P427" t="str">
        <f>IF(O427=1,COUNTIF($O$2:O427,1),"")</f>
        <v/>
      </c>
      <c r="Q427" t="str">
        <f>IFERROR(INDEX($M$2:$M$2388,MATCH(ROWS($P$2:P427),$P$2:$P$2388,0)),"")</f>
        <v/>
      </c>
    </row>
    <row r="428" spans="1:17" ht="15" x14ac:dyDescent="0.25">
      <c r="A428" s="10">
        <v>553</v>
      </c>
      <c r="B428" s="10" t="s">
        <v>2665</v>
      </c>
      <c r="C428" s="880">
        <f t="shared" si="31"/>
        <v>126.56019999999999</v>
      </c>
      <c r="D428" s="880">
        <f t="shared" si="32"/>
        <v>43.8508</v>
      </c>
      <c r="E428" s="10">
        <v>126.56028000000001</v>
      </c>
      <c r="F428" s="10">
        <v>43.850833999999999</v>
      </c>
      <c r="G428" s="10">
        <v>8</v>
      </c>
      <c r="H428" s="10" t="s">
        <v>1831</v>
      </c>
      <c r="I428" s="10" t="s">
        <v>2518</v>
      </c>
      <c r="J428" s="10" t="s">
        <v>2519</v>
      </c>
      <c r="K428" s="10" t="s">
        <v>2526</v>
      </c>
      <c r="L428" s="65" t="str">
        <f t="shared" si="33"/>
        <v>Jilin|China|126,560280|43,850834|+8:00 Asia</v>
      </c>
      <c r="M428" s="10" t="s">
        <v>2666</v>
      </c>
      <c r="N428" s="10">
        <f t="shared" si="30"/>
        <v>0</v>
      </c>
      <c r="O428" t="str">
        <f t="shared" si="34"/>
        <v/>
      </c>
      <c r="P428" t="str">
        <f>IF(O428=1,COUNTIF($O$2:O428,1),"")</f>
        <v/>
      </c>
      <c r="Q428" t="str">
        <f>IFERROR(INDEX($M$2:$M$2388,MATCH(ROWS($P$2:P428),$P$2:$P$2388,0)),"")</f>
        <v/>
      </c>
    </row>
    <row r="429" spans="1:17" ht="15" x14ac:dyDescent="0.25">
      <c r="A429" s="10">
        <v>482</v>
      </c>
      <c r="B429" s="10" t="s">
        <v>2667</v>
      </c>
      <c r="C429" s="880">
        <f t="shared" si="31"/>
        <v>116.99720000000001</v>
      </c>
      <c r="D429" s="880">
        <f t="shared" si="32"/>
        <v>36.668300000000002</v>
      </c>
      <c r="E429" s="10">
        <v>116.99722300000001</v>
      </c>
      <c r="F429" s="10">
        <v>36.668334999999999</v>
      </c>
      <c r="G429" s="10">
        <v>8</v>
      </c>
      <c r="H429" s="10" t="s">
        <v>1831</v>
      </c>
      <c r="I429" s="10" t="s">
        <v>2518</v>
      </c>
      <c r="J429" s="10" t="s">
        <v>2519</v>
      </c>
      <c r="K429" s="10" t="s">
        <v>2523</v>
      </c>
      <c r="L429" s="65" t="str">
        <f t="shared" si="33"/>
        <v>Jinan|China|116,997223|36,668335|+8:00 Asia</v>
      </c>
      <c r="M429" s="10" t="s">
        <v>2668</v>
      </c>
      <c r="N429" s="10">
        <f t="shared" si="30"/>
        <v>0</v>
      </c>
      <c r="O429" t="str">
        <f t="shared" si="34"/>
        <v/>
      </c>
      <c r="P429" t="str">
        <f>IF(O429=1,COUNTIF($O$2:O429,1),"")</f>
        <v/>
      </c>
      <c r="Q429" t="str">
        <f>IFERROR(INDEX($M$2:$M$2388,MATCH(ROWS($P$2:P429),$P$2:$P$2388,0)),"")</f>
        <v/>
      </c>
    </row>
    <row r="430" spans="1:17" ht="15" x14ac:dyDescent="0.25">
      <c r="A430" s="10">
        <v>481</v>
      </c>
      <c r="B430" s="10" t="s">
        <v>2669</v>
      </c>
      <c r="C430" s="880">
        <f t="shared" si="31"/>
        <v>112.8327</v>
      </c>
      <c r="D430" s="880">
        <f t="shared" si="32"/>
        <v>35.502200000000002</v>
      </c>
      <c r="E430" s="10">
        <v>112.832779</v>
      </c>
      <c r="F430" s="10">
        <v>35.502223999999998</v>
      </c>
      <c r="G430" s="10">
        <v>8</v>
      </c>
      <c r="H430" s="10" t="s">
        <v>1831</v>
      </c>
      <c r="I430" s="10" t="s">
        <v>2518</v>
      </c>
      <c r="J430" s="10" t="s">
        <v>2519</v>
      </c>
      <c r="K430" s="10" t="s">
        <v>2529</v>
      </c>
      <c r="L430" s="65" t="str">
        <f t="shared" si="33"/>
        <v>Jincheng|China|112,832779|35,502224|+8:00 Asia</v>
      </c>
      <c r="M430" s="10" t="s">
        <v>2670</v>
      </c>
      <c r="N430" s="10">
        <f t="shared" si="30"/>
        <v>0</v>
      </c>
      <c r="O430" t="str">
        <f t="shared" si="34"/>
        <v/>
      </c>
      <c r="P430" t="str">
        <f>IF(O430=1,COUNTIF($O$2:O430,1),"")</f>
        <v/>
      </c>
      <c r="Q430" t="str">
        <f>IFERROR(INDEX($M$2:$M$2388,MATCH(ROWS($P$2:P430),$P$2:$P$2388,0)),"")</f>
        <v/>
      </c>
    </row>
    <row r="431" spans="1:17" ht="15" x14ac:dyDescent="0.25">
      <c r="A431" s="10">
        <v>480</v>
      </c>
      <c r="B431" s="10" t="s">
        <v>2671</v>
      </c>
      <c r="C431" s="880">
        <f t="shared" si="31"/>
        <v>117.2022</v>
      </c>
      <c r="D431" s="880">
        <f t="shared" si="32"/>
        <v>29.2897</v>
      </c>
      <c r="E431" s="10">
        <v>117.202225</v>
      </c>
      <c r="F431" s="10">
        <v>29.289722000000001</v>
      </c>
      <c r="G431" s="10">
        <v>8</v>
      </c>
      <c r="H431" s="10" t="s">
        <v>1831</v>
      </c>
      <c r="I431" s="10" t="s">
        <v>2518</v>
      </c>
      <c r="J431" s="10" t="s">
        <v>2519</v>
      </c>
      <c r="K431" s="10" t="s">
        <v>2523</v>
      </c>
      <c r="L431" s="65" t="str">
        <f t="shared" si="33"/>
        <v>Jingdezhen|China|117,202225|29,289722|+8:00 Asia</v>
      </c>
      <c r="M431" s="10" t="s">
        <v>2672</v>
      </c>
      <c r="N431" s="10">
        <f t="shared" si="30"/>
        <v>0</v>
      </c>
      <c r="O431" t="str">
        <f t="shared" si="34"/>
        <v/>
      </c>
      <c r="P431" t="str">
        <f>IF(O431=1,COUNTIF($O$2:O431,1),"")</f>
        <v/>
      </c>
      <c r="Q431" t="str">
        <f>IFERROR(INDEX($M$2:$M$2388,MATCH(ROWS($P$2:P431),$P$2:$P$2388,0)),"")</f>
        <v/>
      </c>
    </row>
    <row r="432" spans="1:17" ht="15" x14ac:dyDescent="0.25">
      <c r="A432" s="10">
        <v>479</v>
      </c>
      <c r="B432" s="10" t="s">
        <v>2673</v>
      </c>
      <c r="C432" s="880">
        <f t="shared" si="31"/>
        <v>113.09990000000001</v>
      </c>
      <c r="D432" s="880">
        <f t="shared" si="32"/>
        <v>30.65</v>
      </c>
      <c r="E432" s="10">
        <v>113.099998</v>
      </c>
      <c r="F432" s="10">
        <v>30.65</v>
      </c>
      <c r="G432" s="10">
        <v>8</v>
      </c>
      <c r="H432" s="10" t="s">
        <v>1831</v>
      </c>
      <c r="I432" s="10" t="s">
        <v>2518</v>
      </c>
      <c r="J432" s="10" t="s">
        <v>2519</v>
      </c>
      <c r="K432" s="10" t="s">
        <v>2529</v>
      </c>
      <c r="L432" s="65" t="str">
        <f t="shared" si="33"/>
        <v>Jingling|China|113,099998|30,650000|+8:00 Asia</v>
      </c>
      <c r="M432" s="10" t="s">
        <v>2674</v>
      </c>
      <c r="N432" s="10">
        <f t="shared" si="30"/>
        <v>0</v>
      </c>
      <c r="O432" t="str">
        <f t="shared" si="34"/>
        <v/>
      </c>
      <c r="P432" t="str">
        <f>IF(O432=1,COUNTIF($O$2:O432,1),"")</f>
        <v/>
      </c>
      <c r="Q432" t="str">
        <f>IFERROR(INDEX($M$2:$M$2388,MATCH(ROWS($P$2:P432),$P$2:$P$2388,0)),"")</f>
        <v/>
      </c>
    </row>
    <row r="433" spans="1:17" ht="15" x14ac:dyDescent="0.25">
      <c r="A433" s="10">
        <v>552</v>
      </c>
      <c r="B433" s="10" t="s">
        <v>2675</v>
      </c>
      <c r="C433" s="880">
        <f t="shared" si="31"/>
        <v>113.1058</v>
      </c>
      <c r="D433" s="880">
        <f t="shared" si="32"/>
        <v>41.027500000000003</v>
      </c>
      <c r="E433" s="10">
        <v>113.105835</v>
      </c>
      <c r="F433" s="10">
        <v>41.027500000000003</v>
      </c>
      <c r="G433" s="10">
        <v>8</v>
      </c>
      <c r="H433" s="10" t="s">
        <v>1831</v>
      </c>
      <c r="I433" s="10" t="s">
        <v>2518</v>
      </c>
      <c r="J433" s="10" t="s">
        <v>2519</v>
      </c>
      <c r="K433" s="10" t="s">
        <v>2526</v>
      </c>
      <c r="L433" s="65" t="str">
        <f t="shared" si="33"/>
        <v>Jining, Inner Mongolia|China|113,105835|41,027500|+8:00 Asia</v>
      </c>
      <c r="M433" s="10" t="s">
        <v>2676</v>
      </c>
      <c r="N433" s="10">
        <f t="shared" si="30"/>
        <v>0</v>
      </c>
      <c r="O433" t="str">
        <f t="shared" si="34"/>
        <v/>
      </c>
      <c r="P433" t="str">
        <f>IF(O433=1,COUNTIF($O$2:O433,1),"")</f>
        <v/>
      </c>
      <c r="Q433" t="str">
        <f>IFERROR(INDEX($M$2:$M$2388,MATCH(ROWS($P$2:P433),$P$2:$P$2388,0)),"")</f>
        <v/>
      </c>
    </row>
    <row r="434" spans="1:17" ht="15" x14ac:dyDescent="0.25">
      <c r="A434" s="10">
        <v>478</v>
      </c>
      <c r="B434" s="10" t="s">
        <v>2677</v>
      </c>
      <c r="C434" s="880">
        <f t="shared" si="31"/>
        <v>116.5813</v>
      </c>
      <c r="D434" s="880">
        <f t="shared" si="32"/>
        <v>35.404899999999998</v>
      </c>
      <c r="E434" s="10">
        <v>116.58139</v>
      </c>
      <c r="F434" s="10">
        <v>35.404998999999997</v>
      </c>
      <c r="G434" s="10">
        <v>8</v>
      </c>
      <c r="H434" s="10" t="s">
        <v>1831</v>
      </c>
      <c r="I434" s="10" t="s">
        <v>2518</v>
      </c>
      <c r="J434" s="10" t="s">
        <v>2519</v>
      </c>
      <c r="K434" s="10" t="s">
        <v>2523</v>
      </c>
      <c r="L434" s="65" t="str">
        <f t="shared" si="33"/>
        <v>Jining, Shandong|China|116,581390|35,404999|+8:00 Asia</v>
      </c>
      <c r="M434" s="10" t="s">
        <v>2678</v>
      </c>
      <c r="N434" s="10">
        <f t="shared" si="30"/>
        <v>0</v>
      </c>
      <c r="O434" t="str">
        <f t="shared" si="34"/>
        <v/>
      </c>
      <c r="P434" t="str">
        <f>IF(O434=1,COUNTIF($O$2:O434,1),"")</f>
        <v/>
      </c>
      <c r="Q434" t="str">
        <f>IFERROR(INDEX($M$2:$M$2388,MATCH(ROWS($P$2:P434),$P$2:$P$2388,0)),"")</f>
        <v/>
      </c>
    </row>
    <row r="435" spans="1:17" ht="15" x14ac:dyDescent="0.25">
      <c r="A435" s="10">
        <v>551</v>
      </c>
      <c r="B435" s="10" t="s">
        <v>2679</v>
      </c>
      <c r="C435" s="880">
        <f t="shared" si="31"/>
        <v>120.83329999999999</v>
      </c>
      <c r="D435" s="880">
        <f t="shared" si="32"/>
        <v>40.75</v>
      </c>
      <c r="E435" s="10">
        <v>120.833336</v>
      </c>
      <c r="F435" s="10">
        <v>40.75</v>
      </c>
      <c r="G435" s="10">
        <v>8</v>
      </c>
      <c r="H435" s="10" t="s">
        <v>1831</v>
      </c>
      <c r="I435" s="10" t="s">
        <v>2518</v>
      </c>
      <c r="J435" s="10" t="s">
        <v>2519</v>
      </c>
      <c r="K435" s="10" t="s">
        <v>2526</v>
      </c>
      <c r="L435" s="65" t="str">
        <f t="shared" si="33"/>
        <v>Jinxi|China|120,833336|40,750000|+8:00 Asia</v>
      </c>
      <c r="M435" s="10" t="s">
        <v>2680</v>
      </c>
      <c r="N435" s="10">
        <f t="shared" si="30"/>
        <v>0</v>
      </c>
      <c r="O435" t="str">
        <f t="shared" si="34"/>
        <v/>
      </c>
      <c r="P435" t="str">
        <f>IF(O435=1,COUNTIF($O$2:O435,1),"")</f>
        <v/>
      </c>
      <c r="Q435" t="str">
        <f>IFERROR(INDEX($M$2:$M$2388,MATCH(ROWS($P$2:P435),$P$2:$P$2388,0)),"")</f>
        <v/>
      </c>
    </row>
    <row r="436" spans="1:17" ht="15" x14ac:dyDescent="0.25">
      <c r="A436" s="10">
        <v>477</v>
      </c>
      <c r="B436" s="10" t="s">
        <v>2681</v>
      </c>
      <c r="C436" s="880">
        <f t="shared" si="31"/>
        <v>121.7166</v>
      </c>
      <c r="D436" s="880">
        <f t="shared" si="32"/>
        <v>39.099899999999998</v>
      </c>
      <c r="E436" s="10">
        <v>121.716667</v>
      </c>
      <c r="F436" s="10">
        <v>39.099997999999999</v>
      </c>
      <c r="G436" s="10">
        <v>8</v>
      </c>
      <c r="H436" s="10" t="s">
        <v>1831</v>
      </c>
      <c r="I436" s="10" t="s">
        <v>2518</v>
      </c>
      <c r="J436" s="10" t="s">
        <v>2519</v>
      </c>
      <c r="K436" s="10" t="s">
        <v>2526</v>
      </c>
      <c r="L436" s="65" t="str">
        <f t="shared" si="33"/>
        <v>Jinzhou|China|121,716667|39,099998|+8:00 Asia</v>
      </c>
      <c r="M436" s="10" t="s">
        <v>2682</v>
      </c>
      <c r="N436" s="10">
        <f t="shared" si="30"/>
        <v>0</v>
      </c>
      <c r="O436" t="str">
        <f t="shared" si="34"/>
        <v/>
      </c>
      <c r="P436" t="str">
        <f>IF(O436=1,COUNTIF($O$2:O436,1),"")</f>
        <v/>
      </c>
      <c r="Q436" t="str">
        <f>IFERROR(INDEX($M$2:$M$2388,MATCH(ROWS($P$2:P436),$P$2:$P$2388,0)),"")</f>
        <v/>
      </c>
    </row>
    <row r="437" spans="1:17" ht="15" x14ac:dyDescent="0.25">
      <c r="A437" s="10">
        <v>550</v>
      </c>
      <c r="B437" s="10" t="s">
        <v>2683</v>
      </c>
      <c r="C437" s="880">
        <f t="shared" si="31"/>
        <v>121.1416</v>
      </c>
      <c r="D437" s="880">
        <f t="shared" si="32"/>
        <v>41.107700000000001</v>
      </c>
      <c r="E437" s="10">
        <v>121.14167</v>
      </c>
      <c r="F437" s="10">
        <v>41.107776999999999</v>
      </c>
      <c r="G437" s="10">
        <v>8</v>
      </c>
      <c r="H437" s="10" t="s">
        <v>1831</v>
      </c>
      <c r="I437" s="10" t="s">
        <v>2518</v>
      </c>
      <c r="J437" s="10" t="s">
        <v>2519</v>
      </c>
      <c r="K437" s="10" t="s">
        <v>2526</v>
      </c>
      <c r="L437" s="65" t="str">
        <f t="shared" si="33"/>
        <v>Jinzhou, Liaoning|China|121,141670|41,107777|+8:00 Asia</v>
      </c>
      <c r="M437" s="10" t="s">
        <v>2684</v>
      </c>
      <c r="N437" s="10">
        <f t="shared" si="30"/>
        <v>0</v>
      </c>
      <c r="O437" t="str">
        <f t="shared" si="34"/>
        <v/>
      </c>
      <c r="P437" t="str">
        <f>IF(O437=1,COUNTIF($O$2:O437,1),"")</f>
        <v/>
      </c>
      <c r="Q437" t="str">
        <f>IFERROR(INDEX($M$2:$M$2388,MATCH(ROWS($P$2:P437),$P$2:$P$2388,0)),"")</f>
        <v/>
      </c>
    </row>
    <row r="438" spans="1:17" ht="15" x14ac:dyDescent="0.25">
      <c r="A438" s="10">
        <v>476</v>
      </c>
      <c r="B438" s="10" t="s">
        <v>2685</v>
      </c>
      <c r="C438" s="880">
        <f t="shared" si="31"/>
        <v>115.9833</v>
      </c>
      <c r="D438" s="880">
        <f t="shared" si="32"/>
        <v>29.7333</v>
      </c>
      <c r="E438" s="10">
        <v>115.98333</v>
      </c>
      <c r="F438" s="10">
        <v>29.733333999999999</v>
      </c>
      <c r="G438" s="10">
        <v>8</v>
      </c>
      <c r="H438" s="10" t="s">
        <v>1831</v>
      </c>
      <c r="I438" s="10" t="s">
        <v>2518</v>
      </c>
      <c r="J438" s="10" t="s">
        <v>2519</v>
      </c>
      <c r="K438" s="10" t="s">
        <v>2523</v>
      </c>
      <c r="L438" s="65" t="str">
        <f t="shared" si="33"/>
        <v>Jiujiang|China|115,983330|29,733334|+8:00 Asia</v>
      </c>
      <c r="M438" s="10" t="s">
        <v>2686</v>
      </c>
      <c r="N438" s="10">
        <f t="shared" si="30"/>
        <v>0</v>
      </c>
      <c r="O438" t="str">
        <f t="shared" si="34"/>
        <v/>
      </c>
      <c r="P438" t="str">
        <f>IF(O438=1,COUNTIF($O$2:O438,1),"")</f>
        <v/>
      </c>
      <c r="Q438" t="str">
        <f>IFERROR(INDEX($M$2:$M$2388,MATCH(ROWS($P$2:P438),$P$2:$P$2388,0)),"")</f>
        <v/>
      </c>
    </row>
    <row r="439" spans="1:17" ht="15" x14ac:dyDescent="0.25">
      <c r="A439" s="10">
        <v>549</v>
      </c>
      <c r="B439" s="10" t="s">
        <v>2687</v>
      </c>
      <c r="C439" s="880">
        <f t="shared" si="31"/>
        <v>130.9666</v>
      </c>
      <c r="D439" s="880">
        <f t="shared" si="32"/>
        <v>45.299900000000001</v>
      </c>
      <c r="E439" s="10">
        <v>130.96665999999999</v>
      </c>
      <c r="F439" s="10">
        <v>45.299999</v>
      </c>
      <c r="G439" s="10">
        <v>8</v>
      </c>
      <c r="H439" s="10" t="s">
        <v>1831</v>
      </c>
      <c r="I439" s="10" t="s">
        <v>2518</v>
      </c>
      <c r="J439" s="10" t="s">
        <v>2519</v>
      </c>
      <c r="K439" s="10" t="s">
        <v>2526</v>
      </c>
      <c r="L439" s="65" t="str">
        <f t="shared" si="33"/>
        <v>Jixi|China|130,966660|45,299999|+8:00 Asia</v>
      </c>
      <c r="M439" s="10" t="s">
        <v>2688</v>
      </c>
      <c r="N439" s="10">
        <f t="shared" si="30"/>
        <v>0</v>
      </c>
      <c r="O439" t="str">
        <f t="shared" si="34"/>
        <v/>
      </c>
      <c r="P439" t="str">
        <f>IF(O439=1,COUNTIF($O$2:O439,1),"")</f>
        <v/>
      </c>
      <c r="Q439" t="str">
        <f>IFERROR(INDEX($M$2:$M$2388,MATCH(ROWS($P$2:P439),$P$2:$P$2388,0)),"")</f>
        <v/>
      </c>
    </row>
    <row r="440" spans="1:17" ht="15" x14ac:dyDescent="0.25">
      <c r="A440" s="10">
        <v>475</v>
      </c>
      <c r="B440" s="10" t="s">
        <v>2689</v>
      </c>
      <c r="C440" s="880">
        <f t="shared" si="31"/>
        <v>114.34829999999999</v>
      </c>
      <c r="D440" s="880">
        <f t="shared" si="32"/>
        <v>34.7911</v>
      </c>
      <c r="E440" s="10">
        <v>114.34833500000001</v>
      </c>
      <c r="F440" s="10">
        <v>34.791111000000001</v>
      </c>
      <c r="G440" s="10">
        <v>8</v>
      </c>
      <c r="H440" s="10" t="s">
        <v>1831</v>
      </c>
      <c r="I440" s="10" t="s">
        <v>2518</v>
      </c>
      <c r="J440" s="10" t="s">
        <v>2519</v>
      </c>
      <c r="K440" s="10" t="s">
        <v>2523</v>
      </c>
      <c r="L440" s="65" t="str">
        <f t="shared" si="33"/>
        <v>Kaifeng|China|114,348335|34,791111|+8:00 Asia</v>
      </c>
      <c r="M440" s="10" t="s">
        <v>2690</v>
      </c>
      <c r="N440" s="10">
        <f t="shared" si="30"/>
        <v>0</v>
      </c>
      <c r="O440" t="str">
        <f t="shared" si="34"/>
        <v/>
      </c>
      <c r="P440" t="str">
        <f>IF(O440=1,COUNTIF($O$2:O440,1),"")</f>
        <v/>
      </c>
      <c r="Q440" t="str">
        <f>IFERROR(INDEX($M$2:$M$2388,MATCH(ROWS($P$2:P440),$P$2:$P$2388,0)),"")</f>
        <v/>
      </c>
    </row>
    <row r="441" spans="1:17" ht="15" x14ac:dyDescent="0.25">
      <c r="A441" s="10">
        <v>368</v>
      </c>
      <c r="B441" s="10" t="s">
        <v>2691</v>
      </c>
      <c r="C441" s="880">
        <f t="shared" si="31"/>
        <v>75.979699999999994</v>
      </c>
      <c r="D441" s="880">
        <f t="shared" si="32"/>
        <v>39.454700000000003</v>
      </c>
      <c r="E441" s="10">
        <v>75.979720999999998</v>
      </c>
      <c r="F441" s="10">
        <v>39.454723000000001</v>
      </c>
      <c r="G441" s="10">
        <v>8</v>
      </c>
      <c r="H441" s="10" t="s">
        <v>1831</v>
      </c>
      <c r="I441" s="10" t="s">
        <v>2518</v>
      </c>
      <c r="J441" s="10" t="s">
        <v>2519</v>
      </c>
      <c r="K441" s="10" t="s">
        <v>2520</v>
      </c>
      <c r="L441" s="65" t="str">
        <f t="shared" si="33"/>
        <v>Kashi|China|75,979721|39,454723|+8:00 Asia</v>
      </c>
      <c r="M441" s="10" t="s">
        <v>2692</v>
      </c>
      <c r="N441" s="10">
        <f t="shared" si="30"/>
        <v>0</v>
      </c>
      <c r="O441" t="str">
        <f t="shared" si="34"/>
        <v/>
      </c>
      <c r="P441" t="str">
        <f>IF(O441=1,COUNTIF($O$2:O441,1),"")</f>
        <v/>
      </c>
      <c r="Q441" t="str">
        <f>IFERROR(INDEX($M$2:$M$2388,MATCH(ROWS($P$2:P441),$P$2:$P$2388,0)),"")</f>
        <v/>
      </c>
    </row>
    <row r="442" spans="1:17" ht="15" x14ac:dyDescent="0.25">
      <c r="A442" s="10">
        <v>474</v>
      </c>
      <c r="B442" s="10" t="s">
        <v>2693</v>
      </c>
      <c r="C442" s="880">
        <f t="shared" si="31"/>
        <v>102.7183</v>
      </c>
      <c r="D442" s="880">
        <f t="shared" si="32"/>
        <v>25.038799999999998</v>
      </c>
      <c r="E442" s="10">
        <v>102.71832999999999</v>
      </c>
      <c r="F442" s="10">
        <v>25.038889000000001</v>
      </c>
      <c r="G442" s="10">
        <v>8</v>
      </c>
      <c r="H442" s="10" t="s">
        <v>1831</v>
      </c>
      <c r="I442" s="10" t="s">
        <v>2518</v>
      </c>
      <c r="J442" s="10" t="s">
        <v>2519</v>
      </c>
      <c r="K442" s="10" t="s">
        <v>2529</v>
      </c>
      <c r="L442" s="65" t="str">
        <f t="shared" si="33"/>
        <v>Kunming|China|102,718330|25,038889|+8:00 Asia</v>
      </c>
      <c r="M442" s="10" t="s">
        <v>2694</v>
      </c>
      <c r="N442" s="10">
        <f t="shared" si="30"/>
        <v>0</v>
      </c>
      <c r="O442" t="str">
        <f t="shared" si="34"/>
        <v/>
      </c>
      <c r="P442" t="str">
        <f>IF(O442=1,COUNTIF($O$2:O442,1),"")</f>
        <v/>
      </c>
      <c r="Q442" t="str">
        <f>IFERROR(INDEX($M$2:$M$2388,MATCH(ROWS($P$2:P442),$P$2:$P$2388,0)),"")</f>
        <v/>
      </c>
    </row>
    <row r="443" spans="1:17" ht="15" x14ac:dyDescent="0.25">
      <c r="A443" s="10">
        <v>473</v>
      </c>
      <c r="B443" s="10" t="s">
        <v>2695</v>
      </c>
      <c r="C443" s="880">
        <f t="shared" si="31"/>
        <v>116.6947</v>
      </c>
      <c r="D443" s="880">
        <f t="shared" si="32"/>
        <v>39.509700000000002</v>
      </c>
      <c r="E443" s="10">
        <v>116.69472500000001</v>
      </c>
      <c r="F443" s="10">
        <v>39.509723999999999</v>
      </c>
      <c r="G443" s="10">
        <v>8</v>
      </c>
      <c r="H443" s="10" t="s">
        <v>1831</v>
      </c>
      <c r="I443" s="10" t="s">
        <v>2518</v>
      </c>
      <c r="J443" s="10" t="s">
        <v>2519</v>
      </c>
      <c r="K443" s="10" t="s">
        <v>2523</v>
      </c>
      <c r="L443" s="65" t="str">
        <f t="shared" si="33"/>
        <v>Langfang|China|116,694725|39,509724|+8:00 Asia</v>
      </c>
      <c r="M443" s="10" t="s">
        <v>2696</v>
      </c>
      <c r="N443" s="10">
        <f t="shared" si="30"/>
        <v>0</v>
      </c>
      <c r="O443" t="str">
        <f t="shared" si="34"/>
        <v/>
      </c>
      <c r="P443" t="str">
        <f>IF(O443=1,COUNTIF($O$2:O443,1),"")</f>
        <v/>
      </c>
      <c r="Q443" t="str">
        <f>IFERROR(INDEX($M$2:$M$2388,MATCH(ROWS($P$2:P443),$P$2:$P$2388,0)),"")</f>
        <v/>
      </c>
    </row>
    <row r="444" spans="1:17" ht="15" x14ac:dyDescent="0.25">
      <c r="A444" s="10">
        <v>472</v>
      </c>
      <c r="B444" s="10" t="s">
        <v>2697</v>
      </c>
      <c r="C444" s="880">
        <f t="shared" si="31"/>
        <v>103.79219999999999</v>
      </c>
      <c r="D444" s="880">
        <f t="shared" si="32"/>
        <v>36.0563</v>
      </c>
      <c r="E444" s="10">
        <v>103.792221</v>
      </c>
      <c r="F444" s="10">
        <v>36.056389000000003</v>
      </c>
      <c r="G444" s="10">
        <v>8</v>
      </c>
      <c r="H444" s="10" t="s">
        <v>1831</v>
      </c>
      <c r="I444" s="10" t="s">
        <v>2518</v>
      </c>
      <c r="J444" s="10" t="s">
        <v>2519</v>
      </c>
      <c r="K444" s="10" t="s">
        <v>2529</v>
      </c>
      <c r="L444" s="65" t="str">
        <f t="shared" si="33"/>
        <v>Lanzhou|China|103,792221|36,056389|+8:00 Asia</v>
      </c>
      <c r="M444" s="10" t="s">
        <v>2698</v>
      </c>
      <c r="N444" s="10">
        <f t="shared" si="30"/>
        <v>0</v>
      </c>
      <c r="O444" t="str">
        <f t="shared" si="34"/>
        <v/>
      </c>
      <c r="P444" t="str">
        <f>IF(O444=1,COUNTIF($O$2:O444,1),"")</f>
        <v/>
      </c>
      <c r="Q444" t="str">
        <f>IFERROR(INDEX($M$2:$M$2388,MATCH(ROWS($P$2:P444),$P$2:$P$2388,0)),"")</f>
        <v/>
      </c>
    </row>
    <row r="445" spans="1:17" ht="15" x14ac:dyDescent="0.25">
      <c r="A445" s="10">
        <v>471</v>
      </c>
      <c r="B445" s="10" t="s">
        <v>2699</v>
      </c>
      <c r="C445" s="880">
        <f t="shared" si="31"/>
        <v>111.6677</v>
      </c>
      <c r="D445" s="880">
        <f t="shared" si="32"/>
        <v>32.385800000000003</v>
      </c>
      <c r="E445" s="10">
        <v>111.667778</v>
      </c>
      <c r="F445" s="10">
        <v>32.385834000000003</v>
      </c>
      <c r="G445" s="10">
        <v>8</v>
      </c>
      <c r="H445" s="10" t="s">
        <v>1831</v>
      </c>
      <c r="I445" s="10" t="s">
        <v>2518</v>
      </c>
      <c r="J445" s="10" t="s">
        <v>2519</v>
      </c>
      <c r="K445" s="10" t="s">
        <v>2529</v>
      </c>
      <c r="L445" s="65" t="str">
        <f t="shared" si="33"/>
        <v>Laohekou|China|111,667778|32,385834|+8:00 Asia</v>
      </c>
      <c r="M445" s="10" t="s">
        <v>2700</v>
      </c>
      <c r="N445" s="10">
        <f t="shared" si="30"/>
        <v>0</v>
      </c>
      <c r="O445" t="str">
        <f t="shared" si="34"/>
        <v/>
      </c>
      <c r="P445" t="str">
        <f>IF(O445=1,COUNTIF($O$2:O445,1),"")</f>
        <v/>
      </c>
      <c r="Q445" t="str">
        <f>IFERROR(INDEX($M$2:$M$2388,MATCH(ROWS($P$2:P445),$P$2:$P$2388,0)),"")</f>
        <v/>
      </c>
    </row>
    <row r="446" spans="1:17" ht="15" x14ac:dyDescent="0.25">
      <c r="A446" s="10">
        <v>367</v>
      </c>
      <c r="B446" s="10" t="s">
        <v>2701</v>
      </c>
      <c r="C446" s="880">
        <f t="shared" si="31"/>
        <v>91.099900000000005</v>
      </c>
      <c r="D446" s="880">
        <f t="shared" si="32"/>
        <v>29.65</v>
      </c>
      <c r="E446" s="10">
        <v>91.099997999999999</v>
      </c>
      <c r="F446" s="10">
        <v>29.65</v>
      </c>
      <c r="G446" s="10">
        <v>8</v>
      </c>
      <c r="H446" s="10" t="s">
        <v>1831</v>
      </c>
      <c r="I446" s="10" t="s">
        <v>2518</v>
      </c>
      <c r="J446" s="10" t="s">
        <v>2519</v>
      </c>
      <c r="K446" s="10" t="s">
        <v>2529</v>
      </c>
      <c r="L446" s="65" t="str">
        <f t="shared" si="33"/>
        <v>Lhasa|China|91,099998|29,650000|+8:00 Asia</v>
      </c>
      <c r="M446" s="10" t="s">
        <v>2702</v>
      </c>
      <c r="N446" s="10">
        <f t="shared" si="30"/>
        <v>0</v>
      </c>
      <c r="O446" t="str">
        <f t="shared" si="34"/>
        <v/>
      </c>
      <c r="P446" t="str">
        <f>IF(O446=1,COUNTIF($O$2:O446,1),"")</f>
        <v/>
      </c>
      <c r="Q446" t="str">
        <f>IFERROR(INDEX($M$2:$M$2388,MATCH(ROWS($P$2:P446),$P$2:$P$2388,0)),"")</f>
        <v/>
      </c>
    </row>
    <row r="447" spans="1:17" ht="15" x14ac:dyDescent="0.25">
      <c r="A447" s="10">
        <v>470</v>
      </c>
      <c r="B447" s="10" t="s">
        <v>2703</v>
      </c>
      <c r="C447" s="880">
        <f t="shared" si="31"/>
        <v>115.96469999999999</v>
      </c>
      <c r="D447" s="880">
        <f t="shared" si="32"/>
        <v>36.443800000000003</v>
      </c>
      <c r="E447" s="10">
        <v>115.96472199999999</v>
      </c>
      <c r="F447" s="10">
        <v>36.443890000000003</v>
      </c>
      <c r="G447" s="10">
        <v>8</v>
      </c>
      <c r="H447" s="10" t="s">
        <v>1831</v>
      </c>
      <c r="I447" s="10" t="s">
        <v>2518</v>
      </c>
      <c r="J447" s="10" t="s">
        <v>2519</v>
      </c>
      <c r="K447" s="10" t="s">
        <v>2523</v>
      </c>
      <c r="L447" s="65" t="str">
        <f t="shared" si="33"/>
        <v>Liaocheng|China|115,964722|36,443890|+8:00 Asia</v>
      </c>
      <c r="M447" s="10" t="s">
        <v>2704</v>
      </c>
      <c r="N447" s="10">
        <f t="shared" si="30"/>
        <v>0</v>
      </c>
      <c r="O447" t="str">
        <f t="shared" si="34"/>
        <v/>
      </c>
      <c r="P447" t="str">
        <f>IF(O447=1,COUNTIF($O$2:O447,1),"")</f>
        <v/>
      </c>
      <c r="Q447" t="str">
        <f>IFERROR(INDEX($M$2:$M$2388,MATCH(ROWS($P$2:P447),$P$2:$P$2388,0)),"")</f>
        <v/>
      </c>
    </row>
    <row r="448" spans="1:17" ht="15" x14ac:dyDescent="0.25">
      <c r="A448" s="10">
        <v>548</v>
      </c>
      <c r="B448" s="10" t="s">
        <v>2705</v>
      </c>
      <c r="C448" s="880">
        <f t="shared" si="31"/>
        <v>123.173</v>
      </c>
      <c r="D448" s="880">
        <f t="shared" si="32"/>
        <v>41.271900000000002</v>
      </c>
      <c r="E448" s="10">
        <v>123.173058</v>
      </c>
      <c r="F448" s="10">
        <v>41.271946</v>
      </c>
      <c r="G448" s="10">
        <v>8</v>
      </c>
      <c r="H448" s="10" t="s">
        <v>1831</v>
      </c>
      <c r="I448" s="10" t="s">
        <v>2518</v>
      </c>
      <c r="J448" s="10" t="s">
        <v>2519</v>
      </c>
      <c r="K448" s="10" t="s">
        <v>2526</v>
      </c>
      <c r="L448" s="65" t="str">
        <f t="shared" si="33"/>
        <v>Liaoyang|China|123,173058|41,271946|+8:00 Asia</v>
      </c>
      <c r="M448" s="10" t="s">
        <v>2706</v>
      </c>
      <c r="N448" s="10">
        <f t="shared" si="30"/>
        <v>0</v>
      </c>
      <c r="O448" t="str">
        <f t="shared" si="34"/>
        <v/>
      </c>
      <c r="P448" t="str">
        <f>IF(O448=1,COUNTIF($O$2:O448,1),"")</f>
        <v/>
      </c>
      <c r="Q448" t="str">
        <f>IFERROR(INDEX($M$2:$M$2388,MATCH(ROWS($P$2:P448),$P$2:$P$2388,0)),"")</f>
        <v/>
      </c>
    </row>
    <row r="449" spans="1:17" ht="15" x14ac:dyDescent="0.25">
      <c r="A449" s="10">
        <v>547</v>
      </c>
      <c r="B449" s="10" t="s">
        <v>2707</v>
      </c>
      <c r="C449" s="880">
        <f t="shared" si="31"/>
        <v>125.1358</v>
      </c>
      <c r="D449" s="880">
        <f t="shared" si="32"/>
        <v>42.903599999999997</v>
      </c>
      <c r="E449" s="10">
        <v>125.135834</v>
      </c>
      <c r="F449" s="10">
        <v>42.90361</v>
      </c>
      <c r="G449" s="10">
        <v>8</v>
      </c>
      <c r="H449" s="10" t="s">
        <v>1831</v>
      </c>
      <c r="I449" s="10" t="s">
        <v>2518</v>
      </c>
      <c r="J449" s="10" t="s">
        <v>2519</v>
      </c>
      <c r="K449" s="10" t="s">
        <v>2526</v>
      </c>
      <c r="L449" s="65" t="str">
        <f t="shared" si="33"/>
        <v>Liaoyuan|China|125,135834|42,903610|+8:00 Asia</v>
      </c>
      <c r="M449" s="10" t="s">
        <v>2708</v>
      </c>
      <c r="N449" s="10">
        <f t="shared" si="30"/>
        <v>0</v>
      </c>
      <c r="O449" t="str">
        <f t="shared" si="34"/>
        <v/>
      </c>
      <c r="P449" t="str">
        <f>IF(O449=1,COUNTIF($O$2:O449,1),"")</f>
        <v/>
      </c>
      <c r="Q449" t="str">
        <f>IFERROR(INDEX($M$2:$M$2388,MATCH(ROWS($P$2:P449),$P$2:$P$2388,0)),"")</f>
        <v/>
      </c>
    </row>
    <row r="450" spans="1:17" ht="15" x14ac:dyDescent="0.25">
      <c r="A450" s="10">
        <v>469</v>
      </c>
      <c r="B450" s="10" t="s">
        <v>2709</v>
      </c>
      <c r="C450" s="880">
        <f t="shared" si="31"/>
        <v>111.5188</v>
      </c>
      <c r="D450" s="880">
        <f t="shared" si="32"/>
        <v>36.088799999999999</v>
      </c>
      <c r="E450" s="10">
        <v>111.51889</v>
      </c>
      <c r="F450" s="10">
        <v>36.088889999999999</v>
      </c>
      <c r="G450" s="10">
        <v>8</v>
      </c>
      <c r="H450" s="10" t="s">
        <v>1831</v>
      </c>
      <c r="I450" s="10" t="s">
        <v>2518</v>
      </c>
      <c r="J450" s="10" t="s">
        <v>2519</v>
      </c>
      <c r="K450" s="10" t="s">
        <v>2529</v>
      </c>
      <c r="L450" s="65" t="str">
        <f t="shared" si="33"/>
        <v>Linfen|China|111,518890|36,088890|+8:00 Asia</v>
      </c>
      <c r="M450" s="10" t="s">
        <v>2710</v>
      </c>
      <c r="N450" s="10">
        <f t="shared" ref="N450:N513" si="35">--ISNUMBER(IFERROR(SEARCH($R$2,J450,1),""))</f>
        <v>0</v>
      </c>
      <c r="O450" t="str">
        <f t="shared" si="34"/>
        <v/>
      </c>
      <c r="P450" t="str">
        <f>IF(O450=1,COUNTIF($O$2:O450,1),"")</f>
        <v/>
      </c>
      <c r="Q450" t="str">
        <f>IFERROR(INDEX($M$2:$M$2388,MATCH(ROWS($P$2:P450),$P$2:$P$2388,0)),"")</f>
        <v/>
      </c>
    </row>
    <row r="451" spans="1:17" ht="15" x14ac:dyDescent="0.25">
      <c r="A451" s="10">
        <v>468</v>
      </c>
      <c r="B451" s="10" t="s">
        <v>2711</v>
      </c>
      <c r="C451" s="880">
        <f t="shared" ref="C451:C514" si="36">TRUNC(E451,4)</f>
        <v>103.2063</v>
      </c>
      <c r="D451" s="880">
        <f t="shared" ref="D451:D514" si="37">TRUNC(F451,4)</f>
        <v>35.600200000000001</v>
      </c>
      <c r="E451" s="10">
        <v>103.20639</v>
      </c>
      <c r="F451" s="10">
        <v>35.600276999999998</v>
      </c>
      <c r="G451" s="10">
        <v>8</v>
      </c>
      <c r="H451" s="10" t="s">
        <v>1831</v>
      </c>
      <c r="I451" s="10" t="s">
        <v>2518</v>
      </c>
      <c r="J451" s="10" t="s">
        <v>2519</v>
      </c>
      <c r="K451" s="10" t="s">
        <v>2529</v>
      </c>
      <c r="L451" s="65" t="str">
        <f t="shared" ref="L451:L514" si="38">MID(M451,1,LEN(M451)-(LEN(K451)-SEARCH("/",K451)+1))</f>
        <v>Linxia|China|103,206390|35,600277|+8:00 Asia</v>
      </c>
      <c r="M451" s="10" t="s">
        <v>2712</v>
      </c>
      <c r="N451" s="10">
        <f t="shared" si="35"/>
        <v>0</v>
      </c>
      <c r="O451" t="str">
        <f t="shared" ref="O451:O514" si="39">IF(N451=0,"",--ISNUMBER(IFERROR(SEARCH($U$2,L451,1),"")))</f>
        <v/>
      </c>
      <c r="P451" t="str">
        <f>IF(O451=1,COUNTIF($O$2:O451,1),"")</f>
        <v/>
      </c>
      <c r="Q451" t="str">
        <f>IFERROR(INDEX($M$2:$M$2388,MATCH(ROWS($P$2:P451),$P$2:$P$2388,0)),"")</f>
        <v/>
      </c>
    </row>
    <row r="452" spans="1:17" ht="15" x14ac:dyDescent="0.25">
      <c r="A452" s="10">
        <v>467</v>
      </c>
      <c r="B452" s="10" t="s">
        <v>2713</v>
      </c>
      <c r="C452" s="880">
        <f t="shared" si="36"/>
        <v>118.34269999999999</v>
      </c>
      <c r="D452" s="880">
        <f t="shared" si="37"/>
        <v>35.063000000000002</v>
      </c>
      <c r="E452" s="10">
        <v>118.342781</v>
      </c>
      <c r="F452" s="10">
        <v>35.063057000000001</v>
      </c>
      <c r="G452" s="10">
        <v>8</v>
      </c>
      <c r="H452" s="10" t="s">
        <v>1831</v>
      </c>
      <c r="I452" s="10" t="s">
        <v>2518</v>
      </c>
      <c r="J452" s="10" t="s">
        <v>2519</v>
      </c>
      <c r="K452" s="10" t="s">
        <v>2523</v>
      </c>
      <c r="L452" s="65" t="str">
        <f t="shared" si="38"/>
        <v>Linyi|China|118,342781|35,063057|+8:00 Asia</v>
      </c>
      <c r="M452" s="10" t="s">
        <v>2714</v>
      </c>
      <c r="N452" s="10">
        <f t="shared" si="35"/>
        <v>0</v>
      </c>
      <c r="O452" t="str">
        <f t="shared" si="39"/>
        <v/>
      </c>
      <c r="P452" t="str">
        <f>IF(O452=1,COUNTIF($O$2:O452,1),"")</f>
        <v/>
      </c>
      <c r="Q452" t="str">
        <f>IFERROR(INDEX($M$2:$M$2388,MATCH(ROWS($P$2:P452),$P$2:$P$2388,0)),"")</f>
        <v/>
      </c>
    </row>
    <row r="453" spans="1:17" ht="15" x14ac:dyDescent="0.25">
      <c r="A453" s="10">
        <v>466</v>
      </c>
      <c r="B453" s="10" t="s">
        <v>2715</v>
      </c>
      <c r="C453" s="880">
        <f t="shared" si="36"/>
        <v>114.6516</v>
      </c>
      <c r="D453" s="880">
        <f t="shared" si="37"/>
        <v>37.879100000000001</v>
      </c>
      <c r="E453" s="10">
        <v>114.65166499999999</v>
      </c>
      <c r="F453" s="10">
        <v>37.879165999999998</v>
      </c>
      <c r="G453" s="10">
        <v>8</v>
      </c>
      <c r="H453" s="10" t="s">
        <v>1831</v>
      </c>
      <c r="I453" s="10" t="s">
        <v>2518</v>
      </c>
      <c r="J453" s="10" t="s">
        <v>2519</v>
      </c>
      <c r="K453" s="10" t="s">
        <v>2523</v>
      </c>
      <c r="L453" s="65" t="str">
        <f t="shared" si="38"/>
        <v>Luancheng|China|114,651665|37,879166|+8:00 Asia</v>
      </c>
      <c r="M453" s="10" t="s">
        <v>2716</v>
      </c>
      <c r="N453" s="10">
        <f t="shared" si="35"/>
        <v>0</v>
      </c>
      <c r="O453" t="str">
        <f t="shared" si="39"/>
        <v/>
      </c>
      <c r="P453" t="str">
        <f>IF(O453=1,COUNTIF($O$2:O453,1),"")</f>
        <v/>
      </c>
      <c r="Q453" t="str">
        <f>IFERROR(INDEX($M$2:$M$2388,MATCH(ROWS($P$2:P453),$P$2:$P$2388,0)),"")</f>
        <v/>
      </c>
    </row>
    <row r="454" spans="1:17" ht="15" x14ac:dyDescent="0.25">
      <c r="A454" s="10">
        <v>465</v>
      </c>
      <c r="B454" s="10" t="s">
        <v>2717</v>
      </c>
      <c r="C454" s="880">
        <f t="shared" si="36"/>
        <v>114.0352</v>
      </c>
      <c r="D454" s="880">
        <f t="shared" si="37"/>
        <v>33.571599999999997</v>
      </c>
      <c r="E454" s="10">
        <v>114.03527800000001</v>
      </c>
      <c r="F454" s="10">
        <v>33.571666999999998</v>
      </c>
      <c r="G454" s="10">
        <v>8</v>
      </c>
      <c r="H454" s="10" t="s">
        <v>1831</v>
      </c>
      <c r="I454" s="10" t="s">
        <v>2518</v>
      </c>
      <c r="J454" s="10" t="s">
        <v>2519</v>
      </c>
      <c r="K454" s="10" t="s">
        <v>2523</v>
      </c>
      <c r="L454" s="65" t="str">
        <f t="shared" si="38"/>
        <v>Luohe|China|114,035278|33,571667|+8:00 Asia</v>
      </c>
      <c r="M454" s="10" t="s">
        <v>2718</v>
      </c>
      <c r="N454" s="10">
        <f t="shared" si="35"/>
        <v>0</v>
      </c>
      <c r="O454" t="str">
        <f t="shared" si="39"/>
        <v/>
      </c>
      <c r="P454" t="str">
        <f>IF(O454=1,COUNTIF($O$2:O454,1),"")</f>
        <v/>
      </c>
      <c r="Q454" t="str">
        <f>IFERROR(INDEX($M$2:$M$2388,MATCH(ROWS($P$2:P454),$P$2:$P$2388,0)),"")</f>
        <v/>
      </c>
    </row>
    <row r="455" spans="1:17" ht="15" x14ac:dyDescent="0.25">
      <c r="A455" s="10">
        <v>464</v>
      </c>
      <c r="B455" s="10" t="s">
        <v>2719</v>
      </c>
      <c r="C455" s="880">
        <f t="shared" si="36"/>
        <v>112.45359999999999</v>
      </c>
      <c r="D455" s="880">
        <f t="shared" si="37"/>
        <v>34.683599999999998</v>
      </c>
      <c r="E455" s="10">
        <v>112.453613</v>
      </c>
      <c r="F455" s="10">
        <v>34.683613000000001</v>
      </c>
      <c r="G455" s="10">
        <v>8</v>
      </c>
      <c r="H455" s="10" t="s">
        <v>1831</v>
      </c>
      <c r="I455" s="10" t="s">
        <v>2518</v>
      </c>
      <c r="J455" s="10" t="s">
        <v>2519</v>
      </c>
      <c r="K455" s="10" t="s">
        <v>2529</v>
      </c>
      <c r="L455" s="65" t="str">
        <f t="shared" si="38"/>
        <v>Luoyang|China|112,453613|34,683613|+8:00 Asia</v>
      </c>
      <c r="M455" s="10" t="s">
        <v>2720</v>
      </c>
      <c r="N455" s="10">
        <f t="shared" si="35"/>
        <v>0</v>
      </c>
      <c r="O455" t="str">
        <f t="shared" si="39"/>
        <v/>
      </c>
      <c r="P455" t="str">
        <f>IF(O455=1,COUNTIF($O$2:O455,1),"")</f>
        <v/>
      </c>
      <c r="Q455" t="str">
        <f>IFERROR(INDEX($M$2:$M$2388,MATCH(ROWS($P$2:P455),$P$2:$P$2388,0)),"")</f>
        <v/>
      </c>
    </row>
    <row r="456" spans="1:17" ht="15" x14ac:dyDescent="0.25">
      <c r="A456" s="10">
        <v>463</v>
      </c>
      <c r="B456" s="10" t="s">
        <v>2721</v>
      </c>
      <c r="C456" s="880">
        <f t="shared" si="36"/>
        <v>121.3783</v>
      </c>
      <c r="D456" s="880">
        <f t="shared" si="37"/>
        <v>28.578800000000001</v>
      </c>
      <c r="E456" s="10">
        <v>121.378334</v>
      </c>
      <c r="F456" s="10">
        <v>28.578890000000001</v>
      </c>
      <c r="G456" s="10">
        <v>8</v>
      </c>
      <c r="H456" s="10" t="s">
        <v>1831</v>
      </c>
      <c r="I456" s="10" t="s">
        <v>2518</v>
      </c>
      <c r="J456" s="10" t="s">
        <v>2519</v>
      </c>
      <c r="K456" s="10" t="s">
        <v>2523</v>
      </c>
      <c r="L456" s="65" t="str">
        <f t="shared" si="38"/>
        <v>Luqiaozhen|China|121,378334|28,578890|+8:00 Asia</v>
      </c>
      <c r="M456" s="10" t="s">
        <v>2722</v>
      </c>
      <c r="N456" s="10">
        <f t="shared" si="35"/>
        <v>0</v>
      </c>
      <c r="O456" t="str">
        <f t="shared" si="39"/>
        <v/>
      </c>
      <c r="P456" t="str">
        <f>IF(O456=1,COUNTIF($O$2:O456,1),"")</f>
        <v/>
      </c>
      <c r="Q456" t="str">
        <f>IFERROR(INDEX($M$2:$M$2388,MATCH(ROWS($P$2:P456),$P$2:$P$2388,0)),"")</f>
        <v/>
      </c>
    </row>
    <row r="457" spans="1:17" ht="15" x14ac:dyDescent="0.25">
      <c r="A457" s="10">
        <v>462</v>
      </c>
      <c r="B457" s="10" t="s">
        <v>2723</v>
      </c>
      <c r="C457" s="880">
        <f t="shared" si="36"/>
        <v>104.7666</v>
      </c>
      <c r="D457" s="880">
        <f t="shared" si="37"/>
        <v>31.4666</v>
      </c>
      <c r="E457" s="10">
        <v>104.76667</v>
      </c>
      <c r="F457" s="10">
        <v>31.466667000000001</v>
      </c>
      <c r="G457" s="10">
        <v>8</v>
      </c>
      <c r="H457" s="10" t="s">
        <v>1831</v>
      </c>
      <c r="I457" s="10" t="s">
        <v>2518</v>
      </c>
      <c r="J457" s="10" t="s">
        <v>2519</v>
      </c>
      <c r="K457" s="10" t="s">
        <v>2529</v>
      </c>
      <c r="L457" s="65" t="str">
        <f t="shared" si="38"/>
        <v>Mianyang|China|104,766670|31,466667|+8:00 Asia</v>
      </c>
      <c r="M457" s="10" t="s">
        <v>2724</v>
      </c>
      <c r="N457" s="10">
        <f t="shared" si="35"/>
        <v>0</v>
      </c>
      <c r="O457" t="str">
        <f t="shared" si="39"/>
        <v/>
      </c>
      <c r="P457" t="str">
        <f>IF(O457=1,COUNTIF($O$2:O457,1),"")</f>
        <v/>
      </c>
      <c r="Q457" t="str">
        <f>IFERROR(INDEX($M$2:$M$2388,MATCH(ROWS($P$2:P457),$P$2:$P$2388,0)),"")</f>
        <v/>
      </c>
    </row>
    <row r="458" spans="1:17" ht="15" x14ac:dyDescent="0.25">
      <c r="A458" s="10">
        <v>546</v>
      </c>
      <c r="B458" s="10" t="s">
        <v>2725</v>
      </c>
      <c r="C458" s="880">
        <f t="shared" si="36"/>
        <v>129.6</v>
      </c>
      <c r="D458" s="880">
        <f t="shared" si="37"/>
        <v>44.583300000000001</v>
      </c>
      <c r="E458" s="10">
        <v>129.60000600000001</v>
      </c>
      <c r="F458" s="10">
        <v>44.583331999999999</v>
      </c>
      <c r="G458" s="10">
        <v>8</v>
      </c>
      <c r="H458" s="10" t="s">
        <v>1831</v>
      </c>
      <c r="I458" s="10" t="s">
        <v>2518</v>
      </c>
      <c r="J458" s="10" t="s">
        <v>2519</v>
      </c>
      <c r="K458" s="10" t="s">
        <v>2526</v>
      </c>
      <c r="L458" s="65" t="str">
        <f t="shared" si="38"/>
        <v>Mudanjiang|China|129,600006|44,583332|+8:00 Asia</v>
      </c>
      <c r="M458" s="10" t="s">
        <v>2726</v>
      </c>
      <c r="N458" s="10">
        <f t="shared" si="35"/>
        <v>0</v>
      </c>
      <c r="O458" t="str">
        <f t="shared" si="39"/>
        <v/>
      </c>
      <c r="P458" t="str">
        <f>IF(O458=1,COUNTIF($O$2:O458,1),"")</f>
        <v/>
      </c>
      <c r="Q458" t="str">
        <f>IFERROR(INDEX($M$2:$M$2388,MATCH(ROWS($P$2:P458),$P$2:$P$2388,0)),"")</f>
        <v/>
      </c>
    </row>
    <row r="459" spans="1:17" ht="15" x14ac:dyDescent="0.25">
      <c r="A459" s="10">
        <v>461</v>
      </c>
      <c r="B459" s="10" t="s">
        <v>2727</v>
      </c>
      <c r="C459" s="880">
        <f t="shared" si="36"/>
        <v>115.88330000000001</v>
      </c>
      <c r="D459" s="880">
        <f t="shared" si="37"/>
        <v>28.683299999999999</v>
      </c>
      <c r="E459" s="10">
        <v>115.883331</v>
      </c>
      <c r="F459" s="10">
        <v>28.683332</v>
      </c>
      <c r="G459" s="10">
        <v>8</v>
      </c>
      <c r="H459" s="10" t="s">
        <v>1831</v>
      </c>
      <c r="I459" s="10" t="s">
        <v>2518</v>
      </c>
      <c r="J459" s="10" t="s">
        <v>2519</v>
      </c>
      <c r="K459" s="10" t="s">
        <v>2523</v>
      </c>
      <c r="L459" s="65" t="str">
        <f t="shared" si="38"/>
        <v>Nanchang|China|115,883331|28,683332|+8:00 Asia</v>
      </c>
      <c r="M459" s="10" t="s">
        <v>2728</v>
      </c>
      <c r="N459" s="10">
        <f t="shared" si="35"/>
        <v>0</v>
      </c>
      <c r="O459" t="str">
        <f t="shared" si="39"/>
        <v/>
      </c>
      <c r="P459" t="str">
        <f>IF(O459=1,COUNTIF($O$2:O459,1),"")</f>
        <v/>
      </c>
      <c r="Q459" t="str">
        <f>IFERROR(INDEX($M$2:$M$2388,MATCH(ROWS($P$2:P459),$P$2:$P$2388,0)),"")</f>
        <v/>
      </c>
    </row>
    <row r="460" spans="1:17" ht="15" x14ac:dyDescent="0.25">
      <c r="A460" s="10">
        <v>460</v>
      </c>
      <c r="B460" s="10" t="s">
        <v>2729</v>
      </c>
      <c r="C460" s="880">
        <f t="shared" si="36"/>
        <v>106.06659999999999</v>
      </c>
      <c r="D460" s="880">
        <f t="shared" si="37"/>
        <v>30.799900000000001</v>
      </c>
      <c r="E460" s="10">
        <v>106.066666</v>
      </c>
      <c r="F460" s="10">
        <v>30.799999</v>
      </c>
      <c r="G460" s="10">
        <v>8</v>
      </c>
      <c r="H460" s="10" t="s">
        <v>1831</v>
      </c>
      <c r="I460" s="10" t="s">
        <v>2518</v>
      </c>
      <c r="J460" s="10" t="s">
        <v>2519</v>
      </c>
      <c r="K460" s="10" t="s">
        <v>2529</v>
      </c>
      <c r="L460" s="65" t="str">
        <f t="shared" si="38"/>
        <v>Nanchong|China|106,066666|30,799999|+8:00 Asia</v>
      </c>
      <c r="M460" s="10" t="s">
        <v>2730</v>
      </c>
      <c r="N460" s="10">
        <f t="shared" si="35"/>
        <v>0</v>
      </c>
      <c r="O460" t="str">
        <f t="shared" si="39"/>
        <v/>
      </c>
      <c r="P460" t="str">
        <f>IF(O460=1,COUNTIF($O$2:O460,1),"")</f>
        <v/>
      </c>
      <c r="Q460" t="str">
        <f>IFERROR(INDEX($M$2:$M$2388,MATCH(ROWS($P$2:P460),$P$2:$P$2388,0)),"")</f>
        <v/>
      </c>
    </row>
    <row r="461" spans="1:17" ht="15" x14ac:dyDescent="0.25">
      <c r="A461" s="10">
        <v>459</v>
      </c>
      <c r="B461" s="10" t="s">
        <v>2731</v>
      </c>
      <c r="C461" s="880">
        <f t="shared" si="36"/>
        <v>118.7777</v>
      </c>
      <c r="D461" s="880">
        <f t="shared" si="37"/>
        <v>32.061599999999999</v>
      </c>
      <c r="E461" s="10">
        <v>118.777779</v>
      </c>
      <c r="F461" s="10">
        <v>32.061667999999997</v>
      </c>
      <c r="G461" s="10">
        <v>8</v>
      </c>
      <c r="H461" s="10" t="s">
        <v>1831</v>
      </c>
      <c r="I461" s="10" t="s">
        <v>2518</v>
      </c>
      <c r="J461" s="10" t="s">
        <v>2519</v>
      </c>
      <c r="K461" s="10" t="s">
        <v>2523</v>
      </c>
      <c r="L461" s="65" t="str">
        <f t="shared" si="38"/>
        <v>Nanjing|China|118,777779|32,061668|+8:00 Asia</v>
      </c>
      <c r="M461" s="10" t="s">
        <v>2732</v>
      </c>
      <c r="N461" s="10">
        <f t="shared" si="35"/>
        <v>0</v>
      </c>
      <c r="O461" t="str">
        <f t="shared" si="39"/>
        <v/>
      </c>
      <c r="P461" t="str">
        <f>IF(O461=1,COUNTIF($O$2:O461,1),"")</f>
        <v/>
      </c>
      <c r="Q461" t="str">
        <f>IFERROR(INDEX($M$2:$M$2388,MATCH(ROWS($P$2:P461),$P$2:$P$2388,0)),"")</f>
        <v/>
      </c>
    </row>
    <row r="462" spans="1:17" ht="15" x14ac:dyDescent="0.25">
      <c r="A462" s="10">
        <v>458</v>
      </c>
      <c r="B462" s="10" t="s">
        <v>2733</v>
      </c>
      <c r="C462" s="880">
        <f t="shared" si="36"/>
        <v>108.31659999999999</v>
      </c>
      <c r="D462" s="880">
        <f t="shared" si="37"/>
        <v>22.816600000000001</v>
      </c>
      <c r="E462" s="10">
        <v>108.316666</v>
      </c>
      <c r="F462" s="10">
        <v>22.816668</v>
      </c>
      <c r="G462" s="10">
        <v>8</v>
      </c>
      <c r="H462" s="10" t="s">
        <v>1831</v>
      </c>
      <c r="I462" s="10" t="s">
        <v>2518</v>
      </c>
      <c r="J462" s="10" t="s">
        <v>2519</v>
      </c>
      <c r="K462" s="10" t="s">
        <v>2529</v>
      </c>
      <c r="L462" s="65" t="str">
        <f t="shared" si="38"/>
        <v>Nanning|China|108,316666|22,816668|+8:00 Asia</v>
      </c>
      <c r="M462" s="10" t="s">
        <v>2734</v>
      </c>
      <c r="N462" s="10">
        <f t="shared" si="35"/>
        <v>0</v>
      </c>
      <c r="O462" t="str">
        <f t="shared" si="39"/>
        <v/>
      </c>
      <c r="P462" t="str">
        <f>IF(O462=1,COUNTIF($O$2:O462,1),"")</f>
        <v/>
      </c>
      <c r="Q462" t="str">
        <f>IFERROR(INDEX($M$2:$M$2388,MATCH(ROWS($P$2:P462),$P$2:$P$2388,0)),"")</f>
        <v/>
      </c>
    </row>
    <row r="463" spans="1:17" ht="15" x14ac:dyDescent="0.25">
      <c r="A463" s="10">
        <v>457</v>
      </c>
      <c r="B463" s="10" t="s">
        <v>2735</v>
      </c>
      <c r="C463" s="880">
        <f t="shared" si="36"/>
        <v>120.8747</v>
      </c>
      <c r="D463" s="880">
        <f t="shared" si="37"/>
        <v>32.030200000000001</v>
      </c>
      <c r="E463" s="10">
        <v>120.874725</v>
      </c>
      <c r="F463" s="10">
        <v>32.030276999999998</v>
      </c>
      <c r="G463" s="10">
        <v>8</v>
      </c>
      <c r="H463" s="10" t="s">
        <v>1831</v>
      </c>
      <c r="I463" s="10" t="s">
        <v>2518</v>
      </c>
      <c r="J463" s="10" t="s">
        <v>2519</v>
      </c>
      <c r="K463" s="10" t="s">
        <v>2523</v>
      </c>
      <c r="L463" s="65" t="str">
        <f t="shared" si="38"/>
        <v>Nantong|China|120,874725|32,030277|+8:00 Asia</v>
      </c>
      <c r="M463" s="10" t="s">
        <v>2736</v>
      </c>
      <c r="N463" s="10">
        <f t="shared" si="35"/>
        <v>0</v>
      </c>
      <c r="O463" t="str">
        <f t="shared" si="39"/>
        <v/>
      </c>
      <c r="P463" t="str">
        <f>IF(O463=1,COUNTIF($O$2:O463,1),"")</f>
        <v/>
      </c>
      <c r="Q463" t="str">
        <f>IFERROR(INDEX($M$2:$M$2388,MATCH(ROWS($P$2:P463),$P$2:$P$2388,0)),"")</f>
        <v/>
      </c>
    </row>
    <row r="464" spans="1:17" ht="15" x14ac:dyDescent="0.25">
      <c r="A464" s="10">
        <v>456</v>
      </c>
      <c r="B464" s="10" t="s">
        <v>2737</v>
      </c>
      <c r="C464" s="880">
        <f t="shared" si="36"/>
        <v>112.53270000000001</v>
      </c>
      <c r="D464" s="880">
        <f t="shared" si="37"/>
        <v>32.994700000000002</v>
      </c>
      <c r="E464" s="10">
        <v>112.532776</v>
      </c>
      <c r="F464" s="10">
        <v>32.994720000000001</v>
      </c>
      <c r="G464" s="10">
        <v>8</v>
      </c>
      <c r="H464" s="10" t="s">
        <v>1831</v>
      </c>
      <c r="I464" s="10" t="s">
        <v>2518</v>
      </c>
      <c r="J464" s="10" t="s">
        <v>2519</v>
      </c>
      <c r="K464" s="10" t="s">
        <v>2529</v>
      </c>
      <c r="L464" s="65" t="str">
        <f t="shared" si="38"/>
        <v>Nanyang|China|112,532776|32,994720|+8:00 Asia</v>
      </c>
      <c r="M464" s="10" t="s">
        <v>2738</v>
      </c>
      <c r="N464" s="10">
        <f t="shared" si="35"/>
        <v>0</v>
      </c>
      <c r="O464" t="str">
        <f t="shared" si="39"/>
        <v/>
      </c>
      <c r="P464" t="str">
        <f>IF(O464=1,COUNTIF($O$2:O464,1),"")</f>
        <v/>
      </c>
      <c r="Q464" t="str">
        <f>IFERROR(INDEX($M$2:$M$2388,MATCH(ROWS($P$2:P464),$P$2:$P$2388,0)),"")</f>
        <v/>
      </c>
    </row>
    <row r="465" spans="1:17" ht="15" x14ac:dyDescent="0.25">
      <c r="A465" s="10">
        <v>455</v>
      </c>
      <c r="B465" s="10" t="s">
        <v>2739</v>
      </c>
      <c r="C465" s="880">
        <f t="shared" si="36"/>
        <v>105.0591</v>
      </c>
      <c r="D465" s="880">
        <f t="shared" si="37"/>
        <v>29.583600000000001</v>
      </c>
      <c r="E465" s="10">
        <v>105.059166</v>
      </c>
      <c r="F465" s="10">
        <v>29.583611000000001</v>
      </c>
      <c r="G465" s="10">
        <v>8</v>
      </c>
      <c r="H465" s="10" t="s">
        <v>1831</v>
      </c>
      <c r="I465" s="10" t="s">
        <v>2518</v>
      </c>
      <c r="J465" s="10" t="s">
        <v>2519</v>
      </c>
      <c r="K465" s="10" t="s">
        <v>2529</v>
      </c>
      <c r="L465" s="65" t="str">
        <f t="shared" si="38"/>
        <v>Neijiang|China|105,059166|29,583611|+8:00 Asia</v>
      </c>
      <c r="M465" s="10" t="s">
        <v>2740</v>
      </c>
      <c r="N465" s="10">
        <f t="shared" si="35"/>
        <v>0</v>
      </c>
      <c r="O465" t="str">
        <f t="shared" si="39"/>
        <v/>
      </c>
      <c r="P465" t="str">
        <f>IF(O465=1,COUNTIF($O$2:O465,1),"")</f>
        <v/>
      </c>
      <c r="Q465" t="str">
        <f>IFERROR(INDEX($M$2:$M$2388,MATCH(ROWS($P$2:P465),$P$2:$P$2388,0)),"")</f>
        <v/>
      </c>
    </row>
    <row r="466" spans="1:17" ht="15" x14ac:dyDescent="0.25">
      <c r="A466" s="10">
        <v>454</v>
      </c>
      <c r="B466" s="10" t="s">
        <v>2741</v>
      </c>
      <c r="C466" s="880">
        <f t="shared" si="36"/>
        <v>121.5419</v>
      </c>
      <c r="D466" s="880">
        <f t="shared" si="37"/>
        <v>29.875</v>
      </c>
      <c r="E466" s="10">
        <v>121.541946</v>
      </c>
      <c r="F466" s="10">
        <v>29.875</v>
      </c>
      <c r="G466" s="10">
        <v>8</v>
      </c>
      <c r="H466" s="10" t="s">
        <v>1831</v>
      </c>
      <c r="I466" s="10" t="s">
        <v>2518</v>
      </c>
      <c r="J466" s="10" t="s">
        <v>2519</v>
      </c>
      <c r="K466" s="10" t="s">
        <v>2523</v>
      </c>
      <c r="L466" s="65" t="str">
        <f t="shared" si="38"/>
        <v>Ningbo|China|121,541946|29,875000|+8:00 Asia</v>
      </c>
      <c r="M466" s="10" t="s">
        <v>2742</v>
      </c>
      <c r="N466" s="10">
        <f t="shared" si="35"/>
        <v>0</v>
      </c>
      <c r="O466" t="str">
        <f t="shared" si="39"/>
        <v/>
      </c>
      <c r="P466" t="str">
        <f>IF(O466=1,COUNTIF($O$2:O466,1),"")</f>
        <v/>
      </c>
      <c r="Q466" t="str">
        <f>IFERROR(INDEX($M$2:$M$2388,MATCH(ROWS($P$2:P466),$P$2:$P$2388,0)),"")</f>
        <v/>
      </c>
    </row>
    <row r="467" spans="1:17" ht="15" x14ac:dyDescent="0.25">
      <c r="A467" s="10">
        <v>545</v>
      </c>
      <c r="B467" s="10" t="s">
        <v>2743</v>
      </c>
      <c r="C467" s="880">
        <f t="shared" si="36"/>
        <v>122.04940000000001</v>
      </c>
      <c r="D467" s="880">
        <f t="shared" si="37"/>
        <v>41.188000000000002</v>
      </c>
      <c r="E467" s="10">
        <v>122.049446</v>
      </c>
      <c r="F467" s="10">
        <v>41.188057000000001</v>
      </c>
      <c r="G467" s="10">
        <v>8</v>
      </c>
      <c r="H467" s="10" t="s">
        <v>1831</v>
      </c>
      <c r="I467" s="10" t="s">
        <v>2518</v>
      </c>
      <c r="J467" s="10" t="s">
        <v>2519</v>
      </c>
      <c r="K467" s="10" t="s">
        <v>2526</v>
      </c>
      <c r="L467" s="65" t="str">
        <f t="shared" si="38"/>
        <v>Panshan|China|122,049446|41,188057|+8:00 Asia</v>
      </c>
      <c r="M467" s="10" t="s">
        <v>2744</v>
      </c>
      <c r="N467" s="10">
        <f t="shared" si="35"/>
        <v>0</v>
      </c>
      <c r="O467" t="str">
        <f t="shared" si="39"/>
        <v/>
      </c>
      <c r="P467" t="str">
        <f>IF(O467=1,COUNTIF($O$2:O467,1),"")</f>
        <v/>
      </c>
      <c r="Q467" t="str">
        <f>IFERROR(INDEX($M$2:$M$2388,MATCH(ROWS($P$2:P467),$P$2:$P$2388,0)),"")</f>
        <v/>
      </c>
    </row>
    <row r="468" spans="1:17" ht="15" x14ac:dyDescent="0.25">
      <c r="A468" s="10">
        <v>453</v>
      </c>
      <c r="B468" s="10" t="s">
        <v>2745</v>
      </c>
      <c r="C468" s="880">
        <f t="shared" si="36"/>
        <v>101.7333</v>
      </c>
      <c r="D468" s="880">
        <f t="shared" si="37"/>
        <v>26.549900000000001</v>
      </c>
      <c r="E468" s="10">
        <v>101.73333</v>
      </c>
      <c r="F468" s="10">
        <v>26.549999</v>
      </c>
      <c r="G468" s="10">
        <v>8</v>
      </c>
      <c r="H468" s="10" t="s">
        <v>1831</v>
      </c>
      <c r="I468" s="10" t="s">
        <v>2518</v>
      </c>
      <c r="J468" s="10" t="s">
        <v>2519</v>
      </c>
      <c r="K468" s="10" t="s">
        <v>2529</v>
      </c>
      <c r="L468" s="65" t="str">
        <f t="shared" si="38"/>
        <v>Panzhihua|China|101,733330|26,549999|+8:00 Asia</v>
      </c>
      <c r="M468" s="10" t="s">
        <v>2746</v>
      </c>
      <c r="N468" s="10">
        <f t="shared" si="35"/>
        <v>0</v>
      </c>
      <c r="O468" t="str">
        <f t="shared" si="39"/>
        <v/>
      </c>
      <c r="P468" t="str">
        <f>IF(O468=1,COUNTIF($O$2:O468,1),"")</f>
        <v/>
      </c>
      <c r="Q468" t="str">
        <f>IFERROR(INDEX($M$2:$M$2388,MATCH(ROWS($P$2:P468),$P$2:$P$2388,0)),"")</f>
        <v/>
      </c>
    </row>
    <row r="469" spans="1:17" ht="15" x14ac:dyDescent="0.25">
      <c r="A469" s="10">
        <v>452</v>
      </c>
      <c r="B469" s="10" t="s">
        <v>2747</v>
      </c>
      <c r="C469" s="880">
        <f t="shared" si="36"/>
        <v>113.30629999999999</v>
      </c>
      <c r="D469" s="880">
        <f t="shared" si="37"/>
        <v>33.7408</v>
      </c>
      <c r="E469" s="10">
        <v>113.306389</v>
      </c>
      <c r="F469" s="10">
        <v>33.740833000000002</v>
      </c>
      <c r="G469" s="10">
        <v>8</v>
      </c>
      <c r="H469" s="10" t="s">
        <v>1831</v>
      </c>
      <c r="I469" s="10" t="s">
        <v>2518</v>
      </c>
      <c r="J469" s="10" t="s">
        <v>2519</v>
      </c>
      <c r="K469" s="10" t="s">
        <v>2529</v>
      </c>
      <c r="L469" s="65" t="str">
        <f t="shared" si="38"/>
        <v>Pingdingshan|China|113,306389|33,740833|+8:00 Asia</v>
      </c>
      <c r="M469" s="10" t="s">
        <v>2748</v>
      </c>
      <c r="N469" s="10">
        <f t="shared" si="35"/>
        <v>0</v>
      </c>
      <c r="O469" t="str">
        <f t="shared" si="39"/>
        <v/>
      </c>
      <c r="P469" t="str">
        <f>IF(O469=1,COUNTIF($O$2:O469,1),"")</f>
        <v/>
      </c>
      <c r="Q469" t="str">
        <f>IFERROR(INDEX($M$2:$M$2388,MATCH(ROWS($P$2:P469),$P$2:$P$2388,0)),"")</f>
        <v/>
      </c>
    </row>
    <row r="470" spans="1:17" ht="15" x14ac:dyDescent="0.25">
      <c r="A470" s="10">
        <v>451</v>
      </c>
      <c r="B470" s="10" t="s">
        <v>2749</v>
      </c>
      <c r="C470" s="880">
        <f t="shared" si="36"/>
        <v>113.84990000000001</v>
      </c>
      <c r="D470" s="880">
        <f t="shared" si="37"/>
        <v>27.616599999999998</v>
      </c>
      <c r="E470" s="10">
        <v>113.849998</v>
      </c>
      <c r="F470" s="10">
        <v>27.616667</v>
      </c>
      <c r="G470" s="10">
        <v>8</v>
      </c>
      <c r="H470" s="10" t="s">
        <v>1831</v>
      </c>
      <c r="I470" s="10" t="s">
        <v>2518</v>
      </c>
      <c r="J470" s="10" t="s">
        <v>2519</v>
      </c>
      <c r="K470" s="10" t="s">
        <v>2529</v>
      </c>
      <c r="L470" s="65" t="str">
        <f t="shared" si="38"/>
        <v>Pingxiang|China|113,849998|27,616667|+8:00 Asia</v>
      </c>
      <c r="M470" s="10" t="s">
        <v>2750</v>
      </c>
      <c r="N470" s="10">
        <f t="shared" si="35"/>
        <v>0</v>
      </c>
      <c r="O470" t="str">
        <f t="shared" si="39"/>
        <v/>
      </c>
      <c r="P470" t="str">
        <f>IF(O470=1,COUNTIF($O$2:O470,1),"")</f>
        <v/>
      </c>
      <c r="Q470" t="str">
        <f>IFERROR(INDEX($M$2:$M$2388,MATCH(ROWS($P$2:P470),$P$2:$P$2388,0)),"")</f>
        <v/>
      </c>
    </row>
    <row r="471" spans="1:17" ht="15" x14ac:dyDescent="0.25">
      <c r="A471" s="10">
        <v>450</v>
      </c>
      <c r="B471" s="10" t="s">
        <v>2751</v>
      </c>
      <c r="C471" s="880">
        <f t="shared" si="36"/>
        <v>119.0102</v>
      </c>
      <c r="D471" s="880">
        <f t="shared" si="37"/>
        <v>25.439399999999999</v>
      </c>
      <c r="E471" s="10">
        <v>119.010277</v>
      </c>
      <c r="F471" s="10">
        <v>25.439444000000002</v>
      </c>
      <c r="G471" s="10">
        <v>8</v>
      </c>
      <c r="H471" s="10" t="s">
        <v>1831</v>
      </c>
      <c r="I471" s="10" t="s">
        <v>2518</v>
      </c>
      <c r="J471" s="10" t="s">
        <v>2519</v>
      </c>
      <c r="K471" s="10" t="s">
        <v>2523</v>
      </c>
      <c r="L471" s="65" t="str">
        <f t="shared" si="38"/>
        <v>Putian|China|119,010277|25,439444|+8:00 Asia</v>
      </c>
      <c r="M471" s="10" t="s">
        <v>2752</v>
      </c>
      <c r="N471" s="10">
        <f t="shared" si="35"/>
        <v>0</v>
      </c>
      <c r="O471" t="str">
        <f t="shared" si="39"/>
        <v/>
      </c>
      <c r="P471" t="str">
        <f>IF(O471=1,COUNTIF($O$2:O471,1),"")</f>
        <v/>
      </c>
      <c r="Q471" t="str">
        <f>IFERROR(INDEX($M$2:$M$2388,MATCH(ROWS($P$2:P471),$P$2:$P$2388,0)),"")</f>
        <v/>
      </c>
    </row>
    <row r="472" spans="1:17" ht="15" x14ac:dyDescent="0.25">
      <c r="A472" s="10">
        <v>449</v>
      </c>
      <c r="B472" s="10" t="s">
        <v>2753</v>
      </c>
      <c r="C472" s="880">
        <f t="shared" si="36"/>
        <v>115.0052</v>
      </c>
      <c r="D472" s="880">
        <f t="shared" si="37"/>
        <v>35.7027</v>
      </c>
      <c r="E472" s="10">
        <v>115.00528</v>
      </c>
      <c r="F472" s="10">
        <v>35.702778000000002</v>
      </c>
      <c r="G472" s="10">
        <v>8</v>
      </c>
      <c r="H472" s="10" t="s">
        <v>1831</v>
      </c>
      <c r="I472" s="10" t="s">
        <v>2518</v>
      </c>
      <c r="J472" s="10" t="s">
        <v>2519</v>
      </c>
      <c r="K472" s="10" t="s">
        <v>2523</v>
      </c>
      <c r="L472" s="65" t="str">
        <f t="shared" si="38"/>
        <v>Puyang|China|115,005280|35,702778|+8:00 Asia</v>
      </c>
      <c r="M472" s="10" t="s">
        <v>2754</v>
      </c>
      <c r="N472" s="10">
        <f t="shared" si="35"/>
        <v>0</v>
      </c>
      <c r="O472" t="str">
        <f t="shared" si="39"/>
        <v/>
      </c>
      <c r="P472" t="str">
        <f>IF(O472=1,COUNTIF($O$2:O472,1),"")</f>
        <v/>
      </c>
      <c r="Q472" t="str">
        <f>IFERROR(INDEX($M$2:$M$2388,MATCH(ROWS($P$2:P472),$P$2:$P$2388,0)),"")</f>
        <v/>
      </c>
    </row>
    <row r="473" spans="1:17" ht="15" x14ac:dyDescent="0.25">
      <c r="A473" s="10">
        <v>448</v>
      </c>
      <c r="B473" s="10" t="s">
        <v>2755</v>
      </c>
      <c r="C473" s="880">
        <f t="shared" si="36"/>
        <v>120.3719</v>
      </c>
      <c r="D473" s="880">
        <f t="shared" si="37"/>
        <v>36.098599999999998</v>
      </c>
      <c r="E473" s="10">
        <v>120.37194100000001</v>
      </c>
      <c r="F473" s="10">
        <v>36.098610000000001</v>
      </c>
      <c r="G473" s="10">
        <v>8</v>
      </c>
      <c r="H473" s="10" t="s">
        <v>1831</v>
      </c>
      <c r="I473" s="10" t="s">
        <v>2518</v>
      </c>
      <c r="J473" s="10" t="s">
        <v>2519</v>
      </c>
      <c r="K473" s="10" t="s">
        <v>2523</v>
      </c>
      <c r="L473" s="65" t="str">
        <f t="shared" si="38"/>
        <v>Qingdao|China|120,371941|36,098610|+8:00 Asia</v>
      </c>
      <c r="M473" s="10" t="s">
        <v>2756</v>
      </c>
      <c r="N473" s="10">
        <f t="shared" si="35"/>
        <v>0</v>
      </c>
      <c r="O473" t="str">
        <f t="shared" si="39"/>
        <v/>
      </c>
      <c r="P473" t="str">
        <f>IF(O473=1,COUNTIF($O$2:O473,1),"")</f>
        <v/>
      </c>
      <c r="Q473" t="str">
        <f>IFERROR(INDEX($M$2:$M$2388,MATCH(ROWS($P$2:P473),$P$2:$P$2388,0)),"")</f>
        <v/>
      </c>
    </row>
    <row r="474" spans="1:17" ht="15" x14ac:dyDescent="0.25">
      <c r="A474" s="10">
        <v>446</v>
      </c>
      <c r="B474" s="10" t="s">
        <v>2757</v>
      </c>
      <c r="C474" s="880">
        <f t="shared" si="36"/>
        <v>119.5883</v>
      </c>
      <c r="D474" s="880">
        <f t="shared" si="37"/>
        <v>39.931600000000003</v>
      </c>
      <c r="E474" s="10">
        <v>119.58833300000001</v>
      </c>
      <c r="F474" s="10">
        <v>39.931666999999997</v>
      </c>
      <c r="G474" s="10">
        <v>8</v>
      </c>
      <c r="H474" s="10" t="s">
        <v>1831</v>
      </c>
      <c r="I474" s="10" t="s">
        <v>2518</v>
      </c>
      <c r="J474" s="10" t="s">
        <v>2519</v>
      </c>
      <c r="K474" s="10" t="s">
        <v>2526</v>
      </c>
      <c r="L474" s="65" t="str">
        <f t="shared" si="38"/>
        <v>Qinhuangdao|China|119,588333|39,931667|+8:00 Asia</v>
      </c>
      <c r="M474" s="10" t="s">
        <v>2758</v>
      </c>
      <c r="N474" s="10">
        <f t="shared" si="35"/>
        <v>0</v>
      </c>
      <c r="O474" t="str">
        <f t="shared" si="39"/>
        <v/>
      </c>
      <c r="P474" t="str">
        <f>IF(O474=1,COUNTIF($O$2:O474,1),"")</f>
        <v/>
      </c>
      <c r="Q474" t="str">
        <f>IFERROR(INDEX($M$2:$M$2388,MATCH(ROWS($P$2:P474),$P$2:$P$2388,0)),"")</f>
        <v/>
      </c>
    </row>
    <row r="475" spans="1:17" ht="15" x14ac:dyDescent="0.25">
      <c r="A475" s="10">
        <v>544</v>
      </c>
      <c r="B475" s="10" t="s">
        <v>2759</v>
      </c>
      <c r="C475" s="880">
        <f t="shared" si="36"/>
        <v>123.96720000000001</v>
      </c>
      <c r="D475" s="880">
        <f t="shared" si="37"/>
        <v>47.340800000000002</v>
      </c>
      <c r="E475" s="10">
        <v>123.967224</v>
      </c>
      <c r="F475" s="10">
        <v>47.340831999999999</v>
      </c>
      <c r="G475" s="10">
        <v>8</v>
      </c>
      <c r="H475" s="10" t="s">
        <v>1831</v>
      </c>
      <c r="I475" s="10" t="s">
        <v>2518</v>
      </c>
      <c r="J475" s="10" t="s">
        <v>2519</v>
      </c>
      <c r="K475" s="10" t="s">
        <v>2526</v>
      </c>
      <c r="L475" s="65" t="str">
        <f t="shared" si="38"/>
        <v>Qiqihar|China|123,967224|47,340832|+8:00 Asia</v>
      </c>
      <c r="M475" s="10" t="s">
        <v>2760</v>
      </c>
      <c r="N475" s="10">
        <f t="shared" si="35"/>
        <v>0</v>
      </c>
      <c r="O475" t="str">
        <f t="shared" si="39"/>
        <v/>
      </c>
      <c r="P475" t="str">
        <f>IF(O475=1,COUNTIF($O$2:O475,1),"")</f>
        <v/>
      </c>
      <c r="Q475" t="str">
        <f>IFERROR(INDEX($M$2:$M$2388,MATCH(ROWS($P$2:P475),$P$2:$P$2388,0)),"")</f>
        <v/>
      </c>
    </row>
    <row r="476" spans="1:17" ht="15" x14ac:dyDescent="0.25">
      <c r="A476" s="10">
        <v>543</v>
      </c>
      <c r="B476" s="10" t="s">
        <v>2761</v>
      </c>
      <c r="C476" s="880">
        <f t="shared" si="36"/>
        <v>130.85</v>
      </c>
      <c r="D476" s="880">
        <f t="shared" si="37"/>
        <v>45.799900000000001</v>
      </c>
      <c r="E476" s="10">
        <v>130.85000600000001</v>
      </c>
      <c r="F476" s="10">
        <v>45.799999</v>
      </c>
      <c r="G476" s="10">
        <v>8</v>
      </c>
      <c r="H476" s="10" t="s">
        <v>1831</v>
      </c>
      <c r="I476" s="10" t="s">
        <v>2518</v>
      </c>
      <c r="J476" s="10" t="s">
        <v>2519</v>
      </c>
      <c r="K476" s="10" t="s">
        <v>2526</v>
      </c>
      <c r="L476" s="65" t="str">
        <f t="shared" si="38"/>
        <v>Qitaihe|China|130,850006|45,799999|+8:00 Asia</v>
      </c>
      <c r="M476" s="10" t="s">
        <v>2762</v>
      </c>
      <c r="N476" s="10">
        <f t="shared" si="35"/>
        <v>0</v>
      </c>
      <c r="O476" t="str">
        <f t="shared" si="39"/>
        <v/>
      </c>
      <c r="P476" t="str">
        <f>IF(O476=1,COUNTIF($O$2:O476,1),"")</f>
        <v/>
      </c>
      <c r="Q476" t="str">
        <f>IFERROR(INDEX($M$2:$M$2388,MATCH(ROWS($P$2:P476),$P$2:$P$2388,0)),"")</f>
        <v/>
      </c>
    </row>
    <row r="477" spans="1:17" ht="15" x14ac:dyDescent="0.25">
      <c r="A477" s="10">
        <v>542</v>
      </c>
      <c r="B477" s="10" t="s">
        <v>2763</v>
      </c>
      <c r="C477" s="880">
        <f t="shared" si="36"/>
        <v>124.86660000000001</v>
      </c>
      <c r="D477" s="880">
        <f t="shared" si="37"/>
        <v>46.65</v>
      </c>
      <c r="E477" s="10">
        <v>124.866669</v>
      </c>
      <c r="F477" s="10">
        <v>46.650002000000001</v>
      </c>
      <c r="G477" s="10">
        <v>8</v>
      </c>
      <c r="H477" s="10" t="s">
        <v>1831</v>
      </c>
      <c r="I477" s="10" t="s">
        <v>2518</v>
      </c>
      <c r="J477" s="10" t="s">
        <v>2519</v>
      </c>
      <c r="K477" s="10" t="s">
        <v>2526</v>
      </c>
      <c r="L477" s="65" t="str">
        <f t="shared" si="38"/>
        <v>Ranghulu|China|124,866669|46,650002|+8:00 Asia</v>
      </c>
      <c r="M477" s="10" t="s">
        <v>2764</v>
      </c>
      <c r="N477" s="10">
        <f t="shared" si="35"/>
        <v>0</v>
      </c>
      <c r="O477" t="str">
        <f t="shared" si="39"/>
        <v/>
      </c>
      <c r="P477" t="str">
        <f>IF(O477=1,COUNTIF($O$2:O477,1),"")</f>
        <v/>
      </c>
      <c r="Q477" t="str">
        <f>IFERROR(INDEX($M$2:$M$2388,MATCH(ROWS($P$2:P477),$P$2:$P$2388,0)),"")</f>
        <v/>
      </c>
    </row>
    <row r="478" spans="1:17" ht="15" x14ac:dyDescent="0.25">
      <c r="A478" s="10">
        <v>445</v>
      </c>
      <c r="B478" s="10" t="s">
        <v>2765</v>
      </c>
      <c r="C478" s="880">
        <f t="shared" si="36"/>
        <v>119.4552</v>
      </c>
      <c r="D478" s="880">
        <f t="shared" si="37"/>
        <v>35.427500000000002</v>
      </c>
      <c r="E478" s="10">
        <v>119.455276</v>
      </c>
      <c r="F478" s="10">
        <v>35.427501999999997</v>
      </c>
      <c r="G478" s="10">
        <v>8</v>
      </c>
      <c r="H478" s="10" t="s">
        <v>1831</v>
      </c>
      <c r="I478" s="10" t="s">
        <v>2518</v>
      </c>
      <c r="J478" s="10" t="s">
        <v>2519</v>
      </c>
      <c r="K478" s="10" t="s">
        <v>2523</v>
      </c>
      <c r="L478" s="65" t="str">
        <f t="shared" si="38"/>
        <v>Rizhao|China|119,455276|35,427502|+8:00 Asia</v>
      </c>
      <c r="M478" s="10" t="s">
        <v>2766</v>
      </c>
      <c r="N478" s="10">
        <f t="shared" si="35"/>
        <v>0</v>
      </c>
      <c r="O478" t="str">
        <f t="shared" si="39"/>
        <v/>
      </c>
      <c r="P478" t="str">
        <f>IF(O478=1,COUNTIF($O$2:O478,1),"")</f>
        <v/>
      </c>
      <c r="Q478" t="str">
        <f>IFERROR(INDEX($M$2:$M$2388,MATCH(ROWS($P$2:P478),$P$2:$P$2388,0)),"")</f>
        <v/>
      </c>
    </row>
    <row r="479" spans="1:17" ht="15" x14ac:dyDescent="0.25">
      <c r="A479" s="10">
        <v>443</v>
      </c>
      <c r="B479" s="10" t="s">
        <v>2767</v>
      </c>
      <c r="C479" s="880">
        <f t="shared" si="36"/>
        <v>117.6186</v>
      </c>
      <c r="D479" s="880">
        <f t="shared" si="37"/>
        <v>26.2486</v>
      </c>
      <c r="E479" s="10">
        <v>117.61861399999999</v>
      </c>
      <c r="F479" s="10">
        <v>26.248611</v>
      </c>
      <c r="G479" s="10">
        <v>8</v>
      </c>
      <c r="H479" s="10" t="s">
        <v>1831</v>
      </c>
      <c r="I479" s="10" t="s">
        <v>2518</v>
      </c>
      <c r="J479" s="10" t="s">
        <v>2519</v>
      </c>
      <c r="K479" s="10" t="s">
        <v>2523</v>
      </c>
      <c r="L479" s="65" t="str">
        <f t="shared" si="38"/>
        <v>Sanming|China|117,618614|26,248611|+8:00 Asia</v>
      </c>
      <c r="M479" s="10" t="s">
        <v>2768</v>
      </c>
      <c r="N479" s="10">
        <f t="shared" si="35"/>
        <v>0</v>
      </c>
      <c r="O479" t="str">
        <f t="shared" si="39"/>
        <v/>
      </c>
      <c r="P479" t="str">
        <f>IF(O479=1,COUNTIF($O$2:O479,1),"")</f>
        <v/>
      </c>
      <c r="Q479" t="str">
        <f>IFERROR(INDEX($M$2:$M$2388,MATCH(ROWS($P$2:P479),$P$2:$P$2388,0)),"")</f>
        <v/>
      </c>
    </row>
    <row r="480" spans="1:17" ht="15" x14ac:dyDescent="0.25">
      <c r="A480" s="10">
        <v>366</v>
      </c>
      <c r="B480" s="10" t="s">
        <v>2769</v>
      </c>
      <c r="C480" s="880">
        <f t="shared" si="36"/>
        <v>77.240499999999997</v>
      </c>
      <c r="D480" s="880">
        <f t="shared" si="37"/>
        <v>38.416600000000003</v>
      </c>
      <c r="E480" s="10">
        <v>77.240555000000001</v>
      </c>
      <c r="F480" s="10">
        <v>38.416668000000001</v>
      </c>
      <c r="G480" s="10">
        <v>8</v>
      </c>
      <c r="H480" s="10" t="s">
        <v>1831</v>
      </c>
      <c r="I480" s="10" t="s">
        <v>2518</v>
      </c>
      <c r="J480" s="10" t="s">
        <v>2519</v>
      </c>
      <c r="K480" s="10" t="s">
        <v>2520</v>
      </c>
      <c r="L480" s="65" t="str">
        <f t="shared" si="38"/>
        <v>Shache|China|77,240555|38,416668|+8:00 Asia</v>
      </c>
      <c r="M480" s="10" t="s">
        <v>2770</v>
      </c>
      <c r="N480" s="10">
        <f t="shared" si="35"/>
        <v>0</v>
      </c>
      <c r="O480" t="str">
        <f t="shared" si="39"/>
        <v/>
      </c>
      <c r="P480" t="str">
        <f>IF(O480=1,COUNTIF($O$2:O480,1),"")</f>
        <v/>
      </c>
      <c r="Q480" t="str">
        <f>IFERROR(INDEX($M$2:$M$2388,MATCH(ROWS($P$2:P480),$P$2:$P$2388,0)),"")</f>
        <v/>
      </c>
    </row>
    <row r="481" spans="1:17" ht="15" x14ac:dyDescent="0.25">
      <c r="A481" s="10">
        <v>442</v>
      </c>
      <c r="B481" s="10" t="s">
        <v>2771</v>
      </c>
      <c r="C481" s="880">
        <f t="shared" si="36"/>
        <v>121.458</v>
      </c>
      <c r="D481" s="880">
        <f t="shared" si="37"/>
        <v>31.222200000000001</v>
      </c>
      <c r="E481" s="10">
        <v>121.458054</v>
      </c>
      <c r="F481" s="10">
        <v>31.222221000000001</v>
      </c>
      <c r="G481" s="10">
        <v>8</v>
      </c>
      <c r="H481" s="10" t="s">
        <v>1831</v>
      </c>
      <c r="I481" s="10" t="s">
        <v>2518</v>
      </c>
      <c r="J481" s="10" t="s">
        <v>2519</v>
      </c>
      <c r="K481" s="10" t="s">
        <v>2523</v>
      </c>
      <c r="L481" s="65" t="str">
        <f t="shared" si="38"/>
        <v>Shanghai|China|121,458054|31,222221|+8:00 Asia</v>
      </c>
      <c r="M481" s="10" t="s">
        <v>2772</v>
      </c>
      <c r="N481" s="10">
        <f t="shared" si="35"/>
        <v>0</v>
      </c>
      <c r="O481" t="str">
        <f t="shared" si="39"/>
        <v/>
      </c>
      <c r="P481" t="str">
        <f>IF(O481=1,COUNTIF($O$2:O481,1),"")</f>
        <v/>
      </c>
      <c r="Q481" t="str">
        <f>IFERROR(INDEX($M$2:$M$2388,MATCH(ROWS($P$2:P481),$P$2:$P$2388,0)),"")</f>
        <v/>
      </c>
    </row>
    <row r="482" spans="1:17" ht="15" x14ac:dyDescent="0.25">
      <c r="A482" s="10">
        <v>441</v>
      </c>
      <c r="B482" s="10" t="s">
        <v>2773</v>
      </c>
      <c r="C482" s="880">
        <f t="shared" si="36"/>
        <v>116.67829999999999</v>
      </c>
      <c r="D482" s="880">
        <f t="shared" si="37"/>
        <v>23.36</v>
      </c>
      <c r="E482" s="10">
        <v>116.678337</v>
      </c>
      <c r="F482" s="10">
        <v>23.360001</v>
      </c>
      <c r="G482" s="10">
        <v>8</v>
      </c>
      <c r="H482" s="10" t="s">
        <v>1831</v>
      </c>
      <c r="I482" s="10" t="s">
        <v>2518</v>
      </c>
      <c r="J482" s="10" t="s">
        <v>2519</v>
      </c>
      <c r="K482" s="10" t="s">
        <v>2523</v>
      </c>
      <c r="L482" s="65" t="str">
        <f t="shared" si="38"/>
        <v>Shantou|China|116,678337|23,360001|+8:00 Asia</v>
      </c>
      <c r="M482" s="10" t="s">
        <v>2774</v>
      </c>
      <c r="N482" s="10">
        <f t="shared" si="35"/>
        <v>0</v>
      </c>
      <c r="O482" t="str">
        <f t="shared" si="39"/>
        <v/>
      </c>
      <c r="P482" t="str">
        <f>IF(O482=1,COUNTIF($O$2:O482,1),"")</f>
        <v/>
      </c>
      <c r="Q482" t="str">
        <f>IFERROR(INDEX($M$2:$M$2388,MATCH(ROWS($P$2:P482),$P$2:$P$2388,0)),"")</f>
        <v/>
      </c>
    </row>
    <row r="483" spans="1:17" ht="15" x14ac:dyDescent="0.25">
      <c r="A483" s="10">
        <v>440</v>
      </c>
      <c r="B483" s="10" t="s">
        <v>2775</v>
      </c>
      <c r="C483" s="880">
        <f t="shared" si="36"/>
        <v>113.58329999999999</v>
      </c>
      <c r="D483" s="880">
        <f t="shared" si="37"/>
        <v>24.799900000000001</v>
      </c>
      <c r="E483" s="10">
        <v>113.583336</v>
      </c>
      <c r="F483" s="10">
        <v>24.799999</v>
      </c>
      <c r="G483" s="10">
        <v>8</v>
      </c>
      <c r="H483" s="10" t="s">
        <v>1831</v>
      </c>
      <c r="I483" s="10" t="s">
        <v>2518</v>
      </c>
      <c r="J483" s="10" t="s">
        <v>2519</v>
      </c>
      <c r="K483" s="10" t="s">
        <v>2529</v>
      </c>
      <c r="L483" s="65" t="str">
        <f t="shared" si="38"/>
        <v>Shaoguan|China|113,583336|24,799999|+8:00 Asia</v>
      </c>
      <c r="M483" s="10" t="s">
        <v>2776</v>
      </c>
      <c r="N483" s="10">
        <f t="shared" si="35"/>
        <v>0</v>
      </c>
      <c r="O483" t="str">
        <f t="shared" si="39"/>
        <v/>
      </c>
      <c r="P483" t="str">
        <f>IF(O483=1,COUNTIF($O$2:O483,1),"")</f>
        <v/>
      </c>
      <c r="Q483" t="str">
        <f>IFERROR(INDEX($M$2:$M$2388,MATCH(ROWS($P$2:P483),$P$2:$P$2388,0)),"")</f>
        <v/>
      </c>
    </row>
    <row r="484" spans="1:17" ht="15" x14ac:dyDescent="0.25">
      <c r="A484" s="10">
        <v>439</v>
      </c>
      <c r="B484" s="10" t="s">
        <v>2777</v>
      </c>
      <c r="C484" s="880">
        <f t="shared" si="36"/>
        <v>120.58110000000001</v>
      </c>
      <c r="D484" s="880">
        <f t="shared" si="37"/>
        <v>30.0016</v>
      </c>
      <c r="E484" s="10">
        <v>120.581108</v>
      </c>
      <c r="F484" s="10">
        <v>30.001667000000001</v>
      </c>
      <c r="G484" s="10">
        <v>8</v>
      </c>
      <c r="H484" s="10" t="s">
        <v>1831</v>
      </c>
      <c r="I484" s="10" t="s">
        <v>2518</v>
      </c>
      <c r="J484" s="10" t="s">
        <v>2519</v>
      </c>
      <c r="K484" s="10" t="s">
        <v>2523</v>
      </c>
      <c r="L484" s="65" t="str">
        <f t="shared" si="38"/>
        <v>Shaoxing|China|120,581108|30,001667|+8:00 Asia</v>
      </c>
      <c r="M484" s="10" t="s">
        <v>2778</v>
      </c>
      <c r="N484" s="10">
        <f t="shared" si="35"/>
        <v>0</v>
      </c>
      <c r="O484" t="str">
        <f t="shared" si="39"/>
        <v/>
      </c>
      <c r="P484" t="str">
        <f>IF(O484=1,COUNTIF($O$2:O484,1),"")</f>
        <v/>
      </c>
      <c r="Q484" t="str">
        <f>IFERROR(INDEX($M$2:$M$2388,MATCH(ROWS($P$2:P484),$P$2:$P$2388,0)),"")</f>
        <v/>
      </c>
    </row>
    <row r="485" spans="1:17" ht="15" x14ac:dyDescent="0.25">
      <c r="A485" s="10">
        <v>438</v>
      </c>
      <c r="B485" s="10" t="s">
        <v>2779</v>
      </c>
      <c r="C485" s="880">
        <f t="shared" si="36"/>
        <v>112.24469999999999</v>
      </c>
      <c r="D485" s="880">
        <f t="shared" si="37"/>
        <v>30.307200000000002</v>
      </c>
      <c r="E485" s="10">
        <v>112.24472</v>
      </c>
      <c r="F485" s="10">
        <v>30.307221999999999</v>
      </c>
      <c r="G485" s="10">
        <v>8</v>
      </c>
      <c r="H485" s="10" t="s">
        <v>1831</v>
      </c>
      <c r="I485" s="10" t="s">
        <v>2518</v>
      </c>
      <c r="J485" s="10" t="s">
        <v>2519</v>
      </c>
      <c r="K485" s="10" t="s">
        <v>2529</v>
      </c>
      <c r="L485" s="65" t="str">
        <f t="shared" si="38"/>
        <v>Shashi|China|112,244720|30,307222|+8:00 Asia</v>
      </c>
      <c r="M485" s="10" t="s">
        <v>2780</v>
      </c>
      <c r="N485" s="10">
        <f t="shared" si="35"/>
        <v>0</v>
      </c>
      <c r="O485" t="str">
        <f t="shared" si="39"/>
        <v/>
      </c>
      <c r="P485" t="str">
        <f>IF(O485=1,COUNTIF($O$2:O485,1),"")</f>
        <v/>
      </c>
      <c r="Q485" t="str">
        <f>IFERROR(INDEX($M$2:$M$2388,MATCH(ROWS($P$2:P485),$P$2:$P$2388,0)),"")</f>
        <v/>
      </c>
    </row>
    <row r="486" spans="1:17" ht="15" x14ac:dyDescent="0.25">
      <c r="A486" s="10">
        <v>541</v>
      </c>
      <c r="B486" s="10" t="s">
        <v>2781</v>
      </c>
      <c r="C486" s="880">
        <f t="shared" si="36"/>
        <v>123.4327</v>
      </c>
      <c r="D486" s="880">
        <f t="shared" si="37"/>
        <v>41.792200000000001</v>
      </c>
      <c r="E486" s="10">
        <v>123.432777</v>
      </c>
      <c r="F486" s="10">
        <v>41.792220999999998</v>
      </c>
      <c r="G486" s="10">
        <v>8</v>
      </c>
      <c r="H486" s="10" t="s">
        <v>1831</v>
      </c>
      <c r="I486" s="10" t="s">
        <v>2518</v>
      </c>
      <c r="J486" s="10" t="s">
        <v>2519</v>
      </c>
      <c r="K486" s="10" t="s">
        <v>2526</v>
      </c>
      <c r="L486" s="65" t="str">
        <f t="shared" si="38"/>
        <v>Shenyang|China|123,432777|41,792221|+8:00 Asia</v>
      </c>
      <c r="M486" s="10" t="s">
        <v>2782</v>
      </c>
      <c r="N486" s="10">
        <f t="shared" si="35"/>
        <v>0</v>
      </c>
      <c r="O486" t="str">
        <f t="shared" si="39"/>
        <v/>
      </c>
      <c r="P486" t="str">
        <f>IF(O486=1,COUNTIF($O$2:O486,1),"")</f>
        <v/>
      </c>
      <c r="Q486" t="str">
        <f>IFERROR(INDEX($M$2:$M$2388,MATCH(ROWS($P$2:P486),$P$2:$P$2388,0)),"")</f>
        <v/>
      </c>
    </row>
    <row r="487" spans="1:17" ht="15" x14ac:dyDescent="0.25">
      <c r="A487" s="10">
        <v>437</v>
      </c>
      <c r="B487" s="10" t="s">
        <v>2783</v>
      </c>
      <c r="C487" s="880">
        <f t="shared" si="36"/>
        <v>114.0682</v>
      </c>
      <c r="D487" s="880">
        <f t="shared" si="37"/>
        <v>22.545500000000001</v>
      </c>
      <c r="E487" s="10">
        <v>114.068298</v>
      </c>
      <c r="F487" s="10">
        <v>22.545538000000001</v>
      </c>
      <c r="G487" s="10">
        <v>8</v>
      </c>
      <c r="H487" s="10" t="s">
        <v>1831</v>
      </c>
      <c r="I487" s="10" t="s">
        <v>2518</v>
      </c>
      <c r="J487" s="10" t="s">
        <v>2519</v>
      </c>
      <c r="K487" s="10" t="s">
        <v>2529</v>
      </c>
      <c r="L487" s="65" t="str">
        <f t="shared" si="38"/>
        <v>Shenzhen|China|114,068298|22,545538|+8:00 Asia</v>
      </c>
      <c r="M487" s="10" t="s">
        <v>2784</v>
      </c>
      <c r="N487" s="10">
        <f t="shared" si="35"/>
        <v>0</v>
      </c>
      <c r="O487" t="str">
        <f t="shared" si="39"/>
        <v/>
      </c>
      <c r="P487" t="str">
        <f>IF(O487=1,COUNTIF($O$2:O487,1),"")</f>
        <v/>
      </c>
      <c r="Q487" t="str">
        <f>IFERROR(INDEX($M$2:$M$2388,MATCH(ROWS($P$2:P487),$P$2:$P$2388,0)),"")</f>
        <v/>
      </c>
    </row>
    <row r="488" spans="1:17" ht="15" x14ac:dyDescent="0.25">
      <c r="A488" s="10">
        <v>371</v>
      </c>
      <c r="B488" s="10" t="s">
        <v>2785</v>
      </c>
      <c r="C488" s="880">
        <f t="shared" si="36"/>
        <v>86.033299999999997</v>
      </c>
      <c r="D488" s="880">
        <f t="shared" si="37"/>
        <v>44.299900000000001</v>
      </c>
      <c r="E488" s="10">
        <v>86.033332999999999</v>
      </c>
      <c r="F488" s="10">
        <v>44.299999</v>
      </c>
      <c r="G488" s="10">
        <v>8</v>
      </c>
      <c r="H488" s="10" t="s">
        <v>1831</v>
      </c>
      <c r="I488" s="10" t="s">
        <v>2518</v>
      </c>
      <c r="J488" s="10" t="s">
        <v>2519</v>
      </c>
      <c r="K488" s="10" t="s">
        <v>2786</v>
      </c>
      <c r="L488" s="65" t="str">
        <f t="shared" si="38"/>
        <v>Shihezi|China|86,033333|44,299999|+8:00 Asia</v>
      </c>
      <c r="M488" s="10" t="s">
        <v>2787</v>
      </c>
      <c r="N488" s="10">
        <f t="shared" si="35"/>
        <v>0</v>
      </c>
      <c r="O488" t="str">
        <f t="shared" si="39"/>
        <v/>
      </c>
      <c r="P488" t="str">
        <f>IF(O488=1,COUNTIF($O$2:O488,1),"")</f>
        <v/>
      </c>
      <c r="Q488" t="str">
        <f>IFERROR(INDEX($M$2:$M$2388,MATCH(ROWS($P$2:P488),$P$2:$P$2388,0)),"")</f>
        <v/>
      </c>
    </row>
    <row r="489" spans="1:17" ht="15" x14ac:dyDescent="0.25">
      <c r="A489" s="10">
        <v>436</v>
      </c>
      <c r="B489" s="10" t="s">
        <v>2788</v>
      </c>
      <c r="C489" s="880">
        <f t="shared" si="36"/>
        <v>114.4786</v>
      </c>
      <c r="D489" s="880">
        <f t="shared" si="37"/>
        <v>38.0413</v>
      </c>
      <c r="E489" s="10">
        <v>114.478615</v>
      </c>
      <c r="F489" s="10">
        <v>38.041389000000002</v>
      </c>
      <c r="G489" s="10">
        <v>8</v>
      </c>
      <c r="H489" s="10" t="s">
        <v>1831</v>
      </c>
      <c r="I489" s="10" t="s">
        <v>2518</v>
      </c>
      <c r="J489" s="10" t="s">
        <v>2519</v>
      </c>
      <c r="K489" s="10" t="s">
        <v>2523</v>
      </c>
      <c r="L489" s="65" t="str">
        <f t="shared" si="38"/>
        <v>Shijiazhuang|China|114,478615|38,041389|+8:00 Asia</v>
      </c>
      <c r="M489" s="10" t="s">
        <v>2789</v>
      </c>
      <c r="N489" s="10">
        <f t="shared" si="35"/>
        <v>0</v>
      </c>
      <c r="O489" t="str">
        <f t="shared" si="39"/>
        <v/>
      </c>
      <c r="P489" t="str">
        <f>IF(O489=1,COUNTIF($O$2:O489,1),"")</f>
        <v/>
      </c>
      <c r="Q489" t="str">
        <f>IFERROR(INDEX($M$2:$M$2388,MATCH(ROWS($P$2:P489),$P$2:$P$2388,0)),"")</f>
        <v/>
      </c>
    </row>
    <row r="490" spans="1:17" ht="15" x14ac:dyDescent="0.25">
      <c r="A490" s="10">
        <v>434</v>
      </c>
      <c r="B490" s="10" t="s">
        <v>2790</v>
      </c>
      <c r="C490" s="880">
        <f t="shared" si="36"/>
        <v>113.3661</v>
      </c>
      <c r="D490" s="880">
        <f t="shared" si="37"/>
        <v>22.517499999999998</v>
      </c>
      <c r="E490" s="10">
        <v>113.366112</v>
      </c>
      <c r="F490" s="10">
        <v>22.517499999999998</v>
      </c>
      <c r="G490" s="10">
        <v>8</v>
      </c>
      <c r="H490" s="10" t="s">
        <v>1831</v>
      </c>
      <c r="I490" s="10" t="s">
        <v>2518</v>
      </c>
      <c r="J490" s="10" t="s">
        <v>2519</v>
      </c>
      <c r="K490" s="10" t="s">
        <v>2529</v>
      </c>
      <c r="L490" s="65" t="str">
        <f t="shared" si="38"/>
        <v>Shiqi|China|113,366112|22,517500|+8:00 Asia</v>
      </c>
      <c r="M490" s="10" t="s">
        <v>2791</v>
      </c>
      <c r="N490" s="10">
        <f t="shared" si="35"/>
        <v>0</v>
      </c>
      <c r="O490" t="str">
        <f t="shared" si="39"/>
        <v/>
      </c>
      <c r="P490" t="str">
        <f>IF(O490=1,COUNTIF($O$2:O490,1),"")</f>
        <v/>
      </c>
      <c r="Q490" t="str">
        <f>IFERROR(INDEX($M$2:$M$2388,MATCH(ROWS($P$2:P490),$P$2:$P$2388,0)),"")</f>
        <v/>
      </c>
    </row>
    <row r="491" spans="1:17" ht="15" x14ac:dyDescent="0.25">
      <c r="A491" s="10">
        <v>432</v>
      </c>
      <c r="B491" s="10" t="s">
        <v>2792</v>
      </c>
      <c r="C491" s="880">
        <f t="shared" si="36"/>
        <v>110.77800000000001</v>
      </c>
      <c r="D491" s="880">
        <f t="shared" si="37"/>
        <v>32.647399999999998</v>
      </c>
      <c r="E491" s="10">
        <v>110.778053</v>
      </c>
      <c r="F491" s="10">
        <v>32.647499000000003</v>
      </c>
      <c r="G491" s="10">
        <v>8</v>
      </c>
      <c r="H491" s="10" t="s">
        <v>1831</v>
      </c>
      <c r="I491" s="10" t="s">
        <v>2518</v>
      </c>
      <c r="J491" s="10" t="s">
        <v>2519</v>
      </c>
      <c r="K491" s="10" t="s">
        <v>2529</v>
      </c>
      <c r="L491" s="65" t="str">
        <f t="shared" si="38"/>
        <v>Shiyan|China|110,778053|32,647499|+8:00 Asia</v>
      </c>
      <c r="M491" s="10" t="s">
        <v>2793</v>
      </c>
      <c r="N491" s="10">
        <f t="shared" si="35"/>
        <v>0</v>
      </c>
      <c r="O491" t="str">
        <f t="shared" si="39"/>
        <v/>
      </c>
      <c r="P491" t="str">
        <f>IF(O491=1,COUNTIF($O$2:O491,1),"")</f>
        <v/>
      </c>
      <c r="Q491" t="str">
        <f>IFERROR(INDEX($M$2:$M$2388,MATCH(ROWS($P$2:P491),$P$2:$P$2388,0)),"")</f>
        <v/>
      </c>
    </row>
    <row r="492" spans="1:17" ht="15" x14ac:dyDescent="0.25">
      <c r="A492" s="10">
        <v>433</v>
      </c>
      <c r="B492" s="10" t="s">
        <v>2792</v>
      </c>
      <c r="C492" s="880">
        <f t="shared" si="36"/>
        <v>110.7833</v>
      </c>
      <c r="D492" s="880">
        <f t="shared" si="37"/>
        <v>32.566600000000001</v>
      </c>
      <c r="E492" s="10">
        <v>110.783333</v>
      </c>
      <c r="F492" s="10">
        <v>32.566665999999998</v>
      </c>
      <c r="G492" s="10">
        <v>8</v>
      </c>
      <c r="H492" s="10" t="s">
        <v>1831</v>
      </c>
      <c r="I492" s="10" t="s">
        <v>2518</v>
      </c>
      <c r="J492" s="10" t="s">
        <v>2519</v>
      </c>
      <c r="K492" s="10" t="s">
        <v>2529</v>
      </c>
      <c r="L492" s="65" t="str">
        <f t="shared" si="38"/>
        <v>Shiyan|China|110,783333|32,566666|+8:00 Asia</v>
      </c>
      <c r="M492" s="10" t="s">
        <v>2794</v>
      </c>
      <c r="N492" s="10">
        <f t="shared" si="35"/>
        <v>0</v>
      </c>
      <c r="O492" t="str">
        <f t="shared" si="39"/>
        <v/>
      </c>
      <c r="P492" t="str">
        <f>IF(O492=1,COUNTIF($O$2:O492,1),"")</f>
        <v/>
      </c>
      <c r="Q492" t="str">
        <f>IFERROR(INDEX($M$2:$M$2388,MATCH(ROWS($P$2:P492),$P$2:$P$2388,0)),"")</f>
        <v/>
      </c>
    </row>
    <row r="493" spans="1:17" ht="15" x14ac:dyDescent="0.25">
      <c r="A493" s="10">
        <v>540</v>
      </c>
      <c r="B493" s="10" t="s">
        <v>2795</v>
      </c>
      <c r="C493" s="880">
        <f t="shared" si="36"/>
        <v>131.15379999999999</v>
      </c>
      <c r="D493" s="880">
        <f t="shared" si="37"/>
        <v>46.636099999999999</v>
      </c>
      <c r="E493" s="10">
        <v>131.153885</v>
      </c>
      <c r="F493" s="10">
        <v>46.636111999999997</v>
      </c>
      <c r="G493" s="10">
        <v>8</v>
      </c>
      <c r="H493" s="10" t="s">
        <v>1831</v>
      </c>
      <c r="I493" s="10" t="s">
        <v>2518</v>
      </c>
      <c r="J493" s="10" t="s">
        <v>2519</v>
      </c>
      <c r="K493" s="10" t="s">
        <v>2526</v>
      </c>
      <c r="L493" s="65" t="str">
        <f t="shared" si="38"/>
        <v>Shuangyashan|China|131,153885|46,636112|+8:00 Asia</v>
      </c>
      <c r="M493" s="10" t="s">
        <v>2796</v>
      </c>
      <c r="N493" s="10">
        <f t="shared" si="35"/>
        <v>0</v>
      </c>
      <c r="O493" t="str">
        <f t="shared" si="39"/>
        <v/>
      </c>
      <c r="P493" t="str">
        <f>IF(O493=1,COUNTIF($O$2:O493,1),"")</f>
        <v/>
      </c>
      <c r="Q493" t="str">
        <f>IFERROR(INDEX($M$2:$M$2388,MATCH(ROWS($P$2:P493),$P$2:$P$2388,0)),"")</f>
        <v/>
      </c>
    </row>
    <row r="494" spans="1:17" ht="15" x14ac:dyDescent="0.25">
      <c r="A494" s="10">
        <v>539</v>
      </c>
      <c r="B494" s="10" t="s">
        <v>2797</v>
      </c>
      <c r="C494" s="880">
        <f t="shared" si="36"/>
        <v>124.3686</v>
      </c>
      <c r="D494" s="880">
        <f t="shared" si="37"/>
        <v>43.1633</v>
      </c>
      <c r="E494" s="10">
        <v>124.36861399999999</v>
      </c>
      <c r="F494" s="10">
        <v>43.163333999999999</v>
      </c>
      <c r="G494" s="10">
        <v>8</v>
      </c>
      <c r="H494" s="10" t="s">
        <v>1831</v>
      </c>
      <c r="I494" s="10" t="s">
        <v>2518</v>
      </c>
      <c r="J494" s="10" t="s">
        <v>2519</v>
      </c>
      <c r="K494" s="10" t="s">
        <v>2526</v>
      </c>
      <c r="L494" s="65" t="str">
        <f t="shared" si="38"/>
        <v>Siping|China|124,368614|43,163334|+8:00 Asia</v>
      </c>
      <c r="M494" s="10" t="s">
        <v>2798</v>
      </c>
      <c r="N494" s="10">
        <f t="shared" si="35"/>
        <v>0</v>
      </c>
      <c r="O494" t="str">
        <f t="shared" si="39"/>
        <v/>
      </c>
      <c r="P494" t="str">
        <f>IF(O494=1,COUNTIF($O$2:O494,1),"")</f>
        <v/>
      </c>
      <c r="Q494" t="str">
        <f>IFERROR(INDEX($M$2:$M$2388,MATCH(ROWS($P$2:P494),$P$2:$P$2388,0)),"")</f>
        <v/>
      </c>
    </row>
    <row r="495" spans="1:17" ht="15" x14ac:dyDescent="0.25">
      <c r="A495" s="10">
        <v>538</v>
      </c>
      <c r="B495" s="10" t="s">
        <v>2799</v>
      </c>
      <c r="C495" s="880">
        <f t="shared" si="36"/>
        <v>126.9969</v>
      </c>
      <c r="D495" s="880">
        <f t="shared" si="37"/>
        <v>46.640500000000003</v>
      </c>
      <c r="E495" s="10">
        <v>126.99694100000001</v>
      </c>
      <c r="F495" s="10">
        <v>46.640555999999997</v>
      </c>
      <c r="G495" s="10">
        <v>8</v>
      </c>
      <c r="H495" s="10" t="s">
        <v>1831</v>
      </c>
      <c r="I495" s="10" t="s">
        <v>2518</v>
      </c>
      <c r="J495" s="10" t="s">
        <v>2519</v>
      </c>
      <c r="K495" s="10" t="s">
        <v>2526</v>
      </c>
      <c r="L495" s="65" t="str">
        <f t="shared" si="38"/>
        <v>Suihua|China|126,996941|46,640556|+8:00 Asia</v>
      </c>
      <c r="M495" s="10" t="s">
        <v>2800</v>
      </c>
      <c r="N495" s="10">
        <f t="shared" si="35"/>
        <v>0</v>
      </c>
      <c r="O495" t="str">
        <f t="shared" si="39"/>
        <v/>
      </c>
      <c r="P495" t="str">
        <f>IF(O495=1,COUNTIF($O$2:O495,1),"")</f>
        <v/>
      </c>
      <c r="Q495" t="str">
        <f>IFERROR(INDEX($M$2:$M$2388,MATCH(ROWS($P$2:P495),$P$2:$P$2388,0)),"")</f>
        <v/>
      </c>
    </row>
    <row r="496" spans="1:17" ht="15" x14ac:dyDescent="0.25">
      <c r="A496" s="10">
        <v>431</v>
      </c>
      <c r="B496" s="10" t="s">
        <v>2801</v>
      </c>
      <c r="C496" s="880">
        <f t="shared" si="36"/>
        <v>113.363</v>
      </c>
      <c r="D496" s="880">
        <f t="shared" si="37"/>
        <v>31.711099999999998</v>
      </c>
      <c r="E496" s="10">
        <v>113.363052</v>
      </c>
      <c r="F496" s="10">
        <v>31.711110999999999</v>
      </c>
      <c r="G496" s="10">
        <v>8</v>
      </c>
      <c r="H496" s="10" t="s">
        <v>1831</v>
      </c>
      <c r="I496" s="10" t="s">
        <v>2518</v>
      </c>
      <c r="J496" s="10" t="s">
        <v>2519</v>
      </c>
      <c r="K496" s="10" t="s">
        <v>2529</v>
      </c>
      <c r="L496" s="65" t="str">
        <f t="shared" si="38"/>
        <v>Suizhou|China|113,363052|31,711111|+8:00 Asia</v>
      </c>
      <c r="M496" s="10" t="s">
        <v>2802</v>
      </c>
      <c r="N496" s="10">
        <f t="shared" si="35"/>
        <v>0</v>
      </c>
      <c r="O496" t="str">
        <f t="shared" si="39"/>
        <v/>
      </c>
      <c r="P496" t="str">
        <f>IF(O496=1,COUNTIF($O$2:O496,1),"")</f>
        <v/>
      </c>
      <c r="Q496" t="str">
        <f>IFERROR(INDEX($M$2:$M$2388,MATCH(ROWS($P$2:P496),$P$2:$P$2388,0)),"")</f>
        <v/>
      </c>
    </row>
    <row r="497" spans="1:17" ht="15" x14ac:dyDescent="0.25">
      <c r="A497" s="10">
        <v>365</v>
      </c>
      <c r="B497" s="10" t="s">
        <v>2803</v>
      </c>
      <c r="C497" s="880">
        <f t="shared" si="36"/>
        <v>98.566599999999994</v>
      </c>
      <c r="D497" s="880">
        <f t="shared" si="37"/>
        <v>39.766599999999997</v>
      </c>
      <c r="E497" s="10">
        <v>98.566665999999998</v>
      </c>
      <c r="F497" s="10">
        <v>39.766666000000001</v>
      </c>
      <c r="G497" s="10">
        <v>8</v>
      </c>
      <c r="H497" s="10" t="s">
        <v>1831</v>
      </c>
      <c r="I497" s="10" t="s">
        <v>2518</v>
      </c>
      <c r="J497" s="10" t="s">
        <v>2519</v>
      </c>
      <c r="K497" s="10" t="s">
        <v>2523</v>
      </c>
      <c r="L497" s="65" t="str">
        <f t="shared" si="38"/>
        <v>Suzhou|China|98,566666|39,766666|+8:00 Asia</v>
      </c>
      <c r="M497" s="10" t="s">
        <v>2804</v>
      </c>
      <c r="N497" s="10">
        <f t="shared" si="35"/>
        <v>0</v>
      </c>
      <c r="O497" t="str">
        <f t="shared" si="39"/>
        <v/>
      </c>
      <c r="P497" t="str">
        <f>IF(O497=1,COUNTIF($O$2:O497,1),"")</f>
        <v/>
      </c>
      <c r="Q497" t="str">
        <f>IFERROR(INDEX($M$2:$M$2388,MATCH(ROWS($P$2:P497),$P$2:$P$2388,0)),"")</f>
        <v/>
      </c>
    </row>
    <row r="498" spans="1:17" ht="15" x14ac:dyDescent="0.25">
      <c r="A498" s="10">
        <v>430</v>
      </c>
      <c r="B498" s="10" t="s">
        <v>2803</v>
      </c>
      <c r="C498" s="880">
        <f t="shared" si="36"/>
        <v>116.97880000000001</v>
      </c>
      <c r="D498" s="880">
        <f t="shared" si="37"/>
        <v>33.636099999999999</v>
      </c>
      <c r="E498" s="10">
        <v>116.978889</v>
      </c>
      <c r="F498" s="10">
        <v>33.636111999999997</v>
      </c>
      <c r="G498" s="10">
        <v>8</v>
      </c>
      <c r="H498" s="10" t="s">
        <v>1831</v>
      </c>
      <c r="I498" s="10" t="s">
        <v>2518</v>
      </c>
      <c r="J498" s="10" t="s">
        <v>2519</v>
      </c>
      <c r="K498" s="10" t="s">
        <v>2523</v>
      </c>
      <c r="L498" s="65" t="str">
        <f t="shared" si="38"/>
        <v>Suzhou|China|116,978889|33,636112|+8:00 Asia</v>
      </c>
      <c r="M498" s="10" t="s">
        <v>2805</v>
      </c>
      <c r="N498" s="10">
        <f t="shared" si="35"/>
        <v>0</v>
      </c>
      <c r="O498" t="str">
        <f t="shared" si="39"/>
        <v/>
      </c>
      <c r="P498" t="str">
        <f>IF(O498=1,COUNTIF($O$2:O498,1),"")</f>
        <v/>
      </c>
      <c r="Q498" t="str">
        <f>IFERROR(INDEX($M$2:$M$2388,MATCH(ROWS($P$2:P498),$P$2:$P$2388,0)),"")</f>
        <v/>
      </c>
    </row>
    <row r="499" spans="1:17" ht="15" x14ac:dyDescent="0.25">
      <c r="A499" s="10">
        <v>531</v>
      </c>
      <c r="B499" s="10" t="s">
        <v>2803</v>
      </c>
      <c r="C499" s="880">
        <f t="shared" si="36"/>
        <v>120.61799999999999</v>
      </c>
      <c r="D499" s="880">
        <f t="shared" si="37"/>
        <v>31.311299999999999</v>
      </c>
      <c r="E499" s="10">
        <v>120.61805699999999</v>
      </c>
      <c r="F499" s="10">
        <v>31.311388000000001</v>
      </c>
      <c r="G499" s="10">
        <v>8</v>
      </c>
      <c r="H499" s="10" t="s">
        <v>1831</v>
      </c>
      <c r="I499" s="10" t="s">
        <v>2518</v>
      </c>
      <c r="J499" s="10" t="s">
        <v>2519</v>
      </c>
      <c r="K499" s="10" t="s">
        <v>2523</v>
      </c>
      <c r="L499" s="65" t="str">
        <f t="shared" si="38"/>
        <v>Suzhou|China|120,618057|31,311388|+8:00 Asia</v>
      </c>
      <c r="M499" s="10" t="s">
        <v>2806</v>
      </c>
      <c r="N499" s="10">
        <f t="shared" si="35"/>
        <v>0</v>
      </c>
      <c r="O499" t="str">
        <f t="shared" si="39"/>
        <v/>
      </c>
      <c r="P499" t="str">
        <f>IF(O499=1,COUNTIF($O$2:O499,1),"")</f>
        <v/>
      </c>
      <c r="Q499" t="str">
        <f>IFERROR(INDEX($M$2:$M$2388,MATCH(ROWS($P$2:P499),$P$2:$P$2388,0)),"")</f>
        <v/>
      </c>
    </row>
    <row r="500" spans="1:17" ht="15" x14ac:dyDescent="0.25">
      <c r="A500" s="10">
        <v>429</v>
      </c>
      <c r="B500" s="10" t="s">
        <v>2807</v>
      </c>
      <c r="C500" s="880">
        <f t="shared" si="36"/>
        <v>117.12</v>
      </c>
      <c r="D500" s="880">
        <f t="shared" si="37"/>
        <v>36.185200000000002</v>
      </c>
      <c r="E500" s="10">
        <v>117.120003</v>
      </c>
      <c r="F500" s="10">
        <v>36.185276000000002</v>
      </c>
      <c r="G500" s="10">
        <v>8</v>
      </c>
      <c r="H500" s="10" t="s">
        <v>1831</v>
      </c>
      <c r="I500" s="10" t="s">
        <v>2518</v>
      </c>
      <c r="J500" s="10" t="s">
        <v>2519</v>
      </c>
      <c r="K500" s="10" t="s">
        <v>2523</v>
      </c>
      <c r="L500" s="65" t="str">
        <f t="shared" si="38"/>
        <v>Tai'an|China|117,120003|36,185276|+8:00 Asia</v>
      </c>
      <c r="M500" s="10" t="s">
        <v>2808</v>
      </c>
      <c r="N500" s="10">
        <f t="shared" si="35"/>
        <v>0</v>
      </c>
      <c r="O500" t="str">
        <f t="shared" si="39"/>
        <v/>
      </c>
      <c r="P500" t="str">
        <f>IF(O500=1,COUNTIF($O$2:O500,1),"")</f>
        <v/>
      </c>
      <c r="Q500" t="str">
        <f>IFERROR(INDEX($M$2:$M$2388,MATCH(ROWS($P$2:P500),$P$2:$P$2388,0)),"")</f>
        <v/>
      </c>
    </row>
    <row r="501" spans="1:17" ht="15" x14ac:dyDescent="0.25">
      <c r="A501" s="10">
        <v>428</v>
      </c>
      <c r="B501" s="10" t="s">
        <v>2809</v>
      </c>
      <c r="C501" s="880">
        <f t="shared" si="36"/>
        <v>112.56019999999999</v>
      </c>
      <c r="D501" s="880">
        <f t="shared" si="37"/>
        <v>37.869399999999999</v>
      </c>
      <c r="E501" s="10">
        <v>112.56028000000001</v>
      </c>
      <c r="F501" s="10">
        <v>37.869446000000003</v>
      </c>
      <c r="G501" s="10">
        <v>8</v>
      </c>
      <c r="H501" s="10" t="s">
        <v>1831</v>
      </c>
      <c r="I501" s="10" t="s">
        <v>2518</v>
      </c>
      <c r="J501" s="10" t="s">
        <v>2519</v>
      </c>
      <c r="K501" s="10" t="s">
        <v>2529</v>
      </c>
      <c r="L501" s="65" t="str">
        <f t="shared" si="38"/>
        <v>Taiyuan|China|112,560280|37,869446|+8:00 Asia</v>
      </c>
      <c r="M501" s="10" t="s">
        <v>2810</v>
      </c>
      <c r="N501" s="10">
        <f t="shared" si="35"/>
        <v>0</v>
      </c>
      <c r="O501" t="str">
        <f t="shared" si="39"/>
        <v/>
      </c>
      <c r="P501" t="str">
        <f>IF(O501=1,COUNTIF($O$2:O501,1),"")</f>
        <v/>
      </c>
      <c r="Q501" t="str">
        <f>IFERROR(INDEX($M$2:$M$2388,MATCH(ROWS($P$2:P501),$P$2:$P$2388,0)),"")</f>
        <v/>
      </c>
    </row>
    <row r="502" spans="1:17" ht="15" x14ac:dyDescent="0.25">
      <c r="A502" s="10">
        <v>427</v>
      </c>
      <c r="B502" s="10" t="s">
        <v>2811</v>
      </c>
      <c r="C502" s="880">
        <f t="shared" si="36"/>
        <v>119.908</v>
      </c>
      <c r="D502" s="880">
        <f t="shared" si="37"/>
        <v>32.493299999999998</v>
      </c>
      <c r="E502" s="10">
        <v>119.908058</v>
      </c>
      <c r="F502" s="10">
        <v>32.493332000000002</v>
      </c>
      <c r="G502" s="10">
        <v>8</v>
      </c>
      <c r="H502" s="10" t="s">
        <v>1831</v>
      </c>
      <c r="I502" s="10" t="s">
        <v>2518</v>
      </c>
      <c r="J502" s="10" t="s">
        <v>2519</v>
      </c>
      <c r="K502" s="10" t="s">
        <v>2523</v>
      </c>
      <c r="L502" s="65" t="str">
        <f t="shared" si="38"/>
        <v>Taizhou|China|119,908058|32,493332|+8:00 Asia</v>
      </c>
      <c r="M502" s="10" t="s">
        <v>2812</v>
      </c>
      <c r="N502" s="10">
        <f t="shared" si="35"/>
        <v>0</v>
      </c>
      <c r="O502" t="str">
        <f t="shared" si="39"/>
        <v/>
      </c>
      <c r="P502" t="str">
        <f>IF(O502=1,COUNTIF($O$2:O502,1),"")</f>
        <v/>
      </c>
      <c r="Q502" t="str">
        <f>IFERROR(INDEX($M$2:$M$2388,MATCH(ROWS($P$2:P502),$P$2:$P$2388,0)),"")</f>
        <v/>
      </c>
    </row>
    <row r="503" spans="1:17" ht="15" x14ac:dyDescent="0.25">
      <c r="A503" s="10">
        <v>426</v>
      </c>
      <c r="B503" s="10" t="s">
        <v>2813</v>
      </c>
      <c r="C503" s="880">
        <f t="shared" si="36"/>
        <v>117.6469</v>
      </c>
      <c r="D503" s="880">
        <f t="shared" si="37"/>
        <v>39.021099999999997</v>
      </c>
      <c r="E503" s="10">
        <v>117.646942</v>
      </c>
      <c r="F503" s="10">
        <v>39.021110999999998</v>
      </c>
      <c r="G503" s="10">
        <v>8</v>
      </c>
      <c r="H503" s="10" t="s">
        <v>1831</v>
      </c>
      <c r="I503" s="10" t="s">
        <v>2518</v>
      </c>
      <c r="J503" s="10" t="s">
        <v>2519</v>
      </c>
      <c r="K503" s="10" t="s">
        <v>2523</v>
      </c>
      <c r="L503" s="65" t="str">
        <f t="shared" si="38"/>
        <v>Tanggu|China|117,646942|39,021111|+8:00 Asia</v>
      </c>
      <c r="M503" s="10" t="s">
        <v>2814</v>
      </c>
      <c r="N503" s="10">
        <f t="shared" si="35"/>
        <v>0</v>
      </c>
      <c r="O503" t="str">
        <f t="shared" si="39"/>
        <v/>
      </c>
      <c r="P503" t="str">
        <f>IF(O503=1,COUNTIF($O$2:O503,1),"")</f>
        <v/>
      </c>
      <c r="Q503" t="str">
        <f>IFERROR(INDEX($M$2:$M$2388,MATCH(ROWS($P$2:P503),$P$2:$P$2388,0)),"")</f>
        <v/>
      </c>
    </row>
    <row r="504" spans="1:17" ht="15" x14ac:dyDescent="0.25">
      <c r="A504" s="10">
        <v>425</v>
      </c>
      <c r="B504" s="10" t="s">
        <v>2815</v>
      </c>
      <c r="C504" s="880">
        <f t="shared" si="36"/>
        <v>118.1833</v>
      </c>
      <c r="D504" s="880">
        <f t="shared" si="37"/>
        <v>39.633299999999998</v>
      </c>
      <c r="E504" s="10">
        <v>118.183334</v>
      </c>
      <c r="F504" s="10">
        <v>39.633335000000002</v>
      </c>
      <c r="G504" s="10">
        <v>8</v>
      </c>
      <c r="H504" s="10" t="s">
        <v>1831</v>
      </c>
      <c r="I504" s="10" t="s">
        <v>2518</v>
      </c>
      <c r="J504" s="10" t="s">
        <v>2519</v>
      </c>
      <c r="K504" s="10" t="s">
        <v>2526</v>
      </c>
      <c r="L504" s="65" t="str">
        <f t="shared" si="38"/>
        <v>Tangshan|China|118,183334|39,633335|+8:00 Asia</v>
      </c>
      <c r="M504" s="10" t="s">
        <v>2816</v>
      </c>
      <c r="N504" s="10">
        <f t="shared" si="35"/>
        <v>0</v>
      </c>
      <c r="O504" t="str">
        <f t="shared" si="39"/>
        <v/>
      </c>
      <c r="P504" t="str">
        <f>IF(O504=1,COUNTIF($O$2:O504,1),"")</f>
        <v/>
      </c>
      <c r="Q504" t="str">
        <f>IFERROR(INDEX($M$2:$M$2388,MATCH(ROWS($P$2:P504),$P$2:$P$2388,0)),"")</f>
        <v/>
      </c>
    </row>
    <row r="505" spans="1:17" ht="15" x14ac:dyDescent="0.25">
      <c r="A505" s="10">
        <v>424</v>
      </c>
      <c r="B505" s="10" t="s">
        <v>2817</v>
      </c>
      <c r="C505" s="880">
        <f t="shared" si="36"/>
        <v>117.17659999999999</v>
      </c>
      <c r="D505" s="880">
        <f t="shared" si="37"/>
        <v>39.142200000000003</v>
      </c>
      <c r="E505" s="10">
        <v>117.176666</v>
      </c>
      <c r="F505" s="10">
        <v>39.142223000000001</v>
      </c>
      <c r="G505" s="10">
        <v>8</v>
      </c>
      <c r="H505" s="10" t="s">
        <v>1831</v>
      </c>
      <c r="I505" s="10" t="s">
        <v>2518</v>
      </c>
      <c r="J505" s="10" t="s">
        <v>2519</v>
      </c>
      <c r="K505" s="10" t="s">
        <v>2523</v>
      </c>
      <c r="L505" s="65" t="str">
        <f t="shared" si="38"/>
        <v>Tianjin|China|117,176666|39,142223|+8:00 Asia</v>
      </c>
      <c r="M505" s="10" t="s">
        <v>2818</v>
      </c>
      <c r="N505" s="10">
        <f t="shared" si="35"/>
        <v>0</v>
      </c>
      <c r="O505" t="str">
        <f t="shared" si="39"/>
        <v/>
      </c>
      <c r="P505" t="str">
        <f>IF(O505=1,COUNTIF($O$2:O505,1),"")</f>
        <v/>
      </c>
      <c r="Q505" t="str">
        <f>IFERROR(INDEX($M$2:$M$2388,MATCH(ROWS($P$2:P505),$P$2:$P$2388,0)),"")</f>
        <v/>
      </c>
    </row>
    <row r="506" spans="1:17" ht="15" x14ac:dyDescent="0.25">
      <c r="A506" s="10">
        <v>537</v>
      </c>
      <c r="B506" s="10" t="s">
        <v>2819</v>
      </c>
      <c r="C506" s="880">
        <f t="shared" si="36"/>
        <v>123.8413</v>
      </c>
      <c r="D506" s="880">
        <f t="shared" si="37"/>
        <v>42.292999999999999</v>
      </c>
      <c r="E506" s="10">
        <v>123.841393</v>
      </c>
      <c r="F506" s="10">
        <v>42.293056</v>
      </c>
      <c r="G506" s="10">
        <v>8</v>
      </c>
      <c r="H506" s="10" t="s">
        <v>1831</v>
      </c>
      <c r="I506" s="10" t="s">
        <v>2518</v>
      </c>
      <c r="J506" s="10" t="s">
        <v>2519</v>
      </c>
      <c r="K506" s="10" t="s">
        <v>2526</v>
      </c>
      <c r="L506" s="65" t="str">
        <f t="shared" si="38"/>
        <v>Tieling|China|123,841393|42,293056|+8:00 Asia</v>
      </c>
      <c r="M506" s="10" t="s">
        <v>2820</v>
      </c>
      <c r="N506" s="10">
        <f t="shared" si="35"/>
        <v>0</v>
      </c>
      <c r="O506" t="str">
        <f t="shared" si="39"/>
        <v/>
      </c>
      <c r="P506" t="str">
        <f>IF(O506=1,COUNTIF($O$2:O506,1),"")</f>
        <v/>
      </c>
      <c r="Q506" t="str">
        <f>IFERROR(INDEX($M$2:$M$2388,MATCH(ROWS($P$2:P506),$P$2:$P$2388,0)),"")</f>
        <v/>
      </c>
    </row>
    <row r="507" spans="1:17" ht="15" x14ac:dyDescent="0.25">
      <c r="A507" s="10">
        <v>435</v>
      </c>
      <c r="B507" s="10" t="s">
        <v>2821</v>
      </c>
      <c r="C507" s="880">
        <f t="shared" si="36"/>
        <v>109.08969999999999</v>
      </c>
      <c r="D507" s="880">
        <f t="shared" si="37"/>
        <v>35.080500000000001</v>
      </c>
      <c r="E507" s="10">
        <v>109.08972199999999</v>
      </c>
      <c r="F507" s="10">
        <v>35.080554999999997</v>
      </c>
      <c r="G507" s="10">
        <v>8</v>
      </c>
      <c r="H507" s="10" t="s">
        <v>1831</v>
      </c>
      <c r="I507" s="10" t="s">
        <v>2518</v>
      </c>
      <c r="J507" s="10" t="s">
        <v>2519</v>
      </c>
      <c r="K507" s="10" t="s">
        <v>2529</v>
      </c>
      <c r="L507" s="65" t="str">
        <f t="shared" si="38"/>
        <v>Tongchuan|China|109,089722|35,080555|+8:00 Asia</v>
      </c>
      <c r="M507" s="10" t="s">
        <v>2822</v>
      </c>
      <c r="N507" s="10">
        <f t="shared" si="35"/>
        <v>0</v>
      </c>
      <c r="O507" t="str">
        <f t="shared" si="39"/>
        <v/>
      </c>
      <c r="P507" t="str">
        <f>IF(O507=1,COUNTIF($O$2:O507,1),"")</f>
        <v/>
      </c>
      <c r="Q507" t="str">
        <f>IFERROR(INDEX($M$2:$M$2388,MATCH(ROWS($P$2:P507),$P$2:$P$2388,0)),"")</f>
        <v/>
      </c>
    </row>
    <row r="508" spans="1:17" ht="15" x14ac:dyDescent="0.25">
      <c r="A508" s="10">
        <v>536</v>
      </c>
      <c r="B508" s="10" t="s">
        <v>2823</v>
      </c>
      <c r="C508" s="880">
        <f t="shared" si="36"/>
        <v>122.26519999999999</v>
      </c>
      <c r="D508" s="880">
        <f t="shared" si="37"/>
        <v>43.612400000000001</v>
      </c>
      <c r="E508" s="10">
        <v>122.26527400000001</v>
      </c>
      <c r="F508" s="10">
        <v>43.612499</v>
      </c>
      <c r="G508" s="10">
        <v>8</v>
      </c>
      <c r="H508" s="10" t="s">
        <v>1831</v>
      </c>
      <c r="I508" s="10" t="s">
        <v>2518</v>
      </c>
      <c r="J508" s="10" t="s">
        <v>2519</v>
      </c>
      <c r="K508" s="10" t="s">
        <v>2526</v>
      </c>
      <c r="L508" s="65" t="str">
        <f t="shared" si="38"/>
        <v>Tongliao|China|122,265274|43,612499|+8:00 Asia</v>
      </c>
      <c r="M508" s="10" t="s">
        <v>2824</v>
      </c>
      <c r="N508" s="10">
        <f t="shared" si="35"/>
        <v>0</v>
      </c>
      <c r="O508" t="str">
        <f t="shared" si="39"/>
        <v/>
      </c>
      <c r="P508" t="str">
        <f>IF(O508=1,COUNTIF($O$2:O508,1),"")</f>
        <v/>
      </c>
      <c r="Q508" t="str">
        <f>IFERROR(INDEX($M$2:$M$2388,MATCH(ROWS($P$2:P508),$P$2:$P$2388,0)),"")</f>
        <v/>
      </c>
    </row>
    <row r="509" spans="1:17" ht="15" x14ac:dyDescent="0.25">
      <c r="A509" s="10">
        <v>423</v>
      </c>
      <c r="B509" s="10" t="s">
        <v>2825</v>
      </c>
      <c r="C509" s="880">
        <f t="shared" si="36"/>
        <v>117.7833</v>
      </c>
      <c r="D509" s="880">
        <f t="shared" si="37"/>
        <v>30.95</v>
      </c>
      <c r="E509" s="10">
        <v>117.783333</v>
      </c>
      <c r="F509" s="10">
        <v>30.950001</v>
      </c>
      <c r="G509" s="10">
        <v>8</v>
      </c>
      <c r="H509" s="10" t="s">
        <v>1831</v>
      </c>
      <c r="I509" s="10" t="s">
        <v>2518</v>
      </c>
      <c r="J509" s="10" t="s">
        <v>2519</v>
      </c>
      <c r="K509" s="10" t="s">
        <v>2523</v>
      </c>
      <c r="L509" s="65" t="str">
        <f t="shared" si="38"/>
        <v>Tongling|China|117,783333|30,950001|+8:00 Asia</v>
      </c>
      <c r="M509" s="10" t="s">
        <v>2826</v>
      </c>
      <c r="N509" s="10">
        <f t="shared" si="35"/>
        <v>0</v>
      </c>
      <c r="O509" t="str">
        <f t="shared" si="39"/>
        <v/>
      </c>
      <c r="P509" t="str">
        <f>IF(O509=1,COUNTIF($O$2:O509,1),"")</f>
        <v/>
      </c>
      <c r="Q509" t="str">
        <f>IFERROR(INDEX($M$2:$M$2388,MATCH(ROWS($P$2:P509),$P$2:$P$2388,0)),"")</f>
        <v/>
      </c>
    </row>
    <row r="510" spans="1:17" ht="15" x14ac:dyDescent="0.25">
      <c r="A510" s="10">
        <v>370</v>
      </c>
      <c r="B510" s="10" t="s">
        <v>2827</v>
      </c>
      <c r="C510" s="880">
        <f t="shared" si="36"/>
        <v>89.166600000000003</v>
      </c>
      <c r="D510" s="880">
        <f t="shared" si="37"/>
        <v>42.933300000000003</v>
      </c>
      <c r="E510" s="10">
        <v>89.166663999999997</v>
      </c>
      <c r="F510" s="10">
        <v>42.933334000000002</v>
      </c>
      <c r="G510" s="10">
        <v>8</v>
      </c>
      <c r="H510" s="10" t="s">
        <v>1831</v>
      </c>
      <c r="I510" s="10" t="s">
        <v>2518</v>
      </c>
      <c r="J510" s="10" t="s">
        <v>2519</v>
      </c>
      <c r="K510" s="10" t="s">
        <v>2786</v>
      </c>
      <c r="L510" s="65" t="str">
        <f t="shared" si="38"/>
        <v>Turpan|China|89,166664|42,933334|+8:00 Asia</v>
      </c>
      <c r="M510" s="10" t="s">
        <v>2828</v>
      </c>
      <c r="N510" s="10">
        <f t="shared" si="35"/>
        <v>0</v>
      </c>
      <c r="O510" t="str">
        <f t="shared" si="39"/>
        <v/>
      </c>
      <c r="P510" t="str">
        <f>IF(O510=1,COUNTIF($O$2:O510,1),"")</f>
        <v/>
      </c>
      <c r="Q510" t="str">
        <f>IFERROR(INDEX($M$2:$M$2388,MATCH(ROWS($P$2:P510),$P$2:$P$2388,0)),"")</f>
        <v/>
      </c>
    </row>
    <row r="511" spans="1:17" ht="15" x14ac:dyDescent="0.25">
      <c r="A511" s="10">
        <v>369</v>
      </c>
      <c r="B511" s="10" t="s">
        <v>2829</v>
      </c>
      <c r="C511" s="880">
        <f t="shared" si="36"/>
        <v>87.583299999999994</v>
      </c>
      <c r="D511" s="880">
        <f t="shared" si="37"/>
        <v>43.799900000000001</v>
      </c>
      <c r="E511" s="10">
        <v>87.583336000000003</v>
      </c>
      <c r="F511" s="10">
        <v>43.799999</v>
      </c>
      <c r="G511" s="10">
        <v>8</v>
      </c>
      <c r="H511" s="10" t="s">
        <v>1831</v>
      </c>
      <c r="I511" s="10" t="s">
        <v>2518</v>
      </c>
      <c r="J511" s="10" t="s">
        <v>2519</v>
      </c>
      <c r="K511" s="10" t="s">
        <v>2786</v>
      </c>
      <c r="L511" s="65" t="str">
        <f t="shared" si="38"/>
        <v>Urumqi|China|87,583336|43,799999|+8:00 Asia</v>
      </c>
      <c r="M511" s="10" t="s">
        <v>2830</v>
      </c>
      <c r="N511" s="10">
        <f t="shared" si="35"/>
        <v>0</v>
      </c>
      <c r="O511" t="str">
        <f t="shared" si="39"/>
        <v/>
      </c>
      <c r="P511" t="str">
        <f>IF(O511=1,COUNTIF($O$2:O511,1),"")</f>
        <v/>
      </c>
      <c r="Q511" t="str">
        <f>IFERROR(INDEX($M$2:$M$2388,MATCH(ROWS($P$2:P511),$P$2:$P$2388,0)),"")</f>
        <v/>
      </c>
    </row>
    <row r="512" spans="1:17" ht="15" x14ac:dyDescent="0.25">
      <c r="A512" s="10">
        <v>422</v>
      </c>
      <c r="B512" s="10" t="s">
        <v>2831</v>
      </c>
      <c r="C512" s="880">
        <f t="shared" si="36"/>
        <v>122.008</v>
      </c>
      <c r="D512" s="880">
        <f t="shared" si="37"/>
        <v>39.618299999999998</v>
      </c>
      <c r="E512" s="10">
        <v>122.00805699999999</v>
      </c>
      <c r="F512" s="10">
        <v>39.618332000000002</v>
      </c>
      <c r="G512" s="10">
        <v>8</v>
      </c>
      <c r="H512" s="10" t="s">
        <v>1831</v>
      </c>
      <c r="I512" s="10" t="s">
        <v>2518</v>
      </c>
      <c r="J512" s="10" t="s">
        <v>2519</v>
      </c>
      <c r="K512" s="10" t="s">
        <v>2526</v>
      </c>
      <c r="L512" s="65" t="str">
        <f t="shared" si="38"/>
        <v>Wafangdian|China|122,008057|39,618332|+8:00 Asia</v>
      </c>
      <c r="M512" s="10" t="s">
        <v>2832</v>
      </c>
      <c r="N512" s="10">
        <f t="shared" si="35"/>
        <v>0</v>
      </c>
      <c r="O512" t="str">
        <f t="shared" si="39"/>
        <v/>
      </c>
      <c r="P512" t="str">
        <f>IF(O512=1,COUNTIF($O$2:O512,1),"")</f>
        <v/>
      </c>
      <c r="Q512" t="str">
        <f>IFERROR(INDEX($M$2:$M$2388,MATCH(ROWS($P$2:P512),$P$2:$P$2388,0)),"")</f>
        <v/>
      </c>
    </row>
    <row r="513" spans="1:17" ht="15" x14ac:dyDescent="0.25">
      <c r="A513" s="10">
        <v>421</v>
      </c>
      <c r="B513" s="10" t="s">
        <v>2833</v>
      </c>
      <c r="C513" s="880">
        <f t="shared" si="36"/>
        <v>119.1019</v>
      </c>
      <c r="D513" s="880">
        <f t="shared" si="37"/>
        <v>36.709899999999998</v>
      </c>
      <c r="E513" s="10">
        <v>119.101944</v>
      </c>
      <c r="F513" s="10">
        <v>36.709999000000003</v>
      </c>
      <c r="G513" s="10">
        <v>8</v>
      </c>
      <c r="H513" s="10" t="s">
        <v>1831</v>
      </c>
      <c r="I513" s="10" t="s">
        <v>2518</v>
      </c>
      <c r="J513" s="10" t="s">
        <v>2519</v>
      </c>
      <c r="K513" s="10" t="s">
        <v>2523</v>
      </c>
      <c r="L513" s="65" t="str">
        <f t="shared" si="38"/>
        <v>Weifang|China|119,101944|36,709999|+8:00 Asia</v>
      </c>
      <c r="M513" s="10" t="s">
        <v>2834</v>
      </c>
      <c r="N513" s="10">
        <f t="shared" si="35"/>
        <v>0</v>
      </c>
      <c r="O513" t="str">
        <f t="shared" si="39"/>
        <v/>
      </c>
      <c r="P513" t="str">
        <f>IF(O513=1,COUNTIF($O$2:O513,1),"")</f>
        <v/>
      </c>
      <c r="Q513" t="str">
        <f>IFERROR(INDEX($M$2:$M$2388,MATCH(ROWS($P$2:P513),$P$2:$P$2388,0)),"")</f>
        <v/>
      </c>
    </row>
    <row r="514" spans="1:17" ht="15" x14ac:dyDescent="0.25">
      <c r="A514" s="10">
        <v>420</v>
      </c>
      <c r="B514" s="10" t="s">
        <v>2835</v>
      </c>
      <c r="C514" s="880">
        <f t="shared" si="36"/>
        <v>120.6544</v>
      </c>
      <c r="D514" s="880">
        <f t="shared" si="37"/>
        <v>28.019100000000002</v>
      </c>
      <c r="E514" s="10">
        <v>120.654442</v>
      </c>
      <c r="F514" s="10">
        <v>28.019166999999999</v>
      </c>
      <c r="G514" s="10">
        <v>8</v>
      </c>
      <c r="H514" s="10" t="s">
        <v>1831</v>
      </c>
      <c r="I514" s="10" t="s">
        <v>2518</v>
      </c>
      <c r="J514" s="10" t="s">
        <v>2519</v>
      </c>
      <c r="K514" s="10" t="s">
        <v>2523</v>
      </c>
      <c r="L514" s="65" t="str">
        <f t="shared" si="38"/>
        <v>Wenzhou|China|120,654442|28,019167|+8:00 Asia</v>
      </c>
      <c r="M514" s="10" t="s">
        <v>2836</v>
      </c>
      <c r="N514" s="10">
        <f t="shared" ref="N514:N577" si="40">--ISNUMBER(IFERROR(SEARCH($R$2,J514,1),""))</f>
        <v>0</v>
      </c>
      <c r="O514" t="str">
        <f t="shared" si="39"/>
        <v/>
      </c>
      <c r="P514" t="str">
        <f>IF(O514=1,COUNTIF($O$2:O514,1),"")</f>
        <v/>
      </c>
      <c r="Q514" t="str">
        <f>IFERROR(INDEX($M$2:$M$2388,MATCH(ROWS($P$2:P514),$P$2:$P$2388,0)),"")</f>
        <v/>
      </c>
    </row>
    <row r="515" spans="1:17" ht="15" x14ac:dyDescent="0.25">
      <c r="A515" s="10">
        <v>419</v>
      </c>
      <c r="B515" s="10" t="s">
        <v>2837</v>
      </c>
      <c r="C515" s="880">
        <f t="shared" ref="C515:C578" si="41">TRUNC(E515,4)</f>
        <v>106.8122</v>
      </c>
      <c r="D515" s="880">
        <f t="shared" ref="D515:D578" si="42">TRUNC(F515,4)</f>
        <v>39.664700000000003</v>
      </c>
      <c r="E515" s="10">
        <v>106.812225</v>
      </c>
      <c r="F515" s="10">
        <v>39.664721999999998</v>
      </c>
      <c r="G515" s="10">
        <v>8</v>
      </c>
      <c r="H515" s="10" t="s">
        <v>1831</v>
      </c>
      <c r="I515" s="10" t="s">
        <v>2518</v>
      </c>
      <c r="J515" s="10" t="s">
        <v>2519</v>
      </c>
      <c r="K515" s="10" t="s">
        <v>2529</v>
      </c>
      <c r="L515" s="65" t="str">
        <f t="shared" ref="L515:L578" si="43">MID(M515,1,LEN(M515)-(LEN(K515)-SEARCH("/",K515)+1))</f>
        <v>Wuhai|China|106,812225|39,664722|+8:00 Asia</v>
      </c>
      <c r="M515" s="10" t="s">
        <v>2838</v>
      </c>
      <c r="N515" s="10">
        <f t="shared" si="40"/>
        <v>0</v>
      </c>
      <c r="O515" t="str">
        <f t="shared" ref="O515:O578" si="44">IF(N515=0,"",--ISNUMBER(IFERROR(SEARCH($U$2,L515,1),"")))</f>
        <v/>
      </c>
      <c r="P515" t="str">
        <f>IF(O515=1,COUNTIF($O$2:O515,1),"")</f>
        <v/>
      </c>
      <c r="Q515" t="str">
        <f>IFERROR(INDEX($M$2:$M$2388,MATCH(ROWS($P$2:P515),$P$2:$P$2388,0)),"")</f>
        <v/>
      </c>
    </row>
    <row r="516" spans="1:17" ht="15" x14ac:dyDescent="0.25">
      <c r="A516" s="10">
        <v>418</v>
      </c>
      <c r="B516" s="10" t="s">
        <v>2839</v>
      </c>
      <c r="C516" s="880">
        <f t="shared" si="41"/>
        <v>114.2666</v>
      </c>
      <c r="D516" s="880">
        <f t="shared" si="42"/>
        <v>30.583300000000001</v>
      </c>
      <c r="E516" s="10">
        <v>114.26667</v>
      </c>
      <c r="F516" s="10">
        <v>30.583334000000001</v>
      </c>
      <c r="G516" s="10">
        <v>8</v>
      </c>
      <c r="H516" s="10" t="s">
        <v>1831</v>
      </c>
      <c r="I516" s="10" t="s">
        <v>2518</v>
      </c>
      <c r="J516" s="10" t="s">
        <v>2519</v>
      </c>
      <c r="K516" s="10" t="s">
        <v>2523</v>
      </c>
      <c r="L516" s="65" t="str">
        <f t="shared" si="43"/>
        <v>Wuhan|China|114,266670|30,583334|+8:00 Asia</v>
      </c>
      <c r="M516" s="10" t="s">
        <v>2840</v>
      </c>
      <c r="N516" s="10">
        <f t="shared" si="40"/>
        <v>0</v>
      </c>
      <c r="O516" t="str">
        <f t="shared" si="44"/>
        <v/>
      </c>
      <c r="P516" t="str">
        <f>IF(O516=1,COUNTIF($O$2:O516,1),"")</f>
        <v/>
      </c>
      <c r="Q516" t="str">
        <f>IFERROR(INDEX($M$2:$M$2388,MATCH(ROWS($P$2:P516),$P$2:$P$2388,0)),"")</f>
        <v/>
      </c>
    </row>
    <row r="517" spans="1:17" ht="15" x14ac:dyDescent="0.25">
      <c r="A517" s="10">
        <v>417</v>
      </c>
      <c r="B517" s="10" t="s">
        <v>2841</v>
      </c>
      <c r="C517" s="880">
        <f t="shared" si="41"/>
        <v>118.36660000000001</v>
      </c>
      <c r="D517" s="880">
        <f t="shared" si="42"/>
        <v>31.35</v>
      </c>
      <c r="E517" s="10">
        <v>118.366669</v>
      </c>
      <c r="F517" s="10">
        <v>31.35</v>
      </c>
      <c r="G517" s="10">
        <v>8</v>
      </c>
      <c r="H517" s="10" t="s">
        <v>1831</v>
      </c>
      <c r="I517" s="10" t="s">
        <v>2518</v>
      </c>
      <c r="J517" s="10" t="s">
        <v>2519</v>
      </c>
      <c r="K517" s="10" t="s">
        <v>2523</v>
      </c>
      <c r="L517" s="65" t="str">
        <f t="shared" si="43"/>
        <v>Wuhu|China|118,366669|31,350000|+8:00 Asia</v>
      </c>
      <c r="M517" s="10" t="s">
        <v>2842</v>
      </c>
      <c r="N517" s="10">
        <f t="shared" si="40"/>
        <v>0</v>
      </c>
      <c r="O517" t="str">
        <f t="shared" si="44"/>
        <v/>
      </c>
      <c r="P517" t="str">
        <f>IF(O517=1,COUNTIF($O$2:O517,1),"")</f>
        <v/>
      </c>
      <c r="Q517" t="str">
        <f>IFERROR(INDEX($M$2:$M$2388,MATCH(ROWS($P$2:P517),$P$2:$P$2388,0)),"")</f>
        <v/>
      </c>
    </row>
    <row r="518" spans="1:17" ht="15" x14ac:dyDescent="0.25">
      <c r="A518" s="10">
        <v>415</v>
      </c>
      <c r="B518" s="10" t="s">
        <v>2843</v>
      </c>
      <c r="C518" s="880">
        <f t="shared" si="41"/>
        <v>120.2938</v>
      </c>
      <c r="D518" s="880">
        <f t="shared" si="42"/>
        <v>31.577200000000001</v>
      </c>
      <c r="E518" s="10">
        <v>120.293892</v>
      </c>
      <c r="F518" s="10">
        <v>31.577223</v>
      </c>
      <c r="G518" s="10">
        <v>8</v>
      </c>
      <c r="H518" s="10" t="s">
        <v>1831</v>
      </c>
      <c r="I518" s="10" t="s">
        <v>2518</v>
      </c>
      <c r="J518" s="10" t="s">
        <v>2519</v>
      </c>
      <c r="K518" s="10" t="s">
        <v>2523</v>
      </c>
      <c r="L518" s="65" t="str">
        <f t="shared" si="43"/>
        <v>Wuxi|China|120,293892|31,577223|+8:00 Asia</v>
      </c>
      <c r="M518" s="10" t="s">
        <v>2844</v>
      </c>
      <c r="N518" s="10">
        <f t="shared" si="40"/>
        <v>0</v>
      </c>
      <c r="O518" t="str">
        <f t="shared" si="44"/>
        <v/>
      </c>
      <c r="P518" t="str">
        <f>IF(O518=1,COUNTIF($O$2:O518,1),"")</f>
        <v/>
      </c>
      <c r="Q518" t="str">
        <f>IFERROR(INDEX($M$2:$M$2388,MATCH(ROWS($P$2:P518),$P$2:$P$2388,0)),"")</f>
        <v/>
      </c>
    </row>
    <row r="519" spans="1:17" ht="15" x14ac:dyDescent="0.25">
      <c r="A519" s="10">
        <v>414</v>
      </c>
      <c r="B519" s="10" t="s">
        <v>2845</v>
      </c>
      <c r="C519" s="880">
        <f t="shared" si="41"/>
        <v>115.55</v>
      </c>
      <c r="D519" s="880">
        <f t="shared" si="42"/>
        <v>29.85</v>
      </c>
      <c r="E519" s="10">
        <v>115.550003</v>
      </c>
      <c r="F519" s="10">
        <v>29.85</v>
      </c>
      <c r="G519" s="10">
        <v>8</v>
      </c>
      <c r="H519" s="10" t="s">
        <v>1831</v>
      </c>
      <c r="I519" s="10" t="s">
        <v>2518</v>
      </c>
      <c r="J519" s="10" t="s">
        <v>2519</v>
      </c>
      <c r="K519" s="10" t="s">
        <v>2523</v>
      </c>
      <c r="L519" s="65" t="str">
        <f t="shared" si="43"/>
        <v>Wuxue|China|115,550003|29,850000|+8:00 Asia</v>
      </c>
      <c r="M519" s="10" t="s">
        <v>2846</v>
      </c>
      <c r="N519" s="10">
        <f t="shared" si="40"/>
        <v>0</v>
      </c>
      <c r="O519" t="str">
        <f t="shared" si="44"/>
        <v/>
      </c>
      <c r="P519" t="str">
        <f>IF(O519=1,COUNTIF($O$2:O519,1),"")</f>
        <v/>
      </c>
      <c r="Q519" t="str">
        <f>IFERROR(INDEX($M$2:$M$2388,MATCH(ROWS($P$2:P519),$P$2:$P$2388,0)),"")</f>
        <v/>
      </c>
    </row>
    <row r="520" spans="1:17" ht="15" x14ac:dyDescent="0.25">
      <c r="A520" s="10">
        <v>413</v>
      </c>
      <c r="B520" s="10" t="s">
        <v>2847</v>
      </c>
      <c r="C520" s="880">
        <f t="shared" si="41"/>
        <v>111.31659999999999</v>
      </c>
      <c r="D520" s="880">
        <f t="shared" si="42"/>
        <v>23.4833</v>
      </c>
      <c r="E520" s="10">
        <v>111.316666</v>
      </c>
      <c r="F520" s="10">
        <v>23.483333999999999</v>
      </c>
      <c r="G520" s="10">
        <v>8</v>
      </c>
      <c r="H520" s="10" t="s">
        <v>1831</v>
      </c>
      <c r="I520" s="10" t="s">
        <v>2518</v>
      </c>
      <c r="J520" s="10" t="s">
        <v>2519</v>
      </c>
      <c r="K520" s="10" t="s">
        <v>2529</v>
      </c>
      <c r="L520" s="65" t="str">
        <f t="shared" si="43"/>
        <v>Wuzhou|China|111,316666|23,483334|+8:00 Asia</v>
      </c>
      <c r="M520" s="10" t="s">
        <v>2848</v>
      </c>
      <c r="N520" s="10">
        <f t="shared" si="40"/>
        <v>0</v>
      </c>
      <c r="O520" t="str">
        <f t="shared" si="44"/>
        <v/>
      </c>
      <c r="P520" t="str">
        <f>IF(O520=1,COUNTIF($O$2:O520,1),"")</f>
        <v/>
      </c>
      <c r="Q520" t="str">
        <f>IFERROR(INDEX($M$2:$M$2388,MATCH(ROWS($P$2:P520),$P$2:$P$2388,0)),"")</f>
        <v/>
      </c>
    </row>
    <row r="521" spans="1:17" ht="15" x14ac:dyDescent="0.25">
      <c r="A521" s="10">
        <v>412</v>
      </c>
      <c r="B521" s="10" t="s">
        <v>2849</v>
      </c>
      <c r="C521" s="880">
        <f t="shared" si="41"/>
        <v>118.093</v>
      </c>
      <c r="D521" s="880">
        <f t="shared" si="42"/>
        <v>24.467500000000001</v>
      </c>
      <c r="E521" s="10">
        <v>118.093056</v>
      </c>
      <c r="F521" s="10">
        <v>24.467500999999999</v>
      </c>
      <c r="G521" s="10">
        <v>8</v>
      </c>
      <c r="H521" s="10" t="s">
        <v>1831</v>
      </c>
      <c r="I521" s="10" t="s">
        <v>2518</v>
      </c>
      <c r="J521" s="10" t="s">
        <v>2519</v>
      </c>
      <c r="K521" s="10" t="s">
        <v>2523</v>
      </c>
      <c r="L521" s="65" t="str">
        <f t="shared" si="43"/>
        <v>Xiamen|China|118,093056|24,467501|+8:00 Asia</v>
      </c>
      <c r="M521" s="10" t="s">
        <v>2850</v>
      </c>
      <c r="N521" s="10">
        <f t="shared" si="40"/>
        <v>0</v>
      </c>
      <c r="O521" t="str">
        <f t="shared" si="44"/>
        <v/>
      </c>
      <c r="P521" t="str">
        <f>IF(O521=1,COUNTIF($O$2:O521,1),"")</f>
        <v/>
      </c>
      <c r="Q521" t="str">
        <f>IFERROR(INDEX($M$2:$M$2388,MATCH(ROWS($P$2:P521),$P$2:$P$2388,0)),"")</f>
        <v/>
      </c>
    </row>
    <row r="522" spans="1:17" ht="15" x14ac:dyDescent="0.25">
      <c r="A522" s="10">
        <v>411</v>
      </c>
      <c r="B522" s="10" t="s">
        <v>2851</v>
      </c>
      <c r="C522" s="880">
        <f t="shared" si="41"/>
        <v>108.9286</v>
      </c>
      <c r="D522" s="880">
        <f t="shared" si="42"/>
        <v>34.258299999999998</v>
      </c>
      <c r="E522" s="10">
        <v>108.928612</v>
      </c>
      <c r="F522" s="10">
        <v>34.258335000000002</v>
      </c>
      <c r="G522" s="10">
        <v>8</v>
      </c>
      <c r="H522" s="10" t="s">
        <v>1831</v>
      </c>
      <c r="I522" s="10" t="s">
        <v>2518</v>
      </c>
      <c r="J522" s="10" t="s">
        <v>2519</v>
      </c>
      <c r="K522" s="10" t="s">
        <v>2529</v>
      </c>
      <c r="L522" s="65" t="str">
        <f t="shared" si="43"/>
        <v>Xi'an|China|108,928612|34,258335|+8:00 Asia</v>
      </c>
      <c r="M522" s="10" t="s">
        <v>2852</v>
      </c>
      <c r="N522" s="10">
        <f t="shared" si="40"/>
        <v>0</v>
      </c>
      <c r="O522" t="str">
        <f t="shared" si="44"/>
        <v/>
      </c>
      <c r="P522" t="str">
        <f>IF(O522=1,COUNTIF($O$2:O522,1),"")</f>
        <v/>
      </c>
      <c r="Q522" t="str">
        <f>IFERROR(INDEX($M$2:$M$2388,MATCH(ROWS($P$2:P522),$P$2:$P$2388,0)),"")</f>
        <v/>
      </c>
    </row>
    <row r="523" spans="1:17" ht="15" x14ac:dyDescent="0.25">
      <c r="A523" s="10">
        <v>410</v>
      </c>
      <c r="B523" s="10" t="s">
        <v>2853</v>
      </c>
      <c r="C523" s="880">
        <f t="shared" si="41"/>
        <v>112.14490000000001</v>
      </c>
      <c r="D523" s="880">
        <f t="shared" si="42"/>
        <v>32.041600000000003</v>
      </c>
      <c r="E523" s="10">
        <v>112.144997</v>
      </c>
      <c r="F523" s="10">
        <v>32.041668000000001</v>
      </c>
      <c r="G523" s="10">
        <v>8</v>
      </c>
      <c r="H523" s="10" t="s">
        <v>1831</v>
      </c>
      <c r="I523" s="10" t="s">
        <v>2518</v>
      </c>
      <c r="J523" s="10" t="s">
        <v>2519</v>
      </c>
      <c r="K523" s="10" t="s">
        <v>2529</v>
      </c>
      <c r="L523" s="65" t="str">
        <f t="shared" si="43"/>
        <v>Xiangfan|China|112,144997|32,041668|+8:00 Asia</v>
      </c>
      <c r="M523" s="10" t="s">
        <v>2854</v>
      </c>
      <c r="N523" s="10">
        <f t="shared" si="40"/>
        <v>0</v>
      </c>
      <c r="O523" t="str">
        <f t="shared" si="44"/>
        <v/>
      </c>
      <c r="P523" t="str">
        <f>IF(O523=1,COUNTIF($O$2:O523,1),"")</f>
        <v/>
      </c>
      <c r="Q523" t="str">
        <f>IFERROR(INDEX($M$2:$M$2388,MATCH(ROWS($P$2:P523),$P$2:$P$2388,0)),"")</f>
        <v/>
      </c>
    </row>
    <row r="524" spans="1:17" ht="15" x14ac:dyDescent="0.25">
      <c r="A524" s="10">
        <v>409</v>
      </c>
      <c r="B524" s="10" t="s">
        <v>2855</v>
      </c>
      <c r="C524" s="880">
        <f t="shared" si="41"/>
        <v>112.9</v>
      </c>
      <c r="D524" s="880">
        <f t="shared" si="42"/>
        <v>27.85</v>
      </c>
      <c r="E524" s="10">
        <v>112.900002</v>
      </c>
      <c r="F524" s="10">
        <v>27.85</v>
      </c>
      <c r="G524" s="10">
        <v>8</v>
      </c>
      <c r="H524" s="10" t="s">
        <v>1831</v>
      </c>
      <c r="I524" s="10" t="s">
        <v>2518</v>
      </c>
      <c r="J524" s="10" t="s">
        <v>2519</v>
      </c>
      <c r="K524" s="10" t="s">
        <v>2529</v>
      </c>
      <c r="L524" s="65" t="str">
        <f t="shared" si="43"/>
        <v>Xiangtan|China|112,900002|27,850000|+8:00 Asia</v>
      </c>
      <c r="M524" s="10" t="s">
        <v>2856</v>
      </c>
      <c r="N524" s="10">
        <f t="shared" si="40"/>
        <v>0</v>
      </c>
      <c r="O524" t="str">
        <f t="shared" si="44"/>
        <v/>
      </c>
      <c r="P524" t="str">
        <f>IF(O524=1,COUNTIF($O$2:O524,1),"")</f>
        <v/>
      </c>
      <c r="Q524" t="str">
        <f>IFERROR(INDEX($M$2:$M$2388,MATCH(ROWS($P$2:P524),$P$2:$P$2388,0)),"")</f>
        <v/>
      </c>
    </row>
    <row r="525" spans="1:17" ht="15" x14ac:dyDescent="0.25">
      <c r="A525" s="10">
        <v>407</v>
      </c>
      <c r="B525" s="10" t="s">
        <v>2857</v>
      </c>
      <c r="C525" s="880">
        <f t="shared" si="41"/>
        <v>113.4</v>
      </c>
      <c r="D525" s="880">
        <f t="shared" si="42"/>
        <v>30.383299999999998</v>
      </c>
      <c r="E525" s="10">
        <v>113.400002</v>
      </c>
      <c r="F525" s="10">
        <v>30.383333</v>
      </c>
      <c r="G525" s="10">
        <v>8</v>
      </c>
      <c r="H525" s="10" t="s">
        <v>1831</v>
      </c>
      <c r="I525" s="10" t="s">
        <v>2518</v>
      </c>
      <c r="J525" s="10" t="s">
        <v>2519</v>
      </c>
      <c r="K525" s="10" t="s">
        <v>2529</v>
      </c>
      <c r="L525" s="65" t="str">
        <f t="shared" si="43"/>
        <v>Xiantao|China|113,400002|30,383333|+8:00 Asia</v>
      </c>
      <c r="M525" s="10" t="s">
        <v>2858</v>
      </c>
      <c r="N525" s="10">
        <f t="shared" si="40"/>
        <v>0</v>
      </c>
      <c r="O525" t="str">
        <f t="shared" si="44"/>
        <v/>
      </c>
      <c r="P525" t="str">
        <f>IF(O525=1,COUNTIF($O$2:O525,1),"")</f>
        <v/>
      </c>
      <c r="Q525" t="str">
        <f>IFERROR(INDEX($M$2:$M$2388,MATCH(ROWS($P$2:P525),$P$2:$P$2388,0)),"")</f>
        <v/>
      </c>
    </row>
    <row r="526" spans="1:17" ht="15" x14ac:dyDescent="0.25">
      <c r="A526" s="10">
        <v>406</v>
      </c>
      <c r="B526" s="10" t="s">
        <v>2859</v>
      </c>
      <c r="C526" s="880">
        <f t="shared" si="41"/>
        <v>108.71469999999999</v>
      </c>
      <c r="D526" s="880">
        <f t="shared" si="42"/>
        <v>34.345500000000001</v>
      </c>
      <c r="E526" s="10">
        <v>108.71472199999999</v>
      </c>
      <c r="F526" s="10">
        <v>34.345554</v>
      </c>
      <c r="G526" s="10">
        <v>8</v>
      </c>
      <c r="H526" s="10" t="s">
        <v>1831</v>
      </c>
      <c r="I526" s="10" t="s">
        <v>2518</v>
      </c>
      <c r="J526" s="10" t="s">
        <v>2519</v>
      </c>
      <c r="K526" s="10" t="s">
        <v>2529</v>
      </c>
      <c r="L526" s="65" t="str">
        <f t="shared" si="43"/>
        <v>Xianyang|China|108,714722|34,345554|+8:00 Asia</v>
      </c>
      <c r="M526" s="10" t="s">
        <v>2860</v>
      </c>
      <c r="N526" s="10">
        <f t="shared" si="40"/>
        <v>0</v>
      </c>
      <c r="O526" t="str">
        <f t="shared" si="44"/>
        <v/>
      </c>
      <c r="P526" t="str">
        <f>IF(O526=1,COUNTIF($O$2:O526,1),"")</f>
        <v/>
      </c>
      <c r="Q526" t="str">
        <f>IFERROR(INDEX($M$2:$M$2388,MATCH(ROWS($P$2:P526),$P$2:$P$2388,0)),"")</f>
        <v/>
      </c>
    </row>
    <row r="527" spans="1:17" ht="15" x14ac:dyDescent="0.25">
      <c r="A527" s="10">
        <v>405</v>
      </c>
      <c r="B527" s="10" t="s">
        <v>2861</v>
      </c>
      <c r="C527" s="880">
        <f t="shared" si="41"/>
        <v>114.4941</v>
      </c>
      <c r="D527" s="880">
        <f t="shared" si="42"/>
        <v>37.063000000000002</v>
      </c>
      <c r="E527" s="10">
        <v>114.494164</v>
      </c>
      <c r="F527" s="10">
        <v>37.063057000000001</v>
      </c>
      <c r="G527" s="10">
        <v>8</v>
      </c>
      <c r="H527" s="10" t="s">
        <v>1831</v>
      </c>
      <c r="I527" s="10" t="s">
        <v>2518</v>
      </c>
      <c r="J527" s="10" t="s">
        <v>2519</v>
      </c>
      <c r="K527" s="10" t="s">
        <v>2523</v>
      </c>
      <c r="L527" s="65" t="str">
        <f t="shared" si="43"/>
        <v>Xingtai|China|114,494164|37,063057|+8:00 Asia</v>
      </c>
      <c r="M527" s="10" t="s">
        <v>2862</v>
      </c>
      <c r="N527" s="10">
        <f t="shared" si="40"/>
        <v>0</v>
      </c>
      <c r="O527" t="str">
        <f t="shared" si="44"/>
        <v/>
      </c>
      <c r="P527" t="str">
        <f>IF(O527=1,COUNTIF($O$2:O527,1),"")</f>
        <v/>
      </c>
      <c r="Q527" t="str">
        <f>IFERROR(INDEX($M$2:$M$2388,MATCH(ROWS($P$2:P527),$P$2:$P$2388,0)),"")</f>
        <v/>
      </c>
    </row>
    <row r="528" spans="1:17" ht="15" x14ac:dyDescent="0.25">
      <c r="A528" s="10">
        <v>404</v>
      </c>
      <c r="B528" s="10" t="s">
        <v>2863</v>
      </c>
      <c r="C528" s="880">
        <f t="shared" si="41"/>
        <v>101.7666</v>
      </c>
      <c r="D528" s="880">
        <f t="shared" si="42"/>
        <v>36.616599999999998</v>
      </c>
      <c r="E528" s="10">
        <v>101.76667</v>
      </c>
      <c r="F528" s="10">
        <v>36.616664999999998</v>
      </c>
      <c r="G528" s="10">
        <v>8</v>
      </c>
      <c r="H528" s="10" t="s">
        <v>1831</v>
      </c>
      <c r="I528" s="10" t="s">
        <v>2518</v>
      </c>
      <c r="J528" s="10" t="s">
        <v>2519</v>
      </c>
      <c r="K528" s="10" t="s">
        <v>2529</v>
      </c>
      <c r="L528" s="65" t="str">
        <f t="shared" si="43"/>
        <v>Xining|China|101,766670|36,616665|+8:00 Asia</v>
      </c>
      <c r="M528" s="10" t="s">
        <v>2864</v>
      </c>
      <c r="N528" s="10">
        <f t="shared" si="40"/>
        <v>0</v>
      </c>
      <c r="O528" t="str">
        <f t="shared" si="44"/>
        <v/>
      </c>
      <c r="P528" t="str">
        <f>IF(O528=1,COUNTIF($O$2:O528,1),"")</f>
        <v/>
      </c>
      <c r="Q528" t="str">
        <f>IFERROR(INDEX($M$2:$M$2388,MATCH(ROWS($P$2:P528),$P$2:$P$2388,0)),"")</f>
        <v/>
      </c>
    </row>
    <row r="529" spans="1:17" ht="15" x14ac:dyDescent="0.25">
      <c r="A529" s="10">
        <v>403</v>
      </c>
      <c r="B529" s="10" t="s">
        <v>2865</v>
      </c>
      <c r="C529" s="880">
        <f t="shared" si="41"/>
        <v>119.15940000000001</v>
      </c>
      <c r="D529" s="880">
        <f t="shared" si="42"/>
        <v>34.599699999999999</v>
      </c>
      <c r="E529" s="10">
        <v>119.159447</v>
      </c>
      <c r="F529" s="10">
        <v>34.599724000000002</v>
      </c>
      <c r="G529" s="10">
        <v>8</v>
      </c>
      <c r="H529" s="10" t="s">
        <v>1831</v>
      </c>
      <c r="I529" s="10" t="s">
        <v>2518</v>
      </c>
      <c r="J529" s="10" t="s">
        <v>2519</v>
      </c>
      <c r="K529" s="10" t="s">
        <v>2523</v>
      </c>
      <c r="L529" s="65" t="str">
        <f t="shared" si="43"/>
        <v>Xinpu|China|119,159447|34,599724|+8:00 Asia</v>
      </c>
      <c r="M529" s="10" t="s">
        <v>2866</v>
      </c>
      <c r="N529" s="10">
        <f t="shared" si="40"/>
        <v>0</v>
      </c>
      <c r="O529" t="str">
        <f t="shared" si="44"/>
        <v/>
      </c>
      <c r="P529" t="str">
        <f>IF(O529=1,COUNTIF($O$2:O529,1),"")</f>
        <v/>
      </c>
      <c r="Q529" t="str">
        <f>IFERROR(INDEX($M$2:$M$2388,MATCH(ROWS($P$2:P529),$P$2:$P$2388,0)),"")</f>
        <v/>
      </c>
    </row>
    <row r="530" spans="1:17" ht="15" x14ac:dyDescent="0.25">
      <c r="A530" s="10">
        <v>402</v>
      </c>
      <c r="B530" s="10" t="s">
        <v>2867</v>
      </c>
      <c r="C530" s="880">
        <f t="shared" si="41"/>
        <v>117.75190000000001</v>
      </c>
      <c r="D530" s="880">
        <f t="shared" si="42"/>
        <v>35.900500000000001</v>
      </c>
      <c r="E530" s="10">
        <v>117.75194500000001</v>
      </c>
      <c r="F530" s="10">
        <v>35.900554999999997</v>
      </c>
      <c r="G530" s="10">
        <v>8</v>
      </c>
      <c r="H530" s="10" t="s">
        <v>1831</v>
      </c>
      <c r="I530" s="10" t="s">
        <v>2518</v>
      </c>
      <c r="J530" s="10" t="s">
        <v>2519</v>
      </c>
      <c r="K530" s="10" t="s">
        <v>2523</v>
      </c>
      <c r="L530" s="65" t="str">
        <f t="shared" si="43"/>
        <v>Xintai|China|117,751945|35,900555|+8:00 Asia</v>
      </c>
      <c r="M530" s="10" t="s">
        <v>2868</v>
      </c>
      <c r="N530" s="10">
        <f t="shared" si="40"/>
        <v>0</v>
      </c>
      <c r="O530" t="str">
        <f t="shared" si="44"/>
        <v/>
      </c>
      <c r="P530" t="str">
        <f>IF(O530=1,COUNTIF($O$2:O530,1),"")</f>
        <v/>
      </c>
      <c r="Q530" t="str">
        <f>IFERROR(INDEX($M$2:$M$2388,MATCH(ROWS($P$2:P530),$P$2:$P$2388,0)),"")</f>
        <v/>
      </c>
    </row>
    <row r="531" spans="1:17" ht="15" x14ac:dyDescent="0.25">
      <c r="A531" s="10">
        <v>401</v>
      </c>
      <c r="B531" s="10" t="s">
        <v>2869</v>
      </c>
      <c r="C531" s="880">
        <f t="shared" si="41"/>
        <v>113.8672</v>
      </c>
      <c r="D531" s="880">
        <f t="shared" si="42"/>
        <v>35.308799999999998</v>
      </c>
      <c r="E531" s="10">
        <v>113.867226</v>
      </c>
      <c r="F531" s="10">
        <v>35.308886999999999</v>
      </c>
      <c r="G531" s="10">
        <v>8</v>
      </c>
      <c r="H531" s="10" t="s">
        <v>1831</v>
      </c>
      <c r="I531" s="10" t="s">
        <v>2518</v>
      </c>
      <c r="J531" s="10" t="s">
        <v>2519</v>
      </c>
      <c r="K531" s="10" t="s">
        <v>2523</v>
      </c>
      <c r="L531" s="65" t="str">
        <f t="shared" si="43"/>
        <v>Xinxiang|China|113,867226|35,308887|+8:00 Asia</v>
      </c>
      <c r="M531" s="10" t="s">
        <v>2870</v>
      </c>
      <c r="N531" s="10">
        <f t="shared" si="40"/>
        <v>0</v>
      </c>
      <c r="O531" t="str">
        <f t="shared" si="44"/>
        <v/>
      </c>
      <c r="P531" t="str">
        <f>IF(O531=1,COUNTIF($O$2:O531,1),"")</f>
        <v/>
      </c>
      <c r="Q531" t="str">
        <f>IFERROR(INDEX($M$2:$M$2388,MATCH(ROWS($P$2:P531),$P$2:$P$2388,0)),"")</f>
        <v/>
      </c>
    </row>
    <row r="532" spans="1:17" ht="15" x14ac:dyDescent="0.25">
      <c r="A532" s="10">
        <v>400</v>
      </c>
      <c r="B532" s="10" t="s">
        <v>2871</v>
      </c>
      <c r="C532" s="880">
        <f t="shared" si="41"/>
        <v>114.0655</v>
      </c>
      <c r="D532" s="880">
        <f t="shared" si="42"/>
        <v>32.122700000000002</v>
      </c>
      <c r="E532" s="10">
        <v>114.06555899999999</v>
      </c>
      <c r="F532" s="10">
        <v>32.122776000000002</v>
      </c>
      <c r="G532" s="10">
        <v>8</v>
      </c>
      <c r="H532" s="10" t="s">
        <v>1831</v>
      </c>
      <c r="I532" s="10" t="s">
        <v>2518</v>
      </c>
      <c r="J532" s="10" t="s">
        <v>2519</v>
      </c>
      <c r="K532" s="10" t="s">
        <v>2523</v>
      </c>
      <c r="L532" s="65" t="str">
        <f t="shared" si="43"/>
        <v>Xinyang|China|114,065559|32,122776|+8:00 Asia</v>
      </c>
      <c r="M532" s="10" t="s">
        <v>2872</v>
      </c>
      <c r="N532" s="10">
        <f t="shared" si="40"/>
        <v>0</v>
      </c>
      <c r="O532" t="str">
        <f t="shared" si="44"/>
        <v/>
      </c>
      <c r="P532" t="str">
        <f>IF(O532=1,COUNTIF($O$2:O532,1),"")</f>
        <v/>
      </c>
      <c r="Q532" t="str">
        <f>IFERROR(INDEX($M$2:$M$2388,MATCH(ROWS($P$2:P532),$P$2:$P$2388,0)),"")</f>
        <v/>
      </c>
    </row>
    <row r="533" spans="1:17" ht="15" x14ac:dyDescent="0.25">
      <c r="A533" s="10">
        <v>535</v>
      </c>
      <c r="B533" s="10" t="s">
        <v>2873</v>
      </c>
      <c r="C533" s="880">
        <f t="shared" si="41"/>
        <v>115.04470000000001</v>
      </c>
      <c r="D533" s="880">
        <f t="shared" si="42"/>
        <v>40.610199999999999</v>
      </c>
      <c r="E533" s="10">
        <v>115.044724</v>
      </c>
      <c r="F533" s="10">
        <v>40.610278999999998</v>
      </c>
      <c r="G533" s="10">
        <v>8</v>
      </c>
      <c r="H533" s="10" t="s">
        <v>1831</v>
      </c>
      <c r="I533" s="10" t="s">
        <v>2518</v>
      </c>
      <c r="J533" s="10" t="s">
        <v>2519</v>
      </c>
      <c r="K533" s="10" t="s">
        <v>2526</v>
      </c>
      <c r="L533" s="65" t="str">
        <f t="shared" si="43"/>
        <v>Xuanhua|China|115,044724|40,610279|+8:00 Asia</v>
      </c>
      <c r="M533" s="10" t="s">
        <v>2874</v>
      </c>
      <c r="N533" s="10">
        <f t="shared" si="40"/>
        <v>0</v>
      </c>
      <c r="O533" t="str">
        <f t="shared" si="44"/>
        <v/>
      </c>
      <c r="P533" t="str">
        <f>IF(O533=1,COUNTIF($O$2:O533,1),"")</f>
        <v/>
      </c>
      <c r="Q533" t="str">
        <f>IFERROR(INDEX($M$2:$M$2388,MATCH(ROWS($P$2:P533),$P$2:$P$2388,0)),"")</f>
        <v/>
      </c>
    </row>
    <row r="534" spans="1:17" ht="15" x14ac:dyDescent="0.25">
      <c r="A534" s="10">
        <v>399</v>
      </c>
      <c r="B534" s="10" t="s">
        <v>2875</v>
      </c>
      <c r="C534" s="880">
        <f t="shared" si="41"/>
        <v>113.81659999999999</v>
      </c>
      <c r="D534" s="880">
        <f t="shared" si="42"/>
        <v>34.016599999999997</v>
      </c>
      <c r="E534" s="10">
        <v>113.816666</v>
      </c>
      <c r="F534" s="10">
        <v>34.016666000000001</v>
      </c>
      <c r="G534" s="10">
        <v>8</v>
      </c>
      <c r="H534" s="10" t="s">
        <v>1831</v>
      </c>
      <c r="I534" s="10" t="s">
        <v>2518</v>
      </c>
      <c r="J534" s="10" t="s">
        <v>2519</v>
      </c>
      <c r="K534" s="10" t="s">
        <v>2523</v>
      </c>
      <c r="L534" s="65" t="str">
        <f t="shared" si="43"/>
        <v>Xuchang|China|113,816666|34,016666|+8:00 Asia</v>
      </c>
      <c r="M534" s="10" t="s">
        <v>2876</v>
      </c>
      <c r="N534" s="10">
        <f t="shared" si="40"/>
        <v>0</v>
      </c>
      <c r="O534" t="str">
        <f t="shared" si="44"/>
        <v/>
      </c>
      <c r="P534" t="str">
        <f>IF(O534=1,COUNTIF($O$2:O534,1),"")</f>
        <v/>
      </c>
      <c r="Q534" t="str">
        <f>IFERROR(INDEX($M$2:$M$2388,MATCH(ROWS($P$2:P534),$P$2:$P$2388,0)),"")</f>
        <v/>
      </c>
    </row>
    <row r="535" spans="1:17" ht="15" x14ac:dyDescent="0.25">
      <c r="A535" s="10">
        <v>398</v>
      </c>
      <c r="B535" s="10" t="s">
        <v>2877</v>
      </c>
      <c r="C535" s="880">
        <f t="shared" si="41"/>
        <v>117.9666</v>
      </c>
      <c r="D535" s="880">
        <f t="shared" si="42"/>
        <v>28.4666</v>
      </c>
      <c r="E535" s="10">
        <v>117.966667</v>
      </c>
      <c r="F535" s="10">
        <v>28.466667000000001</v>
      </c>
      <c r="G535" s="10">
        <v>8</v>
      </c>
      <c r="H535" s="10" t="s">
        <v>1831</v>
      </c>
      <c r="I535" s="10" t="s">
        <v>2518</v>
      </c>
      <c r="J535" s="10" t="s">
        <v>2519</v>
      </c>
      <c r="K535" s="10" t="s">
        <v>2523</v>
      </c>
      <c r="L535" s="65" t="str">
        <f t="shared" si="43"/>
        <v>Xuri|China|117,966667|28,466667|+8:00 Asia</v>
      </c>
      <c r="M535" s="10" t="s">
        <v>2878</v>
      </c>
      <c r="N535" s="10">
        <f t="shared" si="40"/>
        <v>0</v>
      </c>
      <c r="O535" t="str">
        <f t="shared" si="44"/>
        <v/>
      </c>
      <c r="P535" t="str">
        <f>IF(O535=1,COUNTIF($O$2:O535,1),"")</f>
        <v/>
      </c>
      <c r="Q535" t="str">
        <f>IFERROR(INDEX($M$2:$M$2388,MATCH(ROWS($P$2:P535),$P$2:$P$2388,0)),"")</f>
        <v/>
      </c>
    </row>
    <row r="536" spans="1:17" ht="15" x14ac:dyDescent="0.25">
      <c r="A536" s="10">
        <v>397</v>
      </c>
      <c r="B536" s="10" t="s">
        <v>2879</v>
      </c>
      <c r="C536" s="880">
        <f t="shared" si="41"/>
        <v>117.19159999999999</v>
      </c>
      <c r="D536" s="880">
        <f t="shared" si="42"/>
        <v>34.2669</v>
      </c>
      <c r="E536" s="10">
        <v>117.191666</v>
      </c>
      <c r="F536" s="10">
        <v>34.266945</v>
      </c>
      <c r="G536" s="10">
        <v>8</v>
      </c>
      <c r="H536" s="10" t="s">
        <v>1831</v>
      </c>
      <c r="I536" s="10" t="s">
        <v>2518</v>
      </c>
      <c r="J536" s="10" t="s">
        <v>2519</v>
      </c>
      <c r="K536" s="10" t="s">
        <v>2523</v>
      </c>
      <c r="L536" s="65" t="str">
        <f t="shared" si="43"/>
        <v>Xuzhou|China|117,191666|34,266945|+8:00 Asia</v>
      </c>
      <c r="M536" s="10" t="s">
        <v>2880</v>
      </c>
      <c r="N536" s="10">
        <f t="shared" si="40"/>
        <v>0</v>
      </c>
      <c r="O536" t="str">
        <f t="shared" si="44"/>
        <v/>
      </c>
      <c r="P536" t="str">
        <f>IF(O536=1,COUNTIF($O$2:O536,1),"")</f>
        <v/>
      </c>
      <c r="Q536" t="str">
        <f>IFERROR(INDEX($M$2:$M$2388,MATCH(ROWS($P$2:P536),$P$2:$P$2388,0)),"")</f>
        <v/>
      </c>
    </row>
    <row r="537" spans="1:17" ht="15" x14ac:dyDescent="0.25">
      <c r="A537" s="10">
        <v>396</v>
      </c>
      <c r="B537" s="10" t="s">
        <v>2881</v>
      </c>
      <c r="C537" s="880">
        <f t="shared" si="41"/>
        <v>120.12520000000001</v>
      </c>
      <c r="D537" s="880">
        <f t="shared" si="42"/>
        <v>33.3855</v>
      </c>
      <c r="E537" s="10">
        <v>120.125275</v>
      </c>
      <c r="F537" s="10">
        <v>33.385554999999997</v>
      </c>
      <c r="G537" s="10">
        <v>8</v>
      </c>
      <c r="H537" s="10" t="s">
        <v>1831</v>
      </c>
      <c r="I537" s="10" t="s">
        <v>2518</v>
      </c>
      <c r="J537" s="10" t="s">
        <v>2519</v>
      </c>
      <c r="K537" s="10" t="s">
        <v>2523</v>
      </c>
      <c r="L537" s="65" t="str">
        <f t="shared" si="43"/>
        <v>Yancheng|China|120,125275|33,385555|+8:00 Asia</v>
      </c>
      <c r="M537" s="10" t="s">
        <v>2882</v>
      </c>
      <c r="N537" s="10">
        <f t="shared" si="40"/>
        <v>0</v>
      </c>
      <c r="O537" t="str">
        <f t="shared" si="44"/>
        <v/>
      </c>
      <c r="P537" t="str">
        <f>IF(O537=1,COUNTIF($O$2:O537,1),"")</f>
        <v/>
      </c>
      <c r="Q537" t="str">
        <f>IFERROR(INDEX($M$2:$M$2388,MATCH(ROWS($P$2:P537),$P$2:$P$2388,0)),"")</f>
        <v/>
      </c>
    </row>
    <row r="538" spans="1:17" ht="15" x14ac:dyDescent="0.25">
      <c r="A538" s="10">
        <v>486</v>
      </c>
      <c r="B538" s="10" t="s">
        <v>2883</v>
      </c>
      <c r="C538" s="880">
        <f t="shared" si="41"/>
        <v>111.9666</v>
      </c>
      <c r="D538" s="880">
        <f t="shared" si="42"/>
        <v>21.85</v>
      </c>
      <c r="E538" s="10">
        <v>111.966667</v>
      </c>
      <c r="F538" s="10">
        <v>21.85</v>
      </c>
      <c r="G538" s="10">
        <v>8</v>
      </c>
      <c r="H538" s="10" t="s">
        <v>1831</v>
      </c>
      <c r="I538" s="10" t="s">
        <v>2518</v>
      </c>
      <c r="J538" s="10" t="s">
        <v>2519</v>
      </c>
      <c r="K538" s="10" t="s">
        <v>2529</v>
      </c>
      <c r="L538" s="65" t="str">
        <f t="shared" si="43"/>
        <v>Yangjiang|China|111,966667|21,850000|+8:00 Asia</v>
      </c>
      <c r="M538" s="10" t="s">
        <v>2884</v>
      </c>
      <c r="N538" s="10">
        <f t="shared" si="40"/>
        <v>0</v>
      </c>
      <c r="O538" t="str">
        <f t="shared" si="44"/>
        <v/>
      </c>
      <c r="P538" t="str">
        <f>IF(O538=1,COUNTIF($O$2:O538,1),"")</f>
        <v/>
      </c>
      <c r="Q538" t="str">
        <f>IFERROR(INDEX($M$2:$M$2388,MATCH(ROWS($P$2:P538),$P$2:$P$2388,0)),"")</f>
        <v/>
      </c>
    </row>
    <row r="539" spans="1:17" ht="15" x14ac:dyDescent="0.25">
      <c r="A539" s="10">
        <v>395</v>
      </c>
      <c r="B539" s="10" t="s">
        <v>2885</v>
      </c>
      <c r="C539" s="880">
        <f t="shared" si="41"/>
        <v>113.5633</v>
      </c>
      <c r="D539" s="880">
        <f t="shared" si="42"/>
        <v>37.857399999999998</v>
      </c>
      <c r="E539" s="10">
        <v>113.563332</v>
      </c>
      <c r="F539" s="10">
        <v>37.857498</v>
      </c>
      <c r="G539" s="10">
        <v>8</v>
      </c>
      <c r="H539" s="10" t="s">
        <v>1831</v>
      </c>
      <c r="I539" s="10" t="s">
        <v>2518</v>
      </c>
      <c r="J539" s="10" t="s">
        <v>2519</v>
      </c>
      <c r="K539" s="10" t="s">
        <v>2523</v>
      </c>
      <c r="L539" s="65" t="str">
        <f t="shared" si="43"/>
        <v>Yangquan|China|113,563332|37,857498|+8:00 Asia</v>
      </c>
      <c r="M539" s="10" t="s">
        <v>2886</v>
      </c>
      <c r="N539" s="10">
        <f t="shared" si="40"/>
        <v>0</v>
      </c>
      <c r="O539" t="str">
        <f t="shared" si="44"/>
        <v/>
      </c>
      <c r="P539" t="str">
        <f>IF(O539=1,COUNTIF($O$2:O539,1),"")</f>
        <v/>
      </c>
      <c r="Q539" t="str">
        <f>IFERROR(INDEX($M$2:$M$2388,MATCH(ROWS($P$2:P539),$P$2:$P$2388,0)),"")</f>
        <v/>
      </c>
    </row>
    <row r="540" spans="1:17" ht="15" x14ac:dyDescent="0.25">
      <c r="A540" s="10">
        <v>394</v>
      </c>
      <c r="B540" s="10" t="s">
        <v>2887</v>
      </c>
      <c r="C540" s="880">
        <f t="shared" si="41"/>
        <v>119.4358</v>
      </c>
      <c r="D540" s="880">
        <f t="shared" si="42"/>
        <v>32.397199999999998</v>
      </c>
      <c r="E540" s="10">
        <v>119.43583700000001</v>
      </c>
      <c r="F540" s="10">
        <v>32.397221000000002</v>
      </c>
      <c r="G540" s="10">
        <v>8</v>
      </c>
      <c r="H540" s="10" t="s">
        <v>1831</v>
      </c>
      <c r="I540" s="10" t="s">
        <v>2518</v>
      </c>
      <c r="J540" s="10" t="s">
        <v>2519</v>
      </c>
      <c r="K540" s="10" t="s">
        <v>2523</v>
      </c>
      <c r="L540" s="65" t="str">
        <f t="shared" si="43"/>
        <v>Yangzhou|China|119,435837|32,397221|+8:00 Asia</v>
      </c>
      <c r="M540" s="10" t="s">
        <v>2888</v>
      </c>
      <c r="N540" s="10">
        <f t="shared" si="40"/>
        <v>0</v>
      </c>
      <c r="O540" t="str">
        <f t="shared" si="44"/>
        <v/>
      </c>
      <c r="P540" t="str">
        <f>IF(O540=1,COUNTIF($O$2:O540,1),"")</f>
        <v/>
      </c>
      <c r="Q540" t="str">
        <f>IFERROR(INDEX($M$2:$M$2388,MATCH(ROWS($P$2:P540),$P$2:$P$2388,0)),"")</f>
        <v/>
      </c>
    </row>
    <row r="541" spans="1:17" ht="15" x14ac:dyDescent="0.25">
      <c r="A541" s="10">
        <v>534</v>
      </c>
      <c r="B541" s="10" t="s">
        <v>2889</v>
      </c>
      <c r="C541" s="880">
        <f t="shared" si="41"/>
        <v>129.5077</v>
      </c>
      <c r="D541" s="880">
        <f t="shared" si="42"/>
        <v>42.907499999999999</v>
      </c>
      <c r="E541" s="10">
        <v>129.50778199999999</v>
      </c>
      <c r="F541" s="10">
        <v>42.907501000000003</v>
      </c>
      <c r="G541" s="10">
        <v>8</v>
      </c>
      <c r="H541" s="10" t="s">
        <v>1831</v>
      </c>
      <c r="I541" s="10" t="s">
        <v>2518</v>
      </c>
      <c r="J541" s="10" t="s">
        <v>2519</v>
      </c>
      <c r="K541" s="10" t="s">
        <v>2526</v>
      </c>
      <c r="L541" s="65" t="str">
        <f t="shared" si="43"/>
        <v>Yanji|China|129,507782|42,907501|+8:00 Asia</v>
      </c>
      <c r="M541" s="10" t="s">
        <v>2890</v>
      </c>
      <c r="N541" s="10">
        <f t="shared" si="40"/>
        <v>0</v>
      </c>
      <c r="O541" t="str">
        <f t="shared" si="44"/>
        <v/>
      </c>
      <c r="P541" t="str">
        <f>IF(O541=1,COUNTIF($O$2:O541,1),"")</f>
        <v/>
      </c>
      <c r="Q541" t="str">
        <f>IFERROR(INDEX($M$2:$M$2388,MATCH(ROWS($P$2:P541),$P$2:$P$2388,0)),"")</f>
        <v/>
      </c>
    </row>
    <row r="542" spans="1:17" ht="15" x14ac:dyDescent="0.25">
      <c r="A542" s="10">
        <v>393</v>
      </c>
      <c r="B542" s="10" t="s">
        <v>2891</v>
      </c>
      <c r="C542" s="880">
        <f t="shared" si="41"/>
        <v>121.4</v>
      </c>
      <c r="D542" s="880">
        <f t="shared" si="42"/>
        <v>37.533299999999997</v>
      </c>
      <c r="E542" s="10">
        <v>121.400002</v>
      </c>
      <c r="F542" s="10">
        <v>37.533332999999999</v>
      </c>
      <c r="G542" s="10">
        <v>8</v>
      </c>
      <c r="H542" s="10" t="s">
        <v>1831</v>
      </c>
      <c r="I542" s="10" t="s">
        <v>2518</v>
      </c>
      <c r="J542" s="10" t="s">
        <v>2519</v>
      </c>
      <c r="K542" s="10" t="s">
        <v>2523</v>
      </c>
      <c r="L542" s="65" t="str">
        <f t="shared" si="43"/>
        <v>Yantai|China|121,400002|37,533333|+8:00 Asia</v>
      </c>
      <c r="M542" s="10" t="s">
        <v>2892</v>
      </c>
      <c r="N542" s="10">
        <f t="shared" si="40"/>
        <v>0</v>
      </c>
      <c r="O542" t="str">
        <f t="shared" si="44"/>
        <v/>
      </c>
      <c r="P542" t="str">
        <f>IF(O542=1,COUNTIF($O$2:O542,1),"")</f>
        <v/>
      </c>
      <c r="Q542" t="str">
        <f>IFERROR(INDEX($M$2:$M$2388,MATCH(ROWS($P$2:P542),$P$2:$P$2388,0)),"")</f>
        <v/>
      </c>
    </row>
    <row r="543" spans="1:17" ht="15" x14ac:dyDescent="0.25">
      <c r="A543" s="10">
        <v>392</v>
      </c>
      <c r="B543" s="10" t="s">
        <v>2893</v>
      </c>
      <c r="C543" s="880">
        <f t="shared" si="41"/>
        <v>104.56659999999999</v>
      </c>
      <c r="D543" s="880">
        <f t="shared" si="42"/>
        <v>28.7666</v>
      </c>
      <c r="E543" s="10">
        <v>104.566666</v>
      </c>
      <c r="F543" s="10">
        <v>28.766666000000001</v>
      </c>
      <c r="G543" s="10">
        <v>8</v>
      </c>
      <c r="H543" s="10" t="s">
        <v>1831</v>
      </c>
      <c r="I543" s="10" t="s">
        <v>2518</v>
      </c>
      <c r="J543" s="10" t="s">
        <v>2519</v>
      </c>
      <c r="K543" s="10" t="s">
        <v>2529</v>
      </c>
      <c r="L543" s="65" t="str">
        <f t="shared" si="43"/>
        <v>Yibin|China|104,566666|28,766666|+8:00 Asia</v>
      </c>
      <c r="M543" s="10" t="s">
        <v>2894</v>
      </c>
      <c r="N543" s="10">
        <f t="shared" si="40"/>
        <v>0</v>
      </c>
      <c r="O543" t="str">
        <f t="shared" si="44"/>
        <v/>
      </c>
      <c r="P543" t="str">
        <f>IF(O543=1,COUNTIF($O$2:O543,1),"")</f>
        <v/>
      </c>
      <c r="Q543" t="str">
        <f>IFERROR(INDEX($M$2:$M$2388,MATCH(ROWS($P$2:P543),$P$2:$P$2388,0)),"")</f>
        <v/>
      </c>
    </row>
    <row r="544" spans="1:17" ht="15" x14ac:dyDescent="0.25">
      <c r="A544" s="10">
        <v>391</v>
      </c>
      <c r="B544" s="10" t="s">
        <v>2895</v>
      </c>
      <c r="C544" s="880">
        <f t="shared" si="41"/>
        <v>111.2847</v>
      </c>
      <c r="D544" s="880">
        <f t="shared" si="42"/>
        <v>30.714400000000001</v>
      </c>
      <c r="E544" s="10">
        <v>111.284721</v>
      </c>
      <c r="F544" s="10">
        <v>30.714445000000001</v>
      </c>
      <c r="G544" s="10">
        <v>8</v>
      </c>
      <c r="H544" s="10" t="s">
        <v>1831</v>
      </c>
      <c r="I544" s="10" t="s">
        <v>2518</v>
      </c>
      <c r="J544" s="10" t="s">
        <v>2519</v>
      </c>
      <c r="K544" s="10" t="s">
        <v>2529</v>
      </c>
      <c r="L544" s="65" t="str">
        <f t="shared" si="43"/>
        <v>Yichang|China|111,284721|30,714445|+8:00 Asia</v>
      </c>
      <c r="M544" s="10" t="s">
        <v>2896</v>
      </c>
      <c r="N544" s="10">
        <f t="shared" si="40"/>
        <v>0</v>
      </c>
      <c r="O544" t="str">
        <f t="shared" si="44"/>
        <v/>
      </c>
      <c r="P544" t="str">
        <f>IF(O544=1,COUNTIF($O$2:O544,1),"")</f>
        <v/>
      </c>
      <c r="Q544" t="str">
        <f>IFERROR(INDEX($M$2:$M$2388,MATCH(ROWS($P$2:P544),$P$2:$P$2388,0)),"")</f>
        <v/>
      </c>
    </row>
    <row r="545" spans="1:17" ht="15" x14ac:dyDescent="0.25">
      <c r="A545" s="10">
        <v>390</v>
      </c>
      <c r="B545" s="10" t="s">
        <v>2897</v>
      </c>
      <c r="C545" s="880">
        <f t="shared" si="41"/>
        <v>106.273</v>
      </c>
      <c r="D545" s="880">
        <f t="shared" si="42"/>
        <v>38.468000000000004</v>
      </c>
      <c r="E545" s="10">
        <v>106.273056</v>
      </c>
      <c r="F545" s="10">
        <v>38.468055999999997</v>
      </c>
      <c r="G545" s="10">
        <v>8</v>
      </c>
      <c r="H545" s="10" t="s">
        <v>1831</v>
      </c>
      <c r="I545" s="10" t="s">
        <v>2518</v>
      </c>
      <c r="J545" s="10" t="s">
        <v>2519</v>
      </c>
      <c r="K545" s="10" t="s">
        <v>2529</v>
      </c>
      <c r="L545" s="65" t="str">
        <f t="shared" si="43"/>
        <v>Yinchuan|China|106,273056|38,468056|+8:00 Asia</v>
      </c>
      <c r="M545" s="10" t="s">
        <v>2898</v>
      </c>
      <c r="N545" s="10">
        <f t="shared" si="40"/>
        <v>0</v>
      </c>
      <c r="O545" t="str">
        <f t="shared" si="44"/>
        <v/>
      </c>
      <c r="P545" t="str">
        <f>IF(O545=1,COUNTIF($O$2:O545,1),"")</f>
        <v/>
      </c>
      <c r="Q545" t="str">
        <f>IFERROR(INDEX($M$2:$M$2388,MATCH(ROWS($P$2:P545),$P$2:$P$2388,0)),"")</f>
        <v/>
      </c>
    </row>
    <row r="546" spans="1:17" ht="15" x14ac:dyDescent="0.25">
      <c r="A546" s="10">
        <v>389</v>
      </c>
      <c r="B546" s="10" t="s">
        <v>2899</v>
      </c>
      <c r="C546" s="880">
        <f t="shared" si="41"/>
        <v>113.55</v>
      </c>
      <c r="D546" s="880">
        <f t="shared" si="42"/>
        <v>30.95</v>
      </c>
      <c r="E546" s="10">
        <v>113.550003</v>
      </c>
      <c r="F546" s="10">
        <v>30.950001</v>
      </c>
      <c r="G546" s="10">
        <v>8</v>
      </c>
      <c r="H546" s="10" t="s">
        <v>1831</v>
      </c>
      <c r="I546" s="10" t="s">
        <v>2518</v>
      </c>
      <c r="J546" s="10" t="s">
        <v>2519</v>
      </c>
      <c r="K546" s="10" t="s">
        <v>2529</v>
      </c>
      <c r="L546" s="65" t="str">
        <f t="shared" si="43"/>
        <v>Yingcheng|China|113,550003|30,950001|+8:00 Asia</v>
      </c>
      <c r="M546" s="10" t="s">
        <v>2900</v>
      </c>
      <c r="N546" s="10">
        <f t="shared" si="40"/>
        <v>0</v>
      </c>
      <c r="O546" t="str">
        <f t="shared" si="44"/>
        <v/>
      </c>
      <c r="P546" t="str">
        <f>IF(O546=1,COUNTIF($O$2:O546,1),"")</f>
        <v/>
      </c>
      <c r="Q546" t="str">
        <f>IFERROR(INDEX($M$2:$M$2388,MATCH(ROWS($P$2:P546),$P$2:$P$2388,0)),"")</f>
        <v/>
      </c>
    </row>
    <row r="547" spans="1:17" ht="15" x14ac:dyDescent="0.25">
      <c r="A547" s="10">
        <v>533</v>
      </c>
      <c r="B547" s="10" t="s">
        <v>2901</v>
      </c>
      <c r="C547" s="880">
        <f t="shared" si="41"/>
        <v>122.2247</v>
      </c>
      <c r="D547" s="880">
        <f t="shared" si="42"/>
        <v>40.667999999999999</v>
      </c>
      <c r="E547" s="10">
        <v>122.22472399999999</v>
      </c>
      <c r="F547" s="10">
        <v>40.668056</v>
      </c>
      <c r="G547" s="10">
        <v>8</v>
      </c>
      <c r="H547" s="10" t="s">
        <v>1831</v>
      </c>
      <c r="I547" s="10" t="s">
        <v>2518</v>
      </c>
      <c r="J547" s="10" t="s">
        <v>2519</v>
      </c>
      <c r="K547" s="10" t="s">
        <v>2526</v>
      </c>
      <c r="L547" s="65" t="str">
        <f t="shared" si="43"/>
        <v>Yingkou|China|122,224724|40,668056|+8:00 Asia</v>
      </c>
      <c r="M547" s="10" t="s">
        <v>2902</v>
      </c>
      <c r="N547" s="10">
        <f t="shared" si="40"/>
        <v>0</v>
      </c>
      <c r="O547" t="str">
        <f t="shared" si="44"/>
        <v/>
      </c>
      <c r="P547" t="str">
        <f>IF(O547=1,COUNTIF($O$2:O547,1),"")</f>
        <v/>
      </c>
      <c r="Q547" t="str">
        <f>IFERROR(INDEX($M$2:$M$2388,MATCH(ROWS($P$2:P547),$P$2:$P$2388,0)),"")</f>
        <v/>
      </c>
    </row>
    <row r="548" spans="1:17" ht="15" x14ac:dyDescent="0.25">
      <c r="A548" s="10">
        <v>495</v>
      </c>
      <c r="B548" s="10" t="s">
        <v>2903</v>
      </c>
      <c r="C548" s="880">
        <f t="shared" si="41"/>
        <v>112.3283</v>
      </c>
      <c r="D548" s="880">
        <f t="shared" si="42"/>
        <v>28.589099999999998</v>
      </c>
      <c r="E548" s="10">
        <v>112.32833100000001</v>
      </c>
      <c r="F548" s="10">
        <v>28.589167</v>
      </c>
      <c r="G548" s="10">
        <v>8</v>
      </c>
      <c r="H548" s="10" t="s">
        <v>1831</v>
      </c>
      <c r="I548" s="10" t="s">
        <v>2518</v>
      </c>
      <c r="J548" s="10" t="s">
        <v>2519</v>
      </c>
      <c r="K548" s="10" t="s">
        <v>2529</v>
      </c>
      <c r="L548" s="65" t="str">
        <f t="shared" si="43"/>
        <v>Yiyang|China|112,328331|28,589167|+8:00 Asia</v>
      </c>
      <c r="M548" s="10" t="s">
        <v>2904</v>
      </c>
      <c r="N548" s="10">
        <f t="shared" si="40"/>
        <v>0</v>
      </c>
      <c r="O548" t="str">
        <f t="shared" si="44"/>
        <v/>
      </c>
      <c r="P548" t="str">
        <f>IF(O548=1,COUNTIF($O$2:O548,1),"")</f>
        <v/>
      </c>
      <c r="Q548" t="str">
        <f>IFERROR(INDEX($M$2:$M$2388,MATCH(ROWS($P$2:P548),$P$2:$P$2388,0)),"")</f>
        <v/>
      </c>
    </row>
    <row r="549" spans="1:17" ht="15" x14ac:dyDescent="0.25">
      <c r="A549" s="10">
        <v>388</v>
      </c>
      <c r="B549" s="10" t="s">
        <v>2905</v>
      </c>
      <c r="C549" s="880">
        <f t="shared" si="41"/>
        <v>112.7319</v>
      </c>
      <c r="D549" s="880">
        <f t="shared" si="42"/>
        <v>37.680199999999999</v>
      </c>
      <c r="E549" s="10">
        <v>112.73194100000001</v>
      </c>
      <c r="F549" s="10">
        <v>37.680278999999999</v>
      </c>
      <c r="G549" s="10">
        <v>8</v>
      </c>
      <c r="H549" s="10" t="s">
        <v>1831</v>
      </c>
      <c r="I549" s="10" t="s">
        <v>2518</v>
      </c>
      <c r="J549" s="10" t="s">
        <v>2519</v>
      </c>
      <c r="K549" s="10" t="s">
        <v>2529</v>
      </c>
      <c r="L549" s="65" t="str">
        <f t="shared" si="43"/>
        <v>Yuci|China|112,731941|37,680279|+8:00 Asia</v>
      </c>
      <c r="M549" s="10" t="s">
        <v>2906</v>
      </c>
      <c r="N549" s="10">
        <f t="shared" si="40"/>
        <v>0</v>
      </c>
      <c r="O549" t="str">
        <f t="shared" si="44"/>
        <v/>
      </c>
      <c r="P549" t="str">
        <f>IF(O549=1,COUNTIF($O$2:O549,1),"")</f>
        <v/>
      </c>
      <c r="Q549" t="str">
        <f>IFERROR(INDEX($M$2:$M$2388,MATCH(ROWS($P$2:P549),$P$2:$P$2388,0)),"")</f>
        <v/>
      </c>
    </row>
    <row r="550" spans="1:17" ht="15" x14ac:dyDescent="0.25">
      <c r="A550" s="10">
        <v>387</v>
      </c>
      <c r="B550" s="10" t="s">
        <v>2907</v>
      </c>
      <c r="C550" s="880">
        <f t="shared" si="41"/>
        <v>110.9927</v>
      </c>
      <c r="D550" s="880">
        <f t="shared" si="42"/>
        <v>35.023000000000003</v>
      </c>
      <c r="E550" s="10">
        <v>110.99277499999999</v>
      </c>
      <c r="F550" s="10">
        <v>35.023055999999997</v>
      </c>
      <c r="G550" s="10">
        <v>8</v>
      </c>
      <c r="H550" s="10" t="s">
        <v>1831</v>
      </c>
      <c r="I550" s="10" t="s">
        <v>2518</v>
      </c>
      <c r="J550" s="10" t="s">
        <v>2519</v>
      </c>
      <c r="K550" s="10" t="s">
        <v>2529</v>
      </c>
      <c r="L550" s="65" t="str">
        <f t="shared" si="43"/>
        <v>Yuncheng|China|110,992775|35,023056|+8:00 Asia</v>
      </c>
      <c r="M550" s="10" t="s">
        <v>2908</v>
      </c>
      <c r="N550" s="10">
        <f t="shared" si="40"/>
        <v>0</v>
      </c>
      <c r="O550" t="str">
        <f t="shared" si="44"/>
        <v/>
      </c>
      <c r="P550" t="str">
        <f>IF(O550=1,COUNTIF($O$2:O550,1),"")</f>
        <v/>
      </c>
      <c r="Q550" t="str">
        <f>IFERROR(INDEX($M$2:$M$2388,MATCH(ROWS($P$2:P550),$P$2:$P$2388,0)),"")</f>
        <v/>
      </c>
    </row>
    <row r="551" spans="1:17" ht="15" x14ac:dyDescent="0.25">
      <c r="A551" s="10">
        <v>386</v>
      </c>
      <c r="B551" s="10" t="s">
        <v>2909</v>
      </c>
      <c r="C551" s="880">
        <f t="shared" si="41"/>
        <v>112.0333</v>
      </c>
      <c r="D551" s="880">
        <f t="shared" si="42"/>
        <v>22.933299999999999</v>
      </c>
      <c r="E551" s="10">
        <v>112.033333</v>
      </c>
      <c r="F551" s="10">
        <v>22.933332</v>
      </c>
      <c r="G551" s="10">
        <v>8</v>
      </c>
      <c r="H551" s="10" t="s">
        <v>1831</v>
      </c>
      <c r="I551" s="10" t="s">
        <v>2518</v>
      </c>
      <c r="J551" s="10" t="s">
        <v>2519</v>
      </c>
      <c r="K551" s="10" t="s">
        <v>2529</v>
      </c>
      <c r="L551" s="65" t="str">
        <f t="shared" si="43"/>
        <v>Yunfu|China|112,033333|22,933332|+8:00 Asia</v>
      </c>
      <c r="M551" s="10" t="s">
        <v>2910</v>
      </c>
      <c r="N551" s="10">
        <f t="shared" si="40"/>
        <v>0</v>
      </c>
      <c r="O551" t="str">
        <f t="shared" si="44"/>
        <v/>
      </c>
      <c r="P551" t="str">
        <f>IF(O551=1,COUNTIF($O$2:O551,1),"")</f>
        <v/>
      </c>
      <c r="Q551" t="str">
        <f>IFERROR(INDEX($M$2:$M$2388,MATCH(ROWS($P$2:P551),$P$2:$P$2388,0)),"")</f>
        <v/>
      </c>
    </row>
    <row r="552" spans="1:17" ht="15" x14ac:dyDescent="0.25">
      <c r="A552" s="10">
        <v>532</v>
      </c>
      <c r="B552" s="10" t="s">
        <v>2911</v>
      </c>
      <c r="C552" s="880">
        <f t="shared" si="41"/>
        <v>114.8794</v>
      </c>
      <c r="D552" s="880">
        <f t="shared" si="42"/>
        <v>40.81</v>
      </c>
      <c r="E552" s="10">
        <v>114.879448</v>
      </c>
      <c r="F552" s="10">
        <v>40.810001</v>
      </c>
      <c r="G552" s="10">
        <v>8</v>
      </c>
      <c r="H552" s="10" t="s">
        <v>1831</v>
      </c>
      <c r="I552" s="10" t="s">
        <v>2518</v>
      </c>
      <c r="J552" s="10" t="s">
        <v>2519</v>
      </c>
      <c r="K552" s="10" t="s">
        <v>2526</v>
      </c>
      <c r="L552" s="65" t="str">
        <f t="shared" si="43"/>
        <v>Zhangjiakou|China|114,879448|40,810001|+8:00 Asia</v>
      </c>
      <c r="M552" s="10" t="s">
        <v>2912</v>
      </c>
      <c r="N552" s="10">
        <f t="shared" si="40"/>
        <v>0</v>
      </c>
      <c r="O552" t="str">
        <f t="shared" si="44"/>
        <v/>
      </c>
      <c r="P552" t="str">
        <f>IF(O552=1,COUNTIF($O$2:O552,1),"")</f>
        <v/>
      </c>
      <c r="Q552" t="str">
        <f>IFERROR(INDEX($M$2:$M$2388,MATCH(ROWS($P$2:P552),$P$2:$P$2388,0)),"")</f>
        <v/>
      </c>
    </row>
    <row r="553" spans="1:17" ht="15" x14ac:dyDescent="0.25">
      <c r="A553" s="10">
        <v>383</v>
      </c>
      <c r="B553" s="10" t="s">
        <v>2913</v>
      </c>
      <c r="C553" s="880">
        <f t="shared" si="41"/>
        <v>117.6555</v>
      </c>
      <c r="D553" s="880">
        <f t="shared" si="42"/>
        <v>24.513300000000001</v>
      </c>
      <c r="E553" s="10">
        <v>117.655556</v>
      </c>
      <c r="F553" s="10">
        <v>24.513331999999998</v>
      </c>
      <c r="G553" s="10">
        <v>8</v>
      </c>
      <c r="H553" s="10" t="s">
        <v>1831</v>
      </c>
      <c r="I553" s="10" t="s">
        <v>2518</v>
      </c>
      <c r="J553" s="10" t="s">
        <v>2519</v>
      </c>
      <c r="K553" s="10" t="s">
        <v>2523</v>
      </c>
      <c r="L553" s="65" t="str">
        <f t="shared" si="43"/>
        <v>Zhangzhou|China|117,655556|24,513332|+8:00 Asia</v>
      </c>
      <c r="M553" s="10" t="s">
        <v>2914</v>
      </c>
      <c r="N553" s="10">
        <f t="shared" si="40"/>
        <v>0</v>
      </c>
      <c r="O553" t="str">
        <f t="shared" si="44"/>
        <v/>
      </c>
      <c r="P553" t="str">
        <f>IF(O553=1,COUNTIF($O$2:O553,1),"")</f>
        <v/>
      </c>
      <c r="Q553" t="str">
        <f>IFERROR(INDEX($M$2:$M$2388,MATCH(ROWS($P$2:P553),$P$2:$P$2388,0)),"")</f>
        <v/>
      </c>
    </row>
    <row r="554" spans="1:17" ht="15" x14ac:dyDescent="0.25">
      <c r="A554" s="10">
        <v>382</v>
      </c>
      <c r="B554" s="10" t="s">
        <v>2915</v>
      </c>
      <c r="C554" s="880">
        <f t="shared" si="41"/>
        <v>110.38330000000001</v>
      </c>
      <c r="D554" s="880">
        <f t="shared" si="42"/>
        <v>21.2</v>
      </c>
      <c r="E554" s="10">
        <v>110.383331</v>
      </c>
      <c r="F554" s="10">
        <v>21.200001</v>
      </c>
      <c r="G554" s="10">
        <v>8</v>
      </c>
      <c r="H554" s="10" t="s">
        <v>1831</v>
      </c>
      <c r="I554" s="10" t="s">
        <v>2518</v>
      </c>
      <c r="J554" s="10" t="s">
        <v>2519</v>
      </c>
      <c r="K554" s="10" t="s">
        <v>2529</v>
      </c>
      <c r="L554" s="65" t="str">
        <f t="shared" si="43"/>
        <v>Zhanjiang|China|110,383331|21,200001|+8:00 Asia</v>
      </c>
      <c r="M554" s="10" t="s">
        <v>2916</v>
      </c>
      <c r="N554" s="10">
        <f t="shared" si="40"/>
        <v>0</v>
      </c>
      <c r="O554" t="str">
        <f t="shared" si="44"/>
        <v/>
      </c>
      <c r="P554" t="str">
        <f>IF(O554=1,COUNTIF($O$2:O554,1),"")</f>
        <v/>
      </c>
      <c r="Q554" t="str">
        <f>IFERROR(INDEX($M$2:$M$2388,MATCH(ROWS($P$2:P554),$P$2:$P$2388,0)),"")</f>
        <v/>
      </c>
    </row>
    <row r="555" spans="1:17" ht="15" x14ac:dyDescent="0.25">
      <c r="A555" s="10">
        <v>381</v>
      </c>
      <c r="B555" s="10" t="s">
        <v>2917</v>
      </c>
      <c r="C555" s="880">
        <f t="shared" si="41"/>
        <v>112.4499</v>
      </c>
      <c r="D555" s="880">
        <f t="shared" si="42"/>
        <v>23.049900000000001</v>
      </c>
      <c r="E555" s="10">
        <v>112.449997</v>
      </c>
      <c r="F555" s="10">
        <v>23.049999</v>
      </c>
      <c r="G555" s="10">
        <v>8</v>
      </c>
      <c r="H555" s="10" t="s">
        <v>1831</v>
      </c>
      <c r="I555" s="10" t="s">
        <v>2518</v>
      </c>
      <c r="J555" s="10" t="s">
        <v>2519</v>
      </c>
      <c r="K555" s="10" t="s">
        <v>2529</v>
      </c>
      <c r="L555" s="65" t="str">
        <f t="shared" si="43"/>
        <v>Zhaoqing|China|112,449997|23,049999|+8:00 Asia</v>
      </c>
      <c r="M555" s="10" t="s">
        <v>2918</v>
      </c>
      <c r="N555" s="10">
        <f t="shared" si="40"/>
        <v>0</v>
      </c>
      <c r="O555" t="str">
        <f t="shared" si="44"/>
        <v/>
      </c>
      <c r="P555" t="str">
        <f>IF(O555=1,COUNTIF($O$2:O555,1),"")</f>
        <v/>
      </c>
      <c r="Q555" t="str">
        <f>IFERROR(INDEX($M$2:$M$2388,MATCH(ROWS($P$2:P555),$P$2:$P$2388,0)),"")</f>
        <v/>
      </c>
    </row>
    <row r="556" spans="1:17" ht="15" x14ac:dyDescent="0.25">
      <c r="A556" s="10">
        <v>380</v>
      </c>
      <c r="B556" s="10" t="s">
        <v>2919</v>
      </c>
      <c r="C556" s="880">
        <f t="shared" si="41"/>
        <v>113.6486</v>
      </c>
      <c r="D556" s="880">
        <f t="shared" si="42"/>
        <v>34.7577</v>
      </c>
      <c r="E556" s="10">
        <v>113.648613</v>
      </c>
      <c r="F556" s="10">
        <v>34.757778000000002</v>
      </c>
      <c r="G556" s="10">
        <v>8</v>
      </c>
      <c r="H556" s="10" t="s">
        <v>1831</v>
      </c>
      <c r="I556" s="10" t="s">
        <v>2518</v>
      </c>
      <c r="J556" s="10" t="s">
        <v>2519</v>
      </c>
      <c r="K556" s="10" t="s">
        <v>2523</v>
      </c>
      <c r="L556" s="65" t="str">
        <f t="shared" si="43"/>
        <v>Zhengzhou|China|113,648613|34,757778|+8:00 Asia</v>
      </c>
      <c r="M556" s="10" t="s">
        <v>2920</v>
      </c>
      <c r="N556" s="10">
        <f t="shared" si="40"/>
        <v>0</v>
      </c>
      <c r="O556" t="str">
        <f t="shared" si="44"/>
        <v/>
      </c>
      <c r="P556" t="str">
        <f>IF(O556=1,COUNTIF($O$2:O556,1),"")</f>
        <v/>
      </c>
      <c r="Q556" t="str">
        <f>IFERROR(INDEX($M$2:$M$2388,MATCH(ROWS($P$2:P556),$P$2:$P$2388,0)),"")</f>
        <v/>
      </c>
    </row>
    <row r="557" spans="1:17" ht="15" x14ac:dyDescent="0.25">
      <c r="A557" s="10">
        <v>379</v>
      </c>
      <c r="B557" s="10" t="s">
        <v>2921</v>
      </c>
      <c r="C557" s="880">
        <f t="shared" si="41"/>
        <v>119.4341</v>
      </c>
      <c r="D557" s="880">
        <f t="shared" si="42"/>
        <v>32.209099999999999</v>
      </c>
      <c r="E557" s="10">
        <v>119.434166</v>
      </c>
      <c r="F557" s="10">
        <v>32.209167000000001</v>
      </c>
      <c r="G557" s="10">
        <v>8</v>
      </c>
      <c r="H557" s="10" t="s">
        <v>1831</v>
      </c>
      <c r="I557" s="10" t="s">
        <v>2518</v>
      </c>
      <c r="J557" s="10" t="s">
        <v>2519</v>
      </c>
      <c r="K557" s="10" t="s">
        <v>2523</v>
      </c>
      <c r="L557" s="65" t="str">
        <f t="shared" si="43"/>
        <v>Zhenjiang|China|119,434166|32,209167|+8:00 Asia</v>
      </c>
      <c r="M557" s="10" t="s">
        <v>2922</v>
      </c>
      <c r="N557" s="10">
        <f t="shared" si="40"/>
        <v>0</v>
      </c>
      <c r="O557" t="str">
        <f t="shared" si="44"/>
        <v/>
      </c>
      <c r="P557" t="str">
        <f>IF(O557=1,COUNTIF($O$2:O557,1),"")</f>
        <v/>
      </c>
      <c r="Q557" t="str">
        <f>IFERROR(INDEX($M$2:$M$2388,MATCH(ROWS($P$2:P557),$P$2:$P$2388,0)),"")</f>
        <v/>
      </c>
    </row>
    <row r="558" spans="1:17" ht="15" x14ac:dyDescent="0.25">
      <c r="A558" s="10">
        <v>378</v>
      </c>
      <c r="B558" s="10" t="s">
        <v>2923</v>
      </c>
      <c r="C558" s="880">
        <f t="shared" si="41"/>
        <v>114.63330000000001</v>
      </c>
      <c r="D558" s="880">
        <f t="shared" si="42"/>
        <v>33.633299999999998</v>
      </c>
      <c r="E558" s="10">
        <v>114.633331</v>
      </c>
      <c r="F558" s="10">
        <v>33.633335000000002</v>
      </c>
      <c r="G558" s="10">
        <v>8</v>
      </c>
      <c r="H558" s="10" t="s">
        <v>1831</v>
      </c>
      <c r="I558" s="10" t="s">
        <v>2518</v>
      </c>
      <c r="J558" s="10" t="s">
        <v>2519</v>
      </c>
      <c r="K558" s="10" t="s">
        <v>2523</v>
      </c>
      <c r="L558" s="65" t="str">
        <f t="shared" si="43"/>
        <v>Zhoukou|China|114,633331|33,633335|+8:00 Asia</v>
      </c>
      <c r="M558" s="10" t="s">
        <v>2924</v>
      </c>
      <c r="N558" s="10">
        <f t="shared" si="40"/>
        <v>0</v>
      </c>
      <c r="O558" t="str">
        <f t="shared" si="44"/>
        <v/>
      </c>
      <c r="P558" t="str">
        <f>IF(O558=1,COUNTIF($O$2:O558,1),"")</f>
        <v/>
      </c>
      <c r="Q558" t="str">
        <f>IFERROR(INDEX($M$2:$M$2388,MATCH(ROWS($P$2:P558),$P$2:$P$2388,0)),"")</f>
        <v/>
      </c>
    </row>
    <row r="559" spans="1:17" ht="15" x14ac:dyDescent="0.25">
      <c r="A559" s="10">
        <v>408</v>
      </c>
      <c r="B559" s="10" t="s">
        <v>2925</v>
      </c>
      <c r="C559" s="880">
        <f t="shared" si="41"/>
        <v>113.5677</v>
      </c>
      <c r="D559" s="880">
        <f t="shared" si="42"/>
        <v>22.276900000000001</v>
      </c>
      <c r="E559" s="10">
        <v>113.56778</v>
      </c>
      <c r="F559" s="10">
        <v>22.276945000000001</v>
      </c>
      <c r="G559" s="10">
        <v>8</v>
      </c>
      <c r="H559" s="10" t="s">
        <v>1831</v>
      </c>
      <c r="I559" s="10" t="s">
        <v>2518</v>
      </c>
      <c r="J559" s="10" t="s">
        <v>2519</v>
      </c>
      <c r="K559" s="10" t="s">
        <v>2529</v>
      </c>
      <c r="L559" s="65" t="str">
        <f t="shared" si="43"/>
        <v>Zhuhai|China|113,567780|22,276945|+8:00 Asia</v>
      </c>
      <c r="M559" s="10" t="s">
        <v>2926</v>
      </c>
      <c r="N559" s="10">
        <f t="shared" si="40"/>
        <v>0</v>
      </c>
      <c r="O559" t="str">
        <f t="shared" si="44"/>
        <v/>
      </c>
      <c r="P559" t="str">
        <f>IF(O559=1,COUNTIF($O$2:O559,1),"")</f>
        <v/>
      </c>
      <c r="Q559" t="str">
        <f>IFERROR(INDEX($M$2:$M$2388,MATCH(ROWS($P$2:P559),$P$2:$P$2388,0)),"")</f>
        <v/>
      </c>
    </row>
    <row r="560" spans="1:17" ht="15" x14ac:dyDescent="0.25">
      <c r="A560" s="10">
        <v>377</v>
      </c>
      <c r="B560" s="10" t="s">
        <v>2927</v>
      </c>
      <c r="C560" s="880">
        <f t="shared" si="41"/>
        <v>114.0294</v>
      </c>
      <c r="D560" s="880">
        <f t="shared" si="42"/>
        <v>32.979399999999998</v>
      </c>
      <c r="E560" s="10">
        <v>114.029442</v>
      </c>
      <c r="F560" s="10">
        <v>32.979443000000003</v>
      </c>
      <c r="G560" s="10">
        <v>8</v>
      </c>
      <c r="H560" s="10" t="s">
        <v>1831</v>
      </c>
      <c r="I560" s="10" t="s">
        <v>2518</v>
      </c>
      <c r="J560" s="10" t="s">
        <v>2519</v>
      </c>
      <c r="K560" s="10" t="s">
        <v>2523</v>
      </c>
      <c r="L560" s="65" t="str">
        <f t="shared" si="43"/>
        <v>Zhumadian|China|114,029442|32,979443|+8:00 Asia</v>
      </c>
      <c r="M560" s="10" t="s">
        <v>2928</v>
      </c>
      <c r="N560" s="10">
        <f t="shared" si="40"/>
        <v>0</v>
      </c>
      <c r="O560" t="str">
        <f t="shared" si="44"/>
        <v/>
      </c>
      <c r="P560" t="str">
        <f>IF(O560=1,COUNTIF($O$2:O560,1),"")</f>
        <v/>
      </c>
      <c r="Q560" t="str">
        <f>IFERROR(INDEX($M$2:$M$2388,MATCH(ROWS($P$2:P560),$P$2:$P$2388,0)),"")</f>
        <v/>
      </c>
    </row>
    <row r="561" spans="1:17" ht="15" x14ac:dyDescent="0.25">
      <c r="A561" s="10">
        <v>376</v>
      </c>
      <c r="B561" s="10" t="s">
        <v>2929</v>
      </c>
      <c r="C561" s="880">
        <f t="shared" si="41"/>
        <v>113.15</v>
      </c>
      <c r="D561" s="880">
        <f t="shared" si="42"/>
        <v>27.833300000000001</v>
      </c>
      <c r="E561" s="10">
        <v>113.150002</v>
      </c>
      <c r="F561" s="10">
        <v>27.833334000000001</v>
      </c>
      <c r="G561" s="10">
        <v>8</v>
      </c>
      <c r="H561" s="10" t="s">
        <v>1831</v>
      </c>
      <c r="I561" s="10" t="s">
        <v>2518</v>
      </c>
      <c r="J561" s="10" t="s">
        <v>2519</v>
      </c>
      <c r="K561" s="10" t="s">
        <v>2529</v>
      </c>
      <c r="L561" s="65" t="str">
        <f t="shared" si="43"/>
        <v>Zhuzhou|China|113,150002|27,833334|+8:00 Asia</v>
      </c>
      <c r="M561" s="10" t="s">
        <v>2930</v>
      </c>
      <c r="N561" s="10">
        <f t="shared" si="40"/>
        <v>0</v>
      </c>
      <c r="O561" t="str">
        <f t="shared" si="44"/>
        <v/>
      </c>
      <c r="P561" t="str">
        <f>IF(O561=1,COUNTIF($O$2:O561,1),"")</f>
        <v/>
      </c>
      <c r="Q561" t="str">
        <f>IFERROR(INDEX($M$2:$M$2388,MATCH(ROWS($P$2:P561),$P$2:$P$2388,0)),"")</f>
        <v/>
      </c>
    </row>
    <row r="562" spans="1:17" ht="15" x14ac:dyDescent="0.25">
      <c r="A562" s="10">
        <v>384</v>
      </c>
      <c r="B562" s="10" t="s">
        <v>2931</v>
      </c>
      <c r="C562" s="880">
        <f t="shared" si="41"/>
        <v>118.0633</v>
      </c>
      <c r="D562" s="880">
        <f t="shared" si="42"/>
        <v>36.790500000000002</v>
      </c>
      <c r="E562" s="10">
        <v>118.063332</v>
      </c>
      <c r="F562" s="10">
        <v>36.790554</v>
      </c>
      <c r="G562" s="10">
        <v>8</v>
      </c>
      <c r="H562" s="10" t="s">
        <v>1831</v>
      </c>
      <c r="I562" s="10" t="s">
        <v>2518</v>
      </c>
      <c r="J562" s="10" t="s">
        <v>2519</v>
      </c>
      <c r="K562" s="10" t="s">
        <v>2523</v>
      </c>
      <c r="L562" s="65" t="str">
        <f t="shared" si="43"/>
        <v>Zibo|China|118,063332|36,790554|+8:00 Asia</v>
      </c>
      <c r="M562" s="10" t="s">
        <v>2932</v>
      </c>
      <c r="N562" s="10">
        <f t="shared" si="40"/>
        <v>0</v>
      </c>
      <c r="O562" t="str">
        <f t="shared" si="44"/>
        <v/>
      </c>
      <c r="P562" t="str">
        <f>IF(O562=1,COUNTIF($O$2:O562,1),"")</f>
        <v/>
      </c>
      <c r="Q562" t="str">
        <f>IFERROR(INDEX($M$2:$M$2388,MATCH(ROWS($P$2:P562),$P$2:$P$2388,0)),"")</f>
        <v/>
      </c>
    </row>
    <row r="563" spans="1:17" ht="15" x14ac:dyDescent="0.25">
      <c r="A563" s="10">
        <v>375</v>
      </c>
      <c r="B563" s="10" t="s">
        <v>2933</v>
      </c>
      <c r="C563" s="880">
        <f t="shared" si="41"/>
        <v>104.7833</v>
      </c>
      <c r="D563" s="880">
        <f t="shared" si="42"/>
        <v>29.4</v>
      </c>
      <c r="E563" s="10">
        <v>104.783333</v>
      </c>
      <c r="F563" s="10">
        <v>29.4</v>
      </c>
      <c r="G563" s="10">
        <v>8</v>
      </c>
      <c r="H563" s="10" t="s">
        <v>1831</v>
      </c>
      <c r="I563" s="10" t="s">
        <v>2518</v>
      </c>
      <c r="J563" s="10" t="s">
        <v>2519</v>
      </c>
      <c r="K563" s="10" t="s">
        <v>2529</v>
      </c>
      <c r="L563" s="65" t="str">
        <f t="shared" si="43"/>
        <v>Zigong|China|104,783333|29,400000|+8:00 Asia</v>
      </c>
      <c r="M563" s="10" t="s">
        <v>2934</v>
      </c>
      <c r="N563" s="10">
        <f t="shared" si="40"/>
        <v>0</v>
      </c>
      <c r="O563" t="str">
        <f t="shared" si="44"/>
        <v/>
      </c>
      <c r="P563" t="str">
        <f>IF(O563=1,COUNTIF($O$2:O563,1),"")</f>
        <v/>
      </c>
      <c r="Q563" t="str">
        <f>IFERROR(INDEX($M$2:$M$2388,MATCH(ROWS($P$2:P563),$P$2:$P$2388,0)),"")</f>
        <v/>
      </c>
    </row>
    <row r="564" spans="1:17" ht="15" x14ac:dyDescent="0.25">
      <c r="A564" s="10">
        <v>374</v>
      </c>
      <c r="B564" s="10" t="s">
        <v>2935</v>
      </c>
      <c r="C564" s="880">
        <f t="shared" si="41"/>
        <v>106.9072</v>
      </c>
      <c r="D564" s="880">
        <f t="shared" si="42"/>
        <v>27.686599999999999</v>
      </c>
      <c r="E564" s="10">
        <v>106.907219</v>
      </c>
      <c r="F564" s="10">
        <v>27.686665999999999</v>
      </c>
      <c r="G564" s="10">
        <v>8</v>
      </c>
      <c r="H564" s="10" t="s">
        <v>1831</v>
      </c>
      <c r="I564" s="10" t="s">
        <v>2518</v>
      </c>
      <c r="J564" s="10" t="s">
        <v>2519</v>
      </c>
      <c r="K564" s="10" t="s">
        <v>2529</v>
      </c>
      <c r="L564" s="65" t="str">
        <f t="shared" si="43"/>
        <v>Zunyi|China|106,907219|27,686666|+8:00 Asia</v>
      </c>
      <c r="M564" s="10" t="s">
        <v>2936</v>
      </c>
      <c r="N564" s="10">
        <f t="shared" si="40"/>
        <v>0</v>
      </c>
      <c r="O564" t="str">
        <f t="shared" si="44"/>
        <v/>
      </c>
      <c r="P564" t="str">
        <f>IF(O564=1,COUNTIF($O$2:O564,1),"")</f>
        <v/>
      </c>
      <c r="Q564" t="str">
        <f>IFERROR(INDEX($M$2:$M$2388,MATCH(ROWS($P$2:P564),$P$2:$P$2388,0)),"")</f>
        <v/>
      </c>
    </row>
    <row r="565" spans="1:17" ht="15" x14ac:dyDescent="0.25">
      <c r="A565" s="10">
        <v>601</v>
      </c>
      <c r="B565" s="10" t="s">
        <v>1796</v>
      </c>
      <c r="C565" s="880">
        <f t="shared" si="41"/>
        <v>-75.681100000000001</v>
      </c>
      <c r="D565" s="880">
        <f t="shared" si="42"/>
        <v>4.5338000000000003</v>
      </c>
      <c r="E565" s="10">
        <v>-75.681113999999994</v>
      </c>
      <c r="F565" s="10">
        <v>4.5338890000000003</v>
      </c>
      <c r="G565" s="10">
        <v>-5</v>
      </c>
      <c r="H565" s="10" t="s">
        <v>1873</v>
      </c>
      <c r="I565" s="10" t="s">
        <v>2937</v>
      </c>
      <c r="J565" s="10" t="s">
        <v>2938</v>
      </c>
      <c r="K565" s="10" t="s">
        <v>2939</v>
      </c>
      <c r="L565" s="65" t="str">
        <f t="shared" si="43"/>
        <v>Armenia|Colombia|-75,681114|4,533889|-5:00 America</v>
      </c>
      <c r="M565" s="10" t="s">
        <v>2940</v>
      </c>
      <c r="N565" s="10">
        <f t="shared" si="40"/>
        <v>0</v>
      </c>
      <c r="O565" t="str">
        <f t="shared" si="44"/>
        <v/>
      </c>
      <c r="P565" t="str">
        <f>IF(O565=1,COUNTIF($O$2:O565,1),"")</f>
        <v/>
      </c>
      <c r="Q565" t="str">
        <f>IFERROR(INDEX($M$2:$M$2388,MATCH(ROWS($P$2:P565),$P$2:$P$2388,0)),"")</f>
        <v/>
      </c>
    </row>
    <row r="566" spans="1:17" ht="15" x14ac:dyDescent="0.25">
      <c r="A566" s="10">
        <v>600</v>
      </c>
      <c r="B566" s="10" t="s">
        <v>2941</v>
      </c>
      <c r="C566" s="880">
        <f t="shared" si="41"/>
        <v>-74.796300000000002</v>
      </c>
      <c r="D566" s="880">
        <f t="shared" si="42"/>
        <v>10.963800000000001</v>
      </c>
      <c r="E566" s="10">
        <v>-74.796386999999996</v>
      </c>
      <c r="F566" s="10">
        <v>10.963889</v>
      </c>
      <c r="G566" s="10">
        <v>-5</v>
      </c>
      <c r="H566" s="10" t="s">
        <v>1873</v>
      </c>
      <c r="I566" s="10" t="s">
        <v>2937</v>
      </c>
      <c r="J566" s="10" t="s">
        <v>2938</v>
      </c>
      <c r="K566" s="10" t="s">
        <v>2939</v>
      </c>
      <c r="L566" s="65" t="str">
        <f t="shared" si="43"/>
        <v>Barranquilla|Colombia|-74,796387|10,963889|-5:00 America</v>
      </c>
      <c r="M566" s="10" t="s">
        <v>2942</v>
      </c>
      <c r="N566" s="10">
        <f t="shared" si="40"/>
        <v>0</v>
      </c>
      <c r="O566" t="str">
        <f t="shared" si="44"/>
        <v/>
      </c>
      <c r="P566" t="str">
        <f>IF(O566=1,COUNTIF($O$2:O566,1),"")</f>
        <v/>
      </c>
      <c r="Q566" t="str">
        <f>IFERROR(INDEX($M$2:$M$2388,MATCH(ROWS($P$2:P566),$P$2:$P$2388,0)),"")</f>
        <v/>
      </c>
    </row>
    <row r="567" spans="1:17" ht="15" x14ac:dyDescent="0.25">
      <c r="A567" s="10">
        <v>599</v>
      </c>
      <c r="B567" s="10" t="s">
        <v>2943</v>
      </c>
      <c r="C567" s="880">
        <f t="shared" si="41"/>
        <v>-75.562200000000004</v>
      </c>
      <c r="D567" s="880">
        <f t="shared" si="42"/>
        <v>6.3388</v>
      </c>
      <c r="E567" s="10">
        <v>-75.562224999999998</v>
      </c>
      <c r="F567" s="10">
        <v>6.338889</v>
      </c>
      <c r="G567" s="10">
        <v>-5</v>
      </c>
      <c r="H567" s="10" t="s">
        <v>1873</v>
      </c>
      <c r="I567" s="10" t="s">
        <v>2937</v>
      </c>
      <c r="J567" s="10" t="s">
        <v>2938</v>
      </c>
      <c r="K567" s="10" t="s">
        <v>2939</v>
      </c>
      <c r="L567" s="65" t="str">
        <f t="shared" si="43"/>
        <v>Bello|Colombia|-75,562225|6,338889|-5:00 America</v>
      </c>
      <c r="M567" s="10" t="s">
        <v>2944</v>
      </c>
      <c r="N567" s="10">
        <f t="shared" si="40"/>
        <v>0</v>
      </c>
      <c r="O567" t="str">
        <f t="shared" si="44"/>
        <v/>
      </c>
      <c r="P567" t="str">
        <f>IF(O567=1,COUNTIF($O$2:O567,1),"")</f>
        <v/>
      </c>
      <c r="Q567" t="str">
        <f>IFERROR(INDEX($M$2:$M$2388,MATCH(ROWS($P$2:P567),$P$2:$P$2388,0)),"")</f>
        <v/>
      </c>
    </row>
    <row r="568" spans="1:17" ht="15" x14ac:dyDescent="0.25">
      <c r="A568" s="10">
        <v>598</v>
      </c>
      <c r="B568" s="10" t="s">
        <v>2945</v>
      </c>
      <c r="C568" s="880">
        <f t="shared" si="41"/>
        <v>-74.083299999999994</v>
      </c>
      <c r="D568" s="880">
        <f t="shared" si="42"/>
        <v>4.5999999999999996</v>
      </c>
      <c r="E568" s="10">
        <v>-74.083336000000003</v>
      </c>
      <c r="F568" s="10">
        <v>4.5999999999999996</v>
      </c>
      <c r="G568" s="10">
        <v>-5</v>
      </c>
      <c r="H568" s="10" t="s">
        <v>1873</v>
      </c>
      <c r="I568" s="10" t="s">
        <v>2937</v>
      </c>
      <c r="J568" s="10" t="s">
        <v>2938</v>
      </c>
      <c r="K568" s="10" t="s">
        <v>2939</v>
      </c>
      <c r="L568" s="65" t="str">
        <f t="shared" si="43"/>
        <v>Bogota|Colombia|-74,083336|4,600000|-5:00 America</v>
      </c>
      <c r="M568" s="10" t="s">
        <v>2946</v>
      </c>
      <c r="N568" s="10">
        <f t="shared" si="40"/>
        <v>0</v>
      </c>
      <c r="O568" t="str">
        <f t="shared" si="44"/>
        <v/>
      </c>
      <c r="P568" t="str">
        <f>IF(O568=1,COUNTIF($O$2:O568,1),"")</f>
        <v/>
      </c>
      <c r="Q568" t="str">
        <f>IFERROR(INDEX($M$2:$M$2388,MATCH(ROWS($P$2:P568),$P$2:$P$2388,0)),"")</f>
        <v/>
      </c>
    </row>
    <row r="569" spans="1:17" ht="15" x14ac:dyDescent="0.25">
      <c r="A569" s="10">
        <v>597</v>
      </c>
      <c r="B569" s="10" t="s">
        <v>2947</v>
      </c>
      <c r="C569" s="880">
        <f t="shared" si="41"/>
        <v>-73.125799999999998</v>
      </c>
      <c r="D569" s="880">
        <f t="shared" si="42"/>
        <v>7.1296999999999997</v>
      </c>
      <c r="E569" s="10">
        <v>-73.125832000000003</v>
      </c>
      <c r="F569" s="10">
        <v>7.1297220000000001</v>
      </c>
      <c r="G569" s="10">
        <v>-5</v>
      </c>
      <c r="H569" s="10" t="s">
        <v>1873</v>
      </c>
      <c r="I569" s="10" t="s">
        <v>2937</v>
      </c>
      <c r="J569" s="10" t="s">
        <v>2938</v>
      </c>
      <c r="K569" s="10" t="s">
        <v>2939</v>
      </c>
      <c r="L569" s="65" t="str">
        <f t="shared" si="43"/>
        <v>Bucaramanga|Colombia|-73,125832|7,129722|-5:00 America</v>
      </c>
      <c r="M569" s="10" t="s">
        <v>2948</v>
      </c>
      <c r="N569" s="10">
        <f t="shared" si="40"/>
        <v>0</v>
      </c>
      <c r="O569" t="str">
        <f t="shared" si="44"/>
        <v/>
      </c>
      <c r="P569" t="str">
        <f>IF(O569=1,COUNTIF($O$2:O569,1),"")</f>
        <v/>
      </c>
      <c r="Q569" t="str">
        <f>IFERROR(INDEX($M$2:$M$2388,MATCH(ROWS($P$2:P569),$P$2:$P$2388,0)),"")</f>
        <v/>
      </c>
    </row>
    <row r="570" spans="1:17" ht="15" x14ac:dyDescent="0.25">
      <c r="A570" s="10">
        <v>595</v>
      </c>
      <c r="B570" s="10" t="s">
        <v>2949</v>
      </c>
      <c r="C570" s="880">
        <f t="shared" si="41"/>
        <v>-77.069699999999997</v>
      </c>
      <c r="D570" s="880">
        <f t="shared" si="42"/>
        <v>3.8933</v>
      </c>
      <c r="E570" s="10">
        <v>-77.069725000000005</v>
      </c>
      <c r="F570" s="10">
        <v>3.8933330000000002</v>
      </c>
      <c r="G570" s="10">
        <v>-5</v>
      </c>
      <c r="H570" s="10" t="s">
        <v>1873</v>
      </c>
      <c r="I570" s="10" t="s">
        <v>2937</v>
      </c>
      <c r="J570" s="10" t="s">
        <v>2938</v>
      </c>
      <c r="K570" s="10" t="s">
        <v>2939</v>
      </c>
      <c r="L570" s="65" t="str">
        <f t="shared" si="43"/>
        <v>Buenaventura|Colombia|-77,069725|3,893333|-5:00 America</v>
      </c>
      <c r="M570" s="10" t="s">
        <v>2950</v>
      </c>
      <c r="N570" s="10">
        <f t="shared" si="40"/>
        <v>0</v>
      </c>
      <c r="O570" t="str">
        <f t="shared" si="44"/>
        <v/>
      </c>
      <c r="P570" t="str">
        <f>IF(O570=1,COUNTIF($O$2:O570,1),"")</f>
        <v/>
      </c>
      <c r="Q570" t="str">
        <f>IFERROR(INDEX($M$2:$M$2388,MATCH(ROWS($P$2:P570),$P$2:$P$2388,0)),"")</f>
        <v/>
      </c>
    </row>
    <row r="571" spans="1:17" ht="15" x14ac:dyDescent="0.25">
      <c r="A571" s="10">
        <v>596</v>
      </c>
      <c r="B571" s="10" t="s">
        <v>2949</v>
      </c>
      <c r="C571" s="880">
        <f t="shared" si="41"/>
        <v>-77</v>
      </c>
      <c r="D571" s="880">
        <f t="shared" si="42"/>
        <v>3.5832999999999999</v>
      </c>
      <c r="E571" s="10">
        <v>-77</v>
      </c>
      <c r="F571" s="10">
        <v>3.5833330000000001</v>
      </c>
      <c r="G571" s="10">
        <v>-5</v>
      </c>
      <c r="H571" s="10" t="s">
        <v>1873</v>
      </c>
      <c r="I571" s="10" t="s">
        <v>2937</v>
      </c>
      <c r="J571" s="10" t="s">
        <v>2938</v>
      </c>
      <c r="K571" s="10" t="s">
        <v>2939</v>
      </c>
      <c r="L571" s="65" t="str">
        <f t="shared" si="43"/>
        <v>Buenaventura|Colombia|-77,000000|3,583333|-5:00 America</v>
      </c>
      <c r="M571" s="10" t="s">
        <v>2951</v>
      </c>
      <c r="N571" s="10">
        <f t="shared" si="40"/>
        <v>0</v>
      </c>
      <c r="O571" t="str">
        <f t="shared" si="44"/>
        <v/>
      </c>
      <c r="P571" t="str">
        <f>IF(O571=1,COUNTIF($O$2:O571,1),"")</f>
        <v/>
      </c>
      <c r="Q571" t="str">
        <f>IFERROR(INDEX($M$2:$M$2388,MATCH(ROWS($P$2:P571),$P$2:$P$2388,0)),"")</f>
        <v/>
      </c>
    </row>
    <row r="572" spans="1:17" ht="15" x14ac:dyDescent="0.25">
      <c r="A572" s="10">
        <v>594</v>
      </c>
      <c r="B572" s="10" t="s">
        <v>2952</v>
      </c>
      <c r="C572" s="880">
        <f t="shared" si="41"/>
        <v>-76.522400000000005</v>
      </c>
      <c r="D572" s="880">
        <f t="shared" si="42"/>
        <v>3.4371999999999998</v>
      </c>
      <c r="E572" s="10">
        <v>-76.522498999999996</v>
      </c>
      <c r="F572" s="10">
        <v>3.4372220000000002</v>
      </c>
      <c r="G572" s="10">
        <v>-5</v>
      </c>
      <c r="H572" s="10" t="s">
        <v>1873</v>
      </c>
      <c r="I572" s="10" t="s">
        <v>2937</v>
      </c>
      <c r="J572" s="10" t="s">
        <v>2938</v>
      </c>
      <c r="K572" s="10" t="s">
        <v>2939</v>
      </c>
      <c r="L572" s="65" t="str">
        <f t="shared" si="43"/>
        <v>Cali|Colombia|-76,522499|3,437222|-5:00 America</v>
      </c>
      <c r="M572" s="10" t="s">
        <v>2953</v>
      </c>
      <c r="N572" s="10">
        <f t="shared" si="40"/>
        <v>0</v>
      </c>
      <c r="O572" t="str">
        <f t="shared" si="44"/>
        <v/>
      </c>
      <c r="P572" t="str">
        <f>IF(O572=1,COUNTIF($O$2:O572,1),"")</f>
        <v/>
      </c>
      <c r="Q572" t="str">
        <f>IFERROR(INDEX($M$2:$M$2388,MATCH(ROWS($P$2:P572),$P$2:$P$2388,0)),"")</f>
        <v/>
      </c>
    </row>
    <row r="573" spans="1:17" ht="15" x14ac:dyDescent="0.25">
      <c r="A573" s="10">
        <v>593</v>
      </c>
      <c r="B573" s="10" t="s">
        <v>2954</v>
      </c>
      <c r="C573" s="880">
        <f t="shared" si="41"/>
        <v>-75.514399999999995</v>
      </c>
      <c r="D573" s="880">
        <f t="shared" si="42"/>
        <v>10.399699999999999</v>
      </c>
      <c r="E573" s="10">
        <v>-75.514442000000003</v>
      </c>
      <c r="F573" s="10">
        <v>10.399722000000001</v>
      </c>
      <c r="G573" s="10">
        <v>-5</v>
      </c>
      <c r="H573" s="10" t="s">
        <v>1873</v>
      </c>
      <c r="I573" s="10" t="s">
        <v>2937</v>
      </c>
      <c r="J573" s="10" t="s">
        <v>2938</v>
      </c>
      <c r="K573" s="10" t="s">
        <v>2939</v>
      </c>
      <c r="L573" s="65" t="str">
        <f t="shared" si="43"/>
        <v>Cartagena|Colombia|-75,514442|10,399722|-5:00 America</v>
      </c>
      <c r="M573" s="10" t="s">
        <v>2955</v>
      </c>
      <c r="N573" s="10">
        <f t="shared" si="40"/>
        <v>0</v>
      </c>
      <c r="O573" t="str">
        <f t="shared" si="44"/>
        <v/>
      </c>
      <c r="P573" t="str">
        <f>IF(O573=1,COUNTIF($O$2:O573,1),"")</f>
        <v/>
      </c>
      <c r="Q573" t="str">
        <f>IFERROR(INDEX($M$2:$M$2388,MATCH(ROWS($P$2:P573),$P$2:$P$2388,0)),"")</f>
        <v/>
      </c>
    </row>
    <row r="574" spans="1:17" ht="15" x14ac:dyDescent="0.25">
      <c r="A574" s="10">
        <v>592</v>
      </c>
      <c r="B574" s="10" t="s">
        <v>2956</v>
      </c>
      <c r="C574" s="880">
        <f t="shared" si="41"/>
        <v>-72.505200000000002</v>
      </c>
      <c r="D574" s="880">
        <f t="shared" si="42"/>
        <v>7.8833000000000002</v>
      </c>
      <c r="E574" s="10">
        <v>-72.505279999999999</v>
      </c>
      <c r="F574" s="10">
        <v>7.8833330000000004</v>
      </c>
      <c r="G574" s="10">
        <v>-5</v>
      </c>
      <c r="H574" s="10" t="s">
        <v>1873</v>
      </c>
      <c r="I574" s="10" t="s">
        <v>2937</v>
      </c>
      <c r="J574" s="10" t="s">
        <v>2938</v>
      </c>
      <c r="K574" s="10" t="s">
        <v>2939</v>
      </c>
      <c r="L574" s="65" t="str">
        <f t="shared" si="43"/>
        <v>Cucuta|Colombia|-72,505280|7,883333|-5:00 America</v>
      </c>
      <c r="M574" s="10" t="s">
        <v>2957</v>
      </c>
      <c r="N574" s="10">
        <f t="shared" si="40"/>
        <v>0</v>
      </c>
      <c r="O574" t="str">
        <f t="shared" si="44"/>
        <v/>
      </c>
      <c r="P574" t="str">
        <f>IF(O574=1,COUNTIF($O$2:O574,1),"")</f>
        <v/>
      </c>
      <c r="Q574" t="str">
        <f>IFERROR(INDEX($M$2:$M$2388,MATCH(ROWS($P$2:P574),$P$2:$P$2388,0)),"")</f>
        <v/>
      </c>
    </row>
    <row r="575" spans="1:17" ht="15" x14ac:dyDescent="0.25">
      <c r="A575" s="10">
        <v>591</v>
      </c>
      <c r="B575" s="10" t="s">
        <v>2958</v>
      </c>
      <c r="C575" s="880">
        <f t="shared" si="41"/>
        <v>-73.089699999999993</v>
      </c>
      <c r="D575" s="880">
        <f t="shared" si="42"/>
        <v>7.0647000000000002</v>
      </c>
      <c r="E575" s="10">
        <v>-73.089721999999995</v>
      </c>
      <c r="F575" s="10">
        <v>7.0647219999999997</v>
      </c>
      <c r="G575" s="10">
        <v>-5</v>
      </c>
      <c r="H575" s="10" t="s">
        <v>1873</v>
      </c>
      <c r="I575" s="10" t="s">
        <v>2937</v>
      </c>
      <c r="J575" s="10" t="s">
        <v>2938</v>
      </c>
      <c r="K575" s="10" t="s">
        <v>2939</v>
      </c>
      <c r="L575" s="65" t="str">
        <f t="shared" si="43"/>
        <v>Floridablanca|Colombia|-73,089722|7,064722|-5:00 America</v>
      </c>
      <c r="M575" s="10" t="s">
        <v>2959</v>
      </c>
      <c r="N575" s="10">
        <f t="shared" si="40"/>
        <v>0</v>
      </c>
      <c r="O575" t="str">
        <f t="shared" si="44"/>
        <v/>
      </c>
      <c r="P575" t="str">
        <f>IF(O575=1,COUNTIF($O$2:O575,1),"")</f>
        <v/>
      </c>
      <c r="Q575" t="str">
        <f>IFERROR(INDEX($M$2:$M$2388,MATCH(ROWS($P$2:P575),$P$2:$P$2388,0)),"")</f>
        <v/>
      </c>
    </row>
    <row r="576" spans="1:17" ht="15" x14ac:dyDescent="0.25">
      <c r="A576" s="10">
        <v>590</v>
      </c>
      <c r="B576" s="10" t="s">
        <v>2960</v>
      </c>
      <c r="C576" s="880">
        <f t="shared" si="41"/>
        <v>-75.232200000000006</v>
      </c>
      <c r="D576" s="880">
        <f t="shared" si="42"/>
        <v>4.4387999999999996</v>
      </c>
      <c r="E576" s="10">
        <v>-75.232224000000002</v>
      </c>
      <c r="F576" s="10">
        <v>4.4388889999999996</v>
      </c>
      <c r="G576" s="10">
        <v>-5</v>
      </c>
      <c r="H576" s="10" t="s">
        <v>1873</v>
      </c>
      <c r="I576" s="10" t="s">
        <v>2937</v>
      </c>
      <c r="J576" s="10" t="s">
        <v>2938</v>
      </c>
      <c r="K576" s="10" t="s">
        <v>2939</v>
      </c>
      <c r="L576" s="65" t="str">
        <f t="shared" si="43"/>
        <v>Ibague|Colombia|-75,232224|4,438889|-5:00 America</v>
      </c>
      <c r="M576" s="10" t="s">
        <v>2961</v>
      </c>
      <c r="N576" s="10">
        <f t="shared" si="40"/>
        <v>0</v>
      </c>
      <c r="O576" t="str">
        <f t="shared" si="44"/>
        <v/>
      </c>
      <c r="P576" t="str">
        <f>IF(O576=1,COUNTIF($O$2:O576,1),"")</f>
        <v/>
      </c>
      <c r="Q576" t="str">
        <f>IFERROR(INDEX($M$2:$M$2388,MATCH(ROWS($P$2:P576),$P$2:$P$2388,0)),"")</f>
        <v/>
      </c>
    </row>
    <row r="577" spans="1:17" ht="15" x14ac:dyDescent="0.25">
      <c r="A577" s="10">
        <v>589</v>
      </c>
      <c r="B577" s="10" t="s">
        <v>2962</v>
      </c>
      <c r="C577" s="880">
        <f t="shared" si="41"/>
        <v>-75.6113</v>
      </c>
      <c r="D577" s="880">
        <f t="shared" si="42"/>
        <v>6.1718999999999999</v>
      </c>
      <c r="E577" s="10">
        <v>-75.611389000000003</v>
      </c>
      <c r="F577" s="10">
        <v>6.171945</v>
      </c>
      <c r="G577" s="10">
        <v>-5</v>
      </c>
      <c r="H577" s="10" t="s">
        <v>1873</v>
      </c>
      <c r="I577" s="10" t="s">
        <v>2937</v>
      </c>
      <c r="J577" s="10" t="s">
        <v>2938</v>
      </c>
      <c r="K577" s="10" t="s">
        <v>2939</v>
      </c>
      <c r="L577" s="65" t="str">
        <f t="shared" si="43"/>
        <v>Itagui|Colombia|-75,611389|6,171945|-5:00 America</v>
      </c>
      <c r="M577" s="10" t="s">
        <v>2963</v>
      </c>
      <c r="N577" s="10">
        <f t="shared" si="40"/>
        <v>0</v>
      </c>
      <c r="O577" t="str">
        <f t="shared" si="44"/>
        <v/>
      </c>
      <c r="P577" t="str">
        <f>IF(O577=1,COUNTIF($O$2:O577,1),"")</f>
        <v/>
      </c>
      <c r="Q577" t="str">
        <f>IFERROR(INDEX($M$2:$M$2388,MATCH(ROWS($P$2:P577),$P$2:$P$2388,0)),"")</f>
        <v/>
      </c>
    </row>
    <row r="578" spans="1:17" ht="15" x14ac:dyDescent="0.25">
      <c r="A578" s="10">
        <v>588</v>
      </c>
      <c r="B578" s="10" t="s">
        <v>2964</v>
      </c>
      <c r="C578" s="880">
        <f t="shared" si="41"/>
        <v>-75.520499999999998</v>
      </c>
      <c r="D578" s="880">
        <f t="shared" si="42"/>
        <v>5.07</v>
      </c>
      <c r="E578" s="10">
        <v>-75.520554000000004</v>
      </c>
      <c r="F578" s="10">
        <v>5.07</v>
      </c>
      <c r="G578" s="10">
        <v>-5</v>
      </c>
      <c r="H578" s="10" t="s">
        <v>1873</v>
      </c>
      <c r="I578" s="10" t="s">
        <v>2937</v>
      </c>
      <c r="J578" s="10" t="s">
        <v>2938</v>
      </c>
      <c r="K578" s="10" t="s">
        <v>2939</v>
      </c>
      <c r="L578" s="65" t="str">
        <f t="shared" si="43"/>
        <v>Manizales|Colombia|-75,520554|5,070000|-5:00 America</v>
      </c>
      <c r="M578" s="10" t="s">
        <v>2965</v>
      </c>
      <c r="N578" s="10">
        <f t="shared" ref="N578:N641" si="45">--ISNUMBER(IFERROR(SEARCH($R$2,J578,1),""))</f>
        <v>0</v>
      </c>
      <c r="O578" t="str">
        <f t="shared" si="44"/>
        <v/>
      </c>
      <c r="P578" t="str">
        <f>IF(O578=1,COUNTIF($O$2:O578,1),"")</f>
        <v/>
      </c>
      <c r="Q578" t="str">
        <f>IFERROR(INDEX($M$2:$M$2388,MATCH(ROWS($P$2:P578),$P$2:$P$2388,0)),"")</f>
        <v/>
      </c>
    </row>
    <row r="579" spans="1:17" ht="15" x14ac:dyDescent="0.25">
      <c r="A579" s="10">
        <v>587</v>
      </c>
      <c r="B579" s="10" t="s">
        <v>2966</v>
      </c>
      <c r="C579" s="880">
        <f t="shared" ref="C579:C642" si="46">TRUNC(E579,4)</f>
        <v>-75.536100000000005</v>
      </c>
      <c r="D579" s="880">
        <f t="shared" ref="D579:D642" si="47">TRUNC(F579,4)</f>
        <v>6.2912999999999997</v>
      </c>
      <c r="E579" s="10">
        <v>-75.536109999999994</v>
      </c>
      <c r="F579" s="10">
        <v>6.2913889999999997</v>
      </c>
      <c r="G579" s="10">
        <v>-5</v>
      </c>
      <c r="H579" s="10" t="s">
        <v>1873</v>
      </c>
      <c r="I579" s="10" t="s">
        <v>2937</v>
      </c>
      <c r="J579" s="10" t="s">
        <v>2938</v>
      </c>
      <c r="K579" s="10" t="s">
        <v>2939</v>
      </c>
      <c r="L579" s="65" t="str">
        <f t="shared" ref="L579:L642" si="48">MID(M579,1,LEN(M579)-(LEN(K579)-SEARCH("/",K579)+1))</f>
        <v>Medellin|Colombia|-75,536110|6,291389|-5:00 America</v>
      </c>
      <c r="M579" s="10" t="s">
        <v>2967</v>
      </c>
      <c r="N579" s="10">
        <f t="shared" si="45"/>
        <v>0</v>
      </c>
      <c r="O579" t="str">
        <f t="shared" ref="O579:O642" si="49">IF(N579=0,"",--ISNUMBER(IFERROR(SEARCH($U$2,L579,1),"")))</f>
        <v/>
      </c>
      <c r="P579" t="str">
        <f>IF(O579=1,COUNTIF($O$2:O579,1),"")</f>
        <v/>
      </c>
      <c r="Q579" t="str">
        <f>IFERROR(INDEX($M$2:$M$2388,MATCH(ROWS($P$2:P579),$P$2:$P$2388,0)),"")</f>
        <v/>
      </c>
    </row>
    <row r="580" spans="1:17" ht="15" x14ac:dyDescent="0.25">
      <c r="A580" s="10">
        <v>586</v>
      </c>
      <c r="B580" s="10" t="s">
        <v>2968</v>
      </c>
      <c r="C580" s="880">
        <f t="shared" si="46"/>
        <v>-75.889899999999997</v>
      </c>
      <c r="D580" s="880">
        <f t="shared" si="47"/>
        <v>8.7575000000000003</v>
      </c>
      <c r="E580" s="10">
        <v>-75.889999000000003</v>
      </c>
      <c r="F580" s="10">
        <v>8.7575000000000003</v>
      </c>
      <c r="G580" s="10">
        <v>-5</v>
      </c>
      <c r="H580" s="10" t="s">
        <v>1873</v>
      </c>
      <c r="I580" s="10" t="s">
        <v>2937</v>
      </c>
      <c r="J580" s="10" t="s">
        <v>2938</v>
      </c>
      <c r="K580" s="10" t="s">
        <v>2939</v>
      </c>
      <c r="L580" s="65" t="str">
        <f t="shared" si="48"/>
        <v>Monteria|Colombia|-75,889999|8,757500|-5:00 America</v>
      </c>
      <c r="M580" s="10" t="s">
        <v>2969</v>
      </c>
      <c r="N580" s="10">
        <f t="shared" si="45"/>
        <v>0</v>
      </c>
      <c r="O580" t="str">
        <f t="shared" si="49"/>
        <v/>
      </c>
      <c r="P580" t="str">
        <f>IF(O580=1,COUNTIF($O$2:O580,1),"")</f>
        <v/>
      </c>
      <c r="Q580" t="str">
        <f>IFERROR(INDEX($M$2:$M$2388,MATCH(ROWS($P$2:P580),$P$2:$P$2388,0)),"")</f>
        <v/>
      </c>
    </row>
    <row r="581" spans="1:17" ht="15" x14ac:dyDescent="0.25">
      <c r="A581" s="10">
        <v>585</v>
      </c>
      <c r="B581" s="10" t="s">
        <v>2970</v>
      </c>
      <c r="C581" s="880">
        <f t="shared" si="46"/>
        <v>-75.330200000000005</v>
      </c>
      <c r="D581" s="880">
        <f t="shared" si="47"/>
        <v>2.9304999999999999</v>
      </c>
      <c r="E581" s="10">
        <v>-75.330275999999998</v>
      </c>
      <c r="F581" s="10">
        <v>2.9305560000000002</v>
      </c>
      <c r="G581" s="10">
        <v>-5</v>
      </c>
      <c r="H581" s="10" t="s">
        <v>1873</v>
      </c>
      <c r="I581" s="10" t="s">
        <v>2937</v>
      </c>
      <c r="J581" s="10" t="s">
        <v>2938</v>
      </c>
      <c r="K581" s="10" t="s">
        <v>2939</v>
      </c>
      <c r="L581" s="65" t="str">
        <f t="shared" si="48"/>
        <v>Neiva|Colombia|-75,330276|2,930556|-5:00 America</v>
      </c>
      <c r="M581" s="10" t="s">
        <v>2971</v>
      </c>
      <c r="N581" s="10">
        <f t="shared" si="45"/>
        <v>0</v>
      </c>
      <c r="O581" t="str">
        <f t="shared" si="49"/>
        <v/>
      </c>
      <c r="P581" t="str">
        <f>IF(O581=1,COUNTIF($O$2:O581,1),"")</f>
        <v/>
      </c>
      <c r="Q581" t="str">
        <f>IFERROR(INDEX($M$2:$M$2388,MATCH(ROWS($P$2:P581),$P$2:$P$2388,0)),"")</f>
        <v/>
      </c>
    </row>
    <row r="582" spans="1:17" ht="15" x14ac:dyDescent="0.25">
      <c r="A582" s="10">
        <v>584</v>
      </c>
      <c r="B582" s="10" t="s">
        <v>2972</v>
      </c>
      <c r="C582" s="880">
        <f t="shared" si="46"/>
        <v>-76.303600000000003</v>
      </c>
      <c r="D582" s="880">
        <f t="shared" si="47"/>
        <v>3.5394000000000001</v>
      </c>
      <c r="E582" s="10">
        <v>-76.303612000000001</v>
      </c>
      <c r="F582" s="10">
        <v>3.539444</v>
      </c>
      <c r="G582" s="10">
        <v>-5</v>
      </c>
      <c r="H582" s="10" t="s">
        <v>1873</v>
      </c>
      <c r="I582" s="10" t="s">
        <v>2937</v>
      </c>
      <c r="J582" s="10" t="s">
        <v>2938</v>
      </c>
      <c r="K582" s="10" t="s">
        <v>2939</v>
      </c>
      <c r="L582" s="65" t="str">
        <f t="shared" si="48"/>
        <v>Palmira|Colombia|-76,303612|3,539444|-5:00 America</v>
      </c>
      <c r="M582" s="10" t="s">
        <v>2973</v>
      </c>
      <c r="N582" s="10">
        <f t="shared" si="45"/>
        <v>0</v>
      </c>
      <c r="O582" t="str">
        <f t="shared" si="49"/>
        <v/>
      </c>
      <c r="P582" t="str">
        <f>IF(O582=1,COUNTIF($O$2:O582,1),"")</f>
        <v/>
      </c>
      <c r="Q582" t="str">
        <f>IFERROR(INDEX($M$2:$M$2388,MATCH(ROWS($P$2:P582),$P$2:$P$2388,0)),"")</f>
        <v/>
      </c>
    </row>
    <row r="583" spans="1:17" ht="15" x14ac:dyDescent="0.25">
      <c r="A583" s="10">
        <v>583</v>
      </c>
      <c r="B583" s="10" t="s">
        <v>2974</v>
      </c>
      <c r="C583" s="880">
        <f t="shared" si="46"/>
        <v>-77.281099999999995</v>
      </c>
      <c r="D583" s="880">
        <f t="shared" si="47"/>
        <v>1.2136</v>
      </c>
      <c r="E583" s="10">
        <v>-77.281113000000005</v>
      </c>
      <c r="F583" s="10">
        <v>1.213611</v>
      </c>
      <c r="G583" s="10">
        <v>-5</v>
      </c>
      <c r="H583" s="10" t="s">
        <v>1873</v>
      </c>
      <c r="I583" s="10" t="s">
        <v>2937</v>
      </c>
      <c r="J583" s="10" t="s">
        <v>2938</v>
      </c>
      <c r="K583" s="10" t="s">
        <v>2939</v>
      </c>
      <c r="L583" s="65" t="str">
        <f t="shared" si="48"/>
        <v>Pasto|Colombia|-77,281113|1,213611|-5:00 America</v>
      </c>
      <c r="M583" s="10" t="s">
        <v>2975</v>
      </c>
      <c r="N583" s="10">
        <f t="shared" si="45"/>
        <v>0</v>
      </c>
      <c r="O583" t="str">
        <f t="shared" si="49"/>
        <v/>
      </c>
      <c r="P583" t="str">
        <f>IF(O583=1,COUNTIF($O$2:O583,1),"")</f>
        <v/>
      </c>
      <c r="Q583" t="str">
        <f>IFERROR(INDEX($M$2:$M$2388,MATCH(ROWS($P$2:P583),$P$2:$P$2388,0)),"")</f>
        <v/>
      </c>
    </row>
    <row r="584" spans="1:17" ht="15" x14ac:dyDescent="0.25">
      <c r="A584" s="10">
        <v>582</v>
      </c>
      <c r="B584" s="10" t="s">
        <v>2976</v>
      </c>
      <c r="C584" s="880">
        <f t="shared" si="46"/>
        <v>-75.696100000000001</v>
      </c>
      <c r="D584" s="880">
        <f t="shared" si="47"/>
        <v>4.8132999999999999</v>
      </c>
      <c r="E584" s="10">
        <v>-75.696113999999994</v>
      </c>
      <c r="F584" s="10">
        <v>4.8133340000000002</v>
      </c>
      <c r="G584" s="10">
        <v>-5</v>
      </c>
      <c r="H584" s="10" t="s">
        <v>1873</v>
      </c>
      <c r="I584" s="10" t="s">
        <v>2937</v>
      </c>
      <c r="J584" s="10" t="s">
        <v>2938</v>
      </c>
      <c r="K584" s="10" t="s">
        <v>2939</v>
      </c>
      <c r="L584" s="65" t="str">
        <f t="shared" si="48"/>
        <v>Pereira|Colombia|-75,696114|4,813334|-5:00 America</v>
      </c>
      <c r="M584" s="10" t="s">
        <v>2977</v>
      </c>
      <c r="N584" s="10">
        <f t="shared" si="45"/>
        <v>0</v>
      </c>
      <c r="O584" t="str">
        <f t="shared" si="49"/>
        <v/>
      </c>
      <c r="P584" t="str">
        <f>IF(O584=1,COUNTIF($O$2:O584,1),"")</f>
        <v/>
      </c>
      <c r="Q584" t="str">
        <f>IFERROR(INDEX($M$2:$M$2388,MATCH(ROWS($P$2:P584),$P$2:$P$2388,0)),"")</f>
        <v/>
      </c>
    </row>
    <row r="585" spans="1:17" ht="15" x14ac:dyDescent="0.25">
      <c r="A585" s="10">
        <v>581</v>
      </c>
      <c r="B585" s="10" t="s">
        <v>2978</v>
      </c>
      <c r="C585" s="880">
        <f t="shared" si="46"/>
        <v>-74.201599999999999</v>
      </c>
      <c r="D585" s="880">
        <f t="shared" si="47"/>
        <v>11.247199999999999</v>
      </c>
      <c r="E585" s="10">
        <v>-74.201667999999998</v>
      </c>
      <c r="F585" s="10">
        <v>11.247222000000001</v>
      </c>
      <c r="G585" s="10">
        <v>-5</v>
      </c>
      <c r="H585" s="10" t="s">
        <v>1873</v>
      </c>
      <c r="I585" s="10" t="s">
        <v>2937</v>
      </c>
      <c r="J585" s="10" t="s">
        <v>2938</v>
      </c>
      <c r="K585" s="10" t="s">
        <v>2939</v>
      </c>
      <c r="L585" s="65" t="str">
        <f t="shared" si="48"/>
        <v>Santa Marta|Colombia|-74,201668|11,247222|-5:00 America</v>
      </c>
      <c r="M585" s="10" t="s">
        <v>2979</v>
      </c>
      <c r="N585" s="10">
        <f t="shared" si="45"/>
        <v>0</v>
      </c>
      <c r="O585" t="str">
        <f t="shared" si="49"/>
        <v/>
      </c>
      <c r="P585" t="str">
        <f>IF(O585=1,COUNTIF($O$2:O585,1),"")</f>
        <v/>
      </c>
      <c r="Q585" t="str">
        <f>IFERROR(INDEX($M$2:$M$2388,MATCH(ROWS($P$2:P585),$P$2:$P$2388,0)),"")</f>
        <v/>
      </c>
    </row>
    <row r="586" spans="1:17" ht="15" x14ac:dyDescent="0.25">
      <c r="A586" s="10">
        <v>580</v>
      </c>
      <c r="B586" s="10" t="s">
        <v>2980</v>
      </c>
      <c r="C586" s="880">
        <f t="shared" si="46"/>
        <v>-75.3977</v>
      </c>
      <c r="D586" s="880">
        <f t="shared" si="47"/>
        <v>9.3047000000000004</v>
      </c>
      <c r="E586" s="10">
        <v>-75.397780999999995</v>
      </c>
      <c r="F586" s="10">
        <v>9.3047219999999999</v>
      </c>
      <c r="G586" s="10">
        <v>-5</v>
      </c>
      <c r="H586" s="10" t="s">
        <v>1873</v>
      </c>
      <c r="I586" s="10" t="s">
        <v>2937</v>
      </c>
      <c r="J586" s="10" t="s">
        <v>2938</v>
      </c>
      <c r="K586" s="10" t="s">
        <v>2939</v>
      </c>
      <c r="L586" s="65" t="str">
        <f t="shared" si="48"/>
        <v>Sincelejo|Colombia|-75,397781|9,304722|-5:00 America</v>
      </c>
      <c r="M586" s="10" t="s">
        <v>2981</v>
      </c>
      <c r="N586" s="10">
        <f t="shared" si="45"/>
        <v>0</v>
      </c>
      <c r="O586" t="str">
        <f t="shared" si="49"/>
        <v/>
      </c>
      <c r="P586" t="str">
        <f>IF(O586=1,COUNTIF($O$2:O586,1),"")</f>
        <v/>
      </c>
      <c r="Q586" t="str">
        <f>IFERROR(INDEX($M$2:$M$2388,MATCH(ROWS($P$2:P586),$P$2:$P$2388,0)),"")</f>
        <v/>
      </c>
    </row>
    <row r="587" spans="1:17" ht="15" x14ac:dyDescent="0.25">
      <c r="A587" s="10">
        <v>579</v>
      </c>
      <c r="B587" s="10" t="s">
        <v>2982</v>
      </c>
      <c r="C587" s="880">
        <f t="shared" si="46"/>
        <v>-74.221299999999999</v>
      </c>
      <c r="D587" s="880">
        <f t="shared" si="47"/>
        <v>4.5872000000000002</v>
      </c>
      <c r="E587" s="10">
        <v>-74.22139</v>
      </c>
      <c r="F587" s="10">
        <v>4.5872219999999997</v>
      </c>
      <c r="G587" s="10">
        <v>-5</v>
      </c>
      <c r="H587" s="10" t="s">
        <v>1873</v>
      </c>
      <c r="I587" s="10" t="s">
        <v>2937</v>
      </c>
      <c r="J587" s="10" t="s">
        <v>2938</v>
      </c>
      <c r="K587" s="10" t="s">
        <v>2939</v>
      </c>
      <c r="L587" s="65" t="str">
        <f t="shared" si="48"/>
        <v>Soacha|Colombia|-74,221390|4,587222|-5:00 America</v>
      </c>
      <c r="M587" s="10" t="s">
        <v>2983</v>
      </c>
      <c r="N587" s="10">
        <f t="shared" si="45"/>
        <v>0</v>
      </c>
      <c r="O587" t="str">
        <f t="shared" si="49"/>
        <v/>
      </c>
      <c r="P587" t="str">
        <f>IF(O587=1,COUNTIF($O$2:O587,1),"")</f>
        <v/>
      </c>
      <c r="Q587" t="str">
        <f>IFERROR(INDEX($M$2:$M$2388,MATCH(ROWS($P$2:P587),$P$2:$P$2388,0)),"")</f>
        <v/>
      </c>
    </row>
    <row r="588" spans="1:17" ht="15" x14ac:dyDescent="0.25">
      <c r="A588" s="10">
        <v>578</v>
      </c>
      <c r="B588" s="10" t="s">
        <v>2984</v>
      </c>
      <c r="C588" s="880">
        <f t="shared" si="46"/>
        <v>-74.766599999999997</v>
      </c>
      <c r="D588" s="880">
        <f t="shared" si="47"/>
        <v>10.917199999999999</v>
      </c>
      <c r="E588" s="10">
        <v>-74.766670000000005</v>
      </c>
      <c r="F588" s="10">
        <v>10.917222000000001</v>
      </c>
      <c r="G588" s="10">
        <v>-5</v>
      </c>
      <c r="H588" s="10" t="s">
        <v>1873</v>
      </c>
      <c r="I588" s="10" t="s">
        <v>2937</v>
      </c>
      <c r="J588" s="10" t="s">
        <v>2938</v>
      </c>
      <c r="K588" s="10" t="s">
        <v>2939</v>
      </c>
      <c r="L588" s="65" t="str">
        <f t="shared" si="48"/>
        <v>Soledad|Colombia|-74,766670|10,917222|-5:00 America</v>
      </c>
      <c r="M588" s="10" t="s">
        <v>2985</v>
      </c>
      <c r="N588" s="10">
        <f t="shared" si="45"/>
        <v>0</v>
      </c>
      <c r="O588" t="str">
        <f t="shared" si="49"/>
        <v/>
      </c>
      <c r="P588" t="str">
        <f>IF(O588=1,COUNTIF($O$2:O588,1),"")</f>
        <v/>
      </c>
      <c r="Q588" t="str">
        <f>IFERROR(INDEX($M$2:$M$2388,MATCH(ROWS($P$2:P588),$P$2:$P$2388,0)),"")</f>
        <v/>
      </c>
    </row>
    <row r="589" spans="1:17" ht="15" x14ac:dyDescent="0.25">
      <c r="A589" s="10">
        <v>577</v>
      </c>
      <c r="B589" s="10" t="s">
        <v>2986</v>
      </c>
      <c r="C589" s="880">
        <f t="shared" si="46"/>
        <v>-73.250500000000002</v>
      </c>
      <c r="D589" s="880">
        <f t="shared" si="47"/>
        <v>10.476900000000001</v>
      </c>
      <c r="E589" s="10">
        <v>-73.250557000000001</v>
      </c>
      <c r="F589" s="10">
        <v>10.476944</v>
      </c>
      <c r="G589" s="10">
        <v>-5</v>
      </c>
      <c r="H589" s="10" t="s">
        <v>1873</v>
      </c>
      <c r="I589" s="10" t="s">
        <v>2937</v>
      </c>
      <c r="J589" s="10" t="s">
        <v>2938</v>
      </c>
      <c r="K589" s="10" t="s">
        <v>2939</v>
      </c>
      <c r="L589" s="65" t="str">
        <f t="shared" si="48"/>
        <v>Valledupar|Colombia|-73,250557|10,476944|-5:00 America</v>
      </c>
      <c r="M589" s="10" t="s">
        <v>2987</v>
      </c>
      <c r="N589" s="10">
        <f t="shared" si="45"/>
        <v>0</v>
      </c>
      <c r="O589" t="str">
        <f t="shared" si="49"/>
        <v/>
      </c>
      <c r="P589" t="str">
        <f>IF(O589=1,COUNTIF($O$2:O589,1),"")</f>
        <v/>
      </c>
      <c r="Q589" t="str">
        <f>IFERROR(INDEX($M$2:$M$2388,MATCH(ROWS($P$2:P589),$P$2:$P$2388,0)),"")</f>
        <v/>
      </c>
    </row>
    <row r="590" spans="1:17" ht="15" x14ac:dyDescent="0.25">
      <c r="A590" s="10">
        <v>576</v>
      </c>
      <c r="B590" s="10" t="s">
        <v>2988</v>
      </c>
      <c r="C590" s="880">
        <f t="shared" si="46"/>
        <v>-73.635000000000005</v>
      </c>
      <c r="D590" s="880">
        <f t="shared" si="47"/>
        <v>4.1532999999999998</v>
      </c>
      <c r="E590" s="10">
        <v>-73.635002</v>
      </c>
      <c r="F590" s="10">
        <v>4.1533329999999999</v>
      </c>
      <c r="G590" s="10">
        <v>-5</v>
      </c>
      <c r="H590" s="10" t="s">
        <v>1873</v>
      </c>
      <c r="I590" s="10" t="s">
        <v>2937</v>
      </c>
      <c r="J590" s="10" t="s">
        <v>2938</v>
      </c>
      <c r="K590" s="10" t="s">
        <v>2939</v>
      </c>
      <c r="L590" s="65" t="str">
        <f t="shared" si="48"/>
        <v>Villavicencio|Colombia|-73,635002|4,153333|-5:00 America</v>
      </c>
      <c r="M590" s="10" t="s">
        <v>2989</v>
      </c>
      <c r="N590" s="10">
        <f t="shared" si="45"/>
        <v>0</v>
      </c>
      <c r="O590" t="str">
        <f t="shared" si="49"/>
        <v/>
      </c>
      <c r="P590" t="str">
        <f>IF(O590=1,COUNTIF($O$2:O590,1),"")</f>
        <v/>
      </c>
      <c r="Q590" t="str">
        <f>IFERROR(INDEX($M$2:$M$2388,MATCH(ROWS($P$2:P590),$P$2:$P$2388,0)),"")</f>
        <v/>
      </c>
    </row>
    <row r="591" spans="1:17" ht="15" x14ac:dyDescent="0.25">
      <c r="A591" s="10">
        <v>575</v>
      </c>
      <c r="B591" s="10" t="s">
        <v>2990</v>
      </c>
      <c r="C591" s="880">
        <f t="shared" si="46"/>
        <v>-74.871099999999998</v>
      </c>
      <c r="D591" s="880">
        <f t="shared" si="47"/>
        <v>7.4941000000000004</v>
      </c>
      <c r="E591" s="10">
        <v>-74.871109000000004</v>
      </c>
      <c r="F591" s="10">
        <v>7.494167</v>
      </c>
      <c r="G591" s="10">
        <v>-5</v>
      </c>
      <c r="H591" s="10" t="s">
        <v>1873</v>
      </c>
      <c r="I591" s="10" t="s">
        <v>2937</v>
      </c>
      <c r="J591" s="10" t="s">
        <v>2938</v>
      </c>
      <c r="K591" s="10" t="s">
        <v>2939</v>
      </c>
      <c r="L591" s="65" t="str">
        <f t="shared" si="48"/>
        <v>Zaragoza|Colombia|-74,871109|7,494167|-5:00 America</v>
      </c>
      <c r="M591" s="10" t="s">
        <v>2991</v>
      </c>
      <c r="N591" s="10">
        <f t="shared" si="45"/>
        <v>0</v>
      </c>
      <c r="O591" t="str">
        <f t="shared" si="49"/>
        <v/>
      </c>
      <c r="P591" t="str">
        <f>IF(O591=1,COUNTIF($O$2:O591,1),"")</f>
        <v/>
      </c>
      <c r="Q591" t="str">
        <f>IFERROR(INDEX($M$2:$M$2388,MATCH(ROWS($P$2:P591),$P$2:$P$2388,0)),"")</f>
        <v/>
      </c>
    </row>
    <row r="592" spans="1:17" ht="15" x14ac:dyDescent="0.25">
      <c r="A592" s="10">
        <v>574</v>
      </c>
      <c r="B592" s="10" t="s">
        <v>2992</v>
      </c>
      <c r="C592" s="880">
        <f t="shared" si="46"/>
        <v>-76.077200000000005</v>
      </c>
      <c r="D592" s="880">
        <f t="shared" si="47"/>
        <v>4.3982999999999999</v>
      </c>
      <c r="E592" s="10">
        <v>-76.077224999999999</v>
      </c>
      <c r="F592" s="10">
        <v>4.398333</v>
      </c>
      <c r="G592" s="10">
        <v>-5</v>
      </c>
      <c r="H592" s="10" t="s">
        <v>1873</v>
      </c>
      <c r="I592" s="10" t="s">
        <v>2937</v>
      </c>
      <c r="J592" s="10" t="s">
        <v>2938</v>
      </c>
      <c r="K592" s="10" t="s">
        <v>2939</v>
      </c>
      <c r="L592" s="65" t="str">
        <f t="shared" si="48"/>
        <v>Zarzal|Colombia|-76,077225|4,398333|-5:00 America</v>
      </c>
      <c r="M592" s="10" t="s">
        <v>2993</v>
      </c>
      <c r="N592" s="10">
        <f t="shared" si="45"/>
        <v>0</v>
      </c>
      <c r="O592" t="str">
        <f t="shared" si="49"/>
        <v/>
      </c>
      <c r="P592" t="str">
        <f>IF(O592=1,COUNTIF($O$2:O592,1),"")</f>
        <v/>
      </c>
      <c r="Q592" t="str">
        <f>IFERROR(INDEX($M$2:$M$2388,MATCH(ROWS($P$2:P592),$P$2:$P$2388,0)),"")</f>
        <v/>
      </c>
    </row>
    <row r="593" spans="1:17" ht="15" x14ac:dyDescent="0.25">
      <c r="A593" s="10">
        <v>573</v>
      </c>
      <c r="B593" s="10" t="s">
        <v>2994</v>
      </c>
      <c r="C593" s="880">
        <f t="shared" si="46"/>
        <v>-74.005799999999994</v>
      </c>
      <c r="D593" s="880">
        <f t="shared" si="47"/>
        <v>5.0282999999999998</v>
      </c>
      <c r="E593" s="10">
        <v>-74.005836000000002</v>
      </c>
      <c r="F593" s="10">
        <v>5.0283329999999999</v>
      </c>
      <c r="G593" s="10">
        <v>-5</v>
      </c>
      <c r="H593" s="10" t="s">
        <v>1873</v>
      </c>
      <c r="I593" s="10" t="s">
        <v>2937</v>
      </c>
      <c r="J593" s="10" t="s">
        <v>2938</v>
      </c>
      <c r="K593" s="10" t="s">
        <v>2939</v>
      </c>
      <c r="L593" s="65" t="str">
        <f t="shared" si="48"/>
        <v>Zipaquira|Colombia|-74,005836|5,028333|-5:00 America</v>
      </c>
      <c r="M593" s="10" t="s">
        <v>2995</v>
      </c>
      <c r="N593" s="10">
        <f t="shared" si="45"/>
        <v>0</v>
      </c>
      <c r="O593" t="str">
        <f t="shared" si="49"/>
        <v/>
      </c>
      <c r="P593" t="str">
        <f>IF(O593=1,COUNTIF($O$2:O593,1),"")</f>
        <v/>
      </c>
      <c r="Q593" t="str">
        <f>IFERROR(INDEX($M$2:$M$2388,MATCH(ROWS($P$2:P593),$P$2:$P$2388,0)),"")</f>
        <v/>
      </c>
    </row>
    <row r="594" spans="1:17" ht="15" x14ac:dyDescent="0.25">
      <c r="A594" s="10">
        <v>1353</v>
      </c>
      <c r="B594" s="10" t="s">
        <v>2996</v>
      </c>
      <c r="C594" s="880">
        <f t="shared" si="46"/>
        <v>44.396299999999997</v>
      </c>
      <c r="D594" s="880">
        <f t="shared" si="47"/>
        <v>-12.162699999999999</v>
      </c>
      <c r="E594" s="10">
        <v>44.396388999999999</v>
      </c>
      <c r="F594" s="10">
        <v>-12.162777999999999</v>
      </c>
      <c r="G594" s="10">
        <v>3</v>
      </c>
      <c r="H594" s="10" t="s">
        <v>1883</v>
      </c>
      <c r="I594" s="10" t="s">
        <v>2997</v>
      </c>
      <c r="J594" s="10" t="s">
        <v>2998</v>
      </c>
      <c r="K594" s="10" t="s">
        <v>2999</v>
      </c>
      <c r="L594" s="65" t="str">
        <f t="shared" si="48"/>
        <v>Moutsamoudou|Comoro|44,396389|-12,162778|+3:00 Indian</v>
      </c>
      <c r="M594" s="10" t="s">
        <v>3000</v>
      </c>
      <c r="N594" s="10">
        <f t="shared" si="45"/>
        <v>0</v>
      </c>
      <c r="O594" t="str">
        <f t="shared" si="49"/>
        <v/>
      </c>
      <c r="P594" t="str">
        <f>IF(O594=1,COUNTIF($O$2:O594,1),"")</f>
        <v/>
      </c>
      <c r="Q594" t="str">
        <f>IFERROR(INDEX($M$2:$M$2388,MATCH(ROWS($P$2:P594),$P$2:$P$2388,0)),"")</f>
        <v/>
      </c>
    </row>
    <row r="595" spans="1:17" ht="15" x14ac:dyDescent="0.25">
      <c r="A595" s="10">
        <v>1352</v>
      </c>
      <c r="B595" s="10" t="s">
        <v>3001</v>
      </c>
      <c r="C595" s="880">
        <f t="shared" si="46"/>
        <v>44.425800000000002</v>
      </c>
      <c r="D595" s="880">
        <f t="shared" si="47"/>
        <v>-12.132199999999999</v>
      </c>
      <c r="E595" s="10">
        <v>44.425834999999999</v>
      </c>
      <c r="F595" s="10">
        <v>-12.132222000000001</v>
      </c>
      <c r="G595" s="10">
        <v>3</v>
      </c>
      <c r="H595" s="10" t="s">
        <v>1883</v>
      </c>
      <c r="I595" s="10" t="s">
        <v>2997</v>
      </c>
      <c r="J595" s="10" t="s">
        <v>2998</v>
      </c>
      <c r="K595" s="10" t="s">
        <v>2999</v>
      </c>
      <c r="L595" s="65" t="str">
        <f t="shared" si="48"/>
        <v>Ouani|Comoro|44,425835|-12,132222|+3:00 Indian</v>
      </c>
      <c r="M595" s="10" t="s">
        <v>3002</v>
      </c>
      <c r="N595" s="10">
        <f t="shared" si="45"/>
        <v>0</v>
      </c>
      <c r="O595" t="str">
        <f t="shared" si="49"/>
        <v/>
      </c>
      <c r="P595" t="str">
        <f>IF(O595=1,COUNTIF($O$2:O595,1),"")</f>
        <v/>
      </c>
      <c r="Q595" t="str">
        <f>IFERROR(INDEX($M$2:$M$2388,MATCH(ROWS($P$2:P595),$P$2:$P$2388,0)),"")</f>
        <v/>
      </c>
    </row>
    <row r="596" spans="1:17" ht="15" x14ac:dyDescent="0.25">
      <c r="A596" s="10">
        <v>1351</v>
      </c>
      <c r="B596" s="10" t="s">
        <v>3003</v>
      </c>
      <c r="C596" s="880">
        <f t="shared" si="46"/>
        <v>44.276600000000002</v>
      </c>
      <c r="D596" s="880">
        <f t="shared" si="47"/>
        <v>-12.195499999999999</v>
      </c>
      <c r="E596" s="10">
        <v>44.276668999999998</v>
      </c>
      <c r="F596" s="10">
        <v>-12.195556</v>
      </c>
      <c r="G596" s="10">
        <v>3</v>
      </c>
      <c r="H596" s="10" t="s">
        <v>1883</v>
      </c>
      <c r="I596" s="10" t="s">
        <v>2997</v>
      </c>
      <c r="J596" s="10" t="s">
        <v>2998</v>
      </c>
      <c r="K596" s="10" t="s">
        <v>2999</v>
      </c>
      <c r="L596" s="65" t="str">
        <f t="shared" si="48"/>
        <v>Sima|Comoro|44,276669|-12,195556|+3:00 Indian</v>
      </c>
      <c r="M596" s="10" t="s">
        <v>3004</v>
      </c>
      <c r="N596" s="10">
        <f t="shared" si="45"/>
        <v>0</v>
      </c>
      <c r="O596" t="str">
        <f t="shared" si="49"/>
        <v/>
      </c>
      <c r="P596" t="str">
        <f>IF(O596=1,COUNTIF($O$2:O596,1),"")</f>
        <v/>
      </c>
      <c r="Q596" t="str">
        <f>IFERROR(INDEX($M$2:$M$2388,MATCH(ROWS($P$2:P596),$P$2:$P$2388,0)),"")</f>
        <v/>
      </c>
    </row>
    <row r="597" spans="1:17" ht="15" x14ac:dyDescent="0.25">
      <c r="A597" s="10">
        <v>327</v>
      </c>
      <c r="B597" s="10" t="s">
        <v>3005</v>
      </c>
      <c r="C597" s="880">
        <f t="shared" si="46"/>
        <v>15.284700000000001</v>
      </c>
      <c r="D597" s="880">
        <f t="shared" si="47"/>
        <v>-4.2591000000000001</v>
      </c>
      <c r="E597" s="10">
        <v>15.284722</v>
      </c>
      <c r="F597" s="10">
        <v>-4.2591669999999997</v>
      </c>
      <c r="G597" s="10">
        <v>1</v>
      </c>
      <c r="H597" s="10" t="s">
        <v>1670</v>
      </c>
      <c r="I597" s="10" t="s">
        <v>3006</v>
      </c>
      <c r="J597" s="10" t="s">
        <v>3007</v>
      </c>
      <c r="K597" s="10" t="s">
        <v>3008</v>
      </c>
      <c r="L597" s="65" t="str">
        <f t="shared" si="48"/>
        <v>Brazzaville|Congo|15,284722|-4,259167|+1:00 Africa</v>
      </c>
      <c r="M597" s="10" t="s">
        <v>3009</v>
      </c>
      <c r="N597" s="10">
        <f t="shared" si="45"/>
        <v>0</v>
      </c>
      <c r="O597" t="str">
        <f t="shared" si="49"/>
        <v/>
      </c>
      <c r="P597" t="str">
        <f>IF(O597=1,COUNTIF($O$2:O597,1),"")</f>
        <v/>
      </c>
      <c r="Q597" t="str">
        <f>IFERROR(INDEX($M$2:$M$2388,MATCH(ROWS($P$2:P597),$P$2:$P$2388,0)),"")</f>
        <v/>
      </c>
    </row>
    <row r="598" spans="1:17" ht="15" x14ac:dyDescent="0.25">
      <c r="A598" s="10">
        <v>326</v>
      </c>
      <c r="B598" s="10" t="s">
        <v>3010</v>
      </c>
      <c r="C598" s="880">
        <f t="shared" si="46"/>
        <v>15.907999999999999</v>
      </c>
      <c r="D598" s="880">
        <f t="shared" si="47"/>
        <v>-0.4869</v>
      </c>
      <c r="E598" s="10">
        <v>15.908054999999999</v>
      </c>
      <c r="F598" s="10">
        <v>-0.48694399999999999</v>
      </c>
      <c r="G598" s="10">
        <v>1</v>
      </c>
      <c r="H598" s="10" t="s">
        <v>1670</v>
      </c>
      <c r="I598" s="10" t="s">
        <v>3006</v>
      </c>
      <c r="J598" s="10" t="s">
        <v>3007</v>
      </c>
      <c r="K598" s="10" t="s">
        <v>3008</v>
      </c>
      <c r="L598" s="65" t="str">
        <f t="shared" si="48"/>
        <v>Owando|Congo|15,908055|-0,486944|+1:00 Africa</v>
      </c>
      <c r="M598" s="10" t="s">
        <v>3011</v>
      </c>
      <c r="N598" s="10">
        <f t="shared" si="45"/>
        <v>0</v>
      </c>
      <c r="O598" t="str">
        <f t="shared" si="49"/>
        <v/>
      </c>
      <c r="P598" t="str">
        <f>IF(O598=1,COUNTIF($O$2:O598,1),"")</f>
        <v/>
      </c>
      <c r="Q598" t="str">
        <f>IFERROR(INDEX($M$2:$M$2388,MATCH(ROWS($P$2:P598),$P$2:$P$2388,0)),"")</f>
        <v/>
      </c>
    </row>
    <row r="599" spans="1:17" ht="15" x14ac:dyDescent="0.25">
      <c r="A599" s="10">
        <v>325</v>
      </c>
      <c r="B599" s="10" t="s">
        <v>3012</v>
      </c>
      <c r="C599" s="880">
        <f t="shared" si="46"/>
        <v>11.8461</v>
      </c>
      <c r="D599" s="880">
        <f t="shared" si="47"/>
        <v>-4.7946999999999997</v>
      </c>
      <c r="E599" s="10">
        <v>11.846111000000001</v>
      </c>
      <c r="F599" s="10">
        <v>-4.7947220000000002</v>
      </c>
      <c r="G599" s="10">
        <v>1</v>
      </c>
      <c r="H599" s="10" t="s">
        <v>1670</v>
      </c>
      <c r="I599" s="10" t="s">
        <v>3006</v>
      </c>
      <c r="J599" s="10" t="s">
        <v>3007</v>
      </c>
      <c r="K599" s="10" t="s">
        <v>3008</v>
      </c>
      <c r="L599" s="65" t="str">
        <f t="shared" si="48"/>
        <v>Pointe-Noire|Congo|11,846111|-4,794722|+1:00 Africa</v>
      </c>
      <c r="M599" s="10" t="s">
        <v>3013</v>
      </c>
      <c r="N599" s="10">
        <f t="shared" si="45"/>
        <v>0</v>
      </c>
      <c r="O599" t="str">
        <f t="shared" si="49"/>
        <v/>
      </c>
      <c r="P599" t="str">
        <f>IF(O599=1,COUNTIF($O$2:O599,1),"")</f>
        <v/>
      </c>
      <c r="Q599" t="str">
        <f>IFERROR(INDEX($M$2:$M$2388,MATCH(ROWS($P$2:P599),$P$2:$P$2388,0)),"")</f>
        <v/>
      </c>
    </row>
    <row r="600" spans="1:17" ht="15" x14ac:dyDescent="0.25">
      <c r="A600" s="10">
        <v>324</v>
      </c>
      <c r="B600" s="10" t="s">
        <v>3014</v>
      </c>
      <c r="C600" s="880">
        <f t="shared" si="46"/>
        <v>13.345800000000001</v>
      </c>
      <c r="D600" s="880">
        <f t="shared" si="47"/>
        <v>-3.6858</v>
      </c>
      <c r="E600" s="10">
        <v>13.345833000000001</v>
      </c>
      <c r="F600" s="10">
        <v>-3.6858330000000001</v>
      </c>
      <c r="G600" s="10">
        <v>1</v>
      </c>
      <c r="H600" s="10" t="s">
        <v>1670</v>
      </c>
      <c r="I600" s="10" t="s">
        <v>3006</v>
      </c>
      <c r="J600" s="10" t="s">
        <v>3007</v>
      </c>
      <c r="K600" s="10" t="s">
        <v>3008</v>
      </c>
      <c r="L600" s="65" t="str">
        <f t="shared" si="48"/>
        <v>Sibiti|Congo|13,345833|-3,685833|+1:00 Africa</v>
      </c>
      <c r="M600" s="10" t="s">
        <v>3015</v>
      </c>
      <c r="N600" s="10">
        <f t="shared" si="45"/>
        <v>0</v>
      </c>
      <c r="O600" t="str">
        <f t="shared" si="49"/>
        <v/>
      </c>
      <c r="P600" t="str">
        <f>IF(O600=1,COUNTIF($O$2:O600,1),"")</f>
        <v/>
      </c>
      <c r="Q600" t="str">
        <f>IFERROR(INDEX($M$2:$M$2388,MATCH(ROWS($P$2:P600),$P$2:$P$2388,0)),"")</f>
        <v/>
      </c>
    </row>
    <row r="601" spans="1:17" ht="15" x14ac:dyDescent="0.25">
      <c r="A601" s="10">
        <v>338</v>
      </c>
      <c r="B601" s="10" t="s">
        <v>3016</v>
      </c>
      <c r="C601" s="880">
        <f t="shared" si="46"/>
        <v>-159.7749</v>
      </c>
      <c r="D601" s="880">
        <f t="shared" si="47"/>
        <v>-21.207699999999999</v>
      </c>
      <c r="E601" s="10">
        <v>-159.77499399999999</v>
      </c>
      <c r="F601" s="10">
        <v>-21.207777</v>
      </c>
      <c r="G601" s="10">
        <v>-10</v>
      </c>
      <c r="H601" s="10" t="s">
        <v>3017</v>
      </c>
      <c r="I601" s="10" t="s">
        <v>3018</v>
      </c>
      <c r="J601" s="10" t="s">
        <v>3019</v>
      </c>
      <c r="K601" s="10" t="s">
        <v>3020</v>
      </c>
      <c r="L601" s="65" t="str">
        <f t="shared" si="48"/>
        <v>Avarua|Cook Islands|-159,774994|-21,207777|-10:00 Pacific</v>
      </c>
      <c r="M601" s="10" t="s">
        <v>3021</v>
      </c>
      <c r="N601" s="10">
        <f t="shared" si="45"/>
        <v>0</v>
      </c>
      <c r="O601" t="str">
        <f t="shared" si="49"/>
        <v/>
      </c>
      <c r="P601" t="str">
        <f>IF(O601=1,COUNTIF($O$2:O601,1),"")</f>
        <v/>
      </c>
      <c r="Q601" t="str">
        <f>IFERROR(INDEX($M$2:$M$2388,MATCH(ROWS($P$2:P601),$P$2:$P$2388,0)),"")</f>
        <v/>
      </c>
    </row>
    <row r="602" spans="1:17" ht="15" x14ac:dyDescent="0.25">
      <c r="A602" s="10">
        <v>605</v>
      </c>
      <c r="B602" s="10" t="s">
        <v>3022</v>
      </c>
      <c r="C602" s="880">
        <f t="shared" si="46"/>
        <v>-84.083299999999994</v>
      </c>
      <c r="D602" s="880">
        <f t="shared" si="47"/>
        <v>9.9332999999999991</v>
      </c>
      <c r="E602" s="10">
        <v>-84.083336000000003</v>
      </c>
      <c r="F602" s="10">
        <v>9.9333329999999993</v>
      </c>
      <c r="G602" s="10">
        <v>-6</v>
      </c>
      <c r="H602" s="10" t="s">
        <v>1975</v>
      </c>
      <c r="I602" s="10" t="s">
        <v>3023</v>
      </c>
      <c r="J602" s="10" t="s">
        <v>3024</v>
      </c>
      <c r="K602" s="10" t="s">
        <v>3025</v>
      </c>
      <c r="L602" s="65" t="str">
        <f t="shared" si="48"/>
        <v>San Jose|Costa Rica|-84,083336|9,933333|-6:00 America</v>
      </c>
      <c r="M602" s="10" t="s">
        <v>3026</v>
      </c>
      <c r="N602" s="10">
        <f t="shared" si="45"/>
        <v>0</v>
      </c>
      <c r="O602" t="str">
        <f t="shared" si="49"/>
        <v/>
      </c>
      <c r="P602" t="str">
        <f>IF(O602=1,COUNTIF($O$2:O602,1),"")</f>
        <v/>
      </c>
      <c r="Q602" t="str">
        <f>IFERROR(INDEX($M$2:$M$2388,MATCH(ROWS($P$2:P602),$P$2:$P$2388,0)),"")</f>
        <v/>
      </c>
    </row>
    <row r="603" spans="1:17" ht="15" x14ac:dyDescent="0.25">
      <c r="A603" s="10">
        <v>604</v>
      </c>
      <c r="B603" s="10" t="s">
        <v>3027</v>
      </c>
      <c r="C603" s="880">
        <f t="shared" si="46"/>
        <v>-84.9666</v>
      </c>
      <c r="D603" s="880">
        <f t="shared" si="47"/>
        <v>10.4666</v>
      </c>
      <c r="E603" s="10">
        <v>-84.966667000000001</v>
      </c>
      <c r="F603" s="10">
        <v>10.466666999999999</v>
      </c>
      <c r="G603" s="10">
        <v>-6</v>
      </c>
      <c r="H603" s="10" t="s">
        <v>1975</v>
      </c>
      <c r="I603" s="10" t="s">
        <v>3023</v>
      </c>
      <c r="J603" s="10" t="s">
        <v>3024</v>
      </c>
      <c r="K603" s="10" t="s">
        <v>3025</v>
      </c>
      <c r="L603" s="65" t="str">
        <f t="shared" si="48"/>
        <v>Tilaran|Costa Rica|-84,966667|10,466667|-6:00 America</v>
      </c>
      <c r="M603" s="10" t="s">
        <v>3028</v>
      </c>
      <c r="N603" s="10">
        <f t="shared" si="45"/>
        <v>0</v>
      </c>
      <c r="O603" t="str">
        <f t="shared" si="49"/>
        <v/>
      </c>
      <c r="P603" t="str">
        <f>IF(O603=1,COUNTIF($O$2:O603,1),"")</f>
        <v/>
      </c>
      <c r="Q603" t="str">
        <f>IFERROR(INDEX($M$2:$M$2388,MATCH(ROWS($P$2:P603),$P$2:$P$2388,0)),"")</f>
        <v/>
      </c>
    </row>
    <row r="604" spans="1:17" ht="15" x14ac:dyDescent="0.25">
      <c r="A604" s="10">
        <v>603</v>
      </c>
      <c r="B604" s="10" t="s">
        <v>3029</v>
      </c>
      <c r="C604" s="880">
        <f t="shared" si="46"/>
        <v>-83.9833</v>
      </c>
      <c r="D604" s="880">
        <f t="shared" si="47"/>
        <v>9.9</v>
      </c>
      <c r="E604" s="10">
        <v>-83.983329999999995</v>
      </c>
      <c r="F604" s="10">
        <v>9.9</v>
      </c>
      <c r="G604" s="10">
        <v>-6</v>
      </c>
      <c r="H604" s="10" t="s">
        <v>1975</v>
      </c>
      <c r="I604" s="10" t="s">
        <v>3023</v>
      </c>
      <c r="J604" s="10" t="s">
        <v>3024</v>
      </c>
      <c r="K604" s="10" t="s">
        <v>3025</v>
      </c>
      <c r="L604" s="65" t="str">
        <f t="shared" si="48"/>
        <v>Tres Rios|Costa Rica|-83,983330|9,900000|-6:00 America</v>
      </c>
      <c r="M604" s="10" t="s">
        <v>3030</v>
      </c>
      <c r="N604" s="10">
        <f t="shared" si="45"/>
        <v>0</v>
      </c>
      <c r="O604" t="str">
        <f t="shared" si="49"/>
        <v/>
      </c>
      <c r="P604" t="str">
        <f>IF(O604=1,COUNTIF($O$2:O604,1),"")</f>
        <v/>
      </c>
      <c r="Q604" t="str">
        <f>IFERROR(INDEX($M$2:$M$2388,MATCH(ROWS($P$2:P604),$P$2:$P$2388,0)),"")</f>
        <v/>
      </c>
    </row>
    <row r="605" spans="1:17" ht="15" x14ac:dyDescent="0.25">
      <c r="A605" s="10">
        <v>602</v>
      </c>
      <c r="B605" s="10" t="s">
        <v>3031</v>
      </c>
      <c r="C605" s="880">
        <f t="shared" si="46"/>
        <v>-83.683300000000003</v>
      </c>
      <c r="D605" s="880">
        <f t="shared" si="47"/>
        <v>9.9</v>
      </c>
      <c r="E605" s="10">
        <v>-83.683334000000002</v>
      </c>
      <c r="F605" s="10">
        <v>9.9</v>
      </c>
      <c r="G605" s="10">
        <v>-6</v>
      </c>
      <c r="H605" s="10" t="s">
        <v>1975</v>
      </c>
      <c r="I605" s="10" t="s">
        <v>3023</v>
      </c>
      <c r="J605" s="10" t="s">
        <v>3024</v>
      </c>
      <c r="K605" s="10" t="s">
        <v>3025</v>
      </c>
      <c r="L605" s="65" t="str">
        <f t="shared" si="48"/>
        <v>Turrialba|Costa Rica|-83,683334|9,900000|-6:00 America</v>
      </c>
      <c r="M605" s="10" t="s">
        <v>3032</v>
      </c>
      <c r="N605" s="10">
        <f t="shared" si="45"/>
        <v>0</v>
      </c>
      <c r="O605" t="str">
        <f t="shared" si="49"/>
        <v/>
      </c>
      <c r="P605" t="str">
        <f>IF(O605=1,COUNTIF($O$2:O605,1),"")</f>
        <v/>
      </c>
      <c r="Q605" t="str">
        <f>IFERROR(INDEX($M$2:$M$2388,MATCH(ROWS($P$2:P605),$P$2:$P$2388,0)),"")</f>
        <v/>
      </c>
    </row>
    <row r="606" spans="1:17" ht="15" x14ac:dyDescent="0.25">
      <c r="A606" s="10">
        <v>886</v>
      </c>
      <c r="B606" s="10" t="s">
        <v>3033</v>
      </c>
      <c r="C606" s="880">
        <f t="shared" si="46"/>
        <v>16</v>
      </c>
      <c r="D606" s="880">
        <f t="shared" si="47"/>
        <v>45.799900000000001</v>
      </c>
      <c r="E606" s="10">
        <v>16</v>
      </c>
      <c r="F606" s="10">
        <v>45.799999</v>
      </c>
      <c r="G606" s="10">
        <v>1</v>
      </c>
      <c r="H606" s="10" t="s">
        <v>1670</v>
      </c>
      <c r="I606" s="10" t="s">
        <v>3034</v>
      </c>
      <c r="J606" s="10" t="s">
        <v>3035</v>
      </c>
      <c r="K606" s="10" t="s">
        <v>3036</v>
      </c>
      <c r="L606" s="65" t="str">
        <f t="shared" si="48"/>
        <v>Zagreb|Croatia|16,000000|45,799999|+1:00 Europe</v>
      </c>
      <c r="M606" s="10" t="s">
        <v>3037</v>
      </c>
      <c r="N606" s="10">
        <f t="shared" si="45"/>
        <v>0</v>
      </c>
      <c r="O606" t="str">
        <f t="shared" si="49"/>
        <v/>
      </c>
      <c r="P606" t="str">
        <f>IF(O606=1,COUNTIF($O$2:O606,1),"")</f>
        <v/>
      </c>
      <c r="Q606" t="str">
        <f>IFERROR(INDEX($M$2:$M$2388,MATCH(ROWS($P$2:P606),$P$2:$P$2388,0)),"")</f>
        <v/>
      </c>
    </row>
    <row r="607" spans="1:17" ht="15" x14ac:dyDescent="0.25">
      <c r="A607" s="10">
        <v>887</v>
      </c>
      <c r="B607" s="10" t="s">
        <v>3038</v>
      </c>
      <c r="C607" s="880">
        <f t="shared" si="46"/>
        <v>15.977499999999999</v>
      </c>
      <c r="D607" s="880">
        <f t="shared" si="47"/>
        <v>45.813099999999999</v>
      </c>
      <c r="E607" s="10">
        <v>15.977532</v>
      </c>
      <c r="F607" s="10">
        <v>45.813129000000004</v>
      </c>
      <c r="G607" s="10">
        <v>1</v>
      </c>
      <c r="H607" s="10" t="s">
        <v>1670</v>
      </c>
      <c r="I607" s="10" t="s">
        <v>3034</v>
      </c>
      <c r="J607" s="10" t="s">
        <v>3035</v>
      </c>
      <c r="K607" s="10" t="s">
        <v>3036</v>
      </c>
      <c r="L607" s="65" t="str">
        <f t="shared" si="48"/>
        <v>Zagreb - Centar|Croatia|15,977532|45,813129|+1:00 Europe</v>
      </c>
      <c r="M607" s="10" t="s">
        <v>3039</v>
      </c>
      <c r="N607" s="10">
        <f t="shared" si="45"/>
        <v>0</v>
      </c>
      <c r="O607" t="str">
        <f t="shared" si="49"/>
        <v/>
      </c>
      <c r="P607" t="str">
        <f>IF(O607=1,COUNTIF($O$2:O607,1),"")</f>
        <v/>
      </c>
      <c r="Q607" t="str">
        <f>IFERROR(INDEX($M$2:$M$2388,MATCH(ROWS($P$2:P607),$P$2:$P$2388,0)),"")</f>
        <v/>
      </c>
    </row>
    <row r="608" spans="1:17" ht="15" x14ac:dyDescent="0.25">
      <c r="A608" s="10">
        <v>885</v>
      </c>
      <c r="B608" s="10" t="s">
        <v>3040</v>
      </c>
      <c r="C608" s="880">
        <f t="shared" si="46"/>
        <v>15.807700000000001</v>
      </c>
      <c r="D608" s="880">
        <f t="shared" si="47"/>
        <v>45.856299999999997</v>
      </c>
      <c r="E608" s="10">
        <v>15.807777</v>
      </c>
      <c r="F608" s="10">
        <v>45.856388000000003</v>
      </c>
      <c r="G608" s="10">
        <v>1</v>
      </c>
      <c r="H608" s="10" t="s">
        <v>1670</v>
      </c>
      <c r="I608" s="10" t="s">
        <v>3034</v>
      </c>
      <c r="J608" s="10" t="s">
        <v>3035</v>
      </c>
      <c r="K608" s="10" t="s">
        <v>3036</v>
      </c>
      <c r="L608" s="65" t="str">
        <f t="shared" si="48"/>
        <v>Zapresic|Croatia|15,807777|45,856388|+1:00 Europe</v>
      </c>
      <c r="M608" s="10" t="s">
        <v>3041</v>
      </c>
      <c r="N608" s="10">
        <f t="shared" si="45"/>
        <v>0</v>
      </c>
      <c r="O608" t="str">
        <f t="shared" si="49"/>
        <v/>
      </c>
      <c r="P608" t="str">
        <f>IF(O608=1,COUNTIF($O$2:O608,1),"")</f>
        <v/>
      </c>
      <c r="Q608" t="str">
        <f>IFERROR(INDEX($M$2:$M$2388,MATCH(ROWS($P$2:P608),$P$2:$P$2388,0)),"")</f>
        <v/>
      </c>
    </row>
    <row r="609" spans="1:17" ht="15" x14ac:dyDescent="0.25">
      <c r="A609" s="10">
        <v>884</v>
      </c>
      <c r="B609" s="10" t="s">
        <v>3042</v>
      </c>
      <c r="C609" s="880">
        <f t="shared" si="46"/>
        <v>18.697500000000002</v>
      </c>
      <c r="D609" s="880">
        <f t="shared" si="47"/>
        <v>45.077399999999997</v>
      </c>
      <c r="E609" s="10">
        <v>18.697500000000002</v>
      </c>
      <c r="F609" s="10">
        <v>45.077499000000003</v>
      </c>
      <c r="G609" s="10">
        <v>1</v>
      </c>
      <c r="H609" s="10" t="s">
        <v>1670</v>
      </c>
      <c r="I609" s="10" t="s">
        <v>3034</v>
      </c>
      <c r="J609" s="10" t="s">
        <v>3035</v>
      </c>
      <c r="K609" s="10" t="s">
        <v>3036</v>
      </c>
      <c r="L609" s="65" t="str">
        <f t="shared" si="48"/>
        <v>Zupanja|Croatia|18,697500|45,077499|+1:00 Europe</v>
      </c>
      <c r="M609" s="10" t="s">
        <v>3043</v>
      </c>
      <c r="N609" s="10">
        <f t="shared" si="45"/>
        <v>0</v>
      </c>
      <c r="O609" t="str">
        <f t="shared" si="49"/>
        <v/>
      </c>
      <c r="P609" t="str">
        <f>IF(O609=1,COUNTIF($O$2:O609,1),"")</f>
        <v/>
      </c>
      <c r="Q609" t="str">
        <f>IFERROR(INDEX($M$2:$M$2388,MATCH(ROWS($P$2:P609),$P$2:$P$2388,0)),"")</f>
        <v/>
      </c>
    </row>
    <row r="610" spans="1:17" ht="15" x14ac:dyDescent="0.25">
      <c r="A610" s="10">
        <v>615</v>
      </c>
      <c r="B610" s="10" t="s">
        <v>3044</v>
      </c>
      <c r="C610" s="880">
        <f t="shared" si="46"/>
        <v>-77.916899999999998</v>
      </c>
      <c r="D610" s="880">
        <f t="shared" si="47"/>
        <v>21.380800000000001</v>
      </c>
      <c r="E610" s="10">
        <v>-77.916945999999996</v>
      </c>
      <c r="F610" s="10">
        <v>21.380832999999999</v>
      </c>
      <c r="G610" s="10">
        <v>-5</v>
      </c>
      <c r="H610" s="10" t="s">
        <v>1873</v>
      </c>
      <c r="I610" s="10" t="s">
        <v>3045</v>
      </c>
      <c r="J610" s="10" t="s">
        <v>3046</v>
      </c>
      <c r="K610" s="10" t="s">
        <v>3047</v>
      </c>
      <c r="L610" s="65" t="str">
        <f t="shared" si="48"/>
        <v>Camaguey|Cuba|-77,916946|21,380833|-5:00 America</v>
      </c>
      <c r="M610" s="10" t="s">
        <v>3048</v>
      </c>
      <c r="N610" s="10">
        <f t="shared" si="45"/>
        <v>0</v>
      </c>
      <c r="O610" t="str">
        <f t="shared" si="49"/>
        <v/>
      </c>
      <c r="P610" t="str">
        <f>IF(O610=1,COUNTIF($O$2:O610,1),"")</f>
        <v/>
      </c>
      <c r="Q610" t="str">
        <f>IFERROR(INDEX($M$2:$M$2388,MATCH(ROWS($P$2:P610),$P$2:$P$2388,0)),"")</f>
        <v/>
      </c>
    </row>
    <row r="611" spans="1:17" ht="15" x14ac:dyDescent="0.25">
      <c r="A611" s="10">
        <v>614</v>
      </c>
      <c r="B611" s="10" t="s">
        <v>3049</v>
      </c>
      <c r="C611" s="880">
        <f t="shared" si="46"/>
        <v>-75.209100000000007</v>
      </c>
      <c r="D611" s="880">
        <f t="shared" si="47"/>
        <v>20.144400000000001</v>
      </c>
      <c r="E611" s="10">
        <v>-75.209166999999994</v>
      </c>
      <c r="F611" s="10">
        <v>20.144444</v>
      </c>
      <c r="G611" s="10">
        <v>-5</v>
      </c>
      <c r="H611" s="10" t="s">
        <v>1873</v>
      </c>
      <c r="I611" s="10" t="s">
        <v>3045</v>
      </c>
      <c r="J611" s="10" t="s">
        <v>3046</v>
      </c>
      <c r="K611" s="10" t="s">
        <v>3047</v>
      </c>
      <c r="L611" s="65" t="str">
        <f t="shared" si="48"/>
        <v>Guantanamo|Cuba|-75,209167|20,144444|-5:00 America</v>
      </c>
      <c r="M611" s="10" t="s">
        <v>3050</v>
      </c>
      <c r="N611" s="10">
        <f t="shared" si="45"/>
        <v>0</v>
      </c>
      <c r="O611" t="str">
        <f t="shared" si="49"/>
        <v/>
      </c>
      <c r="P611" t="str">
        <f>IF(O611=1,COUNTIF($O$2:O611,1),"")</f>
        <v/>
      </c>
      <c r="Q611" t="str">
        <f>IFERROR(INDEX($M$2:$M$2388,MATCH(ROWS($P$2:P611),$P$2:$P$2388,0)),"")</f>
        <v/>
      </c>
    </row>
    <row r="612" spans="1:17" ht="15" x14ac:dyDescent="0.25">
      <c r="A612" s="10">
        <v>612</v>
      </c>
      <c r="B612" s="10" t="s">
        <v>3051</v>
      </c>
      <c r="C612" s="880">
        <f t="shared" si="46"/>
        <v>-82.364099999999993</v>
      </c>
      <c r="D612" s="880">
        <f t="shared" si="47"/>
        <v>23.131900000000002</v>
      </c>
      <c r="E612" s="10">
        <v>-82.364165999999997</v>
      </c>
      <c r="F612" s="10">
        <v>23.131945000000002</v>
      </c>
      <c r="G612" s="10">
        <v>-5</v>
      </c>
      <c r="H612" s="10" t="s">
        <v>1873</v>
      </c>
      <c r="I612" s="10" t="s">
        <v>3045</v>
      </c>
      <c r="J612" s="10" t="s">
        <v>3046</v>
      </c>
      <c r="K612" s="10" t="s">
        <v>3047</v>
      </c>
      <c r="L612" s="65" t="str">
        <f t="shared" si="48"/>
        <v>Havana|Cuba|-82,364166|23,131945|-5:00 America</v>
      </c>
      <c r="M612" s="10" t="s">
        <v>3052</v>
      </c>
      <c r="N612" s="10">
        <f t="shared" si="45"/>
        <v>0</v>
      </c>
      <c r="O612" t="str">
        <f t="shared" si="49"/>
        <v/>
      </c>
      <c r="P612" t="str">
        <f>IF(O612=1,COUNTIF($O$2:O612,1),"")</f>
        <v/>
      </c>
      <c r="Q612" t="str">
        <f>IFERROR(INDEX($M$2:$M$2388,MATCH(ROWS($P$2:P612),$P$2:$P$2388,0)),"")</f>
        <v/>
      </c>
    </row>
    <row r="613" spans="1:17" ht="15" x14ac:dyDescent="0.25">
      <c r="A613" s="10">
        <v>613</v>
      </c>
      <c r="B613" s="10" t="s">
        <v>3053</v>
      </c>
      <c r="C613" s="880">
        <f t="shared" si="46"/>
        <v>-76.263000000000005</v>
      </c>
      <c r="D613" s="880">
        <f t="shared" si="47"/>
        <v>20.8872</v>
      </c>
      <c r="E613" s="10">
        <v>-76.263053999999997</v>
      </c>
      <c r="F613" s="10">
        <v>20.887222000000001</v>
      </c>
      <c r="G613" s="10">
        <v>-5</v>
      </c>
      <c r="H613" s="10" t="s">
        <v>1873</v>
      </c>
      <c r="I613" s="10" t="s">
        <v>3045</v>
      </c>
      <c r="J613" s="10" t="s">
        <v>3046</v>
      </c>
      <c r="K613" s="10" t="s">
        <v>3047</v>
      </c>
      <c r="L613" s="65" t="str">
        <f t="shared" si="48"/>
        <v>Holguin|Cuba|-76,263054|20,887222|-5:00 America</v>
      </c>
      <c r="M613" s="10" t="s">
        <v>3054</v>
      </c>
      <c r="N613" s="10">
        <f t="shared" si="45"/>
        <v>0</v>
      </c>
      <c r="O613" t="str">
        <f t="shared" si="49"/>
        <v/>
      </c>
      <c r="P613" t="str">
        <f>IF(O613=1,COUNTIF($O$2:O613,1),"")</f>
        <v/>
      </c>
      <c r="Q613" t="str">
        <f>IFERROR(INDEX($M$2:$M$2388,MATCH(ROWS($P$2:P613),$P$2:$P$2388,0)),"")</f>
        <v/>
      </c>
    </row>
    <row r="614" spans="1:17" ht="15" x14ac:dyDescent="0.25">
      <c r="A614" s="10">
        <v>611</v>
      </c>
      <c r="B614" s="10" t="s">
        <v>3055</v>
      </c>
      <c r="C614" s="880">
        <f t="shared" si="46"/>
        <v>-76.951099999999997</v>
      </c>
      <c r="D614" s="880">
        <f t="shared" si="47"/>
        <v>20.961600000000001</v>
      </c>
      <c r="E614" s="10">
        <v>-76.951110999999997</v>
      </c>
      <c r="F614" s="10">
        <v>20.961666000000001</v>
      </c>
      <c r="G614" s="10">
        <v>-5</v>
      </c>
      <c r="H614" s="10" t="s">
        <v>1873</v>
      </c>
      <c r="I614" s="10" t="s">
        <v>3045</v>
      </c>
      <c r="J614" s="10" t="s">
        <v>3046</v>
      </c>
      <c r="K614" s="10" t="s">
        <v>3047</v>
      </c>
      <c r="L614" s="65" t="str">
        <f t="shared" si="48"/>
        <v>Las Tunas|Cuba|-76,951111|20,961666|-5:00 America</v>
      </c>
      <c r="M614" s="10" t="s">
        <v>3056</v>
      </c>
      <c r="N614" s="10">
        <f t="shared" si="45"/>
        <v>0</v>
      </c>
      <c r="O614" t="str">
        <f t="shared" si="49"/>
        <v/>
      </c>
      <c r="P614" t="str">
        <f>IF(O614=1,COUNTIF($O$2:O614,1),"")</f>
        <v/>
      </c>
      <c r="Q614" t="str">
        <f>IFERROR(INDEX($M$2:$M$2388,MATCH(ROWS($P$2:P614),$P$2:$P$2388,0)),"")</f>
        <v/>
      </c>
    </row>
    <row r="615" spans="1:17" ht="15" x14ac:dyDescent="0.25">
      <c r="A615" s="10">
        <v>610</v>
      </c>
      <c r="B615" s="10" t="s">
        <v>3057</v>
      </c>
      <c r="C615" s="880">
        <f t="shared" si="46"/>
        <v>-79.9666</v>
      </c>
      <c r="D615" s="880">
        <f t="shared" si="47"/>
        <v>22.4</v>
      </c>
      <c r="E615" s="10">
        <v>-79.966667000000001</v>
      </c>
      <c r="F615" s="10">
        <v>22.4</v>
      </c>
      <c r="G615" s="10">
        <v>-5</v>
      </c>
      <c r="H615" s="10" t="s">
        <v>1873</v>
      </c>
      <c r="I615" s="10" t="s">
        <v>3045</v>
      </c>
      <c r="J615" s="10" t="s">
        <v>3046</v>
      </c>
      <c r="K615" s="10" t="s">
        <v>3047</v>
      </c>
      <c r="L615" s="65" t="str">
        <f t="shared" si="48"/>
        <v>Santa Clara|Cuba|-79,966667|22,400000|-5:00 America</v>
      </c>
      <c r="M615" s="10" t="s">
        <v>3058</v>
      </c>
      <c r="N615" s="10">
        <f t="shared" si="45"/>
        <v>0</v>
      </c>
      <c r="O615" t="str">
        <f t="shared" si="49"/>
        <v/>
      </c>
      <c r="P615" t="str">
        <f>IF(O615=1,COUNTIF($O$2:O615,1),"")</f>
        <v/>
      </c>
      <c r="Q615" t="str">
        <f>IFERROR(INDEX($M$2:$M$2388,MATCH(ROWS($P$2:P615),$P$2:$P$2388,0)),"")</f>
        <v/>
      </c>
    </row>
    <row r="616" spans="1:17" ht="15" x14ac:dyDescent="0.25">
      <c r="A616" s="10">
        <v>609</v>
      </c>
      <c r="B616" s="10" t="s">
        <v>3059</v>
      </c>
      <c r="C616" s="880">
        <f t="shared" si="46"/>
        <v>-75.821899999999999</v>
      </c>
      <c r="D616" s="880">
        <f t="shared" si="47"/>
        <v>20.024699999999999</v>
      </c>
      <c r="E616" s="10">
        <v>-75.821944999999999</v>
      </c>
      <c r="F616" s="10">
        <v>20.024723000000002</v>
      </c>
      <c r="G616" s="10">
        <v>-5</v>
      </c>
      <c r="H616" s="10" t="s">
        <v>1873</v>
      </c>
      <c r="I616" s="10" t="s">
        <v>3045</v>
      </c>
      <c r="J616" s="10" t="s">
        <v>3046</v>
      </c>
      <c r="K616" s="10" t="s">
        <v>3047</v>
      </c>
      <c r="L616" s="65" t="str">
        <f t="shared" si="48"/>
        <v>Santiago de Cuba|Cuba|-75,821945|20,024723|-5:00 America</v>
      </c>
      <c r="M616" s="10" t="s">
        <v>3060</v>
      </c>
      <c r="N616" s="10">
        <f t="shared" si="45"/>
        <v>0</v>
      </c>
      <c r="O616" t="str">
        <f t="shared" si="49"/>
        <v/>
      </c>
      <c r="P616" t="str">
        <f>IF(O616=1,COUNTIF($O$2:O616,1),"")</f>
        <v/>
      </c>
      <c r="Q616" t="str">
        <f>IFERROR(INDEX($M$2:$M$2388,MATCH(ROWS($P$2:P616),$P$2:$P$2388,0)),"")</f>
        <v/>
      </c>
    </row>
    <row r="617" spans="1:17" ht="15" x14ac:dyDescent="0.25">
      <c r="A617" s="10">
        <v>608</v>
      </c>
      <c r="B617" s="10" t="s">
        <v>3061</v>
      </c>
      <c r="C617" s="880">
        <f t="shared" si="46"/>
        <v>-79.237700000000004</v>
      </c>
      <c r="D617" s="880">
        <f t="shared" si="47"/>
        <v>22.327200000000001</v>
      </c>
      <c r="E617" s="10">
        <v>-79.237778000000006</v>
      </c>
      <c r="F617" s="10">
        <v>22.327223</v>
      </c>
      <c r="G617" s="10">
        <v>-5</v>
      </c>
      <c r="H617" s="10" t="s">
        <v>1873</v>
      </c>
      <c r="I617" s="10" t="s">
        <v>3045</v>
      </c>
      <c r="J617" s="10" t="s">
        <v>3046</v>
      </c>
      <c r="K617" s="10" t="s">
        <v>3047</v>
      </c>
      <c r="L617" s="65" t="str">
        <f t="shared" si="48"/>
        <v>Yaguajay|Cuba|-79,237778|22,327223|-5:00 America</v>
      </c>
      <c r="M617" s="10" t="s">
        <v>3062</v>
      </c>
      <c r="N617" s="10">
        <f t="shared" si="45"/>
        <v>0</v>
      </c>
      <c r="O617" t="str">
        <f t="shared" si="49"/>
        <v/>
      </c>
      <c r="P617" t="str">
        <f>IF(O617=1,COUNTIF($O$2:O617,1),"")</f>
        <v/>
      </c>
      <c r="Q617" t="str">
        <f>IFERROR(INDEX($M$2:$M$2388,MATCH(ROWS($P$2:P617),$P$2:$P$2388,0)),"")</f>
        <v/>
      </c>
    </row>
    <row r="618" spans="1:17" ht="15" x14ac:dyDescent="0.25">
      <c r="A618" s="10">
        <v>607</v>
      </c>
      <c r="B618" s="10" t="s">
        <v>3063</v>
      </c>
      <c r="C618" s="880">
        <f t="shared" si="46"/>
        <v>-76.953299999999999</v>
      </c>
      <c r="D618" s="880">
        <f t="shared" si="47"/>
        <v>20.275200000000002</v>
      </c>
      <c r="E618" s="10">
        <v>-76.953331000000006</v>
      </c>
      <c r="F618" s="10">
        <v>20.275278</v>
      </c>
      <c r="G618" s="10">
        <v>-5</v>
      </c>
      <c r="H618" s="10" t="s">
        <v>1873</v>
      </c>
      <c r="I618" s="10" t="s">
        <v>3045</v>
      </c>
      <c r="J618" s="10" t="s">
        <v>3046</v>
      </c>
      <c r="K618" s="10" t="s">
        <v>3047</v>
      </c>
      <c r="L618" s="65" t="str">
        <f t="shared" si="48"/>
        <v>Yara|Cuba|-76,953331|20,275278|-5:00 America</v>
      </c>
      <c r="M618" s="10" t="s">
        <v>3064</v>
      </c>
      <c r="N618" s="10">
        <f t="shared" si="45"/>
        <v>0</v>
      </c>
      <c r="O618" t="str">
        <f t="shared" si="49"/>
        <v/>
      </c>
      <c r="P618" t="str">
        <f>IF(O618=1,COUNTIF($O$2:O618,1),"")</f>
        <v/>
      </c>
      <c r="Q618" t="str">
        <f>IFERROR(INDEX($M$2:$M$2388,MATCH(ROWS($P$2:P618),$P$2:$P$2388,0)),"")</f>
        <v/>
      </c>
    </row>
    <row r="619" spans="1:17" ht="15" x14ac:dyDescent="0.25">
      <c r="A619" s="10">
        <v>606</v>
      </c>
      <c r="B619" s="10" t="s">
        <v>3065</v>
      </c>
      <c r="C619" s="880">
        <f t="shared" si="46"/>
        <v>-79.366900000000001</v>
      </c>
      <c r="D619" s="880">
        <f t="shared" si="47"/>
        <v>21.996099999999998</v>
      </c>
      <c r="E619" s="10">
        <v>-79.366943000000006</v>
      </c>
      <c r="F619" s="10">
        <v>21.996110999999999</v>
      </c>
      <c r="G619" s="10">
        <v>-5</v>
      </c>
      <c r="H619" s="10" t="s">
        <v>1873</v>
      </c>
      <c r="I619" s="10" t="s">
        <v>3045</v>
      </c>
      <c r="J619" s="10" t="s">
        <v>3046</v>
      </c>
      <c r="K619" s="10" t="s">
        <v>3047</v>
      </c>
      <c r="L619" s="65" t="str">
        <f t="shared" si="48"/>
        <v>Zaza del Medio|Cuba|-79,366943|21,996111|-5:00 America</v>
      </c>
      <c r="M619" s="10" t="s">
        <v>3066</v>
      </c>
      <c r="N619" s="10">
        <f t="shared" si="45"/>
        <v>0</v>
      </c>
      <c r="O619" t="str">
        <f t="shared" si="49"/>
        <v/>
      </c>
      <c r="P619" t="str">
        <f>IF(O619=1,COUNTIF($O$2:O619,1),"")</f>
        <v/>
      </c>
      <c r="Q619" t="str">
        <f>IFERROR(INDEX($M$2:$M$2388,MATCH(ROWS($P$2:P619),$P$2:$P$2388,0)),"")</f>
        <v/>
      </c>
    </row>
    <row r="620" spans="1:17" ht="15" x14ac:dyDescent="0.25">
      <c r="A620" s="10">
        <v>31</v>
      </c>
      <c r="B620" s="10" t="s">
        <v>3067</v>
      </c>
      <c r="C620" s="880">
        <f t="shared" si="46"/>
        <v>-63.066600000000001</v>
      </c>
      <c r="D620" s="880">
        <f t="shared" si="47"/>
        <v>18.033300000000001</v>
      </c>
      <c r="E620" s="10">
        <v>-63.066665999999998</v>
      </c>
      <c r="F620" s="10">
        <v>18.033332999999999</v>
      </c>
      <c r="G620" s="10">
        <v>-4</v>
      </c>
      <c r="H620" s="10" t="s">
        <v>1733</v>
      </c>
      <c r="I620" s="10" t="s">
        <v>3068</v>
      </c>
      <c r="J620" s="10" t="s">
        <v>3069</v>
      </c>
      <c r="K620" s="10" t="s">
        <v>3070</v>
      </c>
      <c r="L620" s="65" t="str">
        <f t="shared" si="48"/>
        <v>Cul de Sac|Curacao|-63,066666|18,033333|-4:00 America</v>
      </c>
      <c r="M620" s="10" t="s">
        <v>3071</v>
      </c>
      <c r="N620" s="10">
        <f t="shared" si="45"/>
        <v>0</v>
      </c>
      <c r="O620" t="str">
        <f t="shared" si="49"/>
        <v/>
      </c>
      <c r="P620" t="str">
        <f>IF(O620=1,COUNTIF($O$2:O620,1),"")</f>
        <v/>
      </c>
      <c r="Q620" t="str">
        <f>IFERROR(INDEX($M$2:$M$2388,MATCH(ROWS($P$2:P620),$P$2:$P$2388,0)),"")</f>
        <v/>
      </c>
    </row>
    <row r="621" spans="1:17" ht="15" x14ac:dyDescent="0.25">
      <c r="A621" s="10">
        <v>30</v>
      </c>
      <c r="B621" s="10" t="s">
        <v>3072</v>
      </c>
      <c r="C621" s="880">
        <f t="shared" si="46"/>
        <v>-68.9833</v>
      </c>
      <c r="D621" s="880">
        <f t="shared" si="47"/>
        <v>12.15</v>
      </c>
      <c r="E621" s="10">
        <v>-68.983329999999995</v>
      </c>
      <c r="F621" s="10">
        <v>12.15</v>
      </c>
      <c r="G621" s="10">
        <v>-4</v>
      </c>
      <c r="H621" s="10" t="s">
        <v>1733</v>
      </c>
      <c r="I621" s="10" t="s">
        <v>3068</v>
      </c>
      <c r="J621" s="10" t="s">
        <v>3069</v>
      </c>
      <c r="K621" s="10" t="s">
        <v>3070</v>
      </c>
      <c r="L621" s="65" t="str">
        <f t="shared" si="48"/>
        <v>Sint Michiel Liber|Curacao|-68,983330|12,150000|-4:00 America</v>
      </c>
      <c r="M621" s="10" t="s">
        <v>3073</v>
      </c>
      <c r="N621" s="10">
        <f t="shared" si="45"/>
        <v>0</v>
      </c>
      <c r="O621" t="str">
        <f t="shared" si="49"/>
        <v/>
      </c>
      <c r="P621" t="str">
        <f>IF(O621=1,COUNTIF($O$2:O621,1),"")</f>
        <v/>
      </c>
      <c r="Q621" t="str">
        <f>IFERROR(INDEX($M$2:$M$2388,MATCH(ROWS($P$2:P621),$P$2:$P$2388,0)),"")</f>
        <v/>
      </c>
    </row>
    <row r="622" spans="1:17" ht="15" x14ac:dyDescent="0.25">
      <c r="A622" s="10">
        <v>29</v>
      </c>
      <c r="B622" s="10" t="s">
        <v>3074</v>
      </c>
      <c r="C622" s="880">
        <f t="shared" si="46"/>
        <v>-68.916600000000003</v>
      </c>
      <c r="D622" s="880">
        <f t="shared" si="47"/>
        <v>12.1</v>
      </c>
      <c r="E622" s="10">
        <v>-68.916663999999997</v>
      </c>
      <c r="F622" s="10">
        <v>12.1</v>
      </c>
      <c r="G622" s="10">
        <v>-4</v>
      </c>
      <c r="H622" s="10" t="s">
        <v>1733</v>
      </c>
      <c r="I622" s="10" t="s">
        <v>3068</v>
      </c>
      <c r="J622" s="10" t="s">
        <v>3069</v>
      </c>
      <c r="K622" s="10" t="s">
        <v>3070</v>
      </c>
      <c r="L622" s="65" t="str">
        <f t="shared" si="48"/>
        <v>Willemstad|Curacao|-68,916664|12,100000|-4:00 America</v>
      </c>
      <c r="M622" s="10" t="s">
        <v>3075</v>
      </c>
      <c r="N622" s="10">
        <f t="shared" si="45"/>
        <v>0</v>
      </c>
      <c r="O622" t="str">
        <f t="shared" si="49"/>
        <v/>
      </c>
      <c r="P622" t="str">
        <f>IF(O622=1,COUNTIF($O$2:O622,1),"")</f>
        <v/>
      </c>
      <c r="Q622" t="str">
        <f>IFERROR(INDEX($M$2:$M$2388,MATCH(ROWS($P$2:P622),$P$2:$P$2388,0)),"")</f>
        <v/>
      </c>
    </row>
    <row r="623" spans="1:17" ht="15" x14ac:dyDescent="0.25">
      <c r="A623" s="10">
        <v>622</v>
      </c>
      <c r="B623" s="10" t="s">
        <v>3076</v>
      </c>
      <c r="C623" s="880">
        <f t="shared" si="46"/>
        <v>33.366599999999998</v>
      </c>
      <c r="D623" s="880">
        <f t="shared" si="47"/>
        <v>35.166600000000003</v>
      </c>
      <c r="E623" s="10">
        <v>33.366664999999998</v>
      </c>
      <c r="F623" s="10">
        <v>35.166668000000001</v>
      </c>
      <c r="G623" s="10">
        <v>2</v>
      </c>
      <c r="H623" s="10" t="s">
        <v>1938</v>
      </c>
      <c r="I623" s="10" t="s">
        <v>3077</v>
      </c>
      <c r="J623" s="10" t="s">
        <v>3078</v>
      </c>
      <c r="K623" s="10" t="s">
        <v>3079</v>
      </c>
      <c r="L623" s="65" t="str">
        <f t="shared" si="48"/>
        <v>Nicosia|Cyprus|33,366665|35,166668|+2:00 Asia</v>
      </c>
      <c r="M623" s="10" t="s">
        <v>3080</v>
      </c>
      <c r="N623" s="10">
        <f t="shared" si="45"/>
        <v>0</v>
      </c>
      <c r="O623" t="str">
        <f t="shared" si="49"/>
        <v/>
      </c>
      <c r="P623" t="str">
        <f>IF(O623=1,COUNTIF($O$2:O623,1),"")</f>
        <v/>
      </c>
      <c r="Q623" t="str">
        <f>IFERROR(INDEX($M$2:$M$2388,MATCH(ROWS($P$2:P623),$P$2:$P$2388,0)),"")</f>
        <v/>
      </c>
    </row>
    <row r="624" spans="1:17" ht="15" x14ac:dyDescent="0.25">
      <c r="A624" s="10">
        <v>621</v>
      </c>
      <c r="B624" s="10" t="s">
        <v>3081</v>
      </c>
      <c r="C624" s="880">
        <f t="shared" si="46"/>
        <v>33.320799999999998</v>
      </c>
      <c r="D624" s="880">
        <f t="shared" si="47"/>
        <v>35.075000000000003</v>
      </c>
      <c r="E624" s="10">
        <v>33.320835000000002</v>
      </c>
      <c r="F624" s="10">
        <v>35.075001</v>
      </c>
      <c r="G624" s="10">
        <v>2</v>
      </c>
      <c r="H624" s="10" t="s">
        <v>1938</v>
      </c>
      <c r="I624" s="10" t="s">
        <v>3077</v>
      </c>
      <c r="J624" s="10" t="s">
        <v>3078</v>
      </c>
      <c r="K624" s="10" t="s">
        <v>3079</v>
      </c>
      <c r="L624" s="65" t="str">
        <f t="shared" si="48"/>
        <v>Xeri|Cyprus|33,320835|35,075001|+2:00 Asia</v>
      </c>
      <c r="M624" s="10" t="s">
        <v>3082</v>
      </c>
      <c r="N624" s="10">
        <f t="shared" si="45"/>
        <v>0</v>
      </c>
      <c r="O624" t="str">
        <f t="shared" si="49"/>
        <v/>
      </c>
      <c r="P624" t="str">
        <f>IF(O624=1,COUNTIF($O$2:O624,1),"")</f>
        <v/>
      </c>
      <c r="Q624" t="str">
        <f>IFERROR(INDEX($M$2:$M$2388,MATCH(ROWS($P$2:P624),$P$2:$P$2388,0)),"")</f>
        <v/>
      </c>
    </row>
    <row r="625" spans="1:17" ht="15" x14ac:dyDescent="0.25">
      <c r="A625" s="10">
        <v>620</v>
      </c>
      <c r="B625" s="10" t="s">
        <v>3083</v>
      </c>
      <c r="C625" s="880">
        <f t="shared" si="46"/>
        <v>33.416600000000003</v>
      </c>
      <c r="D625" s="880">
        <f t="shared" si="47"/>
        <v>35.099899999999998</v>
      </c>
      <c r="E625" s="10">
        <v>33.416668000000001</v>
      </c>
      <c r="F625" s="10">
        <v>35.099997999999999</v>
      </c>
      <c r="G625" s="10">
        <v>2</v>
      </c>
      <c r="H625" s="10" t="s">
        <v>1938</v>
      </c>
      <c r="I625" s="10" t="s">
        <v>3077</v>
      </c>
      <c r="J625" s="10" t="s">
        <v>3078</v>
      </c>
      <c r="K625" s="10" t="s">
        <v>3079</v>
      </c>
      <c r="L625" s="65" t="str">
        <f t="shared" si="48"/>
        <v>Yeri|Cyprus|33,416668|35,099998|+2:00 Asia</v>
      </c>
      <c r="M625" s="10" t="s">
        <v>3084</v>
      </c>
      <c r="N625" s="10">
        <f t="shared" si="45"/>
        <v>0</v>
      </c>
      <c r="O625" t="str">
        <f t="shared" si="49"/>
        <v/>
      </c>
      <c r="P625" t="str">
        <f>IF(O625=1,COUNTIF($O$2:O625,1),"")</f>
        <v/>
      </c>
      <c r="Q625" t="str">
        <f>IFERROR(INDEX($M$2:$M$2388,MATCH(ROWS($P$2:P625),$P$2:$P$2388,0)),"")</f>
        <v/>
      </c>
    </row>
    <row r="626" spans="1:17" ht="15" x14ac:dyDescent="0.25">
      <c r="A626" s="10">
        <v>619</v>
      </c>
      <c r="B626" s="10" t="s">
        <v>3085</v>
      </c>
      <c r="C626" s="880">
        <f t="shared" si="46"/>
        <v>32.958300000000001</v>
      </c>
      <c r="D626" s="880">
        <f t="shared" si="47"/>
        <v>34.683300000000003</v>
      </c>
      <c r="E626" s="10">
        <v>32.958331999999999</v>
      </c>
      <c r="F626" s="10">
        <v>34.683334000000002</v>
      </c>
      <c r="G626" s="10">
        <v>2</v>
      </c>
      <c r="H626" s="10" t="s">
        <v>1938</v>
      </c>
      <c r="I626" s="10" t="s">
        <v>3077</v>
      </c>
      <c r="J626" s="10" t="s">
        <v>3078</v>
      </c>
      <c r="K626" s="10" t="s">
        <v>3079</v>
      </c>
      <c r="L626" s="65" t="str">
        <f t="shared" si="48"/>
        <v>Ypsonas|Cyprus|32,958332|34,683334|+2:00 Asia</v>
      </c>
      <c r="M626" s="10" t="s">
        <v>3086</v>
      </c>
      <c r="N626" s="10">
        <f t="shared" si="45"/>
        <v>0</v>
      </c>
      <c r="O626" t="str">
        <f t="shared" si="49"/>
        <v/>
      </c>
      <c r="P626" t="str">
        <f>IF(O626=1,COUNTIF($O$2:O626,1),"")</f>
        <v/>
      </c>
      <c r="Q626" t="str">
        <f>IFERROR(INDEX($M$2:$M$2388,MATCH(ROWS($P$2:P626),$P$2:$P$2388,0)),"")</f>
        <v/>
      </c>
    </row>
    <row r="627" spans="1:17" ht="15" x14ac:dyDescent="0.25">
      <c r="A627" s="10">
        <v>628</v>
      </c>
      <c r="B627" s="10" t="s">
        <v>3087</v>
      </c>
      <c r="C627" s="880">
        <f t="shared" si="46"/>
        <v>16.599599999999999</v>
      </c>
      <c r="D627" s="880">
        <f t="shared" si="47"/>
        <v>49.195099999999996</v>
      </c>
      <c r="E627" s="10">
        <v>16.599689000000001</v>
      </c>
      <c r="F627" s="10">
        <v>49.195189999999997</v>
      </c>
      <c r="G627" s="10">
        <v>1</v>
      </c>
      <c r="H627" s="10" t="s">
        <v>1670</v>
      </c>
      <c r="I627" s="10" t="s">
        <v>3088</v>
      </c>
      <c r="J627" s="10" t="s">
        <v>3089</v>
      </c>
      <c r="K627" s="10" t="s">
        <v>3090</v>
      </c>
      <c r="L627" s="65" t="str">
        <f t="shared" si="48"/>
        <v>Brno|Czech|16,599689|49,195190|+1:00 Europe</v>
      </c>
      <c r="M627" s="10" t="s">
        <v>3091</v>
      </c>
      <c r="N627" s="10">
        <f t="shared" si="45"/>
        <v>0</v>
      </c>
      <c r="O627" t="str">
        <f t="shared" si="49"/>
        <v/>
      </c>
      <c r="P627" t="str">
        <f>IF(O627=1,COUNTIF($O$2:O627,1),"")</f>
        <v/>
      </c>
      <c r="Q627" t="str">
        <f>IFERROR(INDEX($M$2:$M$2388,MATCH(ROWS($P$2:P627),$P$2:$P$2388,0)),"")</f>
        <v/>
      </c>
    </row>
    <row r="628" spans="1:17" ht="15" x14ac:dyDescent="0.25">
      <c r="A628" s="10">
        <v>623</v>
      </c>
      <c r="B628" s="10" t="s">
        <v>3092</v>
      </c>
      <c r="C628" s="880">
        <f t="shared" si="46"/>
        <v>15.814</v>
      </c>
      <c r="D628" s="880">
        <f t="shared" si="47"/>
        <v>50.431699999999999</v>
      </c>
      <c r="E628" s="10">
        <v>15.814021</v>
      </c>
      <c r="F628" s="10">
        <v>50.431721000000003</v>
      </c>
      <c r="G628" s="10">
        <v>1</v>
      </c>
      <c r="H628" s="10" t="s">
        <v>1670</v>
      </c>
      <c r="I628" s="10" t="s">
        <v>3088</v>
      </c>
      <c r="J628" s="10" t="s">
        <v>3089</v>
      </c>
      <c r="K628" s="10" t="s">
        <v>3090</v>
      </c>
      <c r="L628" s="65" t="str">
        <f t="shared" si="48"/>
        <v>Dvur Kralove nad Labem|Czech|15,814021|50,431721|+1:00 Europe</v>
      </c>
      <c r="M628" s="10" t="s">
        <v>3093</v>
      </c>
      <c r="N628" s="10">
        <f t="shared" si="45"/>
        <v>0</v>
      </c>
      <c r="O628" t="str">
        <f t="shared" si="49"/>
        <v/>
      </c>
      <c r="P628" t="str">
        <f>IF(O628=1,COUNTIF($O$2:O628,1),"")</f>
        <v/>
      </c>
      <c r="Q628" t="str">
        <f>IFERROR(INDEX($M$2:$M$2388,MATCH(ROWS($P$2:P628),$P$2:$P$2388,0)),"")</f>
        <v/>
      </c>
    </row>
    <row r="629" spans="1:17" ht="15" x14ac:dyDescent="0.25">
      <c r="A629" s="10">
        <v>627</v>
      </c>
      <c r="B629" s="10" t="s">
        <v>3094</v>
      </c>
      <c r="C629" s="880">
        <f t="shared" si="46"/>
        <v>18.282</v>
      </c>
      <c r="D629" s="880">
        <f t="shared" si="47"/>
        <v>49.834600000000002</v>
      </c>
      <c r="E629" s="10">
        <v>18.282043000000002</v>
      </c>
      <c r="F629" s="10">
        <v>49.834643999999997</v>
      </c>
      <c r="G629" s="10">
        <v>1</v>
      </c>
      <c r="H629" s="10" t="s">
        <v>1670</v>
      </c>
      <c r="I629" s="10" t="s">
        <v>3088</v>
      </c>
      <c r="J629" s="10" t="s">
        <v>3089</v>
      </c>
      <c r="K629" s="10" t="s">
        <v>3090</v>
      </c>
      <c r="L629" s="65" t="str">
        <f t="shared" si="48"/>
        <v>Ostrava|Czech|18,282043|49,834644|+1:00 Europe</v>
      </c>
      <c r="M629" s="10" t="s">
        <v>3095</v>
      </c>
      <c r="N629" s="10">
        <f t="shared" si="45"/>
        <v>0</v>
      </c>
      <c r="O629" t="str">
        <f t="shared" si="49"/>
        <v/>
      </c>
      <c r="P629" t="str">
        <f>IF(O629=1,COUNTIF($O$2:O629,1),"")</f>
        <v/>
      </c>
      <c r="Q629" t="str">
        <f>IFERROR(INDEX($M$2:$M$2388,MATCH(ROWS($P$2:P629),$P$2:$P$2388,0)),"")</f>
        <v/>
      </c>
    </row>
    <row r="630" spans="1:17" ht="15" x14ac:dyDescent="0.25">
      <c r="A630" s="10">
        <v>626</v>
      </c>
      <c r="B630" s="10" t="s">
        <v>3096</v>
      </c>
      <c r="C630" s="880">
        <f t="shared" si="46"/>
        <v>14.424099999999999</v>
      </c>
      <c r="D630" s="880">
        <f t="shared" si="47"/>
        <v>50.087800000000001</v>
      </c>
      <c r="E630" s="10">
        <v>14.424132</v>
      </c>
      <c r="F630" s="10">
        <v>50.087837</v>
      </c>
      <c r="G630" s="10">
        <v>1</v>
      </c>
      <c r="H630" s="10" t="s">
        <v>1670</v>
      </c>
      <c r="I630" s="10" t="s">
        <v>3088</v>
      </c>
      <c r="J630" s="10" t="s">
        <v>3089</v>
      </c>
      <c r="K630" s="10" t="s">
        <v>3090</v>
      </c>
      <c r="L630" s="65" t="str">
        <f t="shared" si="48"/>
        <v>Praha|Czech|14,424132|50,087837|+1:00 Europe</v>
      </c>
      <c r="M630" s="10" t="s">
        <v>3097</v>
      </c>
      <c r="N630" s="10">
        <f t="shared" si="45"/>
        <v>0</v>
      </c>
      <c r="O630" t="str">
        <f t="shared" si="49"/>
        <v/>
      </c>
      <c r="P630" t="str">
        <f>IF(O630=1,COUNTIF($O$2:O630,1),"")</f>
        <v/>
      </c>
      <c r="Q630" t="str">
        <f>IFERROR(INDEX($M$2:$M$2388,MATCH(ROWS($P$2:P630),$P$2:$P$2388,0)),"")</f>
        <v/>
      </c>
    </row>
    <row r="631" spans="1:17" ht="15" x14ac:dyDescent="0.25">
      <c r="A631" s="10">
        <v>625</v>
      </c>
      <c r="B631" s="10" t="s">
        <v>3098</v>
      </c>
      <c r="C631" s="880">
        <f t="shared" si="46"/>
        <v>16.0487</v>
      </c>
      <c r="D631" s="880">
        <f t="shared" si="47"/>
        <v>48.855400000000003</v>
      </c>
      <c r="E631" s="10">
        <v>16.048798000000001</v>
      </c>
      <c r="F631" s="10">
        <v>48.855499000000002</v>
      </c>
      <c r="G631" s="10">
        <v>1</v>
      </c>
      <c r="H631" s="10" t="s">
        <v>1670</v>
      </c>
      <c r="I631" s="10" t="s">
        <v>3088</v>
      </c>
      <c r="J631" s="10" t="s">
        <v>3089</v>
      </c>
      <c r="K631" s="10" t="s">
        <v>3090</v>
      </c>
      <c r="L631" s="65" t="str">
        <f t="shared" si="48"/>
        <v>Znojmo|Czech|16,048798|48,855499|+1:00 Europe</v>
      </c>
      <c r="M631" s="10" t="s">
        <v>3099</v>
      </c>
      <c r="N631" s="10">
        <f t="shared" si="45"/>
        <v>0</v>
      </c>
      <c r="O631" t="str">
        <f t="shared" si="49"/>
        <v/>
      </c>
      <c r="P631" t="str">
        <f>IF(O631=1,COUNTIF($O$2:O631,1),"")</f>
        <v/>
      </c>
      <c r="Q631" t="str">
        <f>IFERROR(INDEX($M$2:$M$2388,MATCH(ROWS($P$2:P631),$P$2:$P$2388,0)),"")</f>
        <v/>
      </c>
    </row>
    <row r="632" spans="1:17" ht="15" x14ac:dyDescent="0.25">
      <c r="A632" s="10">
        <v>624</v>
      </c>
      <c r="B632" s="10" t="s">
        <v>3100</v>
      </c>
      <c r="C632" s="880">
        <f t="shared" si="46"/>
        <v>18.092400000000001</v>
      </c>
      <c r="D632" s="880">
        <f t="shared" si="47"/>
        <v>49.466000000000001</v>
      </c>
      <c r="E632" s="10">
        <v>18.092485</v>
      </c>
      <c r="F632" s="10">
        <v>49.466025999999999</v>
      </c>
      <c r="G632" s="10">
        <v>1</v>
      </c>
      <c r="H632" s="10" t="s">
        <v>1670</v>
      </c>
      <c r="I632" s="10" t="s">
        <v>3088</v>
      </c>
      <c r="J632" s="10" t="s">
        <v>3089</v>
      </c>
      <c r="K632" s="10" t="s">
        <v>3090</v>
      </c>
      <c r="L632" s="65" t="str">
        <f t="shared" si="48"/>
        <v>Zubri|Czech|18,092485|49,466026|+1:00 Europe</v>
      </c>
      <c r="M632" s="10" t="s">
        <v>3101</v>
      </c>
      <c r="N632" s="10">
        <f t="shared" si="45"/>
        <v>0</v>
      </c>
      <c r="O632" t="str">
        <f t="shared" si="49"/>
        <v/>
      </c>
      <c r="P632" t="str">
        <f>IF(O632=1,COUNTIF($O$2:O632,1),"")</f>
        <v/>
      </c>
      <c r="Q632" t="str">
        <f>IFERROR(INDEX($M$2:$M$2388,MATCH(ROWS($P$2:P632),$P$2:$P$2388,0)),"")</f>
        <v/>
      </c>
    </row>
    <row r="633" spans="1:17" ht="15" x14ac:dyDescent="0.25">
      <c r="A633" s="10">
        <v>314</v>
      </c>
      <c r="B633" s="10" t="s">
        <v>3102</v>
      </c>
      <c r="C633" s="880">
        <f t="shared" si="46"/>
        <v>28.860800000000001</v>
      </c>
      <c r="D633" s="880">
        <f t="shared" si="47"/>
        <v>-2.5083000000000002</v>
      </c>
      <c r="E633" s="10">
        <v>28.860834000000001</v>
      </c>
      <c r="F633" s="10">
        <v>-2.5083329999999999</v>
      </c>
      <c r="G633" s="10">
        <v>2</v>
      </c>
      <c r="H633" s="10" t="s">
        <v>1938</v>
      </c>
      <c r="I633" s="10" t="s">
        <v>3103</v>
      </c>
      <c r="J633" s="10" t="s">
        <v>3104</v>
      </c>
      <c r="K633" s="10" t="s">
        <v>3105</v>
      </c>
      <c r="L633" s="65" t="str">
        <f t="shared" si="48"/>
        <v>Bukavu|Democratic Republic of the Congo|28,860834|-2,508333|+2:00 Africa</v>
      </c>
      <c r="M633" s="10" t="s">
        <v>3106</v>
      </c>
      <c r="N633" s="10">
        <f t="shared" si="45"/>
        <v>0</v>
      </c>
      <c r="O633" t="str">
        <f t="shared" si="49"/>
        <v/>
      </c>
      <c r="P633" t="str">
        <f>IF(O633=1,COUNTIF($O$2:O633,1),"")</f>
        <v/>
      </c>
      <c r="Q633" t="str">
        <f>IFERROR(INDEX($M$2:$M$2388,MATCH(ROWS($P$2:P633),$P$2:$P$2388,0)),"")</f>
        <v/>
      </c>
    </row>
    <row r="634" spans="1:17" ht="15" x14ac:dyDescent="0.25">
      <c r="A634" s="10">
        <v>313</v>
      </c>
      <c r="B634" s="10" t="s">
        <v>3107</v>
      </c>
      <c r="C634" s="880">
        <f t="shared" si="46"/>
        <v>22.4177</v>
      </c>
      <c r="D634" s="880">
        <f t="shared" si="47"/>
        <v>-5.8958000000000004</v>
      </c>
      <c r="E634" s="10">
        <v>22.417777999999998</v>
      </c>
      <c r="F634" s="10">
        <v>-5.8958329999999997</v>
      </c>
      <c r="G634" s="10">
        <v>2</v>
      </c>
      <c r="H634" s="10" t="s">
        <v>1938</v>
      </c>
      <c r="I634" s="10" t="s">
        <v>3103</v>
      </c>
      <c r="J634" s="10" t="s">
        <v>3104</v>
      </c>
      <c r="K634" s="10" t="s">
        <v>3105</v>
      </c>
      <c r="L634" s="65" t="str">
        <f t="shared" si="48"/>
        <v>Kananga|Democratic Republic of the Congo|22,417778|-5,895833|+2:00 Africa</v>
      </c>
      <c r="M634" s="10" t="s">
        <v>3108</v>
      </c>
      <c r="N634" s="10">
        <f t="shared" si="45"/>
        <v>0</v>
      </c>
      <c r="O634" t="str">
        <f t="shared" si="49"/>
        <v/>
      </c>
      <c r="P634" t="str">
        <f>IF(O634=1,COUNTIF($O$2:O634,1),"")</f>
        <v/>
      </c>
      <c r="Q634" t="str">
        <f>IFERROR(INDEX($M$2:$M$2388,MATCH(ROWS($P$2:P634),$P$2:$P$2388,0)),"")</f>
        <v/>
      </c>
    </row>
    <row r="635" spans="1:17" ht="15" x14ac:dyDescent="0.25">
      <c r="A635" s="10">
        <v>318</v>
      </c>
      <c r="B635" s="10" t="s">
        <v>3109</v>
      </c>
      <c r="C635" s="880">
        <f t="shared" si="46"/>
        <v>15.315</v>
      </c>
      <c r="D635" s="880">
        <f t="shared" si="47"/>
        <v>-4.3296999999999999</v>
      </c>
      <c r="E635" s="10">
        <v>15.315</v>
      </c>
      <c r="F635" s="10">
        <v>-4.3297220000000003</v>
      </c>
      <c r="G635" s="10">
        <v>1</v>
      </c>
      <c r="H635" s="10" t="s">
        <v>1670</v>
      </c>
      <c r="I635" s="10" t="s">
        <v>3103</v>
      </c>
      <c r="J635" s="10" t="s">
        <v>3104</v>
      </c>
      <c r="K635" s="10" t="s">
        <v>3110</v>
      </c>
      <c r="L635" s="65" t="str">
        <f t="shared" si="48"/>
        <v>Kinshasa|Democratic Republic of the Congo|15,315000|-4,329722|+1:00 Africa</v>
      </c>
      <c r="M635" s="10" t="s">
        <v>3111</v>
      </c>
      <c r="N635" s="10">
        <f t="shared" si="45"/>
        <v>0</v>
      </c>
      <c r="O635" t="str">
        <f t="shared" si="49"/>
        <v/>
      </c>
      <c r="P635" t="str">
        <f>IF(O635=1,COUNTIF($O$2:O635,1),"")</f>
        <v/>
      </c>
      <c r="Q635" t="str">
        <f>IFERROR(INDEX($M$2:$M$2388,MATCH(ROWS($P$2:P635),$P$2:$P$2388,0)),"")</f>
        <v/>
      </c>
    </row>
    <row r="636" spans="1:17" ht="15" x14ac:dyDescent="0.25">
      <c r="A636" s="10">
        <v>312</v>
      </c>
      <c r="B636" s="10" t="s">
        <v>3112</v>
      </c>
      <c r="C636" s="880">
        <f t="shared" si="46"/>
        <v>25.2</v>
      </c>
      <c r="D636" s="880">
        <f t="shared" si="47"/>
        <v>0.51659999999999995</v>
      </c>
      <c r="E636" s="10">
        <v>25.200001</v>
      </c>
      <c r="F636" s="10">
        <v>0.51666699999999999</v>
      </c>
      <c r="G636" s="10">
        <v>2</v>
      </c>
      <c r="H636" s="10" t="s">
        <v>1938</v>
      </c>
      <c r="I636" s="10" t="s">
        <v>3103</v>
      </c>
      <c r="J636" s="10" t="s">
        <v>3104</v>
      </c>
      <c r="K636" s="10" t="s">
        <v>3105</v>
      </c>
      <c r="L636" s="65" t="str">
        <f t="shared" si="48"/>
        <v>Kisangani|Democratic Republic of the Congo|25,200001|0,516667|+2:00 Africa</v>
      </c>
      <c r="M636" s="10" t="s">
        <v>3113</v>
      </c>
      <c r="N636" s="10">
        <f t="shared" si="45"/>
        <v>0</v>
      </c>
      <c r="O636" t="str">
        <f t="shared" si="49"/>
        <v/>
      </c>
      <c r="P636" t="str">
        <f>IF(O636=1,COUNTIF($O$2:O636,1),"")</f>
        <v/>
      </c>
      <c r="Q636" t="str">
        <f>IFERROR(INDEX($M$2:$M$2388,MATCH(ROWS($P$2:P636),$P$2:$P$2388,0)),"")</f>
        <v/>
      </c>
    </row>
    <row r="637" spans="1:17" ht="15" x14ac:dyDescent="0.25">
      <c r="A637" s="10">
        <v>317</v>
      </c>
      <c r="B637" s="10" t="s">
        <v>3114</v>
      </c>
      <c r="C637" s="880">
        <f t="shared" si="46"/>
        <v>25.4725</v>
      </c>
      <c r="D637" s="880">
        <f t="shared" si="47"/>
        <v>-10.7166</v>
      </c>
      <c r="E637" s="10">
        <v>25.4725</v>
      </c>
      <c r="F637" s="10">
        <v>-10.716666999999999</v>
      </c>
      <c r="G637" s="10">
        <v>2</v>
      </c>
      <c r="H637" s="10" t="s">
        <v>1938</v>
      </c>
      <c r="I637" s="10" t="s">
        <v>3103</v>
      </c>
      <c r="J637" s="10" t="s">
        <v>3104</v>
      </c>
      <c r="K637" s="10" t="s">
        <v>3105</v>
      </c>
      <c r="L637" s="65" t="str">
        <f t="shared" si="48"/>
        <v>Kolwezi|Democratic Republic of the Congo|25,472500|-10,716667|+2:00 Africa</v>
      </c>
      <c r="M637" s="10" t="s">
        <v>3115</v>
      </c>
      <c r="N637" s="10">
        <f t="shared" si="45"/>
        <v>0</v>
      </c>
      <c r="O637" t="str">
        <f t="shared" si="49"/>
        <v/>
      </c>
      <c r="P637" t="str">
        <f>IF(O637=1,COUNTIF($O$2:O637,1),"")</f>
        <v/>
      </c>
      <c r="Q637" t="str">
        <f>IFERROR(INDEX($M$2:$M$2388,MATCH(ROWS($P$2:P637),$P$2:$P$2388,0)),"")</f>
        <v/>
      </c>
    </row>
    <row r="638" spans="1:17" ht="15" x14ac:dyDescent="0.25">
      <c r="A638" s="10">
        <v>316</v>
      </c>
      <c r="B638" s="10" t="s">
        <v>3116</v>
      </c>
      <c r="C638" s="880">
        <f t="shared" si="46"/>
        <v>26.7333</v>
      </c>
      <c r="D638" s="880">
        <f t="shared" si="47"/>
        <v>-10.981299999999999</v>
      </c>
      <c r="E638" s="10">
        <v>26.733333999999999</v>
      </c>
      <c r="F638" s="10">
        <v>-10.981389</v>
      </c>
      <c r="G638" s="10">
        <v>2</v>
      </c>
      <c r="H638" s="10" t="s">
        <v>1938</v>
      </c>
      <c r="I638" s="10" t="s">
        <v>3103</v>
      </c>
      <c r="J638" s="10" t="s">
        <v>3104</v>
      </c>
      <c r="K638" s="10" t="s">
        <v>3105</v>
      </c>
      <c r="L638" s="65" t="str">
        <f t="shared" si="48"/>
        <v>Likasi|Democratic Republic of the Congo|26,733334|-10,981389|+2:00 Africa</v>
      </c>
      <c r="M638" s="10" t="s">
        <v>3117</v>
      </c>
      <c r="N638" s="10">
        <f t="shared" si="45"/>
        <v>0</v>
      </c>
      <c r="O638" t="str">
        <f t="shared" si="49"/>
        <v/>
      </c>
      <c r="P638" t="str">
        <f>IF(O638=1,COUNTIF($O$2:O638,1),"")</f>
        <v/>
      </c>
      <c r="Q638" t="str">
        <f>IFERROR(INDEX($M$2:$M$2388,MATCH(ROWS($P$2:P638),$P$2:$P$2388,0)),"")</f>
        <v/>
      </c>
    </row>
    <row r="639" spans="1:17" ht="15" x14ac:dyDescent="0.25">
      <c r="A639" s="10">
        <v>315</v>
      </c>
      <c r="B639" s="10" t="s">
        <v>3118</v>
      </c>
      <c r="C639" s="880">
        <f t="shared" si="46"/>
        <v>27.4666</v>
      </c>
      <c r="D639" s="880">
        <f t="shared" si="47"/>
        <v>-11.666600000000001</v>
      </c>
      <c r="E639" s="10">
        <v>27.466667000000001</v>
      </c>
      <c r="F639" s="10">
        <v>-11.666667</v>
      </c>
      <c r="G639" s="10">
        <v>2</v>
      </c>
      <c r="H639" s="10" t="s">
        <v>1938</v>
      </c>
      <c r="I639" s="10" t="s">
        <v>3103</v>
      </c>
      <c r="J639" s="10" t="s">
        <v>3104</v>
      </c>
      <c r="K639" s="10" t="s">
        <v>3105</v>
      </c>
      <c r="L639" s="65" t="str">
        <f t="shared" si="48"/>
        <v>Lubumbashi|Democratic Republic of the Congo|27,466667|-11,666667|+2:00 Africa</v>
      </c>
      <c r="M639" s="10" t="s">
        <v>3119</v>
      </c>
      <c r="N639" s="10">
        <f t="shared" si="45"/>
        <v>0</v>
      </c>
      <c r="O639" t="str">
        <f t="shared" si="49"/>
        <v/>
      </c>
      <c r="P639" t="str">
        <f>IF(O639=1,COUNTIF($O$2:O639,1),"")</f>
        <v/>
      </c>
      <c r="Q639" t="str">
        <f>IFERROR(INDEX($M$2:$M$2388,MATCH(ROWS($P$2:P639),$P$2:$P$2388,0)),"")</f>
        <v/>
      </c>
    </row>
    <row r="640" spans="1:17" ht="15" x14ac:dyDescent="0.25">
      <c r="A640" s="10">
        <v>319</v>
      </c>
      <c r="B640" s="10" t="s">
        <v>3120</v>
      </c>
      <c r="C640" s="880">
        <f t="shared" si="46"/>
        <v>15.391299999999999</v>
      </c>
      <c r="D640" s="880">
        <f t="shared" si="47"/>
        <v>-4.3836000000000004</v>
      </c>
      <c r="E640" s="10">
        <v>15.391389</v>
      </c>
      <c r="F640" s="10">
        <v>-4.3836110000000001</v>
      </c>
      <c r="G640" s="10">
        <v>1</v>
      </c>
      <c r="H640" s="10" t="s">
        <v>1670</v>
      </c>
      <c r="I640" s="10" t="s">
        <v>3103</v>
      </c>
      <c r="J640" s="10" t="s">
        <v>3104</v>
      </c>
      <c r="K640" s="10" t="s">
        <v>3110</v>
      </c>
      <c r="L640" s="65" t="str">
        <f t="shared" si="48"/>
        <v>Masina|Democratic Republic of the Congo|15,391389|-4,383611|+1:00 Africa</v>
      </c>
      <c r="M640" s="10" t="s">
        <v>3121</v>
      </c>
      <c r="N640" s="10">
        <f t="shared" si="45"/>
        <v>0</v>
      </c>
      <c r="O640" t="str">
        <f t="shared" si="49"/>
        <v/>
      </c>
      <c r="P640" t="str">
        <f>IF(O640=1,COUNTIF($O$2:O640,1),"")</f>
        <v/>
      </c>
      <c r="Q640" t="str">
        <f>IFERROR(INDEX($M$2:$M$2388,MATCH(ROWS($P$2:P640),$P$2:$P$2388,0)),"")</f>
        <v/>
      </c>
    </row>
    <row r="641" spans="1:17" ht="15" x14ac:dyDescent="0.25">
      <c r="A641" s="10">
        <v>311</v>
      </c>
      <c r="B641" s="10" t="s">
        <v>3122</v>
      </c>
      <c r="C641" s="880">
        <f t="shared" si="46"/>
        <v>23.6</v>
      </c>
      <c r="D641" s="880">
        <f t="shared" si="47"/>
        <v>-6.15</v>
      </c>
      <c r="E641" s="10">
        <v>23.6</v>
      </c>
      <c r="F641" s="10">
        <v>-6.15</v>
      </c>
      <c r="G641" s="10">
        <v>2</v>
      </c>
      <c r="H641" s="10" t="s">
        <v>1938</v>
      </c>
      <c r="I641" s="10" t="s">
        <v>3103</v>
      </c>
      <c r="J641" s="10" t="s">
        <v>3104</v>
      </c>
      <c r="K641" s="10" t="s">
        <v>3105</v>
      </c>
      <c r="L641" s="65" t="str">
        <f t="shared" si="48"/>
        <v>Mbuji-Mayi|Democratic Republic of the Congo|23,600000|-6,150000|+2:00 Africa</v>
      </c>
      <c r="M641" s="10" t="s">
        <v>3123</v>
      </c>
      <c r="N641" s="10">
        <f t="shared" si="45"/>
        <v>0</v>
      </c>
      <c r="O641" t="str">
        <f t="shared" si="49"/>
        <v/>
      </c>
      <c r="P641" t="str">
        <f>IF(O641=1,COUNTIF($O$2:O641,1),"")</f>
        <v/>
      </c>
      <c r="Q641" t="str">
        <f>IFERROR(INDEX($M$2:$M$2388,MATCH(ROWS($P$2:P641),$P$2:$P$2388,0)),"")</f>
        <v/>
      </c>
    </row>
    <row r="642" spans="1:17" ht="15" x14ac:dyDescent="0.25">
      <c r="A642" s="10">
        <v>310</v>
      </c>
      <c r="B642" s="10" t="s">
        <v>3124</v>
      </c>
      <c r="C642" s="880">
        <f t="shared" si="46"/>
        <v>20.799900000000001</v>
      </c>
      <c r="D642" s="880">
        <f t="shared" si="47"/>
        <v>-6.4165999999999999</v>
      </c>
      <c r="E642" s="10">
        <v>20.799999</v>
      </c>
      <c r="F642" s="10">
        <v>-6.4166670000000003</v>
      </c>
      <c r="G642" s="10">
        <v>2</v>
      </c>
      <c r="H642" s="10" t="s">
        <v>1938</v>
      </c>
      <c r="I642" s="10" t="s">
        <v>3103</v>
      </c>
      <c r="J642" s="10" t="s">
        <v>3104</v>
      </c>
      <c r="K642" s="10" t="s">
        <v>3105</v>
      </c>
      <c r="L642" s="65" t="str">
        <f t="shared" si="48"/>
        <v>Tshikapa|Democratic Republic of the Congo|20,799999|-6,416667|+2:00 Africa</v>
      </c>
      <c r="M642" s="10" t="s">
        <v>3125</v>
      </c>
      <c r="N642" s="10">
        <f t="shared" ref="N642:N705" si="50">--ISNUMBER(IFERROR(SEARCH($R$2,J642,1),""))</f>
        <v>0</v>
      </c>
      <c r="O642" t="str">
        <f t="shared" si="49"/>
        <v/>
      </c>
      <c r="P642" t="str">
        <f>IF(O642=1,COUNTIF($O$2:O642,1),"")</f>
        <v/>
      </c>
      <c r="Q642" t="str">
        <f>IFERROR(INDEX($M$2:$M$2388,MATCH(ROWS($P$2:P642),$P$2:$P$2388,0)),"")</f>
        <v/>
      </c>
    </row>
    <row r="643" spans="1:17" ht="15" x14ac:dyDescent="0.25">
      <c r="A643" s="10">
        <v>309</v>
      </c>
      <c r="B643" s="10" t="s">
        <v>3126</v>
      </c>
      <c r="C643" s="880">
        <f t="shared" ref="C643:C706" si="51">TRUNC(E643,4)</f>
        <v>28</v>
      </c>
      <c r="D643" s="880">
        <f t="shared" ref="D643:D706" si="52">TRUNC(F643,4)</f>
        <v>2.15</v>
      </c>
      <c r="E643" s="10">
        <v>28</v>
      </c>
      <c r="F643" s="10">
        <v>2.15</v>
      </c>
      <c r="G643" s="10">
        <v>2</v>
      </c>
      <c r="H643" s="10" t="s">
        <v>1938</v>
      </c>
      <c r="I643" s="10" t="s">
        <v>3103</v>
      </c>
      <c r="J643" s="10" t="s">
        <v>3104</v>
      </c>
      <c r="K643" s="10" t="s">
        <v>3105</v>
      </c>
      <c r="L643" s="65" t="str">
        <f t="shared" ref="L643:L706" si="53">MID(M643,1,LEN(M643)-(LEN(K643)-SEARCH("/",K643)+1))</f>
        <v>Wamba|Democratic Republic of the Congo|28,000000|2,150000|+2:00 Africa</v>
      </c>
      <c r="M643" s="10" t="s">
        <v>3127</v>
      </c>
      <c r="N643" s="10">
        <f t="shared" si="50"/>
        <v>0</v>
      </c>
      <c r="O643" t="str">
        <f t="shared" ref="O643:O706" si="54">IF(N643=0,"",--ISNUMBER(IFERROR(SEARCH($U$2,L643,1),"")))</f>
        <v/>
      </c>
      <c r="P643" t="str">
        <f>IF(O643=1,COUNTIF($O$2:O643,1),"")</f>
        <v/>
      </c>
      <c r="Q643" t="str">
        <f>IFERROR(INDEX($M$2:$M$2388,MATCH(ROWS($P$2:P643),$P$2:$P$2388,0)),"")</f>
        <v/>
      </c>
    </row>
    <row r="644" spans="1:17" ht="15" x14ac:dyDescent="0.25">
      <c r="A644" s="10">
        <v>308</v>
      </c>
      <c r="B644" s="10" t="s">
        <v>3128</v>
      </c>
      <c r="C644" s="880">
        <f t="shared" si="51"/>
        <v>29.533300000000001</v>
      </c>
      <c r="D644" s="880">
        <f t="shared" si="52"/>
        <v>3.05</v>
      </c>
      <c r="E644" s="10">
        <v>29.533332999999999</v>
      </c>
      <c r="F644" s="10">
        <v>3.05</v>
      </c>
      <c r="G644" s="10">
        <v>2</v>
      </c>
      <c r="H644" s="10" t="s">
        <v>1938</v>
      </c>
      <c r="I644" s="10" t="s">
        <v>3103</v>
      </c>
      <c r="J644" s="10" t="s">
        <v>3104</v>
      </c>
      <c r="K644" s="10" t="s">
        <v>3105</v>
      </c>
      <c r="L644" s="65" t="str">
        <f t="shared" si="53"/>
        <v>Watsa|Democratic Republic of the Congo|29,533333|3,050000|+2:00 Africa</v>
      </c>
      <c r="M644" s="10" t="s">
        <v>3129</v>
      </c>
      <c r="N644" s="10">
        <f t="shared" si="50"/>
        <v>0</v>
      </c>
      <c r="O644" t="str">
        <f t="shared" si="54"/>
        <v/>
      </c>
      <c r="P644" t="str">
        <f>IF(O644=1,COUNTIF($O$2:O644,1),"")</f>
        <v/>
      </c>
      <c r="Q644" t="str">
        <f>IFERROR(INDEX($M$2:$M$2388,MATCH(ROWS($P$2:P644),$P$2:$P$2388,0)),"")</f>
        <v/>
      </c>
    </row>
    <row r="645" spans="1:17" ht="15" x14ac:dyDescent="0.25">
      <c r="A645" s="10">
        <v>307</v>
      </c>
      <c r="B645" s="10" t="s">
        <v>3130</v>
      </c>
      <c r="C645" s="880">
        <f t="shared" si="51"/>
        <v>24.4666</v>
      </c>
      <c r="D645" s="880">
        <f t="shared" si="52"/>
        <v>0.7833</v>
      </c>
      <c r="E645" s="10">
        <v>24.466667000000001</v>
      </c>
      <c r="F645" s="10">
        <v>0.78333299999999995</v>
      </c>
      <c r="G645" s="10">
        <v>2</v>
      </c>
      <c r="H645" s="10" t="s">
        <v>1938</v>
      </c>
      <c r="I645" s="10" t="s">
        <v>3103</v>
      </c>
      <c r="J645" s="10" t="s">
        <v>3104</v>
      </c>
      <c r="K645" s="10" t="s">
        <v>3105</v>
      </c>
      <c r="L645" s="65" t="str">
        <f t="shared" si="53"/>
        <v>Yangambi|Democratic Republic of the Congo|24,466667|0,783333|+2:00 Africa</v>
      </c>
      <c r="M645" s="10" t="s">
        <v>3131</v>
      </c>
      <c r="N645" s="10">
        <f t="shared" si="50"/>
        <v>0</v>
      </c>
      <c r="O645" t="str">
        <f t="shared" si="54"/>
        <v/>
      </c>
      <c r="P645" t="str">
        <f>IF(O645=1,COUNTIF($O$2:O645,1),"")</f>
        <v/>
      </c>
      <c r="Q645" t="str">
        <f>IFERROR(INDEX($M$2:$M$2388,MATCH(ROWS($P$2:P645),$P$2:$P$2388,0)),"")</f>
        <v/>
      </c>
    </row>
    <row r="646" spans="1:17" ht="15" x14ac:dyDescent="0.25">
      <c r="A646" s="10">
        <v>678</v>
      </c>
      <c r="B646" s="10" t="s">
        <v>3132</v>
      </c>
      <c r="C646" s="880">
        <f t="shared" si="51"/>
        <v>10.2166</v>
      </c>
      <c r="D646" s="880">
        <f t="shared" si="52"/>
        <v>56.15</v>
      </c>
      <c r="E646" s="10">
        <v>10.216666999999999</v>
      </c>
      <c r="F646" s="10">
        <v>56.150002000000001</v>
      </c>
      <c r="G646" s="10">
        <v>1</v>
      </c>
      <c r="H646" s="10" t="s">
        <v>1670</v>
      </c>
      <c r="I646" s="10" t="s">
        <v>3133</v>
      </c>
      <c r="J646" s="10" t="s">
        <v>3134</v>
      </c>
      <c r="K646" s="10" t="s">
        <v>3135</v>
      </c>
      <c r="L646" s="65" t="str">
        <f t="shared" si="53"/>
        <v>Arhus|Denmark|10,216667|56,150002|+1:00 Europe</v>
      </c>
      <c r="M646" s="10" t="s">
        <v>3136</v>
      </c>
      <c r="N646" s="10">
        <f t="shared" si="50"/>
        <v>0</v>
      </c>
      <c r="O646" t="str">
        <f t="shared" si="54"/>
        <v/>
      </c>
      <c r="P646" t="str">
        <f>IF(O646=1,COUNTIF($O$2:O646,1),"")</f>
        <v/>
      </c>
      <c r="Q646" t="str">
        <f>IFERROR(INDEX($M$2:$M$2388,MATCH(ROWS($P$2:P646),$P$2:$P$2388,0)),"")</f>
        <v/>
      </c>
    </row>
    <row r="647" spans="1:17" ht="15" x14ac:dyDescent="0.25">
      <c r="A647" s="10">
        <v>677</v>
      </c>
      <c r="B647" s="10" t="s">
        <v>3137</v>
      </c>
      <c r="C647" s="880">
        <f t="shared" si="51"/>
        <v>12.583299999999999</v>
      </c>
      <c r="D647" s="880">
        <f t="shared" si="52"/>
        <v>55.666600000000003</v>
      </c>
      <c r="E647" s="10">
        <v>12.583333</v>
      </c>
      <c r="F647" s="10">
        <v>55.666668000000001</v>
      </c>
      <c r="G647" s="10">
        <v>1</v>
      </c>
      <c r="H647" s="10" t="s">
        <v>1670</v>
      </c>
      <c r="I647" s="10" t="s">
        <v>3133</v>
      </c>
      <c r="J647" s="10" t="s">
        <v>3134</v>
      </c>
      <c r="K647" s="10" t="s">
        <v>3135</v>
      </c>
      <c r="L647" s="65" t="str">
        <f t="shared" si="53"/>
        <v>Copenhagen|Denmark|12,583333|55,666668|+1:00 Europe</v>
      </c>
      <c r="M647" s="10" t="s">
        <v>3138</v>
      </c>
      <c r="N647" s="10">
        <f t="shared" si="50"/>
        <v>0</v>
      </c>
      <c r="O647" t="str">
        <f t="shared" si="54"/>
        <v/>
      </c>
      <c r="P647" t="str">
        <f>IF(O647=1,COUNTIF($O$2:O647,1),"")</f>
        <v/>
      </c>
      <c r="Q647" t="str">
        <f>IFERROR(INDEX($M$2:$M$2388,MATCH(ROWS($P$2:P647),$P$2:$P$2388,0)),"")</f>
        <v/>
      </c>
    </row>
    <row r="648" spans="1:17" ht="15" x14ac:dyDescent="0.25">
      <c r="A648" s="10">
        <v>676</v>
      </c>
      <c r="B648" s="10" t="s">
        <v>3139</v>
      </c>
      <c r="C648" s="880">
        <f t="shared" si="51"/>
        <v>9.5333000000000006</v>
      </c>
      <c r="D648" s="880">
        <f t="shared" si="52"/>
        <v>55.7</v>
      </c>
      <c r="E648" s="10">
        <v>9.5333330000000007</v>
      </c>
      <c r="F648" s="10">
        <v>55.700001</v>
      </c>
      <c r="G648" s="10">
        <v>1</v>
      </c>
      <c r="H648" s="10" t="s">
        <v>1670</v>
      </c>
      <c r="I648" s="10" t="s">
        <v>3133</v>
      </c>
      <c r="J648" s="10" t="s">
        <v>3134</v>
      </c>
      <c r="K648" s="10" t="s">
        <v>3135</v>
      </c>
      <c r="L648" s="65" t="str">
        <f t="shared" si="53"/>
        <v>Vejle|Denmark|9,533333|55,700001|+1:00 Europe</v>
      </c>
      <c r="M648" s="10" t="s">
        <v>3140</v>
      </c>
      <c r="N648" s="10">
        <f t="shared" si="50"/>
        <v>0</v>
      </c>
      <c r="O648" t="str">
        <f t="shared" si="54"/>
        <v/>
      </c>
      <c r="P648" t="str">
        <f>IF(O648=1,COUNTIF($O$2:O648,1),"")</f>
        <v/>
      </c>
      <c r="Q648" t="str">
        <f>IFERROR(INDEX($M$2:$M$2388,MATCH(ROWS($P$2:P648),$P$2:$P$2388,0)),"")</f>
        <v/>
      </c>
    </row>
    <row r="649" spans="1:17" ht="15" x14ac:dyDescent="0.25">
      <c r="A649" s="10">
        <v>675</v>
      </c>
      <c r="B649" s="10" t="s">
        <v>3141</v>
      </c>
      <c r="C649" s="880">
        <f t="shared" si="51"/>
        <v>9.3165999999999993</v>
      </c>
      <c r="D649" s="880">
        <f t="shared" si="52"/>
        <v>55.25</v>
      </c>
      <c r="E649" s="10">
        <v>9.3166670000000007</v>
      </c>
      <c r="F649" s="10">
        <v>55.25</v>
      </c>
      <c r="G649" s="10">
        <v>1</v>
      </c>
      <c r="H649" s="10" t="s">
        <v>1670</v>
      </c>
      <c r="I649" s="10" t="s">
        <v>3133</v>
      </c>
      <c r="J649" s="10" t="s">
        <v>3134</v>
      </c>
      <c r="K649" s="10" t="s">
        <v>3135</v>
      </c>
      <c r="L649" s="65" t="str">
        <f t="shared" si="53"/>
        <v>Vojens|Denmark|9,316667|55,250000|+1:00 Europe</v>
      </c>
      <c r="M649" s="10" t="s">
        <v>3142</v>
      </c>
      <c r="N649" s="10">
        <f t="shared" si="50"/>
        <v>0</v>
      </c>
      <c r="O649" t="str">
        <f t="shared" si="54"/>
        <v/>
      </c>
      <c r="P649" t="str">
        <f>IF(O649=1,COUNTIF($O$2:O649,1),"")</f>
        <v/>
      </c>
      <c r="Q649" t="str">
        <f>IFERROR(INDEX($M$2:$M$2388,MATCH(ROWS($P$2:P649),$P$2:$P$2388,0)),"")</f>
        <v/>
      </c>
    </row>
    <row r="650" spans="1:17" ht="15" x14ac:dyDescent="0.25">
      <c r="A650" s="10">
        <v>674</v>
      </c>
      <c r="B650" s="10" t="s">
        <v>3143</v>
      </c>
      <c r="C650" s="880">
        <f t="shared" si="51"/>
        <v>11.916600000000001</v>
      </c>
      <c r="D650" s="880">
        <f t="shared" si="52"/>
        <v>55.016599999999997</v>
      </c>
      <c r="E650" s="10">
        <v>11.916667</v>
      </c>
      <c r="F650" s="10">
        <v>55.016666000000001</v>
      </c>
      <c r="G650" s="10">
        <v>1</v>
      </c>
      <c r="H650" s="10" t="s">
        <v>1670</v>
      </c>
      <c r="I650" s="10" t="s">
        <v>3133</v>
      </c>
      <c r="J650" s="10" t="s">
        <v>3134</v>
      </c>
      <c r="K650" s="10" t="s">
        <v>3135</v>
      </c>
      <c r="L650" s="65" t="str">
        <f t="shared" si="53"/>
        <v>Vordingborg|Denmark|11,916667|55,016666|+1:00 Europe</v>
      </c>
      <c r="M650" s="10" t="s">
        <v>3144</v>
      </c>
      <c r="N650" s="10">
        <f t="shared" si="50"/>
        <v>0</v>
      </c>
      <c r="O650" t="str">
        <f t="shared" si="54"/>
        <v/>
      </c>
      <c r="P650" t="str">
        <f>IF(O650=1,COUNTIF($O$2:O650,1),"")</f>
        <v/>
      </c>
      <c r="Q650" t="str">
        <f>IFERROR(INDEX($M$2:$M$2388,MATCH(ROWS($P$2:P650),$P$2:$P$2388,0)),"")</f>
        <v/>
      </c>
    </row>
    <row r="651" spans="1:17" ht="15" x14ac:dyDescent="0.25">
      <c r="A651" s="10">
        <v>673</v>
      </c>
      <c r="B651" s="10" t="s">
        <v>3145</v>
      </c>
      <c r="C651" s="880">
        <f t="shared" si="51"/>
        <v>43.148000000000003</v>
      </c>
      <c r="D651" s="880">
        <f t="shared" si="52"/>
        <v>11.595000000000001</v>
      </c>
      <c r="E651" s="10">
        <v>43.148055999999997</v>
      </c>
      <c r="F651" s="10">
        <v>11.595000000000001</v>
      </c>
      <c r="G651" s="10">
        <v>3</v>
      </c>
      <c r="H651" s="10" t="s">
        <v>1883</v>
      </c>
      <c r="I651" s="10" t="s">
        <v>3146</v>
      </c>
      <c r="J651" s="10" t="s">
        <v>3147</v>
      </c>
      <c r="K651" s="10" t="s">
        <v>3148</v>
      </c>
      <c r="L651" s="65" t="str">
        <f t="shared" si="53"/>
        <v>Djibouti|Djibouty|43,148056|11,595000|+3:00 Africa</v>
      </c>
      <c r="M651" s="10" t="s">
        <v>3149</v>
      </c>
      <c r="N651" s="10">
        <f t="shared" si="50"/>
        <v>0</v>
      </c>
      <c r="O651" t="str">
        <f t="shared" si="54"/>
        <v/>
      </c>
      <c r="P651" t="str">
        <f>IF(O651=1,COUNTIF($O$2:O651,1),"")</f>
        <v/>
      </c>
      <c r="Q651" t="str">
        <f>IFERROR(INDEX($M$2:$M$2388,MATCH(ROWS($P$2:P651),$P$2:$P$2388,0)),"")</f>
        <v/>
      </c>
    </row>
    <row r="652" spans="1:17" ht="15" x14ac:dyDescent="0.25">
      <c r="A652" s="10">
        <v>672</v>
      </c>
      <c r="B652" s="10" t="s">
        <v>3150</v>
      </c>
      <c r="C652" s="880">
        <f t="shared" si="51"/>
        <v>43.290500000000002</v>
      </c>
      <c r="D652" s="880">
        <f t="shared" si="52"/>
        <v>11.962999999999999</v>
      </c>
      <c r="E652" s="10">
        <v>43.290554</v>
      </c>
      <c r="F652" s="10">
        <v>11.963056</v>
      </c>
      <c r="G652" s="10">
        <v>3</v>
      </c>
      <c r="H652" s="10" t="s">
        <v>1883</v>
      </c>
      <c r="I652" s="10" t="s">
        <v>3146</v>
      </c>
      <c r="J652" s="10" t="s">
        <v>3147</v>
      </c>
      <c r="K652" s="10" t="s">
        <v>3148</v>
      </c>
      <c r="L652" s="65" t="str">
        <f t="shared" si="53"/>
        <v>Obock|Djibouty|43,290554|11,963056|+3:00 Africa</v>
      </c>
      <c r="M652" s="10" t="s">
        <v>3151</v>
      </c>
      <c r="N652" s="10">
        <f t="shared" si="50"/>
        <v>0</v>
      </c>
      <c r="O652" t="str">
        <f t="shared" si="54"/>
        <v/>
      </c>
      <c r="P652" t="str">
        <f>IF(O652=1,COUNTIF($O$2:O652,1),"")</f>
        <v/>
      </c>
      <c r="Q652" t="str">
        <f>IFERROR(INDEX($M$2:$M$2388,MATCH(ROWS($P$2:P652),$P$2:$P$2388,0)),"")</f>
        <v/>
      </c>
    </row>
    <row r="653" spans="1:17" ht="15" x14ac:dyDescent="0.25">
      <c r="A653" s="10">
        <v>671</v>
      </c>
      <c r="B653" s="10" t="s">
        <v>3152</v>
      </c>
      <c r="C653" s="880">
        <f t="shared" si="51"/>
        <v>42.884399999999999</v>
      </c>
      <c r="D653" s="880">
        <f t="shared" si="52"/>
        <v>11.7852</v>
      </c>
      <c r="E653" s="10">
        <v>42.884444999999999</v>
      </c>
      <c r="F653" s="10">
        <v>11.785277000000001</v>
      </c>
      <c r="G653" s="10">
        <v>3</v>
      </c>
      <c r="H653" s="10" t="s">
        <v>1883</v>
      </c>
      <c r="I653" s="10" t="s">
        <v>3146</v>
      </c>
      <c r="J653" s="10" t="s">
        <v>3147</v>
      </c>
      <c r="K653" s="10" t="s">
        <v>3148</v>
      </c>
      <c r="L653" s="65" t="str">
        <f t="shared" si="53"/>
        <v>Tadjoura|Djibouty|42,884445|11,785277|+3:00 Africa</v>
      </c>
      <c r="M653" s="10" t="s">
        <v>3153</v>
      </c>
      <c r="N653" s="10">
        <f t="shared" si="50"/>
        <v>0</v>
      </c>
      <c r="O653" t="str">
        <f t="shared" si="54"/>
        <v/>
      </c>
      <c r="P653" t="str">
        <f>IF(O653=1,COUNTIF($O$2:O653,1),"")</f>
        <v/>
      </c>
      <c r="Q653" t="str">
        <f>IFERROR(INDEX($M$2:$M$2388,MATCH(ROWS($P$2:P653),$P$2:$P$2388,0)),"")</f>
        <v/>
      </c>
    </row>
    <row r="654" spans="1:17" ht="15" x14ac:dyDescent="0.25">
      <c r="A654" s="10">
        <v>679</v>
      </c>
      <c r="B654" s="10" t="s">
        <v>3154</v>
      </c>
      <c r="C654" s="880">
        <f t="shared" si="51"/>
        <v>-61.4</v>
      </c>
      <c r="D654" s="880">
        <f t="shared" si="52"/>
        <v>15.3</v>
      </c>
      <c r="E654" s="10">
        <v>-61.400002000000001</v>
      </c>
      <c r="F654" s="10">
        <v>15.3</v>
      </c>
      <c r="G654" s="10">
        <v>-4</v>
      </c>
      <c r="H654" s="10" t="s">
        <v>1733</v>
      </c>
      <c r="I654" s="10" t="s">
        <v>3155</v>
      </c>
      <c r="J654" s="10" t="s">
        <v>3156</v>
      </c>
      <c r="K654" s="10" t="s">
        <v>3157</v>
      </c>
      <c r="L654" s="65" t="str">
        <f t="shared" si="53"/>
        <v>Roseau|Dominica|-61,400002|15,300000|-4:00 America</v>
      </c>
      <c r="M654" s="10" t="s">
        <v>3158</v>
      </c>
      <c r="N654" s="10">
        <f t="shared" si="50"/>
        <v>0</v>
      </c>
      <c r="O654" t="str">
        <f t="shared" si="54"/>
        <v/>
      </c>
      <c r="P654" t="str">
        <f>IF(O654=1,COUNTIF($O$2:O654,1),"")</f>
        <v/>
      </c>
      <c r="Q654" t="str">
        <f>IFERROR(INDEX($M$2:$M$2388,MATCH(ROWS($P$2:P654),$P$2:$P$2388,0)),"")</f>
        <v/>
      </c>
    </row>
    <row r="655" spans="1:17" ht="15" x14ac:dyDescent="0.25">
      <c r="A655" s="10">
        <v>686</v>
      </c>
      <c r="B655" s="10" t="s">
        <v>3159</v>
      </c>
      <c r="C655" s="880">
        <f t="shared" si="51"/>
        <v>-68.9666</v>
      </c>
      <c r="D655" s="880">
        <f t="shared" si="52"/>
        <v>18.416599999999999</v>
      </c>
      <c r="E655" s="10">
        <v>-68.966667000000001</v>
      </c>
      <c r="F655" s="10">
        <v>18.416665999999999</v>
      </c>
      <c r="G655" s="10">
        <v>-4</v>
      </c>
      <c r="H655" s="10" t="s">
        <v>1733</v>
      </c>
      <c r="I655" s="10" t="s">
        <v>3160</v>
      </c>
      <c r="J655" s="10" t="s">
        <v>3161</v>
      </c>
      <c r="K655" s="10" t="s">
        <v>3162</v>
      </c>
      <c r="L655" s="65" t="str">
        <f t="shared" si="53"/>
        <v>La Romana|Dominican Republic|-68,966667|18,416666|-4:00 America</v>
      </c>
      <c r="M655" s="10" t="s">
        <v>3163</v>
      </c>
      <c r="N655" s="10">
        <f t="shared" si="50"/>
        <v>0</v>
      </c>
      <c r="O655" t="str">
        <f t="shared" si="54"/>
        <v/>
      </c>
      <c r="P655" t="str">
        <f>IF(O655=1,COUNTIF($O$2:O655,1),"")</f>
        <v/>
      </c>
      <c r="Q655" t="str">
        <f>IFERROR(INDEX($M$2:$M$2388,MATCH(ROWS($P$2:P655),$P$2:$P$2388,0)),"")</f>
        <v/>
      </c>
    </row>
    <row r="656" spans="1:17" ht="15" x14ac:dyDescent="0.25">
      <c r="A656" s="10">
        <v>685</v>
      </c>
      <c r="B656" s="10" t="s">
        <v>3164</v>
      </c>
      <c r="C656" s="880">
        <f t="shared" si="51"/>
        <v>-69.3</v>
      </c>
      <c r="D656" s="880">
        <f t="shared" si="52"/>
        <v>18.45</v>
      </c>
      <c r="E656" s="10">
        <v>-69.300003000000004</v>
      </c>
      <c r="F656" s="10">
        <v>18.450001</v>
      </c>
      <c r="G656" s="10">
        <v>-4</v>
      </c>
      <c r="H656" s="10" t="s">
        <v>1733</v>
      </c>
      <c r="I656" s="10" t="s">
        <v>3160</v>
      </c>
      <c r="J656" s="10" t="s">
        <v>3161</v>
      </c>
      <c r="K656" s="10" t="s">
        <v>3162</v>
      </c>
      <c r="L656" s="65" t="str">
        <f t="shared" si="53"/>
        <v>San Pedro de Macoris|Dominican Republic|-69,300003|18,450001|-4:00 America</v>
      </c>
      <c r="M656" s="10" t="s">
        <v>3165</v>
      </c>
      <c r="N656" s="10">
        <f t="shared" si="50"/>
        <v>0</v>
      </c>
      <c r="O656" t="str">
        <f t="shared" si="54"/>
        <v/>
      </c>
      <c r="P656" t="str">
        <f>IF(O656=1,COUNTIF($O$2:O656,1),"")</f>
        <v/>
      </c>
      <c r="Q656" t="str">
        <f>IFERROR(INDEX($M$2:$M$2388,MATCH(ROWS($P$2:P656),$P$2:$P$2388,0)),"")</f>
        <v/>
      </c>
    </row>
    <row r="657" spans="1:17" ht="15" x14ac:dyDescent="0.25">
      <c r="A657" s="10">
        <v>684</v>
      </c>
      <c r="B657" s="10" t="s">
        <v>3166</v>
      </c>
      <c r="C657" s="880">
        <f t="shared" si="51"/>
        <v>-70.6999</v>
      </c>
      <c r="D657" s="880">
        <f t="shared" si="52"/>
        <v>19.45</v>
      </c>
      <c r="E657" s="10">
        <v>-70.699996999999996</v>
      </c>
      <c r="F657" s="10">
        <v>19.450001</v>
      </c>
      <c r="G657" s="10">
        <v>-4</v>
      </c>
      <c r="H657" s="10" t="s">
        <v>1733</v>
      </c>
      <c r="I657" s="10" t="s">
        <v>3160</v>
      </c>
      <c r="J657" s="10" t="s">
        <v>3161</v>
      </c>
      <c r="K657" s="10" t="s">
        <v>3162</v>
      </c>
      <c r="L657" s="65" t="str">
        <f t="shared" si="53"/>
        <v>Santiago de los Caballeros|Dominican Republic|-70,699997|19,450001|-4:00 America</v>
      </c>
      <c r="M657" s="10" t="s">
        <v>3167</v>
      </c>
      <c r="N657" s="10">
        <f t="shared" si="50"/>
        <v>0</v>
      </c>
      <c r="O657" t="str">
        <f t="shared" si="54"/>
        <v/>
      </c>
      <c r="P657" t="str">
        <f>IF(O657=1,COUNTIF($O$2:O657,1),"")</f>
        <v/>
      </c>
      <c r="Q657" t="str">
        <f>IFERROR(INDEX($M$2:$M$2388,MATCH(ROWS($P$2:P657),$P$2:$P$2388,0)),"")</f>
        <v/>
      </c>
    </row>
    <row r="658" spans="1:17" ht="15" x14ac:dyDescent="0.25">
      <c r="A658" s="10">
        <v>683</v>
      </c>
      <c r="B658" s="10" t="s">
        <v>3168</v>
      </c>
      <c r="C658" s="880">
        <f t="shared" si="51"/>
        <v>-69.900000000000006</v>
      </c>
      <c r="D658" s="880">
        <f t="shared" si="52"/>
        <v>18.4666</v>
      </c>
      <c r="E658" s="10">
        <v>-69.900002000000001</v>
      </c>
      <c r="F658" s="10">
        <v>18.466667000000001</v>
      </c>
      <c r="G658" s="10">
        <v>-4</v>
      </c>
      <c r="H658" s="10" t="s">
        <v>1733</v>
      </c>
      <c r="I658" s="10" t="s">
        <v>3160</v>
      </c>
      <c r="J658" s="10" t="s">
        <v>3161</v>
      </c>
      <c r="K658" s="10" t="s">
        <v>3162</v>
      </c>
      <c r="L658" s="65" t="str">
        <f t="shared" si="53"/>
        <v>Santo Domingo|Dominican Republic|-69,900002|18,466667|-4:00 America</v>
      </c>
      <c r="M658" s="10" t="s">
        <v>3169</v>
      </c>
      <c r="N658" s="10">
        <f t="shared" si="50"/>
        <v>0</v>
      </c>
      <c r="O658" t="str">
        <f t="shared" si="54"/>
        <v/>
      </c>
      <c r="P658" t="str">
        <f>IF(O658=1,COUNTIF($O$2:O658,1),"")</f>
        <v/>
      </c>
      <c r="Q658" t="str">
        <f>IFERROR(INDEX($M$2:$M$2388,MATCH(ROWS($P$2:P658),$P$2:$P$2388,0)),"")</f>
        <v/>
      </c>
    </row>
    <row r="659" spans="1:17" ht="15" x14ac:dyDescent="0.25">
      <c r="A659" s="10">
        <v>682</v>
      </c>
      <c r="B659" s="10" t="s">
        <v>3170</v>
      </c>
      <c r="C659" s="880">
        <f t="shared" si="51"/>
        <v>-70.183300000000003</v>
      </c>
      <c r="D659" s="880">
        <f t="shared" si="52"/>
        <v>18.333300000000001</v>
      </c>
      <c r="E659" s="10">
        <v>-70.183334000000002</v>
      </c>
      <c r="F659" s="10">
        <v>18.333334000000001</v>
      </c>
      <c r="G659" s="10">
        <v>-4</v>
      </c>
      <c r="H659" s="10" t="s">
        <v>1733</v>
      </c>
      <c r="I659" s="10" t="s">
        <v>3160</v>
      </c>
      <c r="J659" s="10" t="s">
        <v>3161</v>
      </c>
      <c r="K659" s="10" t="s">
        <v>3162</v>
      </c>
      <c r="L659" s="65" t="str">
        <f t="shared" si="53"/>
        <v>Yaguate|Dominican Republic|-70,183334|18,333334|-4:00 America</v>
      </c>
      <c r="M659" s="10" t="s">
        <v>3171</v>
      </c>
      <c r="N659" s="10">
        <f t="shared" si="50"/>
        <v>0</v>
      </c>
      <c r="O659" t="str">
        <f t="shared" si="54"/>
        <v/>
      </c>
      <c r="P659" t="str">
        <f>IF(O659=1,COUNTIF($O$2:O659,1),"")</f>
        <v/>
      </c>
      <c r="Q659" t="str">
        <f>IFERROR(INDEX($M$2:$M$2388,MATCH(ROWS($P$2:P659),$P$2:$P$2388,0)),"")</f>
        <v/>
      </c>
    </row>
    <row r="660" spans="1:17" ht="15" x14ac:dyDescent="0.25">
      <c r="A660" s="10">
        <v>681</v>
      </c>
      <c r="B660" s="10" t="s">
        <v>3172</v>
      </c>
      <c r="C660" s="880">
        <f t="shared" si="51"/>
        <v>-70.016599999999997</v>
      </c>
      <c r="D660" s="880">
        <f t="shared" si="52"/>
        <v>18.7666</v>
      </c>
      <c r="E660" s="10">
        <v>-70.016670000000005</v>
      </c>
      <c r="F660" s="10">
        <v>18.766666000000001</v>
      </c>
      <c r="G660" s="10">
        <v>-4</v>
      </c>
      <c r="H660" s="10" t="s">
        <v>1733</v>
      </c>
      <c r="I660" s="10" t="s">
        <v>3160</v>
      </c>
      <c r="J660" s="10" t="s">
        <v>3161</v>
      </c>
      <c r="K660" s="10" t="s">
        <v>3162</v>
      </c>
      <c r="L660" s="65" t="str">
        <f t="shared" si="53"/>
        <v>Yamasa|Dominican Republic|-70,016670|18,766666|-4:00 America</v>
      </c>
      <c r="M660" s="10" t="s">
        <v>3173</v>
      </c>
      <c r="N660" s="10">
        <f t="shared" si="50"/>
        <v>0</v>
      </c>
      <c r="O660" t="str">
        <f t="shared" si="54"/>
        <v/>
      </c>
      <c r="P660" t="str">
        <f>IF(O660=1,COUNTIF($O$2:O660,1),"")</f>
        <v/>
      </c>
      <c r="Q660" t="str">
        <f>IFERROR(INDEX($M$2:$M$2388,MATCH(ROWS($P$2:P660),$P$2:$P$2388,0)),"")</f>
        <v/>
      </c>
    </row>
    <row r="661" spans="1:17" ht="15" x14ac:dyDescent="0.25">
      <c r="A661" s="10">
        <v>680</v>
      </c>
      <c r="B661" s="10" t="s">
        <v>3174</v>
      </c>
      <c r="C661" s="880">
        <f t="shared" si="51"/>
        <v>-70.916600000000003</v>
      </c>
      <c r="D661" s="880">
        <f t="shared" si="52"/>
        <v>18.600000000000001</v>
      </c>
      <c r="E661" s="10">
        <v>-70.916663999999997</v>
      </c>
      <c r="F661" s="10">
        <v>18.600000000000001</v>
      </c>
      <c r="G661" s="10">
        <v>-4</v>
      </c>
      <c r="H661" s="10" t="s">
        <v>1733</v>
      </c>
      <c r="I661" s="10" t="s">
        <v>3160</v>
      </c>
      <c r="J661" s="10" t="s">
        <v>3161</v>
      </c>
      <c r="K661" s="10" t="s">
        <v>3162</v>
      </c>
      <c r="L661" s="65" t="str">
        <f t="shared" si="53"/>
        <v>Yayas de Viajama|Dominican Republic|-70,916664|18,600000|-4:00 America</v>
      </c>
      <c r="M661" s="10" t="s">
        <v>3175</v>
      </c>
      <c r="N661" s="10">
        <f t="shared" si="50"/>
        <v>0</v>
      </c>
      <c r="O661" t="str">
        <f t="shared" si="54"/>
        <v/>
      </c>
      <c r="P661" t="str">
        <f>IF(O661=1,COUNTIF($O$2:O661,1),"")</f>
        <v/>
      </c>
      <c r="Q661" t="str">
        <f>IFERROR(INDEX($M$2:$M$2388,MATCH(ROWS($P$2:P661),$P$2:$P$2388,0)),"")</f>
        <v/>
      </c>
    </row>
    <row r="662" spans="1:17" ht="15" x14ac:dyDescent="0.25">
      <c r="A662" s="10">
        <v>702</v>
      </c>
      <c r="B662" s="10" t="s">
        <v>3176</v>
      </c>
      <c r="C662" s="880">
        <f t="shared" si="51"/>
        <v>-78.9833</v>
      </c>
      <c r="D662" s="880">
        <f t="shared" si="52"/>
        <v>-2.8833000000000002</v>
      </c>
      <c r="E662" s="10">
        <v>-78.983329999999995</v>
      </c>
      <c r="F662" s="10">
        <v>-2.8833329999999999</v>
      </c>
      <c r="G662" s="10">
        <v>-5</v>
      </c>
      <c r="H662" s="10" t="s">
        <v>1873</v>
      </c>
      <c r="I662" s="10" t="s">
        <v>3177</v>
      </c>
      <c r="J662" s="10" t="s">
        <v>3178</v>
      </c>
      <c r="K662" s="10" t="s">
        <v>3179</v>
      </c>
      <c r="L662" s="65" t="str">
        <f t="shared" si="53"/>
        <v>Cuenca|Ecuador|-78,983330|-2,883333|-5:00 America</v>
      </c>
      <c r="M662" s="10" t="s">
        <v>3180</v>
      </c>
      <c r="N662" s="10">
        <f t="shared" si="50"/>
        <v>0</v>
      </c>
      <c r="O662" t="str">
        <f t="shared" si="54"/>
        <v/>
      </c>
      <c r="P662" t="str">
        <f>IF(O662=1,COUNTIF($O$2:O662,1),"")</f>
        <v/>
      </c>
      <c r="Q662" t="str">
        <f>IFERROR(INDEX($M$2:$M$2388,MATCH(ROWS($P$2:P662),$P$2:$P$2388,0)),"")</f>
        <v/>
      </c>
    </row>
    <row r="663" spans="1:17" ht="15" x14ac:dyDescent="0.25">
      <c r="A663" s="10">
        <v>701</v>
      </c>
      <c r="B663" s="10" t="s">
        <v>3181</v>
      </c>
      <c r="C663" s="880">
        <f t="shared" si="51"/>
        <v>-79.900000000000006</v>
      </c>
      <c r="D663" s="880">
        <f t="shared" si="52"/>
        <v>-2.1665999999999999</v>
      </c>
      <c r="E663" s="10">
        <v>-79.900002000000001</v>
      </c>
      <c r="F663" s="10">
        <v>-2.1666669999999999</v>
      </c>
      <c r="G663" s="10">
        <v>-5</v>
      </c>
      <c r="H663" s="10" t="s">
        <v>1873</v>
      </c>
      <c r="I663" s="10" t="s">
        <v>3177</v>
      </c>
      <c r="J663" s="10" t="s">
        <v>3178</v>
      </c>
      <c r="K663" s="10" t="s">
        <v>3179</v>
      </c>
      <c r="L663" s="65" t="str">
        <f t="shared" si="53"/>
        <v>Guayaquil|Ecuador|-79,900002|-2,166667|-5:00 America</v>
      </c>
      <c r="M663" s="10" t="s">
        <v>3182</v>
      </c>
      <c r="N663" s="10">
        <f t="shared" si="50"/>
        <v>0</v>
      </c>
      <c r="O663" t="str">
        <f t="shared" si="54"/>
        <v/>
      </c>
      <c r="P663" t="str">
        <f>IF(O663=1,COUNTIF($O$2:O663,1),"")</f>
        <v/>
      </c>
      <c r="Q663" t="str">
        <f>IFERROR(INDEX($M$2:$M$2388,MATCH(ROWS($P$2:P663),$P$2:$P$2388,0)),"")</f>
        <v/>
      </c>
    </row>
    <row r="664" spans="1:17" ht="15" x14ac:dyDescent="0.25">
      <c r="A664" s="10">
        <v>700</v>
      </c>
      <c r="B664" s="10" t="s">
        <v>3183</v>
      </c>
      <c r="C664" s="880">
        <f t="shared" si="51"/>
        <v>-78.5</v>
      </c>
      <c r="D664" s="880">
        <f t="shared" si="52"/>
        <v>-0.21659999999999999</v>
      </c>
      <c r="E664" s="10">
        <v>-78.5</v>
      </c>
      <c r="F664" s="10">
        <v>-0.216667</v>
      </c>
      <c r="G664" s="10">
        <v>-5</v>
      </c>
      <c r="H664" s="10" t="s">
        <v>1873</v>
      </c>
      <c r="I664" s="10" t="s">
        <v>3177</v>
      </c>
      <c r="J664" s="10" t="s">
        <v>3178</v>
      </c>
      <c r="K664" s="10" t="s">
        <v>3179</v>
      </c>
      <c r="L664" s="65" t="str">
        <f t="shared" si="53"/>
        <v>Quito|Ecuador|-78,500000|-0,216667|-5:00 America</v>
      </c>
      <c r="M664" s="10" t="s">
        <v>3184</v>
      </c>
      <c r="N664" s="10">
        <f t="shared" si="50"/>
        <v>0</v>
      </c>
      <c r="O664" t="str">
        <f t="shared" si="54"/>
        <v/>
      </c>
      <c r="P664" t="str">
        <f>IF(O664=1,COUNTIF($O$2:O664,1),"")</f>
        <v/>
      </c>
      <c r="Q664" t="str">
        <f>IFERROR(INDEX($M$2:$M$2388,MATCH(ROWS($P$2:P664),$P$2:$P$2388,0)),"")</f>
        <v/>
      </c>
    </row>
    <row r="665" spans="1:17" ht="15" x14ac:dyDescent="0.25">
      <c r="A665" s="10">
        <v>699</v>
      </c>
      <c r="B665" s="10" t="s">
        <v>3185</v>
      </c>
      <c r="C665" s="880">
        <f t="shared" si="51"/>
        <v>-79.150000000000006</v>
      </c>
      <c r="D665" s="880">
        <f t="shared" si="52"/>
        <v>-0.25</v>
      </c>
      <c r="E665" s="10">
        <v>-79.150002000000001</v>
      </c>
      <c r="F665" s="10">
        <v>-0.25</v>
      </c>
      <c r="G665" s="10">
        <v>-5</v>
      </c>
      <c r="H665" s="10" t="s">
        <v>1873</v>
      </c>
      <c r="I665" s="10" t="s">
        <v>3177</v>
      </c>
      <c r="J665" s="10" t="s">
        <v>3178</v>
      </c>
      <c r="K665" s="10" t="s">
        <v>3179</v>
      </c>
      <c r="L665" s="65" t="str">
        <f t="shared" si="53"/>
        <v>Santo Domingo de los Colorados|Ecuador|-79,150002|-0,250000|-5:00 America</v>
      </c>
      <c r="M665" s="10" t="s">
        <v>3186</v>
      </c>
      <c r="N665" s="10">
        <f t="shared" si="50"/>
        <v>0</v>
      </c>
      <c r="O665" t="str">
        <f t="shared" si="54"/>
        <v/>
      </c>
      <c r="P665" t="str">
        <f>IF(O665=1,COUNTIF($O$2:O665,1),"")</f>
        <v/>
      </c>
      <c r="Q665" t="str">
        <f>IFERROR(INDEX($M$2:$M$2388,MATCH(ROWS($P$2:P665),$P$2:$P$2388,0)),"")</f>
        <v/>
      </c>
    </row>
    <row r="666" spans="1:17" ht="15" x14ac:dyDescent="0.25">
      <c r="A666" s="10">
        <v>698</v>
      </c>
      <c r="B666" s="10" t="s">
        <v>3187</v>
      </c>
      <c r="C666" s="880">
        <f t="shared" si="51"/>
        <v>-78.759399999999999</v>
      </c>
      <c r="D666" s="880">
        <f t="shared" si="52"/>
        <v>-3.8277000000000001</v>
      </c>
      <c r="E666" s="10">
        <v>-78.759444999999999</v>
      </c>
      <c r="F666" s="10">
        <v>-3.8277779999999999</v>
      </c>
      <c r="G666" s="10">
        <v>-5</v>
      </c>
      <c r="H666" s="10" t="s">
        <v>1873</v>
      </c>
      <c r="I666" s="10" t="s">
        <v>3177</v>
      </c>
      <c r="J666" s="10" t="s">
        <v>3178</v>
      </c>
      <c r="K666" s="10" t="s">
        <v>3179</v>
      </c>
      <c r="L666" s="65" t="str">
        <f t="shared" si="53"/>
        <v>Yantzaza|Ecuador|-78,759445|-3,827778|-5:00 America</v>
      </c>
      <c r="M666" s="10" t="s">
        <v>3188</v>
      </c>
      <c r="N666" s="10">
        <f t="shared" si="50"/>
        <v>0</v>
      </c>
      <c r="O666" t="str">
        <f t="shared" si="54"/>
        <v/>
      </c>
      <c r="P666" t="str">
        <f>IF(O666=1,COUNTIF($O$2:O666,1),"")</f>
        <v/>
      </c>
      <c r="Q666" t="str">
        <f>IFERROR(INDEX($M$2:$M$2388,MATCH(ROWS($P$2:P666),$P$2:$P$2388,0)),"")</f>
        <v/>
      </c>
    </row>
    <row r="667" spans="1:17" ht="15" x14ac:dyDescent="0.25">
      <c r="A667" s="10">
        <v>697</v>
      </c>
      <c r="B667" s="10" t="s">
        <v>3189</v>
      </c>
      <c r="C667" s="880">
        <f t="shared" si="51"/>
        <v>-78.956599999999995</v>
      </c>
      <c r="D667" s="880">
        <f t="shared" si="52"/>
        <v>-4.0690999999999997</v>
      </c>
      <c r="E667" s="10">
        <v>-78.956665000000001</v>
      </c>
      <c r="F667" s="10">
        <v>-4.0691670000000002</v>
      </c>
      <c r="G667" s="10">
        <v>-5</v>
      </c>
      <c r="H667" s="10" t="s">
        <v>1873</v>
      </c>
      <c r="I667" s="10" t="s">
        <v>3177</v>
      </c>
      <c r="J667" s="10" t="s">
        <v>3178</v>
      </c>
      <c r="K667" s="10" t="s">
        <v>3179</v>
      </c>
      <c r="L667" s="65" t="str">
        <f t="shared" si="53"/>
        <v>Zamora|Ecuador|-78,956665|-4,069167|-5:00 America</v>
      </c>
      <c r="M667" s="10" t="s">
        <v>3190</v>
      </c>
      <c r="N667" s="10">
        <f t="shared" si="50"/>
        <v>0</v>
      </c>
      <c r="O667" t="str">
        <f t="shared" si="54"/>
        <v/>
      </c>
      <c r="P667" t="str">
        <f>IF(O667=1,COUNTIF($O$2:O667,1),"")</f>
        <v/>
      </c>
      <c r="Q667" t="str">
        <f>IFERROR(INDEX($M$2:$M$2388,MATCH(ROWS($P$2:P667),$P$2:$P$2388,0)),"")</f>
        <v/>
      </c>
    </row>
    <row r="668" spans="1:17" ht="15" x14ac:dyDescent="0.25">
      <c r="A668" s="10">
        <v>696</v>
      </c>
      <c r="B668" s="10" t="s">
        <v>3191</v>
      </c>
      <c r="C668" s="880">
        <f t="shared" si="51"/>
        <v>-79.616600000000005</v>
      </c>
      <c r="D668" s="880">
        <f t="shared" si="52"/>
        <v>-3.6833</v>
      </c>
      <c r="E668" s="10">
        <v>-79.616669000000002</v>
      </c>
      <c r="F668" s="10">
        <v>-3.6833330000000002</v>
      </c>
      <c r="G668" s="10">
        <v>-5</v>
      </c>
      <c r="H668" s="10" t="s">
        <v>1873</v>
      </c>
      <c r="I668" s="10" t="s">
        <v>3177</v>
      </c>
      <c r="J668" s="10" t="s">
        <v>3178</v>
      </c>
      <c r="K668" s="10" t="s">
        <v>3179</v>
      </c>
      <c r="L668" s="65" t="str">
        <f t="shared" si="53"/>
        <v>Zaruma|Ecuador|-79,616669|-3,683333|-5:00 America</v>
      </c>
      <c r="M668" s="10" t="s">
        <v>3192</v>
      </c>
      <c r="N668" s="10">
        <f t="shared" si="50"/>
        <v>0</v>
      </c>
      <c r="O668" t="str">
        <f t="shared" si="54"/>
        <v/>
      </c>
      <c r="P668" t="str">
        <f>IF(O668=1,COUNTIF($O$2:O668,1),"")</f>
        <v/>
      </c>
      <c r="Q668" t="str">
        <f>IFERROR(INDEX($M$2:$M$2388,MATCH(ROWS($P$2:P668),$P$2:$P$2388,0)),"")</f>
        <v/>
      </c>
    </row>
    <row r="669" spans="1:17" ht="15" x14ac:dyDescent="0.25">
      <c r="A669" s="10">
        <v>726</v>
      </c>
      <c r="B669" s="10" t="s">
        <v>3193</v>
      </c>
      <c r="C669" s="880">
        <f t="shared" si="51"/>
        <v>30.84</v>
      </c>
      <c r="D669" s="880">
        <f t="shared" si="52"/>
        <v>29.307700000000001</v>
      </c>
      <c r="E669" s="10">
        <v>30.84</v>
      </c>
      <c r="F669" s="10">
        <v>29.307777000000002</v>
      </c>
      <c r="G669" s="10">
        <v>2</v>
      </c>
      <c r="H669" s="10" t="s">
        <v>1938</v>
      </c>
      <c r="I669" s="10" t="s">
        <v>183</v>
      </c>
      <c r="J669" s="10" t="s">
        <v>3194</v>
      </c>
      <c r="K669" s="10" t="s">
        <v>3195</v>
      </c>
      <c r="L669" s="65" t="str">
        <f t="shared" si="53"/>
        <v>Al Fayyum|Egypt|30,840000|29,307777|+2:00 Africa</v>
      </c>
      <c r="M669" s="10" t="s">
        <v>3196</v>
      </c>
      <c r="N669" s="10">
        <f t="shared" si="50"/>
        <v>0</v>
      </c>
      <c r="O669" t="str">
        <f t="shared" si="54"/>
        <v/>
      </c>
      <c r="P669" t="str">
        <f>IF(O669=1,COUNTIF($O$2:O669,1),"")</f>
        <v/>
      </c>
      <c r="Q669" t="str">
        <f>IFERROR(INDEX($M$2:$M$2388,MATCH(ROWS($P$2:P669),$P$2:$P$2388,0)),"")</f>
        <v/>
      </c>
    </row>
    <row r="670" spans="1:17" ht="15" x14ac:dyDescent="0.25">
      <c r="A670" s="10">
        <v>723</v>
      </c>
      <c r="B670" s="10" t="s">
        <v>3197</v>
      </c>
      <c r="C670" s="880">
        <f t="shared" si="51"/>
        <v>31.212199999999999</v>
      </c>
      <c r="D670" s="880">
        <f t="shared" si="52"/>
        <v>30.008600000000001</v>
      </c>
      <c r="E670" s="10">
        <v>31.212223000000002</v>
      </c>
      <c r="F670" s="10">
        <v>30.008611999999999</v>
      </c>
      <c r="G670" s="10">
        <v>2</v>
      </c>
      <c r="H670" s="10" t="s">
        <v>1938</v>
      </c>
      <c r="I670" s="10" t="s">
        <v>183</v>
      </c>
      <c r="J670" s="10" t="s">
        <v>3194</v>
      </c>
      <c r="K670" s="10" t="s">
        <v>3195</v>
      </c>
      <c r="L670" s="65" t="str">
        <f t="shared" si="53"/>
        <v>Al Jizah|Egypt|31,212223|30,008612|+2:00 Africa</v>
      </c>
      <c r="M670" s="10" t="s">
        <v>3198</v>
      </c>
      <c r="N670" s="10">
        <f t="shared" si="50"/>
        <v>0</v>
      </c>
      <c r="O670" t="str">
        <f t="shared" si="54"/>
        <v/>
      </c>
      <c r="P670" t="str">
        <f>IF(O670=1,COUNTIF($O$2:O670,1),"")</f>
        <v/>
      </c>
      <c r="Q670" t="str">
        <f>IFERROR(INDEX($M$2:$M$2388,MATCH(ROWS($P$2:P670),$P$2:$P$2388,0)),"")</f>
        <v/>
      </c>
    </row>
    <row r="671" spans="1:17" ht="15" x14ac:dyDescent="0.25">
      <c r="A671" s="10">
        <v>722</v>
      </c>
      <c r="B671" s="10" t="s">
        <v>3199</v>
      </c>
      <c r="C671" s="880">
        <f t="shared" si="51"/>
        <v>31.166899999999998</v>
      </c>
      <c r="D671" s="880">
        <f t="shared" si="52"/>
        <v>30.976099999999999</v>
      </c>
      <c r="E671" s="10">
        <v>31.166944999999998</v>
      </c>
      <c r="F671" s="10">
        <v>30.976109999999998</v>
      </c>
      <c r="G671" s="10">
        <v>2</v>
      </c>
      <c r="H671" s="10" t="s">
        <v>1938</v>
      </c>
      <c r="I671" s="10" t="s">
        <v>183</v>
      </c>
      <c r="J671" s="10" t="s">
        <v>3194</v>
      </c>
      <c r="K671" s="10" t="s">
        <v>3195</v>
      </c>
      <c r="L671" s="65" t="str">
        <f t="shared" si="53"/>
        <v>Al Mahallah al Kubra|Egypt|31,166945|30,976110|+2:00 Africa</v>
      </c>
      <c r="M671" s="10" t="s">
        <v>3200</v>
      </c>
      <c r="N671" s="10">
        <f t="shared" si="50"/>
        <v>0</v>
      </c>
      <c r="O671" t="str">
        <f t="shared" si="54"/>
        <v/>
      </c>
      <c r="P671" t="str">
        <f>IF(O671=1,COUNTIF($O$2:O671,1),"")</f>
        <v/>
      </c>
      <c r="Q671" t="str">
        <f>IFERROR(INDEX($M$2:$M$2388,MATCH(ROWS($P$2:P671),$P$2:$P$2388,0)),"")</f>
        <v/>
      </c>
    </row>
    <row r="672" spans="1:17" ht="15" x14ac:dyDescent="0.25">
      <c r="A672" s="10">
        <v>721</v>
      </c>
      <c r="B672" s="10" t="s">
        <v>3201</v>
      </c>
      <c r="C672" s="880">
        <f t="shared" si="51"/>
        <v>31.3766</v>
      </c>
      <c r="D672" s="880">
        <f t="shared" si="52"/>
        <v>31.042999999999999</v>
      </c>
      <c r="E672" s="10">
        <v>31.376667000000001</v>
      </c>
      <c r="F672" s="10">
        <v>31.043056</v>
      </c>
      <c r="G672" s="10">
        <v>2</v>
      </c>
      <c r="H672" s="10" t="s">
        <v>1938</v>
      </c>
      <c r="I672" s="10" t="s">
        <v>183</v>
      </c>
      <c r="J672" s="10" t="s">
        <v>3194</v>
      </c>
      <c r="K672" s="10" t="s">
        <v>3195</v>
      </c>
      <c r="L672" s="65" t="str">
        <f t="shared" si="53"/>
        <v>Al Mansurah|Egypt|31,376667|31,043056|+2:00 Africa</v>
      </c>
      <c r="M672" s="10" t="s">
        <v>3202</v>
      </c>
      <c r="N672" s="10">
        <f t="shared" si="50"/>
        <v>0</v>
      </c>
      <c r="O672" t="str">
        <f t="shared" si="54"/>
        <v/>
      </c>
      <c r="P672" t="str">
        <f>IF(O672=1,COUNTIF($O$2:O672,1),"")</f>
        <v/>
      </c>
      <c r="Q672" t="str">
        <f>IFERROR(INDEX($M$2:$M$2388,MATCH(ROWS($P$2:P672),$P$2:$P$2388,0)),"")</f>
        <v/>
      </c>
    </row>
    <row r="673" spans="1:17" ht="15" x14ac:dyDescent="0.25">
      <c r="A673" s="10">
        <v>720</v>
      </c>
      <c r="B673" s="10" t="s">
        <v>3203</v>
      </c>
      <c r="C673" s="880">
        <f t="shared" si="51"/>
        <v>30.744399999999999</v>
      </c>
      <c r="D673" s="880">
        <f t="shared" si="52"/>
        <v>28.119399999999999</v>
      </c>
      <c r="E673" s="10">
        <v>30.744444000000001</v>
      </c>
      <c r="F673" s="10">
        <v>28.119444000000001</v>
      </c>
      <c r="G673" s="10">
        <v>2</v>
      </c>
      <c r="H673" s="10" t="s">
        <v>1938</v>
      </c>
      <c r="I673" s="10" t="s">
        <v>183</v>
      </c>
      <c r="J673" s="10" t="s">
        <v>3194</v>
      </c>
      <c r="K673" s="10" t="s">
        <v>3195</v>
      </c>
      <c r="L673" s="65" t="str">
        <f t="shared" si="53"/>
        <v>Al Minya|Egypt|30,744444|28,119444|+2:00 Africa</v>
      </c>
      <c r="M673" s="10" t="s">
        <v>3204</v>
      </c>
      <c r="N673" s="10">
        <f t="shared" si="50"/>
        <v>0</v>
      </c>
      <c r="O673" t="str">
        <f t="shared" si="54"/>
        <v/>
      </c>
      <c r="P673" t="str">
        <f>IF(O673=1,COUNTIF($O$2:O673,1),"")</f>
        <v/>
      </c>
      <c r="Q673" t="str">
        <f>IFERROR(INDEX($M$2:$M$2388,MATCH(ROWS($P$2:P673),$P$2:$P$2388,0)),"")</f>
        <v/>
      </c>
    </row>
    <row r="674" spans="1:17" ht="15" x14ac:dyDescent="0.25">
      <c r="A674" s="10">
        <v>725</v>
      </c>
      <c r="B674" s="10" t="s">
        <v>3205</v>
      </c>
      <c r="C674" s="880">
        <f t="shared" si="51"/>
        <v>29.9191</v>
      </c>
      <c r="D674" s="880">
        <f t="shared" si="52"/>
        <v>31.198</v>
      </c>
      <c r="E674" s="10">
        <v>29.919167000000002</v>
      </c>
      <c r="F674" s="10">
        <v>31.198055</v>
      </c>
      <c r="G674" s="10">
        <v>2</v>
      </c>
      <c r="H674" s="10" t="s">
        <v>1938</v>
      </c>
      <c r="I674" s="10" t="s">
        <v>183</v>
      </c>
      <c r="J674" s="10" t="s">
        <v>3194</v>
      </c>
      <c r="K674" s="10" t="s">
        <v>3195</v>
      </c>
      <c r="L674" s="65" t="str">
        <f t="shared" si="53"/>
        <v>Alexandria|Egypt|29,919167|31,198055|+2:00 Africa</v>
      </c>
      <c r="M674" s="10" t="s">
        <v>3206</v>
      </c>
      <c r="N674" s="10">
        <f t="shared" si="50"/>
        <v>0</v>
      </c>
      <c r="O674" t="str">
        <f t="shared" si="54"/>
        <v/>
      </c>
      <c r="P674" t="str">
        <f>IF(O674=1,COUNTIF($O$2:O674,1),"")</f>
        <v/>
      </c>
      <c r="Q674" t="str">
        <f>IFERROR(INDEX($M$2:$M$2388,MATCH(ROWS($P$2:P674),$P$2:$P$2388,0)),"")</f>
        <v/>
      </c>
    </row>
    <row r="675" spans="1:17" ht="15" x14ac:dyDescent="0.25">
      <c r="A675" s="10">
        <v>716</v>
      </c>
      <c r="B675" s="10" t="s">
        <v>3207</v>
      </c>
      <c r="C675" s="880">
        <f t="shared" si="51"/>
        <v>32.898800000000001</v>
      </c>
      <c r="D675" s="880">
        <f t="shared" si="52"/>
        <v>24.087499999999999</v>
      </c>
      <c r="E675" s="10">
        <v>32.898887999999999</v>
      </c>
      <c r="F675" s="10">
        <v>24.087499999999999</v>
      </c>
      <c r="G675" s="10">
        <v>2</v>
      </c>
      <c r="H675" s="10" t="s">
        <v>1938</v>
      </c>
      <c r="I675" s="10" t="s">
        <v>183</v>
      </c>
      <c r="J675" s="10" t="s">
        <v>3194</v>
      </c>
      <c r="K675" s="10" t="s">
        <v>3195</v>
      </c>
      <c r="L675" s="65" t="str">
        <f t="shared" si="53"/>
        <v>Aswan|Egypt|32,898888|24,087500|+2:00 Africa</v>
      </c>
      <c r="M675" s="10" t="s">
        <v>3208</v>
      </c>
      <c r="N675" s="10">
        <f t="shared" si="50"/>
        <v>0</v>
      </c>
      <c r="O675" t="str">
        <f t="shared" si="54"/>
        <v/>
      </c>
      <c r="P675" t="str">
        <f>IF(O675=1,COUNTIF($O$2:O675,1),"")</f>
        <v/>
      </c>
      <c r="Q675" t="str">
        <f>IFERROR(INDEX($M$2:$M$2388,MATCH(ROWS($P$2:P675),$P$2:$P$2388,0)),"")</f>
        <v/>
      </c>
    </row>
    <row r="676" spans="1:17" ht="15" x14ac:dyDescent="0.25">
      <c r="A676" s="10">
        <v>715</v>
      </c>
      <c r="B676" s="10" t="s">
        <v>3209</v>
      </c>
      <c r="C676" s="880">
        <f t="shared" si="51"/>
        <v>31.182700000000001</v>
      </c>
      <c r="D676" s="880">
        <f t="shared" si="52"/>
        <v>27.182700000000001</v>
      </c>
      <c r="E676" s="10">
        <v>31.182777000000002</v>
      </c>
      <c r="F676" s="10">
        <v>27.182777000000002</v>
      </c>
      <c r="G676" s="10">
        <v>2</v>
      </c>
      <c r="H676" s="10" t="s">
        <v>1938</v>
      </c>
      <c r="I676" s="10" t="s">
        <v>183</v>
      </c>
      <c r="J676" s="10" t="s">
        <v>3194</v>
      </c>
      <c r="K676" s="10" t="s">
        <v>3195</v>
      </c>
      <c r="L676" s="65" t="str">
        <f t="shared" si="53"/>
        <v>Asyut|Egypt|31,182777|27,182777|+2:00 Africa</v>
      </c>
      <c r="M676" s="10" t="s">
        <v>3210</v>
      </c>
      <c r="N676" s="10">
        <f t="shared" si="50"/>
        <v>0</v>
      </c>
      <c r="O676" t="str">
        <f t="shared" si="54"/>
        <v/>
      </c>
      <c r="P676" t="str">
        <f>IF(O676=1,COUNTIF($O$2:O676,1),"")</f>
        <v/>
      </c>
      <c r="Q676" t="str">
        <f>IFERROR(INDEX($M$2:$M$2388,MATCH(ROWS($P$2:P676),$P$2:$P$2388,0)),"")</f>
        <v/>
      </c>
    </row>
    <row r="677" spans="1:17" ht="15" x14ac:dyDescent="0.25">
      <c r="A677" s="10">
        <v>714</v>
      </c>
      <c r="B677" s="10" t="s">
        <v>3211</v>
      </c>
      <c r="C677" s="880">
        <f t="shared" si="51"/>
        <v>31.510200000000001</v>
      </c>
      <c r="D677" s="880">
        <f t="shared" si="52"/>
        <v>30.5913</v>
      </c>
      <c r="E677" s="10">
        <v>31.510279000000001</v>
      </c>
      <c r="F677" s="10">
        <v>30.591388999999999</v>
      </c>
      <c r="G677" s="10">
        <v>2</v>
      </c>
      <c r="H677" s="10" t="s">
        <v>1938</v>
      </c>
      <c r="I677" s="10" t="s">
        <v>183</v>
      </c>
      <c r="J677" s="10" t="s">
        <v>3194</v>
      </c>
      <c r="K677" s="10" t="s">
        <v>3195</v>
      </c>
      <c r="L677" s="65" t="str">
        <f t="shared" si="53"/>
        <v>Az Zaqaziq|Egypt|31,510279|30,591389|+2:00 Africa</v>
      </c>
      <c r="M677" s="10" t="s">
        <v>3212</v>
      </c>
      <c r="N677" s="10">
        <f t="shared" si="50"/>
        <v>0</v>
      </c>
      <c r="O677" t="str">
        <f t="shared" si="54"/>
        <v/>
      </c>
      <c r="P677" t="str">
        <f>IF(O677=1,COUNTIF($O$2:O677,1),"")</f>
        <v/>
      </c>
      <c r="Q677" t="str">
        <f>IFERROR(INDEX($M$2:$M$2388,MATCH(ROWS($P$2:P677),$P$2:$P$2388,0)),"")</f>
        <v/>
      </c>
    </row>
    <row r="678" spans="1:17" ht="15" x14ac:dyDescent="0.25">
      <c r="A678" s="10">
        <v>727</v>
      </c>
      <c r="B678" s="10" t="s">
        <v>3213</v>
      </c>
      <c r="C678" s="880">
        <f t="shared" si="51"/>
        <v>32.300400000000003</v>
      </c>
      <c r="D678" s="880">
        <f t="shared" si="52"/>
        <v>31.259699999999999</v>
      </c>
      <c r="E678" s="10">
        <v>32.300491000000001</v>
      </c>
      <c r="F678" s="10">
        <v>31.259768999999999</v>
      </c>
      <c r="G678" s="10">
        <v>2</v>
      </c>
      <c r="H678" s="10" t="s">
        <v>1938</v>
      </c>
      <c r="I678" s="10" t="s">
        <v>183</v>
      </c>
      <c r="J678" s="10" t="s">
        <v>3194</v>
      </c>
      <c r="K678" s="10" t="s">
        <v>3195</v>
      </c>
      <c r="L678" s="65" t="str">
        <f t="shared" si="53"/>
        <v>Bur Sa`id|Egypt|32,300491|31,259769|+2:00 Africa</v>
      </c>
      <c r="M678" s="10" t="s">
        <v>3214</v>
      </c>
      <c r="N678" s="10">
        <f t="shared" si="50"/>
        <v>0</v>
      </c>
      <c r="O678" t="str">
        <f t="shared" si="54"/>
        <v/>
      </c>
      <c r="P678" t="str">
        <f>IF(O678=1,COUNTIF($O$2:O678,1),"")</f>
        <v/>
      </c>
      <c r="Q678" t="str">
        <f>IFERROR(INDEX($M$2:$M$2388,MATCH(ROWS($P$2:P678),$P$2:$P$2388,0)),"")</f>
        <v/>
      </c>
    </row>
    <row r="679" spans="1:17" ht="15" x14ac:dyDescent="0.25">
      <c r="A679" s="10">
        <v>719</v>
      </c>
      <c r="B679" s="10" t="s">
        <v>3215</v>
      </c>
      <c r="C679" s="880">
        <f t="shared" si="51"/>
        <v>31.25</v>
      </c>
      <c r="D679" s="880">
        <f t="shared" si="52"/>
        <v>30.049900000000001</v>
      </c>
      <c r="E679" s="10">
        <v>31.25</v>
      </c>
      <c r="F679" s="10">
        <v>30.049999</v>
      </c>
      <c r="G679" s="10">
        <v>2</v>
      </c>
      <c r="H679" s="10" t="s">
        <v>1938</v>
      </c>
      <c r="I679" s="10" t="s">
        <v>183</v>
      </c>
      <c r="J679" s="10" t="s">
        <v>3194</v>
      </c>
      <c r="K679" s="10" t="s">
        <v>3195</v>
      </c>
      <c r="L679" s="65" t="str">
        <f t="shared" si="53"/>
        <v>Cairo|Egypt|31,250000|30,049999|+2:00 Africa</v>
      </c>
      <c r="M679" s="10" t="s">
        <v>3216</v>
      </c>
      <c r="N679" s="10">
        <f t="shared" si="50"/>
        <v>0</v>
      </c>
      <c r="O679" t="str">
        <f t="shared" si="54"/>
        <v/>
      </c>
      <c r="P679" t="str">
        <f>IF(O679=1,COUNTIF($O$2:O679,1),"")</f>
        <v/>
      </c>
      <c r="Q679" t="str">
        <f>IFERROR(INDEX($M$2:$M$2388,MATCH(ROWS($P$2:P679),$P$2:$P$2388,0)),"")</f>
        <v/>
      </c>
    </row>
    <row r="680" spans="1:17" ht="15" x14ac:dyDescent="0.25">
      <c r="A680" s="10">
        <v>713</v>
      </c>
      <c r="B680" s="10" t="s">
        <v>3217</v>
      </c>
      <c r="C680" s="880">
        <f t="shared" si="51"/>
        <v>30.4666</v>
      </c>
      <c r="D680" s="880">
        <f t="shared" si="52"/>
        <v>31.033300000000001</v>
      </c>
      <c r="E680" s="10">
        <v>30.466667000000001</v>
      </c>
      <c r="F680" s="10">
        <v>31.033332999999999</v>
      </c>
      <c r="G680" s="10">
        <v>2</v>
      </c>
      <c r="H680" s="10" t="s">
        <v>1938</v>
      </c>
      <c r="I680" s="10" t="s">
        <v>183</v>
      </c>
      <c r="J680" s="10" t="s">
        <v>3194</v>
      </c>
      <c r="K680" s="10" t="s">
        <v>3195</v>
      </c>
      <c r="L680" s="65" t="str">
        <f t="shared" si="53"/>
        <v>Damanhur|Egypt|30,466667|31,033333|+2:00 Africa</v>
      </c>
      <c r="M680" s="10" t="s">
        <v>3218</v>
      </c>
      <c r="N680" s="10">
        <f t="shared" si="50"/>
        <v>0</v>
      </c>
      <c r="O680" t="str">
        <f t="shared" si="54"/>
        <v/>
      </c>
      <c r="P680" t="str">
        <f>IF(O680=1,COUNTIF($O$2:O680,1),"")</f>
        <v/>
      </c>
      <c r="Q680" t="str">
        <f>IFERROR(INDEX($M$2:$M$2388,MATCH(ROWS($P$2:P680),$P$2:$P$2388,0)),"")</f>
        <v/>
      </c>
    </row>
    <row r="681" spans="1:17" ht="15" x14ac:dyDescent="0.25">
      <c r="A681" s="10">
        <v>724</v>
      </c>
      <c r="B681" s="10" t="s">
        <v>3219</v>
      </c>
      <c r="C681" s="880">
        <f t="shared" si="51"/>
        <v>32.277200000000001</v>
      </c>
      <c r="D681" s="880">
        <f t="shared" si="52"/>
        <v>30.6052</v>
      </c>
      <c r="E681" s="10">
        <v>32.277222000000002</v>
      </c>
      <c r="F681" s="10">
        <v>30.605277999999998</v>
      </c>
      <c r="G681" s="10">
        <v>2</v>
      </c>
      <c r="H681" s="10" t="s">
        <v>1938</v>
      </c>
      <c r="I681" s="10" t="s">
        <v>183</v>
      </c>
      <c r="J681" s="10" t="s">
        <v>3194</v>
      </c>
      <c r="K681" s="10" t="s">
        <v>3195</v>
      </c>
      <c r="L681" s="65" t="str">
        <f t="shared" si="53"/>
        <v>Ismailia|Egypt|32,277222|30,605278|+2:00 Africa</v>
      </c>
      <c r="M681" s="10" t="s">
        <v>3220</v>
      </c>
      <c r="N681" s="10">
        <f t="shared" si="50"/>
        <v>0</v>
      </c>
      <c r="O681" t="str">
        <f t="shared" si="54"/>
        <v/>
      </c>
      <c r="P681" t="str">
        <f>IF(O681=1,COUNTIF($O$2:O681,1),"")</f>
        <v/>
      </c>
      <c r="Q681" t="str">
        <f>IFERROR(INDEX($M$2:$M$2388,MATCH(ROWS($P$2:P681),$P$2:$P$2388,0)),"")</f>
        <v/>
      </c>
    </row>
    <row r="682" spans="1:17" ht="15" x14ac:dyDescent="0.25">
      <c r="A682" s="10">
        <v>712</v>
      </c>
      <c r="B682" s="10" t="s">
        <v>3221</v>
      </c>
      <c r="C682" s="880">
        <f t="shared" si="51"/>
        <v>30.129100000000001</v>
      </c>
      <c r="D682" s="880">
        <f t="shared" si="52"/>
        <v>31.139700000000001</v>
      </c>
      <c r="E682" s="10">
        <v>30.129168</v>
      </c>
      <c r="F682" s="10">
        <v>31.139723</v>
      </c>
      <c r="G682" s="10">
        <v>2</v>
      </c>
      <c r="H682" s="10" t="s">
        <v>1938</v>
      </c>
      <c r="I682" s="10" t="s">
        <v>183</v>
      </c>
      <c r="J682" s="10" t="s">
        <v>3194</v>
      </c>
      <c r="K682" s="10" t="s">
        <v>3195</v>
      </c>
      <c r="L682" s="65" t="str">
        <f t="shared" si="53"/>
        <v>Kafr ad Dawwar|Egypt|30,129168|31,139723|+2:00 Africa</v>
      </c>
      <c r="M682" s="10" t="s">
        <v>3222</v>
      </c>
      <c r="N682" s="10">
        <f t="shared" si="50"/>
        <v>0</v>
      </c>
      <c r="O682" t="str">
        <f t="shared" si="54"/>
        <v/>
      </c>
      <c r="P682" t="str">
        <f>IF(O682=1,COUNTIF($O$2:O682,1),"")</f>
        <v/>
      </c>
      <c r="Q682" t="str">
        <f>IFERROR(INDEX($M$2:$M$2388,MATCH(ROWS($P$2:P682),$P$2:$P$2388,0)),"")</f>
        <v/>
      </c>
    </row>
    <row r="683" spans="1:17" ht="15" x14ac:dyDescent="0.25">
      <c r="A683" s="10">
        <v>718</v>
      </c>
      <c r="B683" s="10" t="s">
        <v>3223</v>
      </c>
      <c r="C683" s="880">
        <f t="shared" si="51"/>
        <v>32.65</v>
      </c>
      <c r="D683" s="880">
        <f t="shared" si="52"/>
        <v>25.683299999999999</v>
      </c>
      <c r="E683" s="10">
        <v>32.650002000000001</v>
      </c>
      <c r="F683" s="10">
        <v>25.683332</v>
      </c>
      <c r="G683" s="10">
        <v>2</v>
      </c>
      <c r="H683" s="10" t="s">
        <v>1938</v>
      </c>
      <c r="I683" s="10" t="s">
        <v>183</v>
      </c>
      <c r="J683" s="10" t="s">
        <v>3194</v>
      </c>
      <c r="K683" s="10" t="s">
        <v>3195</v>
      </c>
      <c r="L683" s="65" t="str">
        <f t="shared" si="53"/>
        <v>Luxor|Egypt|32,650002|25,683332|+2:00 Africa</v>
      </c>
      <c r="M683" s="10" t="s">
        <v>3224</v>
      </c>
      <c r="N683" s="10">
        <f t="shared" si="50"/>
        <v>0</v>
      </c>
      <c r="O683" t="str">
        <f t="shared" si="54"/>
        <v/>
      </c>
      <c r="P683" t="str">
        <f>IF(O683=1,COUNTIF($O$2:O683,1),"")</f>
        <v/>
      </c>
      <c r="Q683" t="str">
        <f>IFERROR(INDEX($M$2:$M$2388,MATCH(ROWS($P$2:P683),$P$2:$P$2388,0)),"")</f>
        <v/>
      </c>
    </row>
    <row r="684" spans="1:17" ht="15" x14ac:dyDescent="0.25">
      <c r="A684" s="10">
        <v>711</v>
      </c>
      <c r="B684" s="10" t="s">
        <v>3225</v>
      </c>
      <c r="C684" s="880">
        <f t="shared" si="51"/>
        <v>32.727200000000003</v>
      </c>
      <c r="D684" s="880">
        <f t="shared" si="52"/>
        <v>26.17</v>
      </c>
      <c r="E684" s="10">
        <v>32.727221999999998</v>
      </c>
      <c r="F684" s="10">
        <v>26.17</v>
      </c>
      <c r="G684" s="10">
        <v>2</v>
      </c>
      <c r="H684" s="10" t="s">
        <v>1938</v>
      </c>
      <c r="I684" s="10" t="s">
        <v>183</v>
      </c>
      <c r="J684" s="10" t="s">
        <v>3194</v>
      </c>
      <c r="K684" s="10" t="s">
        <v>3195</v>
      </c>
      <c r="L684" s="65" t="str">
        <f t="shared" si="53"/>
        <v>Qina|Egypt|32,727222|26,170000|+2:00 Africa</v>
      </c>
      <c r="M684" s="10" t="s">
        <v>3226</v>
      </c>
      <c r="N684" s="10">
        <f t="shared" si="50"/>
        <v>0</v>
      </c>
      <c r="O684" t="str">
        <f t="shared" si="54"/>
        <v/>
      </c>
      <c r="P684" t="str">
        <f>IF(O684=1,COUNTIF($O$2:O684,1),"")</f>
        <v/>
      </c>
      <c r="Q684" t="str">
        <f>IFERROR(INDEX($M$2:$M$2388,MATCH(ROWS($P$2:P684),$P$2:$P$2388,0)),"")</f>
        <v/>
      </c>
    </row>
    <row r="685" spans="1:17" ht="15" x14ac:dyDescent="0.25">
      <c r="A685" s="10">
        <v>717</v>
      </c>
      <c r="B685" s="10" t="s">
        <v>3227</v>
      </c>
      <c r="C685" s="880">
        <f t="shared" si="51"/>
        <v>32.549900000000001</v>
      </c>
      <c r="D685" s="880">
        <f t="shared" si="52"/>
        <v>29.9666</v>
      </c>
      <c r="E685" s="10">
        <v>32.549999</v>
      </c>
      <c r="F685" s="10">
        <v>29.966667000000001</v>
      </c>
      <c r="G685" s="10">
        <v>2</v>
      </c>
      <c r="H685" s="10" t="s">
        <v>1938</v>
      </c>
      <c r="I685" s="10" t="s">
        <v>183</v>
      </c>
      <c r="J685" s="10" t="s">
        <v>3194</v>
      </c>
      <c r="K685" s="10" t="s">
        <v>3195</v>
      </c>
      <c r="L685" s="65" t="str">
        <f t="shared" si="53"/>
        <v>Suez|Egypt|32,549999|29,966667|+2:00 Africa</v>
      </c>
      <c r="M685" s="10" t="s">
        <v>3228</v>
      </c>
      <c r="N685" s="10">
        <f t="shared" si="50"/>
        <v>0</v>
      </c>
      <c r="O685" t="str">
        <f t="shared" si="54"/>
        <v/>
      </c>
      <c r="P685" t="str">
        <f>IF(O685=1,COUNTIF($O$2:O685,1),"")</f>
        <v/>
      </c>
      <c r="Q685" t="str">
        <f>IFERROR(INDEX($M$2:$M$2388,MATCH(ROWS($P$2:P685),$P$2:$P$2388,0)),"")</f>
        <v/>
      </c>
    </row>
    <row r="686" spans="1:17" ht="15" x14ac:dyDescent="0.25">
      <c r="A686" s="10">
        <v>710</v>
      </c>
      <c r="B686" s="10" t="s">
        <v>3229</v>
      </c>
      <c r="C686" s="880">
        <f t="shared" si="51"/>
        <v>31.7</v>
      </c>
      <c r="D686" s="880">
        <f t="shared" si="52"/>
        <v>26.549900000000001</v>
      </c>
      <c r="E686" s="10">
        <v>31.700001</v>
      </c>
      <c r="F686" s="10">
        <v>26.549999</v>
      </c>
      <c r="G686" s="10">
        <v>2</v>
      </c>
      <c r="H686" s="10" t="s">
        <v>1938</v>
      </c>
      <c r="I686" s="10" t="s">
        <v>183</v>
      </c>
      <c r="J686" s="10" t="s">
        <v>3194</v>
      </c>
      <c r="K686" s="10" t="s">
        <v>3195</v>
      </c>
      <c r="L686" s="65" t="str">
        <f t="shared" si="53"/>
        <v>Suhaj|Egypt|31,700001|26,549999|+2:00 Africa</v>
      </c>
      <c r="M686" s="10" t="s">
        <v>3230</v>
      </c>
      <c r="N686" s="10">
        <f t="shared" si="50"/>
        <v>0</v>
      </c>
      <c r="O686" t="str">
        <f t="shared" si="54"/>
        <v/>
      </c>
      <c r="P686" t="str">
        <f>IF(O686=1,COUNTIF($O$2:O686,1),"")</f>
        <v/>
      </c>
      <c r="Q686" t="str">
        <f>IFERROR(INDEX($M$2:$M$2388,MATCH(ROWS($P$2:P686),$P$2:$P$2388,0)),"")</f>
        <v/>
      </c>
    </row>
    <row r="687" spans="1:17" ht="15" x14ac:dyDescent="0.25">
      <c r="A687" s="10">
        <v>709</v>
      </c>
      <c r="B687" s="10" t="s">
        <v>3231</v>
      </c>
      <c r="C687" s="880">
        <f t="shared" si="51"/>
        <v>30.998000000000001</v>
      </c>
      <c r="D687" s="880">
        <f t="shared" si="52"/>
        <v>30.7911</v>
      </c>
      <c r="E687" s="10">
        <v>30.998055999999998</v>
      </c>
      <c r="F687" s="10">
        <v>30.791111000000001</v>
      </c>
      <c r="G687" s="10">
        <v>2</v>
      </c>
      <c r="H687" s="10" t="s">
        <v>1938</v>
      </c>
      <c r="I687" s="10" t="s">
        <v>183</v>
      </c>
      <c r="J687" s="10" t="s">
        <v>3194</v>
      </c>
      <c r="K687" s="10" t="s">
        <v>3195</v>
      </c>
      <c r="L687" s="65" t="str">
        <f t="shared" si="53"/>
        <v>Tanta|Egypt|30,998056|30,791111|+2:00 Africa</v>
      </c>
      <c r="M687" s="10" t="s">
        <v>3232</v>
      </c>
      <c r="N687" s="10">
        <f t="shared" si="50"/>
        <v>0</v>
      </c>
      <c r="O687" t="str">
        <f t="shared" si="54"/>
        <v/>
      </c>
      <c r="P687" t="str">
        <f>IF(O687=1,COUNTIF($O$2:O687,1),"")</f>
        <v/>
      </c>
      <c r="Q687" t="str">
        <f>IFERROR(INDEX($M$2:$M$2388,MATCH(ROWS($P$2:P687),$P$2:$P$2388,0)),"")</f>
        <v/>
      </c>
    </row>
    <row r="688" spans="1:17" ht="15" x14ac:dyDescent="0.25">
      <c r="A688" s="10">
        <v>708</v>
      </c>
      <c r="B688" s="10" t="s">
        <v>3233</v>
      </c>
      <c r="C688" s="880">
        <f t="shared" si="51"/>
        <v>31.158000000000001</v>
      </c>
      <c r="D688" s="880">
        <f t="shared" si="52"/>
        <v>30.348299999999998</v>
      </c>
      <c r="E688" s="10">
        <v>31.158055999999998</v>
      </c>
      <c r="F688" s="10">
        <v>30.348333</v>
      </c>
      <c r="G688" s="10">
        <v>2</v>
      </c>
      <c r="H688" s="10" t="s">
        <v>1938</v>
      </c>
      <c r="I688" s="10" t="s">
        <v>183</v>
      </c>
      <c r="J688" s="10" t="s">
        <v>3194</v>
      </c>
      <c r="K688" s="10" t="s">
        <v>3195</v>
      </c>
      <c r="L688" s="65" t="str">
        <f t="shared" si="53"/>
        <v>Tukh|Egypt|31,158056|30,348333|+2:00 Africa</v>
      </c>
      <c r="M688" s="10" t="s">
        <v>3234</v>
      </c>
      <c r="N688" s="10">
        <f t="shared" si="50"/>
        <v>0</v>
      </c>
      <c r="O688" t="str">
        <f t="shared" si="54"/>
        <v/>
      </c>
      <c r="P688" t="str">
        <f>IF(O688=1,COUNTIF($O$2:O688,1),"")</f>
        <v/>
      </c>
      <c r="Q688" t="str">
        <f>IFERROR(INDEX($M$2:$M$2388,MATCH(ROWS($P$2:P688),$P$2:$P$2388,0)),"")</f>
        <v/>
      </c>
    </row>
    <row r="689" spans="1:17" ht="15" x14ac:dyDescent="0.25">
      <c r="A689" s="10">
        <v>707</v>
      </c>
      <c r="B689" s="10" t="s">
        <v>3235</v>
      </c>
      <c r="C689" s="880">
        <f t="shared" si="51"/>
        <v>31.2438</v>
      </c>
      <c r="D689" s="880">
        <f t="shared" si="52"/>
        <v>30.7136</v>
      </c>
      <c r="E689" s="10">
        <v>31.243888999999999</v>
      </c>
      <c r="F689" s="10">
        <v>30.713612000000001</v>
      </c>
      <c r="G689" s="10">
        <v>2</v>
      </c>
      <c r="H689" s="10" t="s">
        <v>1938</v>
      </c>
      <c r="I689" s="10" t="s">
        <v>183</v>
      </c>
      <c r="J689" s="10" t="s">
        <v>3194</v>
      </c>
      <c r="K689" s="10" t="s">
        <v>3195</v>
      </c>
      <c r="L689" s="65" t="str">
        <f t="shared" si="53"/>
        <v>Zifta|Egypt|31,243889|30,713612|+2:00 Africa</v>
      </c>
      <c r="M689" s="10" t="s">
        <v>3236</v>
      </c>
      <c r="N689" s="10">
        <f t="shared" si="50"/>
        <v>0</v>
      </c>
      <c r="O689" t="str">
        <f t="shared" si="54"/>
        <v/>
      </c>
      <c r="P689" t="str">
        <f>IF(O689=1,COUNTIF($O$2:O689,1),"")</f>
        <v/>
      </c>
      <c r="Q689" t="str">
        <f>IFERROR(INDEX($M$2:$M$2388,MATCH(ROWS($P$2:P689),$P$2:$P$2388,0)),"")</f>
        <v/>
      </c>
    </row>
    <row r="690" spans="1:17" ht="15" x14ac:dyDescent="0.25">
      <c r="A690" s="10">
        <v>2041</v>
      </c>
      <c r="B690" s="10" t="s">
        <v>3237</v>
      </c>
      <c r="C690" s="880">
        <f t="shared" si="51"/>
        <v>-89.203000000000003</v>
      </c>
      <c r="D690" s="880">
        <f t="shared" si="52"/>
        <v>13.708600000000001</v>
      </c>
      <c r="E690" s="10">
        <v>-89.203056000000004</v>
      </c>
      <c r="F690" s="10">
        <v>13.708610999999999</v>
      </c>
      <c r="G690" s="10">
        <v>-6</v>
      </c>
      <c r="H690" s="10" t="s">
        <v>1975</v>
      </c>
      <c r="I690" s="10" t="s">
        <v>3238</v>
      </c>
      <c r="J690" s="10" t="s">
        <v>3239</v>
      </c>
      <c r="K690" s="10" t="s">
        <v>3240</v>
      </c>
      <c r="L690" s="65" t="str">
        <f t="shared" si="53"/>
        <v>San Salvador|El Salvador|-89,203056|13,708611|-6:00 America</v>
      </c>
      <c r="M690" s="10" t="s">
        <v>3241</v>
      </c>
      <c r="N690" s="10">
        <f t="shared" si="50"/>
        <v>0</v>
      </c>
      <c r="O690" t="str">
        <f t="shared" si="54"/>
        <v/>
      </c>
      <c r="P690" t="str">
        <f>IF(O690=1,COUNTIF($O$2:O690,1),"")</f>
        <v/>
      </c>
      <c r="Q690" t="str">
        <f>IFERROR(INDEX($M$2:$M$2388,MATCH(ROWS($P$2:P690),$P$2:$P$2388,0)),"")</f>
        <v/>
      </c>
    </row>
    <row r="691" spans="1:17" ht="15" x14ac:dyDescent="0.25">
      <c r="A691" s="10">
        <v>2040</v>
      </c>
      <c r="B691" s="10" t="s">
        <v>3242</v>
      </c>
      <c r="C691" s="880">
        <f t="shared" si="51"/>
        <v>-89.151300000000006</v>
      </c>
      <c r="D691" s="880">
        <f t="shared" si="52"/>
        <v>13.7347</v>
      </c>
      <c r="E691" s="10">
        <v>-89.151390000000006</v>
      </c>
      <c r="F691" s="10">
        <v>13.734722</v>
      </c>
      <c r="G691" s="10">
        <v>-6</v>
      </c>
      <c r="H691" s="10" t="s">
        <v>1975</v>
      </c>
      <c r="I691" s="10" t="s">
        <v>3238</v>
      </c>
      <c r="J691" s="10" t="s">
        <v>3239</v>
      </c>
      <c r="K691" s="10" t="s">
        <v>3240</v>
      </c>
      <c r="L691" s="65" t="str">
        <f t="shared" si="53"/>
        <v>Soyapango|El Salvador|-89,151390|13,734722|-6:00 America</v>
      </c>
      <c r="M691" s="10" t="s">
        <v>3243</v>
      </c>
      <c r="N691" s="10">
        <f t="shared" si="50"/>
        <v>0</v>
      </c>
      <c r="O691" t="str">
        <f t="shared" si="54"/>
        <v/>
      </c>
      <c r="P691" t="str">
        <f>IF(O691=1,COUNTIF($O$2:O691,1),"")</f>
        <v/>
      </c>
      <c r="Q691" t="str">
        <f>IFERROR(INDEX($M$2:$M$2388,MATCH(ROWS($P$2:P691),$P$2:$P$2388,0)),"")</f>
        <v/>
      </c>
    </row>
    <row r="692" spans="1:17" ht="15" x14ac:dyDescent="0.25">
      <c r="A692" s="10">
        <v>2039</v>
      </c>
      <c r="B692" s="10" t="s">
        <v>3244</v>
      </c>
      <c r="C692" s="880">
        <f t="shared" si="51"/>
        <v>-88.4499</v>
      </c>
      <c r="D692" s="880">
        <f t="shared" si="52"/>
        <v>13.35</v>
      </c>
      <c r="E692" s="10">
        <v>-88.449996999999996</v>
      </c>
      <c r="F692" s="10">
        <v>13.35</v>
      </c>
      <c r="G692" s="10">
        <v>-6</v>
      </c>
      <c r="H692" s="10" t="s">
        <v>1975</v>
      </c>
      <c r="I692" s="10" t="s">
        <v>3238</v>
      </c>
      <c r="J692" s="10" t="s">
        <v>3239</v>
      </c>
      <c r="K692" s="10" t="s">
        <v>3240</v>
      </c>
      <c r="L692" s="65" t="str">
        <f t="shared" si="53"/>
        <v>Usulutan|El Salvador|-88,449997|13,350000|-6:00 America</v>
      </c>
      <c r="M692" s="10" t="s">
        <v>3245</v>
      </c>
      <c r="N692" s="10">
        <f t="shared" si="50"/>
        <v>0</v>
      </c>
      <c r="O692" t="str">
        <f t="shared" si="54"/>
        <v/>
      </c>
      <c r="P692" t="str">
        <f>IF(O692=1,COUNTIF($O$2:O692,1),"")</f>
        <v/>
      </c>
      <c r="Q692" t="str">
        <f>IFERROR(INDEX($M$2:$M$2388,MATCH(ROWS($P$2:P692),$P$2:$P$2388,0)),"")</f>
        <v/>
      </c>
    </row>
    <row r="693" spans="1:17" ht="15" x14ac:dyDescent="0.25">
      <c r="A693" s="10">
        <v>2038</v>
      </c>
      <c r="B693" s="10" t="s">
        <v>3246</v>
      </c>
      <c r="C693" s="880">
        <f t="shared" si="51"/>
        <v>-88.866600000000005</v>
      </c>
      <c r="D693" s="880">
        <f t="shared" si="52"/>
        <v>13.5</v>
      </c>
      <c r="E693" s="10">
        <v>-88.866669000000002</v>
      </c>
      <c r="F693" s="10">
        <v>13.5</v>
      </c>
      <c r="G693" s="10">
        <v>-6</v>
      </c>
      <c r="H693" s="10" t="s">
        <v>1975</v>
      </c>
      <c r="I693" s="10" t="s">
        <v>3238</v>
      </c>
      <c r="J693" s="10" t="s">
        <v>3239</v>
      </c>
      <c r="K693" s="10" t="s">
        <v>3240</v>
      </c>
      <c r="L693" s="65" t="str">
        <f t="shared" si="53"/>
        <v>Zacatecoluca|El Salvador|-88,866669|13,500000|-6:00 America</v>
      </c>
      <c r="M693" s="10" t="s">
        <v>3247</v>
      </c>
      <c r="N693" s="10">
        <f t="shared" si="50"/>
        <v>0</v>
      </c>
      <c r="O693" t="str">
        <f t="shared" si="54"/>
        <v/>
      </c>
      <c r="P693" t="str">
        <f>IF(O693=1,COUNTIF($O$2:O693,1),"")</f>
        <v/>
      </c>
      <c r="Q693" t="str">
        <f>IFERROR(INDEX($M$2:$M$2388,MATCH(ROWS($P$2:P693),$P$2:$P$2388,0)),"")</f>
        <v/>
      </c>
    </row>
    <row r="694" spans="1:17" ht="15" x14ac:dyDescent="0.25">
      <c r="A694" s="10">
        <v>2037</v>
      </c>
      <c r="B694" s="10" t="s">
        <v>2990</v>
      </c>
      <c r="C694" s="880">
        <f t="shared" si="51"/>
        <v>-89.288799999999995</v>
      </c>
      <c r="D694" s="880">
        <f t="shared" si="52"/>
        <v>13.589399999999999</v>
      </c>
      <c r="E694" s="10">
        <v>-89.288887000000003</v>
      </c>
      <c r="F694" s="10">
        <v>13.589444</v>
      </c>
      <c r="G694" s="10">
        <v>-6</v>
      </c>
      <c r="H694" s="10" t="s">
        <v>1873</v>
      </c>
      <c r="I694" s="10" t="s">
        <v>3238</v>
      </c>
      <c r="J694" s="10" t="s">
        <v>3239</v>
      </c>
      <c r="K694" s="10" t="s">
        <v>2939</v>
      </c>
      <c r="L694" s="65" t="str">
        <f t="shared" si="53"/>
        <v>Zaragoza|El Salvador|-89,288887|13,589444|-5:00 America</v>
      </c>
      <c r="M694" s="10" t="s">
        <v>3248</v>
      </c>
      <c r="N694" s="10">
        <f t="shared" si="50"/>
        <v>0</v>
      </c>
      <c r="O694" t="str">
        <f t="shared" si="54"/>
        <v/>
      </c>
      <c r="P694" t="str">
        <f>IF(O694=1,COUNTIF($O$2:O694,1),"")</f>
        <v/>
      </c>
      <c r="Q694" t="str">
        <f>IFERROR(INDEX($M$2:$M$2388,MATCH(ROWS($P$2:P694),$P$2:$P$2388,0)),"")</f>
        <v/>
      </c>
    </row>
    <row r="695" spans="1:17" ht="15" x14ac:dyDescent="0.25">
      <c r="A695" s="10">
        <v>855</v>
      </c>
      <c r="B695" s="10" t="s">
        <v>3249</v>
      </c>
      <c r="C695" s="880">
        <f t="shared" si="51"/>
        <v>11.316599999999999</v>
      </c>
      <c r="D695" s="880">
        <f t="shared" si="52"/>
        <v>1.6333</v>
      </c>
      <c r="E695" s="10">
        <v>11.316667000000001</v>
      </c>
      <c r="F695" s="10">
        <v>1.6333329999999999</v>
      </c>
      <c r="G695" s="10">
        <v>1</v>
      </c>
      <c r="H695" s="10" t="s">
        <v>1670</v>
      </c>
      <c r="I695" s="10" t="s">
        <v>3250</v>
      </c>
      <c r="J695" s="10" t="s">
        <v>3251</v>
      </c>
      <c r="K695" s="10" t="s">
        <v>3252</v>
      </c>
      <c r="L695" s="65" t="str">
        <f t="shared" si="53"/>
        <v>Mongomo|Equatorial Guinea|11,316667|1,633333|+1:00 Africa</v>
      </c>
      <c r="M695" s="10" t="s">
        <v>3253</v>
      </c>
      <c r="N695" s="10">
        <f t="shared" si="50"/>
        <v>0</v>
      </c>
      <c r="O695" t="str">
        <f t="shared" si="54"/>
        <v/>
      </c>
      <c r="P695" t="str">
        <f>IF(O695=1,COUNTIF($O$2:O695,1),"")</f>
        <v/>
      </c>
      <c r="Q695" t="str">
        <f>IFERROR(INDEX($M$2:$M$2388,MATCH(ROWS($P$2:P695),$P$2:$P$2388,0)),"")</f>
        <v/>
      </c>
    </row>
    <row r="696" spans="1:17" ht="15" x14ac:dyDescent="0.25">
      <c r="A696" s="10">
        <v>853</v>
      </c>
      <c r="B696" s="10" t="s">
        <v>3254</v>
      </c>
      <c r="C696" s="880">
        <f t="shared" si="51"/>
        <v>5.6325000000000003</v>
      </c>
      <c r="D696" s="880">
        <f t="shared" si="52"/>
        <v>-1.4013</v>
      </c>
      <c r="E696" s="10">
        <v>5.6325000000000003</v>
      </c>
      <c r="F696" s="10">
        <v>-1.401389</v>
      </c>
      <c r="G696" s="10">
        <v>1</v>
      </c>
      <c r="H696" s="10" t="s">
        <v>1670</v>
      </c>
      <c r="I696" s="10" t="s">
        <v>3250</v>
      </c>
      <c r="J696" s="10" t="s">
        <v>3251</v>
      </c>
      <c r="K696" s="10" t="s">
        <v>3252</v>
      </c>
      <c r="L696" s="65" t="str">
        <f t="shared" si="53"/>
        <v>Pale|Equatorial Guinea|5,632500|-1,401389|+1:00 Africa</v>
      </c>
      <c r="M696" s="10" t="s">
        <v>3255</v>
      </c>
      <c r="N696" s="10">
        <f t="shared" si="50"/>
        <v>0</v>
      </c>
      <c r="O696" t="str">
        <f t="shared" si="54"/>
        <v/>
      </c>
      <c r="P696" t="str">
        <f>IF(O696=1,COUNTIF($O$2:O696,1),"")</f>
        <v/>
      </c>
      <c r="Q696" t="str">
        <f>IFERROR(INDEX($M$2:$M$2388,MATCH(ROWS($P$2:P696),$P$2:$P$2388,0)),"")</f>
        <v/>
      </c>
    </row>
    <row r="697" spans="1:17" ht="15" x14ac:dyDescent="0.25">
      <c r="A697" s="10">
        <v>854</v>
      </c>
      <c r="B697" s="10" t="s">
        <v>3256</v>
      </c>
      <c r="C697" s="880">
        <f t="shared" si="51"/>
        <v>8.8332999999999995</v>
      </c>
      <c r="D697" s="880">
        <f t="shared" si="52"/>
        <v>3.7166000000000001</v>
      </c>
      <c r="E697" s="10">
        <v>8.8333329999999997</v>
      </c>
      <c r="F697" s="10">
        <v>3.7166670000000002</v>
      </c>
      <c r="G697" s="10">
        <v>1</v>
      </c>
      <c r="H697" s="10" t="s">
        <v>1670</v>
      </c>
      <c r="I697" s="10" t="s">
        <v>3250</v>
      </c>
      <c r="J697" s="10" t="s">
        <v>3251</v>
      </c>
      <c r="K697" s="10" t="s">
        <v>3252</v>
      </c>
      <c r="L697" s="65" t="str">
        <f t="shared" si="53"/>
        <v>Rebola|Equatorial Guinea|8,833333|3,716667|+1:00 Africa</v>
      </c>
      <c r="M697" s="10" t="s">
        <v>3257</v>
      </c>
      <c r="N697" s="10">
        <f t="shared" si="50"/>
        <v>0</v>
      </c>
      <c r="O697" t="str">
        <f t="shared" si="54"/>
        <v/>
      </c>
      <c r="P697" t="str">
        <f>IF(O697=1,COUNTIF($O$2:O697,1),"")</f>
        <v/>
      </c>
      <c r="Q697" t="str">
        <f>IFERROR(INDEX($M$2:$M$2388,MATCH(ROWS($P$2:P697),$P$2:$P$2388,0)),"")</f>
        <v/>
      </c>
    </row>
    <row r="698" spans="1:17" ht="15" x14ac:dyDescent="0.25">
      <c r="A698" s="10">
        <v>732</v>
      </c>
      <c r="B698" s="10" t="s">
        <v>3258</v>
      </c>
      <c r="C698" s="880">
        <f t="shared" si="51"/>
        <v>38.933300000000003</v>
      </c>
      <c r="D698" s="880">
        <f t="shared" si="52"/>
        <v>15.333299999999999</v>
      </c>
      <c r="E698" s="10">
        <v>38.933334000000002</v>
      </c>
      <c r="F698" s="10">
        <v>15.333333</v>
      </c>
      <c r="G698" s="10">
        <v>3</v>
      </c>
      <c r="H698" s="10" t="s">
        <v>1883</v>
      </c>
      <c r="I698" s="10" t="s">
        <v>3259</v>
      </c>
      <c r="J698" s="10" t="s">
        <v>3260</v>
      </c>
      <c r="K698" s="10" t="s">
        <v>3261</v>
      </c>
      <c r="L698" s="65" t="str">
        <f t="shared" si="53"/>
        <v>Asmara|Eritrea|38,933334|15,333333|+3:00 Africa</v>
      </c>
      <c r="M698" s="10" t="s">
        <v>3262</v>
      </c>
      <c r="N698" s="10">
        <f t="shared" si="50"/>
        <v>0</v>
      </c>
      <c r="O698" t="str">
        <f t="shared" si="54"/>
        <v/>
      </c>
      <c r="P698" t="str">
        <f>IF(O698=1,COUNTIF($O$2:O698,1),"")</f>
        <v/>
      </c>
      <c r="Q698" t="str">
        <f>IFERROR(INDEX($M$2:$M$2388,MATCH(ROWS($P$2:P698),$P$2:$P$2388,0)),"")</f>
        <v/>
      </c>
    </row>
    <row r="699" spans="1:17" ht="15" x14ac:dyDescent="0.25">
      <c r="A699" s="10">
        <v>731</v>
      </c>
      <c r="B699" s="10" t="s">
        <v>3263</v>
      </c>
      <c r="C699" s="880">
        <f t="shared" si="51"/>
        <v>37.592700000000001</v>
      </c>
      <c r="D699" s="880">
        <f t="shared" si="52"/>
        <v>15.113799999999999</v>
      </c>
      <c r="E699" s="10">
        <v>37.592776999999998</v>
      </c>
      <c r="F699" s="10">
        <v>15.113889</v>
      </c>
      <c r="G699" s="10">
        <v>3</v>
      </c>
      <c r="H699" s="10" t="s">
        <v>1883</v>
      </c>
      <c r="I699" s="10" t="s">
        <v>3259</v>
      </c>
      <c r="J699" s="10" t="s">
        <v>3260</v>
      </c>
      <c r="K699" s="10" t="s">
        <v>3261</v>
      </c>
      <c r="L699" s="65" t="str">
        <f t="shared" si="53"/>
        <v>Barentu|Eritrea|37,592777|15,113889|+3:00 Africa</v>
      </c>
      <c r="M699" s="10" t="s">
        <v>3264</v>
      </c>
      <c r="N699" s="10">
        <f t="shared" si="50"/>
        <v>0</v>
      </c>
      <c r="O699" t="str">
        <f t="shared" si="54"/>
        <v/>
      </c>
      <c r="P699" t="str">
        <f>IF(O699=1,COUNTIF($O$2:O699,1),"")</f>
        <v/>
      </c>
      <c r="Q699" t="str">
        <f>IFERROR(INDEX($M$2:$M$2388,MATCH(ROWS($P$2:P699),$P$2:$P$2388,0)),"")</f>
        <v/>
      </c>
    </row>
    <row r="700" spans="1:17" ht="15" x14ac:dyDescent="0.25">
      <c r="A700" s="10">
        <v>730</v>
      </c>
      <c r="B700" s="10" t="s">
        <v>3265</v>
      </c>
      <c r="C700" s="880">
        <f t="shared" si="51"/>
        <v>39.047499999999999</v>
      </c>
      <c r="D700" s="880">
        <f t="shared" si="52"/>
        <v>15.07</v>
      </c>
      <c r="E700" s="10">
        <v>39.047500999999997</v>
      </c>
      <c r="F700" s="10">
        <v>15.07</v>
      </c>
      <c r="G700" s="10">
        <v>3</v>
      </c>
      <c r="H700" s="10" t="s">
        <v>1883</v>
      </c>
      <c r="I700" s="10" t="s">
        <v>3259</v>
      </c>
      <c r="J700" s="10" t="s">
        <v>3260</v>
      </c>
      <c r="K700" s="10" t="s">
        <v>3261</v>
      </c>
      <c r="L700" s="65" t="str">
        <f t="shared" si="53"/>
        <v>Dekemhare|Eritrea|39,047501|15,070000|+3:00 Africa</v>
      </c>
      <c r="M700" s="10" t="s">
        <v>3266</v>
      </c>
      <c r="N700" s="10">
        <f t="shared" si="50"/>
        <v>0</v>
      </c>
      <c r="O700" t="str">
        <f t="shared" si="54"/>
        <v/>
      </c>
      <c r="P700" t="str">
        <f>IF(O700=1,COUNTIF($O$2:O700,1),"")</f>
        <v/>
      </c>
      <c r="Q700" t="str">
        <f>IFERROR(INDEX($M$2:$M$2388,MATCH(ROWS($P$2:P700),$P$2:$P$2388,0)),"")</f>
        <v/>
      </c>
    </row>
    <row r="701" spans="1:17" ht="15" x14ac:dyDescent="0.25">
      <c r="A701" s="10">
        <v>729</v>
      </c>
      <c r="B701" s="10" t="s">
        <v>3267</v>
      </c>
      <c r="C701" s="880">
        <f t="shared" si="51"/>
        <v>41.692500000000003</v>
      </c>
      <c r="D701" s="880">
        <f t="shared" si="52"/>
        <v>13.9297</v>
      </c>
      <c r="E701" s="10">
        <v>41.692501</v>
      </c>
      <c r="F701" s="10">
        <v>13.929722</v>
      </c>
      <c r="G701" s="10">
        <v>3</v>
      </c>
      <c r="H701" s="10" t="s">
        <v>1883</v>
      </c>
      <c r="I701" s="10" t="s">
        <v>3259</v>
      </c>
      <c r="J701" s="10" t="s">
        <v>3260</v>
      </c>
      <c r="K701" s="10" t="s">
        <v>3261</v>
      </c>
      <c r="L701" s="65" t="str">
        <f t="shared" si="53"/>
        <v>Idi|Eritrea|41,692501|13,929722|+3:00 Africa</v>
      </c>
      <c r="M701" s="10" t="s">
        <v>3268</v>
      </c>
      <c r="N701" s="10">
        <f t="shared" si="50"/>
        <v>0</v>
      </c>
      <c r="O701" t="str">
        <f t="shared" si="54"/>
        <v/>
      </c>
      <c r="P701" t="str">
        <f>IF(O701=1,COUNTIF($O$2:O701,1),"")</f>
        <v/>
      </c>
      <c r="Q701" t="str">
        <f>IFERROR(INDEX($M$2:$M$2388,MATCH(ROWS($P$2:P701),$P$2:$P$2388,0)),"")</f>
        <v/>
      </c>
    </row>
    <row r="702" spans="1:17" ht="15" x14ac:dyDescent="0.25">
      <c r="A702" s="10">
        <v>706</v>
      </c>
      <c r="B702" s="10" t="s">
        <v>3269</v>
      </c>
      <c r="C702" s="880">
        <f t="shared" si="51"/>
        <v>24.728000000000002</v>
      </c>
      <c r="D702" s="880">
        <f t="shared" si="52"/>
        <v>59.433799999999998</v>
      </c>
      <c r="E702" s="10">
        <v>24.728055999999999</v>
      </c>
      <c r="F702" s="10">
        <v>59.433886999999999</v>
      </c>
      <c r="G702" s="10">
        <v>2</v>
      </c>
      <c r="H702" s="10" t="s">
        <v>1938</v>
      </c>
      <c r="I702" s="10" t="s">
        <v>3270</v>
      </c>
      <c r="J702" s="10" t="s">
        <v>3271</v>
      </c>
      <c r="K702" s="10" t="s">
        <v>3272</v>
      </c>
      <c r="L702" s="65" t="str">
        <f t="shared" si="53"/>
        <v>Tallinn|Estonia|24,728056|59,433887|+2:00 Europe</v>
      </c>
      <c r="M702" s="10" t="s">
        <v>3273</v>
      </c>
      <c r="N702" s="10">
        <f t="shared" si="50"/>
        <v>0</v>
      </c>
      <c r="O702" t="str">
        <f t="shared" si="54"/>
        <v/>
      </c>
      <c r="P702" t="str">
        <f>IF(O702=1,COUNTIF($O$2:O702,1),"")</f>
        <v/>
      </c>
      <c r="Q702" t="str">
        <f>IFERROR(INDEX($M$2:$M$2388,MATCH(ROWS($P$2:P702),$P$2:$P$2388,0)),"")</f>
        <v/>
      </c>
    </row>
    <row r="703" spans="1:17" ht="15" x14ac:dyDescent="0.25">
      <c r="A703" s="10">
        <v>705</v>
      </c>
      <c r="B703" s="10" t="s">
        <v>3274</v>
      </c>
      <c r="C703" s="880">
        <f t="shared" si="51"/>
        <v>26.045200000000001</v>
      </c>
      <c r="D703" s="880">
        <f t="shared" si="52"/>
        <v>57.7744</v>
      </c>
      <c r="E703" s="10">
        <v>26.045279000000001</v>
      </c>
      <c r="F703" s="10">
        <v>57.774445</v>
      </c>
      <c r="G703" s="10">
        <v>2</v>
      </c>
      <c r="H703" s="10" t="s">
        <v>1938</v>
      </c>
      <c r="I703" s="10" t="s">
        <v>3270</v>
      </c>
      <c r="J703" s="10" t="s">
        <v>3271</v>
      </c>
      <c r="K703" s="10" t="s">
        <v>3272</v>
      </c>
      <c r="L703" s="65" t="str">
        <f t="shared" si="53"/>
        <v>Valga|Estonia|26,045279|57,774445|+2:00 Europe</v>
      </c>
      <c r="M703" s="10" t="s">
        <v>3275</v>
      </c>
      <c r="N703" s="10">
        <f t="shared" si="50"/>
        <v>0</v>
      </c>
      <c r="O703" t="str">
        <f t="shared" si="54"/>
        <v/>
      </c>
      <c r="P703" t="str">
        <f>IF(O703=1,COUNTIF($O$2:O703,1),"")</f>
        <v/>
      </c>
      <c r="Q703" t="str">
        <f>IFERROR(INDEX($M$2:$M$2388,MATCH(ROWS($P$2:P703),$P$2:$P$2388,0)),"")</f>
        <v/>
      </c>
    </row>
    <row r="704" spans="1:17" ht="15" x14ac:dyDescent="0.25">
      <c r="A704" s="10">
        <v>704</v>
      </c>
      <c r="B704" s="10" t="s">
        <v>3276</v>
      </c>
      <c r="C704" s="880">
        <f t="shared" si="51"/>
        <v>25.59</v>
      </c>
      <c r="D704" s="880">
        <f t="shared" si="52"/>
        <v>58.363799999999998</v>
      </c>
      <c r="E704" s="10">
        <v>25.59</v>
      </c>
      <c r="F704" s="10">
        <v>58.363888000000003</v>
      </c>
      <c r="G704" s="10">
        <v>2</v>
      </c>
      <c r="H704" s="10" t="s">
        <v>1938</v>
      </c>
      <c r="I704" s="10" t="s">
        <v>3270</v>
      </c>
      <c r="J704" s="10" t="s">
        <v>3271</v>
      </c>
      <c r="K704" s="10" t="s">
        <v>3272</v>
      </c>
      <c r="L704" s="65" t="str">
        <f t="shared" si="53"/>
        <v>Viljandi|Estonia|25,590000|58,363888|+2:00 Europe</v>
      </c>
      <c r="M704" s="10" t="s">
        <v>3277</v>
      </c>
      <c r="N704" s="10">
        <f t="shared" si="50"/>
        <v>0</v>
      </c>
      <c r="O704" t="str">
        <f t="shared" si="54"/>
        <v/>
      </c>
      <c r="P704" t="str">
        <f>IF(O704=1,COUNTIF($O$2:O704,1),"")</f>
        <v/>
      </c>
      <c r="Q704" t="str">
        <f>IFERROR(INDEX($M$2:$M$2388,MATCH(ROWS($P$2:P704),$P$2:$P$2388,0)),"")</f>
        <v/>
      </c>
    </row>
    <row r="705" spans="1:17" ht="15" x14ac:dyDescent="0.25">
      <c r="A705" s="10">
        <v>703</v>
      </c>
      <c r="B705" s="10" t="s">
        <v>3278</v>
      </c>
      <c r="C705" s="880">
        <f t="shared" si="51"/>
        <v>27.019400000000001</v>
      </c>
      <c r="D705" s="880">
        <f t="shared" si="52"/>
        <v>57.833799999999997</v>
      </c>
      <c r="E705" s="10">
        <v>27.019444</v>
      </c>
      <c r="F705" s="10">
        <v>57.833888999999999</v>
      </c>
      <c r="G705" s="10">
        <v>2</v>
      </c>
      <c r="H705" s="10" t="s">
        <v>1938</v>
      </c>
      <c r="I705" s="10" t="s">
        <v>3270</v>
      </c>
      <c r="J705" s="10" t="s">
        <v>3271</v>
      </c>
      <c r="K705" s="10" t="s">
        <v>3272</v>
      </c>
      <c r="L705" s="65" t="str">
        <f t="shared" si="53"/>
        <v>Voru|Estonia|27,019444|57,833889|+2:00 Europe</v>
      </c>
      <c r="M705" s="10" t="s">
        <v>3279</v>
      </c>
      <c r="N705" s="10">
        <f t="shared" si="50"/>
        <v>0</v>
      </c>
      <c r="O705" t="str">
        <f t="shared" si="54"/>
        <v/>
      </c>
      <c r="P705" t="str">
        <f>IF(O705=1,COUNTIF($O$2:O705,1),"")</f>
        <v/>
      </c>
      <c r="Q705" t="str">
        <f>IFERROR(INDEX($M$2:$M$2388,MATCH(ROWS($P$2:P705),$P$2:$P$2388,0)),"")</f>
        <v/>
      </c>
    </row>
    <row r="706" spans="1:17" ht="15" x14ac:dyDescent="0.25">
      <c r="A706" s="10">
        <v>768</v>
      </c>
      <c r="B706" s="10" t="s">
        <v>3280</v>
      </c>
      <c r="C706" s="880">
        <f t="shared" si="51"/>
        <v>38.700000000000003</v>
      </c>
      <c r="D706" s="880">
        <f t="shared" si="52"/>
        <v>9.0333000000000006</v>
      </c>
      <c r="E706" s="10">
        <v>38.700001</v>
      </c>
      <c r="F706" s="10">
        <v>9.0333330000000007</v>
      </c>
      <c r="G706" s="10">
        <v>3</v>
      </c>
      <c r="H706" s="10" t="s">
        <v>1883</v>
      </c>
      <c r="I706" s="10" t="s">
        <v>3281</v>
      </c>
      <c r="J706" s="10" t="s">
        <v>3282</v>
      </c>
      <c r="K706" s="10" t="s">
        <v>3283</v>
      </c>
      <c r="L706" s="65" t="str">
        <f t="shared" si="53"/>
        <v>Addis Ababa|Ethiopia|38,700001|9,033333|+3:00 Africa</v>
      </c>
      <c r="M706" s="10" t="s">
        <v>3284</v>
      </c>
      <c r="N706" s="10">
        <f t="shared" ref="N706:N769" si="55">--ISNUMBER(IFERROR(SEARCH($R$2,J706,1),""))</f>
        <v>0</v>
      </c>
      <c r="O706" t="str">
        <f t="shared" si="54"/>
        <v/>
      </c>
      <c r="P706" t="str">
        <f>IF(O706=1,COUNTIF($O$2:O706,1),"")</f>
        <v/>
      </c>
      <c r="Q706" t="str">
        <f>IFERROR(INDEX($M$2:$M$2388,MATCH(ROWS($P$2:P706),$P$2:$P$2388,0)),"")</f>
        <v/>
      </c>
    </row>
    <row r="707" spans="1:17" ht="15" x14ac:dyDescent="0.25">
      <c r="A707" s="10">
        <v>767</v>
      </c>
      <c r="B707" s="10" t="s">
        <v>3285</v>
      </c>
      <c r="C707" s="880">
        <f t="shared" ref="C707:C770" si="56">TRUNC(E707,4)</f>
        <v>41.866100000000003</v>
      </c>
      <c r="D707" s="880">
        <f t="shared" ref="D707:D770" si="57">TRUNC(F707,4)</f>
        <v>9.593</v>
      </c>
      <c r="E707" s="10">
        <v>41.866112000000001</v>
      </c>
      <c r="F707" s="10">
        <v>9.5930560000000007</v>
      </c>
      <c r="G707" s="10">
        <v>3</v>
      </c>
      <c r="H707" s="10" t="s">
        <v>1883</v>
      </c>
      <c r="I707" s="10" t="s">
        <v>3281</v>
      </c>
      <c r="J707" s="10" t="s">
        <v>3282</v>
      </c>
      <c r="K707" s="10" t="s">
        <v>3283</v>
      </c>
      <c r="L707" s="65" t="str">
        <f t="shared" ref="L707:L770" si="58">MID(M707,1,LEN(M707)-(LEN(K707)-SEARCH("/",K707)+1))</f>
        <v>Dire Dawa|Ethiopia|41,866112|9,593056|+3:00 Africa</v>
      </c>
      <c r="M707" s="10" t="s">
        <v>3286</v>
      </c>
      <c r="N707" s="10">
        <f t="shared" si="55"/>
        <v>0</v>
      </c>
      <c r="O707" t="str">
        <f t="shared" ref="O707:O770" si="59">IF(N707=0,"",--ISNUMBER(IFERROR(SEARCH($U$2,L707,1),"")))</f>
        <v/>
      </c>
      <c r="P707" t="str">
        <f>IF(O707=1,COUNTIF($O$2:O707,1),"")</f>
        <v/>
      </c>
      <c r="Q707" t="str">
        <f>IFERROR(INDEX($M$2:$M$2388,MATCH(ROWS($P$2:P707),$P$2:$P$2388,0)),"")</f>
        <v/>
      </c>
    </row>
    <row r="708" spans="1:17" ht="15" x14ac:dyDescent="0.25">
      <c r="A708" s="10">
        <v>766</v>
      </c>
      <c r="B708" s="10" t="s">
        <v>3287</v>
      </c>
      <c r="C708" s="880">
        <f t="shared" si="56"/>
        <v>39.266599999999997</v>
      </c>
      <c r="D708" s="880">
        <f t="shared" si="57"/>
        <v>8.5500000000000007</v>
      </c>
      <c r="E708" s="10">
        <v>39.266666000000001</v>
      </c>
      <c r="F708" s="10">
        <v>8.5500000000000007</v>
      </c>
      <c r="G708" s="10">
        <v>3</v>
      </c>
      <c r="H708" s="10" t="s">
        <v>1883</v>
      </c>
      <c r="I708" s="10" t="s">
        <v>3281</v>
      </c>
      <c r="J708" s="10" t="s">
        <v>3282</v>
      </c>
      <c r="K708" s="10" t="s">
        <v>3283</v>
      </c>
      <c r="L708" s="65" t="str">
        <f t="shared" si="58"/>
        <v>Nazret|Ethiopia|39,266666|8,550000|+3:00 Africa</v>
      </c>
      <c r="M708" s="10" t="s">
        <v>3288</v>
      </c>
      <c r="N708" s="10">
        <f t="shared" si="55"/>
        <v>0</v>
      </c>
      <c r="O708" t="str">
        <f t="shared" si="59"/>
        <v/>
      </c>
      <c r="P708" t="str">
        <f>IF(O708=1,COUNTIF($O$2:O708,1),"")</f>
        <v/>
      </c>
      <c r="Q708" t="str">
        <f>IFERROR(INDEX($M$2:$M$2388,MATCH(ROWS($P$2:P708),$P$2:$P$2388,0)),"")</f>
        <v/>
      </c>
    </row>
    <row r="709" spans="1:17" ht="15" x14ac:dyDescent="0.25">
      <c r="A709" s="10">
        <v>765</v>
      </c>
      <c r="B709" s="10" t="s">
        <v>3289</v>
      </c>
      <c r="C709" s="880">
        <f t="shared" si="56"/>
        <v>38.083300000000001</v>
      </c>
      <c r="D709" s="880">
        <f t="shared" si="57"/>
        <v>4.8833000000000002</v>
      </c>
      <c r="E709" s="10">
        <v>38.083331999999999</v>
      </c>
      <c r="F709" s="10">
        <v>4.8833330000000004</v>
      </c>
      <c r="G709" s="10">
        <v>3</v>
      </c>
      <c r="H709" s="10" t="s">
        <v>1883</v>
      </c>
      <c r="I709" s="10" t="s">
        <v>3281</v>
      </c>
      <c r="J709" s="10" t="s">
        <v>3282</v>
      </c>
      <c r="K709" s="10" t="s">
        <v>3283</v>
      </c>
      <c r="L709" s="65" t="str">
        <f t="shared" si="58"/>
        <v>Yabelo|Ethiopia|38,083332|4,883333|+3:00 Africa</v>
      </c>
      <c r="M709" s="10" t="s">
        <v>3290</v>
      </c>
      <c r="N709" s="10">
        <f t="shared" si="55"/>
        <v>0</v>
      </c>
      <c r="O709" t="str">
        <f t="shared" si="59"/>
        <v/>
      </c>
      <c r="P709" t="str">
        <f>IF(O709=1,COUNTIF($O$2:O709,1),"")</f>
        <v/>
      </c>
      <c r="Q709" t="str">
        <f>IFERROR(INDEX($M$2:$M$2388,MATCH(ROWS($P$2:P709),$P$2:$P$2388,0)),"")</f>
        <v/>
      </c>
    </row>
    <row r="710" spans="1:17" ht="15" x14ac:dyDescent="0.25">
      <c r="A710" s="10">
        <v>764</v>
      </c>
      <c r="B710" s="10" t="s">
        <v>3291</v>
      </c>
      <c r="C710" s="880">
        <f t="shared" si="56"/>
        <v>38.416600000000003</v>
      </c>
      <c r="D710" s="880">
        <f t="shared" si="57"/>
        <v>6.75</v>
      </c>
      <c r="E710" s="10">
        <v>38.416668000000001</v>
      </c>
      <c r="F710" s="10">
        <v>6.75</v>
      </c>
      <c r="G710" s="10">
        <v>3</v>
      </c>
      <c r="H710" s="10" t="s">
        <v>1883</v>
      </c>
      <c r="I710" s="10" t="s">
        <v>3281</v>
      </c>
      <c r="J710" s="10" t="s">
        <v>3282</v>
      </c>
      <c r="K710" s="10" t="s">
        <v>3283</v>
      </c>
      <c r="L710" s="65" t="str">
        <f t="shared" si="58"/>
        <v>Yirga `Alem|Ethiopia|38,416668|6,750000|+3:00 Africa</v>
      </c>
      <c r="M710" s="10" t="s">
        <v>3292</v>
      </c>
      <c r="N710" s="10">
        <f t="shared" si="55"/>
        <v>0</v>
      </c>
      <c r="O710" t="str">
        <f t="shared" si="59"/>
        <v/>
      </c>
      <c r="P710" t="str">
        <f>IF(O710=1,COUNTIF($O$2:O710,1),"")</f>
        <v/>
      </c>
      <c r="Q710" t="str">
        <f>IFERROR(INDEX($M$2:$M$2388,MATCH(ROWS($P$2:P710),$P$2:$P$2388,0)),"")</f>
        <v/>
      </c>
    </row>
    <row r="711" spans="1:17" ht="15" x14ac:dyDescent="0.25">
      <c r="A711" s="10">
        <v>763</v>
      </c>
      <c r="B711" s="10" t="s">
        <v>3293</v>
      </c>
      <c r="C711" s="880">
        <f t="shared" si="56"/>
        <v>38.7166</v>
      </c>
      <c r="D711" s="880">
        <f t="shared" si="57"/>
        <v>7.9333</v>
      </c>
      <c r="E711" s="10">
        <v>38.716667000000001</v>
      </c>
      <c r="F711" s="10">
        <v>7.9333330000000002</v>
      </c>
      <c r="G711" s="10">
        <v>3</v>
      </c>
      <c r="H711" s="10" t="s">
        <v>1883</v>
      </c>
      <c r="I711" s="10" t="s">
        <v>3281</v>
      </c>
      <c r="J711" s="10" t="s">
        <v>3282</v>
      </c>
      <c r="K711" s="10" t="s">
        <v>3283</v>
      </c>
      <c r="L711" s="65" t="str">
        <f t="shared" si="58"/>
        <v>Ziway|Ethiopia|38,716667|7,933333|+3:00 Africa</v>
      </c>
      <c r="M711" s="10" t="s">
        <v>3294</v>
      </c>
      <c r="N711" s="10">
        <f t="shared" si="55"/>
        <v>0</v>
      </c>
      <c r="O711" t="str">
        <f t="shared" si="59"/>
        <v/>
      </c>
      <c r="P711" t="str">
        <f>IF(O711=1,COUNTIF($O$2:O711,1),"")</f>
        <v/>
      </c>
      <c r="Q711" t="str">
        <f>IFERROR(INDEX($M$2:$M$2388,MATCH(ROWS($P$2:P711),$P$2:$P$2388,0)),"")</f>
        <v/>
      </c>
    </row>
    <row r="712" spans="1:17" ht="15" x14ac:dyDescent="0.25">
      <c r="A712" s="10">
        <v>779</v>
      </c>
      <c r="B712" s="10" t="s">
        <v>3295</v>
      </c>
      <c r="C712" s="880">
        <f t="shared" si="56"/>
        <v>-6.7666000000000004</v>
      </c>
      <c r="D712" s="880">
        <f t="shared" si="57"/>
        <v>62.016599999999997</v>
      </c>
      <c r="E712" s="10">
        <v>-6.766667</v>
      </c>
      <c r="F712" s="10">
        <v>62.016666000000001</v>
      </c>
      <c r="G712" s="10">
        <v>0</v>
      </c>
      <c r="H712" s="10" t="s">
        <v>2318</v>
      </c>
      <c r="I712" s="10" t="s">
        <v>3296</v>
      </c>
      <c r="J712" s="10" t="s">
        <v>3297</v>
      </c>
      <c r="K712" s="10" t="s">
        <v>3298</v>
      </c>
      <c r="L712" s="65" t="str">
        <f t="shared" si="58"/>
        <v>Torshavn|Faroe|-6,766667|62,016666|+0:00 Atlantic</v>
      </c>
      <c r="M712" s="10" t="s">
        <v>3299</v>
      </c>
      <c r="N712" s="10">
        <f t="shared" si="55"/>
        <v>0</v>
      </c>
      <c r="O712" t="str">
        <f t="shared" si="59"/>
        <v/>
      </c>
      <c r="P712" t="str">
        <f>IF(O712=1,COUNTIF($O$2:O712,1),"")</f>
        <v/>
      </c>
      <c r="Q712" t="str">
        <f>IFERROR(INDEX($M$2:$M$2388,MATCH(ROWS($P$2:P712),$P$2:$P$2388,0)),"")</f>
        <v/>
      </c>
    </row>
    <row r="713" spans="1:17" ht="15" x14ac:dyDescent="0.25">
      <c r="A713" s="10">
        <v>775</v>
      </c>
      <c r="B713" s="10" t="s">
        <v>3300</v>
      </c>
      <c r="C713" s="880">
        <f t="shared" si="56"/>
        <v>179.38329999999999</v>
      </c>
      <c r="D713" s="880">
        <f t="shared" si="57"/>
        <v>-16.416599999999999</v>
      </c>
      <c r="E713" s="10">
        <v>179.383331</v>
      </c>
      <c r="F713" s="10">
        <v>-16.416665999999999</v>
      </c>
      <c r="G713" s="10">
        <v>12</v>
      </c>
      <c r="H713" s="10" t="s">
        <v>3301</v>
      </c>
      <c r="I713" s="10" t="s">
        <v>3302</v>
      </c>
      <c r="J713" s="10" t="s">
        <v>3303</v>
      </c>
      <c r="K713" s="10" t="s">
        <v>3304</v>
      </c>
      <c r="L713" s="65" t="str">
        <f t="shared" si="58"/>
        <v>Lambasa|Fiji|179,383331|-16,416666|+12:00 Pacific</v>
      </c>
      <c r="M713" s="10" t="s">
        <v>3305</v>
      </c>
      <c r="N713" s="10">
        <f t="shared" si="55"/>
        <v>0</v>
      </c>
      <c r="O713" t="str">
        <f t="shared" si="59"/>
        <v/>
      </c>
      <c r="P713" t="str">
        <f>IF(O713=1,COUNTIF($O$2:O713,1),"")</f>
        <v/>
      </c>
      <c r="Q713" t="str">
        <f>IFERROR(INDEX($M$2:$M$2388,MATCH(ROWS($P$2:P713),$P$2:$P$2388,0)),"")</f>
        <v/>
      </c>
    </row>
    <row r="714" spans="1:17" ht="15" x14ac:dyDescent="0.25">
      <c r="A714" s="10">
        <v>774</v>
      </c>
      <c r="B714" s="10" t="s">
        <v>3306</v>
      </c>
      <c r="C714" s="880">
        <f t="shared" si="56"/>
        <v>24.666599999999999</v>
      </c>
      <c r="D714" s="880">
        <f t="shared" si="57"/>
        <v>60.2166</v>
      </c>
      <c r="E714" s="10">
        <v>24.666665999999999</v>
      </c>
      <c r="F714" s="10">
        <v>60.216667000000001</v>
      </c>
      <c r="G714" s="10">
        <v>2</v>
      </c>
      <c r="H714" s="10" t="s">
        <v>1938</v>
      </c>
      <c r="I714" s="10" t="s">
        <v>3307</v>
      </c>
      <c r="J714" s="10" t="s">
        <v>3308</v>
      </c>
      <c r="K714" s="10" t="s">
        <v>3309</v>
      </c>
      <c r="L714" s="65" t="str">
        <f t="shared" si="58"/>
        <v>Espoo|Finland|24,666666|60,216667|+2:00 Europe</v>
      </c>
      <c r="M714" s="10" t="s">
        <v>3310</v>
      </c>
      <c r="N714" s="10">
        <f t="shared" si="55"/>
        <v>0</v>
      </c>
      <c r="O714" t="str">
        <f t="shared" si="59"/>
        <v/>
      </c>
      <c r="P714" t="str">
        <f>IF(O714=1,COUNTIF($O$2:O714,1),"")</f>
        <v/>
      </c>
      <c r="Q714" t="str">
        <f>IFERROR(INDEX($M$2:$M$2388,MATCH(ROWS($P$2:P714),$P$2:$P$2388,0)),"")</f>
        <v/>
      </c>
    </row>
    <row r="715" spans="1:17" ht="15" x14ac:dyDescent="0.25">
      <c r="A715" s="10">
        <v>773</v>
      </c>
      <c r="B715" s="10" t="s">
        <v>3311</v>
      </c>
      <c r="C715" s="880">
        <f t="shared" si="56"/>
        <v>24.934100000000001</v>
      </c>
      <c r="D715" s="880">
        <f t="shared" si="57"/>
        <v>60.1755</v>
      </c>
      <c r="E715" s="10">
        <v>24.934166000000001</v>
      </c>
      <c r="F715" s="10">
        <v>60.175556</v>
      </c>
      <c r="G715" s="10">
        <v>2</v>
      </c>
      <c r="H715" s="10" t="s">
        <v>1938</v>
      </c>
      <c r="I715" s="10" t="s">
        <v>3307</v>
      </c>
      <c r="J715" s="10" t="s">
        <v>3308</v>
      </c>
      <c r="K715" s="10" t="s">
        <v>3309</v>
      </c>
      <c r="L715" s="65" t="str">
        <f t="shared" si="58"/>
        <v>Helsinki|Finland|24,934166|60,175556|+2:00 Europe</v>
      </c>
      <c r="M715" s="10" t="s">
        <v>3312</v>
      </c>
      <c r="N715" s="10">
        <f t="shared" si="55"/>
        <v>0</v>
      </c>
      <c r="O715" t="str">
        <f t="shared" si="59"/>
        <v/>
      </c>
      <c r="P715" t="str">
        <f>IF(O715=1,COUNTIF($O$2:O715,1),"")</f>
        <v/>
      </c>
      <c r="Q715" t="str">
        <f>IFERROR(INDEX($M$2:$M$2388,MATCH(ROWS($P$2:P715),$P$2:$P$2388,0)),"")</f>
        <v/>
      </c>
    </row>
    <row r="716" spans="1:17" ht="15" x14ac:dyDescent="0.25">
      <c r="A716" s="10">
        <v>772</v>
      </c>
      <c r="B716" s="10" t="s">
        <v>3313</v>
      </c>
      <c r="C716" s="880">
        <f t="shared" si="56"/>
        <v>23.75</v>
      </c>
      <c r="D716" s="880">
        <f t="shared" si="57"/>
        <v>61.5</v>
      </c>
      <c r="E716" s="10">
        <v>23.75</v>
      </c>
      <c r="F716" s="10">
        <v>61.5</v>
      </c>
      <c r="G716" s="10">
        <v>2</v>
      </c>
      <c r="H716" s="10" t="s">
        <v>1938</v>
      </c>
      <c r="I716" s="10" t="s">
        <v>3307</v>
      </c>
      <c r="J716" s="10" t="s">
        <v>3308</v>
      </c>
      <c r="K716" s="10" t="s">
        <v>3309</v>
      </c>
      <c r="L716" s="65" t="str">
        <f t="shared" si="58"/>
        <v>Tampere|Finland|23,750000|61,500000|+2:00 Europe</v>
      </c>
      <c r="M716" s="10" t="s">
        <v>3314</v>
      </c>
      <c r="N716" s="10">
        <f t="shared" si="55"/>
        <v>0</v>
      </c>
      <c r="O716" t="str">
        <f t="shared" si="59"/>
        <v/>
      </c>
      <c r="P716" t="str">
        <f>IF(O716=1,COUNTIF($O$2:O716,1),"")</f>
        <v/>
      </c>
      <c r="Q716" t="str">
        <f>IFERROR(INDEX($M$2:$M$2388,MATCH(ROWS($P$2:P716),$P$2:$P$2388,0)),"")</f>
        <v/>
      </c>
    </row>
    <row r="717" spans="1:17" ht="15" x14ac:dyDescent="0.25">
      <c r="A717" s="10">
        <v>771</v>
      </c>
      <c r="B717" s="10" t="s">
        <v>3315</v>
      </c>
      <c r="C717" s="880">
        <f t="shared" si="56"/>
        <v>23.666599999999999</v>
      </c>
      <c r="D717" s="880">
        <f t="shared" si="57"/>
        <v>66.3</v>
      </c>
      <c r="E717" s="10">
        <v>23.666665999999999</v>
      </c>
      <c r="F717" s="10">
        <v>66.300003000000004</v>
      </c>
      <c r="G717" s="10">
        <v>2</v>
      </c>
      <c r="H717" s="10" t="s">
        <v>1938</v>
      </c>
      <c r="I717" s="10" t="s">
        <v>3307</v>
      </c>
      <c r="J717" s="10" t="s">
        <v>3308</v>
      </c>
      <c r="K717" s="10" t="s">
        <v>3309</v>
      </c>
      <c r="L717" s="65" t="str">
        <f t="shared" si="58"/>
        <v>Ylitornio|Finland|23,666666|66,300003|+2:00 Europe</v>
      </c>
      <c r="M717" s="10" t="s">
        <v>3316</v>
      </c>
      <c r="N717" s="10">
        <f t="shared" si="55"/>
        <v>0</v>
      </c>
      <c r="O717" t="str">
        <f t="shared" si="59"/>
        <v/>
      </c>
      <c r="P717" t="str">
        <f>IF(O717=1,COUNTIF($O$2:O717,1),"")</f>
        <v/>
      </c>
      <c r="Q717" t="str">
        <f>IFERROR(INDEX($M$2:$M$2388,MATCH(ROWS($P$2:P717),$P$2:$P$2388,0)),"")</f>
        <v/>
      </c>
    </row>
    <row r="718" spans="1:17" ht="15" x14ac:dyDescent="0.25">
      <c r="A718" s="10">
        <v>770</v>
      </c>
      <c r="B718" s="10" t="s">
        <v>3317</v>
      </c>
      <c r="C718" s="880">
        <f t="shared" si="56"/>
        <v>24.549900000000001</v>
      </c>
      <c r="D718" s="880">
        <f t="shared" si="57"/>
        <v>64.083299999999994</v>
      </c>
      <c r="E718" s="10">
        <v>24.549999</v>
      </c>
      <c r="F718" s="10">
        <v>64.083336000000003</v>
      </c>
      <c r="G718" s="10">
        <v>2</v>
      </c>
      <c r="H718" s="10" t="s">
        <v>1938</v>
      </c>
      <c r="I718" s="10" t="s">
        <v>3307</v>
      </c>
      <c r="J718" s="10" t="s">
        <v>3308</v>
      </c>
      <c r="K718" s="10" t="s">
        <v>3309</v>
      </c>
      <c r="L718" s="65" t="str">
        <f t="shared" si="58"/>
        <v>Ylivieska|Finland|24,549999|64,083336|+2:00 Europe</v>
      </c>
      <c r="M718" s="10" t="s">
        <v>3318</v>
      </c>
      <c r="N718" s="10">
        <f t="shared" si="55"/>
        <v>0</v>
      </c>
      <c r="O718" t="str">
        <f t="shared" si="59"/>
        <v/>
      </c>
      <c r="P718" t="str">
        <f>IF(O718=1,COUNTIF($O$2:O718,1),"")</f>
        <v/>
      </c>
      <c r="Q718" t="str">
        <f>IFERROR(INDEX($M$2:$M$2388,MATCH(ROWS($P$2:P718),$P$2:$P$2388,0)),"")</f>
        <v/>
      </c>
    </row>
    <row r="719" spans="1:17" ht="15" x14ac:dyDescent="0.25">
      <c r="A719" s="10">
        <v>769</v>
      </c>
      <c r="B719" s="10" t="s">
        <v>3319</v>
      </c>
      <c r="C719" s="880">
        <f t="shared" si="56"/>
        <v>23.6</v>
      </c>
      <c r="D719" s="880">
        <f t="shared" si="57"/>
        <v>61.549900000000001</v>
      </c>
      <c r="E719" s="10">
        <v>23.6</v>
      </c>
      <c r="F719" s="10">
        <v>61.549999</v>
      </c>
      <c r="G719" s="10">
        <v>2</v>
      </c>
      <c r="H719" s="10" t="s">
        <v>1938</v>
      </c>
      <c r="I719" s="10" t="s">
        <v>3307</v>
      </c>
      <c r="J719" s="10" t="s">
        <v>3308</v>
      </c>
      <c r="K719" s="10" t="s">
        <v>3309</v>
      </c>
      <c r="L719" s="65" t="str">
        <f t="shared" si="58"/>
        <v>Ylojarvi|Finland|23,600000|61,549999|+2:00 Europe</v>
      </c>
      <c r="M719" s="10" t="s">
        <v>3320</v>
      </c>
      <c r="N719" s="10">
        <f t="shared" si="55"/>
        <v>0</v>
      </c>
      <c r="O719" t="str">
        <f t="shared" si="59"/>
        <v/>
      </c>
      <c r="P719" t="str">
        <f>IF(O719=1,COUNTIF($O$2:O719,1),"")</f>
        <v/>
      </c>
      <c r="Q719" t="str">
        <f>IFERROR(INDEX($M$2:$M$2388,MATCH(ROWS($P$2:P719),$P$2:$P$2388,0)),"")</f>
        <v/>
      </c>
    </row>
    <row r="720" spans="1:17" ht="15" x14ac:dyDescent="0.25">
      <c r="A720" s="10">
        <v>780</v>
      </c>
      <c r="B720" s="10" t="s">
        <v>3321</v>
      </c>
      <c r="C720" s="880">
        <f t="shared" si="56"/>
        <v>-0.66659999999999997</v>
      </c>
      <c r="D720" s="880">
        <f t="shared" si="57"/>
        <v>45.133299999999998</v>
      </c>
      <c r="E720" s="10">
        <v>-0.66666700000000001</v>
      </c>
      <c r="F720" s="10">
        <v>45.133335000000002</v>
      </c>
      <c r="G720" s="10">
        <v>1</v>
      </c>
      <c r="H720" s="10" t="s">
        <v>1670</v>
      </c>
      <c r="I720" s="10" t="s">
        <v>3322</v>
      </c>
      <c r="J720" s="10" t="s">
        <v>3323</v>
      </c>
      <c r="K720" s="10" t="s">
        <v>3324</v>
      </c>
      <c r="L720" s="65" t="str">
        <f t="shared" si="58"/>
        <v>Blaye|France|-0,666667|45,133335|+1:00 Europe</v>
      </c>
      <c r="M720" s="10" t="s">
        <v>3325</v>
      </c>
      <c r="N720" s="10">
        <f t="shared" si="55"/>
        <v>0</v>
      </c>
      <c r="O720" t="str">
        <f t="shared" si="59"/>
        <v/>
      </c>
      <c r="P720" t="str">
        <f>IF(O720=1,COUNTIF($O$2:O720,1),"")</f>
        <v/>
      </c>
      <c r="Q720" t="str">
        <f>IFERROR(INDEX($M$2:$M$2388,MATCH(ROWS($P$2:P720),$P$2:$P$2388,0)),"")</f>
        <v/>
      </c>
    </row>
    <row r="721" spans="1:17" ht="15" x14ac:dyDescent="0.25">
      <c r="A721" s="10">
        <v>793</v>
      </c>
      <c r="B721" s="10" t="s">
        <v>3326</v>
      </c>
      <c r="C721" s="880">
        <f t="shared" si="56"/>
        <v>-0.56659999999999999</v>
      </c>
      <c r="D721" s="880">
        <f t="shared" si="57"/>
        <v>44.833300000000001</v>
      </c>
      <c r="E721" s="10">
        <v>-0.56666700000000003</v>
      </c>
      <c r="F721" s="10">
        <v>44.833331999999999</v>
      </c>
      <c r="G721" s="10">
        <v>1</v>
      </c>
      <c r="H721" s="10" t="s">
        <v>1670</v>
      </c>
      <c r="I721" s="10" t="s">
        <v>3322</v>
      </c>
      <c r="J721" s="10" t="s">
        <v>3323</v>
      </c>
      <c r="K721" s="10" t="s">
        <v>3324</v>
      </c>
      <c r="L721" s="65" t="str">
        <f t="shared" si="58"/>
        <v>Bordeaux|France|-0,566667|44,833332|+1:00 Europe</v>
      </c>
      <c r="M721" s="10" t="s">
        <v>3327</v>
      </c>
      <c r="N721" s="10">
        <f t="shared" si="55"/>
        <v>0</v>
      </c>
      <c r="O721" t="str">
        <f t="shared" si="59"/>
        <v/>
      </c>
      <c r="P721" t="str">
        <f>IF(O721=1,COUNTIF($O$2:O721,1),"")</f>
        <v/>
      </c>
      <c r="Q721" t="str">
        <f>IFERROR(INDEX($M$2:$M$2388,MATCH(ROWS($P$2:P721),$P$2:$P$2388,0)),"")</f>
        <v/>
      </c>
    </row>
    <row r="722" spans="1:17" ht="15" x14ac:dyDescent="0.25">
      <c r="A722" s="10">
        <v>792</v>
      </c>
      <c r="B722" s="10" t="s">
        <v>3328</v>
      </c>
      <c r="C722" s="880">
        <f t="shared" si="56"/>
        <v>3.0666000000000002</v>
      </c>
      <c r="D722" s="880">
        <f t="shared" si="57"/>
        <v>50.633299999999998</v>
      </c>
      <c r="E722" s="10">
        <v>3.0666669999999998</v>
      </c>
      <c r="F722" s="10">
        <v>50.633335000000002</v>
      </c>
      <c r="G722" s="10">
        <v>1</v>
      </c>
      <c r="H722" s="10" t="s">
        <v>1670</v>
      </c>
      <c r="I722" s="10" t="s">
        <v>3322</v>
      </c>
      <c r="J722" s="10" t="s">
        <v>3323</v>
      </c>
      <c r="K722" s="10" t="s">
        <v>3324</v>
      </c>
      <c r="L722" s="65" t="str">
        <f t="shared" si="58"/>
        <v>Lille|France|3,066667|50,633335|+1:00 Europe</v>
      </c>
      <c r="M722" s="10" t="s">
        <v>3329</v>
      </c>
      <c r="N722" s="10">
        <f t="shared" si="55"/>
        <v>0</v>
      </c>
      <c r="O722" t="str">
        <f t="shared" si="59"/>
        <v/>
      </c>
      <c r="P722" t="str">
        <f>IF(O722=1,COUNTIF($O$2:O722,1),"")</f>
        <v/>
      </c>
      <c r="Q722" t="str">
        <f>IFERROR(INDEX($M$2:$M$2388,MATCH(ROWS($P$2:P722),$P$2:$P$2388,0)),"")</f>
        <v/>
      </c>
    </row>
    <row r="723" spans="1:17" ht="15" x14ac:dyDescent="0.25">
      <c r="A723" s="10">
        <v>791</v>
      </c>
      <c r="B723" s="10" t="s">
        <v>3330</v>
      </c>
      <c r="C723" s="880">
        <f t="shared" si="56"/>
        <v>4.8499999999999996</v>
      </c>
      <c r="D723" s="880">
        <f t="shared" si="57"/>
        <v>45.75</v>
      </c>
      <c r="E723" s="10">
        <v>4.8499999999999996</v>
      </c>
      <c r="F723" s="10">
        <v>45.75</v>
      </c>
      <c r="G723" s="10">
        <v>1</v>
      </c>
      <c r="H723" s="10" t="s">
        <v>1670</v>
      </c>
      <c r="I723" s="10" t="s">
        <v>3322</v>
      </c>
      <c r="J723" s="10" t="s">
        <v>3323</v>
      </c>
      <c r="K723" s="10" t="s">
        <v>3324</v>
      </c>
      <c r="L723" s="65" t="str">
        <f t="shared" si="58"/>
        <v>Lyon|France|4,850000|45,750000|+1:00 Europe</v>
      </c>
      <c r="M723" s="10" t="s">
        <v>3331</v>
      </c>
      <c r="N723" s="10">
        <f t="shared" si="55"/>
        <v>0</v>
      </c>
      <c r="O723" t="str">
        <f t="shared" si="59"/>
        <v/>
      </c>
      <c r="P723" t="str">
        <f>IF(O723=1,COUNTIF($O$2:O723,1),"")</f>
        <v/>
      </c>
      <c r="Q723" t="str">
        <f>IFERROR(INDEX($M$2:$M$2388,MATCH(ROWS($P$2:P723),$P$2:$P$2388,0)),"")</f>
        <v/>
      </c>
    </row>
    <row r="724" spans="1:17" ht="15" x14ac:dyDescent="0.25">
      <c r="A724" s="10">
        <v>790</v>
      </c>
      <c r="B724" s="10" t="s">
        <v>3332</v>
      </c>
      <c r="C724" s="880">
        <f t="shared" si="56"/>
        <v>5.4</v>
      </c>
      <c r="D724" s="880">
        <f t="shared" si="57"/>
        <v>43.299900000000001</v>
      </c>
      <c r="E724" s="10">
        <v>5.4</v>
      </c>
      <c r="F724" s="10">
        <v>43.299999</v>
      </c>
      <c r="G724" s="10">
        <v>1</v>
      </c>
      <c r="H724" s="10" t="s">
        <v>1670</v>
      </c>
      <c r="I724" s="10" t="s">
        <v>3322</v>
      </c>
      <c r="J724" s="10" t="s">
        <v>3323</v>
      </c>
      <c r="K724" s="10" t="s">
        <v>3324</v>
      </c>
      <c r="L724" s="65" t="str">
        <f t="shared" si="58"/>
        <v>Marseille|France|5,400000|43,299999|+1:00 Europe</v>
      </c>
      <c r="M724" s="10" t="s">
        <v>3333</v>
      </c>
      <c r="N724" s="10">
        <f t="shared" si="55"/>
        <v>0</v>
      </c>
      <c r="O724" t="str">
        <f t="shared" si="59"/>
        <v/>
      </c>
      <c r="P724" t="str">
        <f>IF(O724=1,COUNTIF($O$2:O724,1),"")</f>
        <v/>
      </c>
      <c r="Q724" t="str">
        <f>IFERROR(INDEX($M$2:$M$2388,MATCH(ROWS($P$2:P724),$P$2:$P$2388,0)),"")</f>
        <v/>
      </c>
    </row>
    <row r="725" spans="1:17" ht="15" x14ac:dyDescent="0.25">
      <c r="A725" s="10">
        <v>789</v>
      </c>
      <c r="B725" s="10" t="s">
        <v>3334</v>
      </c>
      <c r="C725" s="880">
        <f t="shared" si="56"/>
        <v>3.8833000000000002</v>
      </c>
      <c r="D725" s="880">
        <f t="shared" si="57"/>
        <v>43.599899999999998</v>
      </c>
      <c r="E725" s="10">
        <v>3.8833329999999999</v>
      </c>
      <c r="F725" s="10">
        <v>43.599997999999999</v>
      </c>
      <c r="G725" s="10">
        <v>1</v>
      </c>
      <c r="H725" s="10" t="s">
        <v>1670</v>
      </c>
      <c r="I725" s="10" t="s">
        <v>3322</v>
      </c>
      <c r="J725" s="10" t="s">
        <v>3323</v>
      </c>
      <c r="K725" s="10" t="s">
        <v>3324</v>
      </c>
      <c r="L725" s="65" t="str">
        <f t="shared" si="58"/>
        <v>Montpellier|France|3,883333|43,599998|+1:00 Europe</v>
      </c>
      <c r="M725" s="10" t="s">
        <v>3335</v>
      </c>
      <c r="N725" s="10">
        <f t="shared" si="55"/>
        <v>0</v>
      </c>
      <c r="O725" t="str">
        <f t="shared" si="59"/>
        <v/>
      </c>
      <c r="P725" t="str">
        <f>IF(O725=1,COUNTIF($O$2:O725,1),"")</f>
        <v/>
      </c>
      <c r="Q725" t="str">
        <f>IFERROR(INDEX($M$2:$M$2388,MATCH(ROWS($P$2:P725),$P$2:$P$2388,0)),"")</f>
        <v/>
      </c>
    </row>
    <row r="726" spans="1:17" ht="15" x14ac:dyDescent="0.25">
      <c r="A726" s="10">
        <v>788</v>
      </c>
      <c r="B726" s="10" t="s">
        <v>3336</v>
      </c>
      <c r="C726" s="880">
        <f t="shared" si="56"/>
        <v>-1.55</v>
      </c>
      <c r="D726" s="880">
        <f t="shared" si="57"/>
        <v>47.2166</v>
      </c>
      <c r="E726" s="10">
        <v>-1.55</v>
      </c>
      <c r="F726" s="10">
        <v>47.216667000000001</v>
      </c>
      <c r="G726" s="10">
        <v>1</v>
      </c>
      <c r="H726" s="10" t="s">
        <v>1670</v>
      </c>
      <c r="I726" s="10" t="s">
        <v>3322</v>
      </c>
      <c r="J726" s="10" t="s">
        <v>3323</v>
      </c>
      <c r="K726" s="10" t="s">
        <v>3324</v>
      </c>
      <c r="L726" s="65" t="str">
        <f t="shared" si="58"/>
        <v>Nantes|France|-1,550000|47,216667|+1:00 Europe</v>
      </c>
      <c r="M726" s="10" t="s">
        <v>3337</v>
      </c>
      <c r="N726" s="10">
        <f t="shared" si="55"/>
        <v>0</v>
      </c>
      <c r="O726" t="str">
        <f t="shared" si="59"/>
        <v/>
      </c>
      <c r="P726" t="str">
        <f>IF(O726=1,COUNTIF($O$2:O726,1),"")</f>
        <v/>
      </c>
      <c r="Q726" t="str">
        <f>IFERROR(INDEX($M$2:$M$2388,MATCH(ROWS($P$2:P726),$P$2:$P$2388,0)),"")</f>
        <v/>
      </c>
    </row>
    <row r="727" spans="1:17" ht="15" x14ac:dyDescent="0.25">
      <c r="A727" s="10">
        <v>787</v>
      </c>
      <c r="B727" s="10" t="s">
        <v>3338</v>
      </c>
      <c r="C727" s="880">
        <f t="shared" si="56"/>
        <v>7.25</v>
      </c>
      <c r="D727" s="880">
        <f t="shared" si="57"/>
        <v>43.7</v>
      </c>
      <c r="E727" s="10">
        <v>7.25</v>
      </c>
      <c r="F727" s="10">
        <v>43.700001</v>
      </c>
      <c r="G727" s="10">
        <v>1</v>
      </c>
      <c r="H727" s="10" t="s">
        <v>1670</v>
      </c>
      <c r="I727" s="10" t="s">
        <v>3322</v>
      </c>
      <c r="J727" s="10" t="s">
        <v>3323</v>
      </c>
      <c r="K727" s="10" t="s">
        <v>3324</v>
      </c>
      <c r="L727" s="65" t="str">
        <f t="shared" si="58"/>
        <v>Nice|France|7,250000|43,700001|+1:00 Europe</v>
      </c>
      <c r="M727" s="10" t="s">
        <v>3339</v>
      </c>
      <c r="N727" s="10">
        <f t="shared" si="55"/>
        <v>0</v>
      </c>
      <c r="O727" t="str">
        <f t="shared" si="59"/>
        <v/>
      </c>
      <c r="P727" t="str">
        <f>IF(O727=1,COUNTIF($O$2:O727,1),"")</f>
        <v/>
      </c>
      <c r="Q727" t="str">
        <f>IFERROR(INDEX($M$2:$M$2388,MATCH(ROWS($P$2:P727),$P$2:$P$2388,0)),"")</f>
        <v/>
      </c>
    </row>
    <row r="728" spans="1:17" ht="15" x14ac:dyDescent="0.25">
      <c r="A728" s="10">
        <v>786</v>
      </c>
      <c r="B728" s="10" t="s">
        <v>3340</v>
      </c>
      <c r="C728" s="880">
        <f t="shared" si="56"/>
        <v>2.3332999999999999</v>
      </c>
      <c r="D728" s="880">
        <f t="shared" si="57"/>
        <v>48.866599999999998</v>
      </c>
      <c r="E728" s="10">
        <v>2.3333330000000001</v>
      </c>
      <c r="F728" s="10">
        <v>48.866664999999998</v>
      </c>
      <c r="G728" s="10">
        <v>1</v>
      </c>
      <c r="H728" s="10" t="s">
        <v>1670</v>
      </c>
      <c r="I728" s="10" t="s">
        <v>3322</v>
      </c>
      <c r="J728" s="10" t="s">
        <v>3323</v>
      </c>
      <c r="K728" s="10" t="s">
        <v>3324</v>
      </c>
      <c r="L728" s="65" t="str">
        <f t="shared" si="58"/>
        <v>Paris|France|2,333333|48,866665|+1:00 Europe</v>
      </c>
      <c r="M728" s="10" t="s">
        <v>3341</v>
      </c>
      <c r="N728" s="10">
        <f t="shared" si="55"/>
        <v>0</v>
      </c>
      <c r="O728" t="str">
        <f t="shared" si="59"/>
        <v/>
      </c>
      <c r="P728" t="str">
        <f>IF(O728=1,COUNTIF($O$2:O728,1),"")</f>
        <v/>
      </c>
      <c r="Q728" t="str">
        <f>IFERROR(INDEX($M$2:$M$2388,MATCH(ROWS($P$2:P728),$P$2:$P$2388,0)),"")</f>
        <v/>
      </c>
    </row>
    <row r="729" spans="1:17" ht="15" x14ac:dyDescent="0.25">
      <c r="A729" s="10">
        <v>785</v>
      </c>
      <c r="B729" s="10" t="s">
        <v>3342</v>
      </c>
      <c r="C729" s="880">
        <f t="shared" si="56"/>
        <v>-1.6833</v>
      </c>
      <c r="D729" s="880">
        <f t="shared" si="57"/>
        <v>48.083300000000001</v>
      </c>
      <c r="E729" s="10">
        <v>-1.683333</v>
      </c>
      <c r="F729" s="10">
        <v>48.083331999999999</v>
      </c>
      <c r="G729" s="10">
        <v>1</v>
      </c>
      <c r="H729" s="10" t="s">
        <v>1670</v>
      </c>
      <c r="I729" s="10" t="s">
        <v>3322</v>
      </c>
      <c r="J729" s="10" t="s">
        <v>3323</v>
      </c>
      <c r="K729" s="10" t="s">
        <v>3324</v>
      </c>
      <c r="L729" s="65" t="str">
        <f t="shared" si="58"/>
        <v>Rennes|France|-1,683333|48,083332|+1:00 Europe</v>
      </c>
      <c r="M729" s="10" t="s">
        <v>3343</v>
      </c>
      <c r="N729" s="10">
        <f t="shared" si="55"/>
        <v>0</v>
      </c>
      <c r="O729" t="str">
        <f t="shared" si="59"/>
        <v/>
      </c>
      <c r="P729" t="str">
        <f>IF(O729=1,COUNTIF($O$2:O729,1),"")</f>
        <v/>
      </c>
      <c r="Q729" t="str">
        <f>IFERROR(INDEX($M$2:$M$2388,MATCH(ROWS($P$2:P729),$P$2:$P$2388,0)),"")</f>
        <v/>
      </c>
    </row>
    <row r="730" spans="1:17" ht="15" x14ac:dyDescent="0.25">
      <c r="A730" s="10">
        <v>784</v>
      </c>
      <c r="B730" s="10" t="s">
        <v>3344</v>
      </c>
      <c r="C730" s="880">
        <f t="shared" si="56"/>
        <v>7.75</v>
      </c>
      <c r="D730" s="880">
        <f t="shared" si="57"/>
        <v>48.583300000000001</v>
      </c>
      <c r="E730" s="10">
        <v>7.75</v>
      </c>
      <c r="F730" s="10">
        <v>48.583331999999999</v>
      </c>
      <c r="G730" s="10">
        <v>1</v>
      </c>
      <c r="H730" s="10" t="s">
        <v>1670</v>
      </c>
      <c r="I730" s="10" t="s">
        <v>3322</v>
      </c>
      <c r="J730" s="10" t="s">
        <v>3323</v>
      </c>
      <c r="K730" s="10" t="s">
        <v>3324</v>
      </c>
      <c r="L730" s="65" t="str">
        <f t="shared" si="58"/>
        <v>Strasbourg|France|7,750000|48,583332|+1:00 Europe</v>
      </c>
      <c r="M730" s="10" t="s">
        <v>3345</v>
      </c>
      <c r="N730" s="10">
        <f t="shared" si="55"/>
        <v>0</v>
      </c>
      <c r="O730" t="str">
        <f t="shared" si="59"/>
        <v/>
      </c>
      <c r="P730" t="str">
        <f>IF(O730=1,COUNTIF($O$2:O730,1),"")</f>
        <v/>
      </c>
      <c r="Q730" t="str">
        <f>IFERROR(INDEX($M$2:$M$2388,MATCH(ROWS($P$2:P730),$P$2:$P$2388,0)),"")</f>
        <v/>
      </c>
    </row>
    <row r="731" spans="1:17" ht="15" x14ac:dyDescent="0.25">
      <c r="A731" s="10">
        <v>783</v>
      </c>
      <c r="B731" s="10" t="s">
        <v>3346</v>
      </c>
      <c r="C731" s="880">
        <f t="shared" si="56"/>
        <v>1.4436</v>
      </c>
      <c r="D731" s="880">
        <f t="shared" si="57"/>
        <v>43.604199999999999</v>
      </c>
      <c r="E731" s="10">
        <v>1.4436720000000001</v>
      </c>
      <c r="F731" s="10">
        <v>43.604263000000003</v>
      </c>
      <c r="G731" s="10">
        <v>1</v>
      </c>
      <c r="H731" s="10" t="s">
        <v>1670</v>
      </c>
      <c r="I731" s="10" t="s">
        <v>3322</v>
      </c>
      <c r="J731" s="10" t="s">
        <v>3323</v>
      </c>
      <c r="K731" s="10" t="s">
        <v>3324</v>
      </c>
      <c r="L731" s="65" t="str">
        <f t="shared" si="58"/>
        <v>Toulouse|France|1,443672|43,604263|+1:00 Europe</v>
      </c>
      <c r="M731" s="10" t="s">
        <v>3347</v>
      </c>
      <c r="N731" s="10">
        <f t="shared" si="55"/>
        <v>0</v>
      </c>
      <c r="O731" t="str">
        <f t="shared" si="59"/>
        <v/>
      </c>
      <c r="P731" t="str">
        <f>IF(O731=1,COUNTIF($O$2:O731,1),"")</f>
        <v/>
      </c>
      <c r="Q731" t="str">
        <f>IFERROR(INDEX($M$2:$M$2388,MATCH(ROWS($P$2:P731),$P$2:$P$2388,0)),"")</f>
        <v/>
      </c>
    </row>
    <row r="732" spans="1:17" ht="15" x14ac:dyDescent="0.25">
      <c r="A732" s="10">
        <v>782</v>
      </c>
      <c r="B732" s="10" t="s">
        <v>3348</v>
      </c>
      <c r="C732" s="880">
        <f t="shared" si="56"/>
        <v>0.76659999999999995</v>
      </c>
      <c r="D732" s="880">
        <f t="shared" si="57"/>
        <v>49.616599999999998</v>
      </c>
      <c r="E732" s="10">
        <v>0.76666699999999999</v>
      </c>
      <c r="F732" s="10">
        <v>49.616664999999998</v>
      </c>
      <c r="G732" s="10">
        <v>1</v>
      </c>
      <c r="H732" s="10" t="s">
        <v>1670</v>
      </c>
      <c r="I732" s="10" t="s">
        <v>3322</v>
      </c>
      <c r="J732" s="10" t="s">
        <v>3323</v>
      </c>
      <c r="K732" s="10" t="s">
        <v>3324</v>
      </c>
      <c r="L732" s="65" t="str">
        <f t="shared" si="58"/>
        <v>Yvetot|France|0,766667|49,616665|+1:00 Europe</v>
      </c>
      <c r="M732" s="10" t="s">
        <v>3349</v>
      </c>
      <c r="N732" s="10">
        <f t="shared" si="55"/>
        <v>0</v>
      </c>
      <c r="O732" t="str">
        <f t="shared" si="59"/>
        <v/>
      </c>
      <c r="P732" t="str">
        <f>IF(O732=1,COUNTIF($O$2:O732,1),"")</f>
        <v/>
      </c>
      <c r="Q732" t="str">
        <f>IFERROR(INDEX($M$2:$M$2388,MATCH(ROWS($P$2:P732),$P$2:$P$2388,0)),"")</f>
        <v/>
      </c>
    </row>
    <row r="733" spans="1:17" ht="15" x14ac:dyDescent="0.25">
      <c r="A733" s="10">
        <v>781</v>
      </c>
      <c r="B733" s="10" t="s">
        <v>3350</v>
      </c>
      <c r="C733" s="880">
        <f t="shared" si="56"/>
        <v>3.35</v>
      </c>
      <c r="D733" s="880">
        <f t="shared" si="57"/>
        <v>46.566600000000001</v>
      </c>
      <c r="E733" s="10">
        <v>3.35</v>
      </c>
      <c r="F733" s="10">
        <v>46.566665999999998</v>
      </c>
      <c r="G733" s="10">
        <v>1</v>
      </c>
      <c r="H733" s="10" t="s">
        <v>1670</v>
      </c>
      <c r="I733" s="10" t="s">
        <v>3322</v>
      </c>
      <c r="J733" s="10" t="s">
        <v>3323</v>
      </c>
      <c r="K733" s="10" t="s">
        <v>3324</v>
      </c>
      <c r="L733" s="65" t="str">
        <f t="shared" si="58"/>
        <v>Yzeure|France|3,350000|46,566666|+1:00 Europe</v>
      </c>
      <c r="M733" s="10" t="s">
        <v>3351</v>
      </c>
      <c r="N733" s="10">
        <f t="shared" si="55"/>
        <v>0</v>
      </c>
      <c r="O733" t="str">
        <f t="shared" si="59"/>
        <v/>
      </c>
      <c r="P733" t="str">
        <f>IF(O733=1,COUNTIF($O$2:O733,1),"")</f>
        <v/>
      </c>
      <c r="Q733" t="str">
        <f>IFERROR(INDEX($M$2:$M$2388,MATCH(ROWS($P$2:P733),$P$2:$P$2388,0)),"")</f>
        <v/>
      </c>
    </row>
    <row r="734" spans="1:17" ht="15" x14ac:dyDescent="0.25">
      <c r="A734" s="10">
        <v>829</v>
      </c>
      <c r="B734" s="10" t="s">
        <v>3352</v>
      </c>
      <c r="C734" s="880">
        <f t="shared" si="56"/>
        <v>-52.333300000000001</v>
      </c>
      <c r="D734" s="880">
        <f t="shared" si="57"/>
        <v>4.8499999999999996</v>
      </c>
      <c r="E734" s="10">
        <v>-52.333331999999999</v>
      </c>
      <c r="F734" s="10">
        <v>4.8499999999999996</v>
      </c>
      <c r="G734" s="10">
        <v>-3</v>
      </c>
      <c r="H734" s="10" t="s">
        <v>1739</v>
      </c>
      <c r="I734" s="10" t="s">
        <v>3353</v>
      </c>
      <c r="J734" s="10" t="s">
        <v>3354</v>
      </c>
      <c r="K734" s="10" t="s">
        <v>3355</v>
      </c>
      <c r="L734" s="65" t="str">
        <f t="shared" si="58"/>
        <v>Matoury|French Guiana|-52,333332|4,850000|-3:00 America</v>
      </c>
      <c r="M734" s="10" t="s">
        <v>3356</v>
      </c>
      <c r="N734" s="10">
        <f t="shared" si="55"/>
        <v>0</v>
      </c>
      <c r="O734" t="str">
        <f t="shared" si="59"/>
        <v/>
      </c>
      <c r="P734" t="str">
        <f>IF(O734=1,COUNTIF($O$2:O734,1),"")</f>
        <v/>
      </c>
      <c r="Q734" t="str">
        <f>IFERROR(INDEX($M$2:$M$2388,MATCH(ROWS($P$2:P734),$P$2:$P$2388,0)),"")</f>
        <v/>
      </c>
    </row>
    <row r="735" spans="1:17" ht="15" x14ac:dyDescent="0.25">
      <c r="A735" s="10">
        <v>828</v>
      </c>
      <c r="B735" s="10" t="s">
        <v>3357</v>
      </c>
      <c r="C735" s="880">
        <f t="shared" si="56"/>
        <v>-52.266599999999997</v>
      </c>
      <c r="D735" s="880">
        <f t="shared" si="57"/>
        <v>4.9165999999999999</v>
      </c>
      <c r="E735" s="10">
        <v>-52.266666000000001</v>
      </c>
      <c r="F735" s="10">
        <v>4.9166670000000003</v>
      </c>
      <c r="G735" s="10">
        <v>-3</v>
      </c>
      <c r="H735" s="10" t="s">
        <v>1739</v>
      </c>
      <c r="I735" s="10" t="s">
        <v>3353</v>
      </c>
      <c r="J735" s="10" t="s">
        <v>3354</v>
      </c>
      <c r="K735" s="10" t="s">
        <v>3355</v>
      </c>
      <c r="L735" s="65" t="str">
        <f t="shared" si="58"/>
        <v>Remire-Montjoly|French Guiana|-52,266666|4,916667|-3:00 America</v>
      </c>
      <c r="M735" s="10" t="s">
        <v>3358</v>
      </c>
      <c r="N735" s="10">
        <f t="shared" si="55"/>
        <v>0</v>
      </c>
      <c r="O735" t="str">
        <f t="shared" si="59"/>
        <v/>
      </c>
      <c r="P735" t="str">
        <f>IF(O735=1,COUNTIF($O$2:O735,1),"")</f>
        <v/>
      </c>
      <c r="Q735" t="str">
        <f>IFERROR(INDEX($M$2:$M$2388,MATCH(ROWS($P$2:P735),$P$2:$P$2388,0)),"")</f>
        <v/>
      </c>
    </row>
    <row r="736" spans="1:17" ht="15" x14ac:dyDescent="0.25">
      <c r="A736" s="10">
        <v>827</v>
      </c>
      <c r="B736" s="10" t="s">
        <v>3359</v>
      </c>
      <c r="C736" s="880">
        <f t="shared" si="56"/>
        <v>-54.033299999999997</v>
      </c>
      <c r="D736" s="880">
        <f t="shared" si="57"/>
        <v>5.5</v>
      </c>
      <c r="E736" s="10">
        <v>-54.033332999999999</v>
      </c>
      <c r="F736" s="10">
        <v>5.5</v>
      </c>
      <c r="G736" s="10">
        <v>-3</v>
      </c>
      <c r="H736" s="10" t="s">
        <v>1739</v>
      </c>
      <c r="I736" s="10" t="s">
        <v>3353</v>
      </c>
      <c r="J736" s="10" t="s">
        <v>3354</v>
      </c>
      <c r="K736" s="10" t="s">
        <v>3355</v>
      </c>
      <c r="L736" s="65" t="str">
        <f t="shared" si="58"/>
        <v>Saint-Laurent-du-Maroni|French Guiana|-54,033333|5,500000|-3:00 America</v>
      </c>
      <c r="M736" s="10" t="s">
        <v>3360</v>
      </c>
      <c r="N736" s="10">
        <f t="shared" si="55"/>
        <v>0</v>
      </c>
      <c r="O736" t="str">
        <f t="shared" si="59"/>
        <v/>
      </c>
      <c r="P736" t="str">
        <f>IF(O736=1,COUNTIF($O$2:O736,1),"")</f>
        <v/>
      </c>
      <c r="Q736" t="str">
        <f>IFERROR(INDEX($M$2:$M$2388,MATCH(ROWS($P$2:P736),$P$2:$P$2388,0)),"")</f>
        <v/>
      </c>
    </row>
    <row r="737" spans="1:17" ht="15" x14ac:dyDescent="0.25">
      <c r="A737" s="10">
        <v>797</v>
      </c>
      <c r="B737" s="10" t="s">
        <v>3361</v>
      </c>
      <c r="C737" s="880">
        <f t="shared" si="56"/>
        <v>9.4499999999999993</v>
      </c>
      <c r="D737" s="880">
        <f t="shared" si="57"/>
        <v>0.38329999999999997</v>
      </c>
      <c r="E737" s="10">
        <v>9.4499999999999993</v>
      </c>
      <c r="F737" s="10">
        <v>0.38333299999999998</v>
      </c>
      <c r="G737" s="10">
        <v>1</v>
      </c>
      <c r="H737" s="10" t="s">
        <v>1670</v>
      </c>
      <c r="I737" s="10" t="s">
        <v>3362</v>
      </c>
      <c r="J737" s="10" t="s">
        <v>3363</v>
      </c>
      <c r="K737" s="10" t="s">
        <v>3364</v>
      </c>
      <c r="L737" s="65" t="str">
        <f t="shared" si="58"/>
        <v>Libreville|Gabon|9,450000|0,383333|+1:00 Africa</v>
      </c>
      <c r="M737" s="10" t="s">
        <v>3365</v>
      </c>
      <c r="N737" s="10">
        <f t="shared" si="55"/>
        <v>0</v>
      </c>
      <c r="O737" t="str">
        <f t="shared" si="59"/>
        <v/>
      </c>
      <c r="P737" t="str">
        <f>IF(O737=1,COUNTIF($O$2:O737,1),"")</f>
        <v/>
      </c>
      <c r="Q737" t="str">
        <f>IFERROR(INDEX($M$2:$M$2388,MATCH(ROWS($P$2:P737),$P$2:$P$2388,0)),"")</f>
        <v/>
      </c>
    </row>
    <row r="738" spans="1:17" ht="15" x14ac:dyDescent="0.25">
      <c r="A738" s="10">
        <v>796</v>
      </c>
      <c r="B738" s="10" t="s">
        <v>3366</v>
      </c>
      <c r="C738" s="880">
        <f t="shared" si="56"/>
        <v>11.583299999999999</v>
      </c>
      <c r="D738" s="880">
        <f t="shared" si="57"/>
        <v>1.6166</v>
      </c>
      <c r="E738" s="10">
        <v>11.583333</v>
      </c>
      <c r="F738" s="10">
        <v>1.6166670000000001</v>
      </c>
      <c r="G738" s="10">
        <v>1</v>
      </c>
      <c r="H738" s="10" t="s">
        <v>1670</v>
      </c>
      <c r="I738" s="10" t="s">
        <v>3362</v>
      </c>
      <c r="J738" s="10" t="s">
        <v>3363</v>
      </c>
      <c r="K738" s="10" t="s">
        <v>3364</v>
      </c>
      <c r="L738" s="65" t="str">
        <f t="shared" si="58"/>
        <v>Oyem|Gabon|11,583333|1,616667|+1:00 Africa</v>
      </c>
      <c r="M738" s="10" t="s">
        <v>3367</v>
      </c>
      <c r="N738" s="10">
        <f t="shared" si="55"/>
        <v>0</v>
      </c>
      <c r="O738" t="str">
        <f t="shared" si="59"/>
        <v/>
      </c>
      <c r="P738" t="str">
        <f>IF(O738=1,COUNTIF($O$2:O738,1),"")</f>
        <v/>
      </c>
      <c r="Q738" t="str">
        <f>IFERROR(INDEX($M$2:$M$2388,MATCH(ROWS($P$2:P738),$P$2:$P$2388,0)),"")</f>
        <v/>
      </c>
    </row>
    <row r="739" spans="1:17" ht="15" x14ac:dyDescent="0.25">
      <c r="A739" s="10">
        <v>795</v>
      </c>
      <c r="B739" s="10" t="s">
        <v>3368</v>
      </c>
      <c r="C739" s="880">
        <f t="shared" si="56"/>
        <v>8.7833000000000006</v>
      </c>
      <c r="D739" s="880">
        <f t="shared" si="57"/>
        <v>-0.71660000000000001</v>
      </c>
      <c r="E739" s="10">
        <v>8.7833330000000007</v>
      </c>
      <c r="F739" s="10">
        <v>-0.71666700000000005</v>
      </c>
      <c r="G739" s="10">
        <v>1</v>
      </c>
      <c r="H739" s="10" t="s">
        <v>1670</v>
      </c>
      <c r="I739" s="10" t="s">
        <v>3362</v>
      </c>
      <c r="J739" s="10" t="s">
        <v>3363</v>
      </c>
      <c r="K739" s="10" t="s">
        <v>3364</v>
      </c>
      <c r="L739" s="65" t="str">
        <f t="shared" si="58"/>
        <v>Port-Gentil|Gabon|8,783333|-0,716667|+1:00 Africa</v>
      </c>
      <c r="M739" s="10" t="s">
        <v>3369</v>
      </c>
      <c r="N739" s="10">
        <f t="shared" si="55"/>
        <v>0</v>
      </c>
      <c r="O739" t="str">
        <f t="shared" si="59"/>
        <v/>
      </c>
      <c r="P739" t="str">
        <f>IF(O739=1,COUNTIF($O$2:O739,1),"")</f>
        <v/>
      </c>
      <c r="Q739" t="str">
        <f>IFERROR(INDEX($M$2:$M$2388,MATCH(ROWS($P$2:P739),$P$2:$P$2388,0)),"")</f>
        <v/>
      </c>
    </row>
    <row r="740" spans="1:17" ht="15" x14ac:dyDescent="0.25">
      <c r="A740" s="10">
        <v>794</v>
      </c>
      <c r="B740" s="10" t="s">
        <v>3370</v>
      </c>
      <c r="C740" s="880">
        <f t="shared" si="56"/>
        <v>11.033300000000001</v>
      </c>
      <c r="D740" s="880">
        <f t="shared" si="57"/>
        <v>-2.85</v>
      </c>
      <c r="E740" s="10">
        <v>11.033333000000001</v>
      </c>
      <c r="F740" s="10">
        <v>-2.85</v>
      </c>
      <c r="G740" s="10">
        <v>1</v>
      </c>
      <c r="H740" s="10" t="s">
        <v>1670</v>
      </c>
      <c r="I740" s="10" t="s">
        <v>3362</v>
      </c>
      <c r="J740" s="10" t="s">
        <v>3363</v>
      </c>
      <c r="K740" s="10" t="s">
        <v>3364</v>
      </c>
      <c r="L740" s="65" t="str">
        <f t="shared" si="58"/>
        <v>Tchibanga|Gabon|11,033333|-2,850000|+1:00 Africa</v>
      </c>
      <c r="M740" s="10" t="s">
        <v>3371</v>
      </c>
      <c r="N740" s="10">
        <f t="shared" si="55"/>
        <v>0</v>
      </c>
      <c r="O740" t="str">
        <f t="shared" si="59"/>
        <v/>
      </c>
      <c r="P740" t="str">
        <f>IF(O740=1,COUNTIF($O$2:O740,1),"")</f>
        <v/>
      </c>
      <c r="Q740" t="str">
        <f>IFERROR(INDEX($M$2:$M$2388,MATCH(ROWS($P$2:P740),$P$2:$P$2388,0)),"")</f>
        <v/>
      </c>
    </row>
    <row r="741" spans="1:17" ht="15" x14ac:dyDescent="0.25">
      <c r="A741" s="10">
        <v>844</v>
      </c>
      <c r="B741" s="10" t="s">
        <v>3372</v>
      </c>
      <c r="C741" s="880">
        <f t="shared" si="56"/>
        <v>-14.2</v>
      </c>
      <c r="D741" s="880">
        <f t="shared" si="57"/>
        <v>13.2333</v>
      </c>
      <c r="E741" s="10">
        <v>-14.2</v>
      </c>
      <c r="F741" s="10">
        <v>13.233333999999999</v>
      </c>
      <c r="G741" s="10">
        <v>0</v>
      </c>
      <c r="H741" s="10" t="s">
        <v>2318</v>
      </c>
      <c r="I741" s="10" t="s">
        <v>3373</v>
      </c>
      <c r="J741" s="10" t="s">
        <v>3374</v>
      </c>
      <c r="K741" s="10" t="s">
        <v>3375</v>
      </c>
      <c r="L741" s="65" t="str">
        <f t="shared" si="58"/>
        <v>Sabi|Gambia|-14,200000|13,233334|+0:00 Africa</v>
      </c>
      <c r="M741" s="10" t="s">
        <v>3376</v>
      </c>
      <c r="N741" s="10">
        <f t="shared" si="55"/>
        <v>0</v>
      </c>
      <c r="O741" t="str">
        <f t="shared" si="59"/>
        <v/>
      </c>
      <c r="P741" t="str">
        <f>IF(O741=1,COUNTIF($O$2:O741,1),"")</f>
        <v/>
      </c>
      <c r="Q741" t="str">
        <f>IFERROR(INDEX($M$2:$M$2388,MATCH(ROWS($P$2:P741),$P$2:$P$2388,0)),"")</f>
        <v/>
      </c>
    </row>
    <row r="742" spans="1:17" ht="15" x14ac:dyDescent="0.25">
      <c r="A742" s="10">
        <v>843</v>
      </c>
      <c r="B742" s="10" t="s">
        <v>3377</v>
      </c>
      <c r="C742" s="880">
        <f t="shared" si="56"/>
        <v>-15.533300000000001</v>
      </c>
      <c r="D742" s="880">
        <f t="shared" si="57"/>
        <v>13.433299999999999</v>
      </c>
      <c r="E742" s="10">
        <v>-15.533333000000001</v>
      </c>
      <c r="F742" s="10">
        <v>13.433332999999999</v>
      </c>
      <c r="G742" s="10">
        <v>0</v>
      </c>
      <c r="H742" s="10" t="s">
        <v>2318</v>
      </c>
      <c r="I742" s="10" t="s">
        <v>3373</v>
      </c>
      <c r="J742" s="10" t="s">
        <v>3374</v>
      </c>
      <c r="K742" s="10" t="s">
        <v>3375</v>
      </c>
      <c r="L742" s="65" t="str">
        <f t="shared" si="58"/>
        <v>Soma|Gambia|-15,533333|13,433333|+0:00 Africa</v>
      </c>
      <c r="M742" s="10" t="s">
        <v>3378</v>
      </c>
      <c r="N742" s="10">
        <f t="shared" si="55"/>
        <v>0</v>
      </c>
      <c r="O742" t="str">
        <f t="shared" si="59"/>
        <v/>
      </c>
      <c r="P742" t="str">
        <f>IF(O742=1,COUNTIF($O$2:O742,1),"")</f>
        <v/>
      </c>
      <c r="Q742" t="str">
        <f>IFERROR(INDEX($M$2:$M$2388,MATCH(ROWS($P$2:P742),$P$2:$P$2388,0)),"")</f>
        <v/>
      </c>
    </row>
    <row r="743" spans="1:17" ht="15" x14ac:dyDescent="0.25">
      <c r="A743" s="10">
        <v>842</v>
      </c>
      <c r="B743" s="10" t="s">
        <v>3379</v>
      </c>
      <c r="C743" s="880">
        <f t="shared" si="56"/>
        <v>-16.7088</v>
      </c>
      <c r="D743" s="880">
        <f t="shared" si="57"/>
        <v>13.411300000000001</v>
      </c>
      <c r="E743" s="10">
        <v>-16.708888999999999</v>
      </c>
      <c r="F743" s="10">
        <v>13.411389</v>
      </c>
      <c r="G743" s="10">
        <v>0</v>
      </c>
      <c r="H743" s="10" t="s">
        <v>2318</v>
      </c>
      <c r="I743" s="10" t="s">
        <v>3373</v>
      </c>
      <c r="J743" s="10" t="s">
        <v>3374</v>
      </c>
      <c r="K743" s="10" t="s">
        <v>3375</v>
      </c>
      <c r="L743" s="65" t="str">
        <f t="shared" si="58"/>
        <v>Sukuta|Gambia|-16,708889|13,411389|+0:00 Africa</v>
      </c>
      <c r="M743" s="10" t="s">
        <v>3380</v>
      </c>
      <c r="N743" s="10">
        <f t="shared" si="55"/>
        <v>0</v>
      </c>
      <c r="O743" t="str">
        <f t="shared" si="59"/>
        <v/>
      </c>
      <c r="P743" t="str">
        <f>IF(O743=1,COUNTIF($O$2:O743,1),"")</f>
        <v/>
      </c>
      <c r="Q743" t="str">
        <f>IFERROR(INDEX($M$2:$M$2388,MATCH(ROWS($P$2:P743),$P$2:$P$2388,0)),"")</f>
        <v/>
      </c>
    </row>
    <row r="744" spans="1:17" ht="15" x14ac:dyDescent="0.25">
      <c r="A744" s="10">
        <v>1835</v>
      </c>
      <c r="B744" s="10" t="s">
        <v>3381</v>
      </c>
      <c r="C744" s="880">
        <f t="shared" si="56"/>
        <v>34.4833</v>
      </c>
      <c r="D744" s="880">
        <f t="shared" si="57"/>
        <v>31.533300000000001</v>
      </c>
      <c r="E744" s="10">
        <v>34.483333999999999</v>
      </c>
      <c r="F744" s="10">
        <v>31.533332999999999</v>
      </c>
      <c r="G744" s="10">
        <v>2</v>
      </c>
      <c r="H744" s="10" t="s">
        <v>1938</v>
      </c>
      <c r="I744" s="10" t="s">
        <v>3382</v>
      </c>
      <c r="J744" s="10" t="s">
        <v>3383</v>
      </c>
      <c r="K744" s="10" t="s">
        <v>3384</v>
      </c>
      <c r="L744" s="65" t="str">
        <f t="shared" si="58"/>
        <v>Jabaliya|Gaza Strip|34,483334|31,533333|+2:00 Asia</v>
      </c>
      <c r="M744" s="10" t="s">
        <v>3385</v>
      </c>
      <c r="N744" s="10">
        <f t="shared" si="55"/>
        <v>0</v>
      </c>
      <c r="O744" t="str">
        <f t="shared" si="59"/>
        <v/>
      </c>
      <c r="P744" t="str">
        <f>IF(O744=1,COUNTIF($O$2:O744,1),"")</f>
        <v/>
      </c>
      <c r="Q744" t="str">
        <f>IFERROR(INDEX($M$2:$M$2388,MATCH(ROWS($P$2:P744),$P$2:$P$2388,0)),"")</f>
        <v/>
      </c>
    </row>
    <row r="745" spans="1:17" ht="15" x14ac:dyDescent="0.25">
      <c r="A745" s="10">
        <v>1834</v>
      </c>
      <c r="B745" s="10" t="s">
        <v>3386</v>
      </c>
      <c r="C745" s="880">
        <f t="shared" si="56"/>
        <v>34.302500000000002</v>
      </c>
      <c r="D745" s="880">
        <f t="shared" si="57"/>
        <v>31.343800000000002</v>
      </c>
      <c r="E745" s="10">
        <v>34.302501999999997</v>
      </c>
      <c r="F745" s="10">
        <v>31.343889000000001</v>
      </c>
      <c r="G745" s="10">
        <v>2</v>
      </c>
      <c r="H745" s="10" t="s">
        <v>1938</v>
      </c>
      <c r="I745" s="10" t="s">
        <v>3382</v>
      </c>
      <c r="J745" s="10" t="s">
        <v>3383</v>
      </c>
      <c r="K745" s="10" t="s">
        <v>3384</v>
      </c>
      <c r="L745" s="65" t="str">
        <f t="shared" si="58"/>
        <v>Khan Yunis|Gaza Strip|34,302502|31,343889|+2:00 Asia</v>
      </c>
      <c r="M745" s="10" t="s">
        <v>3387</v>
      </c>
      <c r="N745" s="10">
        <f t="shared" si="55"/>
        <v>0</v>
      </c>
      <c r="O745" t="str">
        <f t="shared" si="59"/>
        <v/>
      </c>
      <c r="P745" t="str">
        <f>IF(O745=1,COUNTIF($O$2:O745,1),"")</f>
        <v/>
      </c>
      <c r="Q745" t="str">
        <f>IFERROR(INDEX($M$2:$M$2388,MATCH(ROWS($P$2:P745),$P$2:$P$2388,0)),"")</f>
        <v/>
      </c>
    </row>
    <row r="746" spans="1:17" ht="15" x14ac:dyDescent="0.25">
      <c r="A746" s="10">
        <v>1833</v>
      </c>
      <c r="B746" s="10" t="s">
        <v>3388</v>
      </c>
      <c r="C746" s="880">
        <f t="shared" si="56"/>
        <v>34.250799999999998</v>
      </c>
      <c r="D746" s="880">
        <f t="shared" si="57"/>
        <v>31.284099999999999</v>
      </c>
      <c r="E746" s="10">
        <v>34.250832000000003</v>
      </c>
      <c r="F746" s="10">
        <v>31.284165999999999</v>
      </c>
      <c r="G746" s="10">
        <v>2</v>
      </c>
      <c r="H746" s="10" t="s">
        <v>1938</v>
      </c>
      <c r="I746" s="10" t="s">
        <v>3382</v>
      </c>
      <c r="J746" s="10" t="s">
        <v>3383</v>
      </c>
      <c r="K746" s="10" t="s">
        <v>3384</v>
      </c>
      <c r="L746" s="65" t="str">
        <f t="shared" si="58"/>
        <v>Rafah|Gaza Strip|34,250832|31,284166|+2:00 Asia</v>
      </c>
      <c r="M746" s="10" t="s">
        <v>3389</v>
      </c>
      <c r="N746" s="10">
        <f t="shared" si="55"/>
        <v>0</v>
      </c>
      <c r="O746" t="str">
        <f t="shared" si="59"/>
        <v/>
      </c>
      <c r="P746" t="str">
        <f>IF(O746=1,COUNTIF($O$2:O746,1),"")</f>
        <v/>
      </c>
      <c r="Q746" t="str">
        <f>IFERROR(INDEX($M$2:$M$2388,MATCH(ROWS($P$2:P746),$P$2:$P$2388,0)),"")</f>
        <v/>
      </c>
    </row>
    <row r="747" spans="1:17" ht="15" x14ac:dyDescent="0.25">
      <c r="A747" s="10">
        <v>826</v>
      </c>
      <c r="B747" s="10" t="s">
        <v>3390</v>
      </c>
      <c r="C747" s="880">
        <f t="shared" si="56"/>
        <v>44.790799999999997</v>
      </c>
      <c r="D747" s="880">
        <f t="shared" si="57"/>
        <v>41.724899999999998</v>
      </c>
      <c r="E747" s="10">
        <v>44.790832999999999</v>
      </c>
      <c r="F747" s="10">
        <v>41.724997999999999</v>
      </c>
      <c r="G747" s="10">
        <v>4</v>
      </c>
      <c r="H747" s="10" t="s">
        <v>1794</v>
      </c>
      <c r="I747" s="10" t="s">
        <v>3391</v>
      </c>
      <c r="J747" s="10" t="s">
        <v>3392</v>
      </c>
      <c r="K747" s="10" t="s">
        <v>3393</v>
      </c>
      <c r="L747" s="65" t="str">
        <f t="shared" si="58"/>
        <v>Tbilisi|Georgia|44,790833|41,724998|+4:00 Asia</v>
      </c>
      <c r="M747" s="10" t="s">
        <v>3394</v>
      </c>
      <c r="N747" s="10">
        <f t="shared" si="55"/>
        <v>0</v>
      </c>
      <c r="O747" t="str">
        <f t="shared" si="59"/>
        <v/>
      </c>
      <c r="P747" t="str">
        <f>IF(O747=1,COUNTIF($O$2:O747,1),"")</f>
        <v/>
      </c>
      <c r="Q747" t="str">
        <f>IFERROR(INDEX($M$2:$M$2388,MATCH(ROWS($P$2:P747),$P$2:$P$2388,0)),"")</f>
        <v/>
      </c>
    </row>
    <row r="748" spans="1:17" ht="15" x14ac:dyDescent="0.25">
      <c r="A748" s="10">
        <v>825</v>
      </c>
      <c r="B748" s="10" t="s">
        <v>3395</v>
      </c>
      <c r="C748" s="880">
        <f t="shared" si="56"/>
        <v>42.077199999999998</v>
      </c>
      <c r="D748" s="880">
        <f t="shared" si="57"/>
        <v>42.604399999999998</v>
      </c>
      <c r="E748" s="10">
        <v>42.077221000000002</v>
      </c>
      <c r="F748" s="10">
        <v>42.604443000000003</v>
      </c>
      <c r="G748" s="10">
        <v>4</v>
      </c>
      <c r="H748" s="10" t="s">
        <v>1794</v>
      </c>
      <c r="I748" s="10" t="s">
        <v>3391</v>
      </c>
      <c r="J748" s="10" t="s">
        <v>3392</v>
      </c>
      <c r="K748" s="10" t="s">
        <v>3393</v>
      </c>
      <c r="L748" s="65" t="str">
        <f t="shared" si="58"/>
        <v>Tsalenjikha|Georgia|42,077221|42,604443|+4:00 Asia</v>
      </c>
      <c r="M748" s="10" t="s">
        <v>3396</v>
      </c>
      <c r="N748" s="10">
        <f t="shared" si="55"/>
        <v>0</v>
      </c>
      <c r="O748" t="str">
        <f t="shared" si="59"/>
        <v/>
      </c>
      <c r="P748" t="str">
        <f>IF(O748=1,COUNTIF($O$2:O748,1),"")</f>
        <v/>
      </c>
      <c r="Q748" t="str">
        <f>IFERROR(INDEX($M$2:$M$2388,MATCH(ROWS($P$2:P748),$P$2:$P$2388,0)),"")</f>
        <v/>
      </c>
    </row>
    <row r="749" spans="1:17" ht="15" x14ac:dyDescent="0.25">
      <c r="A749" s="10">
        <v>824</v>
      </c>
      <c r="B749" s="10" t="s">
        <v>3397</v>
      </c>
      <c r="C749" s="880">
        <f t="shared" si="56"/>
        <v>45.971899999999998</v>
      </c>
      <c r="D749" s="880">
        <f t="shared" si="57"/>
        <v>41.616900000000001</v>
      </c>
      <c r="E749" s="10">
        <v>45.971943000000003</v>
      </c>
      <c r="F749" s="10">
        <v>41.616942999999999</v>
      </c>
      <c r="G749" s="10">
        <v>4</v>
      </c>
      <c r="H749" s="10" t="s">
        <v>1794</v>
      </c>
      <c r="I749" s="10" t="s">
        <v>3391</v>
      </c>
      <c r="J749" s="10" t="s">
        <v>3392</v>
      </c>
      <c r="K749" s="10" t="s">
        <v>3393</v>
      </c>
      <c r="L749" s="65" t="str">
        <f t="shared" si="58"/>
        <v>Tsnori|Georgia|45,971943|41,616943|+4:00 Asia</v>
      </c>
      <c r="M749" s="10" t="s">
        <v>3398</v>
      </c>
      <c r="N749" s="10">
        <f t="shared" si="55"/>
        <v>0</v>
      </c>
      <c r="O749" t="str">
        <f t="shared" si="59"/>
        <v/>
      </c>
      <c r="P749" t="str">
        <f>IF(O749=1,COUNTIF($O$2:O749,1),"")</f>
        <v/>
      </c>
      <c r="Q749" t="str">
        <f>IFERROR(INDEX($M$2:$M$2388,MATCH(ROWS($P$2:P749),$P$2:$P$2388,0)),"")</f>
        <v/>
      </c>
    </row>
    <row r="750" spans="1:17" ht="15" x14ac:dyDescent="0.25">
      <c r="A750" s="10">
        <v>823</v>
      </c>
      <c r="B750" s="10" t="s">
        <v>3399</v>
      </c>
      <c r="C750" s="880">
        <f t="shared" si="56"/>
        <v>41.869100000000003</v>
      </c>
      <c r="D750" s="880">
        <f t="shared" si="57"/>
        <v>42.5122</v>
      </c>
      <c r="E750" s="10">
        <v>41.869166999999997</v>
      </c>
      <c r="F750" s="10">
        <v>42.512222000000001</v>
      </c>
      <c r="G750" s="10">
        <v>4</v>
      </c>
      <c r="H750" s="10" t="s">
        <v>1794</v>
      </c>
      <c r="I750" s="10" t="s">
        <v>3391</v>
      </c>
      <c r="J750" s="10" t="s">
        <v>3392</v>
      </c>
      <c r="K750" s="10" t="s">
        <v>3393</v>
      </c>
      <c r="L750" s="65" t="str">
        <f t="shared" si="58"/>
        <v>Zugdidi|Georgia|41,869167|42,512222|+4:00 Asia</v>
      </c>
      <c r="M750" s="10" t="s">
        <v>3400</v>
      </c>
      <c r="N750" s="10">
        <f t="shared" si="55"/>
        <v>0</v>
      </c>
      <c r="O750" t="str">
        <f t="shared" si="59"/>
        <v/>
      </c>
      <c r="P750" t="str">
        <f>IF(O750=1,COUNTIF($O$2:O750,1),"")</f>
        <v/>
      </c>
      <c r="Q750" t="str">
        <f>IFERROR(INDEX($M$2:$M$2388,MATCH(ROWS($P$2:P750),$P$2:$P$2388,0)),"")</f>
        <v/>
      </c>
    </row>
    <row r="751" spans="1:17" ht="15" x14ac:dyDescent="0.25">
      <c r="A751" s="10">
        <v>669</v>
      </c>
      <c r="B751" s="10" t="s">
        <v>3401</v>
      </c>
      <c r="C751" s="880">
        <f t="shared" si="56"/>
        <v>10.8833</v>
      </c>
      <c r="D751" s="880">
        <f t="shared" si="57"/>
        <v>48.366599999999998</v>
      </c>
      <c r="E751" s="10">
        <v>10.883333</v>
      </c>
      <c r="F751" s="10">
        <v>48.366664999999998</v>
      </c>
      <c r="G751" s="10">
        <v>1</v>
      </c>
      <c r="H751" s="10" t="s">
        <v>1670</v>
      </c>
      <c r="I751" s="10" t="s">
        <v>3402</v>
      </c>
      <c r="J751" s="10" t="s">
        <v>3403</v>
      </c>
      <c r="K751" s="10" t="s">
        <v>3404</v>
      </c>
      <c r="L751" s="65" t="str">
        <f t="shared" si="58"/>
        <v>Augsburg|Germany|10,883333|48,366665|+1:00 Europe</v>
      </c>
      <c r="M751" s="10" t="s">
        <v>3405</v>
      </c>
      <c r="N751" s="10">
        <f t="shared" si="55"/>
        <v>0</v>
      </c>
      <c r="O751" t="str">
        <f t="shared" si="59"/>
        <v/>
      </c>
      <c r="P751" t="str">
        <f>IF(O751=1,COUNTIF($O$2:O751,1),"")</f>
        <v/>
      </c>
      <c r="Q751" t="str">
        <f>IFERROR(INDEX($M$2:$M$2388,MATCH(ROWS($P$2:P751),$P$2:$P$2388,0)),"")</f>
        <v/>
      </c>
    </row>
    <row r="752" spans="1:17" ht="15" x14ac:dyDescent="0.25">
      <c r="A752" s="10">
        <v>668</v>
      </c>
      <c r="B752" s="10" t="s">
        <v>3406</v>
      </c>
      <c r="C752" s="880">
        <f t="shared" si="56"/>
        <v>13.4</v>
      </c>
      <c r="D752" s="880">
        <f t="shared" si="57"/>
        <v>52.516599999999997</v>
      </c>
      <c r="E752" s="10">
        <v>13.4</v>
      </c>
      <c r="F752" s="10">
        <v>52.516666000000001</v>
      </c>
      <c r="G752" s="10">
        <v>1</v>
      </c>
      <c r="H752" s="10" t="s">
        <v>1670</v>
      </c>
      <c r="I752" s="10" t="s">
        <v>3402</v>
      </c>
      <c r="J752" s="10" t="s">
        <v>3403</v>
      </c>
      <c r="K752" s="10" t="s">
        <v>3404</v>
      </c>
      <c r="L752" s="65" t="str">
        <f t="shared" si="58"/>
        <v>Berlin|Germany|13,400000|52,516666|+1:00 Europe</v>
      </c>
      <c r="M752" s="10" t="s">
        <v>3407</v>
      </c>
      <c r="N752" s="10">
        <f t="shared" si="55"/>
        <v>0</v>
      </c>
      <c r="O752" t="str">
        <f t="shared" si="59"/>
        <v/>
      </c>
      <c r="P752" t="str">
        <f>IF(O752=1,COUNTIF($O$2:O752,1),"")</f>
        <v/>
      </c>
      <c r="Q752" t="str">
        <f>IFERROR(INDEX($M$2:$M$2388,MATCH(ROWS($P$2:P752),$P$2:$P$2388,0)),"")</f>
        <v/>
      </c>
    </row>
    <row r="753" spans="1:17" ht="15" x14ac:dyDescent="0.25">
      <c r="A753" s="10">
        <v>667</v>
      </c>
      <c r="B753" s="10" t="s">
        <v>3408</v>
      </c>
      <c r="C753" s="880">
        <f t="shared" si="56"/>
        <v>8.5333000000000006</v>
      </c>
      <c r="D753" s="880">
        <f t="shared" si="57"/>
        <v>52.033299999999997</v>
      </c>
      <c r="E753" s="10">
        <v>8.5333330000000007</v>
      </c>
      <c r="F753" s="10">
        <v>52.033332999999999</v>
      </c>
      <c r="G753" s="10">
        <v>1</v>
      </c>
      <c r="H753" s="10" t="s">
        <v>1670</v>
      </c>
      <c r="I753" s="10" t="s">
        <v>3402</v>
      </c>
      <c r="J753" s="10" t="s">
        <v>3403</v>
      </c>
      <c r="K753" s="10" t="s">
        <v>3404</v>
      </c>
      <c r="L753" s="65" t="str">
        <f t="shared" si="58"/>
        <v>Bielefeld|Germany|8,533333|52,033333|+1:00 Europe</v>
      </c>
      <c r="M753" s="10" t="s">
        <v>3409</v>
      </c>
      <c r="N753" s="10">
        <f t="shared" si="55"/>
        <v>0</v>
      </c>
      <c r="O753" t="str">
        <f t="shared" si="59"/>
        <v/>
      </c>
      <c r="P753" t="str">
        <f>IF(O753=1,COUNTIF($O$2:O753,1),"")</f>
        <v/>
      </c>
      <c r="Q753" t="str">
        <f>IFERROR(INDEX($M$2:$M$2388,MATCH(ROWS($P$2:P753),$P$2:$P$2388,0)),"")</f>
        <v/>
      </c>
    </row>
    <row r="754" spans="1:17" ht="15" x14ac:dyDescent="0.25">
      <c r="A754" s="10">
        <v>666</v>
      </c>
      <c r="B754" s="10" t="s">
        <v>3410</v>
      </c>
      <c r="C754" s="880">
        <f t="shared" si="56"/>
        <v>7.2165999999999997</v>
      </c>
      <c r="D754" s="880">
        <f t="shared" si="57"/>
        <v>51.4833</v>
      </c>
      <c r="E754" s="10">
        <v>7.2166670000000002</v>
      </c>
      <c r="F754" s="10">
        <v>51.483333999999999</v>
      </c>
      <c r="G754" s="10">
        <v>1</v>
      </c>
      <c r="H754" s="10" t="s">
        <v>1670</v>
      </c>
      <c r="I754" s="10" t="s">
        <v>3402</v>
      </c>
      <c r="J754" s="10" t="s">
        <v>3403</v>
      </c>
      <c r="K754" s="10" t="s">
        <v>3404</v>
      </c>
      <c r="L754" s="65" t="str">
        <f t="shared" si="58"/>
        <v>Bochum|Germany|7,216667|51,483334|+1:00 Europe</v>
      </c>
      <c r="M754" s="10" t="s">
        <v>3411</v>
      </c>
      <c r="N754" s="10">
        <f t="shared" si="55"/>
        <v>0</v>
      </c>
      <c r="O754" t="str">
        <f t="shared" si="59"/>
        <v/>
      </c>
      <c r="P754" t="str">
        <f>IF(O754=1,COUNTIF($O$2:O754,1),"")</f>
        <v/>
      </c>
      <c r="Q754" t="str">
        <f>IFERROR(INDEX($M$2:$M$2388,MATCH(ROWS($P$2:P754),$P$2:$P$2388,0)),"")</f>
        <v/>
      </c>
    </row>
    <row r="755" spans="1:17" ht="15" x14ac:dyDescent="0.25">
      <c r="A755" s="10">
        <v>665</v>
      </c>
      <c r="B755" s="10" t="s">
        <v>3412</v>
      </c>
      <c r="C755" s="880">
        <f t="shared" si="56"/>
        <v>7.1</v>
      </c>
      <c r="D755" s="880">
        <f t="shared" si="57"/>
        <v>50.7333</v>
      </c>
      <c r="E755" s="10">
        <v>7.1</v>
      </c>
      <c r="F755" s="10">
        <v>50.733333999999999</v>
      </c>
      <c r="G755" s="10">
        <v>1</v>
      </c>
      <c r="H755" s="10" t="s">
        <v>1670</v>
      </c>
      <c r="I755" s="10" t="s">
        <v>3402</v>
      </c>
      <c r="J755" s="10" t="s">
        <v>3403</v>
      </c>
      <c r="K755" s="10" t="s">
        <v>3404</v>
      </c>
      <c r="L755" s="65" t="str">
        <f t="shared" si="58"/>
        <v>Bonn|Germany|7,100000|50,733334|+1:00 Europe</v>
      </c>
      <c r="M755" s="10" t="s">
        <v>3413</v>
      </c>
      <c r="N755" s="10">
        <f t="shared" si="55"/>
        <v>0</v>
      </c>
      <c r="O755" t="str">
        <f t="shared" si="59"/>
        <v/>
      </c>
      <c r="P755" t="str">
        <f>IF(O755=1,COUNTIF($O$2:O755,1),"")</f>
        <v/>
      </c>
      <c r="Q755" t="str">
        <f>IFERROR(INDEX($M$2:$M$2388,MATCH(ROWS($P$2:P755),$P$2:$P$2388,0)),"")</f>
        <v/>
      </c>
    </row>
    <row r="756" spans="1:17" ht="15" x14ac:dyDescent="0.25">
      <c r="A756" s="10">
        <v>664</v>
      </c>
      <c r="B756" s="10" t="s">
        <v>3414</v>
      </c>
      <c r="C756" s="880">
        <f t="shared" si="56"/>
        <v>10.533300000000001</v>
      </c>
      <c r="D756" s="880">
        <f t="shared" si="57"/>
        <v>52.266599999999997</v>
      </c>
      <c r="E756" s="10">
        <v>10.533333000000001</v>
      </c>
      <c r="F756" s="10">
        <v>52.266666000000001</v>
      </c>
      <c r="G756" s="10">
        <v>1</v>
      </c>
      <c r="H756" s="10" t="s">
        <v>1670</v>
      </c>
      <c r="I756" s="10" t="s">
        <v>3402</v>
      </c>
      <c r="J756" s="10" t="s">
        <v>3403</v>
      </c>
      <c r="K756" s="10" t="s">
        <v>3404</v>
      </c>
      <c r="L756" s="65" t="str">
        <f t="shared" si="58"/>
        <v>Braunschweig|Germany|10,533333|52,266666|+1:00 Europe</v>
      </c>
      <c r="M756" s="10" t="s">
        <v>3415</v>
      </c>
      <c r="N756" s="10">
        <f t="shared" si="55"/>
        <v>0</v>
      </c>
      <c r="O756" t="str">
        <f t="shared" si="59"/>
        <v/>
      </c>
      <c r="P756" t="str">
        <f>IF(O756=1,COUNTIF($O$2:O756,1),"")</f>
        <v/>
      </c>
      <c r="Q756" t="str">
        <f>IFERROR(INDEX($M$2:$M$2388,MATCH(ROWS($P$2:P756),$P$2:$P$2388,0)),"")</f>
        <v/>
      </c>
    </row>
    <row r="757" spans="1:17" ht="15" x14ac:dyDescent="0.25">
      <c r="A757" s="10">
        <v>663</v>
      </c>
      <c r="B757" s="10" t="s">
        <v>3416</v>
      </c>
      <c r="C757" s="880">
        <f t="shared" si="56"/>
        <v>8.8077000000000005</v>
      </c>
      <c r="D757" s="880">
        <f t="shared" si="57"/>
        <v>53.075099999999999</v>
      </c>
      <c r="E757" s="10">
        <v>8.8077740000000002</v>
      </c>
      <c r="F757" s="10">
        <v>53.075156999999997</v>
      </c>
      <c r="G757" s="10">
        <v>1</v>
      </c>
      <c r="H757" s="10" t="s">
        <v>1670</v>
      </c>
      <c r="I757" s="10" t="s">
        <v>3402</v>
      </c>
      <c r="J757" s="10" t="s">
        <v>3403</v>
      </c>
      <c r="K757" s="10" t="s">
        <v>3404</v>
      </c>
      <c r="L757" s="65" t="str">
        <f t="shared" si="58"/>
        <v>Bremen|Germany|8,807774|53,075157|+1:00 Europe</v>
      </c>
      <c r="M757" s="10" t="s">
        <v>3417</v>
      </c>
      <c r="N757" s="10">
        <f t="shared" si="55"/>
        <v>0</v>
      </c>
      <c r="O757" t="str">
        <f t="shared" si="59"/>
        <v/>
      </c>
      <c r="P757" t="str">
        <f>IF(O757=1,COUNTIF($O$2:O757,1),"")</f>
        <v/>
      </c>
      <c r="Q757" t="str">
        <f>IFERROR(INDEX($M$2:$M$2388,MATCH(ROWS($P$2:P757),$P$2:$P$2388,0)),"")</f>
        <v/>
      </c>
    </row>
    <row r="758" spans="1:17" ht="15" x14ac:dyDescent="0.25">
      <c r="A758" s="10">
        <v>662</v>
      </c>
      <c r="B758" s="10" t="s">
        <v>3418</v>
      </c>
      <c r="C758" s="880">
        <f t="shared" si="56"/>
        <v>12.916600000000001</v>
      </c>
      <c r="D758" s="880">
        <f t="shared" si="57"/>
        <v>50.833300000000001</v>
      </c>
      <c r="E758" s="10">
        <v>12.916667</v>
      </c>
      <c r="F758" s="10">
        <v>50.833331999999999</v>
      </c>
      <c r="G758" s="10">
        <v>1</v>
      </c>
      <c r="H758" s="10" t="s">
        <v>1670</v>
      </c>
      <c r="I758" s="10" t="s">
        <v>3402</v>
      </c>
      <c r="J758" s="10" t="s">
        <v>3403</v>
      </c>
      <c r="K758" s="10" t="s">
        <v>3404</v>
      </c>
      <c r="L758" s="65" t="str">
        <f t="shared" si="58"/>
        <v>Chemnitz|Germany|12,916667|50,833332|+1:00 Europe</v>
      </c>
      <c r="M758" s="10" t="s">
        <v>3419</v>
      </c>
      <c r="N758" s="10">
        <f t="shared" si="55"/>
        <v>0</v>
      </c>
      <c r="O758" t="str">
        <f t="shared" si="59"/>
        <v/>
      </c>
      <c r="P758" t="str">
        <f>IF(O758=1,COUNTIF($O$2:O758,1),"")</f>
        <v/>
      </c>
      <c r="Q758" t="str">
        <f>IFERROR(INDEX($M$2:$M$2388,MATCH(ROWS($P$2:P758),$P$2:$P$2388,0)),"")</f>
        <v/>
      </c>
    </row>
    <row r="759" spans="1:17" ht="15" x14ac:dyDescent="0.25">
      <c r="A759" s="10">
        <v>661</v>
      </c>
      <c r="B759" s="10" t="s">
        <v>3420</v>
      </c>
      <c r="C759" s="880">
        <f t="shared" si="56"/>
        <v>7.45</v>
      </c>
      <c r="D759" s="880">
        <f t="shared" si="57"/>
        <v>51.516599999999997</v>
      </c>
      <c r="E759" s="10">
        <v>7.45</v>
      </c>
      <c r="F759" s="10">
        <v>51.516666000000001</v>
      </c>
      <c r="G759" s="10">
        <v>1</v>
      </c>
      <c r="H759" s="10" t="s">
        <v>1670</v>
      </c>
      <c r="I759" s="10" t="s">
        <v>3402</v>
      </c>
      <c r="J759" s="10" t="s">
        <v>3403</v>
      </c>
      <c r="K759" s="10" t="s">
        <v>3404</v>
      </c>
      <c r="L759" s="65" t="str">
        <f t="shared" si="58"/>
        <v>Dortmund|Germany|7,450000|51,516666|+1:00 Europe</v>
      </c>
      <c r="M759" s="10" t="s">
        <v>3421</v>
      </c>
      <c r="N759" s="10">
        <f t="shared" si="55"/>
        <v>0</v>
      </c>
      <c r="O759" t="str">
        <f t="shared" si="59"/>
        <v/>
      </c>
      <c r="P759" t="str">
        <f>IF(O759=1,COUNTIF($O$2:O759,1),"")</f>
        <v/>
      </c>
      <c r="Q759" t="str">
        <f>IFERROR(INDEX($M$2:$M$2388,MATCH(ROWS($P$2:P759),$P$2:$P$2388,0)),"")</f>
        <v/>
      </c>
    </row>
    <row r="760" spans="1:17" ht="15" x14ac:dyDescent="0.25">
      <c r="A760" s="10">
        <v>660</v>
      </c>
      <c r="B760" s="10" t="s">
        <v>3422</v>
      </c>
      <c r="C760" s="880">
        <f t="shared" si="56"/>
        <v>13.738300000000001</v>
      </c>
      <c r="D760" s="880">
        <f t="shared" si="57"/>
        <v>51.050800000000002</v>
      </c>
      <c r="E760" s="10">
        <v>13.738317</v>
      </c>
      <c r="F760" s="10">
        <v>51.050891999999997</v>
      </c>
      <c r="G760" s="10">
        <v>1</v>
      </c>
      <c r="H760" s="10" t="s">
        <v>1670</v>
      </c>
      <c r="I760" s="10" t="s">
        <v>3402</v>
      </c>
      <c r="J760" s="10" t="s">
        <v>3403</v>
      </c>
      <c r="K760" s="10" t="s">
        <v>3404</v>
      </c>
      <c r="L760" s="65" t="str">
        <f t="shared" si="58"/>
        <v>Dresden|Germany|13,738317|51,050892|+1:00 Europe</v>
      </c>
      <c r="M760" s="10" t="s">
        <v>3423</v>
      </c>
      <c r="N760" s="10">
        <f t="shared" si="55"/>
        <v>0</v>
      </c>
      <c r="O760" t="str">
        <f t="shared" si="59"/>
        <v/>
      </c>
      <c r="P760" t="str">
        <f>IF(O760=1,COUNTIF($O$2:O760,1),"")</f>
        <v/>
      </c>
      <c r="Q760" t="str">
        <f>IFERROR(INDEX($M$2:$M$2388,MATCH(ROWS($P$2:P760),$P$2:$P$2388,0)),"")</f>
        <v/>
      </c>
    </row>
    <row r="761" spans="1:17" ht="15" x14ac:dyDescent="0.25">
      <c r="A761" s="10">
        <v>659</v>
      </c>
      <c r="B761" s="10" t="s">
        <v>3424</v>
      </c>
      <c r="C761" s="880">
        <f t="shared" si="56"/>
        <v>6.75</v>
      </c>
      <c r="D761" s="880">
        <f t="shared" si="57"/>
        <v>51.433300000000003</v>
      </c>
      <c r="E761" s="10">
        <v>6.75</v>
      </c>
      <c r="F761" s="10">
        <v>51.433334000000002</v>
      </c>
      <c r="G761" s="10">
        <v>1</v>
      </c>
      <c r="H761" s="10" t="s">
        <v>1670</v>
      </c>
      <c r="I761" s="10" t="s">
        <v>3402</v>
      </c>
      <c r="J761" s="10" t="s">
        <v>3403</v>
      </c>
      <c r="K761" s="10" t="s">
        <v>3404</v>
      </c>
      <c r="L761" s="65" t="str">
        <f t="shared" si="58"/>
        <v>Duisburg|Germany|6,750000|51,433334|+1:00 Europe</v>
      </c>
      <c r="M761" s="10" t="s">
        <v>3425</v>
      </c>
      <c r="N761" s="10">
        <f t="shared" si="55"/>
        <v>0</v>
      </c>
      <c r="O761" t="str">
        <f t="shared" si="59"/>
        <v/>
      </c>
      <c r="P761" t="str">
        <f>IF(O761=1,COUNTIF($O$2:O761,1),"")</f>
        <v/>
      </c>
      <c r="Q761" t="str">
        <f>IFERROR(INDEX($M$2:$M$2388,MATCH(ROWS($P$2:P761),$P$2:$P$2388,0)),"")</f>
        <v/>
      </c>
    </row>
    <row r="762" spans="1:17" ht="15" x14ac:dyDescent="0.25">
      <c r="A762" s="10">
        <v>658</v>
      </c>
      <c r="B762" s="10" t="s">
        <v>3426</v>
      </c>
      <c r="C762" s="880">
        <f t="shared" si="56"/>
        <v>6.7760999999999996</v>
      </c>
      <c r="D762" s="880">
        <f t="shared" si="57"/>
        <v>51.221699999999998</v>
      </c>
      <c r="E762" s="10">
        <v>6.7761610000000001</v>
      </c>
      <c r="F762" s="10">
        <v>51.221722</v>
      </c>
      <c r="G762" s="10">
        <v>1</v>
      </c>
      <c r="H762" s="10" t="s">
        <v>1670</v>
      </c>
      <c r="I762" s="10" t="s">
        <v>3402</v>
      </c>
      <c r="J762" s="10" t="s">
        <v>3403</v>
      </c>
      <c r="K762" s="10" t="s">
        <v>3404</v>
      </c>
      <c r="L762" s="65" t="str">
        <f t="shared" si="58"/>
        <v>Dusseldorf|Germany|6,776161|51,221722|+1:00 Europe</v>
      </c>
      <c r="M762" s="10" t="s">
        <v>3427</v>
      </c>
      <c r="N762" s="10">
        <f t="shared" si="55"/>
        <v>0</v>
      </c>
      <c r="O762" t="str">
        <f t="shared" si="59"/>
        <v/>
      </c>
      <c r="P762" t="str">
        <f>IF(O762=1,COUNTIF($O$2:O762,1),"")</f>
        <v/>
      </c>
      <c r="Q762" t="str">
        <f>IFERROR(INDEX($M$2:$M$2388,MATCH(ROWS($P$2:P762),$P$2:$P$2388,0)),"")</f>
        <v/>
      </c>
    </row>
    <row r="763" spans="1:17" ht="15" x14ac:dyDescent="0.25">
      <c r="A763" s="10">
        <v>657</v>
      </c>
      <c r="B763" s="10" t="s">
        <v>3428</v>
      </c>
      <c r="C763" s="880">
        <f t="shared" si="56"/>
        <v>11.033300000000001</v>
      </c>
      <c r="D763" s="880">
        <f t="shared" si="57"/>
        <v>50.9833</v>
      </c>
      <c r="E763" s="10">
        <v>11.033333000000001</v>
      </c>
      <c r="F763" s="10">
        <v>50.983333999999999</v>
      </c>
      <c r="G763" s="10">
        <v>1</v>
      </c>
      <c r="H763" s="10" t="s">
        <v>1670</v>
      </c>
      <c r="I763" s="10" t="s">
        <v>3402</v>
      </c>
      <c r="J763" s="10" t="s">
        <v>3403</v>
      </c>
      <c r="K763" s="10" t="s">
        <v>3404</v>
      </c>
      <c r="L763" s="65" t="str">
        <f t="shared" si="58"/>
        <v>Erfurt|Germany|11,033333|50,983334|+1:00 Europe</v>
      </c>
      <c r="M763" s="10" t="s">
        <v>3429</v>
      </c>
      <c r="N763" s="10">
        <f t="shared" si="55"/>
        <v>0</v>
      </c>
      <c r="O763" t="str">
        <f t="shared" si="59"/>
        <v/>
      </c>
      <c r="P763" t="str">
        <f>IF(O763=1,COUNTIF($O$2:O763,1),"")</f>
        <v/>
      </c>
      <c r="Q763" t="str">
        <f>IFERROR(INDEX($M$2:$M$2388,MATCH(ROWS($P$2:P763),$P$2:$P$2388,0)),"")</f>
        <v/>
      </c>
    </row>
    <row r="764" spans="1:17" ht="15" x14ac:dyDescent="0.25">
      <c r="A764" s="10">
        <v>656</v>
      </c>
      <c r="B764" s="10" t="s">
        <v>3430</v>
      </c>
      <c r="C764" s="880">
        <f t="shared" si="56"/>
        <v>7.0166000000000004</v>
      </c>
      <c r="D764" s="880">
        <f t="shared" si="57"/>
        <v>51.45</v>
      </c>
      <c r="E764" s="10">
        <v>7.016667</v>
      </c>
      <c r="F764" s="10">
        <v>51.450001</v>
      </c>
      <c r="G764" s="10">
        <v>1</v>
      </c>
      <c r="H764" s="10" t="s">
        <v>1670</v>
      </c>
      <c r="I764" s="10" t="s">
        <v>3402</v>
      </c>
      <c r="J764" s="10" t="s">
        <v>3403</v>
      </c>
      <c r="K764" s="10" t="s">
        <v>3404</v>
      </c>
      <c r="L764" s="65" t="str">
        <f t="shared" si="58"/>
        <v>Essen|Germany|7,016667|51,450001|+1:00 Europe</v>
      </c>
      <c r="M764" s="10" t="s">
        <v>3431</v>
      </c>
      <c r="N764" s="10">
        <f t="shared" si="55"/>
        <v>0</v>
      </c>
      <c r="O764" t="str">
        <f t="shared" si="59"/>
        <v/>
      </c>
      <c r="P764" t="str">
        <f>IF(O764=1,COUNTIF($O$2:O764,1),"")</f>
        <v/>
      </c>
      <c r="Q764" t="str">
        <f>IFERROR(INDEX($M$2:$M$2388,MATCH(ROWS($P$2:P764),$P$2:$P$2388,0)),"")</f>
        <v/>
      </c>
    </row>
    <row r="765" spans="1:17" ht="15" x14ac:dyDescent="0.25">
      <c r="A765" s="10">
        <v>655</v>
      </c>
      <c r="B765" s="10" t="s">
        <v>3432</v>
      </c>
      <c r="C765" s="880">
        <f t="shared" si="56"/>
        <v>8.6832999999999991</v>
      </c>
      <c r="D765" s="880">
        <f t="shared" si="57"/>
        <v>50.116599999999998</v>
      </c>
      <c r="E765" s="10">
        <v>8.6833329999999993</v>
      </c>
      <c r="F765" s="10">
        <v>50.116664999999998</v>
      </c>
      <c r="G765" s="10">
        <v>1</v>
      </c>
      <c r="H765" s="10" t="s">
        <v>1670</v>
      </c>
      <c r="I765" s="10" t="s">
        <v>3402</v>
      </c>
      <c r="J765" s="10" t="s">
        <v>3403</v>
      </c>
      <c r="K765" s="10" t="s">
        <v>3404</v>
      </c>
      <c r="L765" s="65" t="str">
        <f t="shared" si="58"/>
        <v>Frankfurt am Main|Germany|8,683333|50,116665|+1:00 Europe</v>
      </c>
      <c r="M765" s="10" t="s">
        <v>3433</v>
      </c>
      <c r="N765" s="10">
        <f t="shared" si="55"/>
        <v>0</v>
      </c>
      <c r="O765" t="str">
        <f t="shared" si="59"/>
        <v/>
      </c>
      <c r="P765" t="str">
        <f>IF(O765=1,COUNTIF($O$2:O765,1),"")</f>
        <v/>
      </c>
      <c r="Q765" t="str">
        <f>IFERROR(INDEX($M$2:$M$2388,MATCH(ROWS($P$2:P765),$P$2:$P$2388,0)),"")</f>
        <v/>
      </c>
    </row>
    <row r="766" spans="1:17" ht="15" x14ac:dyDescent="0.25">
      <c r="A766" s="10">
        <v>654</v>
      </c>
      <c r="B766" s="10" t="s">
        <v>3434</v>
      </c>
      <c r="C766" s="880">
        <f t="shared" si="56"/>
        <v>7.8521999999999998</v>
      </c>
      <c r="D766" s="880">
        <f t="shared" si="57"/>
        <v>47.995800000000003</v>
      </c>
      <c r="E766" s="10">
        <v>7.8522210000000001</v>
      </c>
      <c r="F766" s="10">
        <v>47.995894999999997</v>
      </c>
      <c r="G766" s="10">
        <v>1</v>
      </c>
      <c r="H766" s="10" t="s">
        <v>1670</v>
      </c>
      <c r="I766" s="10" t="s">
        <v>3402</v>
      </c>
      <c r="J766" s="10" t="s">
        <v>3403</v>
      </c>
      <c r="K766" s="10" t="s">
        <v>3404</v>
      </c>
      <c r="L766" s="65" t="str">
        <f t="shared" si="58"/>
        <v>Freiburg|Germany|7,852221|47,995895|+1:00 Europe</v>
      </c>
      <c r="M766" s="10" t="s">
        <v>3435</v>
      </c>
      <c r="N766" s="10">
        <f t="shared" si="55"/>
        <v>0</v>
      </c>
      <c r="O766" t="str">
        <f t="shared" si="59"/>
        <v/>
      </c>
      <c r="P766" t="str">
        <f>IF(O766=1,COUNTIF($O$2:O766,1),"")</f>
        <v/>
      </c>
      <c r="Q766" t="str">
        <f>IFERROR(INDEX($M$2:$M$2388,MATCH(ROWS($P$2:P766),$P$2:$P$2388,0)),"")</f>
        <v/>
      </c>
    </row>
    <row r="767" spans="1:17" ht="15" x14ac:dyDescent="0.25">
      <c r="A767" s="10">
        <v>653</v>
      </c>
      <c r="B767" s="10" t="s">
        <v>3436</v>
      </c>
      <c r="C767" s="880">
        <f t="shared" si="56"/>
        <v>7.1166</v>
      </c>
      <c r="D767" s="880">
        <f t="shared" si="57"/>
        <v>51.516599999999997</v>
      </c>
      <c r="E767" s="10">
        <v>7.1166669999999996</v>
      </c>
      <c r="F767" s="10">
        <v>51.516666000000001</v>
      </c>
      <c r="G767" s="10">
        <v>1</v>
      </c>
      <c r="H767" s="10" t="s">
        <v>1670</v>
      </c>
      <c r="I767" s="10" t="s">
        <v>3402</v>
      </c>
      <c r="J767" s="10" t="s">
        <v>3403</v>
      </c>
      <c r="K767" s="10" t="s">
        <v>3404</v>
      </c>
      <c r="L767" s="65" t="str">
        <f t="shared" si="58"/>
        <v>Gelsenkirchen-Alt|Germany|7,116667|51,516666|+1:00 Europe</v>
      </c>
      <c r="M767" s="10" t="s">
        <v>3437</v>
      </c>
      <c r="N767" s="10">
        <f t="shared" si="55"/>
        <v>0</v>
      </c>
      <c r="O767" t="str">
        <f t="shared" si="59"/>
        <v/>
      </c>
      <c r="P767" t="str">
        <f>IF(O767=1,COUNTIF($O$2:O767,1),"")</f>
        <v/>
      </c>
      <c r="Q767" t="str">
        <f>IFERROR(INDEX($M$2:$M$2388,MATCH(ROWS($P$2:P767),$P$2:$P$2388,0)),"")</f>
        <v/>
      </c>
    </row>
    <row r="768" spans="1:17" ht="15" x14ac:dyDescent="0.25">
      <c r="A768" s="10">
        <v>652</v>
      </c>
      <c r="B768" s="10" t="s">
        <v>3438</v>
      </c>
      <c r="C768" s="880">
        <f t="shared" si="56"/>
        <v>12</v>
      </c>
      <c r="D768" s="880">
        <f t="shared" si="57"/>
        <v>51.5</v>
      </c>
      <c r="E768" s="10">
        <v>12</v>
      </c>
      <c r="F768" s="10">
        <v>51.5</v>
      </c>
      <c r="G768" s="10">
        <v>1</v>
      </c>
      <c r="H768" s="10" t="s">
        <v>1670</v>
      </c>
      <c r="I768" s="10" t="s">
        <v>3402</v>
      </c>
      <c r="J768" s="10" t="s">
        <v>3403</v>
      </c>
      <c r="K768" s="10" t="s">
        <v>3404</v>
      </c>
      <c r="L768" s="65" t="str">
        <f t="shared" si="58"/>
        <v>Halle|Germany|12,000000|51,500000|+1:00 Europe</v>
      </c>
      <c r="M768" s="10" t="s">
        <v>3439</v>
      </c>
      <c r="N768" s="10">
        <f t="shared" si="55"/>
        <v>0</v>
      </c>
      <c r="O768" t="str">
        <f t="shared" si="59"/>
        <v/>
      </c>
      <c r="P768" t="str">
        <f>IF(O768=1,COUNTIF($O$2:O768,1),"")</f>
        <v/>
      </c>
      <c r="Q768" t="str">
        <f>IFERROR(INDEX($M$2:$M$2388,MATCH(ROWS($P$2:P768),$P$2:$P$2388,0)),"")</f>
        <v/>
      </c>
    </row>
    <row r="769" spans="1:17" ht="15" x14ac:dyDescent="0.25">
      <c r="A769" s="10">
        <v>651</v>
      </c>
      <c r="B769" s="10" t="s">
        <v>3440</v>
      </c>
      <c r="C769" s="880">
        <f t="shared" si="56"/>
        <v>11.933299999999999</v>
      </c>
      <c r="D769" s="880">
        <f t="shared" si="57"/>
        <v>51.4833</v>
      </c>
      <c r="E769" s="10">
        <v>11.933332999999999</v>
      </c>
      <c r="F769" s="10">
        <v>51.483333999999999</v>
      </c>
      <c r="G769" s="10">
        <v>1</v>
      </c>
      <c r="H769" s="10" t="s">
        <v>1670</v>
      </c>
      <c r="I769" s="10" t="s">
        <v>3402</v>
      </c>
      <c r="J769" s="10" t="s">
        <v>3403</v>
      </c>
      <c r="K769" s="10" t="s">
        <v>3404</v>
      </c>
      <c r="L769" s="65" t="str">
        <f t="shared" si="58"/>
        <v>Halle-Neustadt|Germany|11,933333|51,483334|+1:00 Europe</v>
      </c>
      <c r="M769" s="10" t="s">
        <v>3441</v>
      </c>
      <c r="N769" s="10">
        <f t="shared" si="55"/>
        <v>0</v>
      </c>
      <c r="O769" t="str">
        <f t="shared" si="59"/>
        <v/>
      </c>
      <c r="P769" t="str">
        <f>IF(O769=1,COUNTIF($O$2:O769,1),"")</f>
        <v/>
      </c>
      <c r="Q769" t="str">
        <f>IFERROR(INDEX($M$2:$M$2388,MATCH(ROWS($P$2:P769),$P$2:$P$2388,0)),"")</f>
        <v/>
      </c>
    </row>
    <row r="770" spans="1:17" ht="15" x14ac:dyDescent="0.25">
      <c r="A770" s="10">
        <v>650</v>
      </c>
      <c r="B770" s="10" t="s">
        <v>3442</v>
      </c>
      <c r="C770" s="880">
        <f t="shared" si="56"/>
        <v>10</v>
      </c>
      <c r="D770" s="880">
        <f t="shared" si="57"/>
        <v>53.549900000000001</v>
      </c>
      <c r="E770" s="10">
        <v>10</v>
      </c>
      <c r="F770" s="10">
        <v>53.549999</v>
      </c>
      <c r="G770" s="10">
        <v>1</v>
      </c>
      <c r="H770" s="10" t="s">
        <v>1670</v>
      </c>
      <c r="I770" s="10" t="s">
        <v>3402</v>
      </c>
      <c r="J770" s="10" t="s">
        <v>3403</v>
      </c>
      <c r="K770" s="10" t="s">
        <v>3404</v>
      </c>
      <c r="L770" s="65" t="str">
        <f t="shared" si="58"/>
        <v>Hamburg|Germany|10,000000|53,549999|+1:00 Europe</v>
      </c>
      <c r="M770" s="10" t="s">
        <v>3443</v>
      </c>
      <c r="N770" s="10">
        <f t="shared" ref="N770:N833" si="60">--ISNUMBER(IFERROR(SEARCH($R$2,J770,1),""))</f>
        <v>0</v>
      </c>
      <c r="O770" t="str">
        <f t="shared" si="59"/>
        <v/>
      </c>
      <c r="P770" t="str">
        <f>IF(O770=1,COUNTIF($O$2:O770,1),"")</f>
        <v/>
      </c>
      <c r="Q770" t="str">
        <f>IFERROR(INDEX($M$2:$M$2388,MATCH(ROWS($P$2:P770),$P$2:$P$2388,0)),"")</f>
        <v/>
      </c>
    </row>
    <row r="771" spans="1:17" ht="15" x14ac:dyDescent="0.25">
      <c r="A771" s="10">
        <v>649</v>
      </c>
      <c r="B771" s="10" t="s">
        <v>3444</v>
      </c>
      <c r="C771" s="880">
        <f t="shared" ref="C771:C834" si="61">TRUNC(E771,4)</f>
        <v>9.7332000000000001</v>
      </c>
      <c r="D771" s="880">
        <f t="shared" ref="D771:D834" si="62">TRUNC(F771,4)</f>
        <v>52.3705</v>
      </c>
      <c r="E771" s="10">
        <v>9.7332219999999996</v>
      </c>
      <c r="F771" s="10">
        <v>52.370517999999997</v>
      </c>
      <c r="G771" s="10">
        <v>1</v>
      </c>
      <c r="H771" s="10" t="s">
        <v>1670</v>
      </c>
      <c r="I771" s="10" t="s">
        <v>3402</v>
      </c>
      <c r="J771" s="10" t="s">
        <v>3403</v>
      </c>
      <c r="K771" s="10" t="s">
        <v>3404</v>
      </c>
      <c r="L771" s="65" t="str">
        <f t="shared" ref="L771:L834" si="63">MID(M771,1,LEN(M771)-(LEN(K771)-SEARCH("/",K771)+1))</f>
        <v>Hannover|Germany|9,733222|52,370518|+1:00 Europe</v>
      </c>
      <c r="M771" s="10" t="s">
        <v>3445</v>
      </c>
      <c r="N771" s="10">
        <f t="shared" si="60"/>
        <v>0</v>
      </c>
      <c r="O771" t="str">
        <f t="shared" ref="O771:O834" si="64">IF(N771=0,"",--ISNUMBER(IFERROR(SEARCH($U$2,L771,1),"")))</f>
        <v/>
      </c>
      <c r="P771" t="str">
        <f>IF(O771=1,COUNTIF($O$2:O771,1),"")</f>
        <v/>
      </c>
      <c r="Q771" t="str">
        <f>IFERROR(INDEX($M$2:$M$2388,MATCH(ROWS($P$2:P771),$P$2:$P$2388,0)),"")</f>
        <v/>
      </c>
    </row>
    <row r="772" spans="1:17" ht="15" x14ac:dyDescent="0.25">
      <c r="A772" s="10">
        <v>648</v>
      </c>
      <c r="B772" s="10" t="s">
        <v>3446</v>
      </c>
      <c r="C772" s="880">
        <f t="shared" si="61"/>
        <v>8.3857999999999997</v>
      </c>
      <c r="D772" s="880">
        <f t="shared" si="62"/>
        <v>49.0047</v>
      </c>
      <c r="E772" s="10">
        <v>8.3858339999999991</v>
      </c>
      <c r="F772" s="10">
        <v>49.004722999999998</v>
      </c>
      <c r="G772" s="10">
        <v>1</v>
      </c>
      <c r="H772" s="10" t="s">
        <v>1670</v>
      </c>
      <c r="I772" s="10" t="s">
        <v>3402</v>
      </c>
      <c r="J772" s="10" t="s">
        <v>3403</v>
      </c>
      <c r="K772" s="10" t="s">
        <v>3404</v>
      </c>
      <c r="L772" s="65" t="str">
        <f t="shared" si="63"/>
        <v>Karlsruhe|Germany|8,385834|49,004723|+1:00 Europe</v>
      </c>
      <c r="M772" s="10" t="s">
        <v>3447</v>
      </c>
      <c r="N772" s="10">
        <f t="shared" si="60"/>
        <v>0</v>
      </c>
      <c r="O772" t="str">
        <f t="shared" si="64"/>
        <v/>
      </c>
      <c r="P772" t="str">
        <f>IF(O772=1,COUNTIF($O$2:O772,1),"")</f>
        <v/>
      </c>
      <c r="Q772" t="str">
        <f>IFERROR(INDEX($M$2:$M$2388,MATCH(ROWS($P$2:P772),$P$2:$P$2388,0)),"")</f>
        <v/>
      </c>
    </row>
    <row r="773" spans="1:17" ht="15" x14ac:dyDescent="0.25">
      <c r="A773" s="10">
        <v>647</v>
      </c>
      <c r="B773" s="10" t="s">
        <v>3448</v>
      </c>
      <c r="C773" s="880">
        <f t="shared" si="61"/>
        <v>10.1333</v>
      </c>
      <c r="D773" s="880">
        <f t="shared" si="62"/>
        <v>54.333300000000001</v>
      </c>
      <c r="E773" s="10">
        <v>10.133333</v>
      </c>
      <c r="F773" s="10">
        <v>54.333331999999999</v>
      </c>
      <c r="G773" s="10">
        <v>1</v>
      </c>
      <c r="H773" s="10" t="s">
        <v>1670</v>
      </c>
      <c r="I773" s="10" t="s">
        <v>3402</v>
      </c>
      <c r="J773" s="10" t="s">
        <v>3403</v>
      </c>
      <c r="K773" s="10" t="s">
        <v>3404</v>
      </c>
      <c r="L773" s="65" t="str">
        <f t="shared" si="63"/>
        <v>Kiel|Germany|10,133333|54,333332|+1:00 Europe</v>
      </c>
      <c r="M773" s="10" t="s">
        <v>3449</v>
      </c>
      <c r="N773" s="10">
        <f t="shared" si="60"/>
        <v>0</v>
      </c>
      <c r="O773" t="str">
        <f t="shared" si="64"/>
        <v/>
      </c>
      <c r="P773" t="str">
        <f>IF(O773=1,COUNTIF($O$2:O773,1),"")</f>
        <v/>
      </c>
      <c r="Q773" t="str">
        <f>IFERROR(INDEX($M$2:$M$2388,MATCH(ROWS($P$2:P773),$P$2:$P$2388,0)),"")</f>
        <v/>
      </c>
    </row>
    <row r="774" spans="1:17" ht="15" x14ac:dyDescent="0.25">
      <c r="A774" s="10">
        <v>646</v>
      </c>
      <c r="B774" s="10" t="s">
        <v>3450</v>
      </c>
      <c r="C774" s="880">
        <f t="shared" si="61"/>
        <v>6.95</v>
      </c>
      <c r="D774" s="880">
        <f t="shared" si="62"/>
        <v>50.933300000000003</v>
      </c>
      <c r="E774" s="10">
        <v>6.95</v>
      </c>
      <c r="F774" s="10">
        <v>50.933334000000002</v>
      </c>
      <c r="G774" s="10">
        <v>1</v>
      </c>
      <c r="H774" s="10" t="s">
        <v>1670</v>
      </c>
      <c r="I774" s="10" t="s">
        <v>3402</v>
      </c>
      <c r="J774" s="10" t="s">
        <v>3403</v>
      </c>
      <c r="K774" s="10" t="s">
        <v>3404</v>
      </c>
      <c r="L774" s="65" t="str">
        <f t="shared" si="63"/>
        <v>Koeln|Germany|6,950000|50,933334|+1:00 Europe</v>
      </c>
      <c r="M774" s="10" t="s">
        <v>3451</v>
      </c>
      <c r="N774" s="10">
        <f t="shared" si="60"/>
        <v>0</v>
      </c>
      <c r="O774" t="str">
        <f t="shared" si="64"/>
        <v/>
      </c>
      <c r="P774" t="str">
        <f>IF(O774=1,COUNTIF($O$2:O774,1),"")</f>
        <v/>
      </c>
      <c r="Q774" t="str">
        <f>IFERROR(INDEX($M$2:$M$2388,MATCH(ROWS($P$2:P774),$P$2:$P$2388,0)),"")</f>
        <v/>
      </c>
    </row>
    <row r="775" spans="1:17" ht="15" x14ac:dyDescent="0.25">
      <c r="A775" s="10">
        <v>645</v>
      </c>
      <c r="B775" s="10" t="s">
        <v>3452</v>
      </c>
      <c r="C775" s="880">
        <f t="shared" si="61"/>
        <v>6.5666000000000002</v>
      </c>
      <c r="D775" s="880">
        <f t="shared" si="62"/>
        <v>51.333300000000001</v>
      </c>
      <c r="E775" s="10">
        <v>6.5666669999999998</v>
      </c>
      <c r="F775" s="10">
        <v>51.333331999999999</v>
      </c>
      <c r="G775" s="10">
        <v>1</v>
      </c>
      <c r="H775" s="10" t="s">
        <v>1670</v>
      </c>
      <c r="I775" s="10" t="s">
        <v>3402</v>
      </c>
      <c r="J775" s="10" t="s">
        <v>3403</v>
      </c>
      <c r="K775" s="10" t="s">
        <v>3404</v>
      </c>
      <c r="L775" s="65" t="str">
        <f t="shared" si="63"/>
        <v>Krefeld|Germany|6,566667|51,333332|+1:00 Europe</v>
      </c>
      <c r="M775" s="10" t="s">
        <v>3453</v>
      </c>
      <c r="N775" s="10">
        <f t="shared" si="60"/>
        <v>0</v>
      </c>
      <c r="O775" t="str">
        <f t="shared" si="64"/>
        <v/>
      </c>
      <c r="P775" t="str">
        <f>IF(O775=1,COUNTIF($O$2:O775,1),"")</f>
        <v/>
      </c>
      <c r="Q775" t="str">
        <f>IFERROR(INDEX($M$2:$M$2388,MATCH(ROWS($P$2:P775),$P$2:$P$2388,0)),"")</f>
        <v/>
      </c>
    </row>
    <row r="776" spans="1:17" ht="15" x14ac:dyDescent="0.25">
      <c r="A776" s="10">
        <v>670</v>
      </c>
      <c r="B776" s="10" t="s">
        <v>3454</v>
      </c>
      <c r="C776" s="880">
        <f t="shared" si="61"/>
        <v>6.1052</v>
      </c>
      <c r="D776" s="880">
        <f t="shared" si="62"/>
        <v>50.770800000000001</v>
      </c>
      <c r="E776" s="10">
        <v>6.1052780000000002</v>
      </c>
      <c r="F776" s="10">
        <v>50.770831999999999</v>
      </c>
      <c r="G776" s="10">
        <v>1</v>
      </c>
      <c r="H776" s="10" t="s">
        <v>1670</v>
      </c>
      <c r="I776" s="10" t="s">
        <v>3402</v>
      </c>
      <c r="J776" s="10" t="s">
        <v>3403</v>
      </c>
      <c r="K776" s="10" t="s">
        <v>3404</v>
      </c>
      <c r="L776" s="65" t="str">
        <f t="shared" si="63"/>
        <v>Kreisfreie Stadt Aachen|Germany|6,105278|50,770832|+1:00 Europe</v>
      </c>
      <c r="M776" s="10" t="s">
        <v>3455</v>
      </c>
      <c r="N776" s="10">
        <f t="shared" si="60"/>
        <v>0</v>
      </c>
      <c r="O776" t="str">
        <f t="shared" si="64"/>
        <v/>
      </c>
      <c r="P776" t="str">
        <f>IF(O776=1,COUNTIF($O$2:O776,1),"")</f>
        <v/>
      </c>
      <c r="Q776" t="str">
        <f>IFERROR(INDEX($M$2:$M$2388,MATCH(ROWS($P$2:P776),$P$2:$P$2388,0)),"")</f>
        <v/>
      </c>
    </row>
    <row r="777" spans="1:17" ht="15" x14ac:dyDescent="0.25">
      <c r="A777" s="10">
        <v>644</v>
      </c>
      <c r="B777" s="10" t="s">
        <v>3456</v>
      </c>
      <c r="C777" s="880">
        <f t="shared" si="61"/>
        <v>12.369899999999999</v>
      </c>
      <c r="D777" s="880">
        <f t="shared" si="62"/>
        <v>51.337699999999998</v>
      </c>
      <c r="E777" s="10">
        <v>12.369918999999999</v>
      </c>
      <c r="F777" s="10">
        <v>51.337798999999997</v>
      </c>
      <c r="G777" s="10">
        <v>1</v>
      </c>
      <c r="H777" s="10" t="s">
        <v>1670</v>
      </c>
      <c r="I777" s="10" t="s">
        <v>3402</v>
      </c>
      <c r="J777" s="10" t="s">
        <v>3403</v>
      </c>
      <c r="K777" s="10" t="s">
        <v>3404</v>
      </c>
      <c r="L777" s="65" t="str">
        <f t="shared" si="63"/>
        <v>Leipzig|Germany|12,369919|51,337799|+1:00 Europe</v>
      </c>
      <c r="M777" s="10" t="s">
        <v>3457</v>
      </c>
      <c r="N777" s="10">
        <f t="shared" si="60"/>
        <v>0</v>
      </c>
      <c r="O777" t="str">
        <f t="shared" si="64"/>
        <v/>
      </c>
      <c r="P777" t="str">
        <f>IF(O777=1,COUNTIF($O$2:O777,1),"")</f>
        <v/>
      </c>
      <c r="Q777" t="str">
        <f>IFERROR(INDEX($M$2:$M$2388,MATCH(ROWS($P$2:P777),$P$2:$P$2388,0)),"")</f>
        <v/>
      </c>
    </row>
    <row r="778" spans="1:17" ht="15" x14ac:dyDescent="0.25">
      <c r="A778" s="10">
        <v>643</v>
      </c>
      <c r="B778" s="10" t="s">
        <v>3458</v>
      </c>
      <c r="C778" s="880">
        <f t="shared" si="61"/>
        <v>10.687200000000001</v>
      </c>
      <c r="D778" s="880">
        <f t="shared" si="62"/>
        <v>53.868899999999996</v>
      </c>
      <c r="E778" s="10">
        <v>10.687294</v>
      </c>
      <c r="F778" s="10">
        <v>53.868926999999999</v>
      </c>
      <c r="G778" s="10">
        <v>1</v>
      </c>
      <c r="H778" s="10" t="s">
        <v>1670</v>
      </c>
      <c r="I778" s="10" t="s">
        <v>3402</v>
      </c>
      <c r="J778" s="10" t="s">
        <v>3403</v>
      </c>
      <c r="K778" s="10" t="s">
        <v>3404</v>
      </c>
      <c r="L778" s="65" t="str">
        <f t="shared" si="63"/>
        <v>Lubeck|Germany|10,687294|53,868927|+1:00 Europe</v>
      </c>
      <c r="M778" s="10" t="s">
        <v>3459</v>
      </c>
      <c r="N778" s="10">
        <f t="shared" si="60"/>
        <v>0</v>
      </c>
      <c r="O778" t="str">
        <f t="shared" si="64"/>
        <v/>
      </c>
      <c r="P778" t="str">
        <f>IF(O778=1,COUNTIF($O$2:O778,1),"")</f>
        <v/>
      </c>
      <c r="Q778" t="str">
        <f>IFERROR(INDEX($M$2:$M$2388,MATCH(ROWS($P$2:P778),$P$2:$P$2388,0)),"")</f>
        <v/>
      </c>
    </row>
    <row r="779" spans="1:17" ht="15" x14ac:dyDescent="0.25">
      <c r="A779" s="10">
        <v>642</v>
      </c>
      <c r="B779" s="10" t="s">
        <v>3460</v>
      </c>
      <c r="C779" s="880">
        <f t="shared" si="61"/>
        <v>8.4647000000000006</v>
      </c>
      <c r="D779" s="880">
        <f t="shared" si="62"/>
        <v>49.488300000000002</v>
      </c>
      <c r="E779" s="10">
        <v>8.4647229999999993</v>
      </c>
      <c r="F779" s="10">
        <v>49.488334999999999</v>
      </c>
      <c r="G779" s="10">
        <v>1</v>
      </c>
      <c r="H779" s="10" t="s">
        <v>1670</v>
      </c>
      <c r="I779" s="10" t="s">
        <v>3402</v>
      </c>
      <c r="J779" s="10" t="s">
        <v>3403</v>
      </c>
      <c r="K779" s="10" t="s">
        <v>3404</v>
      </c>
      <c r="L779" s="65" t="str">
        <f t="shared" si="63"/>
        <v>Mannheim|Germany|8,464723|49,488335|+1:00 Europe</v>
      </c>
      <c r="M779" s="10" t="s">
        <v>3461</v>
      </c>
      <c r="N779" s="10">
        <f t="shared" si="60"/>
        <v>0</v>
      </c>
      <c r="O779" t="str">
        <f t="shared" si="64"/>
        <v/>
      </c>
      <c r="P779" t="str">
        <f>IF(O779=1,COUNTIF($O$2:O779,1),"")</f>
        <v/>
      </c>
      <c r="Q779" t="str">
        <f>IFERROR(INDEX($M$2:$M$2388,MATCH(ROWS($P$2:P779),$P$2:$P$2388,0)),"")</f>
        <v/>
      </c>
    </row>
    <row r="780" spans="1:17" ht="15" x14ac:dyDescent="0.25">
      <c r="A780" s="10">
        <v>641</v>
      </c>
      <c r="B780" s="10" t="s">
        <v>3462</v>
      </c>
      <c r="C780" s="880">
        <f t="shared" si="61"/>
        <v>6.4333</v>
      </c>
      <c r="D780" s="880">
        <f t="shared" si="62"/>
        <v>51.2</v>
      </c>
      <c r="E780" s="10">
        <v>6.4333330000000002</v>
      </c>
      <c r="F780" s="10">
        <v>51.200001</v>
      </c>
      <c r="G780" s="10">
        <v>1</v>
      </c>
      <c r="H780" s="10" t="s">
        <v>1670</v>
      </c>
      <c r="I780" s="10" t="s">
        <v>3402</v>
      </c>
      <c r="J780" s="10" t="s">
        <v>3403</v>
      </c>
      <c r="K780" s="10" t="s">
        <v>3404</v>
      </c>
      <c r="L780" s="65" t="str">
        <f t="shared" si="63"/>
        <v>Monchengladbach|Germany|6,433333|51,200001|+1:00 Europe</v>
      </c>
      <c r="M780" s="10" t="s">
        <v>3463</v>
      </c>
      <c r="N780" s="10">
        <f t="shared" si="60"/>
        <v>0</v>
      </c>
      <c r="O780" t="str">
        <f t="shared" si="64"/>
        <v/>
      </c>
      <c r="P780" t="str">
        <f>IF(O780=1,COUNTIF($O$2:O780,1),"")</f>
        <v/>
      </c>
      <c r="Q780" t="str">
        <f>IFERROR(INDEX($M$2:$M$2388,MATCH(ROWS($P$2:P780),$P$2:$P$2388,0)),"")</f>
        <v/>
      </c>
    </row>
    <row r="781" spans="1:17" ht="15" x14ac:dyDescent="0.25">
      <c r="A781" s="10">
        <v>640</v>
      </c>
      <c r="B781" s="10" t="s">
        <v>3464</v>
      </c>
      <c r="C781" s="880">
        <f t="shared" si="61"/>
        <v>11.574299999999999</v>
      </c>
      <c r="D781" s="880">
        <f t="shared" si="62"/>
        <v>48.137599999999999</v>
      </c>
      <c r="E781" s="10">
        <v>11.574354</v>
      </c>
      <c r="F781" s="10">
        <v>48.137684</v>
      </c>
      <c r="G781" s="10">
        <v>1</v>
      </c>
      <c r="H781" s="10" t="s">
        <v>1670</v>
      </c>
      <c r="I781" s="10" t="s">
        <v>3402</v>
      </c>
      <c r="J781" s="10" t="s">
        <v>3403</v>
      </c>
      <c r="K781" s="10" t="s">
        <v>3404</v>
      </c>
      <c r="L781" s="65" t="str">
        <f t="shared" si="63"/>
        <v>Munich|Germany|11,574354|48,137684|+1:00 Europe</v>
      </c>
      <c r="M781" s="10" t="s">
        <v>3465</v>
      </c>
      <c r="N781" s="10">
        <f t="shared" si="60"/>
        <v>0</v>
      </c>
      <c r="O781" t="str">
        <f t="shared" si="64"/>
        <v/>
      </c>
      <c r="P781" t="str">
        <f>IF(O781=1,COUNTIF($O$2:O781,1),"")</f>
        <v/>
      </c>
      <c r="Q781" t="str">
        <f>IFERROR(INDEX($M$2:$M$2388,MATCH(ROWS($P$2:P781),$P$2:$P$2388,0)),"")</f>
        <v/>
      </c>
    </row>
    <row r="782" spans="1:17" ht="15" x14ac:dyDescent="0.25">
      <c r="A782" s="10">
        <v>639</v>
      </c>
      <c r="B782" s="10" t="s">
        <v>3466</v>
      </c>
      <c r="C782" s="880">
        <f t="shared" si="61"/>
        <v>7.6257000000000001</v>
      </c>
      <c r="D782" s="880">
        <f t="shared" si="62"/>
        <v>51.962299999999999</v>
      </c>
      <c r="E782" s="10">
        <v>7.6257130000000002</v>
      </c>
      <c r="F782" s="10">
        <v>51.962356999999997</v>
      </c>
      <c r="G782" s="10">
        <v>1</v>
      </c>
      <c r="H782" s="10" t="s">
        <v>1670</v>
      </c>
      <c r="I782" s="10" t="s">
        <v>3402</v>
      </c>
      <c r="J782" s="10" t="s">
        <v>3403</v>
      </c>
      <c r="K782" s="10" t="s">
        <v>3404</v>
      </c>
      <c r="L782" s="65" t="str">
        <f t="shared" si="63"/>
        <v>Munster|Germany|7,625713|51,962357|+1:00 Europe</v>
      </c>
      <c r="M782" s="10" t="s">
        <v>3467</v>
      </c>
      <c r="N782" s="10">
        <f t="shared" si="60"/>
        <v>0</v>
      </c>
      <c r="O782" t="str">
        <f t="shared" si="64"/>
        <v/>
      </c>
      <c r="P782" t="str">
        <f>IF(O782=1,COUNTIF($O$2:O782,1),"")</f>
        <v/>
      </c>
      <c r="Q782" t="str">
        <f>IFERROR(INDEX($M$2:$M$2388,MATCH(ROWS($P$2:P782),$P$2:$P$2388,0)),"")</f>
        <v/>
      </c>
    </row>
    <row r="783" spans="1:17" ht="15" x14ac:dyDescent="0.25">
      <c r="A783" s="10">
        <v>638</v>
      </c>
      <c r="B783" s="10" t="s">
        <v>3468</v>
      </c>
      <c r="C783" s="880">
        <f t="shared" si="61"/>
        <v>11.6333</v>
      </c>
      <c r="D783" s="880">
        <f t="shared" si="62"/>
        <v>52.15</v>
      </c>
      <c r="E783" s="10">
        <v>11.633333</v>
      </c>
      <c r="F783" s="10">
        <v>52.150002000000001</v>
      </c>
      <c r="G783" s="10">
        <v>1</v>
      </c>
      <c r="H783" s="10" t="s">
        <v>1670</v>
      </c>
      <c r="I783" s="10" t="s">
        <v>3402</v>
      </c>
      <c r="J783" s="10" t="s">
        <v>3403</v>
      </c>
      <c r="K783" s="10" t="s">
        <v>3404</v>
      </c>
      <c r="L783" s="65" t="str">
        <f t="shared" si="63"/>
        <v>Neustadt|Germany|11,633333|52,150002|+1:00 Europe</v>
      </c>
      <c r="M783" s="10" t="s">
        <v>3469</v>
      </c>
      <c r="N783" s="10">
        <f t="shared" si="60"/>
        <v>0</v>
      </c>
      <c r="O783" t="str">
        <f t="shared" si="64"/>
        <v/>
      </c>
      <c r="P783" t="str">
        <f>IF(O783=1,COUNTIF($O$2:O783,1),"")</f>
        <v/>
      </c>
      <c r="Q783" t="str">
        <f>IFERROR(INDEX($M$2:$M$2388,MATCH(ROWS($P$2:P783),$P$2:$P$2388,0)),"")</f>
        <v/>
      </c>
    </row>
    <row r="784" spans="1:17" ht="15" x14ac:dyDescent="0.25">
      <c r="A784" s="10">
        <v>637</v>
      </c>
      <c r="B784" s="10" t="s">
        <v>3470</v>
      </c>
      <c r="C784" s="880">
        <f t="shared" si="61"/>
        <v>11.068300000000001</v>
      </c>
      <c r="D784" s="880">
        <f t="shared" si="62"/>
        <v>49.447699999999998</v>
      </c>
      <c r="E784" s="10">
        <v>11.068334</v>
      </c>
      <c r="F784" s="10">
        <v>49.447777000000002</v>
      </c>
      <c r="G784" s="10">
        <v>1</v>
      </c>
      <c r="H784" s="10" t="s">
        <v>1670</v>
      </c>
      <c r="I784" s="10" t="s">
        <v>3402</v>
      </c>
      <c r="J784" s="10" t="s">
        <v>3403</v>
      </c>
      <c r="K784" s="10" t="s">
        <v>3404</v>
      </c>
      <c r="L784" s="65" t="str">
        <f t="shared" si="63"/>
        <v>Nuernberg|Germany|11,068334|49,447777|+1:00 Europe</v>
      </c>
      <c r="M784" s="10" t="s">
        <v>3471</v>
      </c>
      <c r="N784" s="10">
        <f t="shared" si="60"/>
        <v>0</v>
      </c>
      <c r="O784" t="str">
        <f t="shared" si="64"/>
        <v/>
      </c>
      <c r="P784" t="str">
        <f>IF(O784=1,COUNTIF($O$2:O784,1),"")</f>
        <v/>
      </c>
      <c r="Q784" t="str">
        <f>IFERROR(INDEX($M$2:$M$2388,MATCH(ROWS($P$2:P784),$P$2:$P$2388,0)),"")</f>
        <v/>
      </c>
    </row>
    <row r="785" spans="1:17" ht="15" x14ac:dyDescent="0.25">
      <c r="A785" s="10">
        <v>636</v>
      </c>
      <c r="B785" s="10" t="s">
        <v>3472</v>
      </c>
      <c r="C785" s="880">
        <f t="shared" si="61"/>
        <v>6.85</v>
      </c>
      <c r="D785" s="880">
        <f t="shared" si="62"/>
        <v>51.4666</v>
      </c>
      <c r="E785" s="10">
        <v>6.85</v>
      </c>
      <c r="F785" s="10">
        <v>51.466667000000001</v>
      </c>
      <c r="G785" s="10">
        <v>1</v>
      </c>
      <c r="H785" s="10" t="s">
        <v>1670</v>
      </c>
      <c r="I785" s="10" t="s">
        <v>3402</v>
      </c>
      <c r="J785" s="10" t="s">
        <v>3403</v>
      </c>
      <c r="K785" s="10" t="s">
        <v>3404</v>
      </c>
      <c r="L785" s="65" t="str">
        <f t="shared" si="63"/>
        <v>Oberhausen|Germany|6,850000|51,466667|+1:00 Europe</v>
      </c>
      <c r="M785" s="10" t="s">
        <v>3473</v>
      </c>
      <c r="N785" s="10">
        <f t="shared" si="60"/>
        <v>0</v>
      </c>
      <c r="O785" t="str">
        <f t="shared" si="64"/>
        <v/>
      </c>
      <c r="P785" t="str">
        <f>IF(O785=1,COUNTIF($O$2:O785,1),"")</f>
        <v/>
      </c>
      <c r="Q785" t="str">
        <f>IFERROR(INDEX($M$2:$M$2388,MATCH(ROWS($P$2:P785),$P$2:$P$2388,0)),"")</f>
        <v/>
      </c>
    </row>
    <row r="786" spans="1:17" ht="15" x14ac:dyDescent="0.25">
      <c r="A786" s="10">
        <v>635</v>
      </c>
      <c r="B786" s="10" t="s">
        <v>3474</v>
      </c>
      <c r="C786" s="880">
        <f t="shared" si="61"/>
        <v>9.1832999999999991</v>
      </c>
      <c r="D786" s="880">
        <f t="shared" si="62"/>
        <v>48.766599999999997</v>
      </c>
      <c r="E786" s="10">
        <v>9.1833329999999993</v>
      </c>
      <c r="F786" s="10">
        <v>48.766666000000001</v>
      </c>
      <c r="G786" s="10">
        <v>1</v>
      </c>
      <c r="H786" s="10" t="s">
        <v>1670</v>
      </c>
      <c r="I786" s="10" t="s">
        <v>3402</v>
      </c>
      <c r="J786" s="10" t="s">
        <v>3403</v>
      </c>
      <c r="K786" s="10" t="s">
        <v>3404</v>
      </c>
      <c r="L786" s="65" t="str">
        <f t="shared" si="63"/>
        <v>Stuttgart|Germany|9,183333|48,766666|+1:00 Europe</v>
      </c>
      <c r="M786" s="10" t="s">
        <v>3475</v>
      </c>
      <c r="N786" s="10">
        <f t="shared" si="60"/>
        <v>0</v>
      </c>
      <c r="O786" t="str">
        <f t="shared" si="64"/>
        <v/>
      </c>
      <c r="P786" t="str">
        <f>IF(O786=1,COUNTIF($O$2:O786,1),"")</f>
        <v/>
      </c>
      <c r="Q786" t="str">
        <f>IFERROR(INDEX($M$2:$M$2388,MATCH(ROWS($P$2:P786),$P$2:$P$2388,0)),"")</f>
        <v/>
      </c>
    </row>
    <row r="787" spans="1:17" ht="15" x14ac:dyDescent="0.25">
      <c r="A787" s="10">
        <v>634</v>
      </c>
      <c r="B787" s="10" t="s">
        <v>3476</v>
      </c>
      <c r="C787" s="880">
        <f t="shared" si="61"/>
        <v>12.333299999999999</v>
      </c>
      <c r="D787" s="880">
        <f t="shared" si="62"/>
        <v>51.366599999999998</v>
      </c>
      <c r="E787" s="10">
        <v>12.333333</v>
      </c>
      <c r="F787" s="10">
        <v>51.366664999999998</v>
      </c>
      <c r="G787" s="10">
        <v>1</v>
      </c>
      <c r="H787" s="10" t="s">
        <v>1670</v>
      </c>
      <c r="I787" s="10" t="s">
        <v>3402</v>
      </c>
      <c r="J787" s="10" t="s">
        <v>3403</v>
      </c>
      <c r="K787" s="10" t="s">
        <v>3404</v>
      </c>
      <c r="L787" s="65" t="str">
        <f t="shared" si="63"/>
        <v>Wahren|Germany|12,333333|51,366665|+1:00 Europe</v>
      </c>
      <c r="M787" s="10" t="s">
        <v>3477</v>
      </c>
      <c r="N787" s="10">
        <f t="shared" si="60"/>
        <v>0</v>
      </c>
      <c r="O787" t="str">
        <f t="shared" si="64"/>
        <v/>
      </c>
      <c r="P787" t="str">
        <f>IF(O787=1,COUNTIF($O$2:O787,1),"")</f>
        <v/>
      </c>
      <c r="Q787" t="str">
        <f>IFERROR(INDEX($M$2:$M$2388,MATCH(ROWS($P$2:P787),$P$2:$P$2388,0)),"")</f>
        <v/>
      </c>
    </row>
    <row r="788" spans="1:17" ht="15" x14ac:dyDescent="0.25">
      <c r="A788" s="10">
        <v>633</v>
      </c>
      <c r="B788" s="10" t="s">
        <v>3478</v>
      </c>
      <c r="C788" s="880">
        <f t="shared" si="61"/>
        <v>8.25</v>
      </c>
      <c r="D788" s="880">
        <f t="shared" si="62"/>
        <v>50.083300000000001</v>
      </c>
      <c r="E788" s="10">
        <v>8.25</v>
      </c>
      <c r="F788" s="10">
        <v>50.083331999999999</v>
      </c>
      <c r="G788" s="10">
        <v>1</v>
      </c>
      <c r="H788" s="10" t="s">
        <v>1670</v>
      </c>
      <c r="I788" s="10" t="s">
        <v>3402</v>
      </c>
      <c r="J788" s="10" t="s">
        <v>3403</v>
      </c>
      <c r="K788" s="10" t="s">
        <v>3404</v>
      </c>
      <c r="L788" s="65" t="str">
        <f t="shared" si="63"/>
        <v>Wiesbaden|Germany|8,250000|50,083332|+1:00 Europe</v>
      </c>
      <c r="M788" s="10" t="s">
        <v>3479</v>
      </c>
      <c r="N788" s="10">
        <f t="shared" si="60"/>
        <v>0</v>
      </c>
      <c r="O788" t="str">
        <f t="shared" si="64"/>
        <v/>
      </c>
      <c r="P788" t="str">
        <f>IF(O788=1,COUNTIF($O$2:O788,1),"")</f>
        <v/>
      </c>
      <c r="Q788" t="str">
        <f>IFERROR(INDEX($M$2:$M$2388,MATCH(ROWS($P$2:P788),$P$2:$P$2388,0)),"")</f>
        <v/>
      </c>
    </row>
    <row r="789" spans="1:17" ht="15" x14ac:dyDescent="0.25">
      <c r="A789" s="10">
        <v>632</v>
      </c>
      <c r="B789" s="10" t="s">
        <v>3480</v>
      </c>
      <c r="C789" s="880">
        <f t="shared" si="61"/>
        <v>7.1833</v>
      </c>
      <c r="D789" s="880">
        <f t="shared" si="62"/>
        <v>51.266599999999997</v>
      </c>
      <c r="E789" s="10">
        <v>7.1833330000000002</v>
      </c>
      <c r="F789" s="10">
        <v>51.266666000000001</v>
      </c>
      <c r="G789" s="10">
        <v>1</v>
      </c>
      <c r="H789" s="10" t="s">
        <v>1670</v>
      </c>
      <c r="I789" s="10" t="s">
        <v>3402</v>
      </c>
      <c r="J789" s="10" t="s">
        <v>3403</v>
      </c>
      <c r="K789" s="10" t="s">
        <v>3404</v>
      </c>
      <c r="L789" s="65" t="str">
        <f t="shared" si="63"/>
        <v>Wuppertal|Germany|7,183333|51,266666|+1:00 Europe</v>
      </c>
      <c r="M789" s="10" t="s">
        <v>3481</v>
      </c>
      <c r="N789" s="10">
        <f t="shared" si="60"/>
        <v>0</v>
      </c>
      <c r="O789" t="str">
        <f t="shared" si="64"/>
        <v/>
      </c>
      <c r="P789" t="str">
        <f>IF(O789=1,COUNTIF($O$2:O789,1),"")</f>
        <v/>
      </c>
      <c r="Q789" t="str">
        <f>IFERROR(INDEX($M$2:$M$2388,MATCH(ROWS($P$2:P789),$P$2:$P$2388,0)),"")</f>
        <v/>
      </c>
    </row>
    <row r="790" spans="1:17" ht="15" x14ac:dyDescent="0.25">
      <c r="A790" s="10">
        <v>631</v>
      </c>
      <c r="B790" s="10" t="s">
        <v>3482</v>
      </c>
      <c r="C790" s="880">
        <f t="shared" si="61"/>
        <v>13.2333</v>
      </c>
      <c r="D790" s="880">
        <f t="shared" si="62"/>
        <v>49.016599999999997</v>
      </c>
      <c r="E790" s="10">
        <v>13.233333999999999</v>
      </c>
      <c r="F790" s="10">
        <v>49.016666000000001</v>
      </c>
      <c r="G790" s="10">
        <v>1</v>
      </c>
      <c r="H790" s="10" t="s">
        <v>1670</v>
      </c>
      <c r="I790" s="10" t="s">
        <v>3402</v>
      </c>
      <c r="J790" s="10" t="s">
        <v>3403</v>
      </c>
      <c r="K790" s="10" t="s">
        <v>3404</v>
      </c>
      <c r="L790" s="65" t="str">
        <f t="shared" si="63"/>
        <v>Zwiesel|Germany|13,233334|49,016666|+1:00 Europe</v>
      </c>
      <c r="M790" s="10" t="s">
        <v>3483</v>
      </c>
      <c r="N790" s="10">
        <f t="shared" si="60"/>
        <v>0</v>
      </c>
      <c r="O790" t="str">
        <f t="shared" si="64"/>
        <v/>
      </c>
      <c r="P790" t="str">
        <f>IF(O790=1,COUNTIF($O$2:O790,1),"")</f>
        <v/>
      </c>
      <c r="Q790" t="str">
        <f>IFERROR(INDEX($M$2:$M$2388,MATCH(ROWS($P$2:P790),$P$2:$P$2388,0)),"")</f>
        <v/>
      </c>
    </row>
    <row r="791" spans="1:17" ht="15" x14ac:dyDescent="0.25">
      <c r="A791" s="10">
        <v>630</v>
      </c>
      <c r="B791" s="10" t="s">
        <v>3484</v>
      </c>
      <c r="C791" s="880">
        <f t="shared" si="61"/>
        <v>8.6186000000000007</v>
      </c>
      <c r="D791" s="880">
        <f t="shared" si="62"/>
        <v>49.726300000000002</v>
      </c>
      <c r="E791" s="10">
        <v>8.6186109999999996</v>
      </c>
      <c r="F791" s="10">
        <v>49.726387000000003</v>
      </c>
      <c r="G791" s="10">
        <v>1</v>
      </c>
      <c r="H791" s="10" t="s">
        <v>1670</v>
      </c>
      <c r="I791" s="10" t="s">
        <v>3402</v>
      </c>
      <c r="J791" s="10" t="s">
        <v>3403</v>
      </c>
      <c r="K791" s="10" t="s">
        <v>3404</v>
      </c>
      <c r="L791" s="65" t="str">
        <f t="shared" si="63"/>
        <v>Zwingenberg|Germany|8,618611|49,726387|+1:00 Europe</v>
      </c>
      <c r="M791" s="10" t="s">
        <v>3485</v>
      </c>
      <c r="N791" s="10">
        <f t="shared" si="60"/>
        <v>0</v>
      </c>
      <c r="O791" t="str">
        <f t="shared" si="64"/>
        <v/>
      </c>
      <c r="P791" t="str">
        <f>IF(O791=1,COUNTIF($O$2:O791,1),"")</f>
        <v/>
      </c>
      <c r="Q791" t="str">
        <f>IFERROR(INDEX($M$2:$M$2388,MATCH(ROWS($P$2:P791),$P$2:$P$2388,0)),"")</f>
        <v/>
      </c>
    </row>
    <row r="792" spans="1:17" ht="15" x14ac:dyDescent="0.25">
      <c r="A792" s="10">
        <v>629</v>
      </c>
      <c r="B792" s="10" t="s">
        <v>3486</v>
      </c>
      <c r="C792" s="880">
        <f t="shared" si="61"/>
        <v>12.8</v>
      </c>
      <c r="D792" s="880">
        <f t="shared" si="62"/>
        <v>50.633299999999998</v>
      </c>
      <c r="E792" s="10">
        <v>12.8</v>
      </c>
      <c r="F792" s="10">
        <v>50.633335000000002</v>
      </c>
      <c r="G792" s="10">
        <v>1</v>
      </c>
      <c r="H792" s="10" t="s">
        <v>1670</v>
      </c>
      <c r="I792" s="10" t="s">
        <v>3402</v>
      </c>
      <c r="J792" s="10" t="s">
        <v>3403</v>
      </c>
      <c r="K792" s="10" t="s">
        <v>3404</v>
      </c>
      <c r="L792" s="65" t="str">
        <f t="shared" si="63"/>
        <v>Zwonitz|Germany|12,800000|50,633335|+1:00 Europe</v>
      </c>
      <c r="M792" s="10" t="s">
        <v>3487</v>
      </c>
      <c r="N792" s="10">
        <f t="shared" si="60"/>
        <v>0</v>
      </c>
      <c r="O792" t="str">
        <f t="shared" si="64"/>
        <v/>
      </c>
      <c r="P792" t="str">
        <f>IF(O792=1,COUNTIF($O$2:O792,1),"")</f>
        <v/>
      </c>
      <c r="Q792" t="str">
        <f>IFERROR(INDEX($M$2:$M$2388,MATCH(ROWS($P$2:P792),$P$2:$P$2388,0)),"")</f>
        <v/>
      </c>
    </row>
    <row r="793" spans="1:17" ht="15" x14ac:dyDescent="0.25">
      <c r="A793" s="10">
        <v>837</v>
      </c>
      <c r="B793" s="10" t="s">
        <v>3488</v>
      </c>
      <c r="C793" s="880">
        <f t="shared" si="61"/>
        <v>-0.21659999999999999</v>
      </c>
      <c r="D793" s="880">
        <f t="shared" si="62"/>
        <v>5.55</v>
      </c>
      <c r="E793" s="10">
        <v>-0.216667</v>
      </c>
      <c r="F793" s="10">
        <v>5.55</v>
      </c>
      <c r="G793" s="10">
        <v>0</v>
      </c>
      <c r="H793" s="10" t="s">
        <v>2318</v>
      </c>
      <c r="I793" s="10" t="s">
        <v>3489</v>
      </c>
      <c r="J793" s="10" t="s">
        <v>3490</v>
      </c>
      <c r="K793" s="10" t="s">
        <v>3491</v>
      </c>
      <c r="L793" s="65" t="str">
        <f t="shared" si="63"/>
        <v>Accra|Ghana|-0,216667|5,550000|+0:00 Africa</v>
      </c>
      <c r="M793" s="10" t="s">
        <v>3492</v>
      </c>
      <c r="N793" s="10">
        <f t="shared" si="60"/>
        <v>0</v>
      </c>
      <c r="O793" t="str">
        <f t="shared" si="64"/>
        <v/>
      </c>
      <c r="P793" t="str">
        <f>IF(O793=1,COUNTIF($O$2:O793,1),"")</f>
        <v/>
      </c>
      <c r="Q793" t="str">
        <f>IFERROR(INDEX($M$2:$M$2388,MATCH(ROWS($P$2:P793),$P$2:$P$2388,0)),"")</f>
        <v/>
      </c>
    </row>
    <row r="794" spans="1:17" ht="15" x14ac:dyDescent="0.25">
      <c r="A794" s="10">
        <v>836</v>
      </c>
      <c r="B794" s="10" t="s">
        <v>3493</v>
      </c>
      <c r="C794" s="880">
        <f t="shared" si="61"/>
        <v>-0.33329999999999999</v>
      </c>
      <c r="D794" s="880">
        <f t="shared" si="62"/>
        <v>5.7</v>
      </c>
      <c r="E794" s="10">
        <v>-0.33333299999999999</v>
      </c>
      <c r="F794" s="10">
        <v>5.7</v>
      </c>
      <c r="G794" s="10">
        <v>0</v>
      </c>
      <c r="H794" s="10" t="s">
        <v>2318</v>
      </c>
      <c r="I794" s="10" t="s">
        <v>3489</v>
      </c>
      <c r="J794" s="10" t="s">
        <v>3490</v>
      </c>
      <c r="K794" s="10" t="s">
        <v>3491</v>
      </c>
      <c r="L794" s="65" t="str">
        <f t="shared" si="63"/>
        <v>Achiaman|Ghana|-0,333333|5,700000|+0:00 Africa</v>
      </c>
      <c r="M794" s="10" t="s">
        <v>3494</v>
      </c>
      <c r="N794" s="10">
        <f t="shared" si="60"/>
        <v>0</v>
      </c>
      <c r="O794" t="str">
        <f t="shared" si="64"/>
        <v/>
      </c>
      <c r="P794" t="str">
        <f>IF(O794=1,COUNTIF($O$2:O794,1),"")</f>
        <v/>
      </c>
      <c r="Q794" t="str">
        <f>IFERROR(INDEX($M$2:$M$2388,MATCH(ROWS($P$2:P794),$P$2:$P$2388,0)),"")</f>
        <v/>
      </c>
    </row>
    <row r="795" spans="1:17" ht="15" x14ac:dyDescent="0.25">
      <c r="A795" s="10">
        <v>835</v>
      </c>
      <c r="B795" s="10" t="s">
        <v>3495</v>
      </c>
      <c r="C795" s="880">
        <f t="shared" si="61"/>
        <v>-1.6166</v>
      </c>
      <c r="D795" s="880">
        <f t="shared" si="62"/>
        <v>6.6833</v>
      </c>
      <c r="E795" s="10">
        <v>-1.6166670000000001</v>
      </c>
      <c r="F795" s="10">
        <v>6.6833330000000002</v>
      </c>
      <c r="G795" s="10">
        <v>0</v>
      </c>
      <c r="H795" s="10" t="s">
        <v>2318</v>
      </c>
      <c r="I795" s="10" t="s">
        <v>3489</v>
      </c>
      <c r="J795" s="10" t="s">
        <v>3490</v>
      </c>
      <c r="K795" s="10" t="s">
        <v>3491</v>
      </c>
      <c r="L795" s="65" t="str">
        <f t="shared" si="63"/>
        <v>Kumasi|Ghana|-1,616667|6,683333|+0:00 Africa</v>
      </c>
      <c r="M795" s="10" t="s">
        <v>3496</v>
      </c>
      <c r="N795" s="10">
        <f t="shared" si="60"/>
        <v>0</v>
      </c>
      <c r="O795" t="str">
        <f t="shared" si="64"/>
        <v/>
      </c>
      <c r="P795" t="str">
        <f>IF(O795=1,COUNTIF($O$2:O795,1),"")</f>
        <v/>
      </c>
      <c r="Q795" t="str">
        <f>IFERROR(INDEX($M$2:$M$2388,MATCH(ROWS($P$2:P795),$P$2:$P$2388,0)),"")</f>
        <v/>
      </c>
    </row>
    <row r="796" spans="1:17" ht="15" x14ac:dyDescent="0.25">
      <c r="A796" s="10">
        <v>834</v>
      </c>
      <c r="B796" s="10" t="s">
        <v>3497</v>
      </c>
      <c r="C796" s="880">
        <f t="shared" si="61"/>
        <v>-1.75</v>
      </c>
      <c r="D796" s="880">
        <f t="shared" si="62"/>
        <v>4.8833000000000002</v>
      </c>
      <c r="E796" s="10">
        <v>-1.75</v>
      </c>
      <c r="F796" s="10">
        <v>4.8833330000000004</v>
      </c>
      <c r="G796" s="10">
        <v>0</v>
      </c>
      <c r="H796" s="10" t="s">
        <v>2318</v>
      </c>
      <c r="I796" s="10" t="s">
        <v>3489</v>
      </c>
      <c r="J796" s="10" t="s">
        <v>3490</v>
      </c>
      <c r="K796" s="10" t="s">
        <v>3491</v>
      </c>
      <c r="L796" s="65" t="str">
        <f t="shared" si="63"/>
        <v>Takoradi|Ghana|-1,750000|4,883333|+0:00 Africa</v>
      </c>
      <c r="M796" s="10" t="s">
        <v>3498</v>
      </c>
      <c r="N796" s="10">
        <f t="shared" si="60"/>
        <v>0</v>
      </c>
      <c r="O796" t="str">
        <f t="shared" si="64"/>
        <v/>
      </c>
      <c r="P796" t="str">
        <f>IF(O796=1,COUNTIF($O$2:O796,1),"")</f>
        <v/>
      </c>
      <c r="Q796" t="str">
        <f>IFERROR(INDEX($M$2:$M$2388,MATCH(ROWS($P$2:P796),$P$2:$P$2388,0)),"")</f>
        <v/>
      </c>
    </row>
    <row r="797" spans="1:17" ht="15" x14ac:dyDescent="0.25">
      <c r="A797" s="10">
        <v>833</v>
      </c>
      <c r="B797" s="10" t="s">
        <v>3499</v>
      </c>
      <c r="C797" s="880">
        <f t="shared" si="61"/>
        <v>-0.83330000000000004</v>
      </c>
      <c r="D797" s="880">
        <f t="shared" si="62"/>
        <v>9.4</v>
      </c>
      <c r="E797" s="10">
        <v>-0.83333299999999999</v>
      </c>
      <c r="F797" s="10">
        <v>9.4</v>
      </c>
      <c r="G797" s="10">
        <v>0</v>
      </c>
      <c r="H797" s="10" t="s">
        <v>2318</v>
      </c>
      <c r="I797" s="10" t="s">
        <v>3489</v>
      </c>
      <c r="J797" s="10" t="s">
        <v>3490</v>
      </c>
      <c r="K797" s="10" t="s">
        <v>3491</v>
      </c>
      <c r="L797" s="65" t="str">
        <f t="shared" si="63"/>
        <v>Tamale|Ghana|-0,833333|9,400000|+0:00 Africa</v>
      </c>
      <c r="M797" s="10" t="s">
        <v>3500</v>
      </c>
      <c r="N797" s="10">
        <f t="shared" si="60"/>
        <v>0</v>
      </c>
      <c r="O797" t="str">
        <f t="shared" si="64"/>
        <v/>
      </c>
      <c r="P797" t="str">
        <f>IF(O797=1,COUNTIF($O$2:O797,1),"")</f>
        <v/>
      </c>
      <c r="Q797" t="str">
        <f>IFERROR(INDEX($M$2:$M$2388,MATCH(ROWS($P$2:P797),$P$2:$P$2388,0)),"")</f>
        <v/>
      </c>
    </row>
    <row r="798" spans="1:17" ht="15" x14ac:dyDescent="0.25">
      <c r="A798" s="10">
        <v>832</v>
      </c>
      <c r="B798" s="10" t="s">
        <v>3501</v>
      </c>
      <c r="C798" s="880">
        <f t="shared" si="61"/>
        <v>-2.1</v>
      </c>
      <c r="D798" s="880">
        <f t="shared" si="62"/>
        <v>7.7332999999999998</v>
      </c>
      <c r="E798" s="10">
        <v>-2.1</v>
      </c>
      <c r="F798" s="10">
        <v>7.733333</v>
      </c>
      <c r="G798" s="10">
        <v>0</v>
      </c>
      <c r="H798" s="10" t="s">
        <v>2318</v>
      </c>
      <c r="I798" s="10" t="s">
        <v>3489</v>
      </c>
      <c r="J798" s="10" t="s">
        <v>3490</v>
      </c>
      <c r="K798" s="10" t="s">
        <v>3491</v>
      </c>
      <c r="L798" s="65" t="str">
        <f t="shared" si="63"/>
        <v>Wenchi|Ghana|-2,100000|7,733333|+0:00 Africa</v>
      </c>
      <c r="M798" s="10" t="s">
        <v>3502</v>
      </c>
      <c r="N798" s="10">
        <f t="shared" si="60"/>
        <v>0</v>
      </c>
      <c r="O798" t="str">
        <f t="shared" si="64"/>
        <v/>
      </c>
      <c r="P798" t="str">
        <f>IF(O798=1,COUNTIF($O$2:O798,1),"")</f>
        <v/>
      </c>
      <c r="Q798" t="str">
        <f>IFERROR(INDEX($M$2:$M$2388,MATCH(ROWS($P$2:P798),$P$2:$P$2388,0)),"")</f>
        <v/>
      </c>
    </row>
    <row r="799" spans="1:17" ht="15" x14ac:dyDescent="0.25">
      <c r="A799" s="10">
        <v>831</v>
      </c>
      <c r="B799" s="10" t="s">
        <v>3503</v>
      </c>
      <c r="C799" s="880">
        <f t="shared" si="61"/>
        <v>-0.61660000000000004</v>
      </c>
      <c r="D799" s="880">
        <f t="shared" si="62"/>
        <v>5.3333000000000004</v>
      </c>
      <c r="E799" s="10">
        <v>-0.61666699999999997</v>
      </c>
      <c r="F799" s="10">
        <v>5.3333329999999997</v>
      </c>
      <c r="G799" s="10">
        <v>0</v>
      </c>
      <c r="H799" s="10" t="s">
        <v>2318</v>
      </c>
      <c r="I799" s="10" t="s">
        <v>3489</v>
      </c>
      <c r="J799" s="10" t="s">
        <v>3490</v>
      </c>
      <c r="K799" s="10" t="s">
        <v>3491</v>
      </c>
      <c r="L799" s="65" t="str">
        <f t="shared" si="63"/>
        <v>Winneba|Ghana|-0,616667|5,333333|+0:00 Africa</v>
      </c>
      <c r="M799" s="10" t="s">
        <v>3504</v>
      </c>
      <c r="N799" s="10">
        <f t="shared" si="60"/>
        <v>0</v>
      </c>
      <c r="O799" t="str">
        <f t="shared" si="64"/>
        <v/>
      </c>
      <c r="P799" t="str">
        <f>IF(O799=1,COUNTIF($O$2:O799,1),"")</f>
        <v/>
      </c>
      <c r="Q799" t="str">
        <f>IFERROR(INDEX($M$2:$M$2388,MATCH(ROWS($P$2:P799),$P$2:$P$2388,0)),"")</f>
        <v/>
      </c>
    </row>
    <row r="800" spans="1:17" ht="15" x14ac:dyDescent="0.25">
      <c r="A800" s="10">
        <v>830</v>
      </c>
      <c r="B800" s="10" t="s">
        <v>3505</v>
      </c>
      <c r="C800" s="880">
        <f t="shared" si="61"/>
        <v>-1.66E-2</v>
      </c>
      <c r="D800" s="880">
        <f t="shared" si="62"/>
        <v>9.4332999999999991</v>
      </c>
      <c r="E800" s="10">
        <v>-1.6667000000000001E-2</v>
      </c>
      <c r="F800" s="10">
        <v>9.4333329999999993</v>
      </c>
      <c r="G800" s="10">
        <v>0</v>
      </c>
      <c r="H800" s="10" t="s">
        <v>2318</v>
      </c>
      <c r="I800" s="10" t="s">
        <v>3489</v>
      </c>
      <c r="J800" s="10" t="s">
        <v>3490</v>
      </c>
      <c r="K800" s="10" t="s">
        <v>3491</v>
      </c>
      <c r="L800" s="65" t="str">
        <f t="shared" si="63"/>
        <v>Yendi|Ghana|-0,016667|9,433333|+0:00 Africa</v>
      </c>
      <c r="M800" s="10" t="s">
        <v>3506</v>
      </c>
      <c r="N800" s="10">
        <f t="shared" si="60"/>
        <v>0</v>
      </c>
      <c r="O800" t="str">
        <f t="shared" si="64"/>
        <v/>
      </c>
      <c r="P800" t="str">
        <f>IF(O800=1,COUNTIF($O$2:O800,1),"")</f>
        <v/>
      </c>
      <c r="Q800" t="str">
        <f>IFERROR(INDEX($M$2:$M$2388,MATCH(ROWS($P$2:P800),$P$2:$P$2388,0)),"")</f>
        <v/>
      </c>
    </row>
    <row r="801" spans="1:17" ht="15" x14ac:dyDescent="0.25">
      <c r="A801" s="10">
        <v>838</v>
      </c>
      <c r="B801" s="10" t="s">
        <v>3507</v>
      </c>
      <c r="C801" s="880">
        <f t="shared" si="61"/>
        <v>-5.35</v>
      </c>
      <c r="D801" s="880">
        <f t="shared" si="62"/>
        <v>36.133299999999998</v>
      </c>
      <c r="E801" s="10">
        <v>-5.35</v>
      </c>
      <c r="F801" s="10">
        <v>36.133335000000002</v>
      </c>
      <c r="G801" s="10">
        <v>1</v>
      </c>
      <c r="H801" s="10" t="s">
        <v>1670</v>
      </c>
      <c r="I801" s="10" t="s">
        <v>3508</v>
      </c>
      <c r="J801" s="10" t="s">
        <v>3507</v>
      </c>
      <c r="K801" s="10" t="s">
        <v>3509</v>
      </c>
      <c r="L801" s="65" t="str">
        <f t="shared" si="63"/>
        <v>Gibraltar|Gibraltar|-5,350000|36,133335|+1:00 Europe</v>
      </c>
      <c r="M801" s="10" t="s">
        <v>3510</v>
      </c>
      <c r="N801" s="10">
        <f t="shared" si="60"/>
        <v>0</v>
      </c>
      <c r="O801" t="str">
        <f t="shared" si="64"/>
        <v/>
      </c>
      <c r="P801" t="str">
        <f>IF(O801=1,COUNTIF($O$2:O801,1),"")</f>
        <v/>
      </c>
      <c r="Q801" t="str">
        <f>IFERROR(INDEX($M$2:$M$2388,MATCH(ROWS($P$2:P801),$P$2:$P$2388,0)),"")</f>
        <v/>
      </c>
    </row>
    <row r="802" spans="1:17" ht="15" x14ac:dyDescent="0.25">
      <c r="A802" s="10">
        <v>859</v>
      </c>
      <c r="B802" s="10" t="s">
        <v>3511</v>
      </c>
      <c r="C802" s="880">
        <f t="shared" si="61"/>
        <v>23.7333</v>
      </c>
      <c r="D802" s="880">
        <f t="shared" si="62"/>
        <v>37.9833</v>
      </c>
      <c r="E802" s="10">
        <v>23.733333999999999</v>
      </c>
      <c r="F802" s="10">
        <v>37.983333999999999</v>
      </c>
      <c r="G802" s="10">
        <v>2</v>
      </c>
      <c r="H802" s="10" t="s">
        <v>1938</v>
      </c>
      <c r="I802" s="10" t="s">
        <v>3512</v>
      </c>
      <c r="J802" s="10" t="s">
        <v>3513</v>
      </c>
      <c r="K802" s="10" t="s">
        <v>3514</v>
      </c>
      <c r="L802" s="65" t="str">
        <f t="shared" si="63"/>
        <v>Athens|Greece|23,733334|37,983334|+2:00 Europe</v>
      </c>
      <c r="M802" s="10" t="s">
        <v>3515</v>
      </c>
      <c r="N802" s="10">
        <f t="shared" si="60"/>
        <v>0</v>
      </c>
      <c r="O802" t="str">
        <f t="shared" si="64"/>
        <v/>
      </c>
      <c r="P802" t="str">
        <f>IF(O802=1,COUNTIF($O$2:O802,1),"")</f>
        <v/>
      </c>
      <c r="Q802" t="str">
        <f>IFERROR(INDEX($M$2:$M$2388,MATCH(ROWS($P$2:P802),$P$2:$P$2388,0)),"")</f>
        <v/>
      </c>
    </row>
    <row r="803" spans="1:17" ht="15" x14ac:dyDescent="0.25">
      <c r="A803" s="10">
        <v>860</v>
      </c>
      <c r="B803" s="10" t="s">
        <v>3516</v>
      </c>
      <c r="C803" s="880">
        <f t="shared" si="61"/>
        <v>22.9438</v>
      </c>
      <c r="D803" s="880">
        <f t="shared" si="62"/>
        <v>40.6402</v>
      </c>
      <c r="E803" s="10">
        <v>22.94389</v>
      </c>
      <c r="F803" s="10">
        <v>40.640278000000002</v>
      </c>
      <c r="G803" s="10">
        <v>2</v>
      </c>
      <c r="H803" s="10" t="s">
        <v>1938</v>
      </c>
      <c r="I803" s="10" t="s">
        <v>3512</v>
      </c>
      <c r="J803" s="10" t="s">
        <v>3513</v>
      </c>
      <c r="K803" s="10" t="s">
        <v>3514</v>
      </c>
      <c r="L803" s="65" t="str">
        <f t="shared" si="63"/>
        <v>Thessaloniki|Greece|22,943890|40,640278|+2:00 Europe</v>
      </c>
      <c r="M803" s="10" t="s">
        <v>3517</v>
      </c>
      <c r="N803" s="10">
        <f t="shared" si="60"/>
        <v>0</v>
      </c>
      <c r="O803" t="str">
        <f t="shared" si="64"/>
        <v/>
      </c>
      <c r="P803" t="str">
        <f>IF(O803=1,COUNTIF($O$2:O803,1),"")</f>
        <v/>
      </c>
      <c r="Q803" t="str">
        <f>IFERROR(INDEX($M$2:$M$2388,MATCH(ROWS($P$2:P803),$P$2:$P$2388,0)),"")</f>
        <v/>
      </c>
    </row>
    <row r="804" spans="1:17" ht="15" x14ac:dyDescent="0.25">
      <c r="A804" s="10">
        <v>858</v>
      </c>
      <c r="B804" s="10" t="s">
        <v>3518</v>
      </c>
      <c r="C804" s="880">
        <f t="shared" si="61"/>
        <v>22.383299999999998</v>
      </c>
      <c r="D804" s="880">
        <f t="shared" si="62"/>
        <v>39.666600000000003</v>
      </c>
      <c r="E804" s="10">
        <v>22.383333</v>
      </c>
      <c r="F804" s="10">
        <v>39.666668000000001</v>
      </c>
      <c r="G804" s="10">
        <v>2</v>
      </c>
      <c r="H804" s="10" t="s">
        <v>1938</v>
      </c>
      <c r="I804" s="10" t="s">
        <v>3512</v>
      </c>
      <c r="J804" s="10" t="s">
        <v>3513</v>
      </c>
      <c r="K804" s="10" t="s">
        <v>3514</v>
      </c>
      <c r="L804" s="65" t="str">
        <f t="shared" si="63"/>
        <v>Yiannouli|Greece|22,383333|39,666668|+2:00 Europe</v>
      </c>
      <c r="M804" s="10" t="s">
        <v>3519</v>
      </c>
      <c r="N804" s="10">
        <f t="shared" si="60"/>
        <v>0</v>
      </c>
      <c r="O804" t="str">
        <f t="shared" si="64"/>
        <v/>
      </c>
      <c r="P804" t="str">
        <f>IF(O804=1,COUNTIF($O$2:O804,1),"")</f>
        <v/>
      </c>
      <c r="Q804" t="str">
        <f>IFERROR(INDEX($M$2:$M$2388,MATCH(ROWS($P$2:P804),$P$2:$P$2388,0)),"")</f>
        <v/>
      </c>
    </row>
    <row r="805" spans="1:17" ht="15" x14ac:dyDescent="0.25">
      <c r="A805" s="10">
        <v>857</v>
      </c>
      <c r="B805" s="10" t="s">
        <v>3520</v>
      </c>
      <c r="C805" s="880">
        <f t="shared" si="61"/>
        <v>21.65</v>
      </c>
      <c r="D805" s="880">
        <f t="shared" si="62"/>
        <v>37.4833</v>
      </c>
      <c r="E805" s="10">
        <v>21.65</v>
      </c>
      <c r="F805" s="10">
        <v>37.483333999999999</v>
      </c>
      <c r="G805" s="10">
        <v>2</v>
      </c>
      <c r="H805" s="10" t="s">
        <v>1938</v>
      </c>
      <c r="I805" s="10" t="s">
        <v>3512</v>
      </c>
      <c r="J805" s="10" t="s">
        <v>3513</v>
      </c>
      <c r="K805" s="10" t="s">
        <v>3514</v>
      </c>
      <c r="L805" s="65" t="str">
        <f t="shared" si="63"/>
        <v>Zakharo|Greece|21,650000|37,483334|+2:00 Europe</v>
      </c>
      <c r="M805" s="10" t="s">
        <v>3521</v>
      </c>
      <c r="N805" s="10">
        <f t="shared" si="60"/>
        <v>0</v>
      </c>
      <c r="O805" t="str">
        <f t="shared" si="64"/>
        <v/>
      </c>
      <c r="P805" t="str">
        <f>IF(O805=1,COUNTIF($O$2:O805,1),"")</f>
        <v/>
      </c>
      <c r="Q805" t="str">
        <f>IFERROR(INDEX($M$2:$M$2388,MATCH(ROWS($P$2:P805),$P$2:$P$2388,0)),"")</f>
        <v/>
      </c>
    </row>
    <row r="806" spans="1:17" ht="15" x14ac:dyDescent="0.25">
      <c r="A806" s="10">
        <v>856</v>
      </c>
      <c r="B806" s="10" t="s">
        <v>3522</v>
      </c>
      <c r="C806" s="880">
        <f t="shared" si="61"/>
        <v>20.895199999999999</v>
      </c>
      <c r="D806" s="880">
        <f t="shared" si="62"/>
        <v>37.7913</v>
      </c>
      <c r="E806" s="10">
        <v>20.895277</v>
      </c>
      <c r="F806" s="10">
        <v>37.791389000000002</v>
      </c>
      <c r="G806" s="10">
        <v>2</v>
      </c>
      <c r="H806" s="10" t="s">
        <v>1938</v>
      </c>
      <c r="I806" s="10" t="s">
        <v>3512</v>
      </c>
      <c r="J806" s="10" t="s">
        <v>3513</v>
      </c>
      <c r="K806" s="10" t="s">
        <v>3514</v>
      </c>
      <c r="L806" s="65" t="str">
        <f t="shared" si="63"/>
        <v>Zakynthos|Greece|20,895277|37,791389|+2:00 Europe</v>
      </c>
      <c r="M806" s="10" t="s">
        <v>3523</v>
      </c>
      <c r="N806" s="10">
        <f t="shared" si="60"/>
        <v>0</v>
      </c>
      <c r="O806" t="str">
        <f t="shared" si="64"/>
        <v/>
      </c>
      <c r="P806" t="str">
        <f>IF(O806=1,COUNTIF($O$2:O806,1),"")</f>
        <v/>
      </c>
      <c r="Q806" t="str">
        <f>IFERROR(INDEX($M$2:$M$2388,MATCH(ROWS($P$2:P806),$P$2:$P$2388,0)),"")</f>
        <v/>
      </c>
    </row>
    <row r="807" spans="1:17" ht="15" x14ac:dyDescent="0.25">
      <c r="A807" s="10">
        <v>840</v>
      </c>
      <c r="B807" s="10" t="s">
        <v>3524</v>
      </c>
      <c r="C807" s="880">
        <f t="shared" si="61"/>
        <v>-51.75</v>
      </c>
      <c r="D807" s="880">
        <f t="shared" si="62"/>
        <v>64.183300000000003</v>
      </c>
      <c r="E807" s="10">
        <v>-51.75</v>
      </c>
      <c r="F807" s="10">
        <v>64.183334000000002</v>
      </c>
      <c r="G807" s="10">
        <v>-3</v>
      </c>
      <c r="H807" s="10" t="s">
        <v>1739</v>
      </c>
      <c r="I807" s="10" t="s">
        <v>3525</v>
      </c>
      <c r="J807" s="10" t="s">
        <v>3526</v>
      </c>
      <c r="K807" s="10" t="s">
        <v>3527</v>
      </c>
      <c r="L807" s="65" t="str">
        <f t="shared" si="63"/>
        <v>Nuuk|Greenland|-51,750000|64,183334|-3:00 America</v>
      </c>
      <c r="M807" s="10" t="s">
        <v>3528</v>
      </c>
      <c r="N807" s="10">
        <f t="shared" si="60"/>
        <v>0</v>
      </c>
      <c r="O807" t="str">
        <f t="shared" si="64"/>
        <v/>
      </c>
      <c r="P807" t="str">
        <f>IF(O807=1,COUNTIF($O$2:O807,1),"")</f>
        <v/>
      </c>
      <c r="Q807" t="str">
        <f>IFERROR(INDEX($M$2:$M$2388,MATCH(ROWS($P$2:P807),$P$2:$P$2388,0)),"")</f>
        <v/>
      </c>
    </row>
    <row r="808" spans="1:17" ht="15" x14ac:dyDescent="0.25">
      <c r="A808" s="10">
        <v>839</v>
      </c>
      <c r="B808" s="10" t="s">
        <v>3529</v>
      </c>
      <c r="C808" s="880">
        <f t="shared" si="61"/>
        <v>-53.683300000000003</v>
      </c>
      <c r="D808" s="880">
        <f t="shared" si="62"/>
        <v>66.933300000000003</v>
      </c>
      <c r="E808" s="10">
        <v>-53.683334000000002</v>
      </c>
      <c r="F808" s="10">
        <v>66.933334000000002</v>
      </c>
      <c r="G808" s="10">
        <v>-3</v>
      </c>
      <c r="H808" s="10" t="s">
        <v>1739</v>
      </c>
      <c r="I808" s="10" t="s">
        <v>3525</v>
      </c>
      <c r="J808" s="10" t="s">
        <v>3526</v>
      </c>
      <c r="K808" s="10" t="s">
        <v>3527</v>
      </c>
      <c r="L808" s="65" t="str">
        <f t="shared" si="63"/>
        <v>Sisimiut|Greenland|-53,683334|66,933334|-3:00 America</v>
      </c>
      <c r="M808" s="10" t="s">
        <v>3530</v>
      </c>
      <c r="N808" s="10">
        <f t="shared" si="60"/>
        <v>0</v>
      </c>
      <c r="O808" t="str">
        <f t="shared" si="64"/>
        <v/>
      </c>
      <c r="P808" t="str">
        <f>IF(O808=1,COUNTIF($O$2:O808,1),"")</f>
        <v/>
      </c>
      <c r="Q808" t="str">
        <f>IFERROR(INDEX($M$2:$M$2388,MATCH(ROWS($P$2:P808),$P$2:$P$2388,0)),"")</f>
        <v/>
      </c>
    </row>
    <row r="809" spans="1:17" ht="15" x14ac:dyDescent="0.25">
      <c r="A809" s="10">
        <v>841</v>
      </c>
      <c r="B809" s="10" t="s">
        <v>3531</v>
      </c>
      <c r="C809" s="880">
        <f t="shared" si="61"/>
        <v>-37.633299999999998</v>
      </c>
      <c r="D809" s="880">
        <f t="shared" si="62"/>
        <v>65.599900000000005</v>
      </c>
      <c r="E809" s="10">
        <v>-37.633335000000002</v>
      </c>
      <c r="F809" s="10">
        <v>65.599997999999999</v>
      </c>
      <c r="G809" s="10">
        <v>-3</v>
      </c>
      <c r="H809" s="10" t="s">
        <v>1739</v>
      </c>
      <c r="I809" s="10" t="s">
        <v>3525</v>
      </c>
      <c r="J809" s="10" t="s">
        <v>3526</v>
      </c>
      <c r="K809" s="10" t="s">
        <v>3527</v>
      </c>
      <c r="L809" s="65" t="str">
        <f t="shared" si="63"/>
        <v>Tasiilaq|Greenland|-37,633335|65,599998|-3:00 America</v>
      </c>
      <c r="M809" s="10" t="s">
        <v>3532</v>
      </c>
      <c r="N809" s="10">
        <f t="shared" si="60"/>
        <v>0</v>
      </c>
      <c r="O809" t="str">
        <f t="shared" si="64"/>
        <v/>
      </c>
      <c r="P809" t="str">
        <f>IF(O809=1,COUNTIF($O$2:O809,1),"")</f>
        <v/>
      </c>
      <c r="Q809" t="str">
        <f>IFERROR(INDEX($M$2:$M$2388,MATCH(ROWS($P$2:P809),$P$2:$P$2388,0)),"")</f>
        <v/>
      </c>
    </row>
    <row r="810" spans="1:17" ht="15" x14ac:dyDescent="0.25">
      <c r="A810" s="10">
        <v>141</v>
      </c>
      <c r="B810" s="10" t="s">
        <v>3533</v>
      </c>
      <c r="C810" s="880">
        <f t="shared" si="61"/>
        <v>-62.849899999999998</v>
      </c>
      <c r="D810" s="880">
        <f t="shared" si="62"/>
        <v>17.883299999999998</v>
      </c>
      <c r="E810" s="10">
        <v>-62.849997999999999</v>
      </c>
      <c r="F810" s="10">
        <v>17.883333</v>
      </c>
      <c r="G810" s="10">
        <v>-4</v>
      </c>
      <c r="H810" s="10" t="s">
        <v>1733</v>
      </c>
      <c r="I810" s="10" t="s">
        <v>3534</v>
      </c>
      <c r="J810" s="10" t="s">
        <v>3535</v>
      </c>
      <c r="K810" s="10" t="s">
        <v>3536</v>
      </c>
      <c r="L810" s="65" t="str">
        <f t="shared" si="63"/>
        <v>Gustavia|Guadeloupe|-62,849998|17,883333|-4:00 America</v>
      </c>
      <c r="M810" s="10" t="s">
        <v>3537</v>
      </c>
      <c r="N810" s="10">
        <f t="shared" si="60"/>
        <v>0</v>
      </c>
      <c r="O810" t="str">
        <f t="shared" si="64"/>
        <v/>
      </c>
      <c r="P810" t="str">
        <f>IF(O810=1,COUNTIF($O$2:O810,1),"")</f>
        <v/>
      </c>
      <c r="Q810" t="str">
        <f>IFERROR(INDEX($M$2:$M$2388,MATCH(ROWS($P$2:P810),$P$2:$P$2388,0)),"")</f>
        <v/>
      </c>
    </row>
    <row r="811" spans="1:17" ht="15" x14ac:dyDescent="0.25">
      <c r="A811" s="10">
        <v>852</v>
      </c>
      <c r="B811" s="10" t="s">
        <v>3538</v>
      </c>
      <c r="C811" s="880">
        <f t="shared" si="61"/>
        <v>-61.266599999999997</v>
      </c>
      <c r="D811" s="880">
        <f t="shared" si="62"/>
        <v>16.25</v>
      </c>
      <c r="E811" s="10">
        <v>-61.266666000000001</v>
      </c>
      <c r="F811" s="10">
        <v>16.25</v>
      </c>
      <c r="G811" s="10">
        <v>-4</v>
      </c>
      <c r="H811" s="10" t="s">
        <v>1733</v>
      </c>
      <c r="I811" s="10" t="s">
        <v>3534</v>
      </c>
      <c r="J811" s="10" t="s">
        <v>3535</v>
      </c>
      <c r="K811" s="10" t="s">
        <v>3536</v>
      </c>
      <c r="L811" s="65" t="str">
        <f t="shared" si="63"/>
        <v>Saint-Francois|Guadeloupe|-61,266666|16,250000|-4:00 America</v>
      </c>
      <c r="M811" s="10" t="s">
        <v>3539</v>
      </c>
      <c r="N811" s="10">
        <f t="shared" si="60"/>
        <v>0</v>
      </c>
      <c r="O811" t="str">
        <f t="shared" si="64"/>
        <v/>
      </c>
      <c r="P811" t="str">
        <f>IF(O811=1,COUNTIF($O$2:O811,1),"")</f>
        <v/>
      </c>
      <c r="Q811" t="str">
        <f>IFERROR(INDEX($M$2:$M$2388,MATCH(ROWS($P$2:P811),$P$2:$P$2388,0)),"")</f>
        <v/>
      </c>
    </row>
    <row r="812" spans="1:17" ht="15" x14ac:dyDescent="0.25">
      <c r="A812" s="10">
        <v>851</v>
      </c>
      <c r="B812" s="10" t="s">
        <v>3540</v>
      </c>
      <c r="C812" s="880">
        <f t="shared" si="61"/>
        <v>-61.633299999999998</v>
      </c>
      <c r="D812" s="880">
        <f t="shared" si="62"/>
        <v>15.9666</v>
      </c>
      <c r="E812" s="10">
        <v>-61.633335000000002</v>
      </c>
      <c r="F812" s="10">
        <v>15.966666999999999</v>
      </c>
      <c r="G812" s="10">
        <v>-4</v>
      </c>
      <c r="H812" s="10" t="s">
        <v>1733</v>
      </c>
      <c r="I812" s="10" t="s">
        <v>3534</v>
      </c>
      <c r="J812" s="10" t="s">
        <v>3535</v>
      </c>
      <c r="K812" s="10" t="s">
        <v>3536</v>
      </c>
      <c r="L812" s="65" t="str">
        <f t="shared" si="63"/>
        <v>Trois-Rivieres|Guadeloupe|-61,633335|15,966667|-4:00 America</v>
      </c>
      <c r="M812" s="10" t="s">
        <v>3541</v>
      </c>
      <c r="N812" s="10">
        <f t="shared" si="60"/>
        <v>0</v>
      </c>
      <c r="O812" t="str">
        <f t="shared" si="64"/>
        <v/>
      </c>
      <c r="P812" t="str">
        <f>IF(O812=1,COUNTIF($O$2:O812,1),"")</f>
        <v/>
      </c>
      <c r="Q812" t="str">
        <f>IFERROR(INDEX($M$2:$M$2388,MATCH(ROWS($P$2:P812),$P$2:$P$2388,0)),"")</f>
        <v/>
      </c>
    </row>
    <row r="813" spans="1:17" ht="15" x14ac:dyDescent="0.25">
      <c r="A813" s="10">
        <v>850</v>
      </c>
      <c r="B813" s="10" t="s">
        <v>3542</v>
      </c>
      <c r="C813" s="880">
        <f t="shared" si="61"/>
        <v>-61.75</v>
      </c>
      <c r="D813" s="880">
        <f t="shared" si="62"/>
        <v>16.049900000000001</v>
      </c>
      <c r="E813" s="10">
        <v>-61.75</v>
      </c>
      <c r="F813" s="10">
        <v>16.049999</v>
      </c>
      <c r="G813" s="10">
        <v>-4</v>
      </c>
      <c r="H813" s="10" t="s">
        <v>1733</v>
      </c>
      <c r="I813" s="10" t="s">
        <v>3534</v>
      </c>
      <c r="J813" s="10" t="s">
        <v>3535</v>
      </c>
      <c r="K813" s="10" t="s">
        <v>3536</v>
      </c>
      <c r="L813" s="65" t="str">
        <f t="shared" si="63"/>
        <v>Vieux-Habitants|Guadeloupe|-61,750000|16,049999|-4:00 America</v>
      </c>
      <c r="M813" s="10" t="s">
        <v>3543</v>
      </c>
      <c r="N813" s="10">
        <f t="shared" si="60"/>
        <v>0</v>
      </c>
      <c r="O813" t="str">
        <f t="shared" si="64"/>
        <v/>
      </c>
      <c r="P813" t="str">
        <f>IF(O813=1,COUNTIF($O$2:O813,1),"")</f>
        <v/>
      </c>
      <c r="Q813" t="str">
        <f>IFERROR(INDEX($M$2:$M$2388,MATCH(ROWS($P$2:P813),$P$2:$P$2388,0)),"")</f>
        <v/>
      </c>
    </row>
    <row r="814" spans="1:17" ht="15" x14ac:dyDescent="0.25">
      <c r="A814" s="10">
        <v>867</v>
      </c>
      <c r="B814" s="10" t="s">
        <v>3544</v>
      </c>
      <c r="C814" s="880">
        <f t="shared" si="61"/>
        <v>144.7766</v>
      </c>
      <c r="D814" s="880">
        <f t="shared" si="62"/>
        <v>13.4838</v>
      </c>
      <c r="E814" s="10">
        <v>144.77667199999999</v>
      </c>
      <c r="F814" s="10">
        <v>13.483889</v>
      </c>
      <c r="G814" s="10">
        <v>10</v>
      </c>
      <c r="H814" s="10" t="s">
        <v>1817</v>
      </c>
      <c r="I814" s="10" t="s">
        <v>3545</v>
      </c>
      <c r="J814" s="10" t="s">
        <v>3546</v>
      </c>
      <c r="K814" s="10" t="s">
        <v>3547</v>
      </c>
      <c r="L814" s="65" t="str">
        <f t="shared" si="63"/>
        <v>Tamuning|Guam|144,776672|13,483889|+10:00 Pacific</v>
      </c>
      <c r="M814" s="10" t="s">
        <v>3548</v>
      </c>
      <c r="N814" s="10">
        <f t="shared" si="60"/>
        <v>0</v>
      </c>
      <c r="O814" t="str">
        <f t="shared" si="64"/>
        <v/>
      </c>
      <c r="P814" t="str">
        <f>IF(O814=1,COUNTIF($O$2:O814,1),"")</f>
        <v/>
      </c>
      <c r="Q814" t="str">
        <f>IFERROR(INDEX($M$2:$M$2388,MATCH(ROWS($P$2:P814),$P$2:$P$2388,0)),"")</f>
        <v/>
      </c>
    </row>
    <row r="815" spans="1:17" ht="15" x14ac:dyDescent="0.25">
      <c r="A815" s="10">
        <v>868</v>
      </c>
      <c r="B815" s="10" t="s">
        <v>3549</v>
      </c>
      <c r="C815" s="880">
        <f t="shared" si="61"/>
        <v>144.88550000000001</v>
      </c>
      <c r="D815" s="880">
        <f t="shared" si="62"/>
        <v>13.5344</v>
      </c>
      <c r="E815" s="10">
        <v>144.885559</v>
      </c>
      <c r="F815" s="10">
        <v>13.534445</v>
      </c>
      <c r="G815" s="10">
        <v>10</v>
      </c>
      <c r="H815" s="10" t="s">
        <v>1817</v>
      </c>
      <c r="I815" s="10" t="s">
        <v>3545</v>
      </c>
      <c r="J815" s="10" t="s">
        <v>3546</v>
      </c>
      <c r="K815" s="10" t="s">
        <v>3547</v>
      </c>
      <c r="L815" s="65" t="str">
        <f t="shared" si="63"/>
        <v>Yigo|Guam|144,885559|13,534445|+10:00 Pacific</v>
      </c>
      <c r="M815" s="10" t="s">
        <v>3550</v>
      </c>
      <c r="N815" s="10">
        <f t="shared" si="60"/>
        <v>0</v>
      </c>
      <c r="O815" t="str">
        <f t="shared" si="64"/>
        <v/>
      </c>
      <c r="P815" t="str">
        <f>IF(O815=1,COUNTIF($O$2:O815,1),"")</f>
        <v/>
      </c>
      <c r="Q815" t="str">
        <f>IFERROR(INDEX($M$2:$M$2388,MATCH(ROWS($P$2:P815),$P$2:$P$2388,0)),"")</f>
        <v/>
      </c>
    </row>
    <row r="816" spans="1:17" ht="15" x14ac:dyDescent="0.25">
      <c r="A816" s="10">
        <v>866</v>
      </c>
      <c r="B816" s="10" t="s">
        <v>3551</v>
      </c>
      <c r="C816" s="880">
        <f t="shared" si="61"/>
        <v>-90.526899999999998</v>
      </c>
      <c r="D816" s="880">
        <f t="shared" si="62"/>
        <v>14.6211</v>
      </c>
      <c r="E816" s="10">
        <v>-90.526938999999999</v>
      </c>
      <c r="F816" s="10">
        <v>14.62111</v>
      </c>
      <c r="G816" s="10">
        <v>-6</v>
      </c>
      <c r="H816" s="10" t="s">
        <v>1975</v>
      </c>
      <c r="I816" s="10" t="s">
        <v>3552</v>
      </c>
      <c r="J816" s="10" t="s">
        <v>3553</v>
      </c>
      <c r="K816" s="10" t="s">
        <v>3554</v>
      </c>
      <c r="L816" s="65" t="str">
        <f t="shared" si="63"/>
        <v>Guatemala City|Guatemala|-90,526939|14,621110|-6:00 America</v>
      </c>
      <c r="M816" s="10" t="s">
        <v>3555</v>
      </c>
      <c r="N816" s="10">
        <f t="shared" si="60"/>
        <v>0</v>
      </c>
      <c r="O816" t="str">
        <f t="shared" si="64"/>
        <v/>
      </c>
      <c r="P816" t="str">
        <f>IF(O816=1,COUNTIF($O$2:O816,1),"")</f>
        <v/>
      </c>
      <c r="Q816" t="str">
        <f>IFERROR(INDEX($M$2:$M$2388,MATCH(ROWS($P$2:P816),$P$2:$P$2388,0)),"")</f>
        <v/>
      </c>
    </row>
    <row r="817" spans="1:17" ht="15" x14ac:dyDescent="0.25">
      <c r="A817" s="10">
        <v>865</v>
      </c>
      <c r="B817" s="10" t="s">
        <v>3556</v>
      </c>
      <c r="C817" s="880">
        <f t="shared" si="61"/>
        <v>-90.606300000000005</v>
      </c>
      <c r="D817" s="880">
        <f t="shared" si="62"/>
        <v>14.6333</v>
      </c>
      <c r="E817" s="10">
        <v>-90.606392</v>
      </c>
      <c r="F817" s="10">
        <v>14.633333</v>
      </c>
      <c r="G817" s="10">
        <v>-6</v>
      </c>
      <c r="H817" s="10" t="s">
        <v>1975</v>
      </c>
      <c r="I817" s="10" t="s">
        <v>3552</v>
      </c>
      <c r="J817" s="10" t="s">
        <v>3553</v>
      </c>
      <c r="K817" s="10" t="s">
        <v>3554</v>
      </c>
      <c r="L817" s="65" t="str">
        <f t="shared" si="63"/>
        <v>Mixco|Guatemala|-90,606392|14,633333|-6:00 America</v>
      </c>
      <c r="M817" s="10" t="s">
        <v>3557</v>
      </c>
      <c r="N817" s="10">
        <f t="shared" si="60"/>
        <v>0</v>
      </c>
      <c r="O817" t="str">
        <f t="shared" si="64"/>
        <v/>
      </c>
      <c r="P817" t="str">
        <f>IF(O817=1,COUNTIF($O$2:O817,1),"")</f>
        <v/>
      </c>
      <c r="Q817" t="str">
        <f>IFERROR(INDEX($M$2:$M$2388,MATCH(ROWS($P$2:P817),$P$2:$P$2388,0)),"")</f>
        <v/>
      </c>
    </row>
    <row r="818" spans="1:17" ht="15" x14ac:dyDescent="0.25">
      <c r="A818" s="10">
        <v>864</v>
      </c>
      <c r="B818" s="10" t="s">
        <v>3558</v>
      </c>
      <c r="C818" s="880">
        <f t="shared" si="61"/>
        <v>-90.587500000000006</v>
      </c>
      <c r="D818" s="880">
        <f t="shared" si="62"/>
        <v>14.526899999999999</v>
      </c>
      <c r="E818" s="10">
        <v>-90.587502000000001</v>
      </c>
      <c r="F818" s="10">
        <v>14.526944</v>
      </c>
      <c r="G818" s="10">
        <v>-6</v>
      </c>
      <c r="H818" s="10" t="s">
        <v>1975</v>
      </c>
      <c r="I818" s="10" t="s">
        <v>3552</v>
      </c>
      <c r="J818" s="10" t="s">
        <v>3553</v>
      </c>
      <c r="K818" s="10" t="s">
        <v>3554</v>
      </c>
      <c r="L818" s="65" t="str">
        <f t="shared" si="63"/>
        <v>Villa Nueva|Guatemala|-90,587502|14,526944|-6:00 America</v>
      </c>
      <c r="M818" s="10" t="s">
        <v>3559</v>
      </c>
      <c r="N818" s="10">
        <f t="shared" si="60"/>
        <v>0</v>
      </c>
      <c r="O818" t="str">
        <f t="shared" si="64"/>
        <v/>
      </c>
      <c r="P818" t="str">
        <f>IF(O818=1,COUNTIF($O$2:O818,1),"")</f>
        <v/>
      </c>
      <c r="Q818" t="str">
        <f>IFERROR(INDEX($M$2:$M$2388,MATCH(ROWS($P$2:P818),$P$2:$P$2388,0)),"")</f>
        <v/>
      </c>
    </row>
    <row r="819" spans="1:17" ht="15" x14ac:dyDescent="0.25">
      <c r="A819" s="10">
        <v>863</v>
      </c>
      <c r="B819" s="10" t="s">
        <v>3560</v>
      </c>
      <c r="C819" s="880">
        <f t="shared" si="61"/>
        <v>-90.833299999999994</v>
      </c>
      <c r="D819" s="880">
        <f t="shared" si="62"/>
        <v>15.083299999999999</v>
      </c>
      <c r="E819" s="10">
        <v>-90.833336000000003</v>
      </c>
      <c r="F819" s="10">
        <v>15.083333</v>
      </c>
      <c r="G819" s="10">
        <v>-6</v>
      </c>
      <c r="H819" s="10" t="s">
        <v>1975</v>
      </c>
      <c r="I819" s="10" t="s">
        <v>3552</v>
      </c>
      <c r="J819" s="10" t="s">
        <v>3553</v>
      </c>
      <c r="K819" s="10" t="s">
        <v>3554</v>
      </c>
      <c r="L819" s="65" t="str">
        <f t="shared" si="63"/>
        <v>Zacualpa|Guatemala|-90,833336|15,083333|-6:00 America</v>
      </c>
      <c r="M819" s="10" t="s">
        <v>3561</v>
      </c>
      <c r="N819" s="10">
        <f t="shared" si="60"/>
        <v>0</v>
      </c>
      <c r="O819" t="str">
        <f t="shared" si="64"/>
        <v/>
      </c>
      <c r="P819" t="str">
        <f>IF(O819=1,COUNTIF($O$2:O819,1),"")</f>
        <v/>
      </c>
      <c r="Q819" t="str">
        <f>IFERROR(INDEX($M$2:$M$2388,MATCH(ROWS($P$2:P819),$P$2:$P$2388,0)),"")</f>
        <v/>
      </c>
    </row>
    <row r="820" spans="1:17" ht="15" x14ac:dyDescent="0.25">
      <c r="A820" s="10">
        <v>862</v>
      </c>
      <c r="B820" s="10" t="s">
        <v>2990</v>
      </c>
      <c r="C820" s="880">
        <f t="shared" si="61"/>
        <v>-90.889399999999995</v>
      </c>
      <c r="D820" s="880">
        <f t="shared" si="62"/>
        <v>14.654400000000001</v>
      </c>
      <c r="E820" s="10">
        <v>-90.889442000000003</v>
      </c>
      <c r="F820" s="10">
        <v>14.654445000000001</v>
      </c>
      <c r="G820" s="10">
        <v>-6</v>
      </c>
      <c r="H820" s="10" t="s">
        <v>1873</v>
      </c>
      <c r="I820" s="10" t="s">
        <v>3552</v>
      </c>
      <c r="J820" s="10" t="s">
        <v>3553</v>
      </c>
      <c r="K820" s="10" t="s">
        <v>2939</v>
      </c>
      <c r="L820" s="65" t="str">
        <f t="shared" si="63"/>
        <v>Zaragoza|Guatemala|-90,889442|14,654445|-5:00 America</v>
      </c>
      <c r="M820" s="10" t="s">
        <v>3562</v>
      </c>
      <c r="N820" s="10">
        <f t="shared" si="60"/>
        <v>0</v>
      </c>
      <c r="O820" t="str">
        <f t="shared" si="64"/>
        <v/>
      </c>
      <c r="P820" t="str">
        <f>IF(O820=1,COUNTIF($O$2:O820,1),"")</f>
        <v/>
      </c>
      <c r="Q820" t="str">
        <f>IFERROR(INDEX($M$2:$M$2388,MATCH(ROWS($P$2:P820),$P$2:$P$2388,0)),"")</f>
        <v/>
      </c>
    </row>
    <row r="821" spans="1:17" ht="15" x14ac:dyDescent="0.25">
      <c r="A821" s="10">
        <v>861</v>
      </c>
      <c r="B821" s="10" t="s">
        <v>3563</v>
      </c>
      <c r="C821" s="880">
        <f t="shared" si="61"/>
        <v>-91.4833</v>
      </c>
      <c r="D821" s="880">
        <f t="shared" si="62"/>
        <v>14.783300000000001</v>
      </c>
      <c r="E821" s="10">
        <v>-91.483329999999995</v>
      </c>
      <c r="F821" s="10">
        <v>14.783333000000001</v>
      </c>
      <c r="G821" s="10">
        <v>-6</v>
      </c>
      <c r="H821" s="10" t="s">
        <v>1975</v>
      </c>
      <c r="I821" s="10" t="s">
        <v>3552</v>
      </c>
      <c r="J821" s="10" t="s">
        <v>3553</v>
      </c>
      <c r="K821" s="10" t="s">
        <v>3554</v>
      </c>
      <c r="L821" s="65" t="str">
        <f t="shared" si="63"/>
        <v>Zunil|Guatemala|-91,483330|14,783333|-6:00 America</v>
      </c>
      <c r="M821" s="10" t="s">
        <v>3564</v>
      </c>
      <c r="N821" s="10">
        <f t="shared" si="60"/>
        <v>0</v>
      </c>
      <c r="O821" t="str">
        <f t="shared" si="64"/>
        <v/>
      </c>
      <c r="P821" t="str">
        <f>IF(O821=1,COUNTIF($O$2:O821,1),"")</f>
        <v/>
      </c>
      <c r="Q821" t="str">
        <f>IFERROR(INDEX($M$2:$M$2388,MATCH(ROWS($P$2:P821),$P$2:$P$2388,0)),"")</f>
        <v/>
      </c>
    </row>
    <row r="822" spans="1:17" ht="15" x14ac:dyDescent="0.25">
      <c r="A822" s="10">
        <v>849</v>
      </c>
      <c r="B822" s="10" t="s">
        <v>3565</v>
      </c>
      <c r="C822" s="880">
        <f t="shared" si="61"/>
        <v>-13.6877</v>
      </c>
      <c r="D822" s="880">
        <f t="shared" si="62"/>
        <v>9.5350000000000001</v>
      </c>
      <c r="E822" s="10">
        <v>-13.687778</v>
      </c>
      <c r="F822" s="10">
        <v>9.5350000000000001</v>
      </c>
      <c r="G822" s="10">
        <v>0</v>
      </c>
      <c r="H822" s="10" t="s">
        <v>2318</v>
      </c>
      <c r="I822" s="10" t="s">
        <v>3566</v>
      </c>
      <c r="J822" s="10" t="s">
        <v>3567</v>
      </c>
      <c r="K822" s="10" t="s">
        <v>3568</v>
      </c>
      <c r="L822" s="65" t="str">
        <f t="shared" si="63"/>
        <v>Camayenne|Guinea|-13,687778|9,535000|+0:00 Africa</v>
      </c>
      <c r="M822" s="10" t="s">
        <v>3569</v>
      </c>
      <c r="N822" s="10">
        <f t="shared" si="60"/>
        <v>0</v>
      </c>
      <c r="O822" t="str">
        <f t="shared" si="64"/>
        <v/>
      </c>
      <c r="P822" t="str">
        <f>IF(O822=1,COUNTIF($O$2:O822,1),"")</f>
        <v/>
      </c>
      <c r="Q822" t="str">
        <f>IFERROR(INDEX($M$2:$M$2388,MATCH(ROWS($P$2:P822),$P$2:$P$2388,0)),"")</f>
        <v/>
      </c>
    </row>
    <row r="823" spans="1:17" ht="15" x14ac:dyDescent="0.25">
      <c r="A823" s="10">
        <v>848</v>
      </c>
      <c r="B823" s="10" t="s">
        <v>3570</v>
      </c>
      <c r="C823" s="880">
        <f t="shared" si="61"/>
        <v>-13.712199999999999</v>
      </c>
      <c r="D823" s="880">
        <f t="shared" si="62"/>
        <v>9.5091000000000001</v>
      </c>
      <c r="E823" s="10">
        <v>-13.712222000000001</v>
      </c>
      <c r="F823" s="10">
        <v>9.5091669999999997</v>
      </c>
      <c r="G823" s="10">
        <v>0</v>
      </c>
      <c r="H823" s="10" t="s">
        <v>2318</v>
      </c>
      <c r="I823" s="10" t="s">
        <v>3566</v>
      </c>
      <c r="J823" s="10" t="s">
        <v>3567</v>
      </c>
      <c r="K823" s="10" t="s">
        <v>3568</v>
      </c>
      <c r="L823" s="65" t="str">
        <f t="shared" si="63"/>
        <v>Conakry|Guinea|-13,712222|9,509167|+0:00 Africa</v>
      </c>
      <c r="M823" s="10" t="s">
        <v>3571</v>
      </c>
      <c r="N823" s="10">
        <f t="shared" si="60"/>
        <v>0</v>
      </c>
      <c r="O823" t="str">
        <f t="shared" si="64"/>
        <v/>
      </c>
      <c r="P823" t="str">
        <f>IF(O823=1,COUNTIF($O$2:O823,1),"")</f>
        <v/>
      </c>
      <c r="Q823" t="str">
        <f>IFERROR(INDEX($M$2:$M$2388,MATCH(ROWS($P$2:P823),$P$2:$P$2388,0)),"")</f>
        <v/>
      </c>
    </row>
    <row r="824" spans="1:17" ht="15" x14ac:dyDescent="0.25">
      <c r="A824" s="10">
        <v>847</v>
      </c>
      <c r="B824" s="10" t="s">
        <v>3572</v>
      </c>
      <c r="C824" s="880">
        <f t="shared" si="61"/>
        <v>-11.683299999999999</v>
      </c>
      <c r="D824" s="880">
        <f t="shared" si="62"/>
        <v>11.45</v>
      </c>
      <c r="E824" s="10">
        <v>-11.683332999999999</v>
      </c>
      <c r="F824" s="10">
        <v>11.45</v>
      </c>
      <c r="G824" s="10">
        <v>0</v>
      </c>
      <c r="H824" s="10" t="s">
        <v>2318</v>
      </c>
      <c r="I824" s="10" t="s">
        <v>3566</v>
      </c>
      <c r="J824" s="10" t="s">
        <v>3567</v>
      </c>
      <c r="K824" s="10" t="s">
        <v>3568</v>
      </c>
      <c r="L824" s="65" t="str">
        <f t="shared" si="63"/>
        <v>Tougue|Guinea|-11,683333|11,450000|+0:00 Africa</v>
      </c>
      <c r="M824" s="10" t="s">
        <v>3573</v>
      </c>
      <c r="N824" s="10">
        <f t="shared" si="60"/>
        <v>0</v>
      </c>
      <c r="O824" t="str">
        <f t="shared" si="64"/>
        <v/>
      </c>
      <c r="P824" t="str">
        <f>IF(O824=1,COUNTIF($O$2:O824,1),"")</f>
        <v/>
      </c>
      <c r="Q824" t="str">
        <f>IFERROR(INDEX($M$2:$M$2388,MATCH(ROWS($P$2:P824),$P$2:$P$2388,0)),"")</f>
        <v/>
      </c>
    </row>
    <row r="825" spans="1:17" ht="15" x14ac:dyDescent="0.25">
      <c r="A825" s="10">
        <v>846</v>
      </c>
      <c r="B825" s="10" t="s">
        <v>3574</v>
      </c>
      <c r="C825" s="880">
        <f t="shared" si="61"/>
        <v>-9.2652000000000001</v>
      </c>
      <c r="D825" s="880">
        <f t="shared" si="62"/>
        <v>7.5602</v>
      </c>
      <c r="E825" s="10">
        <v>-9.2652780000000003</v>
      </c>
      <c r="F825" s="10">
        <v>7.5602780000000003</v>
      </c>
      <c r="G825" s="10">
        <v>0</v>
      </c>
      <c r="H825" s="10" t="s">
        <v>2318</v>
      </c>
      <c r="I825" s="10" t="s">
        <v>3566</v>
      </c>
      <c r="J825" s="10" t="s">
        <v>3567</v>
      </c>
      <c r="K825" s="10" t="s">
        <v>3568</v>
      </c>
      <c r="L825" s="65" t="str">
        <f t="shared" si="63"/>
        <v>Yomou|Guinea|-9,265278|7,560278|+0:00 Africa</v>
      </c>
      <c r="M825" s="10" t="s">
        <v>3575</v>
      </c>
      <c r="N825" s="10">
        <f t="shared" si="60"/>
        <v>0</v>
      </c>
      <c r="O825" t="str">
        <f t="shared" si="64"/>
        <v/>
      </c>
      <c r="P825" t="str">
        <f>IF(O825=1,COUNTIF($O$2:O825,1),"")</f>
        <v/>
      </c>
      <c r="Q825" t="str">
        <f>IFERROR(INDEX($M$2:$M$2388,MATCH(ROWS($P$2:P825),$P$2:$P$2388,0)),"")</f>
        <v/>
      </c>
    </row>
    <row r="826" spans="1:17" ht="15" x14ac:dyDescent="0.25">
      <c r="A826" s="10">
        <v>845</v>
      </c>
      <c r="B826" s="10" t="s">
        <v>3576</v>
      </c>
      <c r="C826" s="880">
        <f t="shared" si="61"/>
        <v>-13.1333</v>
      </c>
      <c r="D826" s="880">
        <f t="shared" si="62"/>
        <v>12.533300000000001</v>
      </c>
      <c r="E826" s="10">
        <v>-13.133333</v>
      </c>
      <c r="F826" s="10">
        <v>12.533333000000001</v>
      </c>
      <c r="G826" s="10">
        <v>0</v>
      </c>
      <c r="H826" s="10" t="s">
        <v>2318</v>
      </c>
      <c r="I826" s="10" t="s">
        <v>3566</v>
      </c>
      <c r="J826" s="10" t="s">
        <v>3567</v>
      </c>
      <c r="K826" s="10" t="s">
        <v>3568</v>
      </c>
      <c r="L826" s="65" t="str">
        <f t="shared" si="63"/>
        <v>Youkounkoun|Guinea|-13,133333|12,533333|+0:00 Africa</v>
      </c>
      <c r="M826" s="10" t="s">
        <v>3577</v>
      </c>
      <c r="N826" s="10">
        <f t="shared" si="60"/>
        <v>0</v>
      </c>
      <c r="O826" t="str">
        <f t="shared" si="64"/>
        <v/>
      </c>
      <c r="P826" t="str">
        <f>IF(O826=1,COUNTIF($O$2:O826,1),"")</f>
        <v/>
      </c>
      <c r="Q826" t="str">
        <f>IFERROR(INDEX($M$2:$M$2388,MATCH(ROWS($P$2:P826),$P$2:$P$2388,0)),"")</f>
        <v/>
      </c>
    </row>
    <row r="827" spans="1:17" ht="15" x14ac:dyDescent="0.25">
      <c r="A827" s="10">
        <v>872</v>
      </c>
      <c r="B827" s="10" t="s">
        <v>3578</v>
      </c>
      <c r="C827" s="880">
        <f t="shared" si="61"/>
        <v>-15.583299999999999</v>
      </c>
      <c r="D827" s="880">
        <f t="shared" si="62"/>
        <v>11.85</v>
      </c>
      <c r="E827" s="10">
        <v>-15.583333</v>
      </c>
      <c r="F827" s="10">
        <v>11.85</v>
      </c>
      <c r="G827" s="10">
        <v>0</v>
      </c>
      <c r="H827" s="10" t="s">
        <v>2318</v>
      </c>
      <c r="I827" s="10" t="s">
        <v>3579</v>
      </c>
      <c r="J827" s="10" t="s">
        <v>3580</v>
      </c>
      <c r="K827" s="10" t="s">
        <v>3581</v>
      </c>
      <c r="L827" s="65" t="str">
        <f t="shared" si="63"/>
        <v>Bissau|Guinea-Bissau|-15,583333|11,850000|+0:00 Africa</v>
      </c>
      <c r="M827" s="10" t="s">
        <v>3582</v>
      </c>
      <c r="N827" s="10">
        <f t="shared" si="60"/>
        <v>0</v>
      </c>
      <c r="O827" t="str">
        <f t="shared" si="64"/>
        <v/>
      </c>
      <c r="P827" t="str">
        <f>IF(O827=1,COUNTIF($O$2:O827,1),"")</f>
        <v/>
      </c>
      <c r="Q827" t="str">
        <f>IFERROR(INDEX($M$2:$M$2388,MATCH(ROWS($P$2:P827),$P$2:$P$2388,0)),"")</f>
        <v/>
      </c>
    </row>
    <row r="828" spans="1:17" ht="15" x14ac:dyDescent="0.25">
      <c r="A828" s="10">
        <v>871</v>
      </c>
      <c r="B828" s="10" t="s">
        <v>3583</v>
      </c>
      <c r="C828" s="880">
        <f t="shared" si="61"/>
        <v>-15.3188</v>
      </c>
      <c r="D828" s="880">
        <f t="shared" si="62"/>
        <v>12.0733</v>
      </c>
      <c r="E828" s="10">
        <v>-15.318889</v>
      </c>
      <c r="F828" s="10">
        <v>12.073333999999999</v>
      </c>
      <c r="G828" s="10">
        <v>0</v>
      </c>
      <c r="H828" s="10" t="s">
        <v>2318</v>
      </c>
      <c r="I828" s="10" t="s">
        <v>3579</v>
      </c>
      <c r="J828" s="10" t="s">
        <v>3580</v>
      </c>
      <c r="K828" s="10" t="s">
        <v>3581</v>
      </c>
      <c r="L828" s="65" t="str">
        <f t="shared" si="63"/>
        <v>Mansoa|Guinea-Bissau|-15,318889|12,073334|+0:00 Africa</v>
      </c>
      <c r="M828" s="10" t="s">
        <v>3584</v>
      </c>
      <c r="N828" s="10">
        <f t="shared" si="60"/>
        <v>0</v>
      </c>
      <c r="O828" t="str">
        <f t="shared" si="64"/>
        <v/>
      </c>
      <c r="P828" t="str">
        <f>IF(O828=1,COUNTIF($O$2:O828,1),"")</f>
        <v/>
      </c>
      <c r="Q828" t="str">
        <f>IFERROR(INDEX($M$2:$M$2388,MATCH(ROWS($P$2:P828),$P$2:$P$2388,0)),"")</f>
        <v/>
      </c>
    </row>
    <row r="829" spans="1:17" ht="15" x14ac:dyDescent="0.25">
      <c r="A829" s="10">
        <v>870</v>
      </c>
      <c r="B829" s="10" t="s">
        <v>3585</v>
      </c>
      <c r="C829" s="880">
        <f t="shared" si="61"/>
        <v>-14.933299999999999</v>
      </c>
      <c r="D829" s="880">
        <f t="shared" si="62"/>
        <v>11.333299999999999</v>
      </c>
      <c r="E829" s="10">
        <v>-14.933332999999999</v>
      </c>
      <c r="F829" s="10">
        <v>11.333333</v>
      </c>
      <c r="G829" s="10">
        <v>0</v>
      </c>
      <c r="H829" s="10" t="s">
        <v>2318</v>
      </c>
      <c r="I829" s="10" t="s">
        <v>3579</v>
      </c>
      <c r="J829" s="10" t="s">
        <v>3580</v>
      </c>
      <c r="K829" s="10" t="s">
        <v>3581</v>
      </c>
      <c r="L829" s="65" t="str">
        <f t="shared" si="63"/>
        <v>Quebo|Guinea-Bissau|-14,933333|11,333333|+0:00 Africa</v>
      </c>
      <c r="M829" s="10" t="s">
        <v>3586</v>
      </c>
      <c r="N829" s="10">
        <f t="shared" si="60"/>
        <v>0</v>
      </c>
      <c r="O829" t="str">
        <f t="shared" si="64"/>
        <v/>
      </c>
      <c r="P829" t="str">
        <f>IF(O829=1,COUNTIF($O$2:O829,1),"")</f>
        <v/>
      </c>
      <c r="Q829" t="str">
        <f>IFERROR(INDEX($M$2:$M$2388,MATCH(ROWS($P$2:P829),$P$2:$P$2388,0)),"")</f>
        <v/>
      </c>
    </row>
    <row r="830" spans="1:17" ht="15" x14ac:dyDescent="0.25">
      <c r="A830" s="10">
        <v>869</v>
      </c>
      <c r="B830" s="10" t="s">
        <v>3587</v>
      </c>
      <c r="C830" s="880">
        <f t="shared" si="61"/>
        <v>-15.85</v>
      </c>
      <c r="D830" s="880">
        <f t="shared" si="62"/>
        <v>11.8833</v>
      </c>
      <c r="E830" s="10">
        <v>-15.85</v>
      </c>
      <c r="F830" s="10">
        <v>11.883333</v>
      </c>
      <c r="G830" s="10">
        <v>0</v>
      </c>
      <c r="H830" s="10" t="s">
        <v>2318</v>
      </c>
      <c r="I830" s="10" t="s">
        <v>3579</v>
      </c>
      <c r="J830" s="10" t="s">
        <v>3580</v>
      </c>
      <c r="K830" s="10" t="s">
        <v>3581</v>
      </c>
      <c r="L830" s="65" t="str">
        <f t="shared" si="63"/>
        <v>Quinhamel|Guinea-Bissau|-15,850000|11,883333|+0:00 Africa</v>
      </c>
      <c r="M830" s="10" t="s">
        <v>3588</v>
      </c>
      <c r="N830" s="10">
        <f t="shared" si="60"/>
        <v>0</v>
      </c>
      <c r="O830" t="str">
        <f t="shared" si="64"/>
        <v/>
      </c>
      <c r="P830" t="str">
        <f>IF(O830=1,COUNTIF($O$2:O830,1),"")</f>
        <v/>
      </c>
      <c r="Q830" t="str">
        <f>IFERROR(INDEX($M$2:$M$2388,MATCH(ROWS($P$2:P830),$P$2:$P$2388,0)),"")</f>
        <v/>
      </c>
    </row>
    <row r="831" spans="1:17" ht="15" x14ac:dyDescent="0.25">
      <c r="A831" s="10">
        <v>876</v>
      </c>
      <c r="B831" s="10" t="s">
        <v>3589</v>
      </c>
      <c r="C831" s="880">
        <f t="shared" si="61"/>
        <v>-58.166600000000003</v>
      </c>
      <c r="D831" s="880">
        <f t="shared" si="62"/>
        <v>6.8</v>
      </c>
      <c r="E831" s="10">
        <v>-58.166668000000001</v>
      </c>
      <c r="F831" s="10">
        <v>6.8</v>
      </c>
      <c r="G831" s="10">
        <v>-4</v>
      </c>
      <c r="H831" s="10" t="s">
        <v>1733</v>
      </c>
      <c r="I831" s="10" t="s">
        <v>3590</v>
      </c>
      <c r="J831" s="10" t="s">
        <v>3591</v>
      </c>
      <c r="K831" s="10" t="s">
        <v>3592</v>
      </c>
      <c r="L831" s="65" t="str">
        <f t="shared" si="63"/>
        <v>Georgetown|Guyana|-58,166668|6,800000|-4:00 America</v>
      </c>
      <c r="M831" s="10" t="s">
        <v>3593</v>
      </c>
      <c r="N831" s="10">
        <f t="shared" si="60"/>
        <v>0</v>
      </c>
      <c r="O831" t="str">
        <f t="shared" si="64"/>
        <v/>
      </c>
      <c r="P831" t="str">
        <f>IF(O831=1,COUNTIF($O$2:O831,1),"")</f>
        <v/>
      </c>
      <c r="Q831" t="str">
        <f>IFERROR(INDEX($M$2:$M$2388,MATCH(ROWS($P$2:P831),$P$2:$P$2388,0)),"")</f>
        <v/>
      </c>
    </row>
    <row r="832" spans="1:17" ht="15" x14ac:dyDescent="0.25">
      <c r="A832" s="10">
        <v>875</v>
      </c>
      <c r="B832" s="10" t="s">
        <v>3594</v>
      </c>
      <c r="C832" s="880">
        <f t="shared" si="61"/>
        <v>-57.516599999999997</v>
      </c>
      <c r="D832" s="880">
        <f t="shared" si="62"/>
        <v>6.25</v>
      </c>
      <c r="E832" s="10">
        <v>-57.516666000000001</v>
      </c>
      <c r="F832" s="10">
        <v>6.25</v>
      </c>
      <c r="G832" s="10">
        <v>-4</v>
      </c>
      <c r="H832" s="10" t="s">
        <v>1733</v>
      </c>
      <c r="I832" s="10" t="s">
        <v>3590</v>
      </c>
      <c r="J832" s="10" t="s">
        <v>3591</v>
      </c>
      <c r="K832" s="10" t="s">
        <v>3592</v>
      </c>
      <c r="L832" s="65" t="str">
        <f t="shared" si="63"/>
        <v>New Amsterdam|Guyana|-57,516666|6,250000|-4:00 America</v>
      </c>
      <c r="M832" s="10" t="s">
        <v>3595</v>
      </c>
      <c r="N832" s="10">
        <f t="shared" si="60"/>
        <v>0</v>
      </c>
      <c r="O832" t="str">
        <f t="shared" si="64"/>
        <v/>
      </c>
      <c r="P832" t="str">
        <f>IF(O832=1,COUNTIF($O$2:O832,1),"")</f>
        <v/>
      </c>
      <c r="Q832" t="str">
        <f>IFERROR(INDEX($M$2:$M$2388,MATCH(ROWS($P$2:P832),$P$2:$P$2388,0)),"")</f>
        <v/>
      </c>
    </row>
    <row r="833" spans="1:17" ht="15" x14ac:dyDescent="0.25">
      <c r="A833" s="10">
        <v>874</v>
      </c>
      <c r="B833" s="10" t="s">
        <v>3596</v>
      </c>
      <c r="C833" s="880">
        <f t="shared" si="61"/>
        <v>-57.533299999999997</v>
      </c>
      <c r="D833" s="880">
        <f t="shared" si="62"/>
        <v>6.2832999999999997</v>
      </c>
      <c r="E833" s="10">
        <v>-57.533332999999999</v>
      </c>
      <c r="F833" s="10">
        <v>6.2833329999999998</v>
      </c>
      <c r="G833" s="10">
        <v>-4</v>
      </c>
      <c r="H833" s="10" t="s">
        <v>1733</v>
      </c>
      <c r="I833" s="10" t="s">
        <v>3590</v>
      </c>
      <c r="J833" s="10" t="s">
        <v>3591</v>
      </c>
      <c r="K833" s="10" t="s">
        <v>3592</v>
      </c>
      <c r="L833" s="65" t="str">
        <f t="shared" si="63"/>
        <v>Rosignol|Guyana|-57,533333|6,283333|-4:00 America</v>
      </c>
      <c r="M833" s="10" t="s">
        <v>3597</v>
      </c>
      <c r="N833" s="10">
        <f t="shared" si="60"/>
        <v>0</v>
      </c>
      <c r="O833" t="str">
        <f t="shared" si="64"/>
        <v/>
      </c>
      <c r="P833" t="str">
        <f>IF(O833=1,COUNTIF($O$2:O833,1),"")</f>
        <v/>
      </c>
      <c r="Q833" t="str">
        <f>IFERROR(INDEX($M$2:$M$2388,MATCH(ROWS($P$2:P833),$P$2:$P$2388,0)),"")</f>
        <v/>
      </c>
    </row>
    <row r="834" spans="1:17" ht="15" x14ac:dyDescent="0.25">
      <c r="A834" s="10">
        <v>873</v>
      </c>
      <c r="B834" s="10" t="s">
        <v>3598</v>
      </c>
      <c r="C834" s="880">
        <f t="shared" si="61"/>
        <v>-57.133299999999998</v>
      </c>
      <c r="D834" s="880">
        <f t="shared" si="62"/>
        <v>5.8833000000000002</v>
      </c>
      <c r="E834" s="10">
        <v>-57.133335000000002</v>
      </c>
      <c r="F834" s="10">
        <v>5.8833330000000004</v>
      </c>
      <c r="G834" s="10">
        <v>-4</v>
      </c>
      <c r="H834" s="10" t="s">
        <v>1733</v>
      </c>
      <c r="I834" s="10" t="s">
        <v>3590</v>
      </c>
      <c r="J834" s="10" t="s">
        <v>3591</v>
      </c>
      <c r="K834" s="10" t="s">
        <v>3592</v>
      </c>
      <c r="L834" s="65" t="str">
        <f t="shared" si="63"/>
        <v>Skeldon|Guyana|-57,133335|5,883333|-4:00 America</v>
      </c>
      <c r="M834" s="10" t="s">
        <v>3599</v>
      </c>
      <c r="N834" s="10">
        <f t="shared" ref="N834:N897" si="65">--ISNUMBER(IFERROR(SEARCH($R$2,J834,1),""))</f>
        <v>0</v>
      </c>
      <c r="O834" t="str">
        <f t="shared" si="64"/>
        <v/>
      </c>
      <c r="P834" t="str">
        <f>IF(O834=1,COUNTIF($O$2:O834,1),"")</f>
        <v/>
      </c>
      <c r="Q834" t="str">
        <f>IFERROR(INDEX($M$2:$M$2388,MATCH(ROWS($P$2:P834),$P$2:$P$2388,0)),"")</f>
        <v/>
      </c>
    </row>
    <row r="835" spans="1:17" ht="15" x14ac:dyDescent="0.25">
      <c r="A835" s="10">
        <v>893</v>
      </c>
      <c r="B835" s="10" t="s">
        <v>3600</v>
      </c>
      <c r="C835" s="880">
        <f t="shared" ref="C835:C898" si="66">TRUNC(E835,4)</f>
        <v>-72.399199999999993</v>
      </c>
      <c r="D835" s="880">
        <f t="shared" ref="D835:D898" si="67">TRUNC(F835,4)</f>
        <v>18.5411</v>
      </c>
      <c r="E835" s="10">
        <v>-72.399215999999996</v>
      </c>
      <c r="F835" s="10">
        <v>18.541139999999999</v>
      </c>
      <c r="G835" s="10">
        <v>-5</v>
      </c>
      <c r="H835" s="10" t="s">
        <v>1873</v>
      </c>
      <c r="I835" s="10" t="s">
        <v>3601</v>
      </c>
      <c r="J835" s="10" t="s">
        <v>3602</v>
      </c>
      <c r="K835" s="10" t="s">
        <v>3603</v>
      </c>
      <c r="L835" s="65" t="str">
        <f t="shared" ref="L835:L898" si="68">MID(M835,1,LEN(M835)-(LEN(K835)-SEARCH("/",K835)+1))</f>
        <v>Carrefour|Haiti|-72,399216|18,541140|-5:00 America</v>
      </c>
      <c r="M835" s="10" t="s">
        <v>3604</v>
      </c>
      <c r="N835" s="10">
        <f t="shared" si="65"/>
        <v>0</v>
      </c>
      <c r="O835" t="str">
        <f t="shared" ref="O835:O898" si="69">IF(N835=0,"",--ISNUMBER(IFERROR(SEARCH($U$2,L835,1),"")))</f>
        <v/>
      </c>
      <c r="P835" t="str">
        <f>IF(O835=1,COUNTIF($O$2:O835,1),"")</f>
        <v/>
      </c>
      <c r="Q835" t="str">
        <f>IFERROR(INDEX($M$2:$M$2388,MATCH(ROWS($P$2:P835),$P$2:$P$2388,0)),"")</f>
        <v/>
      </c>
    </row>
    <row r="836" spans="1:17" ht="15" x14ac:dyDescent="0.25">
      <c r="A836" s="10">
        <v>892</v>
      </c>
      <c r="B836" s="10" t="s">
        <v>3605</v>
      </c>
      <c r="C836" s="880">
        <f t="shared" si="66"/>
        <v>-72.302700000000002</v>
      </c>
      <c r="D836" s="880">
        <f t="shared" si="67"/>
        <v>18.544699999999999</v>
      </c>
      <c r="E836" s="10">
        <v>-72.302779999999998</v>
      </c>
      <c r="F836" s="10">
        <v>18.544722</v>
      </c>
      <c r="G836" s="10">
        <v>-5</v>
      </c>
      <c r="H836" s="10" t="s">
        <v>1873</v>
      </c>
      <c r="I836" s="10" t="s">
        <v>3601</v>
      </c>
      <c r="J836" s="10" t="s">
        <v>3602</v>
      </c>
      <c r="K836" s="10" t="s">
        <v>3603</v>
      </c>
      <c r="L836" s="65" t="str">
        <f t="shared" si="68"/>
        <v>Delmas 73|Haiti|-72,302780|18,544722|-5:00 America</v>
      </c>
      <c r="M836" s="10" t="s">
        <v>3606</v>
      </c>
      <c r="N836" s="10">
        <f t="shared" si="65"/>
        <v>0</v>
      </c>
      <c r="O836" t="str">
        <f t="shared" si="69"/>
        <v/>
      </c>
      <c r="P836" t="str">
        <f>IF(O836=1,COUNTIF($O$2:O836,1),"")</f>
        <v/>
      </c>
      <c r="Q836" t="str">
        <f>IFERROR(INDEX($M$2:$M$2388,MATCH(ROWS($P$2:P836),$P$2:$P$2388,0)),"")</f>
        <v/>
      </c>
    </row>
    <row r="837" spans="1:17" ht="15" x14ac:dyDescent="0.25">
      <c r="A837" s="10">
        <v>891</v>
      </c>
      <c r="B837" s="10" t="s">
        <v>3607</v>
      </c>
      <c r="C837" s="880">
        <f t="shared" si="66"/>
        <v>-72.334900000000005</v>
      </c>
      <c r="D837" s="880">
        <f t="shared" si="67"/>
        <v>18.539100000000001</v>
      </c>
      <c r="E837" s="10">
        <v>-72.334998999999996</v>
      </c>
      <c r="F837" s="10">
        <v>18.539166999999999</v>
      </c>
      <c r="G837" s="10">
        <v>-5</v>
      </c>
      <c r="H837" s="10" t="s">
        <v>1873</v>
      </c>
      <c r="I837" s="10" t="s">
        <v>3601</v>
      </c>
      <c r="J837" s="10" t="s">
        <v>3602</v>
      </c>
      <c r="K837" s="10" t="s">
        <v>3603</v>
      </c>
      <c r="L837" s="65" t="str">
        <f t="shared" si="68"/>
        <v>Port-au-Prince|Haiti|-72,334999|18,539167|-5:00 America</v>
      </c>
      <c r="M837" s="10" t="s">
        <v>3608</v>
      </c>
      <c r="N837" s="10">
        <f t="shared" si="65"/>
        <v>0</v>
      </c>
      <c r="O837" t="str">
        <f t="shared" si="69"/>
        <v/>
      </c>
      <c r="P837" t="str">
        <f>IF(O837=1,COUNTIF($O$2:O837,1),"")</f>
        <v/>
      </c>
      <c r="Q837" t="str">
        <f>IFERROR(INDEX($M$2:$M$2388,MATCH(ROWS($P$2:P837),$P$2:$P$2388,0)),"")</f>
        <v/>
      </c>
    </row>
    <row r="838" spans="1:17" ht="15" x14ac:dyDescent="0.25">
      <c r="A838" s="10">
        <v>890</v>
      </c>
      <c r="B838" s="10" t="s">
        <v>3609</v>
      </c>
      <c r="C838" s="880">
        <f t="shared" si="66"/>
        <v>-72.1999</v>
      </c>
      <c r="D838" s="880">
        <f t="shared" si="67"/>
        <v>19.433299999999999</v>
      </c>
      <c r="E838" s="10">
        <v>-72.199996999999996</v>
      </c>
      <c r="F838" s="10">
        <v>19.433332</v>
      </c>
      <c r="G838" s="10">
        <v>-5</v>
      </c>
      <c r="H838" s="10" t="s">
        <v>1873</v>
      </c>
      <c r="I838" s="10" t="s">
        <v>3601</v>
      </c>
      <c r="J838" s="10" t="s">
        <v>3602</v>
      </c>
      <c r="K838" s="10" t="s">
        <v>3603</v>
      </c>
      <c r="L838" s="65" t="str">
        <f t="shared" si="68"/>
        <v>Saint-Raphael|Haiti|-72,199997|19,433332|-5:00 America</v>
      </c>
      <c r="M838" s="10" t="s">
        <v>3610</v>
      </c>
      <c r="N838" s="10">
        <f t="shared" si="65"/>
        <v>0</v>
      </c>
      <c r="O838" t="str">
        <f t="shared" si="69"/>
        <v/>
      </c>
      <c r="P838" t="str">
        <f>IF(O838=1,COUNTIF($O$2:O838,1),"")</f>
        <v/>
      </c>
      <c r="Q838" t="str">
        <f>IFERROR(INDEX($M$2:$M$2388,MATCH(ROWS($P$2:P838),$P$2:$P$2388,0)),"")</f>
        <v/>
      </c>
    </row>
    <row r="839" spans="1:17" ht="15" x14ac:dyDescent="0.25">
      <c r="A839" s="10">
        <v>889</v>
      </c>
      <c r="B839" s="10" t="s">
        <v>3611</v>
      </c>
      <c r="C839" s="880">
        <f t="shared" si="66"/>
        <v>-72.016599999999997</v>
      </c>
      <c r="D839" s="880">
        <f t="shared" si="67"/>
        <v>19.633299999999998</v>
      </c>
      <c r="E839" s="10">
        <v>-72.016670000000005</v>
      </c>
      <c r="F839" s="10">
        <v>19.633333</v>
      </c>
      <c r="G839" s="10">
        <v>-5</v>
      </c>
      <c r="H839" s="10" t="s">
        <v>1873</v>
      </c>
      <c r="I839" s="10" t="s">
        <v>3601</v>
      </c>
      <c r="J839" s="10" t="s">
        <v>3602</v>
      </c>
      <c r="K839" s="10" t="s">
        <v>3603</v>
      </c>
      <c r="L839" s="65" t="str">
        <f t="shared" si="68"/>
        <v>Trou du Nord|Haiti|-72,016670|19,633333|-5:00 America</v>
      </c>
      <c r="M839" s="10" t="s">
        <v>3612</v>
      </c>
      <c r="N839" s="10">
        <f t="shared" si="65"/>
        <v>0</v>
      </c>
      <c r="O839" t="str">
        <f t="shared" si="69"/>
        <v/>
      </c>
      <c r="P839" t="str">
        <f>IF(O839=1,COUNTIF($O$2:O839,1),"")</f>
        <v/>
      </c>
      <c r="Q839" t="str">
        <f>IFERROR(INDEX($M$2:$M$2388,MATCH(ROWS($P$2:P839),$P$2:$P$2388,0)),"")</f>
        <v/>
      </c>
    </row>
    <row r="840" spans="1:17" ht="15" x14ac:dyDescent="0.25">
      <c r="A840" s="10">
        <v>888</v>
      </c>
      <c r="B840" s="10" t="s">
        <v>3613</v>
      </c>
      <c r="C840" s="880">
        <f t="shared" si="66"/>
        <v>-72.4666</v>
      </c>
      <c r="D840" s="880">
        <f t="shared" si="67"/>
        <v>19.049900000000001</v>
      </c>
      <c r="E840" s="10">
        <v>-72.466667000000001</v>
      </c>
      <c r="F840" s="10">
        <v>19.049999</v>
      </c>
      <c r="G840" s="10">
        <v>-5</v>
      </c>
      <c r="H840" s="10" t="s">
        <v>1873</v>
      </c>
      <c r="I840" s="10" t="s">
        <v>3601</v>
      </c>
      <c r="J840" s="10" t="s">
        <v>3602</v>
      </c>
      <c r="K840" s="10" t="s">
        <v>3603</v>
      </c>
      <c r="L840" s="65" t="str">
        <f t="shared" si="68"/>
        <v>Verrettes|Haiti|-72,466667|19,049999|-5:00 America</v>
      </c>
      <c r="M840" s="10" t="s">
        <v>3614</v>
      </c>
      <c r="N840" s="10">
        <f t="shared" si="65"/>
        <v>0</v>
      </c>
      <c r="O840" t="str">
        <f t="shared" si="69"/>
        <v/>
      </c>
      <c r="P840" t="str">
        <f>IF(O840=1,COUNTIF($O$2:O840,1),"")</f>
        <v/>
      </c>
      <c r="Q840" t="str">
        <f>IFERROR(INDEX($M$2:$M$2388,MATCH(ROWS($P$2:P840),$P$2:$P$2388,0)),"")</f>
        <v/>
      </c>
    </row>
    <row r="841" spans="1:17" ht="15" x14ac:dyDescent="0.25">
      <c r="A841" s="10">
        <v>879</v>
      </c>
      <c r="B841" s="10" t="s">
        <v>3615</v>
      </c>
      <c r="C841" s="880">
        <f t="shared" si="66"/>
        <v>-87.9499</v>
      </c>
      <c r="D841" s="880">
        <f t="shared" si="67"/>
        <v>15.833299999999999</v>
      </c>
      <c r="E841" s="10">
        <v>-87.949996999999996</v>
      </c>
      <c r="F841" s="10">
        <v>15.833333</v>
      </c>
      <c r="G841" s="10">
        <v>-6</v>
      </c>
      <c r="H841" s="10" t="s">
        <v>1975</v>
      </c>
      <c r="I841" s="10" t="s">
        <v>3616</v>
      </c>
      <c r="J841" s="10" t="s">
        <v>3617</v>
      </c>
      <c r="K841" s="10" t="s">
        <v>3618</v>
      </c>
      <c r="L841" s="65" t="str">
        <f t="shared" si="68"/>
        <v>Puerto Cortez|Honduras|-87,949997|15,833333|-6:00 America</v>
      </c>
      <c r="M841" s="10" t="s">
        <v>3619</v>
      </c>
      <c r="N841" s="10">
        <f t="shared" si="65"/>
        <v>0</v>
      </c>
      <c r="O841" t="str">
        <f t="shared" si="69"/>
        <v/>
      </c>
      <c r="P841" t="str">
        <f>IF(O841=1,COUNTIF($O$2:O841,1),"")</f>
        <v/>
      </c>
      <c r="Q841" t="str">
        <f>IFERROR(INDEX($M$2:$M$2388,MATCH(ROWS($P$2:P841),$P$2:$P$2388,0)),"")</f>
        <v/>
      </c>
    </row>
    <row r="842" spans="1:17" ht="15" x14ac:dyDescent="0.25">
      <c r="A842" s="10">
        <v>883</v>
      </c>
      <c r="B842" s="10" t="s">
        <v>3620</v>
      </c>
      <c r="C842" s="880">
        <f t="shared" si="66"/>
        <v>-88.033299999999997</v>
      </c>
      <c r="D842" s="880">
        <f t="shared" si="67"/>
        <v>15.5</v>
      </c>
      <c r="E842" s="10">
        <v>-88.033332999999999</v>
      </c>
      <c r="F842" s="10">
        <v>15.5</v>
      </c>
      <c r="G842" s="10">
        <v>-6</v>
      </c>
      <c r="H842" s="10" t="s">
        <v>1975</v>
      </c>
      <c r="I842" s="10" t="s">
        <v>3616</v>
      </c>
      <c r="J842" s="10" t="s">
        <v>3617</v>
      </c>
      <c r="K842" s="10" t="s">
        <v>3618</v>
      </c>
      <c r="L842" s="65" t="str">
        <f t="shared" si="68"/>
        <v>San Pedro Sula|Honduras|-88,033333|15,500000|-6:00 America</v>
      </c>
      <c r="M842" s="10" t="s">
        <v>3621</v>
      </c>
      <c r="N842" s="10">
        <f t="shared" si="65"/>
        <v>0</v>
      </c>
      <c r="O842" t="str">
        <f t="shared" si="69"/>
        <v/>
      </c>
      <c r="P842" t="str">
        <f>IF(O842=1,COUNTIF($O$2:O842,1),"")</f>
        <v/>
      </c>
      <c r="Q842" t="str">
        <f>IFERROR(INDEX($M$2:$M$2388,MATCH(ROWS($P$2:P842),$P$2:$P$2388,0)),"")</f>
        <v/>
      </c>
    </row>
    <row r="843" spans="1:17" ht="15" x14ac:dyDescent="0.25">
      <c r="A843" s="10">
        <v>882</v>
      </c>
      <c r="B843" s="10" t="s">
        <v>3622</v>
      </c>
      <c r="C843" s="880">
        <f t="shared" si="66"/>
        <v>-87.2166</v>
      </c>
      <c r="D843" s="880">
        <f t="shared" si="67"/>
        <v>14.1</v>
      </c>
      <c r="E843" s="10">
        <v>-87.216667000000001</v>
      </c>
      <c r="F843" s="10">
        <v>14.1</v>
      </c>
      <c r="G843" s="10">
        <v>-6</v>
      </c>
      <c r="H843" s="10" t="s">
        <v>1975</v>
      </c>
      <c r="I843" s="10" t="s">
        <v>3616</v>
      </c>
      <c r="J843" s="10" t="s">
        <v>3617</v>
      </c>
      <c r="K843" s="10" t="s">
        <v>3618</v>
      </c>
      <c r="L843" s="65" t="str">
        <f t="shared" si="68"/>
        <v>Tegucigalpa|Honduras|-87,216667|14,100000|-6:00 America</v>
      </c>
      <c r="M843" s="10" t="s">
        <v>3623</v>
      </c>
      <c r="N843" s="10">
        <f t="shared" si="65"/>
        <v>0</v>
      </c>
      <c r="O843" t="str">
        <f t="shared" si="69"/>
        <v/>
      </c>
      <c r="P843" t="str">
        <f>IF(O843=1,COUNTIF($O$2:O843,1),"")</f>
        <v/>
      </c>
      <c r="Q843" t="str">
        <f>IFERROR(INDEX($M$2:$M$2388,MATCH(ROWS($P$2:P843),$P$2:$P$2388,0)),"")</f>
        <v/>
      </c>
    </row>
    <row r="844" spans="1:17" ht="15" x14ac:dyDescent="0.25">
      <c r="A844" s="10">
        <v>881</v>
      </c>
      <c r="B844" s="10" t="s">
        <v>3624</v>
      </c>
      <c r="C844" s="880">
        <f t="shared" si="66"/>
        <v>-88</v>
      </c>
      <c r="D844" s="880">
        <f t="shared" si="67"/>
        <v>15.316599999999999</v>
      </c>
      <c r="E844" s="10">
        <v>-88</v>
      </c>
      <c r="F844" s="10">
        <v>15.316667000000001</v>
      </c>
      <c r="G844" s="10">
        <v>-6</v>
      </c>
      <c r="H844" s="10" t="s">
        <v>1975</v>
      </c>
      <c r="I844" s="10" t="s">
        <v>3616</v>
      </c>
      <c r="J844" s="10" t="s">
        <v>3617</v>
      </c>
      <c r="K844" s="10" t="s">
        <v>3618</v>
      </c>
      <c r="L844" s="65" t="str">
        <f t="shared" si="68"/>
        <v>Villanueva|Honduras|-88,000000|15,316667|-6:00 America</v>
      </c>
      <c r="M844" s="10" t="s">
        <v>3625</v>
      </c>
      <c r="N844" s="10">
        <f t="shared" si="65"/>
        <v>0</v>
      </c>
      <c r="O844" t="str">
        <f t="shared" si="69"/>
        <v/>
      </c>
      <c r="P844" t="str">
        <f>IF(O844=1,COUNTIF($O$2:O844,1),"")</f>
        <v/>
      </c>
      <c r="Q844" t="str">
        <f>IFERROR(INDEX($M$2:$M$2388,MATCH(ROWS($P$2:P844),$P$2:$P$2388,0)),"")</f>
        <v/>
      </c>
    </row>
    <row r="845" spans="1:17" ht="15" x14ac:dyDescent="0.25">
      <c r="A845" s="10">
        <v>880</v>
      </c>
      <c r="B845" s="10" t="s">
        <v>3626</v>
      </c>
      <c r="C845" s="880">
        <f t="shared" si="66"/>
        <v>-87.133300000000006</v>
      </c>
      <c r="D845" s="880">
        <f t="shared" si="67"/>
        <v>15.1333</v>
      </c>
      <c r="E845" s="10">
        <v>-87.133330999999998</v>
      </c>
      <c r="F845" s="10">
        <v>15.133333</v>
      </c>
      <c r="G845" s="10">
        <v>-6</v>
      </c>
      <c r="H845" s="10" t="s">
        <v>1975</v>
      </c>
      <c r="I845" s="10" t="s">
        <v>3616</v>
      </c>
      <c r="J845" s="10" t="s">
        <v>3617</v>
      </c>
      <c r="K845" s="10" t="s">
        <v>3618</v>
      </c>
      <c r="L845" s="65" t="str">
        <f t="shared" si="68"/>
        <v>Yoro|Honduras|-87,133331|15,133333|-6:00 America</v>
      </c>
      <c r="M845" s="10" t="s">
        <v>3627</v>
      </c>
      <c r="N845" s="10">
        <f t="shared" si="65"/>
        <v>0</v>
      </c>
      <c r="O845" t="str">
        <f t="shared" si="69"/>
        <v/>
      </c>
      <c r="P845" t="str">
        <f>IF(O845=1,COUNTIF($O$2:O845,1),"")</f>
        <v/>
      </c>
      <c r="Q845" t="str">
        <f>IFERROR(INDEX($M$2:$M$2388,MATCH(ROWS($P$2:P845),$P$2:$P$2388,0)),"")</f>
        <v/>
      </c>
    </row>
    <row r="846" spans="1:17" ht="15" x14ac:dyDescent="0.25">
      <c r="A846" s="10">
        <v>878</v>
      </c>
      <c r="B846" s="10" t="s">
        <v>3628</v>
      </c>
      <c r="C846" s="880">
        <f t="shared" si="66"/>
        <v>114.15</v>
      </c>
      <c r="D846" s="880">
        <f t="shared" si="67"/>
        <v>22.283999999999999</v>
      </c>
      <c r="E846" s="10">
        <v>114.15007</v>
      </c>
      <c r="F846" s="10">
        <v>22.284013999999999</v>
      </c>
      <c r="G846" s="10">
        <v>8</v>
      </c>
      <c r="H846" s="10" t="s">
        <v>1831</v>
      </c>
      <c r="I846" s="10" t="s">
        <v>3629</v>
      </c>
      <c r="J846" s="10" t="s">
        <v>3628</v>
      </c>
      <c r="K846" s="10" t="s">
        <v>3630</v>
      </c>
      <c r="L846" s="65" t="str">
        <f t="shared" si="68"/>
        <v>Hong Kong|Hong Kong|114,150070|22,284014|+8:00 Asia</v>
      </c>
      <c r="M846" s="10" t="s">
        <v>3631</v>
      </c>
      <c r="N846" s="10">
        <f t="shared" si="65"/>
        <v>0</v>
      </c>
      <c r="O846" t="str">
        <f t="shared" si="69"/>
        <v/>
      </c>
      <c r="P846" t="str">
        <f>IF(O846=1,COUNTIF($O$2:O846,1),"")</f>
        <v/>
      </c>
      <c r="Q846" t="str">
        <f>IFERROR(INDEX($M$2:$M$2388,MATCH(ROWS($P$2:P846),$P$2:$P$2388,0)),"")</f>
        <v/>
      </c>
    </row>
    <row r="847" spans="1:17" ht="15" x14ac:dyDescent="0.25">
      <c r="A847" s="10">
        <v>877</v>
      </c>
      <c r="B847" s="10" t="s">
        <v>3632</v>
      </c>
      <c r="C847" s="880">
        <f t="shared" si="66"/>
        <v>114.1833</v>
      </c>
      <c r="D847" s="880">
        <f t="shared" si="67"/>
        <v>22.316600000000001</v>
      </c>
      <c r="E847" s="10">
        <v>114.183334</v>
      </c>
      <c r="F847" s="10">
        <v>22.316668</v>
      </c>
      <c r="G847" s="10">
        <v>8</v>
      </c>
      <c r="H847" s="10" t="s">
        <v>1831</v>
      </c>
      <c r="I847" s="10" t="s">
        <v>3629</v>
      </c>
      <c r="J847" s="10" t="s">
        <v>3628</v>
      </c>
      <c r="K847" s="10" t="s">
        <v>3630</v>
      </c>
      <c r="L847" s="65" t="str">
        <f t="shared" si="68"/>
        <v>Kowloon|Hong Kong|114,183334|22,316668|+8:00 Asia</v>
      </c>
      <c r="M847" s="10" t="s">
        <v>3633</v>
      </c>
      <c r="N847" s="10">
        <f t="shared" si="65"/>
        <v>0</v>
      </c>
      <c r="O847" t="str">
        <f t="shared" si="69"/>
        <v/>
      </c>
      <c r="P847" t="str">
        <f>IF(O847=1,COUNTIF($O$2:O847,1),"")</f>
        <v/>
      </c>
      <c r="Q847" t="str">
        <f>IFERROR(INDEX($M$2:$M$2388,MATCH(ROWS($P$2:P847),$P$2:$P$2388,0)),"")</f>
        <v/>
      </c>
    </row>
    <row r="848" spans="1:17" ht="15" x14ac:dyDescent="0.25">
      <c r="A848" s="10">
        <v>898</v>
      </c>
      <c r="B848" s="10" t="s">
        <v>3634</v>
      </c>
      <c r="C848" s="880">
        <f t="shared" si="66"/>
        <v>19.083300000000001</v>
      </c>
      <c r="D848" s="880">
        <f t="shared" si="67"/>
        <v>47.5</v>
      </c>
      <c r="E848" s="10">
        <v>19.083334000000001</v>
      </c>
      <c r="F848" s="10">
        <v>47.5</v>
      </c>
      <c r="G848" s="10">
        <v>1</v>
      </c>
      <c r="H848" s="10" t="s">
        <v>1670</v>
      </c>
      <c r="I848" s="10" t="s">
        <v>3635</v>
      </c>
      <c r="J848" s="10" t="s">
        <v>3636</v>
      </c>
      <c r="K848" s="10" t="s">
        <v>3637</v>
      </c>
      <c r="L848" s="65" t="str">
        <f t="shared" si="68"/>
        <v>Budapest|Hungary|19,083334|47,500000|+1:00 Europe</v>
      </c>
      <c r="M848" s="10" t="s">
        <v>3638</v>
      </c>
      <c r="N848" s="10">
        <f t="shared" si="65"/>
        <v>0</v>
      </c>
      <c r="O848" t="str">
        <f t="shared" si="69"/>
        <v/>
      </c>
      <c r="P848" t="str">
        <f>IF(O848=1,COUNTIF($O$2:O848,1),"")</f>
        <v/>
      </c>
      <c r="Q848" t="str">
        <f>IFERROR(INDEX($M$2:$M$2388,MATCH(ROWS($P$2:P848),$P$2:$P$2388,0)),"")</f>
        <v/>
      </c>
    </row>
    <row r="849" spans="1:17" ht="15" x14ac:dyDescent="0.25">
      <c r="A849" s="10">
        <v>897</v>
      </c>
      <c r="B849" s="10" t="s">
        <v>3639</v>
      </c>
      <c r="C849" s="880">
        <f t="shared" si="66"/>
        <v>21.633299999999998</v>
      </c>
      <c r="D849" s="880">
        <f t="shared" si="67"/>
        <v>47.533299999999997</v>
      </c>
      <c r="E849" s="10">
        <v>21.633333</v>
      </c>
      <c r="F849" s="10">
        <v>47.533332999999999</v>
      </c>
      <c r="G849" s="10">
        <v>1</v>
      </c>
      <c r="H849" s="10" t="s">
        <v>1670</v>
      </c>
      <c r="I849" s="10" t="s">
        <v>3635</v>
      </c>
      <c r="J849" s="10" t="s">
        <v>3636</v>
      </c>
      <c r="K849" s="10" t="s">
        <v>3637</v>
      </c>
      <c r="L849" s="65" t="str">
        <f t="shared" si="68"/>
        <v>Debrecen|Hungary|21,633333|47,533333|+1:00 Europe</v>
      </c>
      <c r="M849" s="10" t="s">
        <v>3640</v>
      </c>
      <c r="N849" s="10">
        <f t="shared" si="65"/>
        <v>0</v>
      </c>
      <c r="O849" t="str">
        <f t="shared" si="69"/>
        <v/>
      </c>
      <c r="P849" t="str">
        <f>IF(O849=1,COUNTIF($O$2:O849,1),"")</f>
        <v/>
      </c>
      <c r="Q849" t="str">
        <f>IFERROR(INDEX($M$2:$M$2388,MATCH(ROWS($P$2:P849),$P$2:$P$2388,0)),"")</f>
        <v/>
      </c>
    </row>
    <row r="850" spans="1:17" ht="15" x14ac:dyDescent="0.25">
      <c r="A850" s="10">
        <v>896</v>
      </c>
      <c r="B850" s="10" t="s">
        <v>3641</v>
      </c>
      <c r="C850" s="880">
        <f t="shared" si="66"/>
        <v>21.9</v>
      </c>
      <c r="D850" s="880">
        <f t="shared" si="67"/>
        <v>47.533299999999997</v>
      </c>
      <c r="E850" s="10">
        <v>21.9</v>
      </c>
      <c r="F850" s="10">
        <v>47.533332999999999</v>
      </c>
      <c r="G850" s="10">
        <v>1</v>
      </c>
      <c r="H850" s="10" t="s">
        <v>1670</v>
      </c>
      <c r="I850" s="10" t="s">
        <v>3635</v>
      </c>
      <c r="J850" s="10" t="s">
        <v>3636</v>
      </c>
      <c r="K850" s="10" t="s">
        <v>3637</v>
      </c>
      <c r="L850" s="65" t="str">
        <f t="shared" si="68"/>
        <v>Vamospercs|Hungary|21,900000|47,533333|+1:00 Europe</v>
      </c>
      <c r="M850" s="10" t="s">
        <v>3642</v>
      </c>
      <c r="N850" s="10">
        <f t="shared" si="65"/>
        <v>0</v>
      </c>
      <c r="O850" t="str">
        <f t="shared" si="69"/>
        <v/>
      </c>
      <c r="P850" t="str">
        <f>IF(O850=1,COUNTIF($O$2:O850,1),"")</f>
        <v/>
      </c>
      <c r="Q850" t="str">
        <f>IFERROR(INDEX($M$2:$M$2388,MATCH(ROWS($P$2:P850),$P$2:$P$2388,0)),"")</f>
        <v/>
      </c>
    </row>
    <row r="851" spans="1:17" ht="15" x14ac:dyDescent="0.25">
      <c r="A851" s="10">
        <v>895</v>
      </c>
      <c r="B851" s="10" t="s">
        <v>3643</v>
      </c>
      <c r="C851" s="880">
        <f t="shared" si="66"/>
        <v>22.316600000000001</v>
      </c>
      <c r="D851" s="880">
        <f t="shared" si="67"/>
        <v>48.133299999999998</v>
      </c>
      <c r="E851" s="10">
        <v>22.316668</v>
      </c>
      <c r="F851" s="10">
        <v>48.133335000000002</v>
      </c>
      <c r="G851" s="10">
        <v>1</v>
      </c>
      <c r="H851" s="10" t="s">
        <v>1670</v>
      </c>
      <c r="I851" s="10" t="s">
        <v>3635</v>
      </c>
      <c r="J851" s="10" t="s">
        <v>3636</v>
      </c>
      <c r="K851" s="10" t="s">
        <v>3637</v>
      </c>
      <c r="L851" s="65" t="str">
        <f t="shared" si="68"/>
        <v>Vasarosnameny|Hungary|22,316668|48,133335|+1:00 Europe</v>
      </c>
      <c r="M851" s="10" t="s">
        <v>3644</v>
      </c>
      <c r="N851" s="10">
        <f t="shared" si="65"/>
        <v>0</v>
      </c>
      <c r="O851" t="str">
        <f t="shared" si="69"/>
        <v/>
      </c>
      <c r="P851" t="str">
        <f>IF(O851=1,COUNTIF($O$2:O851,1),"")</f>
        <v/>
      </c>
      <c r="Q851" t="str">
        <f>IFERROR(INDEX($M$2:$M$2388,MATCH(ROWS($P$2:P851),$P$2:$P$2388,0)),"")</f>
        <v/>
      </c>
    </row>
    <row r="852" spans="1:17" ht="15" x14ac:dyDescent="0.25">
      <c r="A852" s="10">
        <v>894</v>
      </c>
      <c r="B852" s="10" t="s">
        <v>3645</v>
      </c>
      <c r="C852" s="880">
        <f t="shared" si="66"/>
        <v>21.2666</v>
      </c>
      <c r="D852" s="880">
        <f t="shared" si="67"/>
        <v>46.916600000000003</v>
      </c>
      <c r="E852" s="10">
        <v>21.266666000000001</v>
      </c>
      <c r="F852" s="10">
        <v>46.916668000000001</v>
      </c>
      <c r="G852" s="10">
        <v>1</v>
      </c>
      <c r="H852" s="10" t="s">
        <v>1670</v>
      </c>
      <c r="I852" s="10" t="s">
        <v>3635</v>
      </c>
      <c r="J852" s="10" t="s">
        <v>3636</v>
      </c>
      <c r="K852" s="10" t="s">
        <v>3637</v>
      </c>
      <c r="L852" s="65" t="str">
        <f t="shared" si="68"/>
        <v>Veszto|Hungary|21,266666|46,916668|+1:00 Europe</v>
      </c>
      <c r="M852" s="10" t="s">
        <v>3646</v>
      </c>
      <c r="N852" s="10">
        <f t="shared" si="65"/>
        <v>0</v>
      </c>
      <c r="O852" t="str">
        <f t="shared" si="69"/>
        <v/>
      </c>
      <c r="P852" t="str">
        <f>IF(O852=1,COUNTIF($O$2:O852,1),"")</f>
        <v/>
      </c>
      <c r="Q852" t="str">
        <f>IFERROR(INDEX($M$2:$M$2388,MATCH(ROWS($P$2:P852),$P$2:$P$2388,0)),"")</f>
        <v/>
      </c>
    </row>
    <row r="853" spans="1:17" ht="15" x14ac:dyDescent="0.25">
      <c r="A853" s="10">
        <v>1200</v>
      </c>
      <c r="B853" s="10" t="s">
        <v>3647</v>
      </c>
      <c r="C853" s="880">
        <f t="shared" si="66"/>
        <v>-18.100000000000001</v>
      </c>
      <c r="D853" s="880">
        <f t="shared" si="67"/>
        <v>65.666600000000003</v>
      </c>
      <c r="E853" s="10">
        <v>-18.100000000000001</v>
      </c>
      <c r="F853" s="10">
        <v>65.666663999999997</v>
      </c>
      <c r="G853" s="10">
        <v>0</v>
      </c>
      <c r="H853" s="10" t="s">
        <v>2318</v>
      </c>
      <c r="I853" s="10" t="s">
        <v>3648</v>
      </c>
      <c r="J853" s="10" t="s">
        <v>3649</v>
      </c>
      <c r="K853" s="10" t="s">
        <v>3650</v>
      </c>
      <c r="L853" s="65" t="str">
        <f t="shared" si="68"/>
        <v>Akureyri|Iceland|-18,100000|65,666664|+0:00 Atlantic</v>
      </c>
      <c r="M853" s="10" t="s">
        <v>3651</v>
      </c>
      <c r="N853" s="10">
        <f t="shared" si="65"/>
        <v>0</v>
      </c>
      <c r="O853" t="str">
        <f t="shared" si="69"/>
        <v/>
      </c>
      <c r="P853" t="str">
        <f>IF(O853=1,COUNTIF($O$2:O853,1),"")</f>
        <v/>
      </c>
      <c r="Q853" t="str">
        <f>IFERROR(INDEX($M$2:$M$2388,MATCH(ROWS($P$2:P853),$P$2:$P$2388,0)),"")</f>
        <v/>
      </c>
    </row>
    <row r="854" spans="1:17" ht="15" x14ac:dyDescent="0.25">
      <c r="A854" s="10">
        <v>1202</v>
      </c>
      <c r="B854" s="10" t="s">
        <v>3652</v>
      </c>
      <c r="C854" s="880">
        <f t="shared" si="66"/>
        <v>-21.95</v>
      </c>
      <c r="D854" s="880">
        <f t="shared" si="67"/>
        <v>64.150000000000006</v>
      </c>
      <c r="E854" s="10">
        <v>-21.950001</v>
      </c>
      <c r="F854" s="10">
        <v>64.150002000000001</v>
      </c>
      <c r="G854" s="10">
        <v>0</v>
      </c>
      <c r="H854" s="10" t="s">
        <v>2318</v>
      </c>
      <c r="I854" s="10" t="s">
        <v>3648</v>
      </c>
      <c r="J854" s="10" t="s">
        <v>3649</v>
      </c>
      <c r="K854" s="10" t="s">
        <v>3650</v>
      </c>
      <c r="L854" s="65" t="str">
        <f t="shared" si="68"/>
        <v>Reykjavik|Iceland|-21,950001|64,150002|+0:00 Atlantic</v>
      </c>
      <c r="M854" s="10" t="s">
        <v>3653</v>
      </c>
      <c r="N854" s="10">
        <f t="shared" si="65"/>
        <v>0</v>
      </c>
      <c r="O854" t="str">
        <f t="shared" si="69"/>
        <v/>
      </c>
      <c r="P854" t="str">
        <f>IF(O854=1,COUNTIF($O$2:O854,1),"")</f>
        <v/>
      </c>
      <c r="Q854" t="str">
        <f>IFERROR(INDEX($M$2:$M$2388,MATCH(ROWS($P$2:P854),$P$2:$P$2388,0)),"")</f>
        <v/>
      </c>
    </row>
    <row r="855" spans="1:17" ht="15" x14ac:dyDescent="0.25">
      <c r="A855" s="10">
        <v>1201</v>
      </c>
      <c r="B855" s="10" t="s">
        <v>3654</v>
      </c>
      <c r="C855" s="880">
        <f t="shared" si="66"/>
        <v>-21</v>
      </c>
      <c r="D855" s="880">
        <f t="shared" si="67"/>
        <v>63.933300000000003</v>
      </c>
      <c r="E855" s="10">
        <v>-21</v>
      </c>
      <c r="F855" s="10">
        <v>63.933334000000002</v>
      </c>
      <c r="G855" s="10">
        <v>0</v>
      </c>
      <c r="H855" s="10" t="s">
        <v>2318</v>
      </c>
      <c r="I855" s="10" t="s">
        <v>3648</v>
      </c>
      <c r="J855" s="10" t="s">
        <v>3649</v>
      </c>
      <c r="K855" s="10" t="s">
        <v>3650</v>
      </c>
      <c r="L855" s="65" t="str">
        <f t="shared" si="68"/>
        <v>Selfoss|Iceland|-21,000000|63,933334|+0:00 Atlantic</v>
      </c>
      <c r="M855" s="10" t="s">
        <v>3655</v>
      </c>
      <c r="N855" s="10">
        <f t="shared" si="65"/>
        <v>0</v>
      </c>
      <c r="O855" t="str">
        <f t="shared" si="69"/>
        <v/>
      </c>
      <c r="P855" t="str">
        <f>IF(O855=1,COUNTIF($O$2:O855,1),"")</f>
        <v/>
      </c>
      <c r="Q855" t="str">
        <f>IFERROR(INDEX($M$2:$M$2388,MATCH(ROWS($P$2:P855),$P$2:$P$2388,0)),"")</f>
        <v/>
      </c>
    </row>
    <row r="856" spans="1:17" ht="15" x14ac:dyDescent="0.25">
      <c r="A856" s="10">
        <v>1142</v>
      </c>
      <c r="B856" s="10" t="s">
        <v>3656</v>
      </c>
      <c r="C856" s="880">
        <f t="shared" si="66"/>
        <v>91.275000000000006</v>
      </c>
      <c r="D856" s="880">
        <f t="shared" si="67"/>
        <v>23.836300000000001</v>
      </c>
      <c r="E856" s="10">
        <v>91.275002000000001</v>
      </c>
      <c r="F856" s="10">
        <v>23.836390000000002</v>
      </c>
      <c r="G856" s="10">
        <v>5.5</v>
      </c>
      <c r="H856" s="10" t="s">
        <v>3657</v>
      </c>
      <c r="I856" s="10" t="s">
        <v>3658</v>
      </c>
      <c r="J856" s="10" t="s">
        <v>3659</v>
      </c>
      <c r="K856" s="10" t="s">
        <v>3660</v>
      </c>
      <c r="L856" s="65" t="str">
        <f t="shared" si="68"/>
        <v>Agartala|India|91,275002|23,836390|+5:30 Asia</v>
      </c>
      <c r="M856" s="10" t="s">
        <v>3661</v>
      </c>
      <c r="N856" s="10">
        <f t="shared" si="65"/>
        <v>0</v>
      </c>
      <c r="O856" t="str">
        <f t="shared" si="69"/>
        <v/>
      </c>
      <c r="P856" t="str">
        <f>IF(O856=1,COUNTIF($O$2:O856,1),"")</f>
        <v/>
      </c>
      <c r="Q856" t="str">
        <f>IFERROR(INDEX($M$2:$M$2388,MATCH(ROWS($P$2:P856),$P$2:$P$2388,0)),"")</f>
        <v/>
      </c>
    </row>
    <row r="857" spans="1:17" ht="15" x14ac:dyDescent="0.25">
      <c r="A857" s="10">
        <v>1141</v>
      </c>
      <c r="B857" s="10" t="s">
        <v>3662</v>
      </c>
      <c r="C857" s="880">
        <f t="shared" si="66"/>
        <v>78.016599999999997</v>
      </c>
      <c r="D857" s="880">
        <f t="shared" si="67"/>
        <v>27.183299999999999</v>
      </c>
      <c r="E857" s="10">
        <v>78.016670000000005</v>
      </c>
      <c r="F857" s="10">
        <v>27.183332</v>
      </c>
      <c r="G857" s="10">
        <v>5.5</v>
      </c>
      <c r="H857" s="10" t="s">
        <v>3657</v>
      </c>
      <c r="I857" s="10" t="s">
        <v>3658</v>
      </c>
      <c r="J857" s="10" t="s">
        <v>3659</v>
      </c>
      <c r="K857" s="10" t="s">
        <v>3660</v>
      </c>
      <c r="L857" s="65" t="str">
        <f t="shared" si="68"/>
        <v>Agra|India|78,016670|27,183332|+5:30 Asia</v>
      </c>
      <c r="M857" s="10" t="s">
        <v>3663</v>
      </c>
      <c r="N857" s="10">
        <f t="shared" si="65"/>
        <v>0</v>
      </c>
      <c r="O857" t="str">
        <f t="shared" si="69"/>
        <v/>
      </c>
      <c r="P857" t="str">
        <f>IF(O857=1,COUNTIF($O$2:O857,1),"")</f>
        <v/>
      </c>
      <c r="Q857" t="str">
        <f>IFERROR(INDEX($M$2:$M$2388,MATCH(ROWS($P$2:P857),$P$2:$P$2388,0)),"")</f>
        <v/>
      </c>
    </row>
    <row r="858" spans="1:17" ht="15" x14ac:dyDescent="0.25">
      <c r="A858" s="10">
        <v>1140</v>
      </c>
      <c r="B858" s="10" t="s">
        <v>3664</v>
      </c>
      <c r="C858" s="880">
        <f t="shared" si="66"/>
        <v>72.616600000000005</v>
      </c>
      <c r="D858" s="880">
        <f t="shared" si="67"/>
        <v>23.033300000000001</v>
      </c>
      <c r="E858" s="10">
        <v>72.616669000000002</v>
      </c>
      <c r="F858" s="10">
        <v>23.033332999999999</v>
      </c>
      <c r="G858" s="10">
        <v>5.5</v>
      </c>
      <c r="H858" s="10" t="s">
        <v>3657</v>
      </c>
      <c r="I858" s="10" t="s">
        <v>3658</v>
      </c>
      <c r="J858" s="10" t="s">
        <v>3659</v>
      </c>
      <c r="K858" s="10" t="s">
        <v>3660</v>
      </c>
      <c r="L858" s="65" t="str">
        <f t="shared" si="68"/>
        <v>Ahmadabad|India|72,616669|23,033333|+5:30 Asia</v>
      </c>
      <c r="M858" s="10" t="s">
        <v>3665</v>
      </c>
      <c r="N858" s="10">
        <f t="shared" si="65"/>
        <v>0</v>
      </c>
      <c r="O858" t="str">
        <f t="shared" si="69"/>
        <v/>
      </c>
      <c r="P858" t="str">
        <f>IF(O858=1,COUNTIF($O$2:O858,1),"")</f>
        <v/>
      </c>
      <c r="Q858" t="str">
        <f>IFERROR(INDEX($M$2:$M$2388,MATCH(ROWS($P$2:P858),$P$2:$P$2388,0)),"")</f>
        <v/>
      </c>
    </row>
    <row r="859" spans="1:17" ht="15" x14ac:dyDescent="0.25">
      <c r="A859" s="10">
        <v>1139</v>
      </c>
      <c r="B859" s="10" t="s">
        <v>3666</v>
      </c>
      <c r="C859" s="880">
        <f t="shared" si="66"/>
        <v>74.7333</v>
      </c>
      <c r="D859" s="880">
        <f t="shared" si="67"/>
        <v>19.083300000000001</v>
      </c>
      <c r="E859" s="10">
        <v>74.733329999999995</v>
      </c>
      <c r="F859" s="10">
        <v>19.083334000000001</v>
      </c>
      <c r="G859" s="10">
        <v>5.5</v>
      </c>
      <c r="H859" s="10" t="s">
        <v>3657</v>
      </c>
      <c r="I859" s="10" t="s">
        <v>3658</v>
      </c>
      <c r="J859" s="10" t="s">
        <v>3659</v>
      </c>
      <c r="K859" s="10" t="s">
        <v>3660</v>
      </c>
      <c r="L859" s="65" t="str">
        <f t="shared" si="68"/>
        <v>Ahmadnagar|India|74,733330|19,083334|+5:30 Asia</v>
      </c>
      <c r="M859" s="10" t="s">
        <v>3667</v>
      </c>
      <c r="N859" s="10">
        <f t="shared" si="65"/>
        <v>0</v>
      </c>
      <c r="O859" t="str">
        <f t="shared" si="69"/>
        <v/>
      </c>
      <c r="P859" t="str">
        <f>IF(O859=1,COUNTIF($O$2:O859,1),"")</f>
        <v/>
      </c>
      <c r="Q859" t="str">
        <f>IFERROR(INDEX($M$2:$M$2388,MATCH(ROWS($P$2:P859),$P$2:$P$2388,0)),"")</f>
        <v/>
      </c>
    </row>
    <row r="860" spans="1:17" ht="15" x14ac:dyDescent="0.25">
      <c r="A860" s="10">
        <v>1138</v>
      </c>
      <c r="B860" s="10" t="s">
        <v>3668</v>
      </c>
      <c r="C860" s="880">
        <f t="shared" si="66"/>
        <v>92.7166</v>
      </c>
      <c r="D860" s="880">
        <f t="shared" si="67"/>
        <v>23.7333</v>
      </c>
      <c r="E860" s="10">
        <v>92.716667000000001</v>
      </c>
      <c r="F860" s="10">
        <v>23.733333999999999</v>
      </c>
      <c r="G860" s="10">
        <v>5.5</v>
      </c>
      <c r="H860" s="10" t="s">
        <v>3657</v>
      </c>
      <c r="I860" s="10" t="s">
        <v>3658</v>
      </c>
      <c r="J860" s="10" t="s">
        <v>3659</v>
      </c>
      <c r="K860" s="10" t="s">
        <v>3660</v>
      </c>
      <c r="L860" s="65" t="str">
        <f t="shared" si="68"/>
        <v>Aizawl|India|92,716667|23,733334|+5:30 Asia</v>
      </c>
      <c r="M860" s="10" t="s">
        <v>3669</v>
      </c>
      <c r="N860" s="10">
        <f t="shared" si="65"/>
        <v>0</v>
      </c>
      <c r="O860" t="str">
        <f t="shared" si="69"/>
        <v/>
      </c>
      <c r="P860" t="str">
        <f>IF(O860=1,COUNTIF($O$2:O860,1),"")</f>
        <v/>
      </c>
      <c r="Q860" t="str">
        <f>IFERROR(INDEX($M$2:$M$2388,MATCH(ROWS($P$2:P860),$P$2:$P$2388,0)),"")</f>
        <v/>
      </c>
    </row>
    <row r="861" spans="1:17" ht="15" x14ac:dyDescent="0.25">
      <c r="A861" s="10">
        <v>1137</v>
      </c>
      <c r="B861" s="10" t="s">
        <v>3670</v>
      </c>
      <c r="C861" s="880">
        <f t="shared" si="66"/>
        <v>74.633300000000006</v>
      </c>
      <c r="D861" s="880">
        <f t="shared" si="67"/>
        <v>26.45</v>
      </c>
      <c r="E861" s="10">
        <v>74.633330999999998</v>
      </c>
      <c r="F861" s="10">
        <v>26.450001</v>
      </c>
      <c r="G861" s="10">
        <v>5.5</v>
      </c>
      <c r="H861" s="10" t="s">
        <v>3657</v>
      </c>
      <c r="I861" s="10" t="s">
        <v>3658</v>
      </c>
      <c r="J861" s="10" t="s">
        <v>3659</v>
      </c>
      <c r="K861" s="10" t="s">
        <v>3660</v>
      </c>
      <c r="L861" s="65" t="str">
        <f t="shared" si="68"/>
        <v>Ajmer|India|74,633331|26,450001|+5:30 Asia</v>
      </c>
      <c r="M861" s="10" t="s">
        <v>3671</v>
      </c>
      <c r="N861" s="10">
        <f t="shared" si="65"/>
        <v>0</v>
      </c>
      <c r="O861" t="str">
        <f t="shared" si="69"/>
        <v/>
      </c>
      <c r="P861" t="str">
        <f>IF(O861=1,COUNTIF($O$2:O861,1),"")</f>
        <v/>
      </c>
      <c r="Q861" t="str">
        <f>IFERROR(INDEX($M$2:$M$2388,MATCH(ROWS($P$2:P861),$P$2:$P$2388,0)),"")</f>
        <v/>
      </c>
    </row>
    <row r="862" spans="1:17" ht="15" x14ac:dyDescent="0.25">
      <c r="A862" s="10">
        <v>1136</v>
      </c>
      <c r="B862" s="10" t="s">
        <v>3672</v>
      </c>
      <c r="C862" s="880">
        <f t="shared" si="66"/>
        <v>77</v>
      </c>
      <c r="D862" s="880">
        <f t="shared" si="67"/>
        <v>20.7333</v>
      </c>
      <c r="E862" s="10">
        <v>77</v>
      </c>
      <c r="F862" s="10">
        <v>20.733333999999999</v>
      </c>
      <c r="G862" s="10">
        <v>5.5</v>
      </c>
      <c r="H862" s="10" t="s">
        <v>3657</v>
      </c>
      <c r="I862" s="10" t="s">
        <v>3658</v>
      </c>
      <c r="J862" s="10" t="s">
        <v>3659</v>
      </c>
      <c r="K862" s="10" t="s">
        <v>3660</v>
      </c>
      <c r="L862" s="65" t="str">
        <f t="shared" si="68"/>
        <v>Akola|India|77,000000|20,733334|+5:30 Asia</v>
      </c>
      <c r="M862" s="10" t="s">
        <v>3673</v>
      </c>
      <c r="N862" s="10">
        <f t="shared" si="65"/>
        <v>0</v>
      </c>
      <c r="O862" t="str">
        <f t="shared" si="69"/>
        <v/>
      </c>
      <c r="P862" t="str">
        <f>IF(O862=1,COUNTIF($O$2:O862,1),"")</f>
        <v/>
      </c>
      <c r="Q862" t="str">
        <f>IFERROR(INDEX($M$2:$M$2388,MATCH(ROWS($P$2:P862),$P$2:$P$2388,0)),"")</f>
        <v/>
      </c>
    </row>
    <row r="863" spans="1:17" ht="15" x14ac:dyDescent="0.25">
      <c r="A863" s="10">
        <v>1135</v>
      </c>
      <c r="B863" s="10" t="s">
        <v>3674</v>
      </c>
      <c r="C863" s="880">
        <f t="shared" si="66"/>
        <v>78.083299999999994</v>
      </c>
      <c r="D863" s="880">
        <f t="shared" si="67"/>
        <v>27.883299999999998</v>
      </c>
      <c r="E863" s="10">
        <v>78.083336000000003</v>
      </c>
      <c r="F863" s="10">
        <v>27.883333</v>
      </c>
      <c r="G863" s="10">
        <v>5.5</v>
      </c>
      <c r="H863" s="10" t="s">
        <v>3657</v>
      </c>
      <c r="I863" s="10" t="s">
        <v>3658</v>
      </c>
      <c r="J863" s="10" t="s">
        <v>3659</v>
      </c>
      <c r="K863" s="10" t="s">
        <v>3660</v>
      </c>
      <c r="L863" s="65" t="str">
        <f t="shared" si="68"/>
        <v>Aligarh|India|78,083336|27,883333|+5:30 Asia</v>
      </c>
      <c r="M863" s="10" t="s">
        <v>3675</v>
      </c>
      <c r="N863" s="10">
        <f t="shared" si="65"/>
        <v>0</v>
      </c>
      <c r="O863" t="str">
        <f t="shared" si="69"/>
        <v/>
      </c>
      <c r="P863" t="str">
        <f>IF(O863=1,COUNTIF($O$2:O863,1),"")</f>
        <v/>
      </c>
      <c r="Q863" t="str">
        <f>IFERROR(INDEX($M$2:$M$2388,MATCH(ROWS($P$2:P863),$P$2:$P$2388,0)),"")</f>
        <v/>
      </c>
    </row>
    <row r="864" spans="1:17" ht="15" x14ac:dyDescent="0.25">
      <c r="A864" s="10">
        <v>1134</v>
      </c>
      <c r="B864" s="10" t="s">
        <v>3676</v>
      </c>
      <c r="C864" s="880">
        <f t="shared" si="66"/>
        <v>81.849900000000005</v>
      </c>
      <c r="D864" s="880">
        <f t="shared" si="67"/>
        <v>25.45</v>
      </c>
      <c r="E864" s="10">
        <v>81.849997999999999</v>
      </c>
      <c r="F864" s="10">
        <v>25.450001</v>
      </c>
      <c r="G864" s="10">
        <v>5.5</v>
      </c>
      <c r="H864" s="10" t="s">
        <v>3657</v>
      </c>
      <c r="I864" s="10" t="s">
        <v>3658</v>
      </c>
      <c r="J864" s="10" t="s">
        <v>3659</v>
      </c>
      <c r="K864" s="10" t="s">
        <v>3660</v>
      </c>
      <c r="L864" s="65" t="str">
        <f t="shared" si="68"/>
        <v>Allahabad|India|81,849998|25,450001|+5:30 Asia</v>
      </c>
      <c r="M864" s="10" t="s">
        <v>3677</v>
      </c>
      <c r="N864" s="10">
        <f t="shared" si="65"/>
        <v>0</v>
      </c>
      <c r="O864" t="str">
        <f t="shared" si="69"/>
        <v/>
      </c>
      <c r="P864" t="str">
        <f>IF(O864=1,COUNTIF($O$2:O864,1),"")</f>
        <v/>
      </c>
      <c r="Q864" t="str">
        <f>IFERROR(INDEX($M$2:$M$2388,MATCH(ROWS($P$2:P864),$P$2:$P$2388,0)),"")</f>
        <v/>
      </c>
    </row>
    <row r="865" spans="1:17" ht="15" x14ac:dyDescent="0.25">
      <c r="A865" s="10">
        <v>1133</v>
      </c>
      <c r="B865" s="10" t="s">
        <v>3678</v>
      </c>
      <c r="C865" s="880">
        <f t="shared" si="66"/>
        <v>76.599900000000005</v>
      </c>
      <c r="D865" s="880">
        <f t="shared" si="67"/>
        <v>27.566600000000001</v>
      </c>
      <c r="E865" s="10">
        <v>76.599997999999999</v>
      </c>
      <c r="F865" s="10">
        <v>27.566668</v>
      </c>
      <c r="G865" s="10">
        <v>5.5</v>
      </c>
      <c r="H865" s="10" t="s">
        <v>3657</v>
      </c>
      <c r="I865" s="10" t="s">
        <v>3658</v>
      </c>
      <c r="J865" s="10" t="s">
        <v>3659</v>
      </c>
      <c r="K865" s="10" t="s">
        <v>3660</v>
      </c>
      <c r="L865" s="65" t="str">
        <f t="shared" si="68"/>
        <v>Alwar|India|76,599998|27,566668|+5:30 Asia</v>
      </c>
      <c r="M865" s="10" t="s">
        <v>3679</v>
      </c>
      <c r="N865" s="10">
        <f t="shared" si="65"/>
        <v>0</v>
      </c>
      <c r="O865" t="str">
        <f t="shared" si="69"/>
        <v/>
      </c>
      <c r="P865" t="str">
        <f>IF(O865=1,COUNTIF($O$2:O865,1),"")</f>
        <v/>
      </c>
      <c r="Q865" t="str">
        <f>IFERROR(INDEX($M$2:$M$2388,MATCH(ROWS($P$2:P865),$P$2:$P$2388,0)),"")</f>
        <v/>
      </c>
    </row>
    <row r="866" spans="1:17" ht="15" x14ac:dyDescent="0.25">
      <c r="A866" s="10">
        <v>1132</v>
      </c>
      <c r="B866" s="10" t="s">
        <v>3680</v>
      </c>
      <c r="C866" s="880">
        <f t="shared" si="66"/>
        <v>73.166600000000003</v>
      </c>
      <c r="D866" s="880">
        <f t="shared" si="67"/>
        <v>19.2</v>
      </c>
      <c r="E866" s="10">
        <v>73.166663999999997</v>
      </c>
      <c r="F866" s="10">
        <v>19.200001</v>
      </c>
      <c r="G866" s="10">
        <v>5.5</v>
      </c>
      <c r="H866" s="10" t="s">
        <v>3657</v>
      </c>
      <c r="I866" s="10" t="s">
        <v>3658</v>
      </c>
      <c r="J866" s="10" t="s">
        <v>3659</v>
      </c>
      <c r="K866" s="10" t="s">
        <v>3660</v>
      </c>
      <c r="L866" s="65" t="str">
        <f t="shared" si="68"/>
        <v>Amarnath|India|73,166664|19,200001|+5:30 Asia</v>
      </c>
      <c r="M866" s="10" t="s">
        <v>3681</v>
      </c>
      <c r="N866" s="10">
        <f t="shared" si="65"/>
        <v>0</v>
      </c>
      <c r="O866" t="str">
        <f t="shared" si="69"/>
        <v/>
      </c>
      <c r="P866" t="str">
        <f>IF(O866=1,COUNTIF($O$2:O866,1),"")</f>
        <v/>
      </c>
      <c r="Q866" t="str">
        <f>IFERROR(INDEX($M$2:$M$2388,MATCH(ROWS($P$2:P866),$P$2:$P$2388,0)),"")</f>
        <v/>
      </c>
    </row>
    <row r="867" spans="1:17" ht="15" x14ac:dyDescent="0.25">
      <c r="A867" s="10">
        <v>1131</v>
      </c>
      <c r="B867" s="10" t="s">
        <v>3682</v>
      </c>
      <c r="C867" s="880">
        <f t="shared" si="66"/>
        <v>80.162199999999999</v>
      </c>
      <c r="D867" s="880">
        <f t="shared" si="67"/>
        <v>13.0983</v>
      </c>
      <c r="E867" s="10">
        <v>80.162223999999995</v>
      </c>
      <c r="F867" s="10">
        <v>13.098333</v>
      </c>
      <c r="G867" s="10">
        <v>5.5</v>
      </c>
      <c r="H867" s="10" t="s">
        <v>3657</v>
      </c>
      <c r="I867" s="10" t="s">
        <v>3658</v>
      </c>
      <c r="J867" s="10" t="s">
        <v>3659</v>
      </c>
      <c r="K867" s="10" t="s">
        <v>3660</v>
      </c>
      <c r="L867" s="65" t="str">
        <f t="shared" si="68"/>
        <v>Ambattur|India|80,162224|13,098333|+5:30 Asia</v>
      </c>
      <c r="M867" s="10" t="s">
        <v>3683</v>
      </c>
      <c r="N867" s="10">
        <f t="shared" si="65"/>
        <v>0</v>
      </c>
      <c r="O867" t="str">
        <f t="shared" si="69"/>
        <v/>
      </c>
      <c r="P867" t="str">
        <f>IF(O867=1,COUNTIF($O$2:O867,1),"")</f>
        <v/>
      </c>
      <c r="Q867" t="str">
        <f>IFERROR(INDEX($M$2:$M$2388,MATCH(ROWS($P$2:P867),$P$2:$P$2388,0)),"")</f>
        <v/>
      </c>
    </row>
    <row r="868" spans="1:17" ht="15" x14ac:dyDescent="0.25">
      <c r="A868" s="10">
        <v>1130</v>
      </c>
      <c r="B868" s="10" t="s">
        <v>3684</v>
      </c>
      <c r="C868" s="880">
        <f t="shared" si="66"/>
        <v>77.75</v>
      </c>
      <c r="D868" s="880">
        <f t="shared" si="67"/>
        <v>20.933299999999999</v>
      </c>
      <c r="E868" s="10">
        <v>77.75</v>
      </c>
      <c r="F868" s="10">
        <v>20.933332</v>
      </c>
      <c r="G868" s="10">
        <v>5.5</v>
      </c>
      <c r="H868" s="10" t="s">
        <v>3657</v>
      </c>
      <c r="I868" s="10" t="s">
        <v>3658</v>
      </c>
      <c r="J868" s="10" t="s">
        <v>3659</v>
      </c>
      <c r="K868" s="10" t="s">
        <v>3660</v>
      </c>
      <c r="L868" s="65" t="str">
        <f t="shared" si="68"/>
        <v>Amravati|India|77,750000|20,933332|+5:30 Asia</v>
      </c>
      <c r="M868" s="10" t="s">
        <v>3685</v>
      </c>
      <c r="N868" s="10">
        <f t="shared" si="65"/>
        <v>0</v>
      </c>
      <c r="O868" t="str">
        <f t="shared" si="69"/>
        <v/>
      </c>
      <c r="P868" t="str">
        <f>IF(O868=1,COUNTIF($O$2:O868,1),"")</f>
        <v/>
      </c>
      <c r="Q868" t="str">
        <f>IFERROR(INDEX($M$2:$M$2388,MATCH(ROWS($P$2:P868),$P$2:$P$2388,0)),"")</f>
        <v/>
      </c>
    </row>
    <row r="869" spans="1:17" ht="15" x14ac:dyDescent="0.25">
      <c r="A869" s="10">
        <v>1129</v>
      </c>
      <c r="B869" s="10" t="s">
        <v>3686</v>
      </c>
      <c r="C869" s="880">
        <f t="shared" si="66"/>
        <v>74.865499999999997</v>
      </c>
      <c r="D869" s="880">
        <f t="shared" si="67"/>
        <v>31.632999999999999</v>
      </c>
      <c r="E869" s="10">
        <v>74.865555000000001</v>
      </c>
      <c r="F869" s="10">
        <v>31.633054999999999</v>
      </c>
      <c r="G869" s="10">
        <v>5.5</v>
      </c>
      <c r="H869" s="10" t="s">
        <v>3657</v>
      </c>
      <c r="I869" s="10" t="s">
        <v>3658</v>
      </c>
      <c r="J869" s="10" t="s">
        <v>3659</v>
      </c>
      <c r="K869" s="10" t="s">
        <v>3660</v>
      </c>
      <c r="L869" s="65" t="str">
        <f t="shared" si="68"/>
        <v>Amritsar|India|74,865555|31,633055|+5:30 Asia</v>
      </c>
      <c r="M869" s="10" t="s">
        <v>3687</v>
      </c>
      <c r="N869" s="10">
        <f t="shared" si="65"/>
        <v>0</v>
      </c>
      <c r="O869" t="str">
        <f t="shared" si="69"/>
        <v/>
      </c>
      <c r="P869" t="str">
        <f>IF(O869=1,COUNTIF($O$2:O869,1),"")</f>
        <v/>
      </c>
      <c r="Q869" t="str">
        <f>IFERROR(INDEX($M$2:$M$2388,MATCH(ROWS($P$2:P869),$P$2:$P$2388,0)),"")</f>
        <v/>
      </c>
    </row>
    <row r="870" spans="1:17" ht="15" x14ac:dyDescent="0.25">
      <c r="A870" s="10">
        <v>1128</v>
      </c>
      <c r="B870" s="10" t="s">
        <v>3688</v>
      </c>
      <c r="C870" s="880">
        <f t="shared" si="66"/>
        <v>77.599900000000005</v>
      </c>
      <c r="D870" s="880">
        <f t="shared" si="67"/>
        <v>14.683299999999999</v>
      </c>
      <c r="E870" s="10">
        <v>77.599997999999999</v>
      </c>
      <c r="F870" s="10">
        <v>14.683332999999999</v>
      </c>
      <c r="G870" s="10">
        <v>5.5</v>
      </c>
      <c r="H870" s="10" t="s">
        <v>3657</v>
      </c>
      <c r="I870" s="10" t="s">
        <v>3658</v>
      </c>
      <c r="J870" s="10" t="s">
        <v>3659</v>
      </c>
      <c r="K870" s="10" t="s">
        <v>3660</v>
      </c>
      <c r="L870" s="65" t="str">
        <f t="shared" si="68"/>
        <v>Anantapur|India|77,599998|14,683333|+5:30 Asia</v>
      </c>
      <c r="M870" s="10" t="s">
        <v>3689</v>
      </c>
      <c r="N870" s="10">
        <f t="shared" si="65"/>
        <v>0</v>
      </c>
      <c r="O870" t="str">
        <f t="shared" si="69"/>
        <v/>
      </c>
      <c r="P870" t="str">
        <f>IF(O870=1,COUNTIF($O$2:O870,1),"")</f>
        <v/>
      </c>
      <c r="Q870" t="str">
        <f>IFERROR(INDEX($M$2:$M$2388,MATCH(ROWS($P$2:P870),$P$2:$P$2388,0)),"")</f>
        <v/>
      </c>
    </row>
    <row r="871" spans="1:17" ht="15" x14ac:dyDescent="0.25">
      <c r="A871" s="10">
        <v>1127</v>
      </c>
      <c r="B871" s="10" t="s">
        <v>3690</v>
      </c>
      <c r="C871" s="880">
        <f t="shared" si="66"/>
        <v>84.666600000000003</v>
      </c>
      <c r="D871" s="880">
        <f t="shared" si="67"/>
        <v>25.566600000000001</v>
      </c>
      <c r="E871" s="10">
        <v>84.666663999999997</v>
      </c>
      <c r="F871" s="10">
        <v>25.566668</v>
      </c>
      <c r="G871" s="10">
        <v>5.5</v>
      </c>
      <c r="H871" s="10" t="s">
        <v>3657</v>
      </c>
      <c r="I871" s="10" t="s">
        <v>3658</v>
      </c>
      <c r="J871" s="10" t="s">
        <v>3659</v>
      </c>
      <c r="K871" s="10" t="s">
        <v>3660</v>
      </c>
      <c r="L871" s="65" t="str">
        <f t="shared" si="68"/>
        <v>Ara|India|84,666664|25,566668|+5:30 Asia</v>
      </c>
      <c r="M871" s="10" t="s">
        <v>3691</v>
      </c>
      <c r="N871" s="10">
        <f t="shared" si="65"/>
        <v>0</v>
      </c>
      <c r="O871" t="str">
        <f t="shared" si="69"/>
        <v/>
      </c>
      <c r="P871" t="str">
        <f>IF(O871=1,COUNTIF($O$2:O871,1),"")</f>
        <v/>
      </c>
      <c r="Q871" t="str">
        <f>IFERROR(INDEX($M$2:$M$2388,MATCH(ROWS($P$2:P871),$P$2:$P$2388,0)),"")</f>
        <v/>
      </c>
    </row>
    <row r="872" spans="1:17" ht="15" x14ac:dyDescent="0.25">
      <c r="A872" s="10">
        <v>1126</v>
      </c>
      <c r="B872" s="10" t="s">
        <v>3692</v>
      </c>
      <c r="C872" s="880">
        <f t="shared" si="66"/>
        <v>86.9833</v>
      </c>
      <c r="D872" s="880">
        <f t="shared" si="67"/>
        <v>23.683299999999999</v>
      </c>
      <c r="E872" s="10">
        <v>86.983329999999995</v>
      </c>
      <c r="F872" s="10">
        <v>23.683332</v>
      </c>
      <c r="G872" s="10">
        <v>5.5</v>
      </c>
      <c r="H872" s="10" t="s">
        <v>3657</v>
      </c>
      <c r="I872" s="10" t="s">
        <v>3658</v>
      </c>
      <c r="J872" s="10" t="s">
        <v>3659</v>
      </c>
      <c r="K872" s="10" t="s">
        <v>3660</v>
      </c>
      <c r="L872" s="65" t="str">
        <f t="shared" si="68"/>
        <v>Asansol|India|86,983330|23,683332|+5:30 Asia</v>
      </c>
      <c r="M872" s="10" t="s">
        <v>3693</v>
      </c>
      <c r="N872" s="10">
        <f t="shared" si="65"/>
        <v>0</v>
      </c>
      <c r="O872" t="str">
        <f t="shared" si="69"/>
        <v/>
      </c>
      <c r="P872" t="str">
        <f>IF(O872=1,COUNTIF($O$2:O872,1),"")</f>
        <v/>
      </c>
      <c r="Q872" t="str">
        <f>IFERROR(INDEX($M$2:$M$2388,MATCH(ROWS($P$2:P872),$P$2:$P$2388,0)),"")</f>
        <v/>
      </c>
    </row>
    <row r="873" spans="1:17" ht="15" x14ac:dyDescent="0.25">
      <c r="A873" s="10">
        <v>1125</v>
      </c>
      <c r="B873" s="10" t="s">
        <v>3694</v>
      </c>
      <c r="C873" s="880">
        <f t="shared" si="66"/>
        <v>75.333299999999994</v>
      </c>
      <c r="D873" s="880">
        <f t="shared" si="67"/>
        <v>19.883299999999998</v>
      </c>
      <c r="E873" s="10">
        <v>75.333336000000003</v>
      </c>
      <c r="F873" s="10">
        <v>19.883333</v>
      </c>
      <c r="G873" s="10">
        <v>5.5</v>
      </c>
      <c r="H873" s="10" t="s">
        <v>3657</v>
      </c>
      <c r="I873" s="10" t="s">
        <v>3658</v>
      </c>
      <c r="J873" s="10" t="s">
        <v>3659</v>
      </c>
      <c r="K873" s="10" t="s">
        <v>3660</v>
      </c>
      <c r="L873" s="65" t="str">
        <f t="shared" si="68"/>
        <v>Aurangabad|India|75,333336|19,883333|+5:30 Asia</v>
      </c>
      <c r="M873" s="10" t="s">
        <v>3695</v>
      </c>
      <c r="N873" s="10">
        <f t="shared" si="65"/>
        <v>0</v>
      </c>
      <c r="O873" t="str">
        <f t="shared" si="69"/>
        <v/>
      </c>
      <c r="P873" t="str">
        <f>IF(O873=1,COUNTIF($O$2:O873,1),"")</f>
        <v/>
      </c>
      <c r="Q873" t="str">
        <f>IFERROR(INDEX($M$2:$M$2388,MATCH(ROWS($P$2:P873),$P$2:$P$2388,0)),"")</f>
        <v/>
      </c>
    </row>
    <row r="874" spans="1:17" ht="15" x14ac:dyDescent="0.25">
      <c r="A874" s="10">
        <v>1124</v>
      </c>
      <c r="B874" s="10" t="s">
        <v>3696</v>
      </c>
      <c r="C874" s="880">
        <f t="shared" si="66"/>
        <v>80.101600000000005</v>
      </c>
      <c r="D874" s="880">
        <f t="shared" si="67"/>
        <v>13.115500000000001</v>
      </c>
      <c r="E874" s="10">
        <v>80.101669000000001</v>
      </c>
      <c r="F874" s="10">
        <v>13.115556</v>
      </c>
      <c r="G874" s="10">
        <v>5.5</v>
      </c>
      <c r="H874" s="10" t="s">
        <v>3657</v>
      </c>
      <c r="I874" s="10" t="s">
        <v>3658</v>
      </c>
      <c r="J874" s="10" t="s">
        <v>3659</v>
      </c>
      <c r="K874" s="10" t="s">
        <v>3660</v>
      </c>
      <c r="L874" s="65" t="str">
        <f t="shared" si="68"/>
        <v>Avadi|India|80,101669|13,115556|+5:30 Asia</v>
      </c>
      <c r="M874" s="10" t="s">
        <v>3697</v>
      </c>
      <c r="N874" s="10">
        <f t="shared" si="65"/>
        <v>0</v>
      </c>
      <c r="O874" t="str">
        <f t="shared" si="69"/>
        <v/>
      </c>
      <c r="P874" t="str">
        <f>IF(O874=1,COUNTIF($O$2:O874,1),"")</f>
        <v/>
      </c>
      <c r="Q874" t="str">
        <f>IFERROR(INDEX($M$2:$M$2388,MATCH(ROWS($P$2:P874),$P$2:$P$2388,0)),"")</f>
        <v/>
      </c>
    </row>
    <row r="875" spans="1:17" ht="15" x14ac:dyDescent="0.25">
      <c r="A875" s="10">
        <v>1123</v>
      </c>
      <c r="B875" s="10" t="s">
        <v>3698</v>
      </c>
      <c r="C875" s="880">
        <f t="shared" si="66"/>
        <v>88.340199999999996</v>
      </c>
      <c r="D875" s="880">
        <f t="shared" si="67"/>
        <v>22.646100000000001</v>
      </c>
      <c r="E875" s="10">
        <v>88.340278999999995</v>
      </c>
      <c r="F875" s="10">
        <v>22.646111000000001</v>
      </c>
      <c r="G875" s="10">
        <v>5.5</v>
      </c>
      <c r="H875" s="10" t="s">
        <v>3657</v>
      </c>
      <c r="I875" s="10" t="s">
        <v>3658</v>
      </c>
      <c r="J875" s="10" t="s">
        <v>3659</v>
      </c>
      <c r="K875" s="10" t="s">
        <v>3660</v>
      </c>
      <c r="L875" s="65" t="str">
        <f t="shared" si="68"/>
        <v>Bali|India|88,340279|22,646111|+5:30 Asia</v>
      </c>
      <c r="M875" s="10" t="s">
        <v>3699</v>
      </c>
      <c r="N875" s="10">
        <f t="shared" si="65"/>
        <v>0</v>
      </c>
      <c r="O875" t="str">
        <f t="shared" si="69"/>
        <v/>
      </c>
      <c r="P875" t="str">
        <f>IF(O875=1,COUNTIF($O$2:O875,1),"")</f>
        <v/>
      </c>
      <c r="Q875" t="str">
        <f>IFERROR(INDEX($M$2:$M$2388,MATCH(ROWS($P$2:P875),$P$2:$P$2388,0)),"")</f>
        <v/>
      </c>
    </row>
    <row r="876" spans="1:17" ht="15" x14ac:dyDescent="0.25">
      <c r="A876" s="10">
        <v>1122</v>
      </c>
      <c r="B876" s="10" t="s">
        <v>3700</v>
      </c>
      <c r="C876" s="880">
        <f t="shared" si="66"/>
        <v>77.600099999999998</v>
      </c>
      <c r="D876" s="880">
        <f t="shared" si="67"/>
        <v>12.976599999999999</v>
      </c>
      <c r="E876" s="10">
        <v>77.600127999999998</v>
      </c>
      <c r="F876" s="10">
        <v>12.976623999999999</v>
      </c>
      <c r="G876" s="10">
        <v>5.5</v>
      </c>
      <c r="H876" s="10" t="s">
        <v>3657</v>
      </c>
      <c r="I876" s="10" t="s">
        <v>3658</v>
      </c>
      <c r="J876" s="10" t="s">
        <v>3659</v>
      </c>
      <c r="K876" s="10" t="s">
        <v>3660</v>
      </c>
      <c r="L876" s="65" t="str">
        <f t="shared" si="68"/>
        <v>Bangalore|India|77,600128|12,976624|+5:30 Asia</v>
      </c>
      <c r="M876" s="10" t="s">
        <v>3701</v>
      </c>
      <c r="N876" s="10">
        <f t="shared" si="65"/>
        <v>0</v>
      </c>
      <c r="O876" t="str">
        <f t="shared" si="69"/>
        <v/>
      </c>
      <c r="P876" t="str">
        <f>IF(O876=1,COUNTIF($O$2:O876,1),"")</f>
        <v/>
      </c>
      <c r="Q876" t="str">
        <f>IFERROR(INDEX($M$2:$M$2388,MATCH(ROWS($P$2:P876),$P$2:$P$2388,0)),"")</f>
        <v/>
      </c>
    </row>
    <row r="877" spans="1:17" ht="15" x14ac:dyDescent="0.25">
      <c r="A877" s="10">
        <v>1120</v>
      </c>
      <c r="B877" s="10" t="s">
        <v>3702</v>
      </c>
      <c r="C877" s="880">
        <f t="shared" si="66"/>
        <v>88.365200000000002</v>
      </c>
      <c r="D877" s="880">
        <f t="shared" si="67"/>
        <v>22.6433</v>
      </c>
      <c r="E877" s="10">
        <v>88.365279999999998</v>
      </c>
      <c r="F877" s="10">
        <v>22.643332999999998</v>
      </c>
      <c r="G877" s="10">
        <v>5.5</v>
      </c>
      <c r="H877" s="10" t="s">
        <v>3657</v>
      </c>
      <c r="I877" s="10" t="s">
        <v>3658</v>
      </c>
      <c r="J877" s="10" t="s">
        <v>3659</v>
      </c>
      <c r="K877" s="10" t="s">
        <v>3660</v>
      </c>
      <c r="L877" s="65" t="str">
        <f t="shared" si="68"/>
        <v>Baranagar|India|88,365280|22,643333|+5:30 Asia</v>
      </c>
      <c r="M877" s="10" t="s">
        <v>3703</v>
      </c>
      <c r="N877" s="10">
        <f t="shared" si="65"/>
        <v>0</v>
      </c>
      <c r="O877" t="str">
        <f t="shared" si="69"/>
        <v/>
      </c>
      <c r="P877" t="str">
        <f>IF(O877=1,COUNTIF($O$2:O877,1),"")</f>
        <v/>
      </c>
      <c r="Q877" t="str">
        <f>IFERROR(INDEX($M$2:$M$2388,MATCH(ROWS($P$2:P877),$P$2:$P$2388,0)),"")</f>
        <v/>
      </c>
    </row>
    <row r="878" spans="1:17" ht="15" x14ac:dyDescent="0.25">
      <c r="A878" s="10">
        <v>1119</v>
      </c>
      <c r="B878" s="10" t="s">
        <v>3704</v>
      </c>
      <c r="C878" s="880">
        <f t="shared" si="66"/>
        <v>88.516599999999997</v>
      </c>
      <c r="D878" s="880">
        <f t="shared" si="67"/>
        <v>22.7166</v>
      </c>
      <c r="E878" s="10">
        <v>88.516670000000005</v>
      </c>
      <c r="F878" s="10">
        <v>22.716667000000001</v>
      </c>
      <c r="G878" s="10">
        <v>5.5</v>
      </c>
      <c r="H878" s="10" t="s">
        <v>3657</v>
      </c>
      <c r="I878" s="10" t="s">
        <v>3658</v>
      </c>
      <c r="J878" s="10" t="s">
        <v>3659</v>
      </c>
      <c r="K878" s="10" t="s">
        <v>3660</v>
      </c>
      <c r="L878" s="65" t="str">
        <f t="shared" si="68"/>
        <v>Barasat|India|88,516670|22,716667|+5:30 Asia</v>
      </c>
      <c r="M878" s="10" t="s">
        <v>3705</v>
      </c>
      <c r="N878" s="10">
        <f t="shared" si="65"/>
        <v>0</v>
      </c>
      <c r="O878" t="str">
        <f t="shared" si="69"/>
        <v/>
      </c>
      <c r="P878" t="str">
        <f>IF(O878=1,COUNTIF($O$2:O878,1),"")</f>
        <v/>
      </c>
      <c r="Q878" t="str">
        <f>IFERROR(INDEX($M$2:$M$2388,MATCH(ROWS($P$2:P878),$P$2:$P$2388,0)),"")</f>
        <v/>
      </c>
    </row>
    <row r="879" spans="1:17" ht="15" x14ac:dyDescent="0.25">
      <c r="A879" s="10">
        <v>1118</v>
      </c>
      <c r="B879" s="10" t="s">
        <v>3706</v>
      </c>
      <c r="C879" s="880">
        <f t="shared" si="66"/>
        <v>87.849900000000005</v>
      </c>
      <c r="D879" s="880">
        <f t="shared" si="67"/>
        <v>23.25</v>
      </c>
      <c r="E879" s="10">
        <v>87.849997999999999</v>
      </c>
      <c r="F879" s="10">
        <v>23.25</v>
      </c>
      <c r="G879" s="10">
        <v>5.5</v>
      </c>
      <c r="H879" s="10" t="s">
        <v>3657</v>
      </c>
      <c r="I879" s="10" t="s">
        <v>3658</v>
      </c>
      <c r="J879" s="10" t="s">
        <v>3659</v>
      </c>
      <c r="K879" s="10" t="s">
        <v>3660</v>
      </c>
      <c r="L879" s="65" t="str">
        <f t="shared" si="68"/>
        <v>Barddhaman|India|87,849998|23,250000|+5:30 Asia</v>
      </c>
      <c r="M879" s="10" t="s">
        <v>3707</v>
      </c>
      <c r="N879" s="10">
        <f t="shared" si="65"/>
        <v>0</v>
      </c>
      <c r="O879" t="str">
        <f t="shared" si="69"/>
        <v/>
      </c>
      <c r="P879" t="str">
        <f>IF(O879=1,COUNTIF($O$2:O879,1),"")</f>
        <v/>
      </c>
      <c r="Q879" t="str">
        <f>IFERROR(INDEX($M$2:$M$2388,MATCH(ROWS($P$2:P879),$P$2:$P$2388,0)),"")</f>
        <v/>
      </c>
    </row>
    <row r="880" spans="1:17" ht="15" x14ac:dyDescent="0.25">
      <c r="A880" s="10">
        <v>1117</v>
      </c>
      <c r="B880" s="10" t="s">
        <v>3708</v>
      </c>
      <c r="C880" s="880">
        <f t="shared" si="66"/>
        <v>79.416600000000003</v>
      </c>
      <c r="D880" s="880">
        <f t="shared" si="67"/>
        <v>28.35</v>
      </c>
      <c r="E880" s="10">
        <v>79.416663999999997</v>
      </c>
      <c r="F880" s="10">
        <v>28.35</v>
      </c>
      <c r="G880" s="10">
        <v>5.5</v>
      </c>
      <c r="H880" s="10" t="s">
        <v>3657</v>
      </c>
      <c r="I880" s="10" t="s">
        <v>3658</v>
      </c>
      <c r="J880" s="10" t="s">
        <v>3659</v>
      </c>
      <c r="K880" s="10" t="s">
        <v>3660</v>
      </c>
      <c r="L880" s="65" t="str">
        <f t="shared" si="68"/>
        <v>Bareilly|India|79,416664|28,350000|+5:30 Asia</v>
      </c>
      <c r="M880" s="10" t="s">
        <v>3709</v>
      </c>
      <c r="N880" s="10">
        <f t="shared" si="65"/>
        <v>0</v>
      </c>
      <c r="O880" t="str">
        <f t="shared" si="69"/>
        <v/>
      </c>
      <c r="P880" t="str">
        <f>IF(O880=1,COUNTIF($O$2:O880,1),"")</f>
        <v/>
      </c>
      <c r="Q880" t="str">
        <f>IFERROR(INDEX($M$2:$M$2388,MATCH(ROWS($P$2:P880),$P$2:$P$2388,0)),"")</f>
        <v/>
      </c>
    </row>
    <row r="881" spans="1:17" ht="15" x14ac:dyDescent="0.25">
      <c r="A881" s="10">
        <v>1116</v>
      </c>
      <c r="B881" s="10" t="s">
        <v>3710</v>
      </c>
      <c r="C881" s="880">
        <f t="shared" si="66"/>
        <v>74.5</v>
      </c>
      <c r="D881" s="880">
        <f t="shared" si="67"/>
        <v>15.8666</v>
      </c>
      <c r="E881" s="10">
        <v>74.5</v>
      </c>
      <c r="F881" s="10">
        <v>15.866667</v>
      </c>
      <c r="G881" s="10">
        <v>5.5</v>
      </c>
      <c r="H881" s="10" t="s">
        <v>3657</v>
      </c>
      <c r="I881" s="10" t="s">
        <v>3658</v>
      </c>
      <c r="J881" s="10" t="s">
        <v>3659</v>
      </c>
      <c r="K881" s="10" t="s">
        <v>3660</v>
      </c>
      <c r="L881" s="65" t="str">
        <f t="shared" si="68"/>
        <v>Belgaum|India|74,500000|15,866667|+5:30 Asia</v>
      </c>
      <c r="M881" s="10" t="s">
        <v>3711</v>
      </c>
      <c r="N881" s="10">
        <f t="shared" si="65"/>
        <v>0</v>
      </c>
      <c r="O881" t="str">
        <f t="shared" si="69"/>
        <v/>
      </c>
      <c r="P881" t="str">
        <f>IF(O881=1,COUNTIF($O$2:O881,1),"")</f>
        <v/>
      </c>
      <c r="Q881" t="str">
        <f>IFERROR(INDEX($M$2:$M$2388,MATCH(ROWS($P$2:P881),$P$2:$P$2388,0)),"")</f>
        <v/>
      </c>
    </row>
    <row r="882" spans="1:17" ht="15" x14ac:dyDescent="0.25">
      <c r="A882" s="10">
        <v>1115</v>
      </c>
      <c r="B882" s="10" t="s">
        <v>3712</v>
      </c>
      <c r="C882" s="880">
        <f t="shared" si="66"/>
        <v>76.933300000000003</v>
      </c>
      <c r="D882" s="880">
        <f t="shared" si="67"/>
        <v>15.15</v>
      </c>
      <c r="E882" s="10">
        <v>76.933334000000002</v>
      </c>
      <c r="F882" s="10">
        <v>15.15</v>
      </c>
      <c r="G882" s="10">
        <v>5.5</v>
      </c>
      <c r="H882" s="10" t="s">
        <v>3657</v>
      </c>
      <c r="I882" s="10" t="s">
        <v>3658</v>
      </c>
      <c r="J882" s="10" t="s">
        <v>3659</v>
      </c>
      <c r="K882" s="10" t="s">
        <v>3660</v>
      </c>
      <c r="L882" s="65" t="str">
        <f t="shared" si="68"/>
        <v>Bellary|India|76,933334|15,150000|+5:30 Asia</v>
      </c>
      <c r="M882" s="10" t="s">
        <v>3713</v>
      </c>
      <c r="N882" s="10">
        <f t="shared" si="65"/>
        <v>0</v>
      </c>
      <c r="O882" t="str">
        <f t="shared" si="69"/>
        <v/>
      </c>
      <c r="P882" t="str">
        <f>IF(O882=1,COUNTIF($O$2:O882,1),"")</f>
        <v/>
      </c>
      <c r="Q882" t="str">
        <f>IFERROR(INDEX($M$2:$M$2388,MATCH(ROWS($P$2:P882),$P$2:$P$2388,0)),"")</f>
        <v/>
      </c>
    </row>
    <row r="883" spans="1:17" ht="15" x14ac:dyDescent="0.25">
      <c r="A883" s="10">
        <v>968</v>
      </c>
      <c r="B883" s="10" t="s">
        <v>3714</v>
      </c>
      <c r="C883" s="880">
        <f t="shared" si="66"/>
        <v>83</v>
      </c>
      <c r="D883" s="880">
        <f t="shared" si="67"/>
        <v>25.333300000000001</v>
      </c>
      <c r="E883" s="10">
        <v>83</v>
      </c>
      <c r="F883" s="10">
        <v>25.333334000000001</v>
      </c>
      <c r="G883" s="10">
        <v>5.5</v>
      </c>
      <c r="H883" s="10" t="s">
        <v>3657</v>
      </c>
      <c r="I883" s="10" t="s">
        <v>3658</v>
      </c>
      <c r="J883" s="10" t="s">
        <v>3659</v>
      </c>
      <c r="K883" s="10" t="s">
        <v>3660</v>
      </c>
      <c r="L883" s="65" t="str">
        <f t="shared" si="68"/>
        <v>Benares|India|83,000000|25,333334|+5:30 Asia</v>
      </c>
      <c r="M883" s="10" t="s">
        <v>3715</v>
      </c>
      <c r="N883" s="10">
        <f t="shared" si="65"/>
        <v>0</v>
      </c>
      <c r="O883" t="str">
        <f t="shared" si="69"/>
        <v/>
      </c>
      <c r="P883" t="str">
        <f>IF(O883=1,COUNTIF($O$2:O883,1),"")</f>
        <v/>
      </c>
      <c r="Q883" t="str">
        <f>IFERROR(INDEX($M$2:$M$2388,MATCH(ROWS($P$2:P883),$P$2:$P$2388,0)),"")</f>
        <v/>
      </c>
    </row>
    <row r="884" spans="1:17" ht="15" x14ac:dyDescent="0.25">
      <c r="A884" s="10">
        <v>1121</v>
      </c>
      <c r="B884" s="10" t="s">
        <v>3716</v>
      </c>
      <c r="C884" s="880">
        <f t="shared" si="66"/>
        <v>77.600099999999998</v>
      </c>
      <c r="D884" s="880">
        <f t="shared" si="67"/>
        <v>12.976599999999999</v>
      </c>
      <c r="E884" s="10">
        <v>77.600127999999998</v>
      </c>
      <c r="F884" s="10">
        <v>12.976623999999999</v>
      </c>
      <c r="G884" s="10">
        <v>5.5</v>
      </c>
      <c r="H884" s="10" t="s">
        <v>3657</v>
      </c>
      <c r="I884" s="10" t="s">
        <v>3658</v>
      </c>
      <c r="J884" s="10" t="s">
        <v>3659</v>
      </c>
      <c r="K884" s="10" t="s">
        <v>3660</v>
      </c>
      <c r="L884" s="65" t="str">
        <f t="shared" si="68"/>
        <v>Bengalooru|India|77,600128|12,976624|+5:30 Asia</v>
      </c>
      <c r="M884" s="10" t="s">
        <v>3717</v>
      </c>
      <c r="N884" s="10">
        <f t="shared" si="65"/>
        <v>0</v>
      </c>
      <c r="O884" t="str">
        <f t="shared" si="69"/>
        <v/>
      </c>
      <c r="P884" t="str">
        <f>IF(O884=1,COUNTIF($O$2:O884,1),"")</f>
        <v/>
      </c>
      <c r="Q884" t="str">
        <f>IFERROR(INDEX($M$2:$M$2388,MATCH(ROWS($P$2:P884),$P$2:$P$2388,0)),"")</f>
        <v/>
      </c>
    </row>
    <row r="885" spans="1:17" ht="15" x14ac:dyDescent="0.25">
      <c r="A885" s="10">
        <v>1114</v>
      </c>
      <c r="B885" s="10" t="s">
        <v>3718</v>
      </c>
      <c r="C885" s="880">
        <f t="shared" si="66"/>
        <v>87</v>
      </c>
      <c r="D885" s="880">
        <f t="shared" si="67"/>
        <v>25.25</v>
      </c>
      <c r="E885" s="10">
        <v>87</v>
      </c>
      <c r="F885" s="10">
        <v>25.25</v>
      </c>
      <c r="G885" s="10">
        <v>5.5</v>
      </c>
      <c r="H885" s="10" t="s">
        <v>3657</v>
      </c>
      <c r="I885" s="10" t="s">
        <v>3658</v>
      </c>
      <c r="J885" s="10" t="s">
        <v>3659</v>
      </c>
      <c r="K885" s="10" t="s">
        <v>3660</v>
      </c>
      <c r="L885" s="65" t="str">
        <f t="shared" si="68"/>
        <v>Bhagalpur|India|87,000000|25,250000|+5:30 Asia</v>
      </c>
      <c r="M885" s="10" t="s">
        <v>3719</v>
      </c>
      <c r="N885" s="10">
        <f t="shared" si="65"/>
        <v>0</v>
      </c>
      <c r="O885" t="str">
        <f t="shared" si="69"/>
        <v/>
      </c>
      <c r="P885" t="str">
        <f>IF(O885=1,COUNTIF($O$2:O885,1),"")</f>
        <v/>
      </c>
      <c r="Q885" t="str">
        <f>IFERROR(INDEX($M$2:$M$2388,MATCH(ROWS($P$2:P885),$P$2:$P$2388,0)),"")</f>
        <v/>
      </c>
    </row>
    <row r="886" spans="1:17" ht="15" x14ac:dyDescent="0.25">
      <c r="A886" s="10">
        <v>1113</v>
      </c>
      <c r="B886" s="10" t="s">
        <v>3720</v>
      </c>
      <c r="C886" s="880">
        <f t="shared" si="66"/>
        <v>77.4833</v>
      </c>
      <c r="D886" s="880">
        <f t="shared" si="67"/>
        <v>27.2166</v>
      </c>
      <c r="E886" s="10">
        <v>77.483329999999995</v>
      </c>
      <c r="F886" s="10">
        <v>27.216667000000001</v>
      </c>
      <c r="G886" s="10">
        <v>5.5</v>
      </c>
      <c r="H886" s="10" t="s">
        <v>3657</v>
      </c>
      <c r="I886" s="10" t="s">
        <v>3658</v>
      </c>
      <c r="J886" s="10" t="s">
        <v>3659</v>
      </c>
      <c r="K886" s="10" t="s">
        <v>3660</v>
      </c>
      <c r="L886" s="65" t="str">
        <f t="shared" si="68"/>
        <v>Bharatpur|India|77,483330|27,216667|+5:30 Asia</v>
      </c>
      <c r="M886" s="10" t="s">
        <v>3721</v>
      </c>
      <c r="N886" s="10">
        <f t="shared" si="65"/>
        <v>0</v>
      </c>
      <c r="O886" t="str">
        <f t="shared" si="69"/>
        <v/>
      </c>
      <c r="P886" t="str">
        <f>IF(O886=1,COUNTIF($O$2:O886,1),"")</f>
        <v/>
      </c>
      <c r="Q886" t="str">
        <f>IFERROR(INDEX($M$2:$M$2388,MATCH(ROWS($P$2:P886),$P$2:$P$2388,0)),"")</f>
        <v/>
      </c>
    </row>
    <row r="887" spans="1:17" ht="15" x14ac:dyDescent="0.25">
      <c r="A887" s="10">
        <v>1112</v>
      </c>
      <c r="B887" s="10" t="s">
        <v>3722</v>
      </c>
      <c r="C887" s="880">
        <f t="shared" si="66"/>
        <v>74.9499</v>
      </c>
      <c r="D887" s="880">
        <f t="shared" si="67"/>
        <v>30.2</v>
      </c>
      <c r="E887" s="10">
        <v>74.949996999999996</v>
      </c>
      <c r="F887" s="10">
        <v>30.200001</v>
      </c>
      <c r="G887" s="10">
        <v>5.5</v>
      </c>
      <c r="H887" s="10" t="s">
        <v>3657</v>
      </c>
      <c r="I887" s="10" t="s">
        <v>3658</v>
      </c>
      <c r="J887" s="10" t="s">
        <v>3659</v>
      </c>
      <c r="K887" s="10" t="s">
        <v>3660</v>
      </c>
      <c r="L887" s="65" t="str">
        <f t="shared" si="68"/>
        <v>Bhatinda|India|74,949997|30,200001|+5:30 Asia</v>
      </c>
      <c r="M887" s="10" t="s">
        <v>3723</v>
      </c>
      <c r="N887" s="10">
        <f t="shared" si="65"/>
        <v>0</v>
      </c>
      <c r="O887" t="str">
        <f t="shared" si="69"/>
        <v/>
      </c>
      <c r="P887" t="str">
        <f>IF(O887=1,COUNTIF($O$2:O887,1),"")</f>
        <v/>
      </c>
      <c r="Q887" t="str">
        <f>IFERROR(INDEX($M$2:$M$2388,MATCH(ROWS($P$2:P887),$P$2:$P$2388,0)),"")</f>
        <v/>
      </c>
    </row>
    <row r="888" spans="1:17" ht="15" x14ac:dyDescent="0.25">
      <c r="A888" s="10">
        <v>1111</v>
      </c>
      <c r="B888" s="10" t="s">
        <v>3724</v>
      </c>
      <c r="C888" s="880">
        <f t="shared" si="66"/>
        <v>88.408799999999999</v>
      </c>
      <c r="D888" s="880">
        <f t="shared" si="67"/>
        <v>22.871300000000002</v>
      </c>
      <c r="E888" s="10">
        <v>88.40889</v>
      </c>
      <c r="F888" s="10">
        <v>22.871389000000001</v>
      </c>
      <c r="G888" s="10">
        <v>5.5</v>
      </c>
      <c r="H888" s="10" t="s">
        <v>3657</v>
      </c>
      <c r="I888" s="10" t="s">
        <v>3658</v>
      </c>
      <c r="J888" s="10" t="s">
        <v>3659</v>
      </c>
      <c r="K888" s="10" t="s">
        <v>3660</v>
      </c>
      <c r="L888" s="65" t="str">
        <f t="shared" si="68"/>
        <v>Bhatpara|India|88,408890|22,871389|+5:30 Asia</v>
      </c>
      <c r="M888" s="10" t="s">
        <v>3725</v>
      </c>
      <c r="N888" s="10">
        <f t="shared" si="65"/>
        <v>0</v>
      </c>
      <c r="O888" t="str">
        <f t="shared" si="69"/>
        <v/>
      </c>
      <c r="P888" t="str">
        <f>IF(O888=1,COUNTIF($O$2:O888,1),"")</f>
        <v/>
      </c>
      <c r="Q888" t="str">
        <f>IFERROR(INDEX($M$2:$M$2388,MATCH(ROWS($P$2:P888),$P$2:$P$2388,0)),"")</f>
        <v/>
      </c>
    </row>
    <row r="889" spans="1:17" ht="15" x14ac:dyDescent="0.25">
      <c r="A889" s="10">
        <v>1110</v>
      </c>
      <c r="B889" s="10" t="s">
        <v>3726</v>
      </c>
      <c r="C889" s="880">
        <f t="shared" si="66"/>
        <v>72.150000000000006</v>
      </c>
      <c r="D889" s="880">
        <f t="shared" si="67"/>
        <v>21.7666</v>
      </c>
      <c r="E889" s="10">
        <v>72.150002000000001</v>
      </c>
      <c r="F889" s="10">
        <v>21.766666000000001</v>
      </c>
      <c r="G889" s="10">
        <v>5.5</v>
      </c>
      <c r="H889" s="10" t="s">
        <v>3657</v>
      </c>
      <c r="I889" s="10" t="s">
        <v>3658</v>
      </c>
      <c r="J889" s="10" t="s">
        <v>3659</v>
      </c>
      <c r="K889" s="10" t="s">
        <v>3660</v>
      </c>
      <c r="L889" s="65" t="str">
        <f t="shared" si="68"/>
        <v>Bhavnagar|India|72,150002|21,766666|+5:30 Asia</v>
      </c>
      <c r="M889" s="10" t="s">
        <v>3727</v>
      </c>
      <c r="N889" s="10">
        <f t="shared" si="65"/>
        <v>0</v>
      </c>
      <c r="O889" t="str">
        <f t="shared" si="69"/>
        <v/>
      </c>
      <c r="P889" t="str">
        <f>IF(O889=1,COUNTIF($O$2:O889,1),"")</f>
        <v/>
      </c>
      <c r="Q889" t="str">
        <f>IFERROR(INDEX($M$2:$M$2388,MATCH(ROWS($P$2:P889),$P$2:$P$2388,0)),"")</f>
        <v/>
      </c>
    </row>
    <row r="890" spans="1:17" ht="15" x14ac:dyDescent="0.25">
      <c r="A890" s="10">
        <v>1109</v>
      </c>
      <c r="B890" s="10" t="s">
        <v>3728</v>
      </c>
      <c r="C890" s="880">
        <f t="shared" si="66"/>
        <v>81.433300000000003</v>
      </c>
      <c r="D890" s="880">
        <f t="shared" si="67"/>
        <v>21.2166</v>
      </c>
      <c r="E890" s="10">
        <v>81.433334000000002</v>
      </c>
      <c r="F890" s="10">
        <v>21.216667000000001</v>
      </c>
      <c r="G890" s="10">
        <v>5.5</v>
      </c>
      <c r="H890" s="10" t="s">
        <v>3657</v>
      </c>
      <c r="I890" s="10" t="s">
        <v>3658</v>
      </c>
      <c r="J890" s="10" t="s">
        <v>3659</v>
      </c>
      <c r="K890" s="10" t="s">
        <v>3660</v>
      </c>
      <c r="L890" s="65" t="str">
        <f t="shared" si="68"/>
        <v>Bhilai|India|81,433334|21,216667|+5:30 Asia</v>
      </c>
      <c r="M890" s="10" t="s">
        <v>3729</v>
      </c>
      <c r="N890" s="10">
        <f t="shared" si="65"/>
        <v>0</v>
      </c>
      <c r="O890" t="str">
        <f t="shared" si="69"/>
        <v/>
      </c>
      <c r="P890" t="str">
        <f>IF(O890=1,COUNTIF($O$2:O890,1),"")</f>
        <v/>
      </c>
      <c r="Q890" t="str">
        <f>IFERROR(INDEX($M$2:$M$2388,MATCH(ROWS($P$2:P890),$P$2:$P$2388,0)),"")</f>
        <v/>
      </c>
    </row>
    <row r="891" spans="1:17" ht="15" x14ac:dyDescent="0.25">
      <c r="A891" s="10">
        <v>1108</v>
      </c>
      <c r="B891" s="10" t="s">
        <v>3730</v>
      </c>
      <c r="C891" s="880">
        <f t="shared" si="66"/>
        <v>74.633300000000006</v>
      </c>
      <c r="D891" s="880">
        <f t="shared" si="67"/>
        <v>25.35</v>
      </c>
      <c r="E891" s="10">
        <v>74.633330999999998</v>
      </c>
      <c r="F891" s="10">
        <v>25.35</v>
      </c>
      <c r="G891" s="10">
        <v>5.5</v>
      </c>
      <c r="H891" s="10" t="s">
        <v>3657</v>
      </c>
      <c r="I891" s="10" t="s">
        <v>3658</v>
      </c>
      <c r="J891" s="10" t="s">
        <v>3659</v>
      </c>
      <c r="K891" s="10" t="s">
        <v>3660</v>
      </c>
      <c r="L891" s="65" t="str">
        <f t="shared" si="68"/>
        <v>Bhilwara|India|74,633331|25,350000|+5:30 Asia</v>
      </c>
      <c r="M891" s="10" t="s">
        <v>3731</v>
      </c>
      <c r="N891" s="10">
        <f t="shared" si="65"/>
        <v>0</v>
      </c>
      <c r="O891" t="str">
        <f t="shared" si="69"/>
        <v/>
      </c>
      <c r="P891" t="str">
        <f>IF(O891=1,COUNTIF($O$2:O891,1),"")</f>
        <v/>
      </c>
      <c r="Q891" t="str">
        <f>IFERROR(INDEX($M$2:$M$2388,MATCH(ROWS($P$2:P891),$P$2:$P$2388,0)),"")</f>
        <v/>
      </c>
    </row>
    <row r="892" spans="1:17" ht="15" x14ac:dyDescent="0.25">
      <c r="A892" s="10">
        <v>1107</v>
      </c>
      <c r="B892" s="10" t="s">
        <v>3732</v>
      </c>
      <c r="C892" s="880">
        <f t="shared" si="66"/>
        <v>73.066599999999994</v>
      </c>
      <c r="D892" s="880">
        <f t="shared" si="67"/>
        <v>19.299900000000001</v>
      </c>
      <c r="E892" s="10">
        <v>73.066665999999998</v>
      </c>
      <c r="F892" s="10">
        <v>19.299999</v>
      </c>
      <c r="G892" s="10">
        <v>5.5</v>
      </c>
      <c r="H892" s="10" t="s">
        <v>3657</v>
      </c>
      <c r="I892" s="10" t="s">
        <v>3658</v>
      </c>
      <c r="J892" s="10" t="s">
        <v>3659</v>
      </c>
      <c r="K892" s="10" t="s">
        <v>3660</v>
      </c>
      <c r="L892" s="65" t="str">
        <f t="shared" si="68"/>
        <v>Bhiwandi|India|73,066666|19,299999|+5:30 Asia</v>
      </c>
      <c r="M892" s="10" t="s">
        <v>3733</v>
      </c>
      <c r="N892" s="10">
        <f t="shared" si="65"/>
        <v>0</v>
      </c>
      <c r="O892" t="str">
        <f t="shared" si="69"/>
        <v/>
      </c>
      <c r="P892" t="str">
        <f>IF(O892=1,COUNTIF($O$2:O892,1),"")</f>
        <v/>
      </c>
      <c r="Q892" t="str">
        <f>IFERROR(INDEX($M$2:$M$2388,MATCH(ROWS($P$2:P892),$P$2:$P$2388,0)),"")</f>
        <v/>
      </c>
    </row>
    <row r="893" spans="1:17" ht="15" x14ac:dyDescent="0.25">
      <c r="A893" s="10">
        <v>1106</v>
      </c>
      <c r="B893" s="10" t="s">
        <v>3734</v>
      </c>
      <c r="C893" s="880">
        <f t="shared" si="66"/>
        <v>77.400000000000006</v>
      </c>
      <c r="D893" s="880">
        <f t="shared" si="67"/>
        <v>23.2666</v>
      </c>
      <c r="E893" s="10">
        <v>77.400002000000001</v>
      </c>
      <c r="F893" s="10">
        <v>23.266666000000001</v>
      </c>
      <c r="G893" s="10">
        <v>5.5</v>
      </c>
      <c r="H893" s="10" t="s">
        <v>3657</v>
      </c>
      <c r="I893" s="10" t="s">
        <v>3658</v>
      </c>
      <c r="J893" s="10" t="s">
        <v>3659</v>
      </c>
      <c r="K893" s="10" t="s">
        <v>3660</v>
      </c>
      <c r="L893" s="65" t="str">
        <f t="shared" si="68"/>
        <v>Bhopal|India|77,400002|23,266666|+5:30 Asia</v>
      </c>
      <c r="M893" s="10" t="s">
        <v>3735</v>
      </c>
      <c r="N893" s="10">
        <f t="shared" si="65"/>
        <v>0</v>
      </c>
      <c r="O893" t="str">
        <f t="shared" si="69"/>
        <v/>
      </c>
      <c r="P893" t="str">
        <f>IF(O893=1,COUNTIF($O$2:O893,1),"")</f>
        <v/>
      </c>
      <c r="Q893" t="str">
        <f>IFERROR(INDEX($M$2:$M$2388,MATCH(ROWS($P$2:P893),$P$2:$P$2388,0)),"")</f>
        <v/>
      </c>
    </row>
    <row r="894" spans="1:17" ht="15" x14ac:dyDescent="0.25">
      <c r="A894" s="10">
        <v>1105</v>
      </c>
      <c r="B894" s="10" t="s">
        <v>3736</v>
      </c>
      <c r="C894" s="880">
        <f t="shared" si="66"/>
        <v>85.833299999999994</v>
      </c>
      <c r="D894" s="880">
        <f t="shared" si="67"/>
        <v>20.2333</v>
      </c>
      <c r="E894" s="10">
        <v>85.833336000000003</v>
      </c>
      <c r="F894" s="10">
        <v>20.233333999999999</v>
      </c>
      <c r="G894" s="10">
        <v>5.5</v>
      </c>
      <c r="H894" s="10" t="s">
        <v>3657</v>
      </c>
      <c r="I894" s="10" t="s">
        <v>3658</v>
      </c>
      <c r="J894" s="10" t="s">
        <v>3659</v>
      </c>
      <c r="K894" s="10" t="s">
        <v>3660</v>
      </c>
      <c r="L894" s="65" t="str">
        <f t="shared" si="68"/>
        <v>Bhubaneshwar|India|85,833336|20,233334|+5:30 Asia</v>
      </c>
      <c r="M894" s="10" t="s">
        <v>3737</v>
      </c>
      <c r="N894" s="10">
        <f t="shared" si="65"/>
        <v>0</v>
      </c>
      <c r="O894" t="str">
        <f t="shared" si="69"/>
        <v/>
      </c>
      <c r="P894" t="str">
        <f>IF(O894=1,COUNTIF($O$2:O894,1),"")</f>
        <v/>
      </c>
      <c r="Q894" t="str">
        <f>IFERROR(INDEX($M$2:$M$2388,MATCH(ROWS($P$2:P894),$P$2:$P$2388,0)),"")</f>
        <v/>
      </c>
    </row>
    <row r="895" spans="1:17" ht="15" x14ac:dyDescent="0.25">
      <c r="A895" s="10">
        <v>1104</v>
      </c>
      <c r="B895" s="10" t="s">
        <v>3738</v>
      </c>
      <c r="C895" s="880">
        <f t="shared" si="66"/>
        <v>77.55</v>
      </c>
      <c r="D895" s="880">
        <f t="shared" si="67"/>
        <v>17.899999999999999</v>
      </c>
      <c r="E895" s="10">
        <v>77.550003000000004</v>
      </c>
      <c r="F895" s="10">
        <v>17.899999999999999</v>
      </c>
      <c r="G895" s="10">
        <v>5.5</v>
      </c>
      <c r="H895" s="10" t="s">
        <v>3657</v>
      </c>
      <c r="I895" s="10" t="s">
        <v>3658</v>
      </c>
      <c r="J895" s="10" t="s">
        <v>3659</v>
      </c>
      <c r="K895" s="10" t="s">
        <v>3660</v>
      </c>
      <c r="L895" s="65" t="str">
        <f t="shared" si="68"/>
        <v>Bidar|India|77,550003|17,900000|+5:30 Asia</v>
      </c>
      <c r="M895" s="10" t="s">
        <v>3739</v>
      </c>
      <c r="N895" s="10">
        <f t="shared" si="65"/>
        <v>0</v>
      </c>
      <c r="O895" t="str">
        <f t="shared" si="69"/>
        <v/>
      </c>
      <c r="P895" t="str">
        <f>IF(O895=1,COUNTIF($O$2:O895,1),"")</f>
        <v/>
      </c>
      <c r="Q895" t="str">
        <f>IFERROR(INDEX($M$2:$M$2388,MATCH(ROWS($P$2:P895),$P$2:$P$2388,0)),"")</f>
        <v/>
      </c>
    </row>
    <row r="896" spans="1:17" ht="15" x14ac:dyDescent="0.25">
      <c r="A896" s="10">
        <v>1103</v>
      </c>
      <c r="B896" s="10" t="s">
        <v>3740</v>
      </c>
      <c r="C896" s="880">
        <f t="shared" si="66"/>
        <v>85.516599999999997</v>
      </c>
      <c r="D896" s="880">
        <f t="shared" si="67"/>
        <v>25.183299999999999</v>
      </c>
      <c r="E896" s="10">
        <v>85.516670000000005</v>
      </c>
      <c r="F896" s="10">
        <v>25.183332</v>
      </c>
      <c r="G896" s="10">
        <v>5.5</v>
      </c>
      <c r="H896" s="10" t="s">
        <v>3657</v>
      </c>
      <c r="I896" s="10" t="s">
        <v>3658</v>
      </c>
      <c r="J896" s="10" t="s">
        <v>3659</v>
      </c>
      <c r="K896" s="10" t="s">
        <v>3660</v>
      </c>
      <c r="L896" s="65" t="str">
        <f t="shared" si="68"/>
        <v>Bihar Sharif|India|85,516670|25,183332|+5:30 Asia</v>
      </c>
      <c r="M896" s="10" t="s">
        <v>3741</v>
      </c>
      <c r="N896" s="10">
        <f t="shared" si="65"/>
        <v>0</v>
      </c>
      <c r="O896" t="str">
        <f t="shared" si="69"/>
        <v/>
      </c>
      <c r="P896" t="str">
        <f>IF(O896=1,COUNTIF($O$2:O896,1),"")</f>
        <v/>
      </c>
      <c r="Q896" t="str">
        <f>IFERROR(INDEX($M$2:$M$2388,MATCH(ROWS($P$2:P896),$P$2:$P$2388,0)),"")</f>
        <v/>
      </c>
    </row>
    <row r="897" spans="1:17" ht="15" x14ac:dyDescent="0.25">
      <c r="A897" s="10">
        <v>1102</v>
      </c>
      <c r="B897" s="10" t="s">
        <v>3742</v>
      </c>
      <c r="C897" s="880">
        <f t="shared" si="66"/>
        <v>75.6999</v>
      </c>
      <c r="D897" s="880">
        <f t="shared" si="67"/>
        <v>16.833300000000001</v>
      </c>
      <c r="E897" s="10">
        <v>75.699996999999996</v>
      </c>
      <c r="F897" s="10">
        <v>16.833334000000001</v>
      </c>
      <c r="G897" s="10">
        <v>5.5</v>
      </c>
      <c r="H897" s="10" t="s">
        <v>3657</v>
      </c>
      <c r="I897" s="10" t="s">
        <v>3658</v>
      </c>
      <c r="J897" s="10" t="s">
        <v>3659</v>
      </c>
      <c r="K897" s="10" t="s">
        <v>3660</v>
      </c>
      <c r="L897" s="65" t="str">
        <f t="shared" si="68"/>
        <v>Bijapur|India|75,699997|16,833334|+5:30 Asia</v>
      </c>
      <c r="M897" s="10" t="s">
        <v>3743</v>
      </c>
      <c r="N897" s="10">
        <f t="shared" si="65"/>
        <v>0</v>
      </c>
      <c r="O897" t="str">
        <f t="shared" si="69"/>
        <v/>
      </c>
      <c r="P897" t="str">
        <f>IF(O897=1,COUNTIF($O$2:O897,1),"")</f>
        <v/>
      </c>
      <c r="Q897" t="str">
        <f>IFERROR(INDEX($M$2:$M$2388,MATCH(ROWS($P$2:P897),$P$2:$P$2388,0)),"")</f>
        <v/>
      </c>
    </row>
    <row r="898" spans="1:17" ht="15" x14ac:dyDescent="0.25">
      <c r="A898" s="10">
        <v>1101</v>
      </c>
      <c r="B898" s="10" t="s">
        <v>3744</v>
      </c>
      <c r="C898" s="880">
        <f t="shared" si="66"/>
        <v>73.3</v>
      </c>
      <c r="D898" s="880">
        <f t="shared" si="67"/>
        <v>28.0166</v>
      </c>
      <c r="E898" s="10">
        <v>73.300003000000004</v>
      </c>
      <c r="F898" s="10">
        <v>28.016666000000001</v>
      </c>
      <c r="G898" s="10">
        <v>5.5</v>
      </c>
      <c r="H898" s="10" t="s">
        <v>3657</v>
      </c>
      <c r="I898" s="10" t="s">
        <v>3658</v>
      </c>
      <c r="J898" s="10" t="s">
        <v>3659</v>
      </c>
      <c r="K898" s="10" t="s">
        <v>3660</v>
      </c>
      <c r="L898" s="65" t="str">
        <f t="shared" si="68"/>
        <v>Bikaner|India|73,300003|28,016666|+5:30 Asia</v>
      </c>
      <c r="M898" s="10" t="s">
        <v>3745</v>
      </c>
      <c r="N898" s="10">
        <f t="shared" ref="N898:N961" si="70">--ISNUMBER(IFERROR(SEARCH($R$2,J898,1),""))</f>
        <v>0</v>
      </c>
      <c r="O898" t="str">
        <f t="shared" si="69"/>
        <v/>
      </c>
      <c r="P898" t="str">
        <f>IF(O898=1,COUNTIF($O$2:O898,1),"")</f>
        <v/>
      </c>
      <c r="Q898" t="str">
        <f>IFERROR(INDEX($M$2:$M$2388,MATCH(ROWS($P$2:P898),$P$2:$P$2388,0)),"")</f>
        <v/>
      </c>
    </row>
    <row r="899" spans="1:17" ht="15" x14ac:dyDescent="0.25">
      <c r="A899" s="10">
        <v>1100</v>
      </c>
      <c r="B899" s="10" t="s">
        <v>3746</v>
      </c>
      <c r="C899" s="880">
        <f t="shared" ref="C899:C962" si="71">TRUNC(E899,4)</f>
        <v>82.15</v>
      </c>
      <c r="D899" s="880">
        <f t="shared" ref="D899:D962" si="72">TRUNC(F899,4)</f>
        <v>22.083300000000001</v>
      </c>
      <c r="E899" s="10">
        <v>82.150002000000001</v>
      </c>
      <c r="F899" s="10">
        <v>22.083334000000001</v>
      </c>
      <c r="G899" s="10">
        <v>5.5</v>
      </c>
      <c r="H899" s="10" t="s">
        <v>3657</v>
      </c>
      <c r="I899" s="10" t="s">
        <v>3658</v>
      </c>
      <c r="J899" s="10" t="s">
        <v>3659</v>
      </c>
      <c r="K899" s="10" t="s">
        <v>3660</v>
      </c>
      <c r="L899" s="65" t="str">
        <f t="shared" ref="L899:L962" si="73">MID(M899,1,LEN(M899)-(LEN(K899)-SEARCH("/",K899)+1))</f>
        <v>Bilaspur|India|82,150002|22,083334|+5:30 Asia</v>
      </c>
      <c r="M899" s="10" t="s">
        <v>3747</v>
      </c>
      <c r="N899" s="10">
        <f t="shared" si="70"/>
        <v>0</v>
      </c>
      <c r="O899" t="str">
        <f t="shared" ref="O899:O962" si="74">IF(N899=0,"",--ISNUMBER(IFERROR(SEARCH($U$2,L899,1),"")))</f>
        <v/>
      </c>
      <c r="P899" t="str">
        <f>IF(O899=1,COUNTIF($O$2:O899,1),"")</f>
        <v/>
      </c>
      <c r="Q899" t="str">
        <f>IFERROR(INDEX($M$2:$M$2388,MATCH(ROWS($P$2:P899),$P$2:$P$2388,0)),"")</f>
        <v/>
      </c>
    </row>
    <row r="900" spans="1:17" ht="15" x14ac:dyDescent="0.25">
      <c r="A900" s="10">
        <v>1099</v>
      </c>
      <c r="B900" s="10" t="s">
        <v>3748</v>
      </c>
      <c r="C900" s="880">
        <f t="shared" si="71"/>
        <v>85.9666</v>
      </c>
      <c r="D900" s="880">
        <f t="shared" si="72"/>
        <v>23.783300000000001</v>
      </c>
      <c r="E900" s="10">
        <v>85.966667000000001</v>
      </c>
      <c r="F900" s="10">
        <v>23.783332999999999</v>
      </c>
      <c r="G900" s="10">
        <v>5.5</v>
      </c>
      <c r="H900" s="10" t="s">
        <v>3657</v>
      </c>
      <c r="I900" s="10" t="s">
        <v>3658</v>
      </c>
      <c r="J900" s="10" t="s">
        <v>3659</v>
      </c>
      <c r="K900" s="10" t="s">
        <v>3660</v>
      </c>
      <c r="L900" s="65" t="str">
        <f t="shared" si="73"/>
        <v>Bokaro|India|85,966667|23,783333|+5:30 Asia</v>
      </c>
      <c r="M900" s="10" t="s">
        <v>3749</v>
      </c>
      <c r="N900" s="10">
        <f t="shared" si="70"/>
        <v>0</v>
      </c>
      <c r="O900" t="str">
        <f t="shared" si="74"/>
        <v/>
      </c>
      <c r="P900" t="str">
        <f>IF(O900=1,COUNTIF($O$2:O900,1),"")</f>
        <v/>
      </c>
      <c r="Q900" t="str">
        <f>IFERROR(INDEX($M$2:$M$2388,MATCH(ROWS($P$2:P900),$P$2:$P$2388,0)),"")</f>
        <v/>
      </c>
    </row>
    <row r="901" spans="1:17" ht="15" x14ac:dyDescent="0.25">
      <c r="A901" s="10">
        <v>1098</v>
      </c>
      <c r="B901" s="10" t="s">
        <v>3750</v>
      </c>
      <c r="C901" s="880">
        <f t="shared" si="71"/>
        <v>72.825800000000001</v>
      </c>
      <c r="D901" s="880">
        <f t="shared" si="72"/>
        <v>18.975000000000001</v>
      </c>
      <c r="E901" s="10">
        <v>72.825835999999995</v>
      </c>
      <c r="F901" s="10">
        <v>18.975000000000001</v>
      </c>
      <c r="G901" s="10">
        <v>5.5</v>
      </c>
      <c r="H901" s="10" t="s">
        <v>3657</v>
      </c>
      <c r="I901" s="10" t="s">
        <v>3658</v>
      </c>
      <c r="J901" s="10" t="s">
        <v>3659</v>
      </c>
      <c r="K901" s="10" t="s">
        <v>3660</v>
      </c>
      <c r="L901" s="65" t="str">
        <f t="shared" si="73"/>
        <v>Bombay|India|72,825836|18,975000|+5:30 Asia</v>
      </c>
      <c r="M901" s="10" t="s">
        <v>3751</v>
      </c>
      <c r="N901" s="10">
        <f t="shared" si="70"/>
        <v>0</v>
      </c>
      <c r="O901" t="str">
        <f t="shared" si="74"/>
        <v/>
      </c>
      <c r="P901" t="str">
        <f>IF(O901=1,COUNTIF($O$2:O901,1),"")</f>
        <v/>
      </c>
      <c r="Q901" t="str">
        <f>IFERROR(INDEX($M$2:$M$2388,MATCH(ROWS($P$2:P901),$P$2:$P$2388,0)),"")</f>
        <v/>
      </c>
    </row>
    <row r="902" spans="1:17" ht="15" x14ac:dyDescent="0.25">
      <c r="A902" s="10">
        <v>1097</v>
      </c>
      <c r="B902" s="10" t="s">
        <v>3752</v>
      </c>
      <c r="C902" s="880">
        <f t="shared" si="71"/>
        <v>84.783299999999997</v>
      </c>
      <c r="D902" s="880">
        <f t="shared" si="72"/>
        <v>19.316600000000001</v>
      </c>
      <c r="E902" s="10">
        <v>84.783332999999999</v>
      </c>
      <c r="F902" s="10">
        <v>19.316668</v>
      </c>
      <c r="G902" s="10">
        <v>5.5</v>
      </c>
      <c r="H902" s="10" t="s">
        <v>3657</v>
      </c>
      <c r="I902" s="10" t="s">
        <v>3658</v>
      </c>
      <c r="J902" s="10" t="s">
        <v>3659</v>
      </c>
      <c r="K902" s="10" t="s">
        <v>3660</v>
      </c>
      <c r="L902" s="65" t="str">
        <f t="shared" si="73"/>
        <v>Brahmapur|India|84,783333|19,316668|+5:30 Asia</v>
      </c>
      <c r="M902" s="10" t="s">
        <v>3753</v>
      </c>
      <c r="N902" s="10">
        <f t="shared" si="70"/>
        <v>0</v>
      </c>
      <c r="O902" t="str">
        <f t="shared" si="74"/>
        <v/>
      </c>
      <c r="P902" t="str">
        <f>IF(O902=1,COUNTIF($O$2:O902,1),"")</f>
        <v/>
      </c>
      <c r="Q902" t="str">
        <f>IFERROR(INDEX($M$2:$M$2388,MATCH(ROWS($P$2:P902),$P$2:$P$2388,0)),"")</f>
        <v/>
      </c>
    </row>
    <row r="903" spans="1:17" ht="15" x14ac:dyDescent="0.25">
      <c r="A903" s="10">
        <v>1096</v>
      </c>
      <c r="B903" s="10" t="s">
        <v>3754</v>
      </c>
      <c r="C903" s="880">
        <f t="shared" si="71"/>
        <v>76.2333</v>
      </c>
      <c r="D903" s="880">
        <f t="shared" si="72"/>
        <v>21.299900000000001</v>
      </c>
      <c r="E903" s="10">
        <v>76.233329999999995</v>
      </c>
      <c r="F903" s="10">
        <v>21.299999</v>
      </c>
      <c r="G903" s="10">
        <v>5.5</v>
      </c>
      <c r="H903" s="10" t="s">
        <v>3657</v>
      </c>
      <c r="I903" s="10" t="s">
        <v>3658</v>
      </c>
      <c r="J903" s="10" t="s">
        <v>3659</v>
      </c>
      <c r="K903" s="10" t="s">
        <v>3660</v>
      </c>
      <c r="L903" s="65" t="str">
        <f t="shared" si="73"/>
        <v>Burhanpur|India|76,233330|21,299999|+5:30 Asia</v>
      </c>
      <c r="M903" s="10" t="s">
        <v>3755</v>
      </c>
      <c r="N903" s="10">
        <f t="shared" si="70"/>
        <v>0</v>
      </c>
      <c r="O903" t="str">
        <f t="shared" si="74"/>
        <v/>
      </c>
      <c r="P903" t="str">
        <f>IF(O903=1,COUNTIF($O$2:O903,1),"")</f>
        <v/>
      </c>
      <c r="Q903" t="str">
        <f>IFERROR(INDEX($M$2:$M$2388,MATCH(ROWS($P$2:P903),$P$2:$P$2388,0)),"")</f>
        <v/>
      </c>
    </row>
    <row r="904" spans="1:17" ht="15" x14ac:dyDescent="0.25">
      <c r="A904" s="10">
        <v>1095</v>
      </c>
      <c r="B904" s="10" t="s">
        <v>3756</v>
      </c>
      <c r="C904" s="880">
        <f t="shared" si="71"/>
        <v>88.369699999999995</v>
      </c>
      <c r="D904" s="880">
        <f t="shared" si="72"/>
        <v>22.569700000000001</v>
      </c>
      <c r="E904" s="10">
        <v>88.369720000000001</v>
      </c>
      <c r="F904" s="10">
        <v>22.569723</v>
      </c>
      <c r="G904" s="10">
        <v>5.5</v>
      </c>
      <c r="H904" s="10" t="s">
        <v>3657</v>
      </c>
      <c r="I904" s="10" t="s">
        <v>3658</v>
      </c>
      <c r="J904" s="10" t="s">
        <v>3659</v>
      </c>
      <c r="K904" s="10" t="s">
        <v>3660</v>
      </c>
      <c r="L904" s="65" t="str">
        <f t="shared" si="73"/>
        <v>Calcutta|India|88,369720|22,569723|+5:30 Asia</v>
      </c>
      <c r="M904" s="10" t="s">
        <v>3757</v>
      </c>
      <c r="N904" s="10">
        <f t="shared" si="70"/>
        <v>0</v>
      </c>
      <c r="O904" t="str">
        <f t="shared" si="74"/>
        <v/>
      </c>
      <c r="P904" t="str">
        <f>IF(O904=1,COUNTIF($O$2:O904,1),"")</f>
        <v/>
      </c>
      <c r="Q904" t="str">
        <f>IFERROR(INDEX($M$2:$M$2388,MATCH(ROWS($P$2:P904),$P$2:$P$2388,0)),"")</f>
        <v/>
      </c>
    </row>
    <row r="905" spans="1:17" ht="15" x14ac:dyDescent="0.25">
      <c r="A905" s="10">
        <v>1040</v>
      </c>
      <c r="B905" s="10" t="s">
        <v>3758</v>
      </c>
      <c r="C905" s="880">
        <f t="shared" si="71"/>
        <v>75.766599999999997</v>
      </c>
      <c r="D905" s="880">
        <f t="shared" si="72"/>
        <v>11.25</v>
      </c>
      <c r="E905" s="10">
        <v>75.766670000000005</v>
      </c>
      <c r="F905" s="10">
        <v>11.25</v>
      </c>
      <c r="G905" s="10">
        <v>5.5</v>
      </c>
      <c r="H905" s="10" t="s">
        <v>3657</v>
      </c>
      <c r="I905" s="10" t="s">
        <v>3658</v>
      </c>
      <c r="J905" s="10" t="s">
        <v>3659</v>
      </c>
      <c r="K905" s="10" t="s">
        <v>3660</v>
      </c>
      <c r="L905" s="65" t="str">
        <f t="shared" si="73"/>
        <v>Calicut|India|75,766670|11,250000|+5:30 Asia</v>
      </c>
      <c r="M905" s="10" t="s">
        <v>3759</v>
      </c>
      <c r="N905" s="10">
        <f t="shared" si="70"/>
        <v>0</v>
      </c>
      <c r="O905" t="str">
        <f t="shared" si="74"/>
        <v/>
      </c>
      <c r="P905" t="str">
        <f>IF(O905=1,COUNTIF($O$2:O905,1),"")</f>
        <v/>
      </c>
      <c r="Q905" t="str">
        <f>IFERROR(INDEX($M$2:$M$2388,MATCH(ROWS($P$2:P905),$P$2:$P$2388,0)),"")</f>
        <v/>
      </c>
    </row>
    <row r="906" spans="1:17" ht="15" x14ac:dyDescent="0.25">
      <c r="A906" s="10">
        <v>1094</v>
      </c>
      <c r="B906" s="10" t="s">
        <v>3760</v>
      </c>
      <c r="C906" s="880">
        <f t="shared" si="71"/>
        <v>76.787199999999999</v>
      </c>
      <c r="D906" s="880">
        <f t="shared" si="72"/>
        <v>30.737200000000001</v>
      </c>
      <c r="E906" s="10">
        <v>76.787223999999995</v>
      </c>
      <c r="F906" s="10">
        <v>30.737223</v>
      </c>
      <c r="G906" s="10">
        <v>5.5</v>
      </c>
      <c r="H906" s="10" t="s">
        <v>3657</v>
      </c>
      <c r="I906" s="10" t="s">
        <v>3658</v>
      </c>
      <c r="J906" s="10" t="s">
        <v>3659</v>
      </c>
      <c r="K906" s="10" t="s">
        <v>3660</v>
      </c>
      <c r="L906" s="65" t="str">
        <f t="shared" si="73"/>
        <v>Chandigarh|India|76,787224|30,737223|+5:30 Asia</v>
      </c>
      <c r="M906" s="10" t="s">
        <v>3761</v>
      </c>
      <c r="N906" s="10">
        <f t="shared" si="70"/>
        <v>0</v>
      </c>
      <c r="O906" t="str">
        <f t="shared" si="74"/>
        <v/>
      </c>
      <c r="P906" t="str">
        <f>IF(O906=1,COUNTIF($O$2:O906,1),"")</f>
        <v/>
      </c>
      <c r="Q906" t="str">
        <f>IFERROR(INDEX($M$2:$M$2388,MATCH(ROWS($P$2:P906),$P$2:$P$2388,0)),"")</f>
        <v/>
      </c>
    </row>
    <row r="907" spans="1:17" ht="15" x14ac:dyDescent="0.25">
      <c r="A907" s="10">
        <v>1093</v>
      </c>
      <c r="B907" s="10" t="s">
        <v>3762</v>
      </c>
      <c r="C907" s="880">
        <f t="shared" si="71"/>
        <v>79.3</v>
      </c>
      <c r="D907" s="880">
        <f t="shared" si="72"/>
        <v>19.95</v>
      </c>
      <c r="E907" s="10">
        <v>79.300003000000004</v>
      </c>
      <c r="F907" s="10">
        <v>19.950001</v>
      </c>
      <c r="G907" s="10">
        <v>5.5</v>
      </c>
      <c r="H907" s="10" t="s">
        <v>3657</v>
      </c>
      <c r="I907" s="10" t="s">
        <v>3658</v>
      </c>
      <c r="J907" s="10" t="s">
        <v>3659</v>
      </c>
      <c r="K907" s="10" t="s">
        <v>3660</v>
      </c>
      <c r="L907" s="65" t="str">
        <f t="shared" si="73"/>
        <v>Chandrapur|India|79,300003|19,950001|+5:30 Asia</v>
      </c>
      <c r="M907" s="10" t="s">
        <v>3763</v>
      </c>
      <c r="N907" s="10">
        <f t="shared" si="70"/>
        <v>0</v>
      </c>
      <c r="O907" t="str">
        <f t="shared" si="74"/>
        <v/>
      </c>
      <c r="P907" t="str">
        <f>IF(O907=1,COUNTIF($O$2:O907,1),"")</f>
        <v/>
      </c>
      <c r="Q907" t="str">
        <f>IFERROR(INDEX($M$2:$M$2388,MATCH(ROWS($P$2:P907),$P$2:$P$2388,0)),"")</f>
        <v/>
      </c>
    </row>
    <row r="908" spans="1:17" ht="15" x14ac:dyDescent="0.25">
      <c r="A908" s="10">
        <v>1092</v>
      </c>
      <c r="B908" s="10" t="s">
        <v>3764</v>
      </c>
      <c r="C908" s="880">
        <f t="shared" si="71"/>
        <v>76.2333</v>
      </c>
      <c r="D908" s="880">
        <f t="shared" si="72"/>
        <v>9.9665999999999997</v>
      </c>
      <c r="E908" s="10">
        <v>76.233329999999995</v>
      </c>
      <c r="F908" s="10">
        <v>9.9666669999999993</v>
      </c>
      <c r="G908" s="10">
        <v>5.5</v>
      </c>
      <c r="H908" s="10" t="s">
        <v>3657</v>
      </c>
      <c r="I908" s="10" t="s">
        <v>3658</v>
      </c>
      <c r="J908" s="10" t="s">
        <v>3659</v>
      </c>
      <c r="K908" s="10" t="s">
        <v>3660</v>
      </c>
      <c r="L908" s="65" t="str">
        <f t="shared" si="73"/>
        <v>Cochin|India|76,233330|9,966667|+5:30 Asia</v>
      </c>
      <c r="M908" s="10" t="s">
        <v>3765</v>
      </c>
      <c r="N908" s="10">
        <f t="shared" si="70"/>
        <v>0</v>
      </c>
      <c r="O908" t="str">
        <f t="shared" si="74"/>
        <v/>
      </c>
      <c r="P908" t="str">
        <f>IF(O908=1,COUNTIF($O$2:O908,1),"")</f>
        <v/>
      </c>
      <c r="Q908" t="str">
        <f>IFERROR(INDEX($M$2:$M$2388,MATCH(ROWS($P$2:P908),$P$2:$P$2388,0)),"")</f>
        <v/>
      </c>
    </row>
    <row r="909" spans="1:17" ht="15" x14ac:dyDescent="0.25">
      <c r="A909" s="10">
        <v>1091</v>
      </c>
      <c r="B909" s="10" t="s">
        <v>3766</v>
      </c>
      <c r="C909" s="880">
        <f t="shared" si="71"/>
        <v>76.9666</v>
      </c>
      <c r="D909" s="880">
        <f t="shared" si="72"/>
        <v>11</v>
      </c>
      <c r="E909" s="10">
        <v>76.966667000000001</v>
      </c>
      <c r="F909" s="10">
        <v>11</v>
      </c>
      <c r="G909" s="10">
        <v>5.5</v>
      </c>
      <c r="H909" s="10" t="s">
        <v>3657</v>
      </c>
      <c r="I909" s="10" t="s">
        <v>3658</v>
      </c>
      <c r="J909" s="10" t="s">
        <v>3659</v>
      </c>
      <c r="K909" s="10" t="s">
        <v>3660</v>
      </c>
      <c r="L909" s="65" t="str">
        <f t="shared" si="73"/>
        <v>Coimbatore|India|76,966667|11,000000|+5:30 Asia</v>
      </c>
      <c r="M909" s="10" t="s">
        <v>3767</v>
      </c>
      <c r="N909" s="10">
        <f t="shared" si="70"/>
        <v>0</v>
      </c>
      <c r="O909" t="str">
        <f t="shared" si="74"/>
        <v/>
      </c>
      <c r="P909" t="str">
        <f>IF(O909=1,COUNTIF($O$2:O909,1),"")</f>
        <v/>
      </c>
      <c r="Q909" t="str">
        <f>IFERROR(INDEX($M$2:$M$2388,MATCH(ROWS($P$2:P909),$P$2:$P$2388,0)),"")</f>
        <v/>
      </c>
    </row>
    <row r="910" spans="1:17" ht="15" x14ac:dyDescent="0.25">
      <c r="A910" s="10">
        <v>1090</v>
      </c>
      <c r="B910" s="10" t="s">
        <v>3768</v>
      </c>
      <c r="C910" s="880">
        <f t="shared" si="71"/>
        <v>85.879199999999997</v>
      </c>
      <c r="D910" s="880">
        <f t="shared" si="72"/>
        <v>20.4649</v>
      </c>
      <c r="E910" s="10">
        <v>85.879265000000004</v>
      </c>
      <c r="F910" s="10">
        <v>20.464973000000001</v>
      </c>
      <c r="G910" s="10">
        <v>5.5</v>
      </c>
      <c r="H910" s="10" t="s">
        <v>3657</v>
      </c>
      <c r="I910" s="10" t="s">
        <v>3658</v>
      </c>
      <c r="J910" s="10" t="s">
        <v>3659</v>
      </c>
      <c r="K910" s="10" t="s">
        <v>3660</v>
      </c>
      <c r="L910" s="65" t="str">
        <f t="shared" si="73"/>
        <v>Cuttack|India|85,879265|20,464973|+5:30 Asia</v>
      </c>
      <c r="M910" s="10" t="s">
        <v>3769</v>
      </c>
      <c r="N910" s="10">
        <f t="shared" si="70"/>
        <v>0</v>
      </c>
      <c r="O910" t="str">
        <f t="shared" si="74"/>
        <v/>
      </c>
      <c r="P910" t="str">
        <f>IF(O910=1,COUNTIF($O$2:O910,1),"")</f>
        <v/>
      </c>
      <c r="Q910" t="str">
        <f>IFERROR(INDEX($M$2:$M$2388,MATCH(ROWS($P$2:P910),$P$2:$P$2388,0)),"")</f>
        <v/>
      </c>
    </row>
    <row r="911" spans="1:17" ht="15" x14ac:dyDescent="0.25">
      <c r="A911" s="10">
        <v>1089</v>
      </c>
      <c r="B911" s="10" t="s">
        <v>3770</v>
      </c>
      <c r="C911" s="880">
        <f t="shared" si="71"/>
        <v>85.9</v>
      </c>
      <c r="D911" s="880">
        <f t="shared" si="72"/>
        <v>26.166599999999999</v>
      </c>
      <c r="E911" s="10">
        <v>85.900002000000001</v>
      </c>
      <c r="F911" s="10">
        <v>26.166665999999999</v>
      </c>
      <c r="G911" s="10">
        <v>5.5</v>
      </c>
      <c r="H911" s="10" t="s">
        <v>3657</v>
      </c>
      <c r="I911" s="10" t="s">
        <v>3658</v>
      </c>
      <c r="J911" s="10" t="s">
        <v>3659</v>
      </c>
      <c r="K911" s="10" t="s">
        <v>3660</v>
      </c>
      <c r="L911" s="65" t="str">
        <f t="shared" si="73"/>
        <v>Darbhanga|India|85,900002|26,166666|+5:30 Asia</v>
      </c>
      <c r="M911" s="10" t="s">
        <v>3771</v>
      </c>
      <c r="N911" s="10">
        <f t="shared" si="70"/>
        <v>0</v>
      </c>
      <c r="O911" t="str">
        <f t="shared" si="74"/>
        <v/>
      </c>
      <c r="P911" t="str">
        <f>IF(O911=1,COUNTIF($O$2:O911,1),"")</f>
        <v/>
      </c>
      <c r="Q911" t="str">
        <f>IFERROR(INDEX($M$2:$M$2388,MATCH(ROWS($P$2:P911),$P$2:$P$2388,0)),"")</f>
        <v/>
      </c>
    </row>
    <row r="912" spans="1:17" ht="15" x14ac:dyDescent="0.25">
      <c r="A912" s="10">
        <v>1088</v>
      </c>
      <c r="B912" s="10" t="s">
        <v>3772</v>
      </c>
      <c r="C912" s="880">
        <f t="shared" si="71"/>
        <v>78.033299999999997</v>
      </c>
      <c r="D912" s="880">
        <f t="shared" si="72"/>
        <v>30.316600000000001</v>
      </c>
      <c r="E912" s="10">
        <v>78.033332999999999</v>
      </c>
      <c r="F912" s="10">
        <v>30.316668</v>
      </c>
      <c r="G912" s="10">
        <v>5.5</v>
      </c>
      <c r="H912" s="10" t="s">
        <v>3657</v>
      </c>
      <c r="I912" s="10" t="s">
        <v>3658</v>
      </c>
      <c r="J912" s="10" t="s">
        <v>3659</v>
      </c>
      <c r="K912" s="10" t="s">
        <v>3660</v>
      </c>
      <c r="L912" s="65" t="str">
        <f t="shared" si="73"/>
        <v>Dehra Dun|India|78,033333|30,316668|+5:30 Asia</v>
      </c>
      <c r="M912" s="10" t="s">
        <v>3773</v>
      </c>
      <c r="N912" s="10">
        <f t="shared" si="70"/>
        <v>0</v>
      </c>
      <c r="O912" t="str">
        <f t="shared" si="74"/>
        <v/>
      </c>
      <c r="P912" t="str">
        <f>IF(O912=1,COUNTIF($O$2:O912,1),"")</f>
        <v/>
      </c>
      <c r="Q912" t="str">
        <f>IFERROR(INDEX($M$2:$M$2388,MATCH(ROWS($P$2:P912),$P$2:$P$2388,0)),"")</f>
        <v/>
      </c>
    </row>
    <row r="913" spans="1:17" ht="15" x14ac:dyDescent="0.25">
      <c r="A913" s="10">
        <v>1087</v>
      </c>
      <c r="B913" s="10" t="s">
        <v>3774</v>
      </c>
      <c r="C913" s="880">
        <f t="shared" si="71"/>
        <v>77.2166</v>
      </c>
      <c r="D913" s="880">
        <f t="shared" si="72"/>
        <v>28.666599999999999</v>
      </c>
      <c r="E913" s="10">
        <v>77.216667000000001</v>
      </c>
      <c r="F913" s="10">
        <v>28.666665999999999</v>
      </c>
      <c r="G913" s="10">
        <v>5.5</v>
      </c>
      <c r="H913" s="10" t="s">
        <v>3657</v>
      </c>
      <c r="I913" s="10" t="s">
        <v>3658</v>
      </c>
      <c r="J913" s="10" t="s">
        <v>3659</v>
      </c>
      <c r="K913" s="10" t="s">
        <v>3660</v>
      </c>
      <c r="L913" s="65" t="str">
        <f t="shared" si="73"/>
        <v>Delhi|India|77,216667|28,666666|+5:30 Asia</v>
      </c>
      <c r="M913" s="10" t="s">
        <v>3775</v>
      </c>
      <c r="N913" s="10">
        <f t="shared" si="70"/>
        <v>0</v>
      </c>
      <c r="O913" t="str">
        <f t="shared" si="74"/>
        <v/>
      </c>
      <c r="P913" t="str">
        <f>IF(O913=1,COUNTIF($O$2:O913,1),"")</f>
        <v/>
      </c>
      <c r="Q913" t="str">
        <f>IFERROR(INDEX($M$2:$M$2388,MATCH(ROWS($P$2:P913),$P$2:$P$2388,0)),"")</f>
        <v/>
      </c>
    </row>
    <row r="914" spans="1:17" ht="15" x14ac:dyDescent="0.25">
      <c r="A914" s="10">
        <v>1086</v>
      </c>
      <c r="B914" s="10" t="s">
        <v>3776</v>
      </c>
      <c r="C914" s="880">
        <f t="shared" si="71"/>
        <v>76.066599999999994</v>
      </c>
      <c r="D914" s="880">
        <f t="shared" si="72"/>
        <v>22.9666</v>
      </c>
      <c r="E914" s="10">
        <v>76.066665999999998</v>
      </c>
      <c r="F914" s="10">
        <v>22.966667000000001</v>
      </c>
      <c r="G914" s="10">
        <v>5.5</v>
      </c>
      <c r="H914" s="10" t="s">
        <v>3657</v>
      </c>
      <c r="I914" s="10" t="s">
        <v>3658</v>
      </c>
      <c r="J914" s="10" t="s">
        <v>3659</v>
      </c>
      <c r="K914" s="10" t="s">
        <v>3660</v>
      </c>
      <c r="L914" s="65" t="str">
        <f t="shared" si="73"/>
        <v>Dewas|India|76,066666|22,966667|+5:30 Asia</v>
      </c>
      <c r="M914" s="10" t="s">
        <v>3777</v>
      </c>
      <c r="N914" s="10">
        <f t="shared" si="70"/>
        <v>0</v>
      </c>
      <c r="O914" t="str">
        <f t="shared" si="74"/>
        <v/>
      </c>
      <c r="P914" t="str">
        <f>IF(O914=1,COUNTIF($O$2:O914,1),"")</f>
        <v/>
      </c>
      <c r="Q914" t="str">
        <f>IFERROR(INDEX($M$2:$M$2388,MATCH(ROWS($P$2:P914),$P$2:$P$2388,0)),"")</f>
        <v/>
      </c>
    </row>
    <row r="915" spans="1:17" ht="15" x14ac:dyDescent="0.25">
      <c r="A915" s="10">
        <v>1085</v>
      </c>
      <c r="B915" s="10" t="s">
        <v>3778</v>
      </c>
      <c r="C915" s="880">
        <f t="shared" si="71"/>
        <v>86.4499</v>
      </c>
      <c r="D915" s="880">
        <f t="shared" si="72"/>
        <v>23.799900000000001</v>
      </c>
      <c r="E915" s="10">
        <v>86.449996999999996</v>
      </c>
      <c r="F915" s="10">
        <v>23.799999</v>
      </c>
      <c r="G915" s="10">
        <v>5.5</v>
      </c>
      <c r="H915" s="10" t="s">
        <v>3657</v>
      </c>
      <c r="I915" s="10" t="s">
        <v>3658</v>
      </c>
      <c r="J915" s="10" t="s">
        <v>3659</v>
      </c>
      <c r="K915" s="10" t="s">
        <v>3660</v>
      </c>
      <c r="L915" s="65" t="str">
        <f t="shared" si="73"/>
        <v>Dhanbad|India|86,449997|23,799999|+5:30 Asia</v>
      </c>
      <c r="M915" s="10" t="s">
        <v>3779</v>
      </c>
      <c r="N915" s="10">
        <f t="shared" si="70"/>
        <v>0</v>
      </c>
      <c r="O915" t="str">
        <f t="shared" si="74"/>
        <v/>
      </c>
      <c r="P915" t="str">
        <f>IF(O915=1,COUNTIF($O$2:O915,1),"")</f>
        <v/>
      </c>
      <c r="Q915" t="str">
        <f>IFERROR(INDEX($M$2:$M$2388,MATCH(ROWS($P$2:P915),$P$2:$P$2388,0)),"")</f>
        <v/>
      </c>
    </row>
    <row r="916" spans="1:17" ht="15" x14ac:dyDescent="0.25">
      <c r="A916" s="10">
        <v>1084</v>
      </c>
      <c r="B916" s="10" t="s">
        <v>3780</v>
      </c>
      <c r="C916" s="880">
        <f t="shared" si="71"/>
        <v>74.783299999999997</v>
      </c>
      <c r="D916" s="880">
        <f t="shared" si="72"/>
        <v>20.9</v>
      </c>
      <c r="E916" s="10">
        <v>74.783332999999999</v>
      </c>
      <c r="F916" s="10">
        <v>20.9</v>
      </c>
      <c r="G916" s="10">
        <v>5.5</v>
      </c>
      <c r="H916" s="10" t="s">
        <v>3657</v>
      </c>
      <c r="I916" s="10" t="s">
        <v>3658</v>
      </c>
      <c r="J916" s="10" t="s">
        <v>3659</v>
      </c>
      <c r="K916" s="10" t="s">
        <v>3660</v>
      </c>
      <c r="L916" s="65" t="str">
        <f t="shared" si="73"/>
        <v>Dhule|India|74,783333|20,900000|+5:30 Asia</v>
      </c>
      <c r="M916" s="10" t="s">
        <v>3781</v>
      </c>
      <c r="N916" s="10">
        <f t="shared" si="70"/>
        <v>0</v>
      </c>
      <c r="O916" t="str">
        <f t="shared" si="74"/>
        <v/>
      </c>
      <c r="P916" t="str">
        <f>IF(O916=1,COUNTIF($O$2:O916,1),"")</f>
        <v/>
      </c>
      <c r="Q916" t="str">
        <f>IFERROR(INDEX($M$2:$M$2388,MATCH(ROWS($P$2:P916),$P$2:$P$2388,0)),"")</f>
        <v/>
      </c>
    </row>
    <row r="917" spans="1:17" ht="15" x14ac:dyDescent="0.25">
      <c r="A917" s="10">
        <v>1083</v>
      </c>
      <c r="B917" s="10" t="s">
        <v>3782</v>
      </c>
      <c r="C917" s="880">
        <f t="shared" si="71"/>
        <v>77.9499</v>
      </c>
      <c r="D917" s="880">
        <f t="shared" si="72"/>
        <v>10.35</v>
      </c>
      <c r="E917" s="10">
        <v>77.949996999999996</v>
      </c>
      <c r="F917" s="10">
        <v>10.35</v>
      </c>
      <c r="G917" s="10">
        <v>5.5</v>
      </c>
      <c r="H917" s="10" t="s">
        <v>3657</v>
      </c>
      <c r="I917" s="10" t="s">
        <v>3658</v>
      </c>
      <c r="J917" s="10" t="s">
        <v>3659</v>
      </c>
      <c r="K917" s="10" t="s">
        <v>3660</v>
      </c>
      <c r="L917" s="65" t="str">
        <f t="shared" si="73"/>
        <v>Dindigul|India|77,949997|10,350000|+5:30 Asia</v>
      </c>
      <c r="M917" s="10" t="s">
        <v>3783</v>
      </c>
      <c r="N917" s="10">
        <f t="shared" si="70"/>
        <v>0</v>
      </c>
      <c r="O917" t="str">
        <f t="shared" si="74"/>
        <v/>
      </c>
      <c r="P917" t="str">
        <f>IF(O917=1,COUNTIF($O$2:O917,1),"")</f>
        <v/>
      </c>
      <c r="Q917" t="str">
        <f>IFERROR(INDEX($M$2:$M$2388,MATCH(ROWS($P$2:P917),$P$2:$P$2388,0)),"")</f>
        <v/>
      </c>
    </row>
    <row r="918" spans="1:17" ht="15" x14ac:dyDescent="0.25">
      <c r="A918" s="10">
        <v>1082</v>
      </c>
      <c r="B918" s="10" t="s">
        <v>3784</v>
      </c>
      <c r="C918" s="880">
        <f t="shared" si="71"/>
        <v>81.283299999999997</v>
      </c>
      <c r="D918" s="880">
        <f t="shared" si="72"/>
        <v>21.183299999999999</v>
      </c>
      <c r="E918" s="10">
        <v>81.283332999999999</v>
      </c>
      <c r="F918" s="10">
        <v>21.183332</v>
      </c>
      <c r="G918" s="10">
        <v>5.5</v>
      </c>
      <c r="H918" s="10" t="s">
        <v>3657</v>
      </c>
      <c r="I918" s="10" t="s">
        <v>3658</v>
      </c>
      <c r="J918" s="10" t="s">
        <v>3659</v>
      </c>
      <c r="K918" s="10" t="s">
        <v>3660</v>
      </c>
      <c r="L918" s="65" t="str">
        <f t="shared" si="73"/>
        <v>Durg|India|81,283333|21,183332|+5:30 Asia</v>
      </c>
      <c r="M918" s="10" t="s">
        <v>3785</v>
      </c>
      <c r="N918" s="10">
        <f t="shared" si="70"/>
        <v>0</v>
      </c>
      <c r="O918" t="str">
        <f t="shared" si="74"/>
        <v/>
      </c>
      <c r="P918" t="str">
        <f>IF(O918=1,COUNTIF($O$2:O918,1),"")</f>
        <v/>
      </c>
      <c r="Q918" t="str">
        <f>IFERROR(INDEX($M$2:$M$2388,MATCH(ROWS($P$2:P918),$P$2:$P$2388,0)),"")</f>
        <v/>
      </c>
    </row>
    <row r="919" spans="1:17" ht="15" x14ac:dyDescent="0.25">
      <c r="A919" s="10">
        <v>1081</v>
      </c>
      <c r="B919" s="10" t="s">
        <v>3786</v>
      </c>
      <c r="C919" s="880">
        <f t="shared" si="71"/>
        <v>87.316599999999994</v>
      </c>
      <c r="D919" s="880">
        <f t="shared" si="72"/>
        <v>23.4833</v>
      </c>
      <c r="E919" s="10">
        <v>87.316665999999998</v>
      </c>
      <c r="F919" s="10">
        <v>23.483333999999999</v>
      </c>
      <c r="G919" s="10">
        <v>5.5</v>
      </c>
      <c r="H919" s="10" t="s">
        <v>3657</v>
      </c>
      <c r="I919" s="10" t="s">
        <v>3658</v>
      </c>
      <c r="J919" s="10" t="s">
        <v>3659</v>
      </c>
      <c r="K919" s="10" t="s">
        <v>3660</v>
      </c>
      <c r="L919" s="65" t="str">
        <f t="shared" si="73"/>
        <v>Durgapur|India|87,316666|23,483334|+5:30 Asia</v>
      </c>
      <c r="M919" s="10" t="s">
        <v>3787</v>
      </c>
      <c r="N919" s="10">
        <f t="shared" si="70"/>
        <v>0</v>
      </c>
      <c r="O919" t="str">
        <f t="shared" si="74"/>
        <v/>
      </c>
      <c r="P919" t="str">
        <f>IF(O919=1,COUNTIF($O$2:O919,1),"")</f>
        <v/>
      </c>
      <c r="Q919" t="str">
        <f>IFERROR(INDEX($M$2:$M$2388,MATCH(ROWS($P$2:P919),$P$2:$P$2388,0)),"")</f>
        <v/>
      </c>
    </row>
    <row r="920" spans="1:17" ht="15" x14ac:dyDescent="0.25">
      <c r="A920" s="10">
        <v>1080</v>
      </c>
      <c r="B920" s="10" t="s">
        <v>3788</v>
      </c>
      <c r="C920" s="880">
        <f t="shared" si="71"/>
        <v>79.033299999999997</v>
      </c>
      <c r="D920" s="880">
        <f t="shared" si="72"/>
        <v>26.7666</v>
      </c>
      <c r="E920" s="10">
        <v>79.033332999999999</v>
      </c>
      <c r="F920" s="10">
        <v>26.766666000000001</v>
      </c>
      <c r="G920" s="10">
        <v>5.5</v>
      </c>
      <c r="H920" s="10" t="s">
        <v>3657</v>
      </c>
      <c r="I920" s="10" t="s">
        <v>3658</v>
      </c>
      <c r="J920" s="10" t="s">
        <v>3659</v>
      </c>
      <c r="K920" s="10" t="s">
        <v>3660</v>
      </c>
      <c r="L920" s="65" t="str">
        <f t="shared" si="73"/>
        <v>Etawah|India|79,033333|26,766666|+5:30 Asia</v>
      </c>
      <c r="M920" s="10" t="s">
        <v>3789</v>
      </c>
      <c r="N920" s="10">
        <f t="shared" si="70"/>
        <v>0</v>
      </c>
      <c r="O920" t="str">
        <f t="shared" si="74"/>
        <v/>
      </c>
      <c r="P920" t="str">
        <f>IF(O920=1,COUNTIF($O$2:O920,1),"")</f>
        <v/>
      </c>
      <c r="Q920" t="str">
        <f>IFERROR(INDEX($M$2:$M$2388,MATCH(ROWS($P$2:P920),$P$2:$P$2388,0)),"")</f>
        <v/>
      </c>
    </row>
    <row r="921" spans="1:17" ht="15" x14ac:dyDescent="0.25">
      <c r="A921" s="10">
        <v>1079</v>
      </c>
      <c r="B921" s="10" t="s">
        <v>3790</v>
      </c>
      <c r="C921" s="880">
        <f t="shared" si="71"/>
        <v>77.316599999999994</v>
      </c>
      <c r="D921" s="880">
        <f t="shared" si="72"/>
        <v>28.433299999999999</v>
      </c>
      <c r="E921" s="10">
        <v>77.316665999999998</v>
      </c>
      <c r="F921" s="10">
        <v>28.433332</v>
      </c>
      <c r="G921" s="10">
        <v>5.5</v>
      </c>
      <c r="H921" s="10" t="s">
        <v>3657</v>
      </c>
      <c r="I921" s="10" t="s">
        <v>3658</v>
      </c>
      <c r="J921" s="10" t="s">
        <v>3659</v>
      </c>
      <c r="K921" s="10" t="s">
        <v>3660</v>
      </c>
      <c r="L921" s="65" t="str">
        <f t="shared" si="73"/>
        <v>Faridabad|India|77,316666|28,433332|+5:30 Asia</v>
      </c>
      <c r="M921" s="10" t="s">
        <v>3791</v>
      </c>
      <c r="N921" s="10">
        <f t="shared" si="70"/>
        <v>0</v>
      </c>
      <c r="O921" t="str">
        <f t="shared" si="74"/>
        <v/>
      </c>
      <c r="P921" t="str">
        <f>IF(O921=1,COUNTIF($O$2:O921,1),"")</f>
        <v/>
      </c>
      <c r="Q921" t="str">
        <f>IFERROR(INDEX($M$2:$M$2388,MATCH(ROWS($P$2:P921),$P$2:$P$2388,0)),"")</f>
        <v/>
      </c>
    </row>
    <row r="922" spans="1:17" ht="15" x14ac:dyDescent="0.25">
      <c r="A922" s="10">
        <v>1078</v>
      </c>
      <c r="B922" s="10" t="s">
        <v>3792</v>
      </c>
      <c r="C922" s="880">
        <f t="shared" si="71"/>
        <v>79.566599999999994</v>
      </c>
      <c r="D922" s="880">
        <f t="shared" si="72"/>
        <v>27.4</v>
      </c>
      <c r="E922" s="10">
        <v>79.566665999999998</v>
      </c>
      <c r="F922" s="10">
        <v>27.4</v>
      </c>
      <c r="G922" s="10">
        <v>5.5</v>
      </c>
      <c r="H922" s="10" t="s">
        <v>3657</v>
      </c>
      <c r="I922" s="10" t="s">
        <v>3658</v>
      </c>
      <c r="J922" s="10" t="s">
        <v>3659</v>
      </c>
      <c r="K922" s="10" t="s">
        <v>3660</v>
      </c>
      <c r="L922" s="65" t="str">
        <f t="shared" si="73"/>
        <v>Farrukhabad|India|79,566666|27,400000|+5:30 Asia</v>
      </c>
      <c r="M922" s="10" t="s">
        <v>3793</v>
      </c>
      <c r="N922" s="10">
        <f t="shared" si="70"/>
        <v>0</v>
      </c>
      <c r="O922" t="str">
        <f t="shared" si="74"/>
        <v/>
      </c>
      <c r="P922" t="str">
        <f>IF(O922=1,COUNTIF($O$2:O922,1),"")</f>
        <v/>
      </c>
      <c r="Q922" t="str">
        <f>IFERROR(INDEX($M$2:$M$2388,MATCH(ROWS($P$2:P922),$P$2:$P$2388,0)),"")</f>
        <v/>
      </c>
    </row>
    <row r="923" spans="1:17" ht="15" x14ac:dyDescent="0.25">
      <c r="A923" s="10">
        <v>1077</v>
      </c>
      <c r="B923" s="10" t="s">
        <v>3794</v>
      </c>
      <c r="C923" s="880">
        <f t="shared" si="71"/>
        <v>78.416600000000003</v>
      </c>
      <c r="D923" s="880">
        <f t="shared" si="72"/>
        <v>27.15</v>
      </c>
      <c r="E923" s="10">
        <v>78.416663999999997</v>
      </c>
      <c r="F923" s="10">
        <v>27.15</v>
      </c>
      <c r="G923" s="10">
        <v>5.5</v>
      </c>
      <c r="H923" s="10" t="s">
        <v>3657</v>
      </c>
      <c r="I923" s="10" t="s">
        <v>3658</v>
      </c>
      <c r="J923" s="10" t="s">
        <v>3659</v>
      </c>
      <c r="K923" s="10" t="s">
        <v>3660</v>
      </c>
      <c r="L923" s="65" t="str">
        <f t="shared" si="73"/>
        <v>Firozabad|India|78,416664|27,150000|+5:30 Asia</v>
      </c>
      <c r="M923" s="10" t="s">
        <v>3795</v>
      </c>
      <c r="N923" s="10">
        <f t="shared" si="70"/>
        <v>0</v>
      </c>
      <c r="O923" t="str">
        <f t="shared" si="74"/>
        <v/>
      </c>
      <c r="P923" t="str">
        <f>IF(O923=1,COUNTIF($O$2:O923,1),"")</f>
        <v/>
      </c>
      <c r="Q923" t="str">
        <f>IFERROR(INDEX($M$2:$M$2388,MATCH(ROWS($P$2:P923),$P$2:$P$2388,0)),"")</f>
        <v/>
      </c>
    </row>
    <row r="924" spans="1:17" ht="15" x14ac:dyDescent="0.25">
      <c r="A924" s="10">
        <v>1076</v>
      </c>
      <c r="B924" s="10" t="s">
        <v>3796</v>
      </c>
      <c r="C924" s="880">
        <f t="shared" si="71"/>
        <v>73.883300000000006</v>
      </c>
      <c r="D924" s="880">
        <f t="shared" si="72"/>
        <v>29.916599999999999</v>
      </c>
      <c r="E924" s="10">
        <v>73.883330999999998</v>
      </c>
      <c r="F924" s="10">
        <v>29.916665999999999</v>
      </c>
      <c r="G924" s="10">
        <v>5.5</v>
      </c>
      <c r="H924" s="10" t="s">
        <v>3657</v>
      </c>
      <c r="I924" s="10" t="s">
        <v>3658</v>
      </c>
      <c r="J924" s="10" t="s">
        <v>3659</v>
      </c>
      <c r="K924" s="10" t="s">
        <v>3660</v>
      </c>
      <c r="L924" s="65" t="str">
        <f t="shared" si="73"/>
        <v>Ganganagar|India|73,883331|29,916666|+5:30 Asia</v>
      </c>
      <c r="M924" s="10" t="s">
        <v>3797</v>
      </c>
      <c r="N924" s="10">
        <f t="shared" si="70"/>
        <v>0</v>
      </c>
      <c r="O924" t="str">
        <f t="shared" si="74"/>
        <v/>
      </c>
      <c r="P924" t="str">
        <f>IF(O924=1,COUNTIF($O$2:O924,1),"")</f>
        <v/>
      </c>
      <c r="Q924" t="str">
        <f>IFERROR(INDEX($M$2:$M$2388,MATCH(ROWS($P$2:P924),$P$2:$P$2388,0)),"")</f>
        <v/>
      </c>
    </row>
    <row r="925" spans="1:17" ht="15" x14ac:dyDescent="0.25">
      <c r="A925" s="10">
        <v>1074</v>
      </c>
      <c r="B925" s="10" t="s">
        <v>3798</v>
      </c>
      <c r="C925" s="880">
        <f t="shared" si="71"/>
        <v>85</v>
      </c>
      <c r="D925" s="880">
        <f t="shared" si="72"/>
        <v>24.783300000000001</v>
      </c>
      <c r="E925" s="10">
        <v>85</v>
      </c>
      <c r="F925" s="10">
        <v>24.783332999999999</v>
      </c>
      <c r="G925" s="10">
        <v>5.5</v>
      </c>
      <c r="H925" s="10" t="s">
        <v>3657</v>
      </c>
      <c r="I925" s="10" t="s">
        <v>3658</v>
      </c>
      <c r="J925" s="10" t="s">
        <v>3659</v>
      </c>
      <c r="K925" s="10" t="s">
        <v>3660</v>
      </c>
      <c r="L925" s="65" t="str">
        <f t="shared" si="73"/>
        <v>Gaya|India|85,000000|24,783333|+5:30 Asia</v>
      </c>
      <c r="M925" s="10" t="s">
        <v>3799</v>
      </c>
      <c r="N925" s="10">
        <f t="shared" si="70"/>
        <v>0</v>
      </c>
      <c r="O925" t="str">
        <f t="shared" si="74"/>
        <v/>
      </c>
      <c r="P925" t="str">
        <f>IF(O925=1,COUNTIF($O$2:O925,1),"")</f>
        <v/>
      </c>
      <c r="Q925" t="str">
        <f>IFERROR(INDEX($M$2:$M$2388,MATCH(ROWS($P$2:P925),$P$2:$P$2388,0)),"")</f>
        <v/>
      </c>
    </row>
    <row r="926" spans="1:17" ht="15" x14ac:dyDescent="0.25">
      <c r="A926" s="10">
        <v>1073</v>
      </c>
      <c r="B926" s="10" t="s">
        <v>3800</v>
      </c>
      <c r="C926" s="880">
        <f t="shared" si="71"/>
        <v>77.433300000000003</v>
      </c>
      <c r="D926" s="880">
        <f t="shared" si="72"/>
        <v>28.666599999999999</v>
      </c>
      <c r="E926" s="10">
        <v>77.433334000000002</v>
      </c>
      <c r="F926" s="10">
        <v>28.666665999999999</v>
      </c>
      <c r="G926" s="10">
        <v>5.5</v>
      </c>
      <c r="H926" s="10" t="s">
        <v>3657</v>
      </c>
      <c r="I926" s="10" t="s">
        <v>3658</v>
      </c>
      <c r="J926" s="10" t="s">
        <v>3659</v>
      </c>
      <c r="K926" s="10" t="s">
        <v>3660</v>
      </c>
      <c r="L926" s="65" t="str">
        <f t="shared" si="73"/>
        <v>Ghaziabad|India|77,433334|28,666666|+5:30 Asia</v>
      </c>
      <c r="M926" s="10" t="s">
        <v>3801</v>
      </c>
      <c r="N926" s="10">
        <f t="shared" si="70"/>
        <v>0</v>
      </c>
      <c r="O926" t="str">
        <f t="shared" si="74"/>
        <v/>
      </c>
      <c r="P926" t="str">
        <f>IF(O926=1,COUNTIF($O$2:O926,1),"")</f>
        <v/>
      </c>
      <c r="Q926" t="str">
        <f>IFERROR(INDEX($M$2:$M$2388,MATCH(ROWS($P$2:P926),$P$2:$P$2388,0)),"")</f>
        <v/>
      </c>
    </row>
    <row r="927" spans="1:17" ht="15" x14ac:dyDescent="0.25">
      <c r="A927" s="10">
        <v>1072</v>
      </c>
      <c r="B927" s="10" t="s">
        <v>3802</v>
      </c>
      <c r="C927" s="880">
        <f t="shared" si="71"/>
        <v>83.373800000000003</v>
      </c>
      <c r="D927" s="880">
        <f t="shared" si="72"/>
        <v>26.754899999999999</v>
      </c>
      <c r="E927" s="10">
        <v>83.373885999999999</v>
      </c>
      <c r="F927" s="10">
        <v>26.754999000000002</v>
      </c>
      <c r="G927" s="10">
        <v>5.5</v>
      </c>
      <c r="H927" s="10" t="s">
        <v>3657</v>
      </c>
      <c r="I927" s="10" t="s">
        <v>3658</v>
      </c>
      <c r="J927" s="10" t="s">
        <v>3659</v>
      </c>
      <c r="K927" s="10" t="s">
        <v>3660</v>
      </c>
      <c r="L927" s="65" t="str">
        <f t="shared" si="73"/>
        <v>Gorakhpur, Uttar Pradesh|India|83,373886|26,754999|+5:30 Asia</v>
      </c>
      <c r="M927" s="10" t="s">
        <v>3803</v>
      </c>
      <c r="N927" s="10">
        <f t="shared" si="70"/>
        <v>0</v>
      </c>
      <c r="O927" t="str">
        <f t="shared" si="74"/>
        <v/>
      </c>
      <c r="P927" t="str">
        <f>IF(O927=1,COUNTIF($O$2:O927,1),"")</f>
        <v/>
      </c>
      <c r="Q927" t="str">
        <f>IFERROR(INDEX($M$2:$M$2388,MATCH(ROWS($P$2:P927),$P$2:$P$2388,0)),"")</f>
        <v/>
      </c>
    </row>
    <row r="928" spans="1:17" ht="15" x14ac:dyDescent="0.25">
      <c r="A928" s="10">
        <v>1071</v>
      </c>
      <c r="B928" s="10" t="s">
        <v>3804</v>
      </c>
      <c r="C928" s="880">
        <f t="shared" si="71"/>
        <v>76.833299999999994</v>
      </c>
      <c r="D928" s="880">
        <f t="shared" si="72"/>
        <v>17.333300000000001</v>
      </c>
      <c r="E928" s="10">
        <v>76.833336000000003</v>
      </c>
      <c r="F928" s="10">
        <v>17.333334000000001</v>
      </c>
      <c r="G928" s="10">
        <v>5.5</v>
      </c>
      <c r="H928" s="10" t="s">
        <v>3657</v>
      </c>
      <c r="I928" s="10" t="s">
        <v>3658</v>
      </c>
      <c r="J928" s="10" t="s">
        <v>3659</v>
      </c>
      <c r="K928" s="10" t="s">
        <v>3660</v>
      </c>
      <c r="L928" s="65" t="str">
        <f t="shared" si="73"/>
        <v>Gulbarga|India|76,833336|17,333334|+5:30 Asia</v>
      </c>
      <c r="M928" s="10" t="s">
        <v>3805</v>
      </c>
      <c r="N928" s="10">
        <f t="shared" si="70"/>
        <v>0</v>
      </c>
      <c r="O928" t="str">
        <f t="shared" si="74"/>
        <v/>
      </c>
      <c r="P928" t="str">
        <f>IF(O928=1,COUNTIF($O$2:O928,1),"")</f>
        <v/>
      </c>
      <c r="Q928" t="str">
        <f>IFERROR(INDEX($M$2:$M$2388,MATCH(ROWS($P$2:P928),$P$2:$P$2388,0)),"")</f>
        <v/>
      </c>
    </row>
    <row r="929" spans="1:17" ht="15" x14ac:dyDescent="0.25">
      <c r="A929" s="10">
        <v>1070</v>
      </c>
      <c r="B929" s="10" t="s">
        <v>3806</v>
      </c>
      <c r="C929" s="880">
        <f t="shared" si="71"/>
        <v>80.4499</v>
      </c>
      <c r="D929" s="880">
        <f t="shared" si="72"/>
        <v>16.299900000000001</v>
      </c>
      <c r="E929" s="10">
        <v>80.449996999999996</v>
      </c>
      <c r="F929" s="10">
        <v>16.299999</v>
      </c>
      <c r="G929" s="10">
        <v>5.5</v>
      </c>
      <c r="H929" s="10" t="s">
        <v>3657</v>
      </c>
      <c r="I929" s="10" t="s">
        <v>3658</v>
      </c>
      <c r="J929" s="10" t="s">
        <v>3659</v>
      </c>
      <c r="K929" s="10" t="s">
        <v>3660</v>
      </c>
      <c r="L929" s="65" t="str">
        <f t="shared" si="73"/>
        <v>Guntur|India|80,449997|16,299999|+5:30 Asia</v>
      </c>
      <c r="M929" s="10" t="s">
        <v>3807</v>
      </c>
      <c r="N929" s="10">
        <f t="shared" si="70"/>
        <v>0</v>
      </c>
      <c r="O929" t="str">
        <f t="shared" si="74"/>
        <v/>
      </c>
      <c r="P929" t="str">
        <f>IF(O929=1,COUNTIF($O$2:O929,1),"")</f>
        <v/>
      </c>
      <c r="Q929" t="str">
        <f>IFERROR(INDEX($M$2:$M$2388,MATCH(ROWS($P$2:P929),$P$2:$P$2388,0)),"")</f>
        <v/>
      </c>
    </row>
    <row r="930" spans="1:17" ht="15" x14ac:dyDescent="0.25">
      <c r="A930" s="10">
        <v>1075</v>
      </c>
      <c r="B930" s="10" t="s">
        <v>3808</v>
      </c>
      <c r="C930" s="880">
        <f t="shared" si="71"/>
        <v>91.7333</v>
      </c>
      <c r="D930" s="880">
        <f t="shared" si="72"/>
        <v>26.183299999999999</v>
      </c>
      <c r="E930" s="10">
        <v>91.733329999999995</v>
      </c>
      <c r="F930" s="10">
        <v>26.183332</v>
      </c>
      <c r="G930" s="10">
        <v>5.5</v>
      </c>
      <c r="H930" s="10" t="s">
        <v>3657</v>
      </c>
      <c r="I930" s="10" t="s">
        <v>3658</v>
      </c>
      <c r="J930" s="10" t="s">
        <v>3659</v>
      </c>
      <c r="K930" s="10" t="s">
        <v>3660</v>
      </c>
      <c r="L930" s="65" t="str">
        <f t="shared" si="73"/>
        <v>Guwahati|India|91,733330|26,183332|+5:30 Asia</v>
      </c>
      <c r="M930" s="10" t="s">
        <v>3809</v>
      </c>
      <c r="N930" s="10">
        <f t="shared" si="70"/>
        <v>0</v>
      </c>
      <c r="O930" t="str">
        <f t="shared" si="74"/>
        <v/>
      </c>
      <c r="P930" t="str">
        <f>IF(O930=1,COUNTIF($O$2:O930,1),"")</f>
        <v/>
      </c>
      <c r="Q930" t="str">
        <f>IFERROR(INDEX($M$2:$M$2388,MATCH(ROWS($P$2:P930),$P$2:$P$2388,0)),"")</f>
        <v/>
      </c>
    </row>
    <row r="931" spans="1:17" ht="15" x14ac:dyDescent="0.25">
      <c r="A931" s="10">
        <v>1069</v>
      </c>
      <c r="B931" s="10" t="s">
        <v>3810</v>
      </c>
      <c r="C931" s="880">
        <f t="shared" si="71"/>
        <v>78.179100000000005</v>
      </c>
      <c r="D931" s="880">
        <f t="shared" si="72"/>
        <v>26.223600000000001</v>
      </c>
      <c r="E931" s="10">
        <v>78.179169000000002</v>
      </c>
      <c r="F931" s="10">
        <v>26.223611999999999</v>
      </c>
      <c r="G931" s="10">
        <v>5.5</v>
      </c>
      <c r="H931" s="10" t="s">
        <v>3657</v>
      </c>
      <c r="I931" s="10" t="s">
        <v>3658</v>
      </c>
      <c r="J931" s="10" t="s">
        <v>3659</v>
      </c>
      <c r="K931" s="10" t="s">
        <v>3660</v>
      </c>
      <c r="L931" s="65" t="str">
        <f t="shared" si="73"/>
        <v>Gwalior|India|78,179169|26,223612|+5:30 Asia</v>
      </c>
      <c r="M931" s="10" t="s">
        <v>3811</v>
      </c>
      <c r="N931" s="10">
        <f t="shared" si="70"/>
        <v>0</v>
      </c>
      <c r="O931" t="str">
        <f t="shared" si="74"/>
        <v/>
      </c>
      <c r="P931" t="str">
        <f>IF(O931=1,COUNTIF($O$2:O931,1),"")</f>
        <v/>
      </c>
      <c r="Q931" t="str">
        <f>IFERROR(INDEX($M$2:$M$2388,MATCH(ROWS($P$2:P931),$P$2:$P$2388,0)),"")</f>
        <v/>
      </c>
    </row>
    <row r="932" spans="1:17" ht="15" x14ac:dyDescent="0.25">
      <c r="A932" s="10">
        <v>1068</v>
      </c>
      <c r="B932" s="10" t="s">
        <v>3812</v>
      </c>
      <c r="C932" s="880">
        <f t="shared" si="71"/>
        <v>88.310199999999995</v>
      </c>
      <c r="D932" s="880">
        <f t="shared" si="72"/>
        <v>22.589099999999998</v>
      </c>
      <c r="E932" s="10">
        <v>88.310280000000006</v>
      </c>
      <c r="F932" s="10">
        <v>22.589167</v>
      </c>
      <c r="G932" s="10">
        <v>5.5</v>
      </c>
      <c r="H932" s="10" t="s">
        <v>3657</v>
      </c>
      <c r="I932" s="10" t="s">
        <v>3658</v>
      </c>
      <c r="J932" s="10" t="s">
        <v>3659</v>
      </c>
      <c r="K932" s="10" t="s">
        <v>3660</v>
      </c>
      <c r="L932" s="65" t="str">
        <f t="shared" si="73"/>
        <v>Haora|India|88,310280|22,589167|+5:30 Asia</v>
      </c>
      <c r="M932" s="10" t="s">
        <v>3813</v>
      </c>
      <c r="N932" s="10">
        <f t="shared" si="70"/>
        <v>0</v>
      </c>
      <c r="O932" t="str">
        <f t="shared" si="74"/>
        <v/>
      </c>
      <c r="P932" t="str">
        <f>IF(O932=1,COUNTIF($O$2:O932,1),"")</f>
        <v/>
      </c>
      <c r="Q932" t="str">
        <f>IFERROR(INDEX($M$2:$M$2388,MATCH(ROWS($P$2:P932),$P$2:$P$2388,0)),"")</f>
        <v/>
      </c>
    </row>
    <row r="933" spans="1:17" ht="15" x14ac:dyDescent="0.25">
      <c r="A933" s="10">
        <v>1067</v>
      </c>
      <c r="B933" s="10" t="s">
        <v>3814</v>
      </c>
      <c r="C933" s="880">
        <f t="shared" si="71"/>
        <v>77.783299999999997</v>
      </c>
      <c r="D933" s="880">
        <f t="shared" si="72"/>
        <v>28.7166</v>
      </c>
      <c r="E933" s="10">
        <v>77.783332999999999</v>
      </c>
      <c r="F933" s="10">
        <v>28.716667000000001</v>
      </c>
      <c r="G933" s="10">
        <v>5.5</v>
      </c>
      <c r="H933" s="10" t="s">
        <v>3657</v>
      </c>
      <c r="I933" s="10" t="s">
        <v>3658</v>
      </c>
      <c r="J933" s="10" t="s">
        <v>3659</v>
      </c>
      <c r="K933" s="10" t="s">
        <v>3660</v>
      </c>
      <c r="L933" s="65" t="str">
        <f t="shared" si="73"/>
        <v>Hapur|India|77,783333|28,716667|+5:30 Asia</v>
      </c>
      <c r="M933" s="10" t="s">
        <v>3815</v>
      </c>
      <c r="N933" s="10">
        <f t="shared" si="70"/>
        <v>0</v>
      </c>
      <c r="O933" t="str">
        <f t="shared" si="74"/>
        <v/>
      </c>
      <c r="P933" t="str">
        <f>IF(O933=1,COUNTIF($O$2:O933,1),"")</f>
        <v/>
      </c>
      <c r="Q933" t="str">
        <f>IFERROR(INDEX($M$2:$M$2388,MATCH(ROWS($P$2:P933),$P$2:$P$2388,0)),"")</f>
        <v/>
      </c>
    </row>
    <row r="934" spans="1:17" ht="15" x14ac:dyDescent="0.25">
      <c r="A934" s="10">
        <v>1066</v>
      </c>
      <c r="B934" s="10" t="s">
        <v>3816</v>
      </c>
      <c r="C934" s="880">
        <f t="shared" si="71"/>
        <v>75.7166</v>
      </c>
      <c r="D934" s="880">
        <f t="shared" si="72"/>
        <v>29.166599999999999</v>
      </c>
      <c r="E934" s="10">
        <v>75.716667000000001</v>
      </c>
      <c r="F934" s="10">
        <v>29.166665999999999</v>
      </c>
      <c r="G934" s="10">
        <v>5.5</v>
      </c>
      <c r="H934" s="10" t="s">
        <v>3657</v>
      </c>
      <c r="I934" s="10" t="s">
        <v>3658</v>
      </c>
      <c r="J934" s="10" t="s">
        <v>3659</v>
      </c>
      <c r="K934" s="10" t="s">
        <v>3660</v>
      </c>
      <c r="L934" s="65" t="str">
        <f t="shared" si="73"/>
        <v>Hisar|India|75,716667|29,166666|+5:30 Asia</v>
      </c>
      <c r="M934" s="10" t="s">
        <v>3817</v>
      </c>
      <c r="N934" s="10">
        <f t="shared" si="70"/>
        <v>0</v>
      </c>
      <c r="O934" t="str">
        <f t="shared" si="74"/>
        <v/>
      </c>
      <c r="P934" t="str">
        <f>IF(O934=1,COUNTIF($O$2:O934,1),"")</f>
        <v/>
      </c>
      <c r="Q934" t="str">
        <f>IFERROR(INDEX($M$2:$M$2388,MATCH(ROWS($P$2:P934),$P$2:$P$2388,0)),"")</f>
        <v/>
      </c>
    </row>
    <row r="935" spans="1:17" ht="15" x14ac:dyDescent="0.25">
      <c r="A935" s="10">
        <v>1065</v>
      </c>
      <c r="B935" s="10" t="s">
        <v>3818</v>
      </c>
      <c r="C935" s="880">
        <f t="shared" si="71"/>
        <v>75.166600000000003</v>
      </c>
      <c r="D935" s="880">
        <f t="shared" si="72"/>
        <v>15.35</v>
      </c>
      <c r="E935" s="10">
        <v>75.166663999999997</v>
      </c>
      <c r="F935" s="10">
        <v>15.35</v>
      </c>
      <c r="G935" s="10">
        <v>5.5</v>
      </c>
      <c r="H935" s="10" t="s">
        <v>3657</v>
      </c>
      <c r="I935" s="10" t="s">
        <v>3658</v>
      </c>
      <c r="J935" s="10" t="s">
        <v>3659</v>
      </c>
      <c r="K935" s="10" t="s">
        <v>3660</v>
      </c>
      <c r="L935" s="65" t="str">
        <f t="shared" si="73"/>
        <v>Hubli|India|75,166664|15,350000|+5:30 Asia</v>
      </c>
      <c r="M935" s="10" t="s">
        <v>3819</v>
      </c>
      <c r="N935" s="10">
        <f t="shared" si="70"/>
        <v>0</v>
      </c>
      <c r="O935" t="str">
        <f t="shared" si="74"/>
        <v/>
      </c>
      <c r="P935" t="str">
        <f>IF(O935=1,COUNTIF($O$2:O935,1),"")</f>
        <v/>
      </c>
      <c r="Q935" t="str">
        <f>IFERROR(INDEX($M$2:$M$2388,MATCH(ROWS($P$2:P935),$P$2:$P$2388,0)),"")</f>
        <v/>
      </c>
    </row>
    <row r="936" spans="1:17" ht="15" x14ac:dyDescent="0.25">
      <c r="A936" s="10">
        <v>1064</v>
      </c>
      <c r="B936" s="10" t="s">
        <v>3820</v>
      </c>
      <c r="C936" s="880">
        <f t="shared" si="71"/>
        <v>78.474400000000003</v>
      </c>
      <c r="D936" s="880">
        <f t="shared" si="72"/>
        <v>17.3752</v>
      </c>
      <c r="E936" s="10">
        <v>78.474441999999996</v>
      </c>
      <c r="F936" s="10">
        <v>17.375278000000002</v>
      </c>
      <c r="G936" s="10">
        <v>5.5</v>
      </c>
      <c r="H936" s="10" t="s">
        <v>3657</v>
      </c>
      <c r="I936" s="10" t="s">
        <v>3658</v>
      </c>
      <c r="J936" s="10" t="s">
        <v>3659</v>
      </c>
      <c r="K936" s="10" t="s">
        <v>3660</v>
      </c>
      <c r="L936" s="65" t="str">
        <f t="shared" si="73"/>
        <v>Hyderabad|India|78,474442|17,375278|+5:30 Asia</v>
      </c>
      <c r="M936" s="10" t="s">
        <v>3821</v>
      </c>
      <c r="N936" s="10">
        <f t="shared" si="70"/>
        <v>0</v>
      </c>
      <c r="O936" t="str">
        <f t="shared" si="74"/>
        <v/>
      </c>
      <c r="P936" t="str">
        <f>IF(O936=1,COUNTIF($O$2:O936,1),"")</f>
        <v/>
      </c>
      <c r="Q936" t="str">
        <f>IFERROR(INDEX($M$2:$M$2388,MATCH(ROWS($P$2:P936),$P$2:$P$2388,0)),"")</f>
        <v/>
      </c>
    </row>
    <row r="937" spans="1:17" ht="15" x14ac:dyDescent="0.25">
      <c r="A937" s="10">
        <v>1063</v>
      </c>
      <c r="B937" s="10" t="s">
        <v>3822</v>
      </c>
      <c r="C937" s="880">
        <f t="shared" si="71"/>
        <v>74.4666</v>
      </c>
      <c r="D937" s="880">
        <f t="shared" si="72"/>
        <v>16.7</v>
      </c>
      <c r="E937" s="10">
        <v>74.466667000000001</v>
      </c>
      <c r="F937" s="10">
        <v>16.700001</v>
      </c>
      <c r="G937" s="10">
        <v>5.5</v>
      </c>
      <c r="H937" s="10" t="s">
        <v>3657</v>
      </c>
      <c r="I937" s="10" t="s">
        <v>3658</v>
      </c>
      <c r="J937" s="10" t="s">
        <v>3659</v>
      </c>
      <c r="K937" s="10" t="s">
        <v>3660</v>
      </c>
      <c r="L937" s="65" t="str">
        <f t="shared" si="73"/>
        <v>Ichalkaranji|India|74,466667|16,700001|+5:30 Asia</v>
      </c>
      <c r="M937" s="10" t="s">
        <v>3823</v>
      </c>
      <c r="N937" s="10">
        <f t="shared" si="70"/>
        <v>0</v>
      </c>
      <c r="O937" t="str">
        <f t="shared" si="74"/>
        <v/>
      </c>
      <c r="P937" t="str">
        <f>IF(O937=1,COUNTIF($O$2:O937,1),"")</f>
        <v/>
      </c>
      <c r="Q937" t="str">
        <f>IFERROR(INDEX($M$2:$M$2388,MATCH(ROWS($P$2:P937),$P$2:$P$2388,0)),"")</f>
        <v/>
      </c>
    </row>
    <row r="938" spans="1:17" ht="15" x14ac:dyDescent="0.25">
      <c r="A938" s="10">
        <v>1062</v>
      </c>
      <c r="B938" s="10" t="s">
        <v>3824</v>
      </c>
      <c r="C938" s="880">
        <f t="shared" si="71"/>
        <v>93.9499</v>
      </c>
      <c r="D938" s="880">
        <f t="shared" si="72"/>
        <v>24.816600000000001</v>
      </c>
      <c r="E938" s="10">
        <v>93.949996999999996</v>
      </c>
      <c r="F938" s="10">
        <v>24.816668</v>
      </c>
      <c r="G938" s="10">
        <v>5.5</v>
      </c>
      <c r="H938" s="10" t="s">
        <v>3657</v>
      </c>
      <c r="I938" s="10" t="s">
        <v>3658</v>
      </c>
      <c r="J938" s="10" t="s">
        <v>3659</v>
      </c>
      <c r="K938" s="10" t="s">
        <v>3660</v>
      </c>
      <c r="L938" s="65" t="str">
        <f t="shared" si="73"/>
        <v>Imphal|India|93,949997|24,816668|+5:30 Asia</v>
      </c>
      <c r="M938" s="10" t="s">
        <v>3825</v>
      </c>
      <c r="N938" s="10">
        <f t="shared" si="70"/>
        <v>0</v>
      </c>
      <c r="O938" t="str">
        <f t="shared" si="74"/>
        <v/>
      </c>
      <c r="P938" t="str">
        <f>IF(O938=1,COUNTIF($O$2:O938,1),"")</f>
        <v/>
      </c>
      <c r="Q938" t="str">
        <f>IFERROR(INDEX($M$2:$M$2388,MATCH(ROWS($P$2:P938),$P$2:$P$2388,0)),"")</f>
        <v/>
      </c>
    </row>
    <row r="939" spans="1:17" ht="15" x14ac:dyDescent="0.25">
      <c r="A939" s="10">
        <v>1061</v>
      </c>
      <c r="B939" s="10" t="s">
        <v>3826</v>
      </c>
      <c r="C939" s="880">
        <f t="shared" si="71"/>
        <v>75.833299999999994</v>
      </c>
      <c r="D939" s="880">
        <f t="shared" si="72"/>
        <v>22.7179</v>
      </c>
      <c r="E939" s="10">
        <v>75.833304999999996</v>
      </c>
      <c r="F939" s="10">
        <v>22.717924</v>
      </c>
      <c r="G939" s="10">
        <v>5.5</v>
      </c>
      <c r="H939" s="10" t="s">
        <v>3657</v>
      </c>
      <c r="I939" s="10" t="s">
        <v>3658</v>
      </c>
      <c r="J939" s="10" t="s">
        <v>3659</v>
      </c>
      <c r="K939" s="10" t="s">
        <v>3660</v>
      </c>
      <c r="L939" s="65" t="str">
        <f t="shared" si="73"/>
        <v>Indore|India|75,833305|22,717924|+5:30 Asia</v>
      </c>
      <c r="M939" s="10" t="s">
        <v>3827</v>
      </c>
      <c r="N939" s="10">
        <f t="shared" si="70"/>
        <v>0</v>
      </c>
      <c r="O939" t="str">
        <f t="shared" si="74"/>
        <v/>
      </c>
      <c r="P939" t="str">
        <f>IF(O939=1,COUNTIF($O$2:O939,1),"")</f>
        <v/>
      </c>
      <c r="Q939" t="str">
        <f>IFERROR(INDEX($M$2:$M$2388,MATCH(ROWS($P$2:P939),$P$2:$P$2388,0)),"")</f>
        <v/>
      </c>
    </row>
    <row r="940" spans="1:17" ht="15" x14ac:dyDescent="0.25">
      <c r="A940" s="10">
        <v>1060</v>
      </c>
      <c r="B940" s="10" t="s">
        <v>3828</v>
      </c>
      <c r="C940" s="880">
        <f t="shared" si="71"/>
        <v>79.95</v>
      </c>
      <c r="D940" s="880">
        <f t="shared" si="72"/>
        <v>23.166899999999998</v>
      </c>
      <c r="E940" s="10">
        <v>79.950066000000007</v>
      </c>
      <c r="F940" s="10">
        <v>23.166975000000001</v>
      </c>
      <c r="G940" s="10">
        <v>5.5</v>
      </c>
      <c r="H940" s="10" t="s">
        <v>3657</v>
      </c>
      <c r="I940" s="10" t="s">
        <v>3658</v>
      </c>
      <c r="J940" s="10" t="s">
        <v>3659</v>
      </c>
      <c r="K940" s="10" t="s">
        <v>3660</v>
      </c>
      <c r="L940" s="65" t="str">
        <f t="shared" si="73"/>
        <v>Jabalpur|India|79,950066|23,166975|+5:30 Asia</v>
      </c>
      <c r="M940" s="10" t="s">
        <v>3829</v>
      </c>
      <c r="N940" s="10">
        <f t="shared" si="70"/>
        <v>0</v>
      </c>
      <c r="O940" t="str">
        <f t="shared" si="74"/>
        <v/>
      </c>
      <c r="P940" t="str">
        <f>IF(O940=1,COUNTIF($O$2:O940,1),"")</f>
        <v/>
      </c>
      <c r="Q940" t="str">
        <f>IFERROR(INDEX($M$2:$M$2388,MATCH(ROWS($P$2:P940),$P$2:$P$2388,0)),"")</f>
        <v/>
      </c>
    </row>
    <row r="941" spans="1:17" ht="15" x14ac:dyDescent="0.25">
      <c r="A941" s="10">
        <v>1059</v>
      </c>
      <c r="B941" s="10" t="s">
        <v>3830</v>
      </c>
      <c r="C941" s="880">
        <f t="shared" si="71"/>
        <v>75.816599999999994</v>
      </c>
      <c r="D941" s="880">
        <f t="shared" si="72"/>
        <v>26.916599999999999</v>
      </c>
      <c r="E941" s="10">
        <v>75.816665999999998</v>
      </c>
      <c r="F941" s="10">
        <v>26.916665999999999</v>
      </c>
      <c r="G941" s="10">
        <v>5.5</v>
      </c>
      <c r="H941" s="10" t="s">
        <v>3657</v>
      </c>
      <c r="I941" s="10" t="s">
        <v>3658</v>
      </c>
      <c r="J941" s="10" t="s">
        <v>3659</v>
      </c>
      <c r="K941" s="10" t="s">
        <v>3660</v>
      </c>
      <c r="L941" s="65" t="str">
        <f t="shared" si="73"/>
        <v>Jaipur|India|75,816666|26,916666|+5:30 Asia</v>
      </c>
      <c r="M941" s="10" t="s">
        <v>3831</v>
      </c>
      <c r="N941" s="10">
        <f t="shared" si="70"/>
        <v>0</v>
      </c>
      <c r="O941" t="str">
        <f t="shared" si="74"/>
        <v/>
      </c>
      <c r="P941" t="str">
        <f>IF(O941=1,COUNTIF($O$2:O941,1),"")</f>
        <v/>
      </c>
      <c r="Q941" t="str">
        <f>IFERROR(INDEX($M$2:$M$2388,MATCH(ROWS($P$2:P941),$P$2:$P$2388,0)),"")</f>
        <v/>
      </c>
    </row>
    <row r="942" spans="1:17" ht="15" x14ac:dyDescent="0.25">
      <c r="A942" s="10">
        <v>1051</v>
      </c>
      <c r="B942" s="10" t="s">
        <v>3832</v>
      </c>
      <c r="C942" s="880">
        <f t="shared" si="71"/>
        <v>75.579099999999997</v>
      </c>
      <c r="D942" s="880">
        <f t="shared" si="72"/>
        <v>31.325500000000002</v>
      </c>
      <c r="E942" s="10">
        <v>75.579170000000005</v>
      </c>
      <c r="F942" s="10">
        <v>31.325555999999999</v>
      </c>
      <c r="G942" s="10">
        <v>5.5</v>
      </c>
      <c r="H942" s="10" t="s">
        <v>3657</v>
      </c>
      <c r="I942" s="10" t="s">
        <v>3658</v>
      </c>
      <c r="J942" s="10" t="s">
        <v>3659</v>
      </c>
      <c r="K942" s="10" t="s">
        <v>3660</v>
      </c>
      <c r="L942" s="65" t="str">
        <f t="shared" si="73"/>
        <v>Jalandhar|India|75,579170|31,325556|+5:30 Asia</v>
      </c>
      <c r="M942" s="10" t="s">
        <v>3833</v>
      </c>
      <c r="N942" s="10">
        <f t="shared" si="70"/>
        <v>0</v>
      </c>
      <c r="O942" t="str">
        <f t="shared" si="74"/>
        <v/>
      </c>
      <c r="P942" t="str">
        <f>IF(O942=1,COUNTIF($O$2:O942,1),"")</f>
        <v/>
      </c>
      <c r="Q942" t="str">
        <f>IFERROR(INDEX($M$2:$M$2388,MATCH(ROWS($P$2:P942),$P$2:$P$2388,0)),"")</f>
        <v/>
      </c>
    </row>
    <row r="943" spans="1:17" ht="15" x14ac:dyDescent="0.25">
      <c r="A943" s="10">
        <v>1058</v>
      </c>
      <c r="B943" s="10" t="s">
        <v>3834</v>
      </c>
      <c r="C943" s="880">
        <f t="shared" si="71"/>
        <v>75.566599999999994</v>
      </c>
      <c r="D943" s="880">
        <f t="shared" si="72"/>
        <v>21.0166</v>
      </c>
      <c r="E943" s="10">
        <v>75.566665999999998</v>
      </c>
      <c r="F943" s="10">
        <v>21.016666000000001</v>
      </c>
      <c r="G943" s="10">
        <v>5.5</v>
      </c>
      <c r="H943" s="10" t="s">
        <v>3657</v>
      </c>
      <c r="I943" s="10" t="s">
        <v>3658</v>
      </c>
      <c r="J943" s="10" t="s">
        <v>3659</v>
      </c>
      <c r="K943" s="10" t="s">
        <v>3660</v>
      </c>
      <c r="L943" s="65" t="str">
        <f t="shared" si="73"/>
        <v>Jalgaon|India|75,566666|21,016666|+5:30 Asia</v>
      </c>
      <c r="M943" s="10" t="s">
        <v>3835</v>
      </c>
      <c r="N943" s="10">
        <f t="shared" si="70"/>
        <v>0</v>
      </c>
      <c r="O943" t="str">
        <f t="shared" si="74"/>
        <v/>
      </c>
      <c r="P943" t="str">
        <f>IF(O943=1,COUNTIF($O$2:O943,1),"")</f>
        <v/>
      </c>
      <c r="Q943" t="str">
        <f>IFERROR(INDEX($M$2:$M$2388,MATCH(ROWS($P$2:P943),$P$2:$P$2388,0)),"")</f>
        <v/>
      </c>
    </row>
    <row r="944" spans="1:17" ht="15" x14ac:dyDescent="0.25">
      <c r="A944" s="10">
        <v>1057</v>
      </c>
      <c r="B944" s="10" t="s">
        <v>3836</v>
      </c>
      <c r="C944" s="880">
        <f t="shared" si="71"/>
        <v>75.883300000000006</v>
      </c>
      <c r="D944" s="880">
        <f t="shared" si="72"/>
        <v>19.833300000000001</v>
      </c>
      <c r="E944" s="10">
        <v>75.883330999999998</v>
      </c>
      <c r="F944" s="10">
        <v>19.833334000000001</v>
      </c>
      <c r="G944" s="10">
        <v>5.5</v>
      </c>
      <c r="H944" s="10" t="s">
        <v>3657</v>
      </c>
      <c r="I944" s="10" t="s">
        <v>3658</v>
      </c>
      <c r="J944" s="10" t="s">
        <v>3659</v>
      </c>
      <c r="K944" s="10" t="s">
        <v>3660</v>
      </c>
      <c r="L944" s="65" t="str">
        <f t="shared" si="73"/>
        <v>Jalna|India|75,883331|19,833334|+5:30 Asia</v>
      </c>
      <c r="M944" s="10" t="s">
        <v>3837</v>
      </c>
      <c r="N944" s="10">
        <f t="shared" si="70"/>
        <v>0</v>
      </c>
      <c r="O944" t="str">
        <f t="shared" si="74"/>
        <v/>
      </c>
      <c r="P944" t="str">
        <f>IF(O944=1,COUNTIF($O$2:O944,1),"")</f>
        <v/>
      </c>
      <c r="Q944" t="str">
        <f>IFERROR(INDEX($M$2:$M$2388,MATCH(ROWS($P$2:P944),$P$2:$P$2388,0)),"")</f>
        <v/>
      </c>
    </row>
    <row r="945" spans="1:17" ht="15" x14ac:dyDescent="0.25">
      <c r="A945" s="10">
        <v>1056</v>
      </c>
      <c r="B945" s="10" t="s">
        <v>3838</v>
      </c>
      <c r="C945" s="880">
        <f t="shared" si="71"/>
        <v>74.866600000000005</v>
      </c>
      <c r="D945" s="880">
        <f t="shared" si="72"/>
        <v>32.7333</v>
      </c>
      <c r="E945" s="10">
        <v>74.866669000000002</v>
      </c>
      <c r="F945" s="10">
        <v>32.733333999999999</v>
      </c>
      <c r="G945" s="10">
        <v>5.5</v>
      </c>
      <c r="H945" s="10" t="s">
        <v>3657</v>
      </c>
      <c r="I945" s="10" t="s">
        <v>3658</v>
      </c>
      <c r="J945" s="10" t="s">
        <v>3659</v>
      </c>
      <c r="K945" s="10" t="s">
        <v>3660</v>
      </c>
      <c r="L945" s="65" t="str">
        <f t="shared" si="73"/>
        <v>Jammu|India|74,866669|32,733334|+5:30 Asia</v>
      </c>
      <c r="M945" s="10" t="s">
        <v>3839</v>
      </c>
      <c r="N945" s="10">
        <f t="shared" si="70"/>
        <v>0</v>
      </c>
      <c r="O945" t="str">
        <f t="shared" si="74"/>
        <v/>
      </c>
      <c r="P945" t="str">
        <f>IF(O945=1,COUNTIF($O$2:O945,1),"")</f>
        <v/>
      </c>
      <c r="Q945" t="str">
        <f>IFERROR(INDEX($M$2:$M$2388,MATCH(ROWS($P$2:P945),$P$2:$P$2388,0)),"")</f>
        <v/>
      </c>
    </row>
    <row r="946" spans="1:17" ht="15" x14ac:dyDescent="0.25">
      <c r="A946" s="10">
        <v>1055</v>
      </c>
      <c r="B946" s="10" t="s">
        <v>3840</v>
      </c>
      <c r="C946" s="880">
        <f t="shared" si="71"/>
        <v>70.066599999999994</v>
      </c>
      <c r="D946" s="880">
        <f t="shared" si="72"/>
        <v>22.4666</v>
      </c>
      <c r="E946" s="10">
        <v>70.066665999999998</v>
      </c>
      <c r="F946" s="10">
        <v>22.466667000000001</v>
      </c>
      <c r="G946" s="10">
        <v>5.5</v>
      </c>
      <c r="H946" s="10" t="s">
        <v>3657</v>
      </c>
      <c r="I946" s="10" t="s">
        <v>3658</v>
      </c>
      <c r="J946" s="10" t="s">
        <v>3659</v>
      </c>
      <c r="K946" s="10" t="s">
        <v>3660</v>
      </c>
      <c r="L946" s="65" t="str">
        <f t="shared" si="73"/>
        <v>Jamnagar|India|70,066666|22,466667|+5:30 Asia</v>
      </c>
      <c r="M946" s="10" t="s">
        <v>3841</v>
      </c>
      <c r="N946" s="10">
        <f t="shared" si="70"/>
        <v>0</v>
      </c>
      <c r="O946" t="str">
        <f t="shared" si="74"/>
        <v/>
      </c>
      <c r="P946" t="str">
        <f>IF(O946=1,COUNTIF($O$2:O946,1),"")</f>
        <v/>
      </c>
      <c r="Q946" t="str">
        <f>IFERROR(INDEX($M$2:$M$2388,MATCH(ROWS($P$2:P946),$P$2:$P$2388,0)),"")</f>
        <v/>
      </c>
    </row>
    <row r="947" spans="1:17" ht="15" x14ac:dyDescent="0.25">
      <c r="A947" s="10">
        <v>1054</v>
      </c>
      <c r="B947" s="10" t="s">
        <v>3842</v>
      </c>
      <c r="C947" s="880">
        <f t="shared" si="71"/>
        <v>86.183300000000003</v>
      </c>
      <c r="D947" s="880">
        <f t="shared" si="72"/>
        <v>22.799900000000001</v>
      </c>
      <c r="E947" s="10">
        <v>86.183334000000002</v>
      </c>
      <c r="F947" s="10">
        <v>22.799999</v>
      </c>
      <c r="G947" s="10">
        <v>5.5</v>
      </c>
      <c r="H947" s="10" t="s">
        <v>3657</v>
      </c>
      <c r="I947" s="10" t="s">
        <v>3658</v>
      </c>
      <c r="J947" s="10" t="s">
        <v>3659</v>
      </c>
      <c r="K947" s="10" t="s">
        <v>3660</v>
      </c>
      <c r="L947" s="65" t="str">
        <f t="shared" si="73"/>
        <v>Jamshedpur|India|86,183334|22,799999|+5:30 Asia</v>
      </c>
      <c r="M947" s="10" t="s">
        <v>3843</v>
      </c>
      <c r="N947" s="10">
        <f t="shared" si="70"/>
        <v>0</v>
      </c>
      <c r="O947" t="str">
        <f t="shared" si="74"/>
        <v/>
      </c>
      <c r="P947" t="str">
        <f>IF(O947=1,COUNTIF($O$2:O947,1),"")</f>
        <v/>
      </c>
      <c r="Q947" t="str">
        <f>IFERROR(INDEX($M$2:$M$2388,MATCH(ROWS($P$2:P947),$P$2:$P$2388,0)),"")</f>
        <v/>
      </c>
    </row>
    <row r="948" spans="1:17" ht="15" x14ac:dyDescent="0.25">
      <c r="A948" s="10">
        <v>1053</v>
      </c>
      <c r="B948" s="10" t="s">
        <v>3844</v>
      </c>
      <c r="C948" s="880">
        <f t="shared" si="71"/>
        <v>78.583299999999994</v>
      </c>
      <c r="D948" s="880">
        <f t="shared" si="72"/>
        <v>25.433299999999999</v>
      </c>
      <c r="E948" s="10">
        <v>78.583336000000003</v>
      </c>
      <c r="F948" s="10">
        <v>25.433332</v>
      </c>
      <c r="G948" s="10">
        <v>5.5</v>
      </c>
      <c r="H948" s="10" t="s">
        <v>3657</v>
      </c>
      <c r="I948" s="10" t="s">
        <v>3658</v>
      </c>
      <c r="J948" s="10" t="s">
        <v>3659</v>
      </c>
      <c r="K948" s="10" t="s">
        <v>3660</v>
      </c>
      <c r="L948" s="65" t="str">
        <f t="shared" si="73"/>
        <v>Jhansi|India|78,583336|25,433332|+5:30 Asia</v>
      </c>
      <c r="M948" s="10" t="s">
        <v>3845</v>
      </c>
      <c r="N948" s="10">
        <f t="shared" si="70"/>
        <v>0</v>
      </c>
      <c r="O948" t="str">
        <f t="shared" si="74"/>
        <v/>
      </c>
      <c r="P948" t="str">
        <f>IF(O948=1,COUNTIF($O$2:O948,1),"")</f>
        <v/>
      </c>
      <c r="Q948" t="str">
        <f>IFERROR(INDEX($M$2:$M$2388,MATCH(ROWS($P$2:P948),$P$2:$P$2388,0)),"")</f>
        <v/>
      </c>
    </row>
    <row r="949" spans="1:17" ht="15" x14ac:dyDescent="0.25">
      <c r="A949" s="10">
        <v>1052</v>
      </c>
      <c r="B949" s="10" t="s">
        <v>3846</v>
      </c>
      <c r="C949" s="880">
        <f t="shared" si="71"/>
        <v>73.029899999999998</v>
      </c>
      <c r="D949" s="880">
        <f t="shared" si="72"/>
        <v>26.2866</v>
      </c>
      <c r="E949" s="10">
        <v>73.029999000000004</v>
      </c>
      <c r="F949" s="10">
        <v>26.286667000000001</v>
      </c>
      <c r="G949" s="10">
        <v>5.5</v>
      </c>
      <c r="H949" s="10" t="s">
        <v>3657</v>
      </c>
      <c r="I949" s="10" t="s">
        <v>3658</v>
      </c>
      <c r="J949" s="10" t="s">
        <v>3659</v>
      </c>
      <c r="K949" s="10" t="s">
        <v>3660</v>
      </c>
      <c r="L949" s="65" t="str">
        <f t="shared" si="73"/>
        <v>Jodhpur|India|73,029999|26,286667|+5:30 Asia</v>
      </c>
      <c r="M949" s="10" t="s">
        <v>3847</v>
      </c>
      <c r="N949" s="10">
        <f t="shared" si="70"/>
        <v>0</v>
      </c>
      <c r="O949" t="str">
        <f t="shared" si="74"/>
        <v/>
      </c>
      <c r="P949" t="str">
        <f>IF(O949=1,COUNTIF($O$2:O949,1),"")</f>
        <v/>
      </c>
      <c r="Q949" t="str">
        <f>IFERROR(INDEX($M$2:$M$2388,MATCH(ROWS($P$2:P949),$P$2:$P$2388,0)),"")</f>
        <v/>
      </c>
    </row>
    <row r="950" spans="1:17" ht="15" x14ac:dyDescent="0.25">
      <c r="A950" s="10">
        <v>1050</v>
      </c>
      <c r="B950" s="10" t="s">
        <v>3848</v>
      </c>
      <c r="C950" s="880">
        <f t="shared" si="71"/>
        <v>82.2166</v>
      </c>
      <c r="D950" s="880">
        <f t="shared" si="72"/>
        <v>16.933299999999999</v>
      </c>
      <c r="E950" s="10">
        <v>82.216667000000001</v>
      </c>
      <c r="F950" s="10">
        <v>16.933332</v>
      </c>
      <c r="G950" s="10">
        <v>5.5</v>
      </c>
      <c r="H950" s="10" t="s">
        <v>3657</v>
      </c>
      <c r="I950" s="10" t="s">
        <v>3658</v>
      </c>
      <c r="J950" s="10" t="s">
        <v>3659</v>
      </c>
      <c r="K950" s="10" t="s">
        <v>3660</v>
      </c>
      <c r="L950" s="65" t="str">
        <f t="shared" si="73"/>
        <v>Kakinada|India|82,216667|16,933332|+5:30 Asia</v>
      </c>
      <c r="M950" s="10" t="s">
        <v>3849</v>
      </c>
      <c r="N950" s="10">
        <f t="shared" si="70"/>
        <v>0</v>
      </c>
      <c r="O950" t="str">
        <f t="shared" si="74"/>
        <v/>
      </c>
      <c r="P950" t="str">
        <f>IF(O950=1,COUNTIF($O$2:O950,1),"")</f>
        <v/>
      </c>
      <c r="Q950" t="str">
        <f>IFERROR(INDEX($M$2:$M$2388,MATCH(ROWS($P$2:P950),$P$2:$P$2388,0)),"")</f>
        <v/>
      </c>
    </row>
    <row r="951" spans="1:17" ht="15" x14ac:dyDescent="0.25">
      <c r="A951" s="10">
        <v>1049</v>
      </c>
      <c r="B951" s="10" t="s">
        <v>3850</v>
      </c>
      <c r="C951" s="880">
        <f t="shared" si="71"/>
        <v>73.150000000000006</v>
      </c>
      <c r="D951" s="880">
        <f t="shared" si="72"/>
        <v>19.25</v>
      </c>
      <c r="E951" s="10">
        <v>73.150002000000001</v>
      </c>
      <c r="F951" s="10">
        <v>19.25</v>
      </c>
      <c r="G951" s="10">
        <v>5.5</v>
      </c>
      <c r="H951" s="10" t="s">
        <v>3657</v>
      </c>
      <c r="I951" s="10" t="s">
        <v>3658</v>
      </c>
      <c r="J951" s="10" t="s">
        <v>3659</v>
      </c>
      <c r="K951" s="10" t="s">
        <v>3660</v>
      </c>
      <c r="L951" s="65" t="str">
        <f t="shared" si="73"/>
        <v>Kalyan|India|73,150002|19,250000|+5:30 Asia</v>
      </c>
      <c r="M951" s="10" t="s">
        <v>3851</v>
      </c>
      <c r="N951" s="10">
        <f t="shared" si="70"/>
        <v>0</v>
      </c>
      <c r="O951" t="str">
        <f t="shared" si="74"/>
        <v/>
      </c>
      <c r="P951" t="str">
        <f>IF(O951=1,COUNTIF($O$2:O951,1),"")</f>
        <v/>
      </c>
      <c r="Q951" t="str">
        <f>IFERROR(INDEX($M$2:$M$2388,MATCH(ROWS($P$2:P951),$P$2:$P$2388,0)),"")</f>
        <v/>
      </c>
    </row>
    <row r="952" spans="1:17" ht="15" x14ac:dyDescent="0.25">
      <c r="A952" s="10">
        <v>1048</v>
      </c>
      <c r="B952" s="10" t="s">
        <v>3852</v>
      </c>
      <c r="C952" s="880">
        <f t="shared" si="71"/>
        <v>88.374700000000004</v>
      </c>
      <c r="D952" s="880">
        <f t="shared" si="72"/>
        <v>22.671099999999999</v>
      </c>
      <c r="E952" s="10">
        <v>88.374724999999998</v>
      </c>
      <c r="F952" s="10">
        <v>22.671109999999999</v>
      </c>
      <c r="G952" s="10">
        <v>5.5</v>
      </c>
      <c r="H952" s="10" t="s">
        <v>3657</v>
      </c>
      <c r="I952" s="10" t="s">
        <v>3658</v>
      </c>
      <c r="J952" s="10" t="s">
        <v>3659</v>
      </c>
      <c r="K952" s="10" t="s">
        <v>3660</v>
      </c>
      <c r="L952" s="65" t="str">
        <f t="shared" si="73"/>
        <v>Kamarhati|India|88,374725|22,671110|+5:30 Asia</v>
      </c>
      <c r="M952" s="10" t="s">
        <v>3853</v>
      </c>
      <c r="N952" s="10">
        <f t="shared" si="70"/>
        <v>0</v>
      </c>
      <c r="O952" t="str">
        <f t="shared" si="74"/>
        <v/>
      </c>
      <c r="P952" t="str">
        <f>IF(O952=1,COUNTIF($O$2:O952,1),"")</f>
        <v/>
      </c>
      <c r="Q952" t="str">
        <f>IFERROR(INDEX($M$2:$M$2388,MATCH(ROWS($P$2:P952),$P$2:$P$2388,0)),"")</f>
        <v/>
      </c>
    </row>
    <row r="953" spans="1:17" ht="15" x14ac:dyDescent="0.25">
      <c r="A953" s="10">
        <v>1047</v>
      </c>
      <c r="B953" s="10" t="s">
        <v>3854</v>
      </c>
      <c r="C953" s="880">
        <f t="shared" si="71"/>
        <v>80.349900000000005</v>
      </c>
      <c r="D953" s="880">
        <f t="shared" si="72"/>
        <v>26.4666</v>
      </c>
      <c r="E953" s="10">
        <v>80.349997999999999</v>
      </c>
      <c r="F953" s="10">
        <v>26.466667000000001</v>
      </c>
      <c r="G953" s="10">
        <v>5.5</v>
      </c>
      <c r="H953" s="10" t="s">
        <v>3657</v>
      </c>
      <c r="I953" s="10" t="s">
        <v>3658</v>
      </c>
      <c r="J953" s="10" t="s">
        <v>3659</v>
      </c>
      <c r="K953" s="10" t="s">
        <v>3660</v>
      </c>
      <c r="L953" s="65" t="str">
        <f t="shared" si="73"/>
        <v>Kanpur|India|80,349998|26,466667|+5:30 Asia</v>
      </c>
      <c r="M953" s="10" t="s">
        <v>3855</v>
      </c>
      <c r="N953" s="10">
        <f t="shared" si="70"/>
        <v>0</v>
      </c>
      <c r="O953" t="str">
        <f t="shared" si="74"/>
        <v/>
      </c>
      <c r="P953" t="str">
        <f>IF(O953=1,COUNTIF($O$2:O953,1),"")</f>
        <v/>
      </c>
      <c r="Q953" t="str">
        <f>IFERROR(INDEX($M$2:$M$2388,MATCH(ROWS($P$2:P953),$P$2:$P$2388,0)),"")</f>
        <v/>
      </c>
    </row>
    <row r="954" spans="1:17" ht="15" x14ac:dyDescent="0.25">
      <c r="A954" s="10">
        <v>1046</v>
      </c>
      <c r="B954" s="10" t="s">
        <v>3856</v>
      </c>
      <c r="C954" s="880">
        <f t="shared" si="71"/>
        <v>79.150000000000006</v>
      </c>
      <c r="D954" s="880">
        <f t="shared" si="72"/>
        <v>18.433299999999999</v>
      </c>
      <c r="E954" s="10">
        <v>79.150002000000001</v>
      </c>
      <c r="F954" s="10">
        <v>18.433332</v>
      </c>
      <c r="G954" s="10">
        <v>5.5</v>
      </c>
      <c r="H954" s="10" t="s">
        <v>3657</v>
      </c>
      <c r="I954" s="10" t="s">
        <v>3658</v>
      </c>
      <c r="J954" s="10" t="s">
        <v>3659</v>
      </c>
      <c r="K954" s="10" t="s">
        <v>3660</v>
      </c>
      <c r="L954" s="65" t="str">
        <f t="shared" si="73"/>
        <v>Karimnagar|India|79,150002|18,433332|+5:30 Asia</v>
      </c>
      <c r="M954" s="10" t="s">
        <v>3857</v>
      </c>
      <c r="N954" s="10">
        <f t="shared" si="70"/>
        <v>0</v>
      </c>
      <c r="O954" t="str">
        <f t="shared" si="74"/>
        <v/>
      </c>
      <c r="P954" t="str">
        <f>IF(O954=1,COUNTIF($O$2:O954,1),"")</f>
        <v/>
      </c>
      <c r="Q954" t="str">
        <f>IFERROR(INDEX($M$2:$M$2388,MATCH(ROWS($P$2:P954),$P$2:$P$2388,0)),"")</f>
        <v/>
      </c>
    </row>
    <row r="955" spans="1:17" ht="15" x14ac:dyDescent="0.25">
      <c r="A955" s="10">
        <v>1045</v>
      </c>
      <c r="B955" s="10" t="s">
        <v>3858</v>
      </c>
      <c r="C955" s="880">
        <f t="shared" si="71"/>
        <v>76.9833</v>
      </c>
      <c r="D955" s="880">
        <f t="shared" si="72"/>
        <v>29.683299999999999</v>
      </c>
      <c r="E955" s="10">
        <v>76.983329999999995</v>
      </c>
      <c r="F955" s="10">
        <v>29.683332</v>
      </c>
      <c r="G955" s="10">
        <v>5.5</v>
      </c>
      <c r="H955" s="10" t="s">
        <v>3657</v>
      </c>
      <c r="I955" s="10" t="s">
        <v>3658</v>
      </c>
      <c r="J955" s="10" t="s">
        <v>3659</v>
      </c>
      <c r="K955" s="10" t="s">
        <v>3660</v>
      </c>
      <c r="L955" s="65" t="str">
        <f t="shared" si="73"/>
        <v>Karnal|India|76,983330|29,683332|+5:30 Asia</v>
      </c>
      <c r="M955" s="10" t="s">
        <v>3859</v>
      </c>
      <c r="N955" s="10">
        <f t="shared" si="70"/>
        <v>0</v>
      </c>
      <c r="O955" t="str">
        <f t="shared" si="74"/>
        <v/>
      </c>
      <c r="P955" t="str">
        <f>IF(O955=1,COUNTIF($O$2:O955,1),"")</f>
        <v/>
      </c>
      <c r="Q955" t="str">
        <f>IFERROR(INDEX($M$2:$M$2388,MATCH(ROWS($P$2:P955),$P$2:$P$2388,0)),"")</f>
        <v/>
      </c>
    </row>
    <row r="956" spans="1:17" ht="15" x14ac:dyDescent="0.25">
      <c r="A956" s="10">
        <v>1044</v>
      </c>
      <c r="B956" s="10" t="s">
        <v>3860</v>
      </c>
      <c r="C956" s="880">
        <f t="shared" si="71"/>
        <v>87.333299999999994</v>
      </c>
      <c r="D956" s="880">
        <f t="shared" si="72"/>
        <v>22.333300000000001</v>
      </c>
      <c r="E956" s="10">
        <v>87.333336000000003</v>
      </c>
      <c r="F956" s="10">
        <v>22.333334000000001</v>
      </c>
      <c r="G956" s="10">
        <v>5.5</v>
      </c>
      <c r="H956" s="10" t="s">
        <v>3657</v>
      </c>
      <c r="I956" s="10" t="s">
        <v>3658</v>
      </c>
      <c r="J956" s="10" t="s">
        <v>3659</v>
      </c>
      <c r="K956" s="10" t="s">
        <v>3660</v>
      </c>
      <c r="L956" s="65" t="str">
        <f t="shared" si="73"/>
        <v>Kharagpur|India|87,333336|22,333334|+5:30 Asia</v>
      </c>
      <c r="M956" s="10" t="s">
        <v>3861</v>
      </c>
      <c r="N956" s="10">
        <f t="shared" si="70"/>
        <v>0</v>
      </c>
      <c r="O956" t="str">
        <f t="shared" si="74"/>
        <v/>
      </c>
      <c r="P956" t="str">
        <f>IF(O956=1,COUNTIF($O$2:O956,1),"")</f>
        <v/>
      </c>
      <c r="Q956" t="str">
        <f>IFERROR(INDEX($M$2:$M$2388,MATCH(ROWS($P$2:P956),$P$2:$P$2388,0)),"")</f>
        <v/>
      </c>
    </row>
    <row r="957" spans="1:17" ht="15" x14ac:dyDescent="0.25">
      <c r="A957" s="10">
        <v>962</v>
      </c>
      <c r="B957" s="10" t="s">
        <v>3862</v>
      </c>
      <c r="C957" s="880">
        <f t="shared" si="71"/>
        <v>78.783299999999997</v>
      </c>
      <c r="D957" s="880">
        <f t="shared" si="72"/>
        <v>9.2332999999999998</v>
      </c>
      <c r="E957" s="10">
        <v>78.783332999999999</v>
      </c>
      <c r="F957" s="10">
        <v>9.2333339999999993</v>
      </c>
      <c r="G957" s="10">
        <v>5.5</v>
      </c>
      <c r="H957" s="10" t="s">
        <v>3657</v>
      </c>
      <c r="I957" s="10" t="s">
        <v>3658</v>
      </c>
      <c r="J957" s="10" t="s">
        <v>3659</v>
      </c>
      <c r="K957" s="10" t="s">
        <v>3660</v>
      </c>
      <c r="L957" s="65" t="str">
        <f t="shared" si="73"/>
        <v>Kilakarai|India|78,783333|9,233334|+5:30 Asia</v>
      </c>
      <c r="M957" s="10" t="s">
        <v>3863</v>
      </c>
      <c r="N957" s="10">
        <f t="shared" si="70"/>
        <v>0</v>
      </c>
      <c r="O957" t="str">
        <f t="shared" si="74"/>
        <v/>
      </c>
      <c r="P957" t="str">
        <f>IF(O957=1,COUNTIF($O$2:O957,1),"")</f>
        <v/>
      </c>
      <c r="Q957" t="str">
        <f>IFERROR(INDEX($M$2:$M$2388,MATCH(ROWS($P$2:P957),$P$2:$P$2388,0)),"")</f>
        <v/>
      </c>
    </row>
    <row r="958" spans="1:17" ht="15" x14ac:dyDescent="0.25">
      <c r="A958" s="10">
        <v>1043</v>
      </c>
      <c r="B958" s="10" t="s">
        <v>3864</v>
      </c>
      <c r="C958" s="880">
        <f t="shared" si="71"/>
        <v>74.2166</v>
      </c>
      <c r="D958" s="880">
        <f t="shared" si="72"/>
        <v>16.7</v>
      </c>
      <c r="E958" s="10">
        <v>74.216667000000001</v>
      </c>
      <c r="F958" s="10">
        <v>16.700001</v>
      </c>
      <c r="G958" s="10">
        <v>5.5</v>
      </c>
      <c r="H958" s="10" t="s">
        <v>3657</v>
      </c>
      <c r="I958" s="10" t="s">
        <v>3658</v>
      </c>
      <c r="J958" s="10" t="s">
        <v>3659</v>
      </c>
      <c r="K958" s="10" t="s">
        <v>3660</v>
      </c>
      <c r="L958" s="65" t="str">
        <f t="shared" si="73"/>
        <v>Kolhapur|India|74,216667|16,700001|+5:30 Asia</v>
      </c>
      <c r="M958" s="10" t="s">
        <v>3865</v>
      </c>
      <c r="N958" s="10">
        <f t="shared" si="70"/>
        <v>0</v>
      </c>
      <c r="O958" t="str">
        <f t="shared" si="74"/>
        <v/>
      </c>
      <c r="P958" t="str">
        <f>IF(O958=1,COUNTIF($O$2:O958,1),"")</f>
        <v/>
      </c>
      <c r="Q958" t="str">
        <f>IFERROR(INDEX($M$2:$M$2388,MATCH(ROWS($P$2:P958),$P$2:$P$2388,0)),"")</f>
        <v/>
      </c>
    </row>
    <row r="959" spans="1:17" ht="15" x14ac:dyDescent="0.25">
      <c r="A959" s="10">
        <v>1042</v>
      </c>
      <c r="B959" s="10" t="s">
        <v>3866</v>
      </c>
      <c r="C959" s="880">
        <f t="shared" si="71"/>
        <v>82.683300000000003</v>
      </c>
      <c r="D959" s="880">
        <f t="shared" si="72"/>
        <v>22.35</v>
      </c>
      <c r="E959" s="10">
        <v>82.683334000000002</v>
      </c>
      <c r="F959" s="10">
        <v>22.35</v>
      </c>
      <c r="G959" s="10">
        <v>5.5</v>
      </c>
      <c r="H959" s="10" t="s">
        <v>3657</v>
      </c>
      <c r="I959" s="10" t="s">
        <v>3658</v>
      </c>
      <c r="J959" s="10" t="s">
        <v>3659</v>
      </c>
      <c r="K959" s="10" t="s">
        <v>3660</v>
      </c>
      <c r="L959" s="65" t="str">
        <f t="shared" si="73"/>
        <v>Korba|India|82,683334|22,350000|+5:30 Asia</v>
      </c>
      <c r="M959" s="10" t="s">
        <v>3867</v>
      </c>
      <c r="N959" s="10">
        <f t="shared" si="70"/>
        <v>0</v>
      </c>
      <c r="O959" t="str">
        <f t="shared" si="74"/>
        <v/>
      </c>
      <c r="P959" t="str">
        <f>IF(O959=1,COUNTIF($O$2:O959,1),"")</f>
        <v/>
      </c>
      <c r="Q959" t="str">
        <f>IFERROR(INDEX($M$2:$M$2388,MATCH(ROWS($P$2:P959),$P$2:$P$2388,0)),"")</f>
        <v/>
      </c>
    </row>
    <row r="960" spans="1:17" ht="15" x14ac:dyDescent="0.25">
      <c r="A960" s="10">
        <v>1041</v>
      </c>
      <c r="B960" s="10" t="s">
        <v>3868</v>
      </c>
      <c r="C960" s="880">
        <f t="shared" si="71"/>
        <v>75.833299999999994</v>
      </c>
      <c r="D960" s="880">
        <f t="shared" si="72"/>
        <v>25.183299999999999</v>
      </c>
      <c r="E960" s="10">
        <v>75.833336000000003</v>
      </c>
      <c r="F960" s="10">
        <v>25.183332</v>
      </c>
      <c r="G960" s="10">
        <v>5.5</v>
      </c>
      <c r="H960" s="10" t="s">
        <v>3657</v>
      </c>
      <c r="I960" s="10" t="s">
        <v>3658</v>
      </c>
      <c r="J960" s="10" t="s">
        <v>3659</v>
      </c>
      <c r="K960" s="10" t="s">
        <v>3660</v>
      </c>
      <c r="L960" s="65" t="str">
        <f t="shared" si="73"/>
        <v>Kota|India|75,833336|25,183332|+5:30 Asia</v>
      </c>
      <c r="M960" s="10" t="s">
        <v>3869</v>
      </c>
      <c r="N960" s="10">
        <f t="shared" si="70"/>
        <v>0</v>
      </c>
      <c r="O960" t="str">
        <f t="shared" si="74"/>
        <v/>
      </c>
      <c r="P960" t="str">
        <f>IF(O960=1,COUNTIF($O$2:O960,1),"")</f>
        <v/>
      </c>
      <c r="Q960" t="str">
        <f>IFERROR(INDEX($M$2:$M$2388,MATCH(ROWS($P$2:P960),$P$2:$P$2388,0)),"")</f>
        <v/>
      </c>
    </row>
    <row r="961" spans="1:17" ht="15" x14ac:dyDescent="0.25">
      <c r="A961" s="10">
        <v>1039</v>
      </c>
      <c r="B961" s="10" t="s">
        <v>3870</v>
      </c>
      <c r="C961" s="880">
        <f t="shared" si="71"/>
        <v>78.416600000000003</v>
      </c>
      <c r="D961" s="880">
        <f t="shared" si="72"/>
        <v>17.4833</v>
      </c>
      <c r="E961" s="10">
        <v>78.416663999999997</v>
      </c>
      <c r="F961" s="10">
        <v>17.483333999999999</v>
      </c>
      <c r="G961" s="10">
        <v>5.5</v>
      </c>
      <c r="H961" s="10" t="s">
        <v>3657</v>
      </c>
      <c r="I961" s="10" t="s">
        <v>3658</v>
      </c>
      <c r="J961" s="10" t="s">
        <v>3659</v>
      </c>
      <c r="K961" s="10" t="s">
        <v>3660</v>
      </c>
      <c r="L961" s="65" t="str">
        <f t="shared" si="73"/>
        <v>Kukatpalli|India|78,416664|17,483334|+5:30 Asia</v>
      </c>
      <c r="M961" s="10" t="s">
        <v>3871</v>
      </c>
      <c r="N961" s="10">
        <f t="shared" si="70"/>
        <v>0</v>
      </c>
      <c r="O961" t="str">
        <f t="shared" si="74"/>
        <v/>
      </c>
      <c r="P961" t="str">
        <f>IF(O961=1,COUNTIF($O$2:O961,1),"")</f>
        <v/>
      </c>
      <c r="Q961" t="str">
        <f>IFERROR(INDEX($M$2:$M$2388,MATCH(ROWS($P$2:P961),$P$2:$P$2388,0)),"")</f>
        <v/>
      </c>
    </row>
    <row r="962" spans="1:17" ht="15" x14ac:dyDescent="0.25">
      <c r="A962" s="10">
        <v>1038</v>
      </c>
      <c r="B962" s="10" t="s">
        <v>3872</v>
      </c>
      <c r="C962" s="880">
        <f t="shared" si="71"/>
        <v>86.849900000000005</v>
      </c>
      <c r="D962" s="880">
        <f t="shared" si="72"/>
        <v>23.7333</v>
      </c>
      <c r="E962" s="10">
        <v>86.849997999999999</v>
      </c>
      <c r="F962" s="10">
        <v>23.733333999999999</v>
      </c>
      <c r="G962" s="10">
        <v>5.5</v>
      </c>
      <c r="H962" s="10" t="s">
        <v>3657</v>
      </c>
      <c r="I962" s="10" t="s">
        <v>3658</v>
      </c>
      <c r="J962" s="10" t="s">
        <v>3659</v>
      </c>
      <c r="K962" s="10" t="s">
        <v>3660</v>
      </c>
      <c r="L962" s="65" t="str">
        <f t="shared" si="73"/>
        <v>Kulti|India|86,849998|23,733334|+5:30 Asia</v>
      </c>
      <c r="M962" s="10" t="s">
        <v>3873</v>
      </c>
      <c r="N962" s="10">
        <f t="shared" ref="N962:N1025" si="75">--ISNUMBER(IFERROR(SEARCH($R$2,J962,1),""))</f>
        <v>0</v>
      </c>
      <c r="O962" t="str">
        <f t="shared" si="74"/>
        <v/>
      </c>
      <c r="P962" t="str">
        <f>IF(O962=1,COUNTIF($O$2:O962,1),"")</f>
        <v/>
      </c>
      <c r="Q962" t="str">
        <f>IFERROR(INDEX($M$2:$M$2388,MATCH(ROWS($P$2:P962),$P$2:$P$2388,0)),"")</f>
        <v/>
      </c>
    </row>
    <row r="963" spans="1:17" ht="15" x14ac:dyDescent="0.25">
      <c r="A963" s="10">
        <v>1037</v>
      </c>
      <c r="B963" s="10" t="s">
        <v>3874</v>
      </c>
      <c r="C963" s="880">
        <f t="shared" ref="C963:C1026" si="76">TRUNC(E963,4)</f>
        <v>76.583299999999994</v>
      </c>
      <c r="D963" s="880">
        <f t="shared" ref="D963:D1026" si="77">TRUNC(F963,4)</f>
        <v>18.399999999999999</v>
      </c>
      <c r="E963" s="10">
        <v>76.583336000000003</v>
      </c>
      <c r="F963" s="10">
        <v>18.399999999999999</v>
      </c>
      <c r="G963" s="10">
        <v>5.5</v>
      </c>
      <c r="H963" s="10" t="s">
        <v>3657</v>
      </c>
      <c r="I963" s="10" t="s">
        <v>3658</v>
      </c>
      <c r="J963" s="10" t="s">
        <v>3659</v>
      </c>
      <c r="K963" s="10" t="s">
        <v>3660</v>
      </c>
      <c r="L963" s="65" t="str">
        <f t="shared" ref="L963:L1026" si="78">MID(M963,1,LEN(M963)-(LEN(K963)-SEARCH("/",K963)+1))</f>
        <v>Latur|India|76,583336|18,400000|+5:30 Asia</v>
      </c>
      <c r="M963" s="10" t="s">
        <v>3875</v>
      </c>
      <c r="N963" s="10">
        <f t="shared" si="75"/>
        <v>0</v>
      </c>
      <c r="O963" t="str">
        <f t="shared" ref="O963:O1026" si="79">IF(N963=0,"",--ISNUMBER(IFERROR(SEARCH($U$2,L963,1),"")))</f>
        <v/>
      </c>
      <c r="P963" t="str">
        <f>IF(O963=1,COUNTIF($O$2:O963,1),"")</f>
        <v/>
      </c>
      <c r="Q963" t="str">
        <f>IFERROR(INDEX($M$2:$M$2388,MATCH(ROWS($P$2:P963),$P$2:$P$2388,0)),"")</f>
        <v/>
      </c>
    </row>
    <row r="964" spans="1:17" ht="15" x14ac:dyDescent="0.25">
      <c r="A964" s="10">
        <v>1036</v>
      </c>
      <c r="B964" s="10" t="s">
        <v>3876</v>
      </c>
      <c r="C964" s="880">
        <f t="shared" si="76"/>
        <v>80.916600000000003</v>
      </c>
      <c r="D964" s="880">
        <f t="shared" si="77"/>
        <v>26.85</v>
      </c>
      <c r="E964" s="10">
        <v>80.916663999999997</v>
      </c>
      <c r="F964" s="10">
        <v>26.85</v>
      </c>
      <c r="G964" s="10">
        <v>5.5</v>
      </c>
      <c r="H964" s="10" t="s">
        <v>3657</v>
      </c>
      <c r="I964" s="10" t="s">
        <v>3658</v>
      </c>
      <c r="J964" s="10" t="s">
        <v>3659</v>
      </c>
      <c r="K964" s="10" t="s">
        <v>3660</v>
      </c>
      <c r="L964" s="65" t="str">
        <f t="shared" si="78"/>
        <v>Lucknow|India|80,916664|26,850000|+5:30 Asia</v>
      </c>
      <c r="M964" s="10" t="s">
        <v>3877</v>
      </c>
      <c r="N964" s="10">
        <f t="shared" si="75"/>
        <v>0</v>
      </c>
      <c r="O964" t="str">
        <f t="shared" si="79"/>
        <v/>
      </c>
      <c r="P964" t="str">
        <f>IF(O964=1,COUNTIF($O$2:O964,1),"")</f>
        <v/>
      </c>
      <c r="Q964" t="str">
        <f>IFERROR(INDEX($M$2:$M$2388,MATCH(ROWS($P$2:P964),$P$2:$P$2388,0)),"")</f>
        <v/>
      </c>
    </row>
    <row r="965" spans="1:17" ht="15" x14ac:dyDescent="0.25">
      <c r="A965" s="10">
        <v>1035</v>
      </c>
      <c r="B965" s="10" t="s">
        <v>3878</v>
      </c>
      <c r="C965" s="880">
        <f t="shared" si="76"/>
        <v>75.849900000000005</v>
      </c>
      <c r="D965" s="880">
        <f t="shared" si="77"/>
        <v>30.9</v>
      </c>
      <c r="E965" s="10">
        <v>75.849997999999999</v>
      </c>
      <c r="F965" s="10">
        <v>30.9</v>
      </c>
      <c r="G965" s="10">
        <v>5.5</v>
      </c>
      <c r="H965" s="10" t="s">
        <v>3657</v>
      </c>
      <c r="I965" s="10" t="s">
        <v>3658</v>
      </c>
      <c r="J965" s="10" t="s">
        <v>3659</v>
      </c>
      <c r="K965" s="10" t="s">
        <v>3660</v>
      </c>
      <c r="L965" s="65" t="str">
        <f t="shared" si="78"/>
        <v>Ludhiana|India|75,849998|30,900000|+5:30 Asia</v>
      </c>
      <c r="M965" s="10" t="s">
        <v>3879</v>
      </c>
      <c r="N965" s="10">
        <f t="shared" si="75"/>
        <v>0</v>
      </c>
      <c r="O965" t="str">
        <f t="shared" si="79"/>
        <v/>
      </c>
      <c r="P965" t="str">
        <f>IF(O965=1,COUNTIF($O$2:O965,1),"")</f>
        <v/>
      </c>
      <c r="Q965" t="str">
        <f>IFERROR(INDEX($M$2:$M$2388,MATCH(ROWS($P$2:P965),$P$2:$P$2388,0)),"")</f>
        <v/>
      </c>
    </row>
    <row r="966" spans="1:17" ht="15" x14ac:dyDescent="0.25">
      <c r="A966" s="10">
        <v>1034</v>
      </c>
      <c r="B966" s="10" t="s">
        <v>3880</v>
      </c>
      <c r="C966" s="880">
        <f t="shared" si="76"/>
        <v>80.278400000000005</v>
      </c>
      <c r="D966" s="880">
        <f t="shared" si="77"/>
        <v>13.0878</v>
      </c>
      <c r="E966" s="10">
        <v>80.278473000000005</v>
      </c>
      <c r="F966" s="10">
        <v>13.087838</v>
      </c>
      <c r="G966" s="10">
        <v>5.5</v>
      </c>
      <c r="H966" s="10" t="s">
        <v>3657</v>
      </c>
      <c r="I966" s="10" t="s">
        <v>3658</v>
      </c>
      <c r="J966" s="10" t="s">
        <v>3659</v>
      </c>
      <c r="K966" s="10" t="s">
        <v>3660</v>
      </c>
      <c r="L966" s="65" t="str">
        <f t="shared" si="78"/>
        <v>Madras|India|80,278473|13,087838|+5:30 Asia</v>
      </c>
      <c r="M966" s="10" t="s">
        <v>3881</v>
      </c>
      <c r="N966" s="10">
        <f t="shared" si="75"/>
        <v>0</v>
      </c>
      <c r="O966" t="str">
        <f t="shared" si="79"/>
        <v/>
      </c>
      <c r="P966" t="str">
        <f>IF(O966=1,COUNTIF($O$2:O966,1),"")</f>
        <v/>
      </c>
      <c r="Q966" t="str">
        <f>IFERROR(INDEX($M$2:$M$2388,MATCH(ROWS($P$2:P966),$P$2:$P$2388,0)),"")</f>
        <v/>
      </c>
    </row>
    <row r="967" spans="1:17" ht="15" x14ac:dyDescent="0.25">
      <c r="A967" s="10">
        <v>1033</v>
      </c>
      <c r="B967" s="10" t="s">
        <v>3882</v>
      </c>
      <c r="C967" s="880">
        <f t="shared" si="76"/>
        <v>78.116600000000005</v>
      </c>
      <c r="D967" s="880">
        <f t="shared" si="77"/>
        <v>9.9332999999999991</v>
      </c>
      <c r="E967" s="10">
        <v>78.116669000000002</v>
      </c>
      <c r="F967" s="10">
        <v>9.9333329999999993</v>
      </c>
      <c r="G967" s="10">
        <v>5.5</v>
      </c>
      <c r="H967" s="10" t="s">
        <v>3657</v>
      </c>
      <c r="I967" s="10" t="s">
        <v>3658</v>
      </c>
      <c r="J967" s="10" t="s">
        <v>3659</v>
      </c>
      <c r="K967" s="10" t="s">
        <v>3660</v>
      </c>
      <c r="L967" s="65" t="str">
        <f t="shared" si="78"/>
        <v>Madurai|India|78,116669|9,933333|+5:30 Asia</v>
      </c>
      <c r="M967" s="10" t="s">
        <v>3883</v>
      </c>
      <c r="N967" s="10">
        <f t="shared" si="75"/>
        <v>0</v>
      </c>
      <c r="O967" t="str">
        <f t="shared" si="79"/>
        <v/>
      </c>
      <c r="P967" t="str">
        <f>IF(O967=1,COUNTIF($O$2:O967,1),"")</f>
        <v/>
      </c>
      <c r="Q967" t="str">
        <f>IFERROR(INDEX($M$2:$M$2388,MATCH(ROWS($P$2:P967),$P$2:$P$2388,0)),"")</f>
        <v/>
      </c>
    </row>
    <row r="968" spans="1:17" ht="15" x14ac:dyDescent="0.25">
      <c r="A968" s="10">
        <v>1032</v>
      </c>
      <c r="B968" s="10" t="s">
        <v>3884</v>
      </c>
      <c r="C968" s="880">
        <f t="shared" si="76"/>
        <v>74.533299999999997</v>
      </c>
      <c r="D968" s="880">
        <f t="shared" si="77"/>
        <v>20.549900000000001</v>
      </c>
      <c r="E968" s="10">
        <v>74.533332999999999</v>
      </c>
      <c r="F968" s="10">
        <v>20.549999</v>
      </c>
      <c r="G968" s="10">
        <v>5.5</v>
      </c>
      <c r="H968" s="10" t="s">
        <v>3657</v>
      </c>
      <c r="I968" s="10" t="s">
        <v>3658</v>
      </c>
      <c r="J968" s="10" t="s">
        <v>3659</v>
      </c>
      <c r="K968" s="10" t="s">
        <v>3660</v>
      </c>
      <c r="L968" s="65" t="str">
        <f t="shared" si="78"/>
        <v>Malegaon|India|74,533333|20,549999|+5:30 Asia</v>
      </c>
      <c r="M968" s="10" t="s">
        <v>3885</v>
      </c>
      <c r="N968" s="10">
        <f t="shared" si="75"/>
        <v>0</v>
      </c>
      <c r="O968" t="str">
        <f t="shared" si="79"/>
        <v/>
      </c>
      <c r="P968" t="str">
        <f>IF(O968=1,COUNTIF($O$2:O968,1),"")</f>
        <v/>
      </c>
      <c r="Q968" t="str">
        <f>IFERROR(INDEX($M$2:$M$2388,MATCH(ROWS($P$2:P968),$P$2:$P$2388,0)),"")</f>
        <v/>
      </c>
    </row>
    <row r="969" spans="1:17" ht="15" x14ac:dyDescent="0.25">
      <c r="A969" s="10">
        <v>1031</v>
      </c>
      <c r="B969" s="10" t="s">
        <v>3886</v>
      </c>
      <c r="C969" s="880">
        <f t="shared" si="76"/>
        <v>74.883300000000006</v>
      </c>
      <c r="D969" s="880">
        <f t="shared" si="77"/>
        <v>12.8666</v>
      </c>
      <c r="E969" s="10">
        <v>74.883330999999998</v>
      </c>
      <c r="F969" s="10">
        <v>12.866667</v>
      </c>
      <c r="G969" s="10">
        <v>5.5</v>
      </c>
      <c r="H969" s="10" t="s">
        <v>3657</v>
      </c>
      <c r="I969" s="10" t="s">
        <v>3658</v>
      </c>
      <c r="J969" s="10" t="s">
        <v>3659</v>
      </c>
      <c r="K969" s="10" t="s">
        <v>3660</v>
      </c>
      <c r="L969" s="65" t="str">
        <f t="shared" si="78"/>
        <v>Mangalore|India|74,883331|12,866667|+5:30 Asia</v>
      </c>
      <c r="M969" s="10" t="s">
        <v>3887</v>
      </c>
      <c r="N969" s="10">
        <f t="shared" si="75"/>
        <v>0</v>
      </c>
      <c r="O969" t="str">
        <f t="shared" si="79"/>
        <v/>
      </c>
      <c r="P969" t="str">
        <f>IF(O969=1,COUNTIF($O$2:O969,1),"")</f>
        <v/>
      </c>
      <c r="Q969" t="str">
        <f>IFERROR(INDEX($M$2:$M$2388,MATCH(ROWS($P$2:P969),$P$2:$P$2388,0)),"")</f>
        <v/>
      </c>
    </row>
    <row r="970" spans="1:17" ht="15" x14ac:dyDescent="0.25">
      <c r="A970" s="10">
        <v>1030</v>
      </c>
      <c r="B970" s="10" t="s">
        <v>3888</v>
      </c>
      <c r="C970" s="880">
        <f t="shared" si="76"/>
        <v>77.683300000000003</v>
      </c>
      <c r="D970" s="880">
        <f t="shared" si="77"/>
        <v>27.5</v>
      </c>
      <c r="E970" s="10">
        <v>77.683334000000002</v>
      </c>
      <c r="F970" s="10">
        <v>27.5</v>
      </c>
      <c r="G970" s="10">
        <v>5.5</v>
      </c>
      <c r="H970" s="10" t="s">
        <v>3657</v>
      </c>
      <c r="I970" s="10" t="s">
        <v>3658</v>
      </c>
      <c r="J970" s="10" t="s">
        <v>3659</v>
      </c>
      <c r="K970" s="10" t="s">
        <v>3660</v>
      </c>
      <c r="L970" s="65" t="str">
        <f t="shared" si="78"/>
        <v>Mathura|India|77,683334|27,500000|+5:30 Asia</v>
      </c>
      <c r="M970" s="10" t="s">
        <v>3889</v>
      </c>
      <c r="N970" s="10">
        <f t="shared" si="75"/>
        <v>0</v>
      </c>
      <c r="O970" t="str">
        <f t="shared" si="79"/>
        <v/>
      </c>
      <c r="P970" t="str">
        <f>IF(O970=1,COUNTIF($O$2:O970,1),"")</f>
        <v/>
      </c>
      <c r="Q970" t="str">
        <f>IFERROR(INDEX($M$2:$M$2388,MATCH(ROWS($P$2:P970),$P$2:$P$2388,0)),"")</f>
        <v/>
      </c>
    </row>
    <row r="971" spans="1:17" ht="15" x14ac:dyDescent="0.25">
      <c r="A971" s="10">
        <v>1029</v>
      </c>
      <c r="B971" s="10" t="s">
        <v>3890</v>
      </c>
      <c r="C971" s="880">
        <f t="shared" si="76"/>
        <v>83.55</v>
      </c>
      <c r="D971" s="880">
        <f t="shared" si="77"/>
        <v>25.95</v>
      </c>
      <c r="E971" s="10">
        <v>83.550003000000004</v>
      </c>
      <c r="F971" s="10">
        <v>25.950001</v>
      </c>
      <c r="G971" s="10">
        <v>5.5</v>
      </c>
      <c r="H971" s="10" t="s">
        <v>3657</v>
      </c>
      <c r="I971" s="10" t="s">
        <v>3658</v>
      </c>
      <c r="J971" s="10" t="s">
        <v>3659</v>
      </c>
      <c r="K971" s="10" t="s">
        <v>3660</v>
      </c>
      <c r="L971" s="65" t="str">
        <f t="shared" si="78"/>
        <v>Mau|India|83,550003|25,950001|+5:30 Asia</v>
      </c>
      <c r="M971" s="10" t="s">
        <v>3891</v>
      </c>
      <c r="N971" s="10">
        <f t="shared" si="75"/>
        <v>0</v>
      </c>
      <c r="O971" t="str">
        <f t="shared" si="79"/>
        <v/>
      </c>
      <c r="P971" t="str">
        <f>IF(O971=1,COUNTIF($O$2:O971,1),"")</f>
        <v/>
      </c>
      <c r="Q971" t="str">
        <f>IFERROR(INDEX($M$2:$M$2388,MATCH(ROWS($P$2:P971),$P$2:$P$2388,0)),"")</f>
        <v/>
      </c>
    </row>
    <row r="972" spans="1:17" ht="15" x14ac:dyDescent="0.25">
      <c r="A972" s="10">
        <v>2387</v>
      </c>
      <c r="B972" s="10" t="s">
        <v>3892</v>
      </c>
      <c r="C972" s="880">
        <f t="shared" si="76"/>
        <v>88.388000000000005</v>
      </c>
      <c r="D972" s="880">
        <f t="shared" si="77"/>
        <v>23.423400000000001</v>
      </c>
      <c r="E972" s="10">
        <v>88.388076999999996</v>
      </c>
      <c r="F972" s="10">
        <v>23.423411999999999</v>
      </c>
      <c r="G972" s="10">
        <v>5.5</v>
      </c>
      <c r="H972" s="10" t="s">
        <v>3657</v>
      </c>
      <c r="I972" s="10" t="s">
        <v>3658</v>
      </c>
      <c r="J972" s="10" t="s">
        <v>3659</v>
      </c>
      <c r="K972" s="10" t="s">
        <v>3660</v>
      </c>
      <c r="L972" s="65" t="str">
        <f t="shared" si="78"/>
        <v>Mayapur|India|88,388077|23,423412|+5:30 Asia</v>
      </c>
      <c r="M972" s="10" t="s">
        <v>3893</v>
      </c>
      <c r="N972" s="10">
        <f t="shared" si="75"/>
        <v>0</v>
      </c>
      <c r="O972" t="str">
        <f t="shared" si="79"/>
        <v/>
      </c>
      <c r="P972" t="str">
        <f>IF(O972=1,COUNTIF($O$2:O972,1),"")</f>
        <v/>
      </c>
      <c r="Q972" t="str">
        <f>IFERROR(INDEX($M$2:$M$2388,MATCH(ROWS($P$2:P972),$P$2:$P$2388,0)),"")</f>
        <v/>
      </c>
    </row>
    <row r="973" spans="1:17" ht="15" x14ac:dyDescent="0.25">
      <c r="A973" s="10">
        <v>1028</v>
      </c>
      <c r="B973" s="10" t="s">
        <v>3894</v>
      </c>
      <c r="C973" s="880">
        <f t="shared" si="76"/>
        <v>77.6999</v>
      </c>
      <c r="D973" s="880">
        <f t="shared" si="77"/>
        <v>28.9833</v>
      </c>
      <c r="E973" s="10">
        <v>77.699996999999996</v>
      </c>
      <c r="F973" s="10">
        <v>28.983333999999999</v>
      </c>
      <c r="G973" s="10">
        <v>5.5</v>
      </c>
      <c r="H973" s="10" t="s">
        <v>3657</v>
      </c>
      <c r="I973" s="10" t="s">
        <v>3658</v>
      </c>
      <c r="J973" s="10" t="s">
        <v>3659</v>
      </c>
      <c r="K973" s="10" t="s">
        <v>3660</v>
      </c>
      <c r="L973" s="65" t="str">
        <f t="shared" si="78"/>
        <v>Meerut|India|77,699997|28,983334|+5:30 Asia</v>
      </c>
      <c r="M973" s="10" t="s">
        <v>3895</v>
      </c>
      <c r="N973" s="10">
        <f t="shared" si="75"/>
        <v>0</v>
      </c>
      <c r="O973" t="str">
        <f t="shared" si="79"/>
        <v/>
      </c>
      <c r="P973" t="str">
        <f>IF(O973=1,COUNTIF($O$2:O973,1),"")</f>
        <v/>
      </c>
      <c r="Q973" t="str">
        <f>IFERROR(INDEX($M$2:$M$2388,MATCH(ROWS($P$2:P973),$P$2:$P$2388,0)),"")</f>
        <v/>
      </c>
    </row>
    <row r="974" spans="1:17" ht="15" x14ac:dyDescent="0.25">
      <c r="A974" s="10">
        <v>1027</v>
      </c>
      <c r="B974" s="10" t="s">
        <v>3896</v>
      </c>
      <c r="C974" s="880">
        <f t="shared" si="76"/>
        <v>82.583299999999994</v>
      </c>
      <c r="D974" s="880">
        <f t="shared" si="77"/>
        <v>25.15</v>
      </c>
      <c r="E974" s="10">
        <v>82.583336000000003</v>
      </c>
      <c r="F974" s="10">
        <v>25.15</v>
      </c>
      <c r="G974" s="10">
        <v>5.5</v>
      </c>
      <c r="H974" s="10" t="s">
        <v>3657</v>
      </c>
      <c r="I974" s="10" t="s">
        <v>3658</v>
      </c>
      <c r="J974" s="10" t="s">
        <v>3659</v>
      </c>
      <c r="K974" s="10" t="s">
        <v>3660</v>
      </c>
      <c r="L974" s="65" t="str">
        <f t="shared" si="78"/>
        <v>Mirzapur|India|82,583336|25,150000|+5:30 Asia</v>
      </c>
      <c r="M974" s="10" t="s">
        <v>3897</v>
      </c>
      <c r="N974" s="10">
        <f t="shared" si="75"/>
        <v>0</v>
      </c>
      <c r="O974" t="str">
        <f t="shared" si="79"/>
        <v/>
      </c>
      <c r="P974" t="str">
        <f>IF(O974=1,COUNTIF($O$2:O974,1),"")</f>
        <v/>
      </c>
      <c r="Q974" t="str">
        <f>IFERROR(INDEX($M$2:$M$2388,MATCH(ROWS($P$2:P974),$P$2:$P$2388,0)),"")</f>
        <v/>
      </c>
    </row>
    <row r="975" spans="1:17" ht="15" x14ac:dyDescent="0.25">
      <c r="A975" s="10">
        <v>1026</v>
      </c>
      <c r="B975" s="10" t="s">
        <v>3898</v>
      </c>
      <c r="C975" s="880">
        <f t="shared" si="76"/>
        <v>78.783299999999997</v>
      </c>
      <c r="D975" s="880">
        <f t="shared" si="77"/>
        <v>28.833300000000001</v>
      </c>
      <c r="E975" s="10">
        <v>78.783332999999999</v>
      </c>
      <c r="F975" s="10">
        <v>28.833334000000001</v>
      </c>
      <c r="G975" s="10">
        <v>5.5</v>
      </c>
      <c r="H975" s="10" t="s">
        <v>3657</v>
      </c>
      <c r="I975" s="10" t="s">
        <v>3658</v>
      </c>
      <c r="J975" s="10" t="s">
        <v>3659</v>
      </c>
      <c r="K975" s="10" t="s">
        <v>3660</v>
      </c>
      <c r="L975" s="65" t="str">
        <f t="shared" si="78"/>
        <v>Moradabad|India|78,783333|28,833334|+5:30 Asia</v>
      </c>
      <c r="M975" s="10" t="s">
        <v>3899</v>
      </c>
      <c r="N975" s="10">
        <f t="shared" si="75"/>
        <v>0</v>
      </c>
      <c r="O975" t="str">
        <f t="shared" si="79"/>
        <v/>
      </c>
      <c r="P975" t="str">
        <f>IF(O975=1,COUNTIF($O$2:O975,1),"")</f>
        <v/>
      </c>
      <c r="Q975" t="str">
        <f>IFERROR(INDEX($M$2:$M$2388,MATCH(ROWS($P$2:P975),$P$2:$P$2388,0)),"")</f>
        <v/>
      </c>
    </row>
    <row r="976" spans="1:17" ht="15" x14ac:dyDescent="0.25">
      <c r="A976" s="10">
        <v>1025</v>
      </c>
      <c r="B976" s="10" t="s">
        <v>3900</v>
      </c>
      <c r="C976" s="880">
        <f t="shared" si="76"/>
        <v>86.4666</v>
      </c>
      <c r="D976" s="880">
        <f t="shared" si="77"/>
        <v>25.383299999999998</v>
      </c>
      <c r="E976" s="10">
        <v>86.466667000000001</v>
      </c>
      <c r="F976" s="10">
        <v>25.383333</v>
      </c>
      <c r="G976" s="10">
        <v>5.5</v>
      </c>
      <c r="H976" s="10" t="s">
        <v>3657</v>
      </c>
      <c r="I976" s="10" t="s">
        <v>3658</v>
      </c>
      <c r="J976" s="10" t="s">
        <v>3659</v>
      </c>
      <c r="K976" s="10" t="s">
        <v>3660</v>
      </c>
      <c r="L976" s="65" t="str">
        <f t="shared" si="78"/>
        <v>Munger|India|86,466667|25,383333|+5:30 Asia</v>
      </c>
      <c r="M976" s="10" t="s">
        <v>3901</v>
      </c>
      <c r="N976" s="10">
        <f t="shared" si="75"/>
        <v>0</v>
      </c>
      <c r="O976" t="str">
        <f t="shared" si="79"/>
        <v/>
      </c>
      <c r="P976" t="str">
        <f>IF(O976=1,COUNTIF($O$2:O976,1),"")</f>
        <v/>
      </c>
      <c r="Q976" t="str">
        <f>IFERROR(INDEX($M$2:$M$2388,MATCH(ROWS($P$2:P976),$P$2:$P$2388,0)),"")</f>
        <v/>
      </c>
    </row>
    <row r="977" spans="1:17" ht="15" x14ac:dyDescent="0.25">
      <c r="A977" s="10">
        <v>1024</v>
      </c>
      <c r="B977" s="10" t="s">
        <v>3902</v>
      </c>
      <c r="C977" s="880">
        <f t="shared" si="76"/>
        <v>77.683300000000003</v>
      </c>
      <c r="D977" s="880">
        <f t="shared" si="77"/>
        <v>29.4666</v>
      </c>
      <c r="E977" s="10">
        <v>77.683334000000002</v>
      </c>
      <c r="F977" s="10">
        <v>29.466667000000001</v>
      </c>
      <c r="G977" s="10">
        <v>5.5</v>
      </c>
      <c r="H977" s="10" t="s">
        <v>3657</v>
      </c>
      <c r="I977" s="10" t="s">
        <v>3658</v>
      </c>
      <c r="J977" s="10" t="s">
        <v>3659</v>
      </c>
      <c r="K977" s="10" t="s">
        <v>3660</v>
      </c>
      <c r="L977" s="65" t="str">
        <f t="shared" si="78"/>
        <v>Muzaffarnagar|India|77,683334|29,466667|+5:30 Asia</v>
      </c>
      <c r="M977" s="10" t="s">
        <v>3903</v>
      </c>
      <c r="N977" s="10">
        <f t="shared" si="75"/>
        <v>0</v>
      </c>
      <c r="O977" t="str">
        <f t="shared" si="79"/>
        <v/>
      </c>
      <c r="P977" t="str">
        <f>IF(O977=1,COUNTIF($O$2:O977,1),"")</f>
        <v/>
      </c>
      <c r="Q977" t="str">
        <f>IFERROR(INDEX($M$2:$M$2388,MATCH(ROWS($P$2:P977),$P$2:$P$2388,0)),"")</f>
        <v/>
      </c>
    </row>
    <row r="978" spans="1:17" ht="15" x14ac:dyDescent="0.25">
      <c r="A978" s="10">
        <v>1023</v>
      </c>
      <c r="B978" s="10" t="s">
        <v>3904</v>
      </c>
      <c r="C978" s="880">
        <f t="shared" si="76"/>
        <v>85.4</v>
      </c>
      <c r="D978" s="880">
        <f t="shared" si="77"/>
        <v>26.116599999999998</v>
      </c>
      <c r="E978" s="10">
        <v>85.400002000000001</v>
      </c>
      <c r="F978" s="10">
        <v>26.116667</v>
      </c>
      <c r="G978" s="10">
        <v>5.5</v>
      </c>
      <c r="H978" s="10" t="s">
        <v>3657</v>
      </c>
      <c r="I978" s="10" t="s">
        <v>3658</v>
      </c>
      <c r="J978" s="10" t="s">
        <v>3659</v>
      </c>
      <c r="K978" s="10" t="s">
        <v>3660</v>
      </c>
      <c r="L978" s="65" t="str">
        <f t="shared" si="78"/>
        <v>Muzaffarpur|India|85,400002|26,116667|+5:30 Asia</v>
      </c>
      <c r="M978" s="10" t="s">
        <v>3905</v>
      </c>
      <c r="N978" s="10">
        <f t="shared" si="75"/>
        <v>0</v>
      </c>
      <c r="O978" t="str">
        <f t="shared" si="79"/>
        <v/>
      </c>
      <c r="P978" t="str">
        <f>IF(O978=1,COUNTIF($O$2:O978,1),"")</f>
        <v/>
      </c>
      <c r="Q978" t="str">
        <f>IFERROR(INDEX($M$2:$M$2388,MATCH(ROWS($P$2:P978),$P$2:$P$2388,0)),"")</f>
        <v/>
      </c>
    </row>
    <row r="979" spans="1:17" ht="15" x14ac:dyDescent="0.25">
      <c r="A979" s="10">
        <v>1022</v>
      </c>
      <c r="B979" s="10" t="s">
        <v>3906</v>
      </c>
      <c r="C979" s="880">
        <f t="shared" si="76"/>
        <v>76.649699999999996</v>
      </c>
      <c r="D979" s="880">
        <f t="shared" si="77"/>
        <v>12.3072</v>
      </c>
      <c r="E979" s="10">
        <v>76.649719000000005</v>
      </c>
      <c r="F979" s="10">
        <v>12.307221999999999</v>
      </c>
      <c r="G979" s="10">
        <v>5.5</v>
      </c>
      <c r="H979" s="10" t="s">
        <v>3657</v>
      </c>
      <c r="I979" s="10" t="s">
        <v>3658</v>
      </c>
      <c r="J979" s="10" t="s">
        <v>3659</v>
      </c>
      <c r="K979" s="10" t="s">
        <v>3660</v>
      </c>
      <c r="L979" s="65" t="str">
        <f t="shared" si="78"/>
        <v>Mysore|India|76,649719|12,307222|+5:30 Asia</v>
      </c>
      <c r="M979" s="10" t="s">
        <v>3907</v>
      </c>
      <c r="N979" s="10">
        <f t="shared" si="75"/>
        <v>0</v>
      </c>
      <c r="O979" t="str">
        <f t="shared" si="79"/>
        <v/>
      </c>
      <c r="P979" t="str">
        <f>IF(O979=1,COUNTIF($O$2:O979,1),"")</f>
        <v/>
      </c>
      <c r="Q979" t="str">
        <f>IFERROR(INDEX($M$2:$M$2388,MATCH(ROWS($P$2:P979),$P$2:$P$2388,0)),"")</f>
        <v/>
      </c>
    </row>
    <row r="980" spans="1:17" ht="15" x14ac:dyDescent="0.25">
      <c r="A980" s="10">
        <v>1021</v>
      </c>
      <c r="B980" s="10" t="s">
        <v>3908</v>
      </c>
      <c r="C980" s="880">
        <f t="shared" si="76"/>
        <v>72.866600000000005</v>
      </c>
      <c r="D980" s="880">
        <f t="shared" si="77"/>
        <v>22.7</v>
      </c>
      <c r="E980" s="10">
        <v>72.866669000000002</v>
      </c>
      <c r="F980" s="10">
        <v>22.700001</v>
      </c>
      <c r="G980" s="10">
        <v>5.5</v>
      </c>
      <c r="H980" s="10" t="s">
        <v>3657</v>
      </c>
      <c r="I980" s="10" t="s">
        <v>3658</v>
      </c>
      <c r="J980" s="10" t="s">
        <v>3659</v>
      </c>
      <c r="K980" s="10" t="s">
        <v>3660</v>
      </c>
      <c r="L980" s="65" t="str">
        <f t="shared" si="78"/>
        <v>Nadiad|India|72,866669|22,700001|+5:30 Asia</v>
      </c>
      <c r="M980" s="10" t="s">
        <v>3909</v>
      </c>
      <c r="N980" s="10">
        <f t="shared" si="75"/>
        <v>0</v>
      </c>
      <c r="O980" t="str">
        <f t="shared" si="79"/>
        <v/>
      </c>
      <c r="P980" t="str">
        <f>IF(O980=1,COUNTIF($O$2:O980,1),"")</f>
        <v/>
      </c>
      <c r="Q980" t="str">
        <f>IFERROR(INDEX($M$2:$M$2388,MATCH(ROWS($P$2:P980),$P$2:$P$2388,0)),"")</f>
        <v/>
      </c>
    </row>
    <row r="981" spans="1:17" ht="15" x14ac:dyDescent="0.25">
      <c r="A981" s="10">
        <v>1020</v>
      </c>
      <c r="B981" s="10" t="s">
        <v>3910</v>
      </c>
      <c r="C981" s="880">
        <f t="shared" si="76"/>
        <v>77.433300000000003</v>
      </c>
      <c r="D981" s="880">
        <f t="shared" si="77"/>
        <v>8.1666000000000007</v>
      </c>
      <c r="E981" s="10">
        <v>77.433334000000002</v>
      </c>
      <c r="F981" s="10">
        <v>8.1666670000000003</v>
      </c>
      <c r="G981" s="10">
        <v>5.5</v>
      </c>
      <c r="H981" s="10" t="s">
        <v>3657</v>
      </c>
      <c r="I981" s="10" t="s">
        <v>3658</v>
      </c>
      <c r="J981" s="10" t="s">
        <v>3659</v>
      </c>
      <c r="K981" s="10" t="s">
        <v>3660</v>
      </c>
      <c r="L981" s="65" t="str">
        <f t="shared" si="78"/>
        <v>Nagercoil|India|77,433334|8,166667|+5:30 Asia</v>
      </c>
      <c r="M981" s="10" t="s">
        <v>3911</v>
      </c>
      <c r="N981" s="10">
        <f t="shared" si="75"/>
        <v>0</v>
      </c>
      <c r="O981" t="str">
        <f t="shared" si="79"/>
        <v/>
      </c>
      <c r="P981" t="str">
        <f>IF(O981=1,COUNTIF($O$2:O981,1),"")</f>
        <v/>
      </c>
      <c r="Q981" t="str">
        <f>IFERROR(INDEX($M$2:$M$2388,MATCH(ROWS($P$2:P981),$P$2:$P$2388,0)),"")</f>
        <v/>
      </c>
    </row>
    <row r="982" spans="1:17" ht="15" x14ac:dyDescent="0.25">
      <c r="A982" s="10">
        <v>1019</v>
      </c>
      <c r="B982" s="10" t="s">
        <v>3912</v>
      </c>
      <c r="C982" s="880">
        <f t="shared" si="76"/>
        <v>79.099900000000005</v>
      </c>
      <c r="D982" s="880">
        <f t="shared" si="77"/>
        <v>21.15</v>
      </c>
      <c r="E982" s="10">
        <v>79.099997999999999</v>
      </c>
      <c r="F982" s="10">
        <v>21.15</v>
      </c>
      <c r="G982" s="10">
        <v>5.5</v>
      </c>
      <c r="H982" s="10" t="s">
        <v>3657</v>
      </c>
      <c r="I982" s="10" t="s">
        <v>3658</v>
      </c>
      <c r="J982" s="10" t="s">
        <v>3659</v>
      </c>
      <c r="K982" s="10" t="s">
        <v>3660</v>
      </c>
      <c r="L982" s="65" t="str">
        <f t="shared" si="78"/>
        <v>Nagpur|India|79,099998|21,150000|+5:30 Asia</v>
      </c>
      <c r="M982" s="10" t="s">
        <v>3913</v>
      </c>
      <c r="N982" s="10">
        <f t="shared" si="75"/>
        <v>0</v>
      </c>
      <c r="O982" t="str">
        <f t="shared" si="79"/>
        <v/>
      </c>
      <c r="P982" t="str">
        <f>IF(O982=1,COUNTIF($O$2:O982,1),"")</f>
        <v/>
      </c>
      <c r="Q982" t="str">
        <f>IFERROR(INDEX($M$2:$M$2388,MATCH(ROWS($P$2:P982),$P$2:$P$2388,0)),"")</f>
        <v/>
      </c>
    </row>
    <row r="983" spans="1:17" ht="15" x14ac:dyDescent="0.25">
      <c r="A983" s="10">
        <v>1018</v>
      </c>
      <c r="B983" s="10" t="s">
        <v>3914</v>
      </c>
      <c r="C983" s="880">
        <f t="shared" si="76"/>
        <v>88.416899999999998</v>
      </c>
      <c r="D983" s="880">
        <f t="shared" si="77"/>
        <v>22.902699999999999</v>
      </c>
      <c r="E983" s="10">
        <v>88.416945999999996</v>
      </c>
      <c r="F983" s="10">
        <v>22.902778999999999</v>
      </c>
      <c r="G983" s="10">
        <v>5.5</v>
      </c>
      <c r="H983" s="10" t="s">
        <v>3657</v>
      </c>
      <c r="I983" s="10" t="s">
        <v>3658</v>
      </c>
      <c r="J983" s="10" t="s">
        <v>3659</v>
      </c>
      <c r="K983" s="10" t="s">
        <v>3660</v>
      </c>
      <c r="L983" s="65" t="str">
        <f t="shared" si="78"/>
        <v>Naihati|India|88,416946|22,902779|+5:30 Asia</v>
      </c>
      <c r="M983" s="10" t="s">
        <v>3915</v>
      </c>
      <c r="N983" s="10">
        <f t="shared" si="75"/>
        <v>0</v>
      </c>
      <c r="O983" t="str">
        <f t="shared" si="79"/>
        <v/>
      </c>
      <c r="P983" t="str">
        <f>IF(O983=1,COUNTIF($O$2:O983,1),"")</f>
        <v/>
      </c>
      <c r="Q983" t="str">
        <f>IFERROR(INDEX($M$2:$M$2388,MATCH(ROWS($P$2:P983),$P$2:$P$2388,0)),"")</f>
        <v/>
      </c>
    </row>
    <row r="984" spans="1:17" ht="15" x14ac:dyDescent="0.25">
      <c r="A984" s="10">
        <v>1143</v>
      </c>
      <c r="B984" s="10" t="s">
        <v>3916</v>
      </c>
      <c r="C984" s="880">
        <f t="shared" si="76"/>
        <v>88.215199999999996</v>
      </c>
      <c r="D984" s="880">
        <f t="shared" si="77"/>
        <v>22.508299999999998</v>
      </c>
      <c r="E984" s="10">
        <v>88.215278999999995</v>
      </c>
      <c r="F984" s="10">
        <v>22.508333</v>
      </c>
      <c r="G984" s="10">
        <v>5.5</v>
      </c>
      <c r="H984" s="10" t="s">
        <v>3657</v>
      </c>
      <c r="I984" s="10" t="s">
        <v>3658</v>
      </c>
      <c r="J984" s="10" t="s">
        <v>3659</v>
      </c>
      <c r="K984" s="10" t="s">
        <v>3660</v>
      </c>
      <c r="L984" s="65" t="str">
        <f t="shared" si="78"/>
        <v>Nangi|India|88,215279|22,508333|+5:30 Asia</v>
      </c>
      <c r="M984" s="10" t="s">
        <v>3917</v>
      </c>
      <c r="N984" s="10">
        <f t="shared" si="75"/>
        <v>0</v>
      </c>
      <c r="O984" t="str">
        <f t="shared" si="79"/>
        <v/>
      </c>
      <c r="P984" t="str">
        <f>IF(O984=1,COUNTIF($O$2:O984,1),"")</f>
        <v/>
      </c>
      <c r="Q984" t="str">
        <f>IFERROR(INDEX($M$2:$M$2388,MATCH(ROWS($P$2:P984),$P$2:$P$2388,0)),"")</f>
        <v/>
      </c>
    </row>
    <row r="985" spans="1:17" ht="15" x14ac:dyDescent="0.25">
      <c r="A985" s="10">
        <v>1017</v>
      </c>
      <c r="B985" s="10" t="s">
        <v>3918</v>
      </c>
      <c r="C985" s="880">
        <f t="shared" si="76"/>
        <v>73.8</v>
      </c>
      <c r="D985" s="880">
        <f t="shared" si="77"/>
        <v>19.9833</v>
      </c>
      <c r="E985" s="10">
        <v>73.800003000000004</v>
      </c>
      <c r="F985" s="10">
        <v>19.983333999999999</v>
      </c>
      <c r="G985" s="10">
        <v>5.5</v>
      </c>
      <c r="H985" s="10" t="s">
        <v>3657</v>
      </c>
      <c r="I985" s="10" t="s">
        <v>3658</v>
      </c>
      <c r="J985" s="10" t="s">
        <v>3659</v>
      </c>
      <c r="K985" s="10" t="s">
        <v>3660</v>
      </c>
      <c r="L985" s="65" t="str">
        <f t="shared" si="78"/>
        <v>Nasik|India|73,800003|19,983334|+5:30 Asia</v>
      </c>
      <c r="M985" s="10" t="s">
        <v>3919</v>
      </c>
      <c r="N985" s="10">
        <f t="shared" si="75"/>
        <v>0</v>
      </c>
      <c r="O985" t="str">
        <f t="shared" si="79"/>
        <v/>
      </c>
      <c r="P985" t="str">
        <f>IF(O985=1,COUNTIF($O$2:O985,1),"")</f>
        <v/>
      </c>
      <c r="Q985" t="str">
        <f>IFERROR(INDEX($M$2:$M$2388,MATCH(ROWS($P$2:P985),$P$2:$P$2388,0)),"")</f>
        <v/>
      </c>
    </row>
    <row r="986" spans="1:17" ht="15" x14ac:dyDescent="0.25">
      <c r="A986" s="10">
        <v>1016</v>
      </c>
      <c r="B986" s="10" t="s">
        <v>3920</v>
      </c>
      <c r="C986" s="880">
        <f t="shared" si="76"/>
        <v>79.9666</v>
      </c>
      <c r="D986" s="880">
        <f t="shared" si="77"/>
        <v>14.433299999999999</v>
      </c>
      <c r="E986" s="10">
        <v>79.966667000000001</v>
      </c>
      <c r="F986" s="10">
        <v>14.433332999999999</v>
      </c>
      <c r="G986" s="10">
        <v>5.5</v>
      </c>
      <c r="H986" s="10" t="s">
        <v>3657</v>
      </c>
      <c r="I986" s="10" t="s">
        <v>3658</v>
      </c>
      <c r="J986" s="10" t="s">
        <v>3659</v>
      </c>
      <c r="K986" s="10" t="s">
        <v>3660</v>
      </c>
      <c r="L986" s="65" t="str">
        <f t="shared" si="78"/>
        <v>Nellore|India|79,966667|14,433333|+5:30 Asia</v>
      </c>
      <c r="M986" s="10" t="s">
        <v>3921</v>
      </c>
      <c r="N986" s="10">
        <f t="shared" si="75"/>
        <v>0</v>
      </c>
      <c r="O986" t="str">
        <f t="shared" si="79"/>
        <v/>
      </c>
      <c r="P986" t="str">
        <f>IF(O986=1,COUNTIF($O$2:O986,1),"")</f>
        <v/>
      </c>
      <c r="Q986" t="str">
        <f>IFERROR(INDEX($M$2:$M$2388,MATCH(ROWS($P$2:P986),$P$2:$P$2388,0)),"")</f>
        <v/>
      </c>
    </row>
    <row r="987" spans="1:17" ht="15" x14ac:dyDescent="0.25">
      <c r="A987" s="10">
        <v>1015</v>
      </c>
      <c r="B987" s="10" t="s">
        <v>3922</v>
      </c>
      <c r="C987" s="880">
        <f t="shared" si="76"/>
        <v>77.1999</v>
      </c>
      <c r="D987" s="880">
        <f t="shared" si="77"/>
        <v>28.6</v>
      </c>
      <c r="E987" s="10">
        <v>77.199996999999996</v>
      </c>
      <c r="F987" s="10">
        <v>28.6</v>
      </c>
      <c r="G987" s="10">
        <v>5.5</v>
      </c>
      <c r="H987" s="10" t="s">
        <v>3657</v>
      </c>
      <c r="I987" s="10" t="s">
        <v>3658</v>
      </c>
      <c r="J987" s="10" t="s">
        <v>3659</v>
      </c>
      <c r="K987" s="10" t="s">
        <v>3660</v>
      </c>
      <c r="L987" s="65" t="str">
        <f t="shared" si="78"/>
        <v>New Delhi|India|77,199997|28,600000|+5:30 Asia</v>
      </c>
      <c r="M987" s="10" t="s">
        <v>3923</v>
      </c>
      <c r="N987" s="10">
        <f t="shared" si="75"/>
        <v>0</v>
      </c>
      <c r="O987" t="str">
        <f t="shared" si="79"/>
        <v/>
      </c>
      <c r="P987" t="str">
        <f>IF(O987=1,COUNTIF($O$2:O987,1),"")</f>
        <v/>
      </c>
      <c r="Q987" t="str">
        <f>IFERROR(INDEX($M$2:$M$2388,MATCH(ROWS($P$2:P987),$P$2:$P$2388,0)),"")</f>
        <v/>
      </c>
    </row>
    <row r="988" spans="1:17" ht="15" x14ac:dyDescent="0.25">
      <c r="A988" s="10">
        <v>1014</v>
      </c>
      <c r="B988" s="10" t="s">
        <v>3924</v>
      </c>
      <c r="C988" s="880">
        <f t="shared" si="76"/>
        <v>78.116600000000005</v>
      </c>
      <c r="D988" s="880">
        <f t="shared" si="77"/>
        <v>18.666599999999999</v>
      </c>
      <c r="E988" s="10">
        <v>78.116669000000002</v>
      </c>
      <c r="F988" s="10">
        <v>18.666665999999999</v>
      </c>
      <c r="G988" s="10">
        <v>5.5</v>
      </c>
      <c r="H988" s="10" t="s">
        <v>3657</v>
      </c>
      <c r="I988" s="10" t="s">
        <v>3658</v>
      </c>
      <c r="J988" s="10" t="s">
        <v>3659</v>
      </c>
      <c r="K988" s="10" t="s">
        <v>3660</v>
      </c>
      <c r="L988" s="65" t="str">
        <f t="shared" si="78"/>
        <v>Nizamabad|India|78,116669|18,666666|+5:30 Asia</v>
      </c>
      <c r="M988" s="10" t="s">
        <v>3925</v>
      </c>
      <c r="N988" s="10">
        <f t="shared" si="75"/>
        <v>0</v>
      </c>
      <c r="O988" t="str">
        <f t="shared" si="79"/>
        <v/>
      </c>
      <c r="P988" t="str">
        <f>IF(O988=1,COUNTIF($O$2:O988,1),"")</f>
        <v/>
      </c>
      <c r="Q988" t="str">
        <f>IFERROR(INDEX($M$2:$M$2388,MATCH(ROWS($P$2:P988),$P$2:$P$2388,0)),"")</f>
        <v/>
      </c>
    </row>
    <row r="989" spans="1:17" ht="15" x14ac:dyDescent="0.25">
      <c r="A989" s="10">
        <v>1013</v>
      </c>
      <c r="B989" s="10" t="s">
        <v>3926</v>
      </c>
      <c r="C989" s="880">
        <f t="shared" si="76"/>
        <v>73.333299999999994</v>
      </c>
      <c r="D989" s="880">
        <f t="shared" si="77"/>
        <v>25.7666</v>
      </c>
      <c r="E989" s="10">
        <v>73.333336000000003</v>
      </c>
      <c r="F989" s="10">
        <v>25.766666000000001</v>
      </c>
      <c r="G989" s="10">
        <v>5.5</v>
      </c>
      <c r="H989" s="10" t="s">
        <v>3657</v>
      </c>
      <c r="I989" s="10" t="s">
        <v>3658</v>
      </c>
      <c r="J989" s="10" t="s">
        <v>3659</v>
      </c>
      <c r="K989" s="10" t="s">
        <v>3660</v>
      </c>
      <c r="L989" s="65" t="str">
        <f t="shared" si="78"/>
        <v>Pali|India|73,333336|25,766666|+5:30 Asia</v>
      </c>
      <c r="M989" s="10" t="s">
        <v>3927</v>
      </c>
      <c r="N989" s="10">
        <f t="shared" si="75"/>
        <v>0</v>
      </c>
      <c r="O989" t="str">
        <f t="shared" si="79"/>
        <v/>
      </c>
      <c r="P989" t="str">
        <f>IF(O989=1,COUNTIF($O$2:O989,1),"")</f>
        <v/>
      </c>
      <c r="Q989" t="str">
        <f>IFERROR(INDEX($M$2:$M$2388,MATCH(ROWS($P$2:P989),$P$2:$P$2388,0)),"")</f>
        <v/>
      </c>
    </row>
    <row r="990" spans="1:17" ht="15" x14ac:dyDescent="0.25">
      <c r="A990" s="10">
        <v>1012</v>
      </c>
      <c r="B990" s="10" t="s">
        <v>3928</v>
      </c>
      <c r="C990" s="880">
        <f t="shared" si="76"/>
        <v>88.374399999999994</v>
      </c>
      <c r="D990" s="880">
        <f t="shared" si="77"/>
        <v>22.694099999999999</v>
      </c>
      <c r="E990" s="10">
        <v>88.374442999999999</v>
      </c>
      <c r="F990" s="10">
        <v>22.694165999999999</v>
      </c>
      <c r="G990" s="10">
        <v>5.5</v>
      </c>
      <c r="H990" s="10" t="s">
        <v>3657</v>
      </c>
      <c r="I990" s="10" t="s">
        <v>3658</v>
      </c>
      <c r="J990" s="10" t="s">
        <v>3659</v>
      </c>
      <c r="K990" s="10" t="s">
        <v>3660</v>
      </c>
      <c r="L990" s="65" t="str">
        <f t="shared" si="78"/>
        <v>Panihati|India|88,374443|22,694166|+5:30 Asia</v>
      </c>
      <c r="M990" s="10" t="s">
        <v>3929</v>
      </c>
      <c r="N990" s="10">
        <f t="shared" si="75"/>
        <v>0</v>
      </c>
      <c r="O990" t="str">
        <f t="shared" si="79"/>
        <v/>
      </c>
      <c r="P990" t="str">
        <f>IF(O990=1,COUNTIF($O$2:O990,1),"")</f>
        <v/>
      </c>
      <c r="Q990" t="str">
        <f>IFERROR(INDEX($M$2:$M$2388,MATCH(ROWS($P$2:P990),$P$2:$P$2388,0)),"")</f>
        <v/>
      </c>
    </row>
    <row r="991" spans="1:17" ht="15" x14ac:dyDescent="0.25">
      <c r="A991" s="10">
        <v>1011</v>
      </c>
      <c r="B991" s="10" t="s">
        <v>3930</v>
      </c>
      <c r="C991" s="880">
        <f t="shared" si="76"/>
        <v>76.968000000000004</v>
      </c>
      <c r="D991" s="880">
        <f t="shared" si="77"/>
        <v>29.3888</v>
      </c>
      <c r="E991" s="10">
        <v>76.968056000000004</v>
      </c>
      <c r="F991" s="10">
        <v>29.388888999999999</v>
      </c>
      <c r="G991" s="10">
        <v>5.5</v>
      </c>
      <c r="H991" s="10" t="s">
        <v>3657</v>
      </c>
      <c r="I991" s="10" t="s">
        <v>3658</v>
      </c>
      <c r="J991" s="10" t="s">
        <v>3659</v>
      </c>
      <c r="K991" s="10" t="s">
        <v>3660</v>
      </c>
      <c r="L991" s="65" t="str">
        <f t="shared" si="78"/>
        <v>Panipat|India|76,968056|29,388889|+5:30 Asia</v>
      </c>
      <c r="M991" s="10" t="s">
        <v>3931</v>
      </c>
      <c r="N991" s="10">
        <f t="shared" si="75"/>
        <v>0</v>
      </c>
      <c r="O991" t="str">
        <f t="shared" si="79"/>
        <v/>
      </c>
      <c r="P991" t="str">
        <f>IF(O991=1,COUNTIF($O$2:O991,1),"")</f>
        <v/>
      </c>
      <c r="Q991" t="str">
        <f>IFERROR(INDEX($M$2:$M$2388,MATCH(ROWS($P$2:P991),$P$2:$P$2388,0)),"")</f>
        <v/>
      </c>
    </row>
    <row r="992" spans="1:17" ht="15" x14ac:dyDescent="0.25">
      <c r="A992" s="10">
        <v>1010</v>
      </c>
      <c r="B992" s="10" t="s">
        <v>3932</v>
      </c>
      <c r="C992" s="880">
        <f t="shared" si="76"/>
        <v>76.783299999999997</v>
      </c>
      <c r="D992" s="880">
        <f t="shared" si="77"/>
        <v>19.2666</v>
      </c>
      <c r="E992" s="10">
        <v>76.783332999999999</v>
      </c>
      <c r="F992" s="10">
        <v>19.266666000000001</v>
      </c>
      <c r="G992" s="10">
        <v>5.5</v>
      </c>
      <c r="H992" s="10" t="s">
        <v>3657</v>
      </c>
      <c r="I992" s="10" t="s">
        <v>3658</v>
      </c>
      <c r="J992" s="10" t="s">
        <v>3659</v>
      </c>
      <c r="K992" s="10" t="s">
        <v>3660</v>
      </c>
      <c r="L992" s="65" t="str">
        <f t="shared" si="78"/>
        <v>Parbhani|India|76,783333|19,266666|+5:30 Asia</v>
      </c>
      <c r="M992" s="10" t="s">
        <v>3933</v>
      </c>
      <c r="N992" s="10">
        <f t="shared" si="75"/>
        <v>0</v>
      </c>
      <c r="O992" t="str">
        <f t="shared" si="79"/>
        <v/>
      </c>
      <c r="P992" t="str">
        <f>IF(O992=1,COUNTIF($O$2:O992,1),"")</f>
        <v/>
      </c>
      <c r="Q992" t="str">
        <f>IFERROR(INDEX($M$2:$M$2388,MATCH(ROWS($P$2:P992),$P$2:$P$2388,0)),"")</f>
        <v/>
      </c>
    </row>
    <row r="993" spans="1:17" ht="15" x14ac:dyDescent="0.25">
      <c r="A993" s="10">
        <v>1009</v>
      </c>
      <c r="B993" s="10" t="s">
        <v>3934</v>
      </c>
      <c r="C993" s="880">
        <f t="shared" si="76"/>
        <v>76.400199999999998</v>
      </c>
      <c r="D993" s="880">
        <f t="shared" si="77"/>
        <v>30.326599999999999</v>
      </c>
      <c r="E993" s="10">
        <v>76.400276000000005</v>
      </c>
      <c r="F993" s="10">
        <v>30.326665999999999</v>
      </c>
      <c r="G993" s="10">
        <v>5.5</v>
      </c>
      <c r="H993" s="10" t="s">
        <v>3657</v>
      </c>
      <c r="I993" s="10" t="s">
        <v>3658</v>
      </c>
      <c r="J993" s="10" t="s">
        <v>3659</v>
      </c>
      <c r="K993" s="10" t="s">
        <v>3660</v>
      </c>
      <c r="L993" s="65" t="str">
        <f t="shared" si="78"/>
        <v>Patiala|India|76,400276|30,326666|+5:30 Asia</v>
      </c>
      <c r="M993" s="10" t="s">
        <v>3935</v>
      </c>
      <c r="N993" s="10">
        <f t="shared" si="75"/>
        <v>0</v>
      </c>
      <c r="O993" t="str">
        <f t="shared" si="79"/>
        <v/>
      </c>
      <c r="P993" t="str">
        <f>IF(O993=1,COUNTIF($O$2:O993,1),"")</f>
        <v/>
      </c>
      <c r="Q993" t="str">
        <f>IFERROR(INDEX($M$2:$M$2388,MATCH(ROWS($P$2:P993),$P$2:$P$2388,0)),"")</f>
        <v/>
      </c>
    </row>
    <row r="994" spans="1:17" ht="15" x14ac:dyDescent="0.25">
      <c r="A994" s="10">
        <v>1008</v>
      </c>
      <c r="B994" s="10" t="s">
        <v>3936</v>
      </c>
      <c r="C994" s="880">
        <f t="shared" si="76"/>
        <v>85.116600000000005</v>
      </c>
      <c r="D994" s="880">
        <f t="shared" si="77"/>
        <v>25.6</v>
      </c>
      <c r="E994" s="10">
        <v>85.116669000000002</v>
      </c>
      <c r="F994" s="10">
        <v>25.6</v>
      </c>
      <c r="G994" s="10">
        <v>5.5</v>
      </c>
      <c r="H994" s="10" t="s">
        <v>3657</v>
      </c>
      <c r="I994" s="10" t="s">
        <v>3658</v>
      </c>
      <c r="J994" s="10" t="s">
        <v>3659</v>
      </c>
      <c r="K994" s="10" t="s">
        <v>3660</v>
      </c>
      <c r="L994" s="65" t="str">
        <f t="shared" si="78"/>
        <v>Patna|India|85,116669|25,600000|+5:30 Asia</v>
      </c>
      <c r="M994" s="10" t="s">
        <v>3937</v>
      </c>
      <c r="N994" s="10">
        <f t="shared" si="75"/>
        <v>0</v>
      </c>
      <c r="O994" t="str">
        <f t="shared" si="79"/>
        <v/>
      </c>
      <c r="P994" t="str">
        <f>IF(O994=1,COUNTIF($O$2:O994,1),"")</f>
        <v/>
      </c>
      <c r="Q994" t="str">
        <f>IFERROR(INDEX($M$2:$M$2388,MATCH(ROWS($P$2:P994),$P$2:$P$2388,0)),"")</f>
        <v/>
      </c>
    </row>
    <row r="995" spans="1:17" ht="15" x14ac:dyDescent="0.25">
      <c r="A995" s="10">
        <v>1007</v>
      </c>
      <c r="B995" s="10" t="s">
        <v>3938</v>
      </c>
      <c r="C995" s="880">
        <f t="shared" si="76"/>
        <v>73.8</v>
      </c>
      <c r="D995" s="880">
        <f t="shared" si="77"/>
        <v>18.616599999999998</v>
      </c>
      <c r="E995" s="10">
        <v>73.800003000000004</v>
      </c>
      <c r="F995" s="10">
        <v>18.616667</v>
      </c>
      <c r="G995" s="10">
        <v>5.5</v>
      </c>
      <c r="H995" s="10" t="s">
        <v>3657</v>
      </c>
      <c r="I995" s="10" t="s">
        <v>3658</v>
      </c>
      <c r="J995" s="10" t="s">
        <v>3659</v>
      </c>
      <c r="K995" s="10" t="s">
        <v>3660</v>
      </c>
      <c r="L995" s="65" t="str">
        <f t="shared" si="78"/>
        <v>Pimpri|India|73,800003|18,616667|+5:30 Asia</v>
      </c>
      <c r="M995" s="10" t="s">
        <v>3939</v>
      </c>
      <c r="N995" s="10">
        <f t="shared" si="75"/>
        <v>0</v>
      </c>
      <c r="O995" t="str">
        <f t="shared" si="79"/>
        <v/>
      </c>
      <c r="P995" t="str">
        <f>IF(O995=1,COUNTIF($O$2:O995,1),"")</f>
        <v/>
      </c>
      <c r="Q995" t="str">
        <f>IFERROR(INDEX($M$2:$M$2388,MATCH(ROWS($P$2:P995),$P$2:$P$2388,0)),"")</f>
        <v/>
      </c>
    </row>
    <row r="996" spans="1:17" ht="15" x14ac:dyDescent="0.25">
      <c r="A996" s="10">
        <v>1006</v>
      </c>
      <c r="B996" s="10" t="s">
        <v>3940</v>
      </c>
      <c r="C996" s="880">
        <f t="shared" si="76"/>
        <v>79.83</v>
      </c>
      <c r="D996" s="880">
        <f t="shared" si="77"/>
        <v>11.93</v>
      </c>
      <c r="E996" s="10">
        <v>79.830001999999993</v>
      </c>
      <c r="F996" s="10">
        <v>11.93</v>
      </c>
      <c r="G996" s="10">
        <v>5.5</v>
      </c>
      <c r="H996" s="10" t="s">
        <v>3657</v>
      </c>
      <c r="I996" s="10" t="s">
        <v>3658</v>
      </c>
      <c r="J996" s="10" t="s">
        <v>3659</v>
      </c>
      <c r="K996" s="10" t="s">
        <v>3660</v>
      </c>
      <c r="L996" s="65" t="str">
        <f t="shared" si="78"/>
        <v>Pondicherry|India|79,830002|11,930000|+5:30 Asia</v>
      </c>
      <c r="M996" s="10" t="s">
        <v>3941</v>
      </c>
      <c r="N996" s="10">
        <f t="shared" si="75"/>
        <v>0</v>
      </c>
      <c r="O996" t="str">
        <f t="shared" si="79"/>
        <v/>
      </c>
      <c r="P996" t="str">
        <f>IF(O996=1,COUNTIF($O$2:O996,1),"")</f>
        <v/>
      </c>
      <c r="Q996" t="str">
        <f>IFERROR(INDEX($M$2:$M$2388,MATCH(ROWS($P$2:P996),$P$2:$P$2388,0)),"")</f>
        <v/>
      </c>
    </row>
    <row r="997" spans="1:17" ht="15" x14ac:dyDescent="0.25">
      <c r="A997" s="10">
        <v>1005</v>
      </c>
      <c r="B997" s="10" t="s">
        <v>3942</v>
      </c>
      <c r="C997" s="880">
        <f t="shared" si="76"/>
        <v>76.400000000000006</v>
      </c>
      <c r="D997" s="880">
        <f t="shared" si="77"/>
        <v>22.2333</v>
      </c>
      <c r="E997" s="10">
        <v>76.400002000000001</v>
      </c>
      <c r="F997" s="10">
        <v>22.233333999999999</v>
      </c>
      <c r="G997" s="10">
        <v>5.5</v>
      </c>
      <c r="H997" s="10" t="s">
        <v>3657</v>
      </c>
      <c r="I997" s="10" t="s">
        <v>3658</v>
      </c>
      <c r="J997" s="10" t="s">
        <v>3659</v>
      </c>
      <c r="K997" s="10" t="s">
        <v>3660</v>
      </c>
      <c r="L997" s="65" t="str">
        <f t="shared" si="78"/>
        <v>Punasa|India|76,400002|22,233334|+5:30 Asia</v>
      </c>
      <c r="M997" s="10" t="s">
        <v>3943</v>
      </c>
      <c r="N997" s="10">
        <f t="shared" si="75"/>
        <v>0</v>
      </c>
      <c r="O997" t="str">
        <f t="shared" si="79"/>
        <v/>
      </c>
      <c r="P997" t="str">
        <f>IF(O997=1,COUNTIF($O$2:O997,1),"")</f>
        <v/>
      </c>
      <c r="Q997" t="str">
        <f>IFERROR(INDEX($M$2:$M$2388,MATCH(ROWS($P$2:P997),$P$2:$P$2388,0)),"")</f>
        <v/>
      </c>
    </row>
    <row r="998" spans="1:17" ht="15" x14ac:dyDescent="0.25">
      <c r="A998" s="10">
        <v>961</v>
      </c>
      <c r="B998" s="10" t="s">
        <v>3944</v>
      </c>
      <c r="C998" s="880">
        <f t="shared" si="76"/>
        <v>74.099900000000005</v>
      </c>
      <c r="D998" s="880">
        <f t="shared" si="77"/>
        <v>33.766599999999997</v>
      </c>
      <c r="E998" s="10">
        <v>74.099997999999999</v>
      </c>
      <c r="F998" s="10">
        <v>33.766666000000001</v>
      </c>
      <c r="G998" s="10">
        <v>5.5</v>
      </c>
      <c r="H998" s="10" t="s">
        <v>3657</v>
      </c>
      <c r="I998" s="10" t="s">
        <v>3658</v>
      </c>
      <c r="J998" s="10" t="s">
        <v>3659</v>
      </c>
      <c r="K998" s="10" t="s">
        <v>3660</v>
      </c>
      <c r="L998" s="65" t="str">
        <f t="shared" si="78"/>
        <v>Punch|India|74,099998|33,766666|+5:30 Asia</v>
      </c>
      <c r="M998" s="10" t="s">
        <v>3945</v>
      </c>
      <c r="N998" s="10">
        <f t="shared" si="75"/>
        <v>0</v>
      </c>
      <c r="O998" t="str">
        <f t="shared" si="79"/>
        <v/>
      </c>
      <c r="P998" t="str">
        <f>IF(O998=1,COUNTIF($O$2:O998,1),"")</f>
        <v/>
      </c>
      <c r="Q998" t="str">
        <f>IFERROR(INDEX($M$2:$M$2388,MATCH(ROWS($P$2:P998),$P$2:$P$2388,0)),"")</f>
        <v/>
      </c>
    </row>
    <row r="999" spans="1:17" ht="15" x14ac:dyDescent="0.25">
      <c r="A999" s="10">
        <v>1004</v>
      </c>
      <c r="B999" s="10" t="s">
        <v>3946</v>
      </c>
      <c r="C999" s="880">
        <f t="shared" si="76"/>
        <v>73.866600000000005</v>
      </c>
      <c r="D999" s="880">
        <f t="shared" si="77"/>
        <v>18.533300000000001</v>
      </c>
      <c r="E999" s="10">
        <v>73.866669000000002</v>
      </c>
      <c r="F999" s="10">
        <v>18.533332999999999</v>
      </c>
      <c r="G999" s="10">
        <v>5.5</v>
      </c>
      <c r="H999" s="10" t="s">
        <v>3657</v>
      </c>
      <c r="I999" s="10" t="s">
        <v>3658</v>
      </c>
      <c r="J999" s="10" t="s">
        <v>3659</v>
      </c>
      <c r="K999" s="10" t="s">
        <v>3660</v>
      </c>
      <c r="L999" s="65" t="str">
        <f t="shared" si="78"/>
        <v>Pune|India|73,866669|18,533333|+5:30 Asia</v>
      </c>
      <c r="M999" s="10" t="s">
        <v>3947</v>
      </c>
      <c r="N999" s="10">
        <f t="shared" si="75"/>
        <v>0</v>
      </c>
      <c r="O999" t="str">
        <f t="shared" si="79"/>
        <v/>
      </c>
      <c r="P999" t="str">
        <f>IF(O999=1,COUNTIF($O$2:O999,1),"")</f>
        <v/>
      </c>
      <c r="Q999" t="str">
        <f>IFERROR(INDEX($M$2:$M$2388,MATCH(ROWS($P$2:P999),$P$2:$P$2388,0)),"")</f>
        <v/>
      </c>
    </row>
    <row r="1000" spans="1:17" ht="15" x14ac:dyDescent="0.25">
      <c r="A1000" s="10">
        <v>1003</v>
      </c>
      <c r="B1000" s="10" t="s">
        <v>3948</v>
      </c>
      <c r="C1000" s="880">
        <f t="shared" si="76"/>
        <v>76.599900000000005</v>
      </c>
      <c r="D1000" s="880">
        <f t="shared" si="77"/>
        <v>8.8833000000000002</v>
      </c>
      <c r="E1000" s="10">
        <v>76.599997999999999</v>
      </c>
      <c r="F1000" s="10">
        <v>8.8833330000000004</v>
      </c>
      <c r="G1000" s="10">
        <v>5.5</v>
      </c>
      <c r="H1000" s="10" t="s">
        <v>3657</v>
      </c>
      <c r="I1000" s="10" t="s">
        <v>3658</v>
      </c>
      <c r="J1000" s="10" t="s">
        <v>3659</v>
      </c>
      <c r="K1000" s="10" t="s">
        <v>3660</v>
      </c>
      <c r="L1000" s="65" t="str">
        <f t="shared" si="78"/>
        <v>Quilon|India|76,599998|8,883333|+5:30 Asia</v>
      </c>
      <c r="M1000" s="10" t="s">
        <v>3949</v>
      </c>
      <c r="N1000" s="10">
        <f t="shared" si="75"/>
        <v>0</v>
      </c>
      <c r="O1000" t="str">
        <f t="shared" si="79"/>
        <v/>
      </c>
      <c r="P1000" t="str">
        <f>IF(O1000=1,COUNTIF($O$2:O1000,1),"")</f>
        <v/>
      </c>
      <c r="Q1000" t="str">
        <f>IFERROR(INDEX($M$2:$M$2388,MATCH(ROWS($P$2:P1000),$P$2:$P$2388,0)),"")</f>
        <v/>
      </c>
    </row>
    <row r="1001" spans="1:17" ht="15" x14ac:dyDescent="0.25">
      <c r="A1001" s="10">
        <v>1002</v>
      </c>
      <c r="B1001" s="10" t="s">
        <v>3950</v>
      </c>
      <c r="C1001" s="880">
        <f t="shared" si="76"/>
        <v>77.366600000000005</v>
      </c>
      <c r="D1001" s="880">
        <f t="shared" si="77"/>
        <v>16.2</v>
      </c>
      <c r="E1001" s="10">
        <v>77.366669000000002</v>
      </c>
      <c r="F1001" s="10">
        <v>16.200001</v>
      </c>
      <c r="G1001" s="10">
        <v>5.5</v>
      </c>
      <c r="H1001" s="10" t="s">
        <v>3657</v>
      </c>
      <c r="I1001" s="10" t="s">
        <v>3658</v>
      </c>
      <c r="J1001" s="10" t="s">
        <v>3659</v>
      </c>
      <c r="K1001" s="10" t="s">
        <v>3660</v>
      </c>
      <c r="L1001" s="65" t="str">
        <f t="shared" si="78"/>
        <v>Raichur|India|77,366669|16,200001|+5:30 Asia</v>
      </c>
      <c r="M1001" s="10" t="s">
        <v>3951</v>
      </c>
      <c r="N1001" s="10">
        <f t="shared" si="75"/>
        <v>0</v>
      </c>
      <c r="O1001" t="str">
        <f t="shared" si="79"/>
        <v/>
      </c>
      <c r="P1001" t="str">
        <f>IF(O1001=1,COUNTIF($O$2:O1001,1),"")</f>
        <v/>
      </c>
      <c r="Q1001" t="str">
        <f>IFERROR(INDEX($M$2:$M$2388,MATCH(ROWS($P$2:P1001),$P$2:$P$2388,0)),"")</f>
        <v/>
      </c>
    </row>
    <row r="1002" spans="1:17" ht="15" x14ac:dyDescent="0.25">
      <c r="A1002" s="10">
        <v>1001</v>
      </c>
      <c r="B1002" s="10" t="s">
        <v>3952</v>
      </c>
      <c r="C1002" s="880">
        <f t="shared" si="76"/>
        <v>81.633300000000006</v>
      </c>
      <c r="D1002" s="880">
        <f t="shared" si="77"/>
        <v>21.2333</v>
      </c>
      <c r="E1002" s="10">
        <v>81.633330999999998</v>
      </c>
      <c r="F1002" s="10">
        <v>21.233333999999999</v>
      </c>
      <c r="G1002" s="10">
        <v>5.5</v>
      </c>
      <c r="H1002" s="10" t="s">
        <v>3657</v>
      </c>
      <c r="I1002" s="10" t="s">
        <v>3658</v>
      </c>
      <c r="J1002" s="10" t="s">
        <v>3659</v>
      </c>
      <c r="K1002" s="10" t="s">
        <v>3660</v>
      </c>
      <c r="L1002" s="65" t="str">
        <f t="shared" si="78"/>
        <v>Raipur|India|81,633331|21,233334|+5:30 Asia</v>
      </c>
      <c r="M1002" s="10" t="s">
        <v>3953</v>
      </c>
      <c r="N1002" s="10">
        <f t="shared" si="75"/>
        <v>0</v>
      </c>
      <c r="O1002" t="str">
        <f t="shared" si="79"/>
        <v/>
      </c>
      <c r="P1002" t="str">
        <f>IF(O1002=1,COUNTIF($O$2:O1002,1),"")</f>
        <v/>
      </c>
      <c r="Q1002" t="str">
        <f>IFERROR(INDEX($M$2:$M$2388,MATCH(ROWS($P$2:P1002),$P$2:$P$2388,0)),"")</f>
        <v/>
      </c>
    </row>
    <row r="1003" spans="1:17" ht="15" x14ac:dyDescent="0.25">
      <c r="A1003" s="10">
        <v>1000</v>
      </c>
      <c r="B1003" s="10" t="s">
        <v>3954</v>
      </c>
      <c r="C1003" s="880">
        <f t="shared" si="76"/>
        <v>81.783299999999997</v>
      </c>
      <c r="D1003" s="880">
        <f t="shared" si="77"/>
        <v>16.9833</v>
      </c>
      <c r="E1003" s="10">
        <v>81.783332999999999</v>
      </c>
      <c r="F1003" s="10">
        <v>16.983333999999999</v>
      </c>
      <c r="G1003" s="10">
        <v>5.5</v>
      </c>
      <c r="H1003" s="10" t="s">
        <v>3657</v>
      </c>
      <c r="I1003" s="10" t="s">
        <v>3658</v>
      </c>
      <c r="J1003" s="10" t="s">
        <v>3659</v>
      </c>
      <c r="K1003" s="10" t="s">
        <v>3660</v>
      </c>
      <c r="L1003" s="65" t="str">
        <f t="shared" si="78"/>
        <v>Rajahmundry|India|81,783333|16,983334|+5:30 Asia</v>
      </c>
      <c r="M1003" s="10" t="s">
        <v>3955</v>
      </c>
      <c r="N1003" s="10">
        <f t="shared" si="75"/>
        <v>0</v>
      </c>
      <c r="O1003" t="str">
        <f t="shared" si="79"/>
        <v/>
      </c>
      <c r="P1003" t="str">
        <f>IF(O1003=1,COUNTIF($O$2:O1003,1),"")</f>
        <v/>
      </c>
      <c r="Q1003" t="str">
        <f>IFERROR(INDEX($M$2:$M$2388,MATCH(ROWS($P$2:P1003),$P$2:$P$2388,0)),"")</f>
        <v/>
      </c>
    </row>
    <row r="1004" spans="1:17" ht="15" x14ac:dyDescent="0.25">
      <c r="A1004" s="10">
        <v>999</v>
      </c>
      <c r="B1004" s="10" t="s">
        <v>3956</v>
      </c>
      <c r="C1004" s="880">
        <f t="shared" si="76"/>
        <v>70.783299999999997</v>
      </c>
      <c r="D1004" s="880">
        <f t="shared" si="77"/>
        <v>22.299900000000001</v>
      </c>
      <c r="E1004" s="10">
        <v>70.783332999999999</v>
      </c>
      <c r="F1004" s="10">
        <v>22.299999</v>
      </c>
      <c r="G1004" s="10">
        <v>5.5</v>
      </c>
      <c r="H1004" s="10" t="s">
        <v>3657</v>
      </c>
      <c r="I1004" s="10" t="s">
        <v>3658</v>
      </c>
      <c r="J1004" s="10" t="s">
        <v>3659</v>
      </c>
      <c r="K1004" s="10" t="s">
        <v>3660</v>
      </c>
      <c r="L1004" s="65" t="str">
        <f t="shared" si="78"/>
        <v>Rajkot|India|70,783333|22,299999|+5:30 Asia</v>
      </c>
      <c r="M1004" s="10" t="s">
        <v>3957</v>
      </c>
      <c r="N1004" s="10">
        <f t="shared" si="75"/>
        <v>0</v>
      </c>
      <c r="O1004" t="str">
        <f t="shared" si="79"/>
        <v/>
      </c>
      <c r="P1004" t="str">
        <f>IF(O1004=1,COUNTIF($O$2:O1004,1),"")</f>
        <v/>
      </c>
      <c r="Q1004" t="str">
        <f>IFERROR(INDEX($M$2:$M$2388,MATCH(ROWS($P$2:P1004),$P$2:$P$2388,0)),"")</f>
        <v/>
      </c>
    </row>
    <row r="1005" spans="1:17" ht="15" x14ac:dyDescent="0.25">
      <c r="A1005" s="10">
        <v>998</v>
      </c>
      <c r="B1005" s="10" t="s">
        <v>3958</v>
      </c>
      <c r="C1005" s="880">
        <f t="shared" si="76"/>
        <v>79.033299999999997</v>
      </c>
      <c r="D1005" s="880">
        <f t="shared" si="77"/>
        <v>28.816600000000001</v>
      </c>
      <c r="E1005" s="10">
        <v>79.033332999999999</v>
      </c>
      <c r="F1005" s="10">
        <v>28.816668</v>
      </c>
      <c r="G1005" s="10">
        <v>5.5</v>
      </c>
      <c r="H1005" s="10" t="s">
        <v>3657</v>
      </c>
      <c r="I1005" s="10" t="s">
        <v>3658</v>
      </c>
      <c r="J1005" s="10" t="s">
        <v>3659</v>
      </c>
      <c r="K1005" s="10" t="s">
        <v>3660</v>
      </c>
      <c r="L1005" s="65" t="str">
        <f t="shared" si="78"/>
        <v>Rampur|India|79,033333|28,816668|+5:30 Asia</v>
      </c>
      <c r="M1005" s="10" t="s">
        <v>3959</v>
      </c>
      <c r="N1005" s="10">
        <f t="shared" si="75"/>
        <v>0</v>
      </c>
      <c r="O1005" t="str">
        <f t="shared" si="79"/>
        <v/>
      </c>
      <c r="P1005" t="str">
        <f>IF(O1005=1,COUNTIF($O$2:O1005,1),"")</f>
        <v/>
      </c>
      <c r="Q1005" t="str">
        <f>IFERROR(INDEX($M$2:$M$2388,MATCH(ROWS($P$2:P1005),$P$2:$P$2388,0)),"")</f>
        <v/>
      </c>
    </row>
    <row r="1006" spans="1:17" ht="15" x14ac:dyDescent="0.25">
      <c r="A1006" s="10">
        <v>997</v>
      </c>
      <c r="B1006" s="10" t="s">
        <v>3960</v>
      </c>
      <c r="C1006" s="880">
        <f t="shared" si="76"/>
        <v>85.333299999999994</v>
      </c>
      <c r="D1006" s="880">
        <f t="shared" si="77"/>
        <v>23.35</v>
      </c>
      <c r="E1006" s="10">
        <v>85.333336000000003</v>
      </c>
      <c r="F1006" s="10">
        <v>23.35</v>
      </c>
      <c r="G1006" s="10">
        <v>5.5</v>
      </c>
      <c r="H1006" s="10" t="s">
        <v>3657</v>
      </c>
      <c r="I1006" s="10" t="s">
        <v>3658</v>
      </c>
      <c r="J1006" s="10" t="s">
        <v>3659</v>
      </c>
      <c r="K1006" s="10" t="s">
        <v>3660</v>
      </c>
      <c r="L1006" s="65" t="str">
        <f t="shared" si="78"/>
        <v>Ranchi|India|85,333336|23,350000|+5:30 Asia</v>
      </c>
      <c r="M1006" s="10" t="s">
        <v>3961</v>
      </c>
      <c r="N1006" s="10">
        <f t="shared" si="75"/>
        <v>0</v>
      </c>
      <c r="O1006" t="str">
        <f t="shared" si="79"/>
        <v/>
      </c>
      <c r="P1006" t="str">
        <f>IF(O1006=1,COUNTIF($O$2:O1006,1),"")</f>
        <v/>
      </c>
      <c r="Q1006" t="str">
        <f>IFERROR(INDEX($M$2:$M$2388,MATCH(ROWS($P$2:P1006),$P$2:$P$2388,0)),"")</f>
        <v/>
      </c>
    </row>
    <row r="1007" spans="1:17" ht="15" x14ac:dyDescent="0.25">
      <c r="A1007" s="10">
        <v>996</v>
      </c>
      <c r="B1007" s="10" t="s">
        <v>3962</v>
      </c>
      <c r="C1007" s="880">
        <f t="shared" si="76"/>
        <v>75.066599999999994</v>
      </c>
      <c r="D1007" s="880">
        <f t="shared" si="77"/>
        <v>23.316600000000001</v>
      </c>
      <c r="E1007" s="10">
        <v>75.066665999999998</v>
      </c>
      <c r="F1007" s="10">
        <v>23.316668</v>
      </c>
      <c r="G1007" s="10">
        <v>5.5</v>
      </c>
      <c r="H1007" s="10" t="s">
        <v>3657</v>
      </c>
      <c r="I1007" s="10" t="s">
        <v>3658</v>
      </c>
      <c r="J1007" s="10" t="s">
        <v>3659</v>
      </c>
      <c r="K1007" s="10" t="s">
        <v>3660</v>
      </c>
      <c r="L1007" s="65" t="str">
        <f t="shared" si="78"/>
        <v>Ratlam|India|75,066666|23,316668|+5:30 Asia</v>
      </c>
      <c r="M1007" s="10" t="s">
        <v>3963</v>
      </c>
      <c r="N1007" s="10">
        <f t="shared" si="75"/>
        <v>0</v>
      </c>
      <c r="O1007" t="str">
        <f t="shared" si="79"/>
        <v/>
      </c>
      <c r="P1007" t="str">
        <f>IF(O1007=1,COUNTIF($O$2:O1007,1),"")</f>
        <v/>
      </c>
      <c r="Q1007" t="str">
        <f>IFERROR(INDEX($M$2:$M$2388,MATCH(ROWS($P$2:P1007),$P$2:$P$2388,0)),"")</f>
        <v/>
      </c>
    </row>
    <row r="1008" spans="1:17" ht="15" x14ac:dyDescent="0.25">
      <c r="A1008" s="10">
        <v>995</v>
      </c>
      <c r="B1008" s="10" t="s">
        <v>3964</v>
      </c>
      <c r="C1008" s="880">
        <f t="shared" si="76"/>
        <v>81.3</v>
      </c>
      <c r="D1008" s="880">
        <f t="shared" si="77"/>
        <v>24.533300000000001</v>
      </c>
      <c r="E1008" s="10">
        <v>81.300003000000004</v>
      </c>
      <c r="F1008" s="10">
        <v>24.533332999999999</v>
      </c>
      <c r="G1008" s="10">
        <v>5.5</v>
      </c>
      <c r="H1008" s="10" t="s">
        <v>3657</v>
      </c>
      <c r="I1008" s="10" t="s">
        <v>3658</v>
      </c>
      <c r="J1008" s="10" t="s">
        <v>3659</v>
      </c>
      <c r="K1008" s="10" t="s">
        <v>3660</v>
      </c>
      <c r="L1008" s="65" t="str">
        <f t="shared" si="78"/>
        <v>Rewa|India|81,300003|24,533333|+5:30 Asia</v>
      </c>
      <c r="M1008" s="10" t="s">
        <v>3965</v>
      </c>
      <c r="N1008" s="10">
        <f t="shared" si="75"/>
        <v>0</v>
      </c>
      <c r="O1008" t="str">
        <f t="shared" si="79"/>
        <v/>
      </c>
      <c r="P1008" t="str">
        <f>IF(O1008=1,COUNTIF($O$2:O1008,1),"")</f>
        <v/>
      </c>
      <c r="Q1008" t="str">
        <f>IFERROR(INDEX($M$2:$M$2388,MATCH(ROWS($P$2:P1008),$P$2:$P$2388,0)),"")</f>
        <v/>
      </c>
    </row>
    <row r="1009" spans="1:17" ht="15" x14ac:dyDescent="0.25">
      <c r="A1009" s="10">
        <v>994</v>
      </c>
      <c r="B1009" s="10" t="s">
        <v>3966</v>
      </c>
      <c r="C1009" s="880">
        <f t="shared" si="76"/>
        <v>76.566599999999994</v>
      </c>
      <c r="D1009" s="880">
        <f t="shared" si="77"/>
        <v>28.9</v>
      </c>
      <c r="E1009" s="10">
        <v>76.566665999999998</v>
      </c>
      <c r="F1009" s="10">
        <v>28.9</v>
      </c>
      <c r="G1009" s="10">
        <v>5.5</v>
      </c>
      <c r="H1009" s="10" t="s">
        <v>3657</v>
      </c>
      <c r="I1009" s="10" t="s">
        <v>3658</v>
      </c>
      <c r="J1009" s="10" t="s">
        <v>3659</v>
      </c>
      <c r="K1009" s="10" t="s">
        <v>3660</v>
      </c>
      <c r="L1009" s="65" t="str">
        <f t="shared" si="78"/>
        <v>Rohtak|India|76,566666|28,900000|+5:30 Asia</v>
      </c>
      <c r="M1009" s="10" t="s">
        <v>3967</v>
      </c>
      <c r="N1009" s="10">
        <f t="shared" si="75"/>
        <v>0</v>
      </c>
      <c r="O1009" t="str">
        <f t="shared" si="79"/>
        <v/>
      </c>
      <c r="P1009" t="str">
        <f>IF(O1009=1,COUNTIF($O$2:O1009,1),"")</f>
        <v/>
      </c>
      <c r="Q1009" t="str">
        <f>IFERROR(INDEX($M$2:$M$2388,MATCH(ROWS($P$2:P1009),$P$2:$P$2388,0)),"")</f>
        <v/>
      </c>
    </row>
    <row r="1010" spans="1:17" ht="15" x14ac:dyDescent="0.25">
      <c r="A1010" s="10">
        <v>993</v>
      </c>
      <c r="B1010" s="10" t="s">
        <v>3968</v>
      </c>
      <c r="C1010" s="880">
        <f t="shared" si="76"/>
        <v>78.7166</v>
      </c>
      <c r="D1010" s="880">
        <f t="shared" si="77"/>
        <v>23.833300000000001</v>
      </c>
      <c r="E1010" s="10">
        <v>78.716667000000001</v>
      </c>
      <c r="F1010" s="10">
        <v>23.833334000000001</v>
      </c>
      <c r="G1010" s="10">
        <v>5.5</v>
      </c>
      <c r="H1010" s="10" t="s">
        <v>3657</v>
      </c>
      <c r="I1010" s="10" t="s">
        <v>3658</v>
      </c>
      <c r="J1010" s="10" t="s">
        <v>3659</v>
      </c>
      <c r="K1010" s="10" t="s">
        <v>3660</v>
      </c>
      <c r="L1010" s="65" t="str">
        <f t="shared" si="78"/>
        <v>Sagar|India|78,716667|23,833334|+5:30 Asia</v>
      </c>
      <c r="M1010" s="10" t="s">
        <v>3969</v>
      </c>
      <c r="N1010" s="10">
        <f t="shared" si="75"/>
        <v>0</v>
      </c>
      <c r="O1010" t="str">
        <f t="shared" si="79"/>
        <v/>
      </c>
      <c r="P1010" t="str">
        <f>IF(O1010=1,COUNTIF($O$2:O1010,1),"")</f>
        <v/>
      </c>
      <c r="Q1010" t="str">
        <f>IFERROR(INDEX($M$2:$M$2388,MATCH(ROWS($P$2:P1010),$P$2:$P$2388,0)),"")</f>
        <v/>
      </c>
    </row>
    <row r="1011" spans="1:17" ht="15" x14ac:dyDescent="0.25">
      <c r="A1011" s="10">
        <v>992</v>
      </c>
      <c r="B1011" s="10" t="s">
        <v>3970</v>
      </c>
      <c r="C1011" s="880">
        <f t="shared" si="76"/>
        <v>77.55</v>
      </c>
      <c r="D1011" s="880">
        <f t="shared" si="77"/>
        <v>29.9666</v>
      </c>
      <c r="E1011" s="10">
        <v>77.550003000000004</v>
      </c>
      <c r="F1011" s="10">
        <v>29.966667000000001</v>
      </c>
      <c r="G1011" s="10">
        <v>5.5</v>
      </c>
      <c r="H1011" s="10" t="s">
        <v>3657</v>
      </c>
      <c r="I1011" s="10" t="s">
        <v>3658</v>
      </c>
      <c r="J1011" s="10" t="s">
        <v>3659</v>
      </c>
      <c r="K1011" s="10" t="s">
        <v>3660</v>
      </c>
      <c r="L1011" s="65" t="str">
        <f t="shared" si="78"/>
        <v>Saharanpur|India|77,550003|29,966667|+5:30 Asia</v>
      </c>
      <c r="M1011" s="10" t="s">
        <v>3971</v>
      </c>
      <c r="N1011" s="10">
        <f t="shared" si="75"/>
        <v>0</v>
      </c>
      <c r="O1011" t="str">
        <f t="shared" si="79"/>
        <v/>
      </c>
      <c r="P1011" t="str">
        <f>IF(O1011=1,COUNTIF($O$2:O1011,1),"")</f>
        <v/>
      </c>
      <c r="Q1011" t="str">
        <f>IFERROR(INDEX($M$2:$M$2388,MATCH(ROWS($P$2:P1011),$P$2:$P$2388,0)),"")</f>
        <v/>
      </c>
    </row>
    <row r="1012" spans="1:17" ht="15" x14ac:dyDescent="0.25">
      <c r="A1012" s="10">
        <v>991</v>
      </c>
      <c r="B1012" s="10" t="s">
        <v>3972</v>
      </c>
      <c r="C1012" s="880">
        <f t="shared" si="76"/>
        <v>78.166600000000003</v>
      </c>
      <c r="D1012" s="880">
        <f t="shared" si="77"/>
        <v>11.65</v>
      </c>
      <c r="E1012" s="10">
        <v>78.166663999999997</v>
      </c>
      <c r="F1012" s="10">
        <v>11.65</v>
      </c>
      <c r="G1012" s="10">
        <v>5.5</v>
      </c>
      <c r="H1012" s="10" t="s">
        <v>3657</v>
      </c>
      <c r="I1012" s="10" t="s">
        <v>3658</v>
      </c>
      <c r="J1012" s="10" t="s">
        <v>3659</v>
      </c>
      <c r="K1012" s="10" t="s">
        <v>3660</v>
      </c>
      <c r="L1012" s="65" t="str">
        <f t="shared" si="78"/>
        <v>Salem|India|78,166664|11,650000|+5:30 Asia</v>
      </c>
      <c r="M1012" s="10" t="s">
        <v>3973</v>
      </c>
      <c r="N1012" s="10">
        <f t="shared" si="75"/>
        <v>0</v>
      </c>
      <c r="O1012" t="str">
        <f t="shared" si="79"/>
        <v/>
      </c>
      <c r="P1012" t="str">
        <f>IF(O1012=1,COUNTIF($O$2:O1012,1),"")</f>
        <v/>
      </c>
      <c r="Q1012" t="str">
        <f>IFERROR(INDEX($M$2:$M$2388,MATCH(ROWS($P$2:P1012),$P$2:$P$2388,0)),"")</f>
        <v/>
      </c>
    </row>
    <row r="1013" spans="1:17" ht="15" x14ac:dyDescent="0.25">
      <c r="A1013" s="10">
        <v>990</v>
      </c>
      <c r="B1013" s="10" t="s">
        <v>3974</v>
      </c>
      <c r="C1013" s="880">
        <f t="shared" si="76"/>
        <v>80.833299999999994</v>
      </c>
      <c r="D1013" s="880">
        <f t="shared" si="77"/>
        <v>24.583300000000001</v>
      </c>
      <c r="E1013" s="10">
        <v>80.833336000000003</v>
      </c>
      <c r="F1013" s="10">
        <v>24.583334000000001</v>
      </c>
      <c r="G1013" s="10">
        <v>5.5</v>
      </c>
      <c r="H1013" s="10" t="s">
        <v>3657</v>
      </c>
      <c r="I1013" s="10" t="s">
        <v>3658</v>
      </c>
      <c r="J1013" s="10" t="s">
        <v>3659</v>
      </c>
      <c r="K1013" s="10" t="s">
        <v>3660</v>
      </c>
      <c r="L1013" s="65" t="str">
        <f t="shared" si="78"/>
        <v>Satna|India|80,833336|24,583334|+5:30 Asia</v>
      </c>
      <c r="M1013" s="10" t="s">
        <v>3975</v>
      </c>
      <c r="N1013" s="10">
        <f t="shared" si="75"/>
        <v>0</v>
      </c>
      <c r="O1013" t="str">
        <f t="shared" si="79"/>
        <v/>
      </c>
      <c r="P1013" t="str">
        <f>IF(O1013=1,COUNTIF($O$2:O1013,1),"")</f>
        <v/>
      </c>
      <c r="Q1013" t="str">
        <f>IFERROR(INDEX($M$2:$M$2388,MATCH(ROWS($P$2:P1013),$P$2:$P$2388,0)),"")</f>
        <v/>
      </c>
    </row>
    <row r="1014" spans="1:17" ht="15" x14ac:dyDescent="0.25">
      <c r="A1014" s="10">
        <v>989</v>
      </c>
      <c r="B1014" s="10" t="s">
        <v>3976</v>
      </c>
      <c r="C1014" s="880">
        <f t="shared" si="76"/>
        <v>79.916600000000003</v>
      </c>
      <c r="D1014" s="880">
        <f t="shared" si="77"/>
        <v>27.883299999999998</v>
      </c>
      <c r="E1014" s="10">
        <v>79.916663999999997</v>
      </c>
      <c r="F1014" s="10">
        <v>27.883333</v>
      </c>
      <c r="G1014" s="10">
        <v>5.5</v>
      </c>
      <c r="H1014" s="10" t="s">
        <v>3657</v>
      </c>
      <c r="I1014" s="10" t="s">
        <v>3658</v>
      </c>
      <c r="J1014" s="10" t="s">
        <v>3659</v>
      </c>
      <c r="K1014" s="10" t="s">
        <v>3660</v>
      </c>
      <c r="L1014" s="65" t="str">
        <f t="shared" si="78"/>
        <v>Shahjahanpur|India|79,916664|27,883333|+5:30 Asia</v>
      </c>
      <c r="M1014" s="10" t="s">
        <v>3977</v>
      </c>
      <c r="N1014" s="10">
        <f t="shared" si="75"/>
        <v>0</v>
      </c>
      <c r="O1014" t="str">
        <f t="shared" si="79"/>
        <v/>
      </c>
      <c r="P1014" t="str">
        <f>IF(O1014=1,COUNTIF($O$2:O1014,1),"")</f>
        <v/>
      </c>
      <c r="Q1014" t="str">
        <f>IFERROR(INDEX($M$2:$M$2388,MATCH(ROWS($P$2:P1014),$P$2:$P$2388,0)),"")</f>
        <v/>
      </c>
    </row>
    <row r="1015" spans="1:17" ht="15" x14ac:dyDescent="0.25">
      <c r="A1015" s="10">
        <v>988</v>
      </c>
      <c r="B1015" s="10" t="s">
        <v>3978</v>
      </c>
      <c r="C1015" s="880">
        <f t="shared" si="76"/>
        <v>88.433300000000003</v>
      </c>
      <c r="D1015" s="880">
        <f t="shared" si="77"/>
        <v>26.7</v>
      </c>
      <c r="E1015" s="10">
        <v>88.433334000000002</v>
      </c>
      <c r="F1015" s="10">
        <v>26.700001</v>
      </c>
      <c r="G1015" s="10">
        <v>5.5</v>
      </c>
      <c r="H1015" s="10" t="s">
        <v>3657</v>
      </c>
      <c r="I1015" s="10" t="s">
        <v>3658</v>
      </c>
      <c r="J1015" s="10" t="s">
        <v>3659</v>
      </c>
      <c r="K1015" s="10" t="s">
        <v>3660</v>
      </c>
      <c r="L1015" s="65" t="str">
        <f t="shared" si="78"/>
        <v>Shiliguri|India|88,433334|26,700001|+5:30 Asia</v>
      </c>
      <c r="M1015" s="10" t="s">
        <v>3979</v>
      </c>
      <c r="N1015" s="10">
        <f t="shared" si="75"/>
        <v>0</v>
      </c>
      <c r="O1015" t="str">
        <f t="shared" si="79"/>
        <v/>
      </c>
      <c r="P1015" t="str">
        <f>IF(O1015=1,COUNTIF($O$2:O1015,1),"")</f>
        <v/>
      </c>
      <c r="Q1015" t="str">
        <f>IFERROR(INDEX($M$2:$M$2388,MATCH(ROWS($P$2:P1015),$P$2:$P$2388,0)),"")</f>
        <v/>
      </c>
    </row>
    <row r="1016" spans="1:17" ht="15" x14ac:dyDescent="0.25">
      <c r="A1016" s="10">
        <v>987</v>
      </c>
      <c r="B1016" s="10" t="s">
        <v>3980</v>
      </c>
      <c r="C1016" s="880">
        <f t="shared" si="76"/>
        <v>75.566599999999994</v>
      </c>
      <c r="D1016" s="880">
        <f t="shared" si="77"/>
        <v>13.916600000000001</v>
      </c>
      <c r="E1016" s="10">
        <v>75.566665999999998</v>
      </c>
      <c r="F1016" s="10">
        <v>13.916667</v>
      </c>
      <c r="G1016" s="10">
        <v>5.5</v>
      </c>
      <c r="H1016" s="10" t="s">
        <v>3657</v>
      </c>
      <c r="I1016" s="10" t="s">
        <v>3658</v>
      </c>
      <c r="J1016" s="10" t="s">
        <v>3659</v>
      </c>
      <c r="K1016" s="10" t="s">
        <v>3660</v>
      </c>
      <c r="L1016" s="65" t="str">
        <f t="shared" si="78"/>
        <v>Shimoga|India|75,566666|13,916667|+5:30 Asia</v>
      </c>
      <c r="M1016" s="10" t="s">
        <v>3981</v>
      </c>
      <c r="N1016" s="10">
        <f t="shared" si="75"/>
        <v>0</v>
      </c>
      <c r="O1016" t="str">
        <f t="shared" si="79"/>
        <v/>
      </c>
      <c r="P1016" t="str">
        <f>IF(O1016=1,COUNTIF($O$2:O1016,1),"")</f>
        <v/>
      </c>
      <c r="Q1016" t="str">
        <f>IFERROR(INDEX($M$2:$M$2388,MATCH(ROWS($P$2:P1016),$P$2:$P$2388,0)),"")</f>
        <v/>
      </c>
    </row>
    <row r="1017" spans="1:17" ht="15" x14ac:dyDescent="0.25">
      <c r="A1017" s="10">
        <v>985</v>
      </c>
      <c r="B1017" s="10" t="s">
        <v>3982</v>
      </c>
      <c r="C1017" s="880">
        <f t="shared" si="76"/>
        <v>88.342200000000005</v>
      </c>
      <c r="D1017" s="880">
        <f t="shared" si="77"/>
        <v>22.752700000000001</v>
      </c>
      <c r="E1017" s="10">
        <v>88.342224000000002</v>
      </c>
      <c r="F1017" s="10">
        <v>22.752776999999998</v>
      </c>
      <c r="G1017" s="10">
        <v>5.5</v>
      </c>
      <c r="H1017" s="10" t="s">
        <v>3657</v>
      </c>
      <c r="I1017" s="10" t="s">
        <v>3658</v>
      </c>
      <c r="J1017" s="10" t="s">
        <v>3659</v>
      </c>
      <c r="K1017" s="10" t="s">
        <v>3660</v>
      </c>
      <c r="L1017" s="65" t="str">
        <f t="shared" si="78"/>
        <v>Shrirampur|India|88,342224|22,752777|+5:30 Asia</v>
      </c>
      <c r="M1017" s="10" t="s">
        <v>3983</v>
      </c>
      <c r="N1017" s="10">
        <f t="shared" si="75"/>
        <v>0</v>
      </c>
      <c r="O1017" t="str">
        <f t="shared" si="79"/>
        <v/>
      </c>
      <c r="P1017" t="str">
        <f>IF(O1017=1,COUNTIF($O$2:O1017,1),"")</f>
        <v/>
      </c>
      <c r="Q1017" t="str">
        <f>IFERROR(INDEX($M$2:$M$2388,MATCH(ROWS($P$2:P1017),$P$2:$P$2388,0)),"")</f>
        <v/>
      </c>
    </row>
    <row r="1018" spans="1:17" ht="15" x14ac:dyDescent="0.25">
      <c r="A1018" s="10">
        <v>986</v>
      </c>
      <c r="B1018" s="10" t="s">
        <v>3984</v>
      </c>
      <c r="C1018" s="880">
        <f t="shared" si="76"/>
        <v>75.916600000000003</v>
      </c>
      <c r="D1018" s="880">
        <f t="shared" si="77"/>
        <v>17.683299999999999</v>
      </c>
      <c r="E1018" s="10">
        <v>75.916663999999997</v>
      </c>
      <c r="F1018" s="10">
        <v>17.683332</v>
      </c>
      <c r="G1018" s="10">
        <v>5.5</v>
      </c>
      <c r="H1018" s="10" t="s">
        <v>3657</v>
      </c>
      <c r="I1018" s="10" t="s">
        <v>3658</v>
      </c>
      <c r="J1018" s="10" t="s">
        <v>3659</v>
      </c>
      <c r="K1018" s="10" t="s">
        <v>3660</v>
      </c>
      <c r="L1018" s="65" t="str">
        <f t="shared" si="78"/>
        <v>Solapur|India|75,916664|17,683332|+5:30 Asia</v>
      </c>
      <c r="M1018" s="10" t="s">
        <v>3985</v>
      </c>
      <c r="N1018" s="10">
        <f t="shared" si="75"/>
        <v>0</v>
      </c>
      <c r="O1018" t="str">
        <f t="shared" si="79"/>
        <v/>
      </c>
      <c r="P1018" t="str">
        <f>IF(O1018=1,COUNTIF($O$2:O1018,1),"")</f>
        <v/>
      </c>
      <c r="Q1018" t="str">
        <f>IFERROR(INDEX($M$2:$M$2388,MATCH(ROWS($P$2:P1018),$P$2:$P$2388,0)),"")</f>
        <v/>
      </c>
    </row>
    <row r="1019" spans="1:17" ht="15" x14ac:dyDescent="0.25">
      <c r="A1019" s="10">
        <v>984</v>
      </c>
      <c r="B1019" s="10" t="s">
        <v>3986</v>
      </c>
      <c r="C1019" s="880">
        <f t="shared" si="76"/>
        <v>77.016599999999997</v>
      </c>
      <c r="D1019" s="880">
        <f t="shared" si="77"/>
        <v>28.9833</v>
      </c>
      <c r="E1019" s="10">
        <v>77.016670000000005</v>
      </c>
      <c r="F1019" s="10">
        <v>28.983333999999999</v>
      </c>
      <c r="G1019" s="10">
        <v>5.5</v>
      </c>
      <c r="H1019" s="10" t="s">
        <v>3657</v>
      </c>
      <c r="I1019" s="10" t="s">
        <v>3658</v>
      </c>
      <c r="J1019" s="10" t="s">
        <v>3659</v>
      </c>
      <c r="K1019" s="10" t="s">
        <v>3660</v>
      </c>
      <c r="L1019" s="65" t="str">
        <f t="shared" si="78"/>
        <v>Sonipat|India|77,016670|28,983334|+5:30 Asia</v>
      </c>
      <c r="M1019" s="10" t="s">
        <v>3987</v>
      </c>
      <c r="N1019" s="10">
        <f t="shared" si="75"/>
        <v>0</v>
      </c>
      <c r="O1019" t="str">
        <f t="shared" si="79"/>
        <v/>
      </c>
      <c r="P1019" t="str">
        <f>IF(O1019=1,COUNTIF($O$2:O1019,1),"")</f>
        <v/>
      </c>
      <c r="Q1019" t="str">
        <f>IFERROR(INDEX($M$2:$M$2388,MATCH(ROWS($P$2:P1019),$P$2:$P$2388,0)),"")</f>
        <v/>
      </c>
    </row>
    <row r="1020" spans="1:17" ht="15" x14ac:dyDescent="0.25">
      <c r="A1020" s="10">
        <v>983</v>
      </c>
      <c r="B1020" s="10" t="s">
        <v>3988</v>
      </c>
      <c r="C1020" s="880">
        <f t="shared" si="76"/>
        <v>74.816599999999994</v>
      </c>
      <c r="D1020" s="880">
        <f t="shared" si="77"/>
        <v>34.083300000000001</v>
      </c>
      <c r="E1020" s="10">
        <v>74.816665999999998</v>
      </c>
      <c r="F1020" s="10">
        <v>34.083331999999999</v>
      </c>
      <c r="G1020" s="10">
        <v>5.5</v>
      </c>
      <c r="H1020" s="10" t="s">
        <v>3657</v>
      </c>
      <c r="I1020" s="10" t="s">
        <v>3658</v>
      </c>
      <c r="J1020" s="10" t="s">
        <v>3659</v>
      </c>
      <c r="K1020" s="10" t="s">
        <v>3660</v>
      </c>
      <c r="L1020" s="65" t="str">
        <f t="shared" si="78"/>
        <v>Srinagar|India|74,816666|34,083332|+5:30 Asia</v>
      </c>
      <c r="M1020" s="10" t="s">
        <v>3989</v>
      </c>
      <c r="N1020" s="10">
        <f t="shared" si="75"/>
        <v>0</v>
      </c>
      <c r="O1020" t="str">
        <f t="shared" si="79"/>
        <v/>
      </c>
      <c r="P1020" t="str">
        <f>IF(O1020=1,COUNTIF($O$2:O1020,1),"")</f>
        <v/>
      </c>
      <c r="Q1020" t="str">
        <f>IFERROR(INDEX($M$2:$M$2388,MATCH(ROWS($P$2:P1020),$P$2:$P$2388,0)),"")</f>
        <v/>
      </c>
    </row>
    <row r="1021" spans="1:17" ht="15" x14ac:dyDescent="0.25">
      <c r="A1021" s="10">
        <v>982</v>
      </c>
      <c r="B1021" s="10" t="s">
        <v>3990</v>
      </c>
      <c r="C1021" s="880">
        <f t="shared" si="76"/>
        <v>72.833299999999994</v>
      </c>
      <c r="D1021" s="880">
        <f t="shared" si="77"/>
        <v>21.166599999999999</v>
      </c>
      <c r="E1021" s="10">
        <v>72.833336000000003</v>
      </c>
      <c r="F1021" s="10">
        <v>21.166665999999999</v>
      </c>
      <c r="G1021" s="10">
        <v>5.5</v>
      </c>
      <c r="H1021" s="10" t="s">
        <v>3657</v>
      </c>
      <c r="I1021" s="10" t="s">
        <v>3658</v>
      </c>
      <c r="J1021" s="10" t="s">
        <v>3659</v>
      </c>
      <c r="K1021" s="10" t="s">
        <v>3660</v>
      </c>
      <c r="L1021" s="65" t="str">
        <f t="shared" si="78"/>
        <v>Surat|India|72,833336|21,166666|+5:30 Asia</v>
      </c>
      <c r="M1021" s="10" t="s">
        <v>3991</v>
      </c>
      <c r="N1021" s="10">
        <f t="shared" si="75"/>
        <v>0</v>
      </c>
      <c r="O1021" t="str">
        <f t="shared" si="79"/>
        <v/>
      </c>
      <c r="P1021" t="str">
        <f>IF(O1021=1,COUNTIF($O$2:O1021,1),"")</f>
        <v/>
      </c>
      <c r="Q1021" t="str">
        <f>IFERROR(INDEX($M$2:$M$2388,MATCH(ROWS($P$2:P1021),$P$2:$P$2388,0)),"")</f>
        <v/>
      </c>
    </row>
    <row r="1022" spans="1:17" ht="15" x14ac:dyDescent="0.25">
      <c r="A1022" s="10">
        <v>981</v>
      </c>
      <c r="B1022" s="10" t="s">
        <v>3992</v>
      </c>
      <c r="C1022" s="880">
        <f t="shared" si="76"/>
        <v>72.9666</v>
      </c>
      <c r="D1022" s="880">
        <f t="shared" si="77"/>
        <v>19.2</v>
      </c>
      <c r="E1022" s="10">
        <v>72.966667000000001</v>
      </c>
      <c r="F1022" s="10">
        <v>19.200001</v>
      </c>
      <c r="G1022" s="10">
        <v>5.5</v>
      </c>
      <c r="H1022" s="10" t="s">
        <v>3657</v>
      </c>
      <c r="I1022" s="10" t="s">
        <v>3658</v>
      </c>
      <c r="J1022" s="10" t="s">
        <v>3659</v>
      </c>
      <c r="K1022" s="10" t="s">
        <v>3660</v>
      </c>
      <c r="L1022" s="65" t="str">
        <f t="shared" si="78"/>
        <v>Thane|India|72,966667|19,200001|+5:30 Asia</v>
      </c>
      <c r="M1022" s="10" t="s">
        <v>3993</v>
      </c>
      <c r="N1022" s="10">
        <f t="shared" si="75"/>
        <v>0</v>
      </c>
      <c r="O1022" t="str">
        <f t="shared" si="79"/>
        <v/>
      </c>
      <c r="P1022" t="str">
        <f>IF(O1022=1,COUNTIF($O$2:O1022,1),"")</f>
        <v/>
      </c>
      <c r="Q1022" t="str">
        <f>IFERROR(INDEX($M$2:$M$2388,MATCH(ROWS($P$2:P1022),$P$2:$P$2388,0)),"")</f>
        <v/>
      </c>
    </row>
    <row r="1023" spans="1:17" ht="15" x14ac:dyDescent="0.25">
      <c r="A1023" s="10">
        <v>980</v>
      </c>
      <c r="B1023" s="10" t="s">
        <v>3994</v>
      </c>
      <c r="C1023" s="880">
        <f t="shared" si="76"/>
        <v>79.150000000000006</v>
      </c>
      <c r="D1023" s="880">
        <f t="shared" si="77"/>
        <v>10.8</v>
      </c>
      <c r="E1023" s="10">
        <v>79.150002000000001</v>
      </c>
      <c r="F1023" s="10">
        <v>10.8</v>
      </c>
      <c r="G1023" s="10">
        <v>5.5</v>
      </c>
      <c r="H1023" s="10" t="s">
        <v>3657</v>
      </c>
      <c r="I1023" s="10" t="s">
        <v>3658</v>
      </c>
      <c r="J1023" s="10" t="s">
        <v>3659</v>
      </c>
      <c r="K1023" s="10" t="s">
        <v>3660</v>
      </c>
      <c r="L1023" s="65" t="str">
        <f t="shared" si="78"/>
        <v>Thanjavur|India|79,150002|10,800000|+5:30 Asia</v>
      </c>
      <c r="M1023" s="10" t="s">
        <v>3995</v>
      </c>
      <c r="N1023" s="10">
        <f t="shared" si="75"/>
        <v>0</v>
      </c>
      <c r="O1023" t="str">
        <f t="shared" si="79"/>
        <v/>
      </c>
      <c r="P1023" t="str">
        <f>IF(O1023=1,COUNTIF($O$2:O1023,1),"")</f>
        <v/>
      </c>
      <c r="Q1023" t="str">
        <f>IFERROR(INDEX($M$2:$M$2388,MATCH(ROWS($P$2:P1023),$P$2:$P$2388,0)),"")</f>
        <v/>
      </c>
    </row>
    <row r="1024" spans="1:17" ht="15" x14ac:dyDescent="0.25">
      <c r="A1024" s="10">
        <v>974</v>
      </c>
      <c r="B1024" s="10" t="s">
        <v>3996</v>
      </c>
      <c r="C1024" s="880">
        <f t="shared" si="76"/>
        <v>76.916600000000003</v>
      </c>
      <c r="D1024" s="880">
        <f t="shared" si="77"/>
        <v>8.4832999999999998</v>
      </c>
      <c r="E1024" s="10">
        <v>76.916663999999997</v>
      </c>
      <c r="F1024" s="10">
        <v>8.4833339999999993</v>
      </c>
      <c r="G1024" s="10">
        <v>5.5</v>
      </c>
      <c r="H1024" s="10" t="s">
        <v>3657</v>
      </c>
      <c r="I1024" s="10" t="s">
        <v>3658</v>
      </c>
      <c r="J1024" s="10" t="s">
        <v>3659</v>
      </c>
      <c r="K1024" s="10" t="s">
        <v>3660</v>
      </c>
      <c r="L1024" s="65" t="str">
        <f t="shared" si="78"/>
        <v>Thiruvananthapuram|India|76,916664|8,483334|+5:30 Asia</v>
      </c>
      <c r="M1024" s="10" t="s">
        <v>3997</v>
      </c>
      <c r="N1024" s="10">
        <f t="shared" si="75"/>
        <v>0</v>
      </c>
      <c r="O1024" t="str">
        <f t="shared" si="79"/>
        <v/>
      </c>
      <c r="P1024" t="str">
        <f>IF(O1024=1,COUNTIF($O$2:O1024,1),"")</f>
        <v/>
      </c>
      <c r="Q1024" t="str">
        <f>IFERROR(INDEX($M$2:$M$2388,MATCH(ROWS($P$2:P1024),$P$2:$P$2388,0)),"")</f>
        <v/>
      </c>
    </row>
    <row r="1025" spans="1:17" ht="15" x14ac:dyDescent="0.25">
      <c r="A1025" s="10">
        <v>979</v>
      </c>
      <c r="B1025" s="10" t="s">
        <v>3998</v>
      </c>
      <c r="C1025" s="880">
        <f t="shared" si="76"/>
        <v>78.683300000000003</v>
      </c>
      <c r="D1025" s="880">
        <f t="shared" si="77"/>
        <v>10.816599999999999</v>
      </c>
      <c r="E1025" s="10">
        <v>78.683334000000002</v>
      </c>
      <c r="F1025" s="10">
        <v>10.816667000000001</v>
      </c>
      <c r="G1025" s="10">
        <v>5.5</v>
      </c>
      <c r="H1025" s="10" t="s">
        <v>3657</v>
      </c>
      <c r="I1025" s="10" t="s">
        <v>3658</v>
      </c>
      <c r="J1025" s="10" t="s">
        <v>3659</v>
      </c>
      <c r="K1025" s="10" t="s">
        <v>3660</v>
      </c>
      <c r="L1025" s="65" t="str">
        <f t="shared" si="78"/>
        <v>Tiruchchirappalli|India|78,683334|10,816667|+5:30 Asia</v>
      </c>
      <c r="M1025" s="10" t="s">
        <v>3999</v>
      </c>
      <c r="N1025" s="10">
        <f t="shared" si="75"/>
        <v>0</v>
      </c>
      <c r="O1025" t="str">
        <f t="shared" si="79"/>
        <v/>
      </c>
      <c r="P1025" t="str">
        <f>IF(O1025=1,COUNTIF($O$2:O1025,1),"")</f>
        <v/>
      </c>
      <c r="Q1025" t="str">
        <f>IFERROR(INDEX($M$2:$M$2388,MATCH(ROWS($P$2:P1025),$P$2:$P$2388,0)),"")</f>
        <v/>
      </c>
    </row>
    <row r="1026" spans="1:17" ht="15" x14ac:dyDescent="0.25">
      <c r="A1026" s="10">
        <v>978</v>
      </c>
      <c r="B1026" s="10" t="s">
        <v>4000</v>
      </c>
      <c r="C1026" s="880">
        <f t="shared" si="76"/>
        <v>77.6999</v>
      </c>
      <c r="D1026" s="880">
        <f t="shared" si="77"/>
        <v>8.7332999999999998</v>
      </c>
      <c r="E1026" s="10">
        <v>77.699996999999996</v>
      </c>
      <c r="F1026" s="10">
        <v>8.7333339999999993</v>
      </c>
      <c r="G1026" s="10">
        <v>5.5</v>
      </c>
      <c r="H1026" s="10" t="s">
        <v>3657</v>
      </c>
      <c r="I1026" s="10" t="s">
        <v>3658</v>
      </c>
      <c r="J1026" s="10" t="s">
        <v>3659</v>
      </c>
      <c r="K1026" s="10" t="s">
        <v>3660</v>
      </c>
      <c r="L1026" s="65" t="str">
        <f t="shared" si="78"/>
        <v>Tirunelveli|India|77,699997|8,733334|+5:30 Asia</v>
      </c>
      <c r="M1026" s="10" t="s">
        <v>4001</v>
      </c>
      <c r="N1026" s="10">
        <f t="shared" ref="N1026:N1089" si="80">--ISNUMBER(IFERROR(SEARCH($R$2,J1026,1),""))</f>
        <v>0</v>
      </c>
      <c r="O1026" t="str">
        <f t="shared" si="79"/>
        <v/>
      </c>
      <c r="P1026" t="str">
        <f>IF(O1026=1,COUNTIF($O$2:O1026,1),"")</f>
        <v/>
      </c>
      <c r="Q1026" t="str">
        <f>IFERROR(INDEX($M$2:$M$2388,MATCH(ROWS($P$2:P1026),$P$2:$P$2388,0)),"")</f>
        <v/>
      </c>
    </row>
    <row r="1027" spans="1:17" ht="15" x14ac:dyDescent="0.25">
      <c r="A1027" s="10">
        <v>977</v>
      </c>
      <c r="B1027" s="10" t="s">
        <v>4002</v>
      </c>
      <c r="C1027" s="880">
        <f t="shared" ref="C1027:C1090" si="81">TRUNC(E1027,4)</f>
        <v>79.416600000000003</v>
      </c>
      <c r="D1027" s="880">
        <f t="shared" ref="D1027:D1090" si="82">TRUNC(F1027,4)</f>
        <v>13.65</v>
      </c>
      <c r="E1027" s="10">
        <v>79.416663999999997</v>
      </c>
      <c r="F1027" s="10">
        <v>13.65</v>
      </c>
      <c r="G1027" s="10">
        <v>5.5</v>
      </c>
      <c r="H1027" s="10" t="s">
        <v>3657</v>
      </c>
      <c r="I1027" s="10" t="s">
        <v>3658</v>
      </c>
      <c r="J1027" s="10" t="s">
        <v>3659</v>
      </c>
      <c r="K1027" s="10" t="s">
        <v>3660</v>
      </c>
      <c r="L1027" s="65" t="str">
        <f t="shared" ref="L1027:L1090" si="83">MID(M1027,1,LEN(M1027)-(LEN(K1027)-SEARCH("/",K1027)+1))</f>
        <v>Tirupati|India|79,416664|13,650000|+5:30 Asia</v>
      </c>
      <c r="M1027" s="10" t="s">
        <v>4003</v>
      </c>
      <c r="N1027" s="10">
        <f t="shared" si="80"/>
        <v>0</v>
      </c>
      <c r="O1027" t="str">
        <f t="shared" ref="O1027:O1090" si="84">IF(N1027=0,"",--ISNUMBER(IFERROR(SEARCH($U$2,L1027,1),"")))</f>
        <v/>
      </c>
      <c r="P1027" t="str">
        <f>IF(O1027=1,COUNTIF($O$2:O1027,1),"")</f>
        <v/>
      </c>
      <c r="Q1027" t="str">
        <f>IFERROR(INDEX($M$2:$M$2388,MATCH(ROWS($P$2:P1027),$P$2:$P$2388,0)),"")</f>
        <v/>
      </c>
    </row>
    <row r="1028" spans="1:17" ht="15" x14ac:dyDescent="0.25">
      <c r="A1028" s="10">
        <v>976</v>
      </c>
      <c r="B1028" s="10" t="s">
        <v>4004</v>
      </c>
      <c r="C1028" s="880">
        <f t="shared" si="81"/>
        <v>77.349900000000005</v>
      </c>
      <c r="D1028" s="880">
        <f t="shared" si="82"/>
        <v>11.1</v>
      </c>
      <c r="E1028" s="10">
        <v>77.349997999999999</v>
      </c>
      <c r="F1028" s="10">
        <v>11.1</v>
      </c>
      <c r="G1028" s="10">
        <v>5.5</v>
      </c>
      <c r="H1028" s="10" t="s">
        <v>3657</v>
      </c>
      <c r="I1028" s="10" t="s">
        <v>3658</v>
      </c>
      <c r="J1028" s="10" t="s">
        <v>3659</v>
      </c>
      <c r="K1028" s="10" t="s">
        <v>3660</v>
      </c>
      <c r="L1028" s="65" t="str">
        <f t="shared" si="83"/>
        <v>Tiruppur|India|77,349998|11,100000|+5:30 Asia</v>
      </c>
      <c r="M1028" s="10" t="s">
        <v>4005</v>
      </c>
      <c r="N1028" s="10">
        <f t="shared" si="80"/>
        <v>0</v>
      </c>
      <c r="O1028" t="str">
        <f t="shared" si="84"/>
        <v/>
      </c>
      <c r="P1028" t="str">
        <f>IF(O1028=1,COUNTIF($O$2:O1028,1),"")</f>
        <v/>
      </c>
      <c r="Q1028" t="str">
        <f>IFERROR(INDEX($M$2:$M$2388,MATCH(ROWS($P$2:P1028),$P$2:$P$2388,0)),"")</f>
        <v/>
      </c>
    </row>
    <row r="1029" spans="1:17" ht="15" x14ac:dyDescent="0.25">
      <c r="A1029" s="10">
        <v>975</v>
      </c>
      <c r="B1029" s="10" t="s">
        <v>4006</v>
      </c>
      <c r="C1029" s="880">
        <f t="shared" si="81"/>
        <v>76.2166</v>
      </c>
      <c r="D1029" s="880">
        <f t="shared" si="82"/>
        <v>10.5166</v>
      </c>
      <c r="E1029" s="10">
        <v>76.216667000000001</v>
      </c>
      <c r="F1029" s="10">
        <v>10.516666000000001</v>
      </c>
      <c r="G1029" s="10">
        <v>5.5</v>
      </c>
      <c r="H1029" s="10" t="s">
        <v>3657</v>
      </c>
      <c r="I1029" s="10" t="s">
        <v>3658</v>
      </c>
      <c r="J1029" s="10" t="s">
        <v>3659</v>
      </c>
      <c r="K1029" s="10" t="s">
        <v>3660</v>
      </c>
      <c r="L1029" s="65" t="str">
        <f t="shared" si="83"/>
        <v>Trichur|India|76,216667|10,516666|+5:30 Asia</v>
      </c>
      <c r="M1029" s="10" t="s">
        <v>4007</v>
      </c>
      <c r="N1029" s="10">
        <f t="shared" si="80"/>
        <v>0</v>
      </c>
      <c r="O1029" t="str">
        <f t="shared" si="84"/>
        <v/>
      </c>
      <c r="P1029" t="str">
        <f>IF(O1029=1,COUNTIF($O$2:O1029,1),"")</f>
        <v/>
      </c>
      <c r="Q1029" t="str">
        <f>IFERROR(INDEX($M$2:$M$2388,MATCH(ROWS($P$2:P1029),$P$2:$P$2388,0)),"")</f>
        <v/>
      </c>
    </row>
    <row r="1030" spans="1:17" ht="15" x14ac:dyDescent="0.25">
      <c r="A1030" s="10">
        <v>973</v>
      </c>
      <c r="B1030" s="10" t="s">
        <v>4008</v>
      </c>
      <c r="C1030" s="880">
        <f t="shared" si="81"/>
        <v>77.101600000000005</v>
      </c>
      <c r="D1030" s="880">
        <f t="shared" si="82"/>
        <v>13.3422</v>
      </c>
      <c r="E1030" s="10">
        <v>77.101669000000001</v>
      </c>
      <c r="F1030" s="10">
        <v>13.342222</v>
      </c>
      <c r="G1030" s="10">
        <v>5.5</v>
      </c>
      <c r="H1030" s="10" t="s">
        <v>3657</v>
      </c>
      <c r="I1030" s="10" t="s">
        <v>3658</v>
      </c>
      <c r="J1030" s="10" t="s">
        <v>3659</v>
      </c>
      <c r="K1030" s="10" t="s">
        <v>3660</v>
      </c>
      <c r="L1030" s="65" t="str">
        <f t="shared" si="83"/>
        <v>Tumkur|India|77,101669|13,342222|+5:30 Asia</v>
      </c>
      <c r="M1030" s="10" t="s">
        <v>4009</v>
      </c>
      <c r="N1030" s="10">
        <f t="shared" si="80"/>
        <v>0</v>
      </c>
      <c r="O1030" t="str">
        <f t="shared" si="84"/>
        <v/>
      </c>
      <c r="P1030" t="str">
        <f>IF(O1030=1,COUNTIF($O$2:O1030,1),"")</f>
        <v/>
      </c>
      <c r="Q1030" t="str">
        <f>IFERROR(INDEX($M$2:$M$2388,MATCH(ROWS($P$2:P1030),$P$2:$P$2388,0)),"")</f>
        <v/>
      </c>
    </row>
    <row r="1031" spans="1:17" ht="15" x14ac:dyDescent="0.25">
      <c r="A1031" s="10">
        <v>972</v>
      </c>
      <c r="B1031" s="10" t="s">
        <v>4010</v>
      </c>
      <c r="C1031" s="880">
        <f t="shared" si="81"/>
        <v>73.683300000000003</v>
      </c>
      <c r="D1031" s="880">
        <f t="shared" si="82"/>
        <v>24.583300000000001</v>
      </c>
      <c r="E1031" s="10">
        <v>73.683334000000002</v>
      </c>
      <c r="F1031" s="10">
        <v>24.583334000000001</v>
      </c>
      <c r="G1031" s="10">
        <v>5.5</v>
      </c>
      <c r="H1031" s="10" t="s">
        <v>3657</v>
      </c>
      <c r="I1031" s="10" t="s">
        <v>3658</v>
      </c>
      <c r="J1031" s="10" t="s">
        <v>3659</v>
      </c>
      <c r="K1031" s="10" t="s">
        <v>3660</v>
      </c>
      <c r="L1031" s="65" t="str">
        <f t="shared" si="83"/>
        <v>Udaipur|India|73,683334|24,583334|+5:30 Asia</v>
      </c>
      <c r="M1031" s="10" t="s">
        <v>4011</v>
      </c>
      <c r="N1031" s="10">
        <f t="shared" si="80"/>
        <v>0</v>
      </c>
      <c r="O1031" t="str">
        <f t="shared" si="84"/>
        <v/>
      </c>
      <c r="P1031" t="str">
        <f>IF(O1031=1,COUNTIF($O$2:O1031,1),"")</f>
        <v/>
      </c>
      <c r="Q1031" t="str">
        <f>IFERROR(INDEX($M$2:$M$2388,MATCH(ROWS($P$2:P1031),$P$2:$P$2388,0)),"")</f>
        <v/>
      </c>
    </row>
    <row r="1032" spans="1:17" ht="15" x14ac:dyDescent="0.25">
      <c r="A1032" s="10">
        <v>971</v>
      </c>
      <c r="B1032" s="10" t="s">
        <v>4012</v>
      </c>
      <c r="C1032" s="880">
        <f t="shared" si="81"/>
        <v>75.766599999999997</v>
      </c>
      <c r="D1032" s="880">
        <f t="shared" si="82"/>
        <v>23.183299999999999</v>
      </c>
      <c r="E1032" s="10">
        <v>75.766670000000005</v>
      </c>
      <c r="F1032" s="10">
        <v>23.183332</v>
      </c>
      <c r="G1032" s="10">
        <v>5.5</v>
      </c>
      <c r="H1032" s="10" t="s">
        <v>3657</v>
      </c>
      <c r="I1032" s="10" t="s">
        <v>3658</v>
      </c>
      <c r="J1032" s="10" t="s">
        <v>3659</v>
      </c>
      <c r="K1032" s="10" t="s">
        <v>3660</v>
      </c>
      <c r="L1032" s="65" t="str">
        <f t="shared" si="83"/>
        <v>Ujjain|India|75,766670|23,183332|+5:30 Asia</v>
      </c>
      <c r="M1032" s="10" t="s">
        <v>4013</v>
      </c>
      <c r="N1032" s="10">
        <f t="shared" si="80"/>
        <v>0</v>
      </c>
      <c r="O1032" t="str">
        <f t="shared" si="84"/>
        <v/>
      </c>
      <c r="P1032" t="str">
        <f>IF(O1032=1,COUNTIF($O$2:O1032,1),"")</f>
        <v/>
      </c>
      <c r="Q1032" t="str">
        <f>IFERROR(INDEX($M$2:$M$2388,MATCH(ROWS($P$2:P1032),$P$2:$P$2388,0)),"")</f>
        <v/>
      </c>
    </row>
    <row r="1033" spans="1:17" ht="15" x14ac:dyDescent="0.25">
      <c r="A1033" s="10">
        <v>970</v>
      </c>
      <c r="B1033" s="10" t="s">
        <v>4014</v>
      </c>
      <c r="C1033" s="880">
        <f t="shared" si="81"/>
        <v>73.150000000000006</v>
      </c>
      <c r="D1033" s="880">
        <f t="shared" si="82"/>
        <v>19.2166</v>
      </c>
      <c r="E1033" s="10">
        <v>73.150002000000001</v>
      </c>
      <c r="F1033" s="10">
        <v>19.216667000000001</v>
      </c>
      <c r="G1033" s="10">
        <v>5.5</v>
      </c>
      <c r="H1033" s="10" t="s">
        <v>3657</v>
      </c>
      <c r="I1033" s="10" t="s">
        <v>3658</v>
      </c>
      <c r="J1033" s="10" t="s">
        <v>3659</v>
      </c>
      <c r="K1033" s="10" t="s">
        <v>3660</v>
      </c>
      <c r="L1033" s="65" t="str">
        <f t="shared" si="83"/>
        <v>Ulhasnagar|India|73,150002|19,216667|+5:30 Asia</v>
      </c>
      <c r="M1033" s="10" t="s">
        <v>4015</v>
      </c>
      <c r="N1033" s="10">
        <f t="shared" si="80"/>
        <v>0</v>
      </c>
      <c r="O1033" t="str">
        <f t="shared" si="84"/>
        <v/>
      </c>
      <c r="P1033" t="str">
        <f>IF(O1033=1,COUNTIF($O$2:O1033,1),"")</f>
        <v/>
      </c>
      <c r="Q1033" t="str">
        <f>IFERROR(INDEX($M$2:$M$2388,MATCH(ROWS($P$2:P1033),$P$2:$P$2388,0)),"")</f>
        <v/>
      </c>
    </row>
    <row r="1034" spans="1:17" ht="15" x14ac:dyDescent="0.25">
      <c r="A1034" s="10">
        <v>969</v>
      </c>
      <c r="B1034" s="10" t="s">
        <v>4016</v>
      </c>
      <c r="C1034" s="880">
        <f t="shared" si="81"/>
        <v>73.1999</v>
      </c>
      <c r="D1034" s="880">
        <f t="shared" si="82"/>
        <v>22.299900000000001</v>
      </c>
      <c r="E1034" s="10">
        <v>73.199996999999996</v>
      </c>
      <c r="F1034" s="10">
        <v>22.299999</v>
      </c>
      <c r="G1034" s="10">
        <v>5.5</v>
      </c>
      <c r="H1034" s="10" t="s">
        <v>3657</v>
      </c>
      <c r="I1034" s="10" t="s">
        <v>3658</v>
      </c>
      <c r="J1034" s="10" t="s">
        <v>3659</v>
      </c>
      <c r="K1034" s="10" t="s">
        <v>3660</v>
      </c>
      <c r="L1034" s="65" t="str">
        <f t="shared" si="83"/>
        <v>Vadodara|India|73,199997|22,299999|+5:30 Asia</v>
      </c>
      <c r="M1034" s="10" t="s">
        <v>4017</v>
      </c>
      <c r="N1034" s="10">
        <f t="shared" si="80"/>
        <v>0</v>
      </c>
      <c r="O1034" t="str">
        <f t="shared" si="84"/>
        <v/>
      </c>
      <c r="P1034" t="str">
        <f>IF(O1034=1,COUNTIF($O$2:O1034,1),"")</f>
        <v/>
      </c>
      <c r="Q1034" t="str">
        <f>IFERROR(INDEX($M$2:$M$2388,MATCH(ROWS($P$2:P1034),$P$2:$P$2388,0)),"")</f>
        <v/>
      </c>
    </row>
    <row r="1035" spans="1:17" ht="15" x14ac:dyDescent="0.25">
      <c r="A1035" s="10">
        <v>2385</v>
      </c>
      <c r="B1035" s="10" t="s">
        <v>4018</v>
      </c>
      <c r="C1035" s="880">
        <f t="shared" si="81"/>
        <v>73.83</v>
      </c>
      <c r="D1035" s="880">
        <f t="shared" si="82"/>
        <v>15.4</v>
      </c>
      <c r="E1035" s="10">
        <v>73.830001999999993</v>
      </c>
      <c r="F1035" s="10">
        <v>15.4</v>
      </c>
      <c r="G1035" s="10">
        <v>5.5</v>
      </c>
      <c r="H1035" s="10" t="s">
        <v>3657</v>
      </c>
      <c r="I1035" s="10" t="s">
        <v>3658</v>
      </c>
      <c r="J1035" s="10" t="s">
        <v>3659</v>
      </c>
      <c r="K1035" s="10" t="s">
        <v>3660</v>
      </c>
      <c r="L1035" s="65" t="str">
        <f t="shared" si="83"/>
        <v>Vasco da Gamma|India|73,830002|15,400000|+5:30 Asia</v>
      </c>
      <c r="M1035" s="10" t="s">
        <v>4019</v>
      </c>
      <c r="N1035" s="10">
        <f t="shared" si="80"/>
        <v>0</v>
      </c>
      <c r="O1035" t="str">
        <f t="shared" si="84"/>
        <v/>
      </c>
      <c r="P1035" t="str">
        <f>IF(O1035=1,COUNTIF($O$2:O1035,1),"")</f>
        <v/>
      </c>
      <c r="Q1035" t="str">
        <f>IFERROR(INDEX($M$2:$M$2388,MATCH(ROWS($P$2:P1035),$P$2:$P$2388,0)),"")</f>
        <v/>
      </c>
    </row>
    <row r="1036" spans="1:17" ht="15" x14ac:dyDescent="0.25">
      <c r="A1036" s="10">
        <v>967</v>
      </c>
      <c r="B1036" s="10" t="s">
        <v>4020</v>
      </c>
      <c r="C1036" s="880">
        <f t="shared" si="81"/>
        <v>80.616600000000005</v>
      </c>
      <c r="D1036" s="880">
        <f t="shared" si="82"/>
        <v>16.5166</v>
      </c>
      <c r="E1036" s="10">
        <v>80.616669000000002</v>
      </c>
      <c r="F1036" s="10">
        <v>16.516666000000001</v>
      </c>
      <c r="G1036" s="10">
        <v>5.5</v>
      </c>
      <c r="H1036" s="10" t="s">
        <v>3657</v>
      </c>
      <c r="I1036" s="10" t="s">
        <v>3658</v>
      </c>
      <c r="J1036" s="10" t="s">
        <v>3659</v>
      </c>
      <c r="K1036" s="10" t="s">
        <v>3660</v>
      </c>
      <c r="L1036" s="65" t="str">
        <f t="shared" si="83"/>
        <v>Vijayawada|India|80,616669|16,516666|+5:30 Asia</v>
      </c>
      <c r="M1036" s="10" t="s">
        <v>4021</v>
      </c>
      <c r="N1036" s="10">
        <f t="shared" si="80"/>
        <v>0</v>
      </c>
      <c r="O1036" t="str">
        <f t="shared" si="84"/>
        <v/>
      </c>
      <c r="P1036" t="str">
        <f>IF(O1036=1,COUNTIF($O$2:O1036,1),"")</f>
        <v/>
      </c>
      <c r="Q1036" t="str">
        <f>IFERROR(INDEX($M$2:$M$2388,MATCH(ROWS($P$2:P1036),$P$2:$P$2388,0)),"")</f>
        <v/>
      </c>
    </row>
    <row r="1037" spans="1:17" ht="15" x14ac:dyDescent="0.25">
      <c r="A1037" s="10">
        <v>966</v>
      </c>
      <c r="B1037" s="10" t="s">
        <v>4022</v>
      </c>
      <c r="C1037" s="880">
        <f t="shared" si="81"/>
        <v>83.3</v>
      </c>
      <c r="D1037" s="880">
        <f t="shared" si="82"/>
        <v>17.7</v>
      </c>
      <c r="E1037" s="10">
        <v>83.300003000000004</v>
      </c>
      <c r="F1037" s="10">
        <v>17.700001</v>
      </c>
      <c r="G1037" s="10">
        <v>5.5</v>
      </c>
      <c r="H1037" s="10" t="s">
        <v>3657</v>
      </c>
      <c r="I1037" s="10" t="s">
        <v>3658</v>
      </c>
      <c r="J1037" s="10" t="s">
        <v>3659</v>
      </c>
      <c r="K1037" s="10" t="s">
        <v>3660</v>
      </c>
      <c r="L1037" s="65" t="str">
        <f t="shared" si="83"/>
        <v>Vishakhapatnam|India|83,300003|17,700001|+5:30 Asia</v>
      </c>
      <c r="M1037" s="10" t="s">
        <v>4023</v>
      </c>
      <c r="N1037" s="10">
        <f t="shared" si="80"/>
        <v>0</v>
      </c>
      <c r="O1037" t="str">
        <f t="shared" si="84"/>
        <v/>
      </c>
      <c r="P1037" t="str">
        <f>IF(O1037=1,COUNTIF($O$2:O1037,1),"")</f>
        <v/>
      </c>
      <c r="Q1037" t="str">
        <f>IFERROR(INDEX($M$2:$M$2388,MATCH(ROWS($P$2:P1037),$P$2:$P$2388,0)),"")</f>
        <v/>
      </c>
    </row>
    <row r="1038" spans="1:17" ht="15" x14ac:dyDescent="0.25">
      <c r="A1038" s="10">
        <v>2386</v>
      </c>
      <c r="B1038" s="10" t="s">
        <v>4024</v>
      </c>
      <c r="C1038" s="880">
        <f t="shared" si="81"/>
        <v>77.7012</v>
      </c>
      <c r="D1038" s="880">
        <f t="shared" si="82"/>
        <v>27.5779</v>
      </c>
      <c r="E1038" s="10">
        <v>77.701240999999996</v>
      </c>
      <c r="F1038" s="10">
        <v>27.57799</v>
      </c>
      <c r="G1038" s="10">
        <v>5.5</v>
      </c>
      <c r="H1038" s="10" t="s">
        <v>3657</v>
      </c>
      <c r="I1038" s="10" t="s">
        <v>3658</v>
      </c>
      <c r="J1038" s="10" t="s">
        <v>3659</v>
      </c>
      <c r="K1038" s="10" t="s">
        <v>3660</v>
      </c>
      <c r="L1038" s="65" t="str">
        <f t="shared" si="83"/>
        <v>Vrindavan|India|77,701241|27,577990|+5:30 Asia</v>
      </c>
      <c r="M1038" s="10" t="s">
        <v>4025</v>
      </c>
      <c r="N1038" s="10">
        <f t="shared" si="80"/>
        <v>0</v>
      </c>
      <c r="O1038" t="str">
        <f t="shared" si="84"/>
        <v/>
      </c>
      <c r="P1038" t="str">
        <f>IF(O1038=1,COUNTIF($O$2:O1038,1),"")</f>
        <v/>
      </c>
      <c r="Q1038" t="str">
        <f>IFERROR(INDEX($M$2:$M$2388,MATCH(ROWS($P$2:P1038),$P$2:$P$2388,0)),"")</f>
        <v/>
      </c>
    </row>
    <row r="1039" spans="1:17" ht="15" x14ac:dyDescent="0.25">
      <c r="A1039" s="10">
        <v>965</v>
      </c>
      <c r="B1039" s="10" t="s">
        <v>4026</v>
      </c>
      <c r="C1039" s="880">
        <f t="shared" si="81"/>
        <v>79.583299999999994</v>
      </c>
      <c r="D1039" s="880">
        <f t="shared" si="82"/>
        <v>18</v>
      </c>
      <c r="E1039" s="10">
        <v>79.583336000000003</v>
      </c>
      <c r="F1039" s="10">
        <v>18</v>
      </c>
      <c r="G1039" s="10">
        <v>5.5</v>
      </c>
      <c r="H1039" s="10" t="s">
        <v>3657</v>
      </c>
      <c r="I1039" s="10" t="s">
        <v>3658</v>
      </c>
      <c r="J1039" s="10" t="s">
        <v>3659</v>
      </c>
      <c r="K1039" s="10" t="s">
        <v>3660</v>
      </c>
      <c r="L1039" s="65" t="str">
        <f t="shared" si="83"/>
        <v>Warangal|India|79,583336|18,000000|+5:30 Asia</v>
      </c>
      <c r="M1039" s="10" t="s">
        <v>4027</v>
      </c>
      <c r="N1039" s="10">
        <f t="shared" si="80"/>
        <v>0</v>
      </c>
      <c r="O1039" t="str">
        <f t="shared" si="84"/>
        <v/>
      </c>
      <c r="P1039" t="str">
        <f>IF(O1039=1,COUNTIF($O$2:O1039,1),"")</f>
        <v/>
      </c>
      <c r="Q1039" t="str">
        <f>IFERROR(INDEX($M$2:$M$2388,MATCH(ROWS($P$2:P1039),$P$2:$P$2388,0)),"")</f>
        <v/>
      </c>
    </row>
    <row r="1040" spans="1:17" ht="15" x14ac:dyDescent="0.25">
      <c r="A1040" s="10">
        <v>964</v>
      </c>
      <c r="B1040" s="10" t="s">
        <v>4028</v>
      </c>
      <c r="C1040" s="880">
        <f t="shared" si="81"/>
        <v>77.283299999999997</v>
      </c>
      <c r="D1040" s="880">
        <f t="shared" si="82"/>
        <v>30.1</v>
      </c>
      <c r="E1040" s="10">
        <v>77.283332999999999</v>
      </c>
      <c r="F1040" s="10">
        <v>30.1</v>
      </c>
      <c r="G1040" s="10">
        <v>5.5</v>
      </c>
      <c r="H1040" s="10" t="s">
        <v>3657</v>
      </c>
      <c r="I1040" s="10" t="s">
        <v>3658</v>
      </c>
      <c r="J1040" s="10" t="s">
        <v>3659</v>
      </c>
      <c r="K1040" s="10" t="s">
        <v>3660</v>
      </c>
      <c r="L1040" s="65" t="str">
        <f t="shared" si="83"/>
        <v>Yamunanagar|India|77,283333|30,100000|+5:30 Asia</v>
      </c>
      <c r="M1040" s="10" t="s">
        <v>4029</v>
      </c>
      <c r="N1040" s="10">
        <f t="shared" si="80"/>
        <v>0</v>
      </c>
      <c r="O1040" t="str">
        <f t="shared" si="84"/>
        <v/>
      </c>
      <c r="P1040" t="str">
        <f>IF(O1040=1,COUNTIF($O$2:O1040,1),"")</f>
        <v/>
      </c>
      <c r="Q1040" t="str">
        <f>IFERROR(INDEX($M$2:$M$2388,MATCH(ROWS($P$2:P1040),$P$2:$P$2388,0)),"")</f>
        <v/>
      </c>
    </row>
    <row r="1041" spans="1:17" ht="15" x14ac:dyDescent="0.25">
      <c r="A1041" s="10">
        <v>963</v>
      </c>
      <c r="B1041" s="10" t="s">
        <v>4030</v>
      </c>
      <c r="C1041" s="880">
        <f t="shared" si="81"/>
        <v>94.516599999999997</v>
      </c>
      <c r="D1041" s="880">
        <f t="shared" si="82"/>
        <v>25.9666</v>
      </c>
      <c r="E1041" s="10">
        <v>94.516670000000005</v>
      </c>
      <c r="F1041" s="10">
        <v>25.966667000000001</v>
      </c>
      <c r="G1041" s="10">
        <v>5.5</v>
      </c>
      <c r="H1041" s="10" t="s">
        <v>3657</v>
      </c>
      <c r="I1041" s="10" t="s">
        <v>3658</v>
      </c>
      <c r="J1041" s="10" t="s">
        <v>3659</v>
      </c>
      <c r="K1041" s="10" t="s">
        <v>3660</v>
      </c>
      <c r="L1041" s="65" t="str">
        <f t="shared" si="83"/>
        <v>Zunheboto|India|94,516670|25,966667|+5:30 Asia</v>
      </c>
      <c r="M1041" s="10" t="s">
        <v>4031</v>
      </c>
      <c r="N1041" s="10">
        <f t="shared" si="80"/>
        <v>0</v>
      </c>
      <c r="O1041" t="str">
        <f t="shared" si="84"/>
        <v/>
      </c>
      <c r="P1041" t="str">
        <f>IF(O1041=1,COUNTIF($O$2:O1041,1),"")</f>
        <v/>
      </c>
      <c r="Q1041" t="str">
        <f>IFERROR(INDEX($M$2:$M$2388,MATCH(ROWS($P$2:P1041),$P$2:$P$2388,0)),"")</f>
        <v/>
      </c>
    </row>
    <row r="1042" spans="1:17" ht="15" x14ac:dyDescent="0.25">
      <c r="A1042" s="10">
        <v>949</v>
      </c>
      <c r="B1042" s="10" t="s">
        <v>4032</v>
      </c>
      <c r="C1042" s="880">
        <f t="shared" si="81"/>
        <v>128.19990000000001</v>
      </c>
      <c r="D1042" s="880">
        <f t="shared" si="82"/>
        <v>-3.7166000000000001</v>
      </c>
      <c r="E1042" s="10">
        <v>128.199997</v>
      </c>
      <c r="F1042" s="10">
        <v>-3.7166670000000002</v>
      </c>
      <c r="G1042" s="10">
        <v>9</v>
      </c>
      <c r="H1042" s="10" t="s">
        <v>4033</v>
      </c>
      <c r="I1042" s="10" t="s">
        <v>1040</v>
      </c>
      <c r="J1042" s="10" t="s">
        <v>4034</v>
      </c>
      <c r="K1042" s="10" t="s">
        <v>4035</v>
      </c>
      <c r="L1042" s="65" t="str">
        <f t="shared" si="83"/>
        <v>Ambon|Indonesia|128,199997|-3,716667|+9:00 Asia</v>
      </c>
      <c r="M1042" s="10" t="s">
        <v>4036</v>
      </c>
      <c r="N1042" s="10">
        <f t="shared" si="80"/>
        <v>0</v>
      </c>
      <c r="O1042" t="str">
        <f t="shared" si="84"/>
        <v/>
      </c>
      <c r="P1042" t="str">
        <f>IF(O1042=1,COUNTIF($O$2:O1042,1),"")</f>
        <v/>
      </c>
      <c r="Q1042" t="str">
        <f>IFERROR(INDEX($M$2:$M$2388,MATCH(ROWS($P$2:P1042),$P$2:$P$2388,0)),"")</f>
        <v/>
      </c>
    </row>
    <row r="1043" spans="1:17" ht="15" x14ac:dyDescent="0.25">
      <c r="A1043" s="10">
        <v>948</v>
      </c>
      <c r="B1043" s="10" t="s">
        <v>4037</v>
      </c>
      <c r="C1043" s="880">
        <f t="shared" si="81"/>
        <v>116.83329999999999</v>
      </c>
      <c r="D1043" s="880">
        <f t="shared" si="82"/>
        <v>-1.2833000000000001</v>
      </c>
      <c r="E1043" s="10">
        <v>116.833336</v>
      </c>
      <c r="F1043" s="10">
        <v>-1.2833330000000001</v>
      </c>
      <c r="G1043" s="10">
        <v>8</v>
      </c>
      <c r="H1043" s="10" t="s">
        <v>1831</v>
      </c>
      <c r="I1043" s="10" t="s">
        <v>1040</v>
      </c>
      <c r="J1043" s="10" t="s">
        <v>4034</v>
      </c>
      <c r="K1043" s="10" t="s">
        <v>4038</v>
      </c>
      <c r="L1043" s="65" t="str">
        <f t="shared" si="83"/>
        <v>Balikpapan|Indonesia|116,833336|-1,283333|+8:00 Asia</v>
      </c>
      <c r="M1043" s="10" t="s">
        <v>4039</v>
      </c>
      <c r="N1043" s="10">
        <f t="shared" si="80"/>
        <v>0</v>
      </c>
      <c r="O1043" t="str">
        <f t="shared" si="84"/>
        <v/>
      </c>
      <c r="P1043" t="str">
        <f>IF(O1043=1,COUNTIF($O$2:O1043,1),"")</f>
        <v/>
      </c>
      <c r="Q1043" t="str">
        <f>IFERROR(INDEX($M$2:$M$2388,MATCH(ROWS($P$2:P1043),$P$2:$P$2388,0)),"")</f>
        <v/>
      </c>
    </row>
    <row r="1044" spans="1:17" ht="15" x14ac:dyDescent="0.25">
      <c r="A1044" s="10">
        <v>906</v>
      </c>
      <c r="B1044" s="10" t="s">
        <v>4040</v>
      </c>
      <c r="C1044" s="880">
        <f t="shared" si="81"/>
        <v>95.325800000000001</v>
      </c>
      <c r="D1044" s="880">
        <f t="shared" si="82"/>
        <v>5.5616000000000003</v>
      </c>
      <c r="E1044" s="10">
        <v>95.325835999999995</v>
      </c>
      <c r="F1044" s="10">
        <v>5.5616659999999998</v>
      </c>
      <c r="G1044" s="10">
        <v>7</v>
      </c>
      <c r="H1044" s="10" t="s">
        <v>2363</v>
      </c>
      <c r="I1044" s="10" t="s">
        <v>1040</v>
      </c>
      <c r="J1044" s="10" t="s">
        <v>4034</v>
      </c>
      <c r="K1044" s="10" t="s">
        <v>4041</v>
      </c>
      <c r="L1044" s="65" t="str">
        <f t="shared" si="83"/>
        <v>Banda Aceh|Indonesia|95,325836|5,561666|+7:00 Asia</v>
      </c>
      <c r="M1044" s="10" t="s">
        <v>4042</v>
      </c>
      <c r="N1044" s="10">
        <f t="shared" si="80"/>
        <v>0</v>
      </c>
      <c r="O1044" t="str">
        <f t="shared" si="84"/>
        <v/>
      </c>
      <c r="P1044" t="str">
        <f>IF(O1044=1,COUNTIF($O$2:O1044,1),"")</f>
        <v/>
      </c>
      <c r="Q1044" t="str">
        <f>IFERROR(INDEX($M$2:$M$2388,MATCH(ROWS($P$2:P1044),$P$2:$P$2388,0)),"")</f>
        <v/>
      </c>
    </row>
    <row r="1045" spans="1:17" ht="15" x14ac:dyDescent="0.25">
      <c r="A1045" s="10">
        <v>947</v>
      </c>
      <c r="B1045" s="10" t="s">
        <v>4043</v>
      </c>
      <c r="C1045" s="880">
        <f t="shared" si="81"/>
        <v>107.62050000000001</v>
      </c>
      <c r="D1045" s="880">
        <f t="shared" si="82"/>
        <v>-6.9127000000000001</v>
      </c>
      <c r="E1045" s="10">
        <v>107.620552</v>
      </c>
      <c r="F1045" s="10">
        <v>-6.9127780000000003</v>
      </c>
      <c r="G1045" s="10">
        <v>7</v>
      </c>
      <c r="H1045" s="10" t="s">
        <v>2363</v>
      </c>
      <c r="I1045" s="10" t="s">
        <v>1040</v>
      </c>
      <c r="J1045" s="10" t="s">
        <v>4034</v>
      </c>
      <c r="K1045" s="10" t="s">
        <v>4044</v>
      </c>
      <c r="L1045" s="65" t="str">
        <f t="shared" si="83"/>
        <v>Bandung|Indonesia|107,620552|-6,912778|+7:00 Asia</v>
      </c>
      <c r="M1045" s="10" t="s">
        <v>4045</v>
      </c>
      <c r="N1045" s="10">
        <f t="shared" si="80"/>
        <v>0</v>
      </c>
      <c r="O1045" t="str">
        <f t="shared" si="84"/>
        <v/>
      </c>
      <c r="P1045" t="str">
        <f>IF(O1045=1,COUNTIF($O$2:O1045,1),"")</f>
        <v/>
      </c>
      <c r="Q1045" t="str">
        <f>IFERROR(INDEX($M$2:$M$2388,MATCH(ROWS($P$2:P1045),$P$2:$P$2388,0)),"")</f>
        <v/>
      </c>
    </row>
    <row r="1046" spans="1:17" ht="15" x14ac:dyDescent="0.25">
      <c r="A1046" s="10">
        <v>946</v>
      </c>
      <c r="B1046" s="10" t="s">
        <v>4046</v>
      </c>
      <c r="C1046" s="880">
        <f t="shared" si="81"/>
        <v>114.58329999999999</v>
      </c>
      <c r="D1046" s="880">
        <f t="shared" si="82"/>
        <v>-3.3332999999999999</v>
      </c>
      <c r="E1046" s="10">
        <v>114.583336</v>
      </c>
      <c r="F1046" s="10">
        <v>-3.3333330000000001</v>
      </c>
      <c r="G1046" s="10">
        <v>8</v>
      </c>
      <c r="H1046" s="10" t="s">
        <v>1831</v>
      </c>
      <c r="I1046" s="10" t="s">
        <v>1040</v>
      </c>
      <c r="J1046" s="10" t="s">
        <v>4034</v>
      </c>
      <c r="K1046" s="10" t="s">
        <v>4038</v>
      </c>
      <c r="L1046" s="65" t="str">
        <f t="shared" si="83"/>
        <v>Banjarmasin|Indonesia|114,583336|-3,333333|+8:00 Asia</v>
      </c>
      <c r="M1046" s="10" t="s">
        <v>4047</v>
      </c>
      <c r="N1046" s="10">
        <f t="shared" si="80"/>
        <v>0</v>
      </c>
      <c r="O1046" t="str">
        <f t="shared" si="84"/>
        <v/>
      </c>
      <c r="P1046" t="str">
        <f>IF(O1046=1,COUNTIF($O$2:O1046,1),"")</f>
        <v/>
      </c>
      <c r="Q1046" t="str">
        <f>IFERROR(INDEX($M$2:$M$2388,MATCH(ROWS($P$2:P1046),$P$2:$P$2388,0)),"")</f>
        <v/>
      </c>
    </row>
    <row r="1047" spans="1:17" ht="15" x14ac:dyDescent="0.25">
      <c r="A1047" s="10">
        <v>945</v>
      </c>
      <c r="B1047" s="10" t="s">
        <v>4048</v>
      </c>
      <c r="C1047" s="880">
        <f t="shared" si="81"/>
        <v>106.9919</v>
      </c>
      <c r="D1047" s="880">
        <f t="shared" si="82"/>
        <v>-6.2366000000000001</v>
      </c>
      <c r="E1047" s="10">
        <v>106.99194300000001</v>
      </c>
      <c r="F1047" s="10">
        <v>-6.2366669999999997</v>
      </c>
      <c r="G1047" s="10">
        <v>7</v>
      </c>
      <c r="H1047" s="10" t="s">
        <v>2363</v>
      </c>
      <c r="I1047" s="10" t="s">
        <v>1040</v>
      </c>
      <c r="J1047" s="10" t="s">
        <v>4034</v>
      </c>
      <c r="K1047" s="10" t="s">
        <v>4044</v>
      </c>
      <c r="L1047" s="65" t="str">
        <f t="shared" si="83"/>
        <v>Bekasi|Indonesia|106,991943|-6,236667|+7:00 Asia</v>
      </c>
      <c r="M1047" s="10" t="s">
        <v>4049</v>
      </c>
      <c r="N1047" s="10">
        <f t="shared" si="80"/>
        <v>0</v>
      </c>
      <c r="O1047" t="str">
        <f t="shared" si="84"/>
        <v/>
      </c>
      <c r="P1047" t="str">
        <f>IF(O1047=1,COUNTIF($O$2:O1047,1),"")</f>
        <v/>
      </c>
      <c r="Q1047" t="str">
        <f>IFERROR(INDEX($M$2:$M$2388,MATCH(ROWS($P$2:P1047),$P$2:$P$2388,0)),"")</f>
        <v/>
      </c>
    </row>
    <row r="1048" spans="1:17" ht="15" x14ac:dyDescent="0.25">
      <c r="A1048" s="10">
        <v>944</v>
      </c>
      <c r="B1048" s="10" t="s">
        <v>4050</v>
      </c>
      <c r="C1048" s="880">
        <f t="shared" si="81"/>
        <v>102.2655</v>
      </c>
      <c r="D1048" s="880">
        <f t="shared" si="82"/>
        <v>-3.8003999999999998</v>
      </c>
      <c r="E1048" s="10">
        <v>102.265541</v>
      </c>
      <c r="F1048" s="10">
        <v>-3.800443</v>
      </c>
      <c r="G1048" s="10">
        <v>7</v>
      </c>
      <c r="H1048" s="10" t="s">
        <v>2363</v>
      </c>
      <c r="I1048" s="10" t="s">
        <v>1040</v>
      </c>
      <c r="J1048" s="10" t="s">
        <v>4034</v>
      </c>
      <c r="K1048" s="10" t="s">
        <v>4044</v>
      </c>
      <c r="L1048" s="65" t="str">
        <f t="shared" si="83"/>
        <v>Bengkulu|Indonesia|102,265541|-3,800443|+7:00 Asia</v>
      </c>
      <c r="M1048" s="10" t="s">
        <v>4051</v>
      </c>
      <c r="N1048" s="10">
        <f t="shared" si="80"/>
        <v>0</v>
      </c>
      <c r="O1048" t="str">
        <f t="shared" si="84"/>
        <v/>
      </c>
      <c r="P1048" t="str">
        <f>IF(O1048=1,COUNTIF($O$2:O1048,1),"")</f>
        <v/>
      </c>
      <c r="Q1048" t="str">
        <f>IFERROR(INDEX($M$2:$M$2388,MATCH(ROWS($P$2:P1048),$P$2:$P$2388,0)),"")</f>
        <v/>
      </c>
    </row>
    <row r="1049" spans="1:17" ht="15" x14ac:dyDescent="0.25">
      <c r="A1049" s="10">
        <v>905</v>
      </c>
      <c r="B1049" s="10" t="s">
        <v>4052</v>
      </c>
      <c r="C1049" s="880">
        <f t="shared" si="81"/>
        <v>98.5</v>
      </c>
      <c r="D1049" s="880">
        <f t="shared" si="82"/>
        <v>3.6</v>
      </c>
      <c r="E1049" s="10">
        <v>98.5</v>
      </c>
      <c r="F1049" s="10">
        <v>3.6</v>
      </c>
      <c r="G1049" s="10">
        <v>7</v>
      </c>
      <c r="H1049" s="10" t="s">
        <v>2363</v>
      </c>
      <c r="I1049" s="10" t="s">
        <v>1040</v>
      </c>
      <c r="J1049" s="10" t="s">
        <v>4034</v>
      </c>
      <c r="K1049" s="10" t="s">
        <v>4044</v>
      </c>
      <c r="L1049" s="65" t="str">
        <f t="shared" si="83"/>
        <v>Binjai|Indonesia|98,500000|3,600000|+7:00 Asia</v>
      </c>
      <c r="M1049" s="10" t="s">
        <v>4053</v>
      </c>
      <c r="N1049" s="10">
        <f t="shared" si="80"/>
        <v>0</v>
      </c>
      <c r="O1049" t="str">
        <f t="shared" si="84"/>
        <v/>
      </c>
      <c r="P1049" t="str">
        <f>IF(O1049=1,COUNTIF($O$2:O1049,1),"")</f>
        <v/>
      </c>
      <c r="Q1049" t="str">
        <f>IFERROR(INDEX($M$2:$M$2388,MATCH(ROWS($P$2:P1049),$P$2:$P$2388,0)),"")</f>
        <v/>
      </c>
    </row>
    <row r="1050" spans="1:17" ht="15" x14ac:dyDescent="0.25">
      <c r="A1050" s="10">
        <v>943</v>
      </c>
      <c r="B1050" s="10" t="s">
        <v>4054</v>
      </c>
      <c r="C1050" s="880">
        <f t="shared" si="81"/>
        <v>106.79130000000001</v>
      </c>
      <c r="D1050" s="880">
        <f t="shared" si="82"/>
        <v>-6.5896999999999997</v>
      </c>
      <c r="E1050" s="10">
        <v>106.791389</v>
      </c>
      <c r="F1050" s="10">
        <v>-6.5897220000000001</v>
      </c>
      <c r="G1050" s="10">
        <v>7</v>
      </c>
      <c r="H1050" s="10" t="s">
        <v>2363</v>
      </c>
      <c r="I1050" s="10" t="s">
        <v>1040</v>
      </c>
      <c r="J1050" s="10" t="s">
        <v>4034</v>
      </c>
      <c r="K1050" s="10" t="s">
        <v>4044</v>
      </c>
      <c r="L1050" s="65" t="str">
        <f t="shared" si="83"/>
        <v>Bogor|Indonesia|106,791389|-6,589722|+7:00 Asia</v>
      </c>
      <c r="M1050" s="10" t="s">
        <v>4055</v>
      </c>
      <c r="N1050" s="10">
        <f t="shared" si="80"/>
        <v>0</v>
      </c>
      <c r="O1050" t="str">
        <f t="shared" si="84"/>
        <v/>
      </c>
      <c r="P1050" t="str">
        <f>IF(O1050=1,COUNTIF($O$2:O1050,1),"")</f>
        <v/>
      </c>
      <c r="Q1050" t="str">
        <f>IFERROR(INDEX($M$2:$M$2388,MATCH(ROWS($P$2:P1050),$P$2:$P$2388,0)),"")</f>
        <v/>
      </c>
    </row>
    <row r="1051" spans="1:17" ht="15" x14ac:dyDescent="0.25">
      <c r="A1051" s="10">
        <v>942</v>
      </c>
      <c r="B1051" s="10" t="s">
        <v>4056</v>
      </c>
      <c r="C1051" s="880">
        <f t="shared" si="81"/>
        <v>106.7102</v>
      </c>
      <c r="D1051" s="880">
        <f t="shared" si="82"/>
        <v>-6.54</v>
      </c>
      <c r="E1051" s="10">
        <v>106.71028099999999</v>
      </c>
      <c r="F1051" s="10">
        <v>-6.54</v>
      </c>
      <c r="G1051" s="10">
        <v>7</v>
      </c>
      <c r="H1051" s="10" t="s">
        <v>2363</v>
      </c>
      <c r="I1051" s="10" t="s">
        <v>1040</v>
      </c>
      <c r="J1051" s="10" t="s">
        <v>4034</v>
      </c>
      <c r="K1051" s="10" t="s">
        <v>4044</v>
      </c>
      <c r="L1051" s="65" t="str">
        <f t="shared" si="83"/>
        <v>Ciampea|Indonesia|106,710281|-6,540000|+7:00 Asia</v>
      </c>
      <c r="M1051" s="10" t="s">
        <v>4057</v>
      </c>
      <c r="N1051" s="10">
        <f t="shared" si="80"/>
        <v>0</v>
      </c>
      <c r="O1051" t="str">
        <f t="shared" si="84"/>
        <v/>
      </c>
      <c r="P1051" t="str">
        <f>IF(O1051=1,COUNTIF($O$2:O1051,1),"")</f>
        <v/>
      </c>
      <c r="Q1051" t="str">
        <f>IFERROR(INDEX($M$2:$M$2388,MATCH(ROWS($P$2:P1051),$P$2:$P$2388,0)),"")</f>
        <v/>
      </c>
    </row>
    <row r="1052" spans="1:17" ht="15" x14ac:dyDescent="0.25">
      <c r="A1052" s="10">
        <v>941</v>
      </c>
      <c r="B1052" s="10" t="s">
        <v>4058</v>
      </c>
      <c r="C1052" s="880">
        <f t="shared" si="81"/>
        <v>106.95910000000001</v>
      </c>
      <c r="D1052" s="880">
        <f t="shared" si="82"/>
        <v>-6.3947000000000003</v>
      </c>
      <c r="E1052" s="10">
        <v>106.95916699999999</v>
      </c>
      <c r="F1052" s="10">
        <v>-6.3947219999999998</v>
      </c>
      <c r="G1052" s="10">
        <v>7</v>
      </c>
      <c r="H1052" s="10" t="s">
        <v>2363</v>
      </c>
      <c r="I1052" s="10" t="s">
        <v>1040</v>
      </c>
      <c r="J1052" s="10" t="s">
        <v>4034</v>
      </c>
      <c r="K1052" s="10" t="s">
        <v>4044</v>
      </c>
      <c r="L1052" s="65" t="str">
        <f t="shared" si="83"/>
        <v>Cileungsi|Indonesia|106,959167|-6,394722|+7:00 Asia</v>
      </c>
      <c r="M1052" s="10" t="s">
        <v>4059</v>
      </c>
      <c r="N1052" s="10">
        <f t="shared" si="80"/>
        <v>0</v>
      </c>
      <c r="O1052" t="str">
        <f t="shared" si="84"/>
        <v/>
      </c>
      <c r="P1052" t="str">
        <f>IF(O1052=1,COUNTIF($O$2:O1052,1),"")</f>
        <v/>
      </c>
      <c r="Q1052" t="str">
        <f>IFERROR(INDEX($M$2:$M$2388,MATCH(ROWS($P$2:P1052),$P$2:$P$2388,0)),"")</f>
        <v/>
      </c>
    </row>
    <row r="1053" spans="1:17" ht="15" x14ac:dyDescent="0.25">
      <c r="A1053" s="10">
        <v>940</v>
      </c>
      <c r="B1053" s="10" t="s">
        <v>4060</v>
      </c>
      <c r="C1053" s="880">
        <f t="shared" si="81"/>
        <v>107.5425</v>
      </c>
      <c r="D1053" s="880">
        <f t="shared" si="82"/>
        <v>-6.8722000000000003</v>
      </c>
      <c r="E1053" s="10">
        <v>107.542503</v>
      </c>
      <c r="F1053" s="10">
        <v>-6.8722219999999998</v>
      </c>
      <c r="G1053" s="10">
        <v>7</v>
      </c>
      <c r="H1053" s="10" t="s">
        <v>2363</v>
      </c>
      <c r="I1053" s="10" t="s">
        <v>1040</v>
      </c>
      <c r="J1053" s="10" t="s">
        <v>4034</v>
      </c>
      <c r="K1053" s="10" t="s">
        <v>4044</v>
      </c>
      <c r="L1053" s="65" t="str">
        <f t="shared" si="83"/>
        <v>Cimahi|Indonesia|107,542503|-6,872222|+7:00 Asia</v>
      </c>
      <c r="M1053" s="10" t="s">
        <v>4061</v>
      </c>
      <c r="N1053" s="10">
        <f t="shared" si="80"/>
        <v>0</v>
      </c>
      <c r="O1053" t="str">
        <f t="shared" si="84"/>
        <v/>
      </c>
      <c r="P1053" t="str">
        <f>IF(O1053=1,COUNTIF($O$2:O1053,1),"")</f>
        <v/>
      </c>
      <c r="Q1053" t="str">
        <f>IFERROR(INDEX($M$2:$M$2388,MATCH(ROWS($P$2:P1053),$P$2:$P$2388,0)),"")</f>
        <v/>
      </c>
    </row>
    <row r="1054" spans="1:17" ht="15" x14ac:dyDescent="0.25">
      <c r="A1054" s="10">
        <v>939</v>
      </c>
      <c r="B1054" s="10" t="s">
        <v>4062</v>
      </c>
      <c r="C1054" s="880">
        <f t="shared" si="81"/>
        <v>106.6955</v>
      </c>
      <c r="D1054" s="880">
        <f t="shared" si="82"/>
        <v>-6.2374999999999998</v>
      </c>
      <c r="E1054" s="10">
        <v>106.69555699999999</v>
      </c>
      <c r="F1054" s="10">
        <v>-6.2374999999999998</v>
      </c>
      <c r="G1054" s="10">
        <v>7</v>
      </c>
      <c r="H1054" s="10" t="s">
        <v>2363</v>
      </c>
      <c r="I1054" s="10" t="s">
        <v>1040</v>
      </c>
      <c r="J1054" s="10" t="s">
        <v>4034</v>
      </c>
      <c r="K1054" s="10" t="s">
        <v>4044</v>
      </c>
      <c r="L1054" s="65" t="str">
        <f t="shared" si="83"/>
        <v>Ciputat|Indonesia|106,695557|-6,237500|+7:00 Asia</v>
      </c>
      <c r="M1054" s="10" t="s">
        <v>4063</v>
      </c>
      <c r="N1054" s="10">
        <f t="shared" si="80"/>
        <v>0</v>
      </c>
      <c r="O1054" t="str">
        <f t="shared" si="84"/>
        <v/>
      </c>
      <c r="P1054" t="str">
        <f>IF(O1054=1,COUNTIF($O$2:O1054,1),"")</f>
        <v/>
      </c>
      <c r="Q1054" t="str">
        <f>IFERROR(INDEX($M$2:$M$2388,MATCH(ROWS($P$2:P1054),$P$2:$P$2388,0)),"")</f>
        <v/>
      </c>
    </row>
    <row r="1055" spans="1:17" ht="15" x14ac:dyDescent="0.25">
      <c r="A1055" s="10">
        <v>938</v>
      </c>
      <c r="B1055" s="10" t="s">
        <v>4064</v>
      </c>
      <c r="C1055" s="880">
        <f t="shared" si="81"/>
        <v>108.56659999999999</v>
      </c>
      <c r="D1055" s="880">
        <f t="shared" si="82"/>
        <v>-6.7332999999999998</v>
      </c>
      <c r="E1055" s="10">
        <v>108.566666</v>
      </c>
      <c r="F1055" s="10">
        <v>-6.733333</v>
      </c>
      <c r="G1055" s="10">
        <v>7</v>
      </c>
      <c r="H1055" s="10" t="s">
        <v>2363</v>
      </c>
      <c r="I1055" s="10" t="s">
        <v>1040</v>
      </c>
      <c r="J1055" s="10" t="s">
        <v>4034</v>
      </c>
      <c r="K1055" s="10" t="s">
        <v>4044</v>
      </c>
      <c r="L1055" s="65" t="str">
        <f t="shared" si="83"/>
        <v>Cirebon|Indonesia|108,566666|-6,733333|+7:00 Asia</v>
      </c>
      <c r="M1055" s="10" t="s">
        <v>4065</v>
      </c>
      <c r="N1055" s="10">
        <f t="shared" si="80"/>
        <v>0</v>
      </c>
      <c r="O1055" t="str">
        <f t="shared" si="84"/>
        <v/>
      </c>
      <c r="P1055" t="str">
        <f>IF(O1055=1,COUNTIF($O$2:O1055,1),"")</f>
        <v/>
      </c>
      <c r="Q1055" t="str">
        <f>IFERROR(INDEX($M$2:$M$2388,MATCH(ROWS($P$2:P1055),$P$2:$P$2388,0)),"")</f>
        <v/>
      </c>
    </row>
    <row r="1056" spans="1:17" ht="15" x14ac:dyDescent="0.25">
      <c r="A1056" s="10">
        <v>937</v>
      </c>
      <c r="B1056" s="10" t="s">
        <v>4066</v>
      </c>
      <c r="C1056" s="880">
        <f t="shared" si="81"/>
        <v>115.2166</v>
      </c>
      <c r="D1056" s="880">
        <f t="shared" si="82"/>
        <v>-8.65</v>
      </c>
      <c r="E1056" s="10">
        <v>115.216667</v>
      </c>
      <c r="F1056" s="10">
        <v>-8.65</v>
      </c>
      <c r="G1056" s="10">
        <v>8</v>
      </c>
      <c r="H1056" s="10" t="s">
        <v>1831</v>
      </c>
      <c r="I1056" s="10" t="s">
        <v>1040</v>
      </c>
      <c r="J1056" s="10" t="s">
        <v>4034</v>
      </c>
      <c r="K1056" s="10" t="s">
        <v>4038</v>
      </c>
      <c r="L1056" s="65" t="str">
        <f t="shared" si="83"/>
        <v>Denpasar|Indonesia|115,216667|-8,650000|+8:00 Asia</v>
      </c>
      <c r="M1056" s="10" t="s">
        <v>4067</v>
      </c>
      <c r="N1056" s="10">
        <f t="shared" si="80"/>
        <v>0</v>
      </c>
      <c r="O1056" t="str">
        <f t="shared" si="84"/>
        <v/>
      </c>
      <c r="P1056" t="str">
        <f>IF(O1056=1,COUNTIF($O$2:O1056,1),"")</f>
        <v/>
      </c>
      <c r="Q1056" t="str">
        <f>IFERROR(INDEX($M$2:$M$2388,MATCH(ROWS($P$2:P1056),$P$2:$P$2388,0)),"")</f>
        <v/>
      </c>
    </row>
    <row r="1057" spans="1:17" ht="15" x14ac:dyDescent="0.25">
      <c r="A1057" s="10">
        <v>936</v>
      </c>
      <c r="B1057" s="10" t="s">
        <v>4068</v>
      </c>
      <c r="C1057" s="880">
        <f t="shared" si="81"/>
        <v>106.8186</v>
      </c>
      <c r="D1057" s="880">
        <f t="shared" si="82"/>
        <v>-6.4</v>
      </c>
      <c r="E1057" s="10">
        <v>106.818611</v>
      </c>
      <c r="F1057" s="10">
        <v>-6.4</v>
      </c>
      <c r="G1057" s="10">
        <v>7</v>
      </c>
      <c r="H1057" s="10" t="s">
        <v>2363</v>
      </c>
      <c r="I1057" s="10" t="s">
        <v>1040</v>
      </c>
      <c r="J1057" s="10" t="s">
        <v>4034</v>
      </c>
      <c r="K1057" s="10" t="s">
        <v>4044</v>
      </c>
      <c r="L1057" s="65" t="str">
        <f t="shared" si="83"/>
        <v>Depok|Indonesia|106,818611|-6,400000|+7:00 Asia</v>
      </c>
      <c r="M1057" s="10" t="s">
        <v>4069</v>
      </c>
      <c r="N1057" s="10">
        <f t="shared" si="80"/>
        <v>0</v>
      </c>
      <c r="O1057" t="str">
        <f t="shared" si="84"/>
        <v/>
      </c>
      <c r="P1057" t="str">
        <f>IF(O1057=1,COUNTIF($O$2:O1057,1),"")</f>
        <v/>
      </c>
      <c r="Q1057" t="str">
        <f>IFERROR(INDEX($M$2:$M$2388,MATCH(ROWS($P$2:P1057),$P$2:$P$2388,0)),"")</f>
        <v/>
      </c>
    </row>
    <row r="1058" spans="1:17" ht="15" x14ac:dyDescent="0.25">
      <c r="A1058" s="10">
        <v>935</v>
      </c>
      <c r="B1058" s="10" t="s">
        <v>4070</v>
      </c>
      <c r="C1058" s="880">
        <f t="shared" si="81"/>
        <v>106.82940000000001</v>
      </c>
      <c r="D1058" s="880">
        <f t="shared" si="82"/>
        <v>-6.1744000000000003</v>
      </c>
      <c r="E1058" s="10">
        <v>106.82944500000001</v>
      </c>
      <c r="F1058" s="10">
        <v>-6.1744440000000003</v>
      </c>
      <c r="G1058" s="10">
        <v>7</v>
      </c>
      <c r="H1058" s="10" t="s">
        <v>2363</v>
      </c>
      <c r="I1058" s="10" t="s">
        <v>1040</v>
      </c>
      <c r="J1058" s="10" t="s">
        <v>4034</v>
      </c>
      <c r="K1058" s="10" t="s">
        <v>4044</v>
      </c>
      <c r="L1058" s="65" t="str">
        <f t="shared" si="83"/>
        <v>Jakarta|Indonesia|106,829445|-6,174444|+7:00 Asia</v>
      </c>
      <c r="M1058" s="10" t="s">
        <v>4071</v>
      </c>
      <c r="N1058" s="10">
        <f t="shared" si="80"/>
        <v>0</v>
      </c>
      <c r="O1058" t="str">
        <f t="shared" si="84"/>
        <v/>
      </c>
      <c r="P1058" t="str">
        <f>IF(O1058=1,COUNTIF($O$2:O1058,1),"")</f>
        <v/>
      </c>
      <c r="Q1058" t="str">
        <f>IFERROR(INDEX($M$2:$M$2388,MATCH(ROWS($P$2:P1058),$P$2:$P$2388,0)),"")</f>
        <v/>
      </c>
    </row>
    <row r="1059" spans="1:17" ht="15" x14ac:dyDescent="0.25">
      <c r="A1059" s="10">
        <v>934</v>
      </c>
      <c r="B1059" s="10" t="s">
        <v>4072</v>
      </c>
      <c r="C1059" s="880">
        <f t="shared" si="81"/>
        <v>103.61660000000001</v>
      </c>
      <c r="D1059" s="880">
        <f t="shared" si="82"/>
        <v>-1.6</v>
      </c>
      <c r="E1059" s="10">
        <v>103.616669</v>
      </c>
      <c r="F1059" s="10">
        <v>-1.6</v>
      </c>
      <c r="G1059" s="10">
        <v>7</v>
      </c>
      <c r="H1059" s="10" t="s">
        <v>2363</v>
      </c>
      <c r="I1059" s="10" t="s">
        <v>1040</v>
      </c>
      <c r="J1059" s="10" t="s">
        <v>4034</v>
      </c>
      <c r="K1059" s="10" t="s">
        <v>4044</v>
      </c>
      <c r="L1059" s="65" t="str">
        <f t="shared" si="83"/>
        <v>Jambi|Indonesia|103,616669|-1,600000|+7:00 Asia</v>
      </c>
      <c r="M1059" s="10" t="s">
        <v>4073</v>
      </c>
      <c r="N1059" s="10">
        <f t="shared" si="80"/>
        <v>0</v>
      </c>
      <c r="O1059" t="str">
        <f t="shared" si="84"/>
        <v/>
      </c>
      <c r="P1059" t="str">
        <f>IF(O1059=1,COUNTIF($O$2:O1059,1),"")</f>
        <v/>
      </c>
      <c r="Q1059" t="str">
        <f>IFERROR(INDEX($M$2:$M$2388,MATCH(ROWS($P$2:P1059),$P$2:$P$2388,0)),"")</f>
        <v/>
      </c>
    </row>
    <row r="1060" spans="1:17" ht="15" x14ac:dyDescent="0.25">
      <c r="A1060" s="10">
        <v>933</v>
      </c>
      <c r="B1060" s="10" t="s">
        <v>4074</v>
      </c>
      <c r="C1060" s="880">
        <f t="shared" si="81"/>
        <v>113.70310000000001</v>
      </c>
      <c r="D1060" s="880">
        <f t="shared" si="82"/>
        <v>-8.1660000000000004</v>
      </c>
      <c r="E1060" s="10">
        <v>113.703171</v>
      </c>
      <c r="F1060" s="10">
        <v>-8.1660389999999996</v>
      </c>
      <c r="G1060" s="10">
        <v>8</v>
      </c>
      <c r="H1060" s="10" t="s">
        <v>1831</v>
      </c>
      <c r="I1060" s="10" t="s">
        <v>1040</v>
      </c>
      <c r="J1060" s="10" t="s">
        <v>4034</v>
      </c>
      <c r="K1060" s="10" t="s">
        <v>4038</v>
      </c>
      <c r="L1060" s="65" t="str">
        <f t="shared" si="83"/>
        <v>Jember|Indonesia|113,703171|-8,166039|+8:00 Asia</v>
      </c>
      <c r="M1060" s="10" t="s">
        <v>4075</v>
      </c>
      <c r="N1060" s="10">
        <f t="shared" si="80"/>
        <v>0</v>
      </c>
      <c r="O1060" t="str">
        <f t="shared" si="84"/>
        <v/>
      </c>
      <c r="P1060" t="str">
        <f>IF(O1060=1,COUNTIF($O$2:O1060,1),"")</f>
        <v/>
      </c>
      <c r="Q1060" t="str">
        <f>IFERROR(INDEX($M$2:$M$2388,MATCH(ROWS($P$2:P1060),$P$2:$P$2388,0)),"")</f>
        <v/>
      </c>
    </row>
    <row r="1061" spans="1:17" ht="15" x14ac:dyDescent="0.25">
      <c r="A1061" s="10">
        <v>932</v>
      </c>
      <c r="B1061" s="10" t="s">
        <v>4076</v>
      </c>
      <c r="C1061" s="880">
        <f t="shared" si="81"/>
        <v>112.0166</v>
      </c>
      <c r="D1061" s="880">
        <f t="shared" si="82"/>
        <v>-7.8166000000000002</v>
      </c>
      <c r="E1061" s="10">
        <v>112.01667</v>
      </c>
      <c r="F1061" s="10">
        <v>-7.8166669999999998</v>
      </c>
      <c r="G1061" s="10">
        <v>7</v>
      </c>
      <c r="H1061" s="10" t="s">
        <v>2363</v>
      </c>
      <c r="I1061" s="10" t="s">
        <v>1040</v>
      </c>
      <c r="J1061" s="10" t="s">
        <v>4034</v>
      </c>
      <c r="K1061" s="10" t="s">
        <v>4044</v>
      </c>
      <c r="L1061" s="65" t="str">
        <f t="shared" si="83"/>
        <v>Kediri|Indonesia|112,016670|-7,816667|+7:00 Asia</v>
      </c>
      <c r="M1061" s="10" t="s">
        <v>4077</v>
      </c>
      <c r="N1061" s="10">
        <f t="shared" si="80"/>
        <v>0</v>
      </c>
      <c r="O1061" t="str">
        <f t="shared" si="84"/>
        <v/>
      </c>
      <c r="P1061" t="str">
        <f>IF(O1061=1,COUNTIF($O$2:O1061,1),"")</f>
        <v/>
      </c>
      <c r="Q1061" t="str">
        <f>IFERROR(INDEX($M$2:$M$2388,MATCH(ROWS($P$2:P1061),$P$2:$P$2388,0)),"")</f>
        <v/>
      </c>
    </row>
    <row r="1062" spans="1:17" ht="15" x14ac:dyDescent="0.25">
      <c r="A1062" s="10">
        <v>950</v>
      </c>
      <c r="B1062" s="10" t="s">
        <v>4078</v>
      </c>
      <c r="C1062" s="880">
        <f t="shared" si="81"/>
        <v>123.58329999999999</v>
      </c>
      <c r="D1062" s="880">
        <f t="shared" si="82"/>
        <v>-10.166600000000001</v>
      </c>
      <c r="E1062" s="10">
        <v>123.583336</v>
      </c>
      <c r="F1062" s="10">
        <v>-10.166667</v>
      </c>
      <c r="G1062" s="10">
        <v>8</v>
      </c>
      <c r="H1062" s="10" t="s">
        <v>1831</v>
      </c>
      <c r="I1062" s="10" t="s">
        <v>1040</v>
      </c>
      <c r="J1062" s="10" t="s">
        <v>4034</v>
      </c>
      <c r="K1062" s="10" t="s">
        <v>4038</v>
      </c>
      <c r="L1062" s="65" t="str">
        <f t="shared" si="83"/>
        <v>Kupang|Indonesia|123,583336|-10,166667|+8:00 Asia</v>
      </c>
      <c r="M1062" s="10" t="s">
        <v>4079</v>
      </c>
      <c r="N1062" s="10">
        <f t="shared" si="80"/>
        <v>0</v>
      </c>
      <c r="O1062" t="str">
        <f t="shared" si="84"/>
        <v/>
      </c>
      <c r="P1062" t="str">
        <f>IF(O1062=1,COUNTIF($O$2:O1062,1),"")</f>
        <v/>
      </c>
      <c r="Q1062" t="str">
        <f>IFERROR(INDEX($M$2:$M$2388,MATCH(ROWS($P$2:P1062),$P$2:$P$2388,0)),"")</f>
        <v/>
      </c>
    </row>
    <row r="1063" spans="1:17" ht="15" x14ac:dyDescent="0.25">
      <c r="A1063" s="10">
        <v>931</v>
      </c>
      <c r="B1063" s="10" t="s">
        <v>4080</v>
      </c>
      <c r="C1063" s="880">
        <f t="shared" si="81"/>
        <v>117.095</v>
      </c>
      <c r="D1063" s="880">
        <f t="shared" si="82"/>
        <v>-0.58289999999999997</v>
      </c>
      <c r="E1063" s="10">
        <v>117.095032</v>
      </c>
      <c r="F1063" s="10">
        <v>-0.58295200000000003</v>
      </c>
      <c r="G1063" s="10">
        <v>8</v>
      </c>
      <c r="H1063" s="10" t="s">
        <v>1831</v>
      </c>
      <c r="I1063" s="10" t="s">
        <v>1040</v>
      </c>
      <c r="J1063" s="10" t="s">
        <v>4034</v>
      </c>
      <c r="K1063" s="10" t="s">
        <v>4038</v>
      </c>
      <c r="L1063" s="65" t="str">
        <f t="shared" si="83"/>
        <v>Loa Janan|Indonesia|117,095032|-0,582952|+8:00 Asia</v>
      </c>
      <c r="M1063" s="10" t="s">
        <v>4081</v>
      </c>
      <c r="N1063" s="10">
        <f t="shared" si="80"/>
        <v>0</v>
      </c>
      <c r="O1063" t="str">
        <f t="shared" si="84"/>
        <v/>
      </c>
      <c r="P1063" t="str">
        <f>IF(O1063=1,COUNTIF($O$2:O1063,1),"")</f>
        <v/>
      </c>
      <c r="Q1063" t="str">
        <f>IFERROR(INDEX($M$2:$M$2388,MATCH(ROWS($P$2:P1063),$P$2:$P$2388,0)),"")</f>
        <v/>
      </c>
    </row>
    <row r="1064" spans="1:17" ht="15" x14ac:dyDescent="0.25">
      <c r="A1064" s="10">
        <v>899</v>
      </c>
      <c r="B1064" s="10" t="s">
        <v>4082</v>
      </c>
      <c r="C1064" s="880">
        <f t="shared" si="81"/>
        <v>99.783299999999997</v>
      </c>
      <c r="D1064" s="880">
        <f t="shared" si="82"/>
        <v>2.4500000000000002</v>
      </c>
      <c r="E1064" s="10">
        <v>99.783332999999999</v>
      </c>
      <c r="F1064" s="10">
        <v>2.4500000000000002</v>
      </c>
      <c r="G1064" s="10">
        <v>8</v>
      </c>
      <c r="H1064" s="10" t="s">
        <v>1831</v>
      </c>
      <c r="I1064" s="10" t="s">
        <v>1040</v>
      </c>
      <c r="J1064" s="10" t="s">
        <v>4034</v>
      </c>
      <c r="K1064" s="10" t="s">
        <v>4038</v>
      </c>
      <c r="L1064" s="65" t="str">
        <f t="shared" si="83"/>
        <v>Makassar|Indonesia|99,783333|2,450000|+8:00 Asia</v>
      </c>
      <c r="M1064" s="10" t="s">
        <v>4083</v>
      </c>
      <c r="N1064" s="10">
        <f t="shared" si="80"/>
        <v>0</v>
      </c>
      <c r="O1064" t="str">
        <f t="shared" si="84"/>
        <v/>
      </c>
      <c r="P1064" t="str">
        <f>IF(O1064=1,COUNTIF($O$2:O1064,1),"")</f>
        <v/>
      </c>
      <c r="Q1064" t="str">
        <f>IFERROR(INDEX($M$2:$M$2388,MATCH(ROWS($P$2:P1064),$P$2:$P$2388,0)),"")</f>
        <v/>
      </c>
    </row>
    <row r="1065" spans="1:17" ht="15" x14ac:dyDescent="0.25">
      <c r="A1065" s="10">
        <v>908</v>
      </c>
      <c r="B1065" s="10" t="s">
        <v>4082</v>
      </c>
      <c r="C1065" s="880">
        <f t="shared" si="81"/>
        <v>119.43859999999999</v>
      </c>
      <c r="D1065" s="880">
        <f t="shared" si="82"/>
        <v>-5.1463000000000001</v>
      </c>
      <c r="E1065" s="10">
        <v>119.438614</v>
      </c>
      <c r="F1065" s="10">
        <v>-5.1463890000000001</v>
      </c>
      <c r="G1065" s="10">
        <v>8</v>
      </c>
      <c r="H1065" s="10" t="s">
        <v>1831</v>
      </c>
      <c r="I1065" s="10" t="s">
        <v>1040</v>
      </c>
      <c r="J1065" s="10" t="s">
        <v>4034</v>
      </c>
      <c r="K1065" s="10" t="s">
        <v>4038</v>
      </c>
      <c r="L1065" s="65" t="str">
        <f t="shared" si="83"/>
        <v>Makassar|Indonesia|119,438614|-5,146389|+8:00 Asia</v>
      </c>
      <c r="M1065" s="10" t="s">
        <v>4084</v>
      </c>
      <c r="N1065" s="10">
        <f t="shared" si="80"/>
        <v>0</v>
      </c>
      <c r="O1065" t="str">
        <f t="shared" si="84"/>
        <v/>
      </c>
      <c r="P1065" t="str">
        <f>IF(O1065=1,COUNTIF($O$2:O1065,1),"")</f>
        <v/>
      </c>
      <c r="Q1065" t="str">
        <f>IFERROR(INDEX($M$2:$M$2388,MATCH(ROWS($P$2:P1065),$P$2:$P$2388,0)),"")</f>
        <v/>
      </c>
    </row>
    <row r="1066" spans="1:17" ht="15" x14ac:dyDescent="0.25">
      <c r="A1066" s="10">
        <v>930</v>
      </c>
      <c r="B1066" s="10" t="s">
        <v>4085</v>
      </c>
      <c r="C1066" s="880">
        <f t="shared" si="81"/>
        <v>112.628</v>
      </c>
      <c r="D1066" s="880">
        <f t="shared" si="82"/>
        <v>-7.9776999999999996</v>
      </c>
      <c r="E1066" s="10">
        <v>112.62805899999999</v>
      </c>
      <c r="F1066" s="10">
        <v>-7.9777779999999998</v>
      </c>
      <c r="G1066" s="10">
        <v>7</v>
      </c>
      <c r="H1066" s="10" t="s">
        <v>2363</v>
      </c>
      <c r="I1066" s="10" t="s">
        <v>1040</v>
      </c>
      <c r="J1066" s="10" t="s">
        <v>4034</v>
      </c>
      <c r="K1066" s="10" t="s">
        <v>4044</v>
      </c>
      <c r="L1066" s="65" t="str">
        <f t="shared" si="83"/>
        <v>Malang|Indonesia|112,628059|-7,977778|+7:00 Asia</v>
      </c>
      <c r="M1066" s="10" t="s">
        <v>4086</v>
      </c>
      <c r="N1066" s="10">
        <f t="shared" si="80"/>
        <v>0</v>
      </c>
      <c r="O1066" t="str">
        <f t="shared" si="84"/>
        <v/>
      </c>
      <c r="P1066" t="str">
        <f>IF(O1066=1,COUNTIF($O$2:O1066,1),"")</f>
        <v/>
      </c>
      <c r="Q1066" t="str">
        <f>IFERROR(INDEX($M$2:$M$2388,MATCH(ROWS($P$2:P1066),$P$2:$P$2388,0)),"")</f>
        <v/>
      </c>
    </row>
    <row r="1067" spans="1:17" ht="15" x14ac:dyDescent="0.25">
      <c r="A1067" s="10">
        <v>929</v>
      </c>
      <c r="B1067" s="10" t="s">
        <v>4087</v>
      </c>
      <c r="C1067" s="880">
        <f t="shared" si="81"/>
        <v>124.8441</v>
      </c>
      <c r="D1067" s="880">
        <f t="shared" si="82"/>
        <v>1.5016</v>
      </c>
      <c r="E1067" s="10">
        <v>124.84417000000001</v>
      </c>
      <c r="F1067" s="10">
        <v>1.5016670000000001</v>
      </c>
      <c r="G1067" s="10">
        <v>8</v>
      </c>
      <c r="H1067" s="10" t="s">
        <v>1831</v>
      </c>
      <c r="I1067" s="10" t="s">
        <v>1040</v>
      </c>
      <c r="J1067" s="10" t="s">
        <v>4034</v>
      </c>
      <c r="K1067" s="10" t="s">
        <v>4038</v>
      </c>
      <c r="L1067" s="65" t="str">
        <f t="shared" si="83"/>
        <v>Manado|Indonesia|124,844170|1,501667|+8:00 Asia</v>
      </c>
      <c r="M1067" s="10" t="s">
        <v>4088</v>
      </c>
      <c r="N1067" s="10">
        <f t="shared" si="80"/>
        <v>0</v>
      </c>
      <c r="O1067" t="str">
        <f t="shared" si="84"/>
        <v/>
      </c>
      <c r="P1067" t="str">
        <f>IF(O1067=1,COUNTIF($O$2:O1067,1),"")</f>
        <v/>
      </c>
      <c r="Q1067" t="str">
        <f>IFERROR(INDEX($M$2:$M$2388,MATCH(ROWS($P$2:P1067),$P$2:$P$2388,0)),"")</f>
        <v/>
      </c>
    </row>
    <row r="1068" spans="1:17" ht="15" x14ac:dyDescent="0.25">
      <c r="A1068" s="10">
        <v>928</v>
      </c>
      <c r="B1068" s="10" t="s">
        <v>4089</v>
      </c>
      <c r="C1068" s="880">
        <f t="shared" si="81"/>
        <v>116.11660000000001</v>
      </c>
      <c r="D1068" s="880">
        <f t="shared" si="82"/>
        <v>-8.5832999999999995</v>
      </c>
      <c r="E1068" s="10">
        <v>116.116669</v>
      </c>
      <c r="F1068" s="10">
        <v>-8.5833329999999997</v>
      </c>
      <c r="G1068" s="10">
        <v>8</v>
      </c>
      <c r="H1068" s="10" t="s">
        <v>1831</v>
      </c>
      <c r="I1068" s="10" t="s">
        <v>1040</v>
      </c>
      <c r="J1068" s="10" t="s">
        <v>4034</v>
      </c>
      <c r="K1068" s="10" t="s">
        <v>4038</v>
      </c>
      <c r="L1068" s="65" t="str">
        <f t="shared" si="83"/>
        <v>Mataram|Indonesia|116,116669|-8,583333|+8:00 Asia</v>
      </c>
      <c r="M1068" s="10" t="s">
        <v>4090</v>
      </c>
      <c r="N1068" s="10">
        <f t="shared" si="80"/>
        <v>0</v>
      </c>
      <c r="O1068" t="str">
        <f t="shared" si="84"/>
        <v/>
      </c>
      <c r="P1068" t="str">
        <f>IF(O1068=1,COUNTIF($O$2:O1068,1),"")</f>
        <v/>
      </c>
      <c r="Q1068" t="str">
        <f>IFERROR(INDEX($M$2:$M$2388,MATCH(ROWS($P$2:P1068),$P$2:$P$2388,0)),"")</f>
        <v/>
      </c>
    </row>
    <row r="1069" spans="1:17" ht="15" x14ac:dyDescent="0.25">
      <c r="A1069" s="10">
        <v>904</v>
      </c>
      <c r="B1069" s="10" t="s">
        <v>4091</v>
      </c>
      <c r="C1069" s="880">
        <f t="shared" si="81"/>
        <v>98.666600000000003</v>
      </c>
      <c r="D1069" s="880">
        <f t="shared" si="82"/>
        <v>3.5832999999999999</v>
      </c>
      <c r="E1069" s="10">
        <v>98.666663999999997</v>
      </c>
      <c r="F1069" s="10">
        <v>3.5833330000000001</v>
      </c>
      <c r="G1069" s="10">
        <v>7</v>
      </c>
      <c r="H1069" s="10" t="s">
        <v>2363</v>
      </c>
      <c r="I1069" s="10" t="s">
        <v>1040</v>
      </c>
      <c r="J1069" s="10" t="s">
        <v>4034</v>
      </c>
      <c r="K1069" s="10" t="s">
        <v>4044</v>
      </c>
      <c r="L1069" s="65" t="str">
        <f t="shared" si="83"/>
        <v>Medan|Indonesia|98,666664|3,583333|+7:00 Asia</v>
      </c>
      <c r="M1069" s="10" t="s">
        <v>4092</v>
      </c>
      <c r="N1069" s="10">
        <f t="shared" si="80"/>
        <v>0</v>
      </c>
      <c r="O1069" t="str">
        <f t="shared" si="84"/>
        <v/>
      </c>
      <c r="P1069" t="str">
        <f>IF(O1069=1,COUNTIF($O$2:O1069,1),"")</f>
        <v/>
      </c>
      <c r="Q1069" t="str">
        <f>IFERROR(INDEX($M$2:$M$2388,MATCH(ROWS($P$2:P1069),$P$2:$P$2388,0)),"")</f>
        <v/>
      </c>
    </row>
    <row r="1070" spans="1:17" ht="15" x14ac:dyDescent="0.25">
      <c r="A1070" s="10">
        <v>927</v>
      </c>
      <c r="B1070" s="10" t="s">
        <v>4093</v>
      </c>
      <c r="C1070" s="880">
        <f t="shared" si="81"/>
        <v>100.35420000000001</v>
      </c>
      <c r="D1070" s="880">
        <f t="shared" si="82"/>
        <v>-0.94920000000000004</v>
      </c>
      <c r="E1070" s="10">
        <v>100.354271</v>
      </c>
      <c r="F1070" s="10">
        <v>-0.94924399999999998</v>
      </c>
      <c r="G1070" s="10">
        <v>7</v>
      </c>
      <c r="H1070" s="10" t="s">
        <v>2363</v>
      </c>
      <c r="I1070" s="10" t="s">
        <v>1040</v>
      </c>
      <c r="J1070" s="10" t="s">
        <v>4034</v>
      </c>
      <c r="K1070" s="10" t="s">
        <v>4044</v>
      </c>
      <c r="L1070" s="65" t="str">
        <f t="shared" si="83"/>
        <v>Padang|Indonesia|100,354271|-0,949244|+7:00 Asia</v>
      </c>
      <c r="M1070" s="10" t="s">
        <v>4094</v>
      </c>
      <c r="N1070" s="10">
        <f t="shared" si="80"/>
        <v>0</v>
      </c>
      <c r="O1070" t="str">
        <f t="shared" si="84"/>
        <v/>
      </c>
      <c r="P1070" t="str">
        <f>IF(O1070=1,COUNTIF($O$2:O1070,1),"")</f>
        <v/>
      </c>
      <c r="Q1070" t="str">
        <f>IFERROR(INDEX($M$2:$M$2388,MATCH(ROWS($P$2:P1070),$P$2:$P$2388,0)),"")</f>
        <v/>
      </c>
    </row>
    <row r="1071" spans="1:17" ht="15" x14ac:dyDescent="0.25">
      <c r="A1071" s="10">
        <v>926</v>
      </c>
      <c r="B1071" s="10" t="s">
        <v>4095</v>
      </c>
      <c r="C1071" s="880">
        <f t="shared" si="81"/>
        <v>104.7457</v>
      </c>
      <c r="D1071" s="880">
        <f t="shared" si="82"/>
        <v>-2.9167000000000001</v>
      </c>
      <c r="E1071" s="10">
        <v>104.745796</v>
      </c>
      <c r="F1071" s="10">
        <v>-2.916725</v>
      </c>
      <c r="G1071" s="10">
        <v>7</v>
      </c>
      <c r="H1071" s="10" t="s">
        <v>2363</v>
      </c>
      <c r="I1071" s="10" t="s">
        <v>1040</v>
      </c>
      <c r="J1071" s="10" t="s">
        <v>4034</v>
      </c>
      <c r="K1071" s="10" t="s">
        <v>4044</v>
      </c>
      <c r="L1071" s="65" t="str">
        <f t="shared" si="83"/>
        <v>Palembang|Indonesia|104,745796|-2,916725|+7:00 Asia</v>
      </c>
      <c r="M1071" s="10" t="s">
        <v>4096</v>
      </c>
      <c r="N1071" s="10">
        <f t="shared" si="80"/>
        <v>0</v>
      </c>
      <c r="O1071" t="str">
        <f t="shared" si="84"/>
        <v/>
      </c>
      <c r="P1071" t="str">
        <f>IF(O1071=1,COUNTIF($O$2:O1071,1),"")</f>
        <v/>
      </c>
      <c r="Q1071" t="str">
        <f>IFERROR(INDEX($M$2:$M$2388,MATCH(ROWS($P$2:P1071),$P$2:$P$2388,0)),"")</f>
        <v/>
      </c>
    </row>
    <row r="1072" spans="1:17" ht="15" x14ac:dyDescent="0.25">
      <c r="A1072" s="10">
        <v>925</v>
      </c>
      <c r="B1072" s="10" t="s">
        <v>4097</v>
      </c>
      <c r="C1072" s="880">
        <f t="shared" si="81"/>
        <v>119.8597</v>
      </c>
      <c r="D1072" s="880">
        <f t="shared" si="82"/>
        <v>-0.90159999999999996</v>
      </c>
      <c r="E1072" s="10">
        <v>119.85972599999999</v>
      </c>
      <c r="F1072" s="10">
        <v>-0.901667</v>
      </c>
      <c r="G1072" s="10">
        <v>8</v>
      </c>
      <c r="H1072" s="10" t="s">
        <v>1831</v>
      </c>
      <c r="I1072" s="10" t="s">
        <v>1040</v>
      </c>
      <c r="J1072" s="10" t="s">
        <v>4034</v>
      </c>
      <c r="K1072" s="10" t="s">
        <v>4038</v>
      </c>
      <c r="L1072" s="65" t="str">
        <f t="shared" si="83"/>
        <v>Palu|Indonesia|119,859726|-0,901667|+8:00 Asia</v>
      </c>
      <c r="M1072" s="10" t="s">
        <v>4098</v>
      </c>
      <c r="N1072" s="10">
        <f t="shared" si="80"/>
        <v>0</v>
      </c>
      <c r="O1072" t="str">
        <f t="shared" si="84"/>
        <v/>
      </c>
      <c r="P1072" t="str">
        <f>IF(O1072=1,COUNTIF($O$2:O1072,1),"")</f>
        <v/>
      </c>
      <c r="Q1072" t="str">
        <f>IFERROR(INDEX($M$2:$M$2388,MATCH(ROWS($P$2:P1072),$P$2:$P$2388,0)),"")</f>
        <v/>
      </c>
    </row>
    <row r="1073" spans="1:17" ht="15" x14ac:dyDescent="0.25">
      <c r="A1073" s="10">
        <v>924</v>
      </c>
      <c r="B1073" s="10" t="s">
        <v>4099</v>
      </c>
      <c r="C1073" s="880">
        <f t="shared" si="81"/>
        <v>109.6666</v>
      </c>
      <c r="D1073" s="880">
        <f t="shared" si="82"/>
        <v>-6.8833000000000002</v>
      </c>
      <c r="E1073" s="10">
        <v>109.666664</v>
      </c>
      <c r="F1073" s="10">
        <v>-6.8833330000000004</v>
      </c>
      <c r="G1073" s="10">
        <v>7</v>
      </c>
      <c r="H1073" s="10" t="s">
        <v>2363</v>
      </c>
      <c r="I1073" s="10" t="s">
        <v>1040</v>
      </c>
      <c r="J1073" s="10" t="s">
        <v>4034</v>
      </c>
      <c r="K1073" s="10" t="s">
        <v>4044</v>
      </c>
      <c r="L1073" s="65" t="str">
        <f t="shared" si="83"/>
        <v>Pekalongan|Indonesia|109,666664|-6,883333|+7:00 Asia</v>
      </c>
      <c r="M1073" s="10" t="s">
        <v>4100</v>
      </c>
      <c r="N1073" s="10">
        <f t="shared" si="80"/>
        <v>0</v>
      </c>
      <c r="O1073" t="str">
        <f t="shared" si="84"/>
        <v/>
      </c>
      <c r="P1073" t="str">
        <f>IF(O1073=1,COUNTIF($O$2:O1073,1),"")</f>
        <v/>
      </c>
      <c r="Q1073" t="str">
        <f>IFERROR(INDEX($M$2:$M$2388,MATCH(ROWS($P$2:P1073),$P$2:$P$2388,0)),"")</f>
        <v/>
      </c>
    </row>
    <row r="1074" spans="1:17" ht="15" x14ac:dyDescent="0.25">
      <c r="A1074" s="10">
        <v>903</v>
      </c>
      <c r="B1074" s="10" t="s">
        <v>4101</v>
      </c>
      <c r="C1074" s="880">
        <f t="shared" si="81"/>
        <v>99.05</v>
      </c>
      <c r="D1074" s="880">
        <f t="shared" si="82"/>
        <v>2.95</v>
      </c>
      <c r="E1074" s="10">
        <v>99.050003000000004</v>
      </c>
      <c r="F1074" s="10">
        <v>2.95</v>
      </c>
      <c r="G1074" s="10">
        <v>7</v>
      </c>
      <c r="H1074" s="10" t="s">
        <v>2363</v>
      </c>
      <c r="I1074" s="10" t="s">
        <v>1040</v>
      </c>
      <c r="J1074" s="10" t="s">
        <v>4034</v>
      </c>
      <c r="K1074" s="10" t="s">
        <v>4044</v>
      </c>
      <c r="L1074" s="65" t="str">
        <f t="shared" si="83"/>
        <v>Pematangsiantar|Indonesia|99,050003|2,950000|+7:00 Asia</v>
      </c>
      <c r="M1074" s="10" t="s">
        <v>4102</v>
      </c>
      <c r="N1074" s="10">
        <f t="shared" si="80"/>
        <v>0</v>
      </c>
      <c r="O1074" t="str">
        <f t="shared" si="84"/>
        <v/>
      </c>
      <c r="P1074" t="str">
        <f>IF(O1074=1,COUNTIF($O$2:O1074,1),"")</f>
        <v/>
      </c>
      <c r="Q1074" t="str">
        <f>IFERROR(INDEX($M$2:$M$2388,MATCH(ROWS($P$2:P1074),$P$2:$P$2388,0)),"")</f>
        <v/>
      </c>
    </row>
    <row r="1075" spans="1:17" ht="15" x14ac:dyDescent="0.25">
      <c r="A1075" s="10">
        <v>902</v>
      </c>
      <c r="B1075" s="10" t="s">
        <v>4103</v>
      </c>
      <c r="C1075" s="880">
        <f t="shared" si="81"/>
        <v>98.75</v>
      </c>
      <c r="D1075" s="880">
        <f t="shared" si="82"/>
        <v>3.6833</v>
      </c>
      <c r="E1075" s="10">
        <v>98.75</v>
      </c>
      <c r="F1075" s="10">
        <v>3.6833330000000002</v>
      </c>
      <c r="G1075" s="10">
        <v>7</v>
      </c>
      <c r="H1075" s="10" t="s">
        <v>2363</v>
      </c>
      <c r="I1075" s="10" t="s">
        <v>1040</v>
      </c>
      <c r="J1075" s="10" t="s">
        <v>4034</v>
      </c>
      <c r="K1075" s="10" t="s">
        <v>4041</v>
      </c>
      <c r="L1075" s="65" t="str">
        <f t="shared" si="83"/>
        <v>Percut|Indonesia|98,750000|3,683333|+7:00 Asia</v>
      </c>
      <c r="M1075" s="10" t="s">
        <v>4104</v>
      </c>
      <c r="N1075" s="10">
        <f t="shared" si="80"/>
        <v>0</v>
      </c>
      <c r="O1075" t="str">
        <f t="shared" si="84"/>
        <v/>
      </c>
      <c r="P1075" t="str">
        <f>IF(O1075=1,COUNTIF($O$2:O1075,1),"")</f>
        <v/>
      </c>
      <c r="Q1075" t="str">
        <f>IFERROR(INDEX($M$2:$M$2388,MATCH(ROWS($P$2:P1075),$P$2:$P$2388,0)),"")</f>
        <v/>
      </c>
    </row>
    <row r="1076" spans="1:17" ht="15" x14ac:dyDescent="0.25">
      <c r="A1076" s="10">
        <v>923</v>
      </c>
      <c r="B1076" s="10" t="s">
        <v>4105</v>
      </c>
      <c r="C1076" s="880">
        <f t="shared" si="81"/>
        <v>109.33329999999999</v>
      </c>
      <c r="D1076" s="880">
        <f t="shared" si="82"/>
        <v>-3.3300000000000003E-2</v>
      </c>
      <c r="E1076" s="10">
        <v>109.333336</v>
      </c>
      <c r="F1076" s="10">
        <v>-3.3333000000000002E-2</v>
      </c>
      <c r="G1076" s="10">
        <v>7</v>
      </c>
      <c r="H1076" s="10" t="s">
        <v>2363</v>
      </c>
      <c r="I1076" s="10" t="s">
        <v>1040</v>
      </c>
      <c r="J1076" s="10" t="s">
        <v>4034</v>
      </c>
      <c r="K1076" s="10" t="s">
        <v>4041</v>
      </c>
      <c r="L1076" s="65" t="str">
        <f t="shared" si="83"/>
        <v>Pontianak|Indonesia|109,333336|-0,033333|+7:00 Asia</v>
      </c>
      <c r="M1076" s="10" t="s">
        <v>4106</v>
      </c>
      <c r="N1076" s="10">
        <f t="shared" si="80"/>
        <v>0</v>
      </c>
      <c r="O1076" t="str">
        <f t="shared" si="84"/>
        <v/>
      </c>
      <c r="P1076" t="str">
        <f>IF(O1076=1,COUNTIF($O$2:O1076,1),"")</f>
        <v/>
      </c>
      <c r="Q1076" t="str">
        <f>IFERROR(INDEX($M$2:$M$2388,MATCH(ROWS($P$2:P1076),$P$2:$P$2388,0)),"")</f>
        <v/>
      </c>
    </row>
    <row r="1077" spans="1:17" ht="15" x14ac:dyDescent="0.25">
      <c r="A1077" s="10">
        <v>922</v>
      </c>
      <c r="B1077" s="10" t="s">
        <v>4107</v>
      </c>
      <c r="C1077" s="880">
        <f t="shared" si="81"/>
        <v>107.4388</v>
      </c>
      <c r="D1077" s="880">
        <f t="shared" si="82"/>
        <v>-6.5568999999999997</v>
      </c>
      <c r="E1077" s="10">
        <v>107.438889</v>
      </c>
      <c r="F1077" s="10">
        <v>-6.5569439999999997</v>
      </c>
      <c r="G1077" s="10">
        <v>7</v>
      </c>
      <c r="H1077" s="10" t="s">
        <v>2363</v>
      </c>
      <c r="I1077" s="10" t="s">
        <v>1040</v>
      </c>
      <c r="J1077" s="10" t="s">
        <v>4034</v>
      </c>
      <c r="K1077" s="10" t="s">
        <v>4044</v>
      </c>
      <c r="L1077" s="65" t="str">
        <f t="shared" si="83"/>
        <v>Purwakarta|Indonesia|107,438889|-6,556944|+7:00 Asia</v>
      </c>
      <c r="M1077" s="10" t="s">
        <v>4108</v>
      </c>
      <c r="N1077" s="10">
        <f t="shared" si="80"/>
        <v>0</v>
      </c>
      <c r="O1077" t="str">
        <f t="shared" si="84"/>
        <v/>
      </c>
      <c r="P1077" t="str">
        <f>IF(O1077=1,COUNTIF($O$2:O1077,1),"")</f>
        <v/>
      </c>
      <c r="Q1077" t="str">
        <f>IFERROR(INDEX($M$2:$M$2388,MATCH(ROWS($P$2:P1077),$P$2:$P$2388,0)),"")</f>
        <v/>
      </c>
    </row>
    <row r="1078" spans="1:17" ht="15" x14ac:dyDescent="0.25">
      <c r="A1078" s="10">
        <v>921</v>
      </c>
      <c r="B1078" s="10" t="s">
        <v>4109</v>
      </c>
      <c r="C1078" s="880">
        <f t="shared" si="81"/>
        <v>109.23439999999999</v>
      </c>
      <c r="D1078" s="880">
        <f t="shared" si="82"/>
        <v>-7.4212999999999996</v>
      </c>
      <c r="E1078" s="10">
        <v>109.234444</v>
      </c>
      <c r="F1078" s="10">
        <v>-7.4213889999999996</v>
      </c>
      <c r="G1078" s="10">
        <v>7</v>
      </c>
      <c r="H1078" s="10" t="s">
        <v>2363</v>
      </c>
      <c r="I1078" s="10" t="s">
        <v>1040</v>
      </c>
      <c r="J1078" s="10" t="s">
        <v>4034</v>
      </c>
      <c r="K1078" s="10" t="s">
        <v>4044</v>
      </c>
      <c r="L1078" s="65" t="str">
        <f t="shared" si="83"/>
        <v>Purwokerto|Indonesia|109,234444|-7,421389|+7:00 Asia</v>
      </c>
      <c r="M1078" s="10" t="s">
        <v>4110</v>
      </c>
      <c r="N1078" s="10">
        <f t="shared" si="80"/>
        <v>0</v>
      </c>
      <c r="O1078" t="str">
        <f t="shared" si="84"/>
        <v/>
      </c>
      <c r="P1078" t="str">
        <f>IF(O1078=1,COUNTIF($O$2:O1078,1),"")</f>
        <v/>
      </c>
      <c r="Q1078" t="str">
        <f>IFERROR(INDEX($M$2:$M$2388,MATCH(ROWS($P$2:P1078),$P$2:$P$2388,0)),"")</f>
        <v/>
      </c>
    </row>
    <row r="1079" spans="1:17" ht="15" x14ac:dyDescent="0.25">
      <c r="A1079" s="10">
        <v>920</v>
      </c>
      <c r="B1079" s="10" t="s">
        <v>4111</v>
      </c>
      <c r="C1079" s="880">
        <f t="shared" si="81"/>
        <v>107.283</v>
      </c>
      <c r="D1079" s="880">
        <f t="shared" si="82"/>
        <v>-6.1482999999999999</v>
      </c>
      <c r="E1079" s="10">
        <v>107.283058</v>
      </c>
      <c r="F1079" s="10">
        <v>-6.148333</v>
      </c>
      <c r="G1079" s="10">
        <v>7</v>
      </c>
      <c r="H1079" s="10" t="s">
        <v>2363</v>
      </c>
      <c r="I1079" s="10" t="s">
        <v>1040</v>
      </c>
      <c r="J1079" s="10" t="s">
        <v>4034</v>
      </c>
      <c r="K1079" s="10" t="s">
        <v>4044</v>
      </c>
      <c r="L1079" s="65" t="str">
        <f t="shared" si="83"/>
        <v>Rengasdengklok|Indonesia|107,283058|-6,148333|+7:00 Asia</v>
      </c>
      <c r="M1079" s="10" t="s">
        <v>4112</v>
      </c>
      <c r="N1079" s="10">
        <f t="shared" si="80"/>
        <v>0</v>
      </c>
      <c r="O1079" t="str">
        <f t="shared" si="84"/>
        <v/>
      </c>
      <c r="P1079" t="str">
        <f>IF(O1079=1,COUNTIF($O$2:O1079,1),"")</f>
        <v/>
      </c>
      <c r="Q1079" t="str">
        <f>IFERROR(INDEX($M$2:$M$2388,MATCH(ROWS($P$2:P1079),$P$2:$P$2388,0)),"")</f>
        <v/>
      </c>
    </row>
    <row r="1080" spans="1:17" ht="15" x14ac:dyDescent="0.25">
      <c r="A1080" s="10">
        <v>919</v>
      </c>
      <c r="B1080" s="10" t="s">
        <v>4113</v>
      </c>
      <c r="C1080" s="880">
        <f t="shared" si="81"/>
        <v>117.15</v>
      </c>
      <c r="D1080" s="880">
        <f t="shared" si="82"/>
        <v>-0.5</v>
      </c>
      <c r="E1080" s="10">
        <v>117.150002</v>
      </c>
      <c r="F1080" s="10">
        <v>-0.5</v>
      </c>
      <c r="G1080" s="10">
        <v>8</v>
      </c>
      <c r="H1080" s="10" t="s">
        <v>1831</v>
      </c>
      <c r="I1080" s="10" t="s">
        <v>1040</v>
      </c>
      <c r="J1080" s="10" t="s">
        <v>4034</v>
      </c>
      <c r="K1080" s="10" t="s">
        <v>4038</v>
      </c>
      <c r="L1080" s="65" t="str">
        <f t="shared" si="83"/>
        <v>Samarinda|Indonesia|117,150002|-0,500000|+8:00 Asia</v>
      </c>
      <c r="M1080" s="10" t="s">
        <v>4114</v>
      </c>
      <c r="N1080" s="10">
        <f t="shared" si="80"/>
        <v>0</v>
      </c>
      <c r="O1080" t="str">
        <f t="shared" si="84"/>
        <v/>
      </c>
      <c r="P1080" t="str">
        <f>IF(O1080=1,COUNTIF($O$2:O1080,1),"")</f>
        <v/>
      </c>
      <c r="Q1080" t="str">
        <f>IFERROR(INDEX($M$2:$M$2388,MATCH(ROWS($P$2:P1080),$P$2:$P$2388,0)),"")</f>
        <v/>
      </c>
    </row>
    <row r="1081" spans="1:17" ht="15" x14ac:dyDescent="0.25">
      <c r="A1081" s="10">
        <v>918</v>
      </c>
      <c r="B1081" s="10" t="s">
        <v>4115</v>
      </c>
      <c r="C1081" s="880">
        <f t="shared" si="81"/>
        <v>110.4166</v>
      </c>
      <c r="D1081" s="880">
        <f t="shared" si="82"/>
        <v>-6.9665999999999997</v>
      </c>
      <c r="E1081" s="10">
        <v>110.416664</v>
      </c>
      <c r="F1081" s="10">
        <v>-6.9666670000000002</v>
      </c>
      <c r="G1081" s="10">
        <v>7</v>
      </c>
      <c r="H1081" s="10" t="s">
        <v>2363</v>
      </c>
      <c r="I1081" s="10" t="s">
        <v>1040</v>
      </c>
      <c r="J1081" s="10" t="s">
        <v>4034</v>
      </c>
      <c r="K1081" s="10" t="s">
        <v>4044</v>
      </c>
      <c r="L1081" s="65" t="str">
        <f t="shared" si="83"/>
        <v>Semarang|Indonesia|110,416664|-6,966667|+7:00 Asia</v>
      </c>
      <c r="M1081" s="10" t="s">
        <v>4116</v>
      </c>
      <c r="N1081" s="10">
        <f t="shared" si="80"/>
        <v>0</v>
      </c>
      <c r="O1081" t="str">
        <f t="shared" si="84"/>
        <v/>
      </c>
      <c r="P1081" t="str">
        <f>IF(O1081=1,COUNTIF($O$2:O1081,1),"")</f>
        <v/>
      </c>
      <c r="Q1081" t="str">
        <f>IFERROR(INDEX($M$2:$M$2388,MATCH(ROWS($P$2:P1081),$P$2:$P$2388,0)),"")</f>
        <v/>
      </c>
    </row>
    <row r="1082" spans="1:17" ht="15" x14ac:dyDescent="0.25">
      <c r="A1082" s="10">
        <v>917</v>
      </c>
      <c r="B1082" s="10" t="s">
        <v>4117</v>
      </c>
      <c r="C1082" s="880">
        <f t="shared" si="81"/>
        <v>114.0097</v>
      </c>
      <c r="D1082" s="880">
        <f t="shared" si="82"/>
        <v>-7.7061999999999999</v>
      </c>
      <c r="E1082" s="10">
        <v>114.009766</v>
      </c>
      <c r="F1082" s="10">
        <v>-7.7062290000000004</v>
      </c>
      <c r="G1082" s="10">
        <v>8</v>
      </c>
      <c r="H1082" s="10" t="s">
        <v>1831</v>
      </c>
      <c r="I1082" s="10" t="s">
        <v>1040</v>
      </c>
      <c r="J1082" s="10" t="s">
        <v>4034</v>
      </c>
      <c r="K1082" s="10" t="s">
        <v>4038</v>
      </c>
      <c r="L1082" s="65" t="str">
        <f t="shared" si="83"/>
        <v>Situbondo|Indonesia|114,009766|-7,706229|+8:00 Asia</v>
      </c>
      <c r="M1082" s="10" t="s">
        <v>4118</v>
      </c>
      <c r="N1082" s="10">
        <f t="shared" si="80"/>
        <v>0</v>
      </c>
      <c r="O1082" t="str">
        <f t="shared" si="84"/>
        <v/>
      </c>
      <c r="P1082" t="str">
        <f>IF(O1082=1,COUNTIF($O$2:O1082,1),"")</f>
        <v/>
      </c>
      <c r="Q1082" t="str">
        <f>IFERROR(INDEX($M$2:$M$2388,MATCH(ROWS($P$2:P1082),$P$2:$P$2388,0)),"")</f>
        <v/>
      </c>
    </row>
    <row r="1083" spans="1:17" ht="15" x14ac:dyDescent="0.25">
      <c r="A1083" s="10">
        <v>916</v>
      </c>
      <c r="B1083" s="10" t="s">
        <v>4119</v>
      </c>
      <c r="C1083" s="880">
        <f t="shared" si="81"/>
        <v>106.9272</v>
      </c>
      <c r="D1083" s="880">
        <f t="shared" si="82"/>
        <v>-6.9165999999999999</v>
      </c>
      <c r="E1083" s="10">
        <v>106.927223</v>
      </c>
      <c r="F1083" s="10">
        <v>-6.9166670000000003</v>
      </c>
      <c r="G1083" s="10">
        <v>7</v>
      </c>
      <c r="H1083" s="10" t="s">
        <v>2363</v>
      </c>
      <c r="I1083" s="10" t="s">
        <v>1040</v>
      </c>
      <c r="J1083" s="10" t="s">
        <v>4034</v>
      </c>
      <c r="K1083" s="10" t="s">
        <v>4044</v>
      </c>
      <c r="L1083" s="65" t="str">
        <f t="shared" si="83"/>
        <v>Sukabumi|Indonesia|106,927223|-6,916667|+7:00 Asia</v>
      </c>
      <c r="M1083" s="10" t="s">
        <v>4120</v>
      </c>
      <c r="N1083" s="10">
        <f t="shared" si="80"/>
        <v>0</v>
      </c>
      <c r="O1083" t="str">
        <f t="shared" si="84"/>
        <v/>
      </c>
      <c r="P1083" t="str">
        <f>IF(O1083=1,COUNTIF($O$2:O1083,1),"")</f>
        <v/>
      </c>
      <c r="Q1083" t="str">
        <f>IFERROR(INDEX($M$2:$M$2388,MATCH(ROWS($P$2:P1083),$P$2:$P$2388,0)),"")</f>
        <v/>
      </c>
    </row>
    <row r="1084" spans="1:17" ht="15" x14ac:dyDescent="0.25">
      <c r="A1084" s="10">
        <v>915</v>
      </c>
      <c r="B1084" s="10" t="s">
        <v>4121</v>
      </c>
      <c r="C1084" s="880">
        <f t="shared" si="81"/>
        <v>107.9166</v>
      </c>
      <c r="D1084" s="880">
        <f t="shared" si="82"/>
        <v>-6.85</v>
      </c>
      <c r="E1084" s="10">
        <v>107.916664</v>
      </c>
      <c r="F1084" s="10">
        <v>-6.85</v>
      </c>
      <c r="G1084" s="10">
        <v>7</v>
      </c>
      <c r="H1084" s="10" t="s">
        <v>2363</v>
      </c>
      <c r="I1084" s="10" t="s">
        <v>1040</v>
      </c>
      <c r="J1084" s="10" t="s">
        <v>4034</v>
      </c>
      <c r="K1084" s="10" t="s">
        <v>4044</v>
      </c>
      <c r="L1084" s="65" t="str">
        <f t="shared" si="83"/>
        <v>Sumedang Utara|Indonesia|107,916664|-6,850000|+7:00 Asia</v>
      </c>
      <c r="M1084" s="10" t="s">
        <v>4122</v>
      </c>
      <c r="N1084" s="10">
        <f t="shared" si="80"/>
        <v>0</v>
      </c>
      <c r="O1084" t="str">
        <f t="shared" si="84"/>
        <v/>
      </c>
      <c r="P1084" t="str">
        <f>IF(O1084=1,COUNTIF($O$2:O1084,1),"")</f>
        <v/>
      </c>
      <c r="Q1084" t="str">
        <f>IFERROR(INDEX($M$2:$M$2388,MATCH(ROWS($P$2:P1084),$P$2:$P$2388,0)),"")</f>
        <v/>
      </c>
    </row>
    <row r="1085" spans="1:17" ht="15" x14ac:dyDescent="0.25">
      <c r="A1085" s="10">
        <v>914</v>
      </c>
      <c r="B1085" s="10" t="s">
        <v>4123</v>
      </c>
      <c r="C1085" s="880">
        <f t="shared" si="81"/>
        <v>112.7508</v>
      </c>
      <c r="D1085" s="880">
        <f t="shared" si="82"/>
        <v>-7.2491000000000003</v>
      </c>
      <c r="E1085" s="10">
        <v>112.750832</v>
      </c>
      <c r="F1085" s="10">
        <v>-7.2491659999999998</v>
      </c>
      <c r="G1085" s="10">
        <v>8</v>
      </c>
      <c r="H1085" s="10" t="s">
        <v>1831</v>
      </c>
      <c r="I1085" s="10" t="s">
        <v>1040</v>
      </c>
      <c r="J1085" s="10" t="s">
        <v>4034</v>
      </c>
      <c r="K1085" s="10" t="s">
        <v>4038</v>
      </c>
      <c r="L1085" s="65" t="str">
        <f t="shared" si="83"/>
        <v>Surabaya|Indonesia|112,750832|-7,249166|+8:00 Asia</v>
      </c>
      <c r="M1085" s="10" t="s">
        <v>4124</v>
      </c>
      <c r="N1085" s="10">
        <f t="shared" si="80"/>
        <v>0</v>
      </c>
      <c r="O1085" t="str">
        <f t="shared" si="84"/>
        <v/>
      </c>
      <c r="P1085" t="str">
        <f>IF(O1085=1,COUNTIF($O$2:O1085,1),"")</f>
        <v/>
      </c>
      <c r="Q1085" t="str">
        <f>IFERROR(INDEX($M$2:$M$2388,MATCH(ROWS($P$2:P1085),$P$2:$P$2388,0)),"")</f>
        <v/>
      </c>
    </row>
    <row r="1086" spans="1:17" ht="15" x14ac:dyDescent="0.25">
      <c r="A1086" s="10">
        <v>913</v>
      </c>
      <c r="B1086" s="10" t="s">
        <v>4125</v>
      </c>
      <c r="C1086" s="880">
        <f t="shared" si="81"/>
        <v>110.83159999999999</v>
      </c>
      <c r="D1086" s="880">
        <f t="shared" si="82"/>
        <v>-7.5560999999999998</v>
      </c>
      <c r="E1086" s="10">
        <v>110.831665</v>
      </c>
      <c r="F1086" s="10">
        <v>-7.5561109999999996</v>
      </c>
      <c r="G1086" s="10">
        <v>7</v>
      </c>
      <c r="H1086" s="10" t="s">
        <v>2363</v>
      </c>
      <c r="I1086" s="10" t="s">
        <v>1040</v>
      </c>
      <c r="J1086" s="10" t="s">
        <v>4034</v>
      </c>
      <c r="K1086" s="10" t="s">
        <v>4044</v>
      </c>
      <c r="L1086" s="65" t="str">
        <f t="shared" si="83"/>
        <v>Surakarta|Indonesia|110,831665|-7,556111|+7:00 Asia</v>
      </c>
      <c r="M1086" s="10" t="s">
        <v>4126</v>
      </c>
      <c r="N1086" s="10">
        <f t="shared" si="80"/>
        <v>0</v>
      </c>
      <c r="O1086" t="str">
        <f t="shared" si="84"/>
        <v/>
      </c>
      <c r="P1086" t="str">
        <f>IF(O1086=1,COUNTIF($O$2:O1086,1),"")</f>
        <v/>
      </c>
      <c r="Q1086" t="str">
        <f>IFERROR(INDEX($M$2:$M$2388,MATCH(ROWS($P$2:P1086),$P$2:$P$2388,0)),"")</f>
        <v/>
      </c>
    </row>
    <row r="1087" spans="1:17" ht="15" x14ac:dyDescent="0.25">
      <c r="A1087" s="10">
        <v>912</v>
      </c>
      <c r="B1087" s="10" t="s">
        <v>4127</v>
      </c>
      <c r="C1087" s="880">
        <f t="shared" si="81"/>
        <v>106.62990000000001</v>
      </c>
      <c r="D1087" s="880">
        <f t="shared" si="82"/>
        <v>-6.1779999999999999</v>
      </c>
      <c r="E1087" s="10">
        <v>106.629997</v>
      </c>
      <c r="F1087" s="10">
        <v>-6.1780559999999998</v>
      </c>
      <c r="G1087" s="10">
        <v>7</v>
      </c>
      <c r="H1087" s="10" t="s">
        <v>2363</v>
      </c>
      <c r="I1087" s="10" t="s">
        <v>1040</v>
      </c>
      <c r="J1087" s="10" t="s">
        <v>4034</v>
      </c>
      <c r="K1087" s="10" t="s">
        <v>4044</v>
      </c>
      <c r="L1087" s="65" t="str">
        <f t="shared" si="83"/>
        <v>Tangerang|Indonesia|106,629997|-6,178056|+7:00 Asia</v>
      </c>
      <c r="M1087" s="10" t="s">
        <v>4128</v>
      </c>
      <c r="N1087" s="10">
        <f t="shared" si="80"/>
        <v>0</v>
      </c>
      <c r="O1087" t="str">
        <f t="shared" si="84"/>
        <v/>
      </c>
      <c r="P1087" t="str">
        <f>IF(O1087=1,COUNTIF($O$2:O1087,1),"")</f>
        <v/>
      </c>
      <c r="Q1087" t="str">
        <f>IFERROR(INDEX($M$2:$M$2388,MATCH(ROWS($P$2:P1087),$P$2:$P$2388,0)),"")</f>
        <v/>
      </c>
    </row>
    <row r="1088" spans="1:17" ht="15" x14ac:dyDescent="0.25">
      <c r="A1088" s="10">
        <v>911</v>
      </c>
      <c r="B1088" s="10" t="s">
        <v>4129</v>
      </c>
      <c r="C1088" s="880">
        <f t="shared" si="81"/>
        <v>105.2666</v>
      </c>
      <c r="D1088" s="880">
        <f t="shared" si="82"/>
        <v>-5.45</v>
      </c>
      <c r="E1088" s="10">
        <v>105.26667</v>
      </c>
      <c r="F1088" s="10">
        <v>-5.45</v>
      </c>
      <c r="G1088" s="10">
        <v>7</v>
      </c>
      <c r="H1088" s="10" t="s">
        <v>2363</v>
      </c>
      <c r="I1088" s="10" t="s">
        <v>1040</v>
      </c>
      <c r="J1088" s="10" t="s">
        <v>4034</v>
      </c>
      <c r="K1088" s="10" t="s">
        <v>4044</v>
      </c>
      <c r="L1088" s="65" t="str">
        <f t="shared" si="83"/>
        <v>Tanjungkarang-Telukbetung|Indonesia|105,266670|-5,450000|+7:00 Asia</v>
      </c>
      <c r="M1088" s="10" t="s">
        <v>4130</v>
      </c>
      <c r="N1088" s="10">
        <f t="shared" si="80"/>
        <v>0</v>
      </c>
      <c r="O1088" t="str">
        <f t="shared" si="84"/>
        <v/>
      </c>
      <c r="P1088" t="str">
        <f>IF(O1088=1,COUNTIF($O$2:O1088,1),"")</f>
        <v/>
      </c>
      <c r="Q1088" t="str">
        <f>IFERROR(INDEX($M$2:$M$2388,MATCH(ROWS($P$2:P1088),$P$2:$P$2388,0)),"")</f>
        <v/>
      </c>
    </row>
    <row r="1089" spans="1:17" ht="15" x14ac:dyDescent="0.25">
      <c r="A1089" s="10">
        <v>910</v>
      </c>
      <c r="B1089" s="10" t="s">
        <v>4131</v>
      </c>
      <c r="C1089" s="880">
        <f t="shared" si="81"/>
        <v>108.1999</v>
      </c>
      <c r="D1089" s="880">
        <f t="shared" si="82"/>
        <v>-7.3333000000000004</v>
      </c>
      <c r="E1089" s="10">
        <v>108.199997</v>
      </c>
      <c r="F1089" s="10">
        <v>-7.3333329999999997</v>
      </c>
      <c r="G1089" s="10">
        <v>7</v>
      </c>
      <c r="H1089" s="10" t="s">
        <v>2363</v>
      </c>
      <c r="I1089" s="10" t="s">
        <v>1040</v>
      </c>
      <c r="J1089" s="10" t="s">
        <v>4034</v>
      </c>
      <c r="K1089" s="10" t="s">
        <v>4044</v>
      </c>
      <c r="L1089" s="65" t="str">
        <f t="shared" si="83"/>
        <v>Tasikmalaya|Indonesia|108,199997|-7,333333|+7:00 Asia</v>
      </c>
      <c r="M1089" s="10" t="s">
        <v>4132</v>
      </c>
      <c r="N1089" s="10">
        <f t="shared" si="80"/>
        <v>0</v>
      </c>
      <c r="O1089" t="str">
        <f t="shared" si="84"/>
        <v/>
      </c>
      <c r="P1089" t="str">
        <f>IF(O1089=1,COUNTIF($O$2:O1089,1),"")</f>
        <v/>
      </c>
      <c r="Q1089" t="str">
        <f>IFERROR(INDEX($M$2:$M$2388,MATCH(ROWS($P$2:P1089),$P$2:$P$2388,0)),"")</f>
        <v/>
      </c>
    </row>
    <row r="1090" spans="1:17" ht="15" x14ac:dyDescent="0.25">
      <c r="A1090" s="10">
        <v>901</v>
      </c>
      <c r="B1090" s="10" t="s">
        <v>4133</v>
      </c>
      <c r="C1090" s="880">
        <f t="shared" si="81"/>
        <v>99.15</v>
      </c>
      <c r="D1090" s="880">
        <f t="shared" si="82"/>
        <v>3.3332999999999999</v>
      </c>
      <c r="E1090" s="10">
        <v>99.150002000000001</v>
      </c>
      <c r="F1090" s="10">
        <v>3.3333330000000001</v>
      </c>
      <c r="G1090" s="10">
        <v>7</v>
      </c>
      <c r="H1090" s="10" t="s">
        <v>2363</v>
      </c>
      <c r="I1090" s="10" t="s">
        <v>1040</v>
      </c>
      <c r="J1090" s="10" t="s">
        <v>4034</v>
      </c>
      <c r="K1090" s="10" t="s">
        <v>4044</v>
      </c>
      <c r="L1090" s="65" t="str">
        <f t="shared" si="83"/>
        <v>Tebingtinggi|Indonesia|99,150002|3,333333|+7:00 Asia</v>
      </c>
      <c r="M1090" s="10" t="s">
        <v>4134</v>
      </c>
      <c r="N1090" s="10">
        <f t="shared" ref="N1090:N1153" si="85">--ISNUMBER(IFERROR(SEARCH($R$2,J1090,1),""))</f>
        <v>0</v>
      </c>
      <c r="O1090" t="str">
        <f t="shared" si="84"/>
        <v/>
      </c>
      <c r="P1090" t="str">
        <f>IF(O1090=1,COUNTIF($O$2:O1090,1),"")</f>
        <v/>
      </c>
      <c r="Q1090" t="str">
        <f>IFERROR(INDEX($M$2:$M$2388,MATCH(ROWS($P$2:P1090),$P$2:$P$2388,0)),"")</f>
        <v/>
      </c>
    </row>
    <row r="1091" spans="1:17" ht="15" x14ac:dyDescent="0.25">
      <c r="A1091" s="10">
        <v>909</v>
      </c>
      <c r="B1091" s="10" t="s">
        <v>4135</v>
      </c>
      <c r="C1091" s="880">
        <f t="shared" ref="C1091:C1154" si="86">TRUNC(E1091,4)</f>
        <v>109.13330000000001</v>
      </c>
      <c r="D1091" s="880">
        <f t="shared" ref="D1091:D1154" si="87">TRUNC(F1091,4)</f>
        <v>-6.8666</v>
      </c>
      <c r="E1091" s="10">
        <v>109.133331</v>
      </c>
      <c r="F1091" s="10">
        <v>-6.8666669999999996</v>
      </c>
      <c r="G1091" s="10">
        <v>7</v>
      </c>
      <c r="H1091" s="10" t="s">
        <v>2363</v>
      </c>
      <c r="I1091" s="10" t="s">
        <v>1040</v>
      </c>
      <c r="J1091" s="10" t="s">
        <v>4034</v>
      </c>
      <c r="K1091" s="10" t="s">
        <v>4044</v>
      </c>
      <c r="L1091" s="65" t="str">
        <f t="shared" ref="L1091:L1154" si="88">MID(M1091,1,LEN(M1091)-(LEN(K1091)-SEARCH("/",K1091)+1))</f>
        <v>Tegal|Indonesia|109,133331|-6,866667|+7:00 Asia</v>
      </c>
      <c r="M1091" s="10" t="s">
        <v>4136</v>
      </c>
      <c r="N1091" s="10">
        <f t="shared" si="85"/>
        <v>0</v>
      </c>
      <c r="O1091" t="str">
        <f t="shared" ref="O1091:O1154" si="89">IF(N1091=0,"",--ISNUMBER(IFERROR(SEARCH($U$2,L1091,1),"")))</f>
        <v/>
      </c>
      <c r="P1091" t="str">
        <f>IF(O1091=1,COUNTIF($O$2:O1091,1),"")</f>
        <v/>
      </c>
      <c r="Q1091" t="str">
        <f>IFERROR(INDEX($M$2:$M$2388,MATCH(ROWS($P$2:P1091),$P$2:$P$2388,0)),"")</f>
        <v/>
      </c>
    </row>
    <row r="1092" spans="1:17" ht="15" x14ac:dyDescent="0.25">
      <c r="A1092" s="10">
        <v>900</v>
      </c>
      <c r="B1092" s="10" t="s">
        <v>4137</v>
      </c>
      <c r="C1092" s="880">
        <f t="shared" si="86"/>
        <v>99.816599999999994</v>
      </c>
      <c r="D1092" s="880">
        <f t="shared" si="87"/>
        <v>3.0165999999999999</v>
      </c>
      <c r="E1092" s="10">
        <v>99.816665999999998</v>
      </c>
      <c r="F1092" s="10">
        <v>3.016667</v>
      </c>
      <c r="G1092" s="10">
        <v>7</v>
      </c>
      <c r="H1092" s="10" t="s">
        <v>2363</v>
      </c>
      <c r="I1092" s="10" t="s">
        <v>1040</v>
      </c>
      <c r="J1092" s="10" t="s">
        <v>4034</v>
      </c>
      <c r="K1092" s="10" t="s">
        <v>4041</v>
      </c>
      <c r="L1092" s="65" t="str">
        <f t="shared" si="88"/>
        <v>Teluknibung|Indonesia|99,816666|3,016667|+7:00 Asia</v>
      </c>
      <c r="M1092" s="10" t="s">
        <v>4138</v>
      </c>
      <c r="N1092" s="10">
        <f t="shared" si="85"/>
        <v>0</v>
      </c>
      <c r="O1092" t="str">
        <f t="shared" si="89"/>
        <v/>
      </c>
      <c r="P1092" t="str">
        <f>IF(O1092=1,COUNTIF($O$2:O1092,1),"")</f>
        <v/>
      </c>
      <c r="Q1092" t="str">
        <f>IFERROR(INDEX($M$2:$M$2388,MATCH(ROWS($P$2:P1092),$P$2:$P$2388,0)),"")</f>
        <v/>
      </c>
    </row>
    <row r="1093" spans="1:17" ht="15" x14ac:dyDescent="0.25">
      <c r="A1093" s="10">
        <v>907</v>
      </c>
      <c r="B1093" s="10" t="s">
        <v>4139</v>
      </c>
      <c r="C1093" s="880">
        <f t="shared" si="86"/>
        <v>110.3608</v>
      </c>
      <c r="D1093" s="880">
        <f t="shared" si="87"/>
        <v>-7.7827000000000002</v>
      </c>
      <c r="E1093" s="10">
        <v>110.360832</v>
      </c>
      <c r="F1093" s="10">
        <v>-7.7827780000000004</v>
      </c>
      <c r="G1093" s="10">
        <v>7</v>
      </c>
      <c r="H1093" s="10" t="s">
        <v>2363</v>
      </c>
      <c r="I1093" s="10" t="s">
        <v>1040</v>
      </c>
      <c r="J1093" s="10" t="s">
        <v>4034</v>
      </c>
      <c r="K1093" s="10" t="s">
        <v>4044</v>
      </c>
      <c r="L1093" s="65" t="str">
        <f t="shared" si="88"/>
        <v>Yogyakarta|Indonesia|110,360832|-7,782778|+7:00 Asia</v>
      </c>
      <c r="M1093" s="10" t="s">
        <v>4140</v>
      </c>
      <c r="N1093" s="10">
        <f t="shared" si="85"/>
        <v>0</v>
      </c>
      <c r="O1093" t="str">
        <f t="shared" si="89"/>
        <v/>
      </c>
      <c r="P1093" t="str">
        <f>IF(O1093=1,COUNTIF($O$2:O1093,1),"")</f>
        <v/>
      </c>
      <c r="Q1093" t="str">
        <f>IFERROR(INDEX($M$2:$M$2388,MATCH(ROWS($P$2:P1093),$P$2:$P$2388,0)),"")</f>
        <v/>
      </c>
    </row>
    <row r="1094" spans="1:17" ht="15" x14ac:dyDescent="0.25">
      <c r="A1094" s="10">
        <v>1195</v>
      </c>
      <c r="B1094" s="10" t="s">
        <v>4141</v>
      </c>
      <c r="C1094" s="880">
        <f t="shared" si="86"/>
        <v>48.2958</v>
      </c>
      <c r="D1094" s="880">
        <f t="shared" si="87"/>
        <v>30.352499999999999</v>
      </c>
      <c r="E1094" s="10">
        <v>48.295833999999999</v>
      </c>
      <c r="F1094" s="10">
        <v>30.352501</v>
      </c>
      <c r="G1094" s="10">
        <v>3.5</v>
      </c>
      <c r="H1094" s="10" t="s">
        <v>4142</v>
      </c>
      <c r="I1094" s="10" t="s">
        <v>4143</v>
      </c>
      <c r="J1094" s="10" t="s">
        <v>4144</v>
      </c>
      <c r="K1094" s="10" t="s">
        <v>4145</v>
      </c>
      <c r="L1094" s="65" t="str">
        <f t="shared" si="88"/>
        <v>Abadan|Iran|48,295834|30,352501|+3:30 Asia</v>
      </c>
      <c r="M1094" s="10" t="s">
        <v>4146</v>
      </c>
      <c r="N1094" s="10">
        <f t="shared" si="85"/>
        <v>0</v>
      </c>
      <c r="O1094" t="str">
        <f t="shared" si="89"/>
        <v/>
      </c>
      <c r="P1094" t="str">
        <f>IF(O1094=1,COUNTIF($O$2:O1094,1),"")</f>
        <v/>
      </c>
      <c r="Q1094" t="str">
        <f>IFERROR(INDEX($M$2:$M$2388,MATCH(ROWS($P$2:P1094),$P$2:$P$2388,0)),"")</f>
        <v/>
      </c>
    </row>
    <row r="1095" spans="1:17" ht="15" x14ac:dyDescent="0.25">
      <c r="A1095" s="10">
        <v>1194</v>
      </c>
      <c r="B1095" s="10" t="s">
        <v>4147</v>
      </c>
      <c r="C1095" s="880">
        <f t="shared" si="86"/>
        <v>48.691099999999999</v>
      </c>
      <c r="D1095" s="880">
        <f t="shared" si="87"/>
        <v>31.3291</v>
      </c>
      <c r="E1095" s="10">
        <v>48.691113000000001</v>
      </c>
      <c r="F1095" s="10">
        <v>31.329166000000001</v>
      </c>
      <c r="G1095" s="10">
        <v>3.5</v>
      </c>
      <c r="H1095" s="10" t="s">
        <v>4142</v>
      </c>
      <c r="I1095" s="10" t="s">
        <v>4143</v>
      </c>
      <c r="J1095" s="10" t="s">
        <v>4144</v>
      </c>
      <c r="K1095" s="10" t="s">
        <v>4145</v>
      </c>
      <c r="L1095" s="65" t="str">
        <f t="shared" si="88"/>
        <v>Ahvaz|Iran|48,691113|31,329166|+3:30 Asia</v>
      </c>
      <c r="M1095" s="10" t="s">
        <v>4148</v>
      </c>
      <c r="N1095" s="10">
        <f t="shared" si="85"/>
        <v>0</v>
      </c>
      <c r="O1095" t="str">
        <f t="shared" si="89"/>
        <v/>
      </c>
      <c r="P1095" t="str">
        <f>IF(O1095=1,COUNTIF($O$2:O1095,1),"")</f>
        <v/>
      </c>
      <c r="Q1095" t="str">
        <f>IFERROR(INDEX($M$2:$M$2388,MATCH(ROWS($P$2:P1095),$P$2:$P$2388,0)),"")</f>
        <v/>
      </c>
    </row>
    <row r="1096" spans="1:17" ht="15" x14ac:dyDescent="0.25">
      <c r="A1096" s="10">
        <v>1193</v>
      </c>
      <c r="B1096" s="10" t="s">
        <v>4149</v>
      </c>
      <c r="C1096" s="880">
        <f t="shared" si="86"/>
        <v>49.683799999999998</v>
      </c>
      <c r="D1096" s="880">
        <f t="shared" si="87"/>
        <v>34.085500000000003</v>
      </c>
      <c r="E1096" s="10">
        <v>49.683886999999999</v>
      </c>
      <c r="F1096" s="10">
        <v>34.085555999999997</v>
      </c>
      <c r="G1096" s="10">
        <v>3.5</v>
      </c>
      <c r="H1096" s="10" t="s">
        <v>4142</v>
      </c>
      <c r="I1096" s="10" t="s">
        <v>4143</v>
      </c>
      <c r="J1096" s="10" t="s">
        <v>4144</v>
      </c>
      <c r="K1096" s="10" t="s">
        <v>4145</v>
      </c>
      <c r="L1096" s="65" t="str">
        <f t="shared" si="88"/>
        <v>Arak|Iran|49,683887|34,085556|+3:30 Asia</v>
      </c>
      <c r="M1096" s="10" t="s">
        <v>4150</v>
      </c>
      <c r="N1096" s="10">
        <f t="shared" si="85"/>
        <v>0</v>
      </c>
      <c r="O1096" t="str">
        <f t="shared" si="89"/>
        <v/>
      </c>
      <c r="P1096" t="str">
        <f>IF(O1096=1,COUNTIF($O$2:O1096,1),"")</f>
        <v/>
      </c>
      <c r="Q1096" t="str">
        <f>IFERROR(INDEX($M$2:$M$2388,MATCH(ROWS($P$2:P1096),$P$2:$P$2388,0)),"")</f>
        <v/>
      </c>
    </row>
    <row r="1097" spans="1:17" ht="15" x14ac:dyDescent="0.25">
      <c r="A1097" s="10">
        <v>1192</v>
      </c>
      <c r="B1097" s="10" t="s">
        <v>4151</v>
      </c>
      <c r="C1097" s="880">
        <f t="shared" si="86"/>
        <v>48.301299999999998</v>
      </c>
      <c r="D1097" s="880">
        <f t="shared" si="87"/>
        <v>38.249400000000001</v>
      </c>
      <c r="E1097" s="10">
        <v>48.301388000000003</v>
      </c>
      <c r="F1097" s="10">
        <v>38.249442999999999</v>
      </c>
      <c r="G1097" s="10">
        <v>3.5</v>
      </c>
      <c r="H1097" s="10" t="s">
        <v>4142</v>
      </c>
      <c r="I1097" s="10" t="s">
        <v>4143</v>
      </c>
      <c r="J1097" s="10" t="s">
        <v>4144</v>
      </c>
      <c r="K1097" s="10" t="s">
        <v>4145</v>
      </c>
      <c r="L1097" s="65" t="str">
        <f t="shared" si="88"/>
        <v>Ardabil|Iran|48,301388|38,249443|+3:30 Asia</v>
      </c>
      <c r="M1097" s="10" t="s">
        <v>4152</v>
      </c>
      <c r="N1097" s="10">
        <f t="shared" si="85"/>
        <v>0</v>
      </c>
      <c r="O1097" t="str">
        <f t="shared" si="89"/>
        <v/>
      </c>
      <c r="P1097" t="str">
        <f>IF(O1097=1,COUNTIF($O$2:O1097,1),"")</f>
        <v/>
      </c>
      <c r="Q1097" t="str">
        <f>IFERROR(INDEX($M$2:$M$2388,MATCH(ROWS($P$2:P1097),$P$2:$P$2388,0)),"")</f>
        <v/>
      </c>
    </row>
    <row r="1098" spans="1:17" ht="15" x14ac:dyDescent="0.25">
      <c r="A1098" s="10">
        <v>1164</v>
      </c>
      <c r="B1098" s="10" t="s">
        <v>4153</v>
      </c>
      <c r="C1098" s="880">
        <f t="shared" si="86"/>
        <v>48.549900000000001</v>
      </c>
      <c r="D1098" s="880">
        <f t="shared" si="87"/>
        <v>34.799900000000001</v>
      </c>
      <c r="E1098" s="10">
        <v>48.549999</v>
      </c>
      <c r="F1098" s="10">
        <v>34.799999</v>
      </c>
      <c r="G1098" s="10">
        <v>3.5</v>
      </c>
      <c r="H1098" s="10" t="s">
        <v>4142</v>
      </c>
      <c r="I1098" s="10" t="s">
        <v>4143</v>
      </c>
      <c r="J1098" s="10" t="s">
        <v>4144</v>
      </c>
      <c r="K1098" s="10" t="s">
        <v>4145</v>
      </c>
      <c r="L1098" s="65" t="str">
        <f t="shared" si="88"/>
        <v>Azadshahr|Iran|48,549999|34,799999|+3:30 Asia</v>
      </c>
      <c r="M1098" s="10" t="s">
        <v>4154</v>
      </c>
      <c r="N1098" s="10">
        <f t="shared" si="85"/>
        <v>0</v>
      </c>
      <c r="O1098" t="str">
        <f t="shared" si="89"/>
        <v/>
      </c>
      <c r="P1098" t="str">
        <f>IF(O1098=1,COUNTIF($O$2:O1098,1),"")</f>
        <v/>
      </c>
      <c r="Q1098" t="str">
        <f>IFERROR(INDEX($M$2:$M$2388,MATCH(ROWS($P$2:P1098),$P$2:$P$2388,0)),"")</f>
        <v/>
      </c>
    </row>
    <row r="1099" spans="1:17" ht="15" x14ac:dyDescent="0.25">
      <c r="A1099" s="10">
        <v>1191</v>
      </c>
      <c r="B1099" s="10" t="s">
        <v>4155</v>
      </c>
      <c r="C1099" s="880">
        <f t="shared" si="86"/>
        <v>52.678800000000003</v>
      </c>
      <c r="D1099" s="880">
        <f t="shared" si="87"/>
        <v>36.5441</v>
      </c>
      <c r="E1099" s="10">
        <v>52.678890000000003</v>
      </c>
      <c r="F1099" s="10">
        <v>36.544167000000002</v>
      </c>
      <c r="G1099" s="10">
        <v>3.5</v>
      </c>
      <c r="H1099" s="10" t="s">
        <v>4142</v>
      </c>
      <c r="I1099" s="10" t="s">
        <v>4143</v>
      </c>
      <c r="J1099" s="10" t="s">
        <v>4144</v>
      </c>
      <c r="K1099" s="10" t="s">
        <v>4145</v>
      </c>
      <c r="L1099" s="65" t="str">
        <f t="shared" si="88"/>
        <v>Babol|Iran|52,678890|36,544167|+3:30 Asia</v>
      </c>
      <c r="M1099" s="10" t="s">
        <v>4156</v>
      </c>
      <c r="N1099" s="10">
        <f t="shared" si="85"/>
        <v>0</v>
      </c>
      <c r="O1099" t="str">
        <f t="shared" si="89"/>
        <v/>
      </c>
      <c r="P1099" t="str">
        <f>IF(O1099=1,COUNTIF($O$2:O1099,1),"")</f>
        <v/>
      </c>
      <c r="Q1099" t="str">
        <f>IFERROR(INDEX($M$2:$M$2388,MATCH(ROWS($P$2:P1099),$P$2:$P$2388,0)),"")</f>
        <v/>
      </c>
    </row>
    <row r="1100" spans="1:17" ht="15" x14ac:dyDescent="0.25">
      <c r="A1100" s="10">
        <v>1190</v>
      </c>
      <c r="B1100" s="10" t="s">
        <v>4157</v>
      </c>
      <c r="C1100" s="880">
        <f t="shared" si="86"/>
        <v>48.755800000000001</v>
      </c>
      <c r="D1100" s="880">
        <f t="shared" si="87"/>
        <v>33.896299999999997</v>
      </c>
      <c r="E1100" s="10">
        <v>48.755833000000003</v>
      </c>
      <c r="F1100" s="10">
        <v>33.896388999999999</v>
      </c>
      <c r="G1100" s="10">
        <v>3.5</v>
      </c>
      <c r="H1100" s="10" t="s">
        <v>4142</v>
      </c>
      <c r="I1100" s="10" t="s">
        <v>4143</v>
      </c>
      <c r="J1100" s="10" t="s">
        <v>4144</v>
      </c>
      <c r="K1100" s="10" t="s">
        <v>4145</v>
      </c>
      <c r="L1100" s="65" t="str">
        <f t="shared" si="88"/>
        <v>Borujerd|Iran|48,755833|33,896389|+3:30 Asia</v>
      </c>
      <c r="M1100" s="10" t="s">
        <v>4158</v>
      </c>
      <c r="N1100" s="10">
        <f t="shared" si="85"/>
        <v>0</v>
      </c>
      <c r="O1100" t="str">
        <f t="shared" si="89"/>
        <v/>
      </c>
      <c r="P1100" t="str">
        <f>IF(O1100=1,COUNTIF($O$2:O1100,1),"")</f>
        <v/>
      </c>
      <c r="Q1100" t="str">
        <f>IFERROR(INDEX($M$2:$M$2388,MATCH(ROWS($P$2:P1100),$P$2:$P$2388,0)),"")</f>
        <v/>
      </c>
    </row>
    <row r="1101" spans="1:17" ht="15" x14ac:dyDescent="0.25">
      <c r="A1101" s="10">
        <v>1189</v>
      </c>
      <c r="B1101" s="10" t="s">
        <v>4159</v>
      </c>
      <c r="C1101" s="880">
        <f t="shared" si="86"/>
        <v>46.215000000000003</v>
      </c>
      <c r="D1101" s="880">
        <f t="shared" si="87"/>
        <v>36.521900000000002</v>
      </c>
      <c r="E1101" s="10">
        <v>46.215000000000003</v>
      </c>
      <c r="F1101" s="10">
        <v>36.521946</v>
      </c>
      <c r="G1101" s="10">
        <v>3.5</v>
      </c>
      <c r="H1101" s="10" t="s">
        <v>4142</v>
      </c>
      <c r="I1101" s="10" t="s">
        <v>4143</v>
      </c>
      <c r="J1101" s="10" t="s">
        <v>4144</v>
      </c>
      <c r="K1101" s="10" t="s">
        <v>4145</v>
      </c>
      <c r="L1101" s="65" t="str">
        <f t="shared" si="88"/>
        <v>Bukan|Iran|46,215000|36,521946|+3:30 Asia</v>
      </c>
      <c r="M1101" s="10" t="s">
        <v>4160</v>
      </c>
      <c r="N1101" s="10">
        <f t="shared" si="85"/>
        <v>0</v>
      </c>
      <c r="O1101" t="str">
        <f t="shared" si="89"/>
        <v/>
      </c>
      <c r="P1101" t="str">
        <f>IF(O1101=1,COUNTIF($O$2:O1101,1),"")</f>
        <v/>
      </c>
      <c r="Q1101" t="str">
        <f>IFERROR(INDEX($M$2:$M$2388,MATCH(ROWS($P$2:P1101),$P$2:$P$2388,0)),"")</f>
        <v/>
      </c>
    </row>
    <row r="1102" spans="1:17" ht="15" x14ac:dyDescent="0.25">
      <c r="A1102" s="10">
        <v>1198</v>
      </c>
      <c r="B1102" s="10" t="s">
        <v>4161</v>
      </c>
      <c r="C1102" s="880">
        <f t="shared" si="86"/>
        <v>51.671300000000002</v>
      </c>
      <c r="D1102" s="880">
        <f t="shared" si="87"/>
        <v>32.659700000000001</v>
      </c>
      <c r="E1102" s="10">
        <v>51.671391</v>
      </c>
      <c r="F1102" s="10">
        <v>32.659720999999998</v>
      </c>
      <c r="G1102" s="10">
        <v>3.5</v>
      </c>
      <c r="H1102" s="10" t="s">
        <v>4142</v>
      </c>
      <c r="I1102" s="10" t="s">
        <v>4143</v>
      </c>
      <c r="J1102" s="10" t="s">
        <v>4144</v>
      </c>
      <c r="K1102" s="10" t="s">
        <v>4145</v>
      </c>
      <c r="L1102" s="65" t="str">
        <f t="shared" si="88"/>
        <v>Esfahan|Iran|51,671391|32,659721|+3:30 Asia</v>
      </c>
      <c r="M1102" s="10" t="s">
        <v>4162</v>
      </c>
      <c r="N1102" s="10">
        <f t="shared" si="85"/>
        <v>0</v>
      </c>
      <c r="O1102" t="str">
        <f t="shared" si="89"/>
        <v/>
      </c>
      <c r="P1102" t="str">
        <f>IF(O1102=1,COUNTIF($O$2:O1102,1),"")</f>
        <v/>
      </c>
      <c r="Q1102" t="str">
        <f>IFERROR(INDEX($M$2:$M$2388,MATCH(ROWS($P$2:P1102),$P$2:$P$2388,0)),"")</f>
        <v/>
      </c>
    </row>
    <row r="1103" spans="1:17" ht="15" x14ac:dyDescent="0.25">
      <c r="A1103" s="10">
        <v>1188</v>
      </c>
      <c r="B1103" s="10" t="s">
        <v>4163</v>
      </c>
      <c r="C1103" s="880">
        <f t="shared" si="86"/>
        <v>51.255800000000001</v>
      </c>
      <c r="D1103" s="880">
        <f t="shared" si="87"/>
        <v>35.564399999999999</v>
      </c>
      <c r="E1103" s="10">
        <v>51.255833000000003</v>
      </c>
      <c r="F1103" s="10">
        <v>35.564444999999999</v>
      </c>
      <c r="G1103" s="10">
        <v>3.5</v>
      </c>
      <c r="H1103" s="10" t="s">
        <v>4142</v>
      </c>
      <c r="I1103" s="10" t="s">
        <v>4143</v>
      </c>
      <c r="J1103" s="10" t="s">
        <v>4144</v>
      </c>
      <c r="K1103" s="10" t="s">
        <v>4145</v>
      </c>
      <c r="L1103" s="65" t="str">
        <f t="shared" si="88"/>
        <v>Eslamshahr|Iran|51,255833|35,564445|+3:30 Asia</v>
      </c>
      <c r="M1103" s="10" t="s">
        <v>4164</v>
      </c>
      <c r="N1103" s="10">
        <f t="shared" si="85"/>
        <v>0</v>
      </c>
      <c r="O1103" t="str">
        <f t="shared" si="89"/>
        <v/>
      </c>
      <c r="P1103" t="str">
        <f>IF(O1103=1,COUNTIF($O$2:O1103,1),"")</f>
        <v/>
      </c>
      <c r="Q1103" t="str">
        <f>IFERROR(INDEX($M$2:$M$2388,MATCH(ROWS($P$2:P1103),$P$2:$P$2388,0)),"")</f>
        <v/>
      </c>
    </row>
    <row r="1104" spans="1:17" ht="15" x14ac:dyDescent="0.25">
      <c r="A1104" s="10">
        <v>1187</v>
      </c>
      <c r="B1104" s="10" t="s">
        <v>4165</v>
      </c>
      <c r="C1104" s="880">
        <f t="shared" si="86"/>
        <v>54.436100000000003</v>
      </c>
      <c r="D1104" s="880">
        <f t="shared" si="87"/>
        <v>36.839399999999998</v>
      </c>
      <c r="E1104" s="10">
        <v>54.436110999999997</v>
      </c>
      <c r="F1104" s="10">
        <v>36.839443000000003</v>
      </c>
      <c r="G1104" s="10">
        <v>3.5</v>
      </c>
      <c r="H1104" s="10" t="s">
        <v>4142</v>
      </c>
      <c r="I1104" s="10" t="s">
        <v>4143</v>
      </c>
      <c r="J1104" s="10" t="s">
        <v>4144</v>
      </c>
      <c r="K1104" s="10" t="s">
        <v>4145</v>
      </c>
      <c r="L1104" s="65" t="str">
        <f t="shared" si="88"/>
        <v>Gorgan|Iran|54,436111|36,839443|+3:30 Asia</v>
      </c>
      <c r="M1104" s="10" t="s">
        <v>4166</v>
      </c>
      <c r="N1104" s="10">
        <f t="shared" si="85"/>
        <v>0</v>
      </c>
      <c r="O1104" t="str">
        <f t="shared" si="89"/>
        <v/>
      </c>
      <c r="P1104" t="str">
        <f>IF(O1104=1,COUNTIF($O$2:O1104,1),"")</f>
        <v/>
      </c>
      <c r="Q1104" t="str">
        <f>IFERROR(INDEX($M$2:$M$2388,MATCH(ROWS($P$2:P1104),$P$2:$P$2388,0)),"")</f>
        <v/>
      </c>
    </row>
    <row r="1105" spans="1:17" ht="15" x14ac:dyDescent="0.25">
      <c r="A1105" s="10">
        <v>1197</v>
      </c>
      <c r="B1105" s="10" t="s">
        <v>4167</v>
      </c>
      <c r="C1105" s="880">
        <f t="shared" si="86"/>
        <v>51.5319</v>
      </c>
      <c r="D1105" s="880">
        <f t="shared" si="87"/>
        <v>32.686100000000003</v>
      </c>
      <c r="E1105" s="10">
        <v>51.531944000000003</v>
      </c>
      <c r="F1105" s="10">
        <v>32.686110999999997</v>
      </c>
      <c r="G1105" s="10">
        <v>3.5</v>
      </c>
      <c r="H1105" s="10" t="s">
        <v>4142</v>
      </c>
      <c r="I1105" s="10" t="s">
        <v>4143</v>
      </c>
      <c r="J1105" s="10" t="s">
        <v>4144</v>
      </c>
      <c r="K1105" s="10" t="s">
        <v>4145</v>
      </c>
      <c r="L1105" s="65" t="str">
        <f t="shared" si="88"/>
        <v>Homayunshahr|Iran|51,531944|32,686111|+3:30 Asia</v>
      </c>
      <c r="M1105" s="10" t="s">
        <v>4168</v>
      </c>
      <c r="N1105" s="10">
        <f t="shared" si="85"/>
        <v>0</v>
      </c>
      <c r="O1105" t="str">
        <f t="shared" si="89"/>
        <v/>
      </c>
      <c r="P1105" t="str">
        <f>IF(O1105=1,COUNTIF($O$2:O1105,1),"")</f>
        <v/>
      </c>
      <c r="Q1105" t="str">
        <f>IFERROR(INDEX($M$2:$M$2388,MATCH(ROWS($P$2:P1105),$P$2:$P$2388,0)),"")</f>
        <v/>
      </c>
    </row>
    <row r="1106" spans="1:17" ht="15" x14ac:dyDescent="0.25">
      <c r="A1106" s="10">
        <v>1165</v>
      </c>
      <c r="B1106" s="10" t="s">
        <v>4169</v>
      </c>
      <c r="C1106" s="880">
        <f t="shared" si="86"/>
        <v>47.058</v>
      </c>
      <c r="D1106" s="880">
        <f t="shared" si="87"/>
        <v>34.387700000000002</v>
      </c>
      <c r="E1106" s="10">
        <v>47.058056000000001</v>
      </c>
      <c r="F1106" s="10">
        <v>34.387779000000002</v>
      </c>
      <c r="G1106" s="10">
        <v>3.5</v>
      </c>
      <c r="H1106" s="10" t="s">
        <v>4142</v>
      </c>
      <c r="I1106" s="10" t="s">
        <v>4143</v>
      </c>
      <c r="J1106" s="10" t="s">
        <v>4144</v>
      </c>
      <c r="K1106" s="10" t="s">
        <v>4145</v>
      </c>
      <c r="L1106" s="65" t="str">
        <f t="shared" si="88"/>
        <v>Kahriz|Iran|47,058056|34,387779|+3:30 Asia</v>
      </c>
      <c r="M1106" s="10" t="s">
        <v>4170</v>
      </c>
      <c r="N1106" s="10">
        <f t="shared" si="85"/>
        <v>0</v>
      </c>
      <c r="O1106" t="str">
        <f t="shared" si="89"/>
        <v/>
      </c>
      <c r="P1106" t="str">
        <f>IF(O1106=1,COUNTIF($O$2:O1106,1),"")</f>
        <v/>
      </c>
      <c r="Q1106" t="str">
        <f>IFERROR(INDEX($M$2:$M$2388,MATCH(ROWS($P$2:P1106),$P$2:$P$2388,0)),"")</f>
        <v/>
      </c>
    </row>
    <row r="1107" spans="1:17" ht="15" x14ac:dyDescent="0.25">
      <c r="A1107" s="10">
        <v>1186</v>
      </c>
      <c r="B1107" s="10" t="s">
        <v>4171</v>
      </c>
      <c r="C1107" s="880">
        <f t="shared" si="86"/>
        <v>50.998199999999997</v>
      </c>
      <c r="D1107" s="880">
        <f t="shared" si="87"/>
        <v>35.828699999999998</v>
      </c>
      <c r="E1107" s="10">
        <v>50.998202999999997</v>
      </c>
      <c r="F1107" s="10">
        <v>35.828761999999998</v>
      </c>
      <c r="G1107" s="10">
        <v>3.5</v>
      </c>
      <c r="H1107" s="10" t="s">
        <v>4142</v>
      </c>
      <c r="I1107" s="10" t="s">
        <v>4143</v>
      </c>
      <c r="J1107" s="10" t="s">
        <v>4144</v>
      </c>
      <c r="K1107" s="10" t="s">
        <v>4145</v>
      </c>
      <c r="L1107" s="65" t="str">
        <f t="shared" si="88"/>
        <v>Karaj|Iran|50,998203|35,828762|+3:30 Asia</v>
      </c>
      <c r="M1107" s="10" t="s">
        <v>4172</v>
      </c>
      <c r="N1107" s="10">
        <f t="shared" si="85"/>
        <v>0</v>
      </c>
      <c r="O1107" t="str">
        <f t="shared" si="89"/>
        <v/>
      </c>
      <c r="P1107" t="str">
        <f>IF(O1107=1,COUNTIF($O$2:O1107,1),"")</f>
        <v/>
      </c>
      <c r="Q1107" t="str">
        <f>IFERROR(INDEX($M$2:$M$2388,MATCH(ROWS($P$2:P1107),$P$2:$P$2388,0)),"")</f>
        <v/>
      </c>
    </row>
    <row r="1108" spans="1:17" ht="15" x14ac:dyDescent="0.25">
      <c r="A1108" s="10">
        <v>1185</v>
      </c>
      <c r="B1108" s="10" t="s">
        <v>4173</v>
      </c>
      <c r="C1108" s="880">
        <f t="shared" si="86"/>
        <v>57.084099999999999</v>
      </c>
      <c r="D1108" s="880">
        <f t="shared" si="87"/>
        <v>30.293800000000001</v>
      </c>
      <c r="E1108" s="10">
        <v>57.084167000000001</v>
      </c>
      <c r="F1108" s="10">
        <v>30.293887999999999</v>
      </c>
      <c r="G1108" s="10">
        <v>3.5</v>
      </c>
      <c r="H1108" s="10" t="s">
        <v>4142</v>
      </c>
      <c r="I1108" s="10" t="s">
        <v>4143</v>
      </c>
      <c r="J1108" s="10" t="s">
        <v>4144</v>
      </c>
      <c r="K1108" s="10" t="s">
        <v>4145</v>
      </c>
      <c r="L1108" s="65" t="str">
        <f t="shared" si="88"/>
        <v>Kerman|Iran|57,084167|30,293888|+3:30 Asia</v>
      </c>
      <c r="M1108" s="10" t="s">
        <v>4174</v>
      </c>
      <c r="N1108" s="10">
        <f t="shared" si="85"/>
        <v>0</v>
      </c>
      <c r="O1108" t="str">
        <f t="shared" si="89"/>
        <v/>
      </c>
      <c r="P1108" t="str">
        <f>IF(O1108=1,COUNTIF($O$2:O1108,1),"")</f>
        <v/>
      </c>
      <c r="Q1108" t="str">
        <f>IFERROR(INDEX($M$2:$M$2388,MATCH(ROWS($P$2:P1108),$P$2:$P$2388,0)),"")</f>
        <v/>
      </c>
    </row>
    <row r="1109" spans="1:17" ht="15" x14ac:dyDescent="0.25">
      <c r="A1109" s="10">
        <v>1184</v>
      </c>
      <c r="B1109" s="10" t="s">
        <v>4175</v>
      </c>
      <c r="C1109" s="880">
        <f t="shared" si="86"/>
        <v>48.355800000000002</v>
      </c>
      <c r="D1109" s="880">
        <f t="shared" si="87"/>
        <v>33.487699999999997</v>
      </c>
      <c r="E1109" s="10">
        <v>48.355834999999999</v>
      </c>
      <c r="F1109" s="10">
        <v>33.487777999999999</v>
      </c>
      <c r="G1109" s="10">
        <v>3.5</v>
      </c>
      <c r="H1109" s="10" t="s">
        <v>4142</v>
      </c>
      <c r="I1109" s="10" t="s">
        <v>4143</v>
      </c>
      <c r="J1109" s="10" t="s">
        <v>4144</v>
      </c>
      <c r="K1109" s="10" t="s">
        <v>4145</v>
      </c>
      <c r="L1109" s="65" t="str">
        <f t="shared" si="88"/>
        <v>Khorramabad|Iran|48,355835|33,487778|+3:30 Asia</v>
      </c>
      <c r="M1109" s="10" t="s">
        <v>4176</v>
      </c>
      <c r="N1109" s="10">
        <f t="shared" si="85"/>
        <v>0</v>
      </c>
      <c r="O1109" t="str">
        <f t="shared" si="89"/>
        <v/>
      </c>
      <c r="P1109" t="str">
        <f>IF(O1109=1,COUNTIF($O$2:O1109,1),"")</f>
        <v/>
      </c>
      <c r="Q1109" t="str">
        <f>IFERROR(INDEX($M$2:$M$2388,MATCH(ROWS($P$2:P1109),$P$2:$P$2388,0)),"")</f>
        <v/>
      </c>
    </row>
    <row r="1110" spans="1:17" ht="15" x14ac:dyDescent="0.25">
      <c r="A1110" s="10">
        <v>1183</v>
      </c>
      <c r="B1110" s="10" t="s">
        <v>4177</v>
      </c>
      <c r="C1110" s="880">
        <f t="shared" si="86"/>
        <v>48.179099999999998</v>
      </c>
      <c r="D1110" s="880">
        <f t="shared" si="87"/>
        <v>30.4391</v>
      </c>
      <c r="E1110" s="10">
        <v>48.179164999999998</v>
      </c>
      <c r="F1110" s="10">
        <v>30.439167000000001</v>
      </c>
      <c r="G1110" s="10">
        <v>3.5</v>
      </c>
      <c r="H1110" s="10" t="s">
        <v>4142</v>
      </c>
      <c r="I1110" s="10" t="s">
        <v>4143</v>
      </c>
      <c r="J1110" s="10" t="s">
        <v>4144</v>
      </c>
      <c r="K1110" s="10" t="s">
        <v>4145</v>
      </c>
      <c r="L1110" s="65" t="str">
        <f t="shared" si="88"/>
        <v>Khorramshahr|Iran|48,179165|30,439167|+3:30 Asia</v>
      </c>
      <c r="M1110" s="10" t="s">
        <v>4178</v>
      </c>
      <c r="N1110" s="10">
        <f t="shared" si="85"/>
        <v>0</v>
      </c>
      <c r="O1110" t="str">
        <f t="shared" si="89"/>
        <v/>
      </c>
      <c r="P1110" t="str">
        <f>IF(O1110=1,COUNTIF($O$2:O1110,1),"")</f>
        <v/>
      </c>
      <c r="Q1110" t="str">
        <f>IFERROR(INDEX($M$2:$M$2388,MATCH(ROWS($P$2:P1110),$P$2:$P$2388,0)),"")</f>
        <v/>
      </c>
    </row>
    <row r="1111" spans="1:17" ht="15" x14ac:dyDescent="0.25">
      <c r="A1111" s="10">
        <v>1182</v>
      </c>
      <c r="B1111" s="10" t="s">
        <v>4179</v>
      </c>
      <c r="C1111" s="880">
        <f t="shared" si="86"/>
        <v>59.611899999999999</v>
      </c>
      <c r="D1111" s="880">
        <f t="shared" si="87"/>
        <v>36.2958</v>
      </c>
      <c r="E1111" s="10">
        <v>59.611946000000003</v>
      </c>
      <c r="F1111" s="10">
        <v>36.295833999999999</v>
      </c>
      <c r="G1111" s="10">
        <v>3.5</v>
      </c>
      <c r="H1111" s="10" t="s">
        <v>4142</v>
      </c>
      <c r="I1111" s="10" t="s">
        <v>4143</v>
      </c>
      <c r="J1111" s="10" t="s">
        <v>4144</v>
      </c>
      <c r="K1111" s="10" t="s">
        <v>4145</v>
      </c>
      <c r="L1111" s="65" t="str">
        <f t="shared" si="88"/>
        <v>Mashhad|Iran|59,611946|36,295834|+3:30 Asia</v>
      </c>
      <c r="M1111" s="10" t="s">
        <v>4180</v>
      </c>
      <c r="N1111" s="10">
        <f t="shared" si="85"/>
        <v>0</v>
      </c>
      <c r="O1111" t="str">
        <f t="shared" si="89"/>
        <v/>
      </c>
      <c r="P1111" t="str">
        <f>IF(O1111=1,COUNTIF($O$2:O1111,1),"")</f>
        <v/>
      </c>
      <c r="Q1111" t="str">
        <f>IFERROR(INDEX($M$2:$M$2388,MATCH(ROWS($P$2:P1111),$P$2:$P$2388,0)),"")</f>
        <v/>
      </c>
    </row>
    <row r="1112" spans="1:17" ht="15" x14ac:dyDescent="0.25">
      <c r="A1112" s="10">
        <v>1196</v>
      </c>
      <c r="B1112" s="10" t="s">
        <v>4181</v>
      </c>
      <c r="C1112" s="880">
        <f t="shared" si="86"/>
        <v>51.3658</v>
      </c>
      <c r="D1112" s="880">
        <f t="shared" si="87"/>
        <v>32.633000000000003</v>
      </c>
      <c r="E1112" s="10">
        <v>51.365833000000002</v>
      </c>
      <c r="F1112" s="10">
        <v>32.633057000000001</v>
      </c>
      <c r="G1112" s="10">
        <v>3.5</v>
      </c>
      <c r="H1112" s="10" t="s">
        <v>4142</v>
      </c>
      <c r="I1112" s="10" t="s">
        <v>4143</v>
      </c>
      <c r="J1112" s="10" t="s">
        <v>4144</v>
      </c>
      <c r="K1112" s="10" t="s">
        <v>4145</v>
      </c>
      <c r="L1112" s="65" t="str">
        <f t="shared" si="88"/>
        <v>Najafabad|Iran|51,365833|32,633057|+3:30 Asia</v>
      </c>
      <c r="M1112" s="10" t="s">
        <v>4182</v>
      </c>
      <c r="N1112" s="10">
        <f t="shared" si="85"/>
        <v>0</v>
      </c>
      <c r="O1112" t="str">
        <f t="shared" si="89"/>
        <v/>
      </c>
      <c r="P1112" t="str">
        <f>IF(O1112=1,COUNTIF($O$2:O1112,1),"")</f>
        <v/>
      </c>
      <c r="Q1112" t="str">
        <f>IFERROR(INDEX($M$2:$M$2388,MATCH(ROWS($P$2:P1112),$P$2:$P$2388,0)),"")</f>
        <v/>
      </c>
    </row>
    <row r="1113" spans="1:17" ht="15" x14ac:dyDescent="0.25">
      <c r="A1113" s="10">
        <v>1181</v>
      </c>
      <c r="B1113" s="10" t="s">
        <v>4183</v>
      </c>
      <c r="C1113" s="880">
        <f t="shared" si="86"/>
        <v>50.607399999999998</v>
      </c>
      <c r="D1113" s="880">
        <f t="shared" si="87"/>
        <v>35.951999999999998</v>
      </c>
      <c r="E1113" s="10">
        <v>50.607498</v>
      </c>
      <c r="F1113" s="10">
        <v>35.952098999999997</v>
      </c>
      <c r="G1113" s="10">
        <v>3.5</v>
      </c>
      <c r="H1113" s="10" t="s">
        <v>4142</v>
      </c>
      <c r="I1113" s="10" t="s">
        <v>4143</v>
      </c>
      <c r="J1113" s="10" t="s">
        <v>4144</v>
      </c>
      <c r="K1113" s="10" t="s">
        <v>4145</v>
      </c>
      <c r="L1113" s="65" t="str">
        <f t="shared" si="88"/>
        <v>Nazarabad|Iran|50,607498|35,952099|+3:30 Asia</v>
      </c>
      <c r="M1113" s="10" t="s">
        <v>4184</v>
      </c>
      <c r="N1113" s="10">
        <f t="shared" si="85"/>
        <v>0</v>
      </c>
      <c r="O1113" t="str">
        <f t="shared" si="89"/>
        <v/>
      </c>
      <c r="P1113" t="str">
        <f>IF(O1113=1,COUNTIF($O$2:O1113,1),"")</f>
        <v/>
      </c>
      <c r="Q1113" t="str">
        <f>IFERROR(INDEX($M$2:$M$2388,MATCH(ROWS($P$2:P1113),$P$2:$P$2388,0)),"")</f>
        <v/>
      </c>
    </row>
    <row r="1114" spans="1:17" ht="15" x14ac:dyDescent="0.25">
      <c r="A1114" s="10">
        <v>1180</v>
      </c>
      <c r="B1114" s="10" t="s">
        <v>4185</v>
      </c>
      <c r="C1114" s="880">
        <f t="shared" si="86"/>
        <v>58.7988</v>
      </c>
      <c r="D1114" s="880">
        <f t="shared" si="87"/>
        <v>36.209699999999998</v>
      </c>
      <c r="E1114" s="10">
        <v>58.798889000000003</v>
      </c>
      <c r="F1114" s="10">
        <v>36.209721000000002</v>
      </c>
      <c r="G1114" s="10">
        <v>3.5</v>
      </c>
      <c r="H1114" s="10" t="s">
        <v>4142</v>
      </c>
      <c r="I1114" s="10" t="s">
        <v>4143</v>
      </c>
      <c r="J1114" s="10" t="s">
        <v>4144</v>
      </c>
      <c r="K1114" s="10" t="s">
        <v>4145</v>
      </c>
      <c r="L1114" s="65" t="str">
        <f t="shared" si="88"/>
        <v>Neyshabur|Iran|58,798889|36,209721|+3:30 Asia</v>
      </c>
      <c r="M1114" s="10" t="s">
        <v>4186</v>
      </c>
      <c r="N1114" s="10">
        <f t="shared" si="85"/>
        <v>0</v>
      </c>
      <c r="O1114" t="str">
        <f t="shared" si="89"/>
        <v/>
      </c>
      <c r="P1114" t="str">
        <f>IF(O1114=1,COUNTIF($O$2:O1114,1),"")</f>
        <v/>
      </c>
      <c r="Q1114" t="str">
        <f>IFERROR(INDEX($M$2:$M$2388,MATCH(ROWS($P$2:P1114),$P$2:$P$2388,0)),"")</f>
        <v/>
      </c>
    </row>
    <row r="1115" spans="1:17" ht="15" x14ac:dyDescent="0.25">
      <c r="A1115" s="10">
        <v>1166</v>
      </c>
      <c r="B1115" s="10" t="s">
        <v>4187</v>
      </c>
      <c r="C1115" s="880">
        <f t="shared" si="86"/>
        <v>47.9666</v>
      </c>
      <c r="D1115" s="880">
        <f t="shared" si="87"/>
        <v>34.066600000000001</v>
      </c>
      <c r="E1115" s="10">
        <v>47.966667000000001</v>
      </c>
      <c r="F1115" s="10">
        <v>34.066665999999998</v>
      </c>
      <c r="G1115" s="10">
        <v>3.5</v>
      </c>
      <c r="H1115" s="10" t="s">
        <v>4142</v>
      </c>
      <c r="I1115" s="10" t="s">
        <v>4143</v>
      </c>
      <c r="J1115" s="10" t="s">
        <v>4144</v>
      </c>
      <c r="K1115" s="10" t="s">
        <v>4145</v>
      </c>
      <c r="L1115" s="65" t="str">
        <f t="shared" si="88"/>
        <v>Nurabad|Iran|47,966667|34,066666|+3:30 Asia</v>
      </c>
      <c r="M1115" s="10" t="s">
        <v>4188</v>
      </c>
      <c r="N1115" s="10">
        <f t="shared" si="85"/>
        <v>0</v>
      </c>
      <c r="O1115" t="str">
        <f t="shared" si="89"/>
        <v/>
      </c>
      <c r="P1115" t="str">
        <f>IF(O1115=1,COUNTIF($O$2:O1115,1),"")</f>
        <v/>
      </c>
      <c r="Q1115" t="str">
        <f>IFERROR(INDEX($M$2:$M$2388,MATCH(ROWS($P$2:P1115),$P$2:$P$2388,0)),"")</f>
        <v/>
      </c>
    </row>
    <row r="1116" spans="1:17" ht="15" x14ac:dyDescent="0.25">
      <c r="A1116" s="10">
        <v>1167</v>
      </c>
      <c r="B1116" s="10" t="s">
        <v>4189</v>
      </c>
      <c r="C1116" s="880">
        <f t="shared" si="86"/>
        <v>51.568800000000003</v>
      </c>
      <c r="D1116" s="880">
        <f t="shared" si="87"/>
        <v>35.439399999999999</v>
      </c>
      <c r="E1116" s="10">
        <v>51.568890000000003</v>
      </c>
      <c r="F1116" s="10">
        <v>35.439444999999999</v>
      </c>
      <c r="G1116" s="10">
        <v>3.5</v>
      </c>
      <c r="H1116" s="10" t="s">
        <v>4142</v>
      </c>
      <c r="I1116" s="10" t="s">
        <v>4143</v>
      </c>
      <c r="J1116" s="10" t="s">
        <v>4144</v>
      </c>
      <c r="K1116" s="10" t="s">
        <v>4145</v>
      </c>
      <c r="L1116" s="65" t="str">
        <f t="shared" si="88"/>
        <v>Qarchak|Iran|51,568890|35,439445|+3:30 Asia</v>
      </c>
      <c r="M1116" s="10" t="s">
        <v>4190</v>
      </c>
      <c r="N1116" s="10">
        <f t="shared" si="85"/>
        <v>0</v>
      </c>
      <c r="O1116" t="str">
        <f t="shared" si="89"/>
        <v/>
      </c>
      <c r="P1116" t="str">
        <f>IF(O1116=1,COUNTIF($O$2:O1116,1),"")</f>
        <v/>
      </c>
      <c r="Q1116" t="str">
        <f>IFERROR(INDEX($M$2:$M$2388,MATCH(ROWS($P$2:P1116),$P$2:$P$2388,0)),"")</f>
        <v/>
      </c>
    </row>
    <row r="1117" spans="1:17" ht="15" x14ac:dyDescent="0.25">
      <c r="A1117" s="10">
        <v>1179</v>
      </c>
      <c r="B1117" s="10" t="s">
        <v>4191</v>
      </c>
      <c r="C1117" s="880">
        <f t="shared" si="86"/>
        <v>50.0169</v>
      </c>
      <c r="D1117" s="880">
        <f t="shared" si="87"/>
        <v>36.2622</v>
      </c>
      <c r="E1117" s="10">
        <v>50.016945</v>
      </c>
      <c r="F1117" s="10">
        <v>36.262222000000001</v>
      </c>
      <c r="G1117" s="10">
        <v>3.5</v>
      </c>
      <c r="H1117" s="10" t="s">
        <v>4142</v>
      </c>
      <c r="I1117" s="10" t="s">
        <v>4143</v>
      </c>
      <c r="J1117" s="10" t="s">
        <v>4144</v>
      </c>
      <c r="K1117" s="10" t="s">
        <v>4145</v>
      </c>
      <c r="L1117" s="65" t="str">
        <f t="shared" si="88"/>
        <v>Qazvin|Iran|50,016945|36,262222|+3:30 Asia</v>
      </c>
      <c r="M1117" s="10" t="s">
        <v>4192</v>
      </c>
      <c r="N1117" s="10">
        <f t="shared" si="85"/>
        <v>0</v>
      </c>
      <c r="O1117" t="str">
        <f t="shared" si="89"/>
        <v/>
      </c>
      <c r="P1117" t="str">
        <f>IF(O1117=1,COUNTIF($O$2:O1117,1),"")</f>
        <v/>
      </c>
      <c r="Q1117" t="str">
        <f>IFERROR(INDEX($M$2:$M$2388,MATCH(ROWS($P$2:P1117),$P$2:$P$2388,0)),"")</f>
        <v/>
      </c>
    </row>
    <row r="1118" spans="1:17" ht="15" x14ac:dyDescent="0.25">
      <c r="A1118" s="10">
        <v>1178</v>
      </c>
      <c r="B1118" s="10" t="s">
        <v>4193</v>
      </c>
      <c r="C1118" s="880">
        <f t="shared" si="86"/>
        <v>50.880800000000001</v>
      </c>
      <c r="D1118" s="880">
        <f t="shared" si="87"/>
        <v>34.645200000000003</v>
      </c>
      <c r="E1118" s="10">
        <v>50.880833000000003</v>
      </c>
      <c r="F1118" s="10">
        <v>34.645279000000002</v>
      </c>
      <c r="G1118" s="10">
        <v>3.5</v>
      </c>
      <c r="H1118" s="10" t="s">
        <v>4142</v>
      </c>
      <c r="I1118" s="10" t="s">
        <v>4143</v>
      </c>
      <c r="J1118" s="10" t="s">
        <v>4144</v>
      </c>
      <c r="K1118" s="10" t="s">
        <v>4145</v>
      </c>
      <c r="L1118" s="65" t="str">
        <f t="shared" si="88"/>
        <v>Qom|Iran|50,880833|34,645279|+3:30 Asia</v>
      </c>
      <c r="M1118" s="10" t="s">
        <v>4194</v>
      </c>
      <c r="N1118" s="10">
        <f t="shared" si="85"/>
        <v>0</v>
      </c>
      <c r="O1118" t="str">
        <f t="shared" si="89"/>
        <v/>
      </c>
      <c r="P1118" t="str">
        <f>IF(O1118=1,COUNTIF($O$2:O1118,1),"")</f>
        <v/>
      </c>
      <c r="Q1118" t="str">
        <f>IFERROR(INDEX($M$2:$M$2388,MATCH(ROWS($P$2:P1118),$P$2:$P$2388,0)),"")</f>
        <v/>
      </c>
    </row>
    <row r="1119" spans="1:17" ht="15" x14ac:dyDescent="0.25">
      <c r="A1119" s="10">
        <v>1177</v>
      </c>
      <c r="B1119" s="10" t="s">
        <v>4195</v>
      </c>
      <c r="C1119" s="880">
        <f t="shared" si="86"/>
        <v>49.585799999999999</v>
      </c>
      <c r="D1119" s="880">
        <f t="shared" si="87"/>
        <v>37.279400000000003</v>
      </c>
      <c r="E1119" s="10">
        <v>49.585835000000003</v>
      </c>
      <c r="F1119" s="10">
        <v>37.279446</v>
      </c>
      <c r="G1119" s="10">
        <v>3.5</v>
      </c>
      <c r="H1119" s="10" t="s">
        <v>4142</v>
      </c>
      <c r="I1119" s="10" t="s">
        <v>4143</v>
      </c>
      <c r="J1119" s="10" t="s">
        <v>4144</v>
      </c>
      <c r="K1119" s="10" t="s">
        <v>4145</v>
      </c>
      <c r="L1119" s="65" t="str">
        <f t="shared" si="88"/>
        <v>Rasht|Iran|49,585835|37,279446|+3:30 Asia</v>
      </c>
      <c r="M1119" s="10" t="s">
        <v>4196</v>
      </c>
      <c r="N1119" s="10">
        <f t="shared" si="85"/>
        <v>0</v>
      </c>
      <c r="O1119" t="str">
        <f t="shared" si="89"/>
        <v/>
      </c>
      <c r="P1119" t="str">
        <f>IF(O1119=1,COUNTIF($O$2:O1119,1),"")</f>
        <v/>
      </c>
      <c r="Q1119" t="str">
        <f>IFERROR(INDEX($M$2:$M$2388,MATCH(ROWS($P$2:P1119),$P$2:$P$2388,0)),"")</f>
        <v/>
      </c>
    </row>
    <row r="1120" spans="1:17" ht="15" x14ac:dyDescent="0.25">
      <c r="A1120" s="10">
        <v>1176</v>
      </c>
      <c r="B1120" s="10" t="s">
        <v>4197</v>
      </c>
      <c r="C1120" s="880">
        <f t="shared" si="86"/>
        <v>57.679699999999997</v>
      </c>
      <c r="D1120" s="880">
        <f t="shared" si="87"/>
        <v>36.214399999999998</v>
      </c>
      <c r="E1120" s="10">
        <v>57.679721999999998</v>
      </c>
      <c r="F1120" s="10">
        <v>36.214443000000003</v>
      </c>
      <c r="G1120" s="10">
        <v>3.5</v>
      </c>
      <c r="H1120" s="10" t="s">
        <v>4142</v>
      </c>
      <c r="I1120" s="10" t="s">
        <v>4143</v>
      </c>
      <c r="J1120" s="10" t="s">
        <v>4144</v>
      </c>
      <c r="K1120" s="10" t="s">
        <v>4145</v>
      </c>
      <c r="L1120" s="65" t="str">
        <f t="shared" si="88"/>
        <v>Sabzevar|Iran|57,679722|36,214443|+3:30 Asia</v>
      </c>
      <c r="M1120" s="10" t="s">
        <v>4198</v>
      </c>
      <c r="N1120" s="10">
        <f t="shared" si="85"/>
        <v>0</v>
      </c>
      <c r="O1120" t="str">
        <f t="shared" si="89"/>
        <v/>
      </c>
      <c r="P1120" t="str">
        <f>IF(O1120=1,COUNTIF($O$2:O1120,1),"")</f>
        <v/>
      </c>
      <c r="Q1120" t="str">
        <f>IFERROR(INDEX($M$2:$M$2388,MATCH(ROWS($P$2:P1120),$P$2:$P$2388,0)),"")</f>
        <v/>
      </c>
    </row>
    <row r="1121" spans="1:17" ht="15" x14ac:dyDescent="0.25">
      <c r="A1121" s="10">
        <v>1175</v>
      </c>
      <c r="B1121" s="10" t="s">
        <v>4199</v>
      </c>
      <c r="C1121" s="880">
        <f t="shared" si="86"/>
        <v>46.998800000000003</v>
      </c>
      <c r="D1121" s="880">
        <f t="shared" si="87"/>
        <v>35.3172</v>
      </c>
      <c r="E1121" s="10">
        <v>46.998890000000003</v>
      </c>
      <c r="F1121" s="10">
        <v>35.317222999999998</v>
      </c>
      <c r="G1121" s="10">
        <v>3.5</v>
      </c>
      <c r="H1121" s="10" t="s">
        <v>4142</v>
      </c>
      <c r="I1121" s="10" t="s">
        <v>4143</v>
      </c>
      <c r="J1121" s="10" t="s">
        <v>4144</v>
      </c>
      <c r="K1121" s="10" t="s">
        <v>4145</v>
      </c>
      <c r="L1121" s="65" t="str">
        <f t="shared" si="88"/>
        <v>Sanandaj|Iran|46,998890|35,317223|+3:30 Asia</v>
      </c>
      <c r="M1121" s="10" t="s">
        <v>4200</v>
      </c>
      <c r="N1121" s="10">
        <f t="shared" si="85"/>
        <v>0</v>
      </c>
      <c r="O1121" t="str">
        <f t="shared" si="89"/>
        <v/>
      </c>
      <c r="P1121" t="str">
        <f>IF(O1121=1,COUNTIF($O$2:O1121,1),"")</f>
        <v/>
      </c>
      <c r="Q1121" t="str">
        <f>IFERROR(INDEX($M$2:$M$2388,MATCH(ROWS($P$2:P1121),$P$2:$P$2388,0)),"")</f>
        <v/>
      </c>
    </row>
    <row r="1122" spans="1:17" ht="15" x14ac:dyDescent="0.25">
      <c r="A1122" s="10">
        <v>1174</v>
      </c>
      <c r="B1122" s="10" t="s">
        <v>4201</v>
      </c>
      <c r="C1122" s="880">
        <f t="shared" si="86"/>
        <v>53.058599999999998</v>
      </c>
      <c r="D1122" s="880">
        <f t="shared" si="87"/>
        <v>36.567700000000002</v>
      </c>
      <c r="E1122" s="10">
        <v>53.058613000000001</v>
      </c>
      <c r="F1122" s="10">
        <v>36.567779999999999</v>
      </c>
      <c r="G1122" s="10">
        <v>3.5</v>
      </c>
      <c r="H1122" s="10" t="s">
        <v>4142</v>
      </c>
      <c r="I1122" s="10" t="s">
        <v>4143</v>
      </c>
      <c r="J1122" s="10" t="s">
        <v>4144</v>
      </c>
      <c r="K1122" s="10" t="s">
        <v>4145</v>
      </c>
      <c r="L1122" s="65" t="str">
        <f t="shared" si="88"/>
        <v>Sari|Iran|53,058613|36,567780|+3:30 Asia</v>
      </c>
      <c r="M1122" s="10" t="s">
        <v>4202</v>
      </c>
      <c r="N1122" s="10">
        <f t="shared" si="85"/>
        <v>0</v>
      </c>
      <c r="O1122" t="str">
        <f t="shared" si="89"/>
        <v/>
      </c>
      <c r="P1122" t="str">
        <f>IF(O1122=1,COUNTIF($O$2:O1122,1),"")</f>
        <v/>
      </c>
      <c r="Q1122" t="str">
        <f>IFERROR(INDEX($M$2:$M$2388,MATCH(ROWS($P$2:P1122),$P$2:$P$2388,0)),"")</f>
        <v/>
      </c>
    </row>
    <row r="1123" spans="1:17" ht="15" x14ac:dyDescent="0.25">
      <c r="A1123" s="10">
        <v>1173</v>
      </c>
      <c r="B1123" s="10" t="s">
        <v>4203</v>
      </c>
      <c r="C1123" s="880">
        <f t="shared" si="86"/>
        <v>52.5383</v>
      </c>
      <c r="D1123" s="880">
        <f t="shared" si="87"/>
        <v>29.614999999999998</v>
      </c>
      <c r="E1123" s="10">
        <v>52.538333999999999</v>
      </c>
      <c r="F1123" s="10">
        <v>29.614999999999998</v>
      </c>
      <c r="G1123" s="10">
        <v>3.5</v>
      </c>
      <c r="H1123" s="10" t="s">
        <v>4142</v>
      </c>
      <c r="I1123" s="10" t="s">
        <v>4143</v>
      </c>
      <c r="J1123" s="10" t="s">
        <v>4144</v>
      </c>
      <c r="K1123" s="10" t="s">
        <v>4145</v>
      </c>
      <c r="L1123" s="65" t="str">
        <f t="shared" si="88"/>
        <v>Shiraz|Iran|52,538334|29,615000|+3:30 Asia</v>
      </c>
      <c r="M1123" s="10" t="s">
        <v>4204</v>
      </c>
      <c r="N1123" s="10">
        <f t="shared" si="85"/>
        <v>0</v>
      </c>
      <c r="O1123" t="str">
        <f t="shared" si="89"/>
        <v/>
      </c>
      <c r="P1123" t="str">
        <f>IF(O1123=1,COUNTIF($O$2:O1123,1),"")</f>
        <v/>
      </c>
      <c r="Q1123" t="str">
        <f>IFERROR(INDEX($M$2:$M$2388,MATCH(ROWS($P$2:P1123),$P$2:$P$2388,0)),"")</f>
        <v/>
      </c>
    </row>
    <row r="1124" spans="1:17" ht="15" x14ac:dyDescent="0.25">
      <c r="A1124" s="10">
        <v>1172</v>
      </c>
      <c r="B1124" s="10" t="s">
        <v>4205</v>
      </c>
      <c r="C1124" s="880">
        <f t="shared" si="86"/>
        <v>55.671599999999998</v>
      </c>
      <c r="D1124" s="880">
        <f t="shared" si="87"/>
        <v>29.4513</v>
      </c>
      <c r="E1124" s="10">
        <v>55.671664999999997</v>
      </c>
      <c r="F1124" s="10">
        <v>29.451388999999999</v>
      </c>
      <c r="G1124" s="10">
        <v>3.5</v>
      </c>
      <c r="H1124" s="10" t="s">
        <v>4142</v>
      </c>
      <c r="I1124" s="10" t="s">
        <v>4143</v>
      </c>
      <c r="J1124" s="10" t="s">
        <v>4144</v>
      </c>
      <c r="K1124" s="10" t="s">
        <v>4145</v>
      </c>
      <c r="L1124" s="65" t="str">
        <f t="shared" si="88"/>
        <v>Sirjan|Iran|55,671665|29,451389|+3:30 Asia</v>
      </c>
      <c r="M1124" s="10" t="s">
        <v>4206</v>
      </c>
      <c r="N1124" s="10">
        <f t="shared" si="85"/>
        <v>0</v>
      </c>
      <c r="O1124" t="str">
        <f t="shared" si="89"/>
        <v/>
      </c>
      <c r="P1124" t="str">
        <f>IF(O1124=1,COUNTIF($O$2:O1124,1),"")</f>
        <v/>
      </c>
      <c r="Q1124" t="str">
        <f>IFERROR(INDEX($M$2:$M$2388,MATCH(ROWS($P$2:P1124),$P$2:$P$2388,0)),"")</f>
        <v/>
      </c>
    </row>
    <row r="1125" spans="1:17" ht="15" x14ac:dyDescent="0.25">
      <c r="A1125" s="10">
        <v>1171</v>
      </c>
      <c r="B1125" s="10" t="s">
        <v>4207</v>
      </c>
      <c r="C1125" s="880">
        <f t="shared" si="86"/>
        <v>46.291899999999998</v>
      </c>
      <c r="D1125" s="880">
        <f t="shared" si="87"/>
        <v>38.08</v>
      </c>
      <c r="E1125" s="10">
        <v>46.291943000000003</v>
      </c>
      <c r="F1125" s="10">
        <v>38.080002</v>
      </c>
      <c r="G1125" s="10">
        <v>3.5</v>
      </c>
      <c r="H1125" s="10" t="s">
        <v>4142</v>
      </c>
      <c r="I1125" s="10" t="s">
        <v>4143</v>
      </c>
      <c r="J1125" s="10" t="s">
        <v>4144</v>
      </c>
      <c r="K1125" s="10" t="s">
        <v>4145</v>
      </c>
      <c r="L1125" s="65" t="str">
        <f t="shared" si="88"/>
        <v>Tabriz|Iran|46,291943|38,080002|+3:30 Asia</v>
      </c>
      <c r="M1125" s="10" t="s">
        <v>4208</v>
      </c>
      <c r="N1125" s="10">
        <f t="shared" si="85"/>
        <v>0</v>
      </c>
      <c r="O1125" t="str">
        <f t="shared" si="89"/>
        <v/>
      </c>
      <c r="P1125" t="str">
        <f>IF(O1125=1,COUNTIF($O$2:O1125,1),"")</f>
        <v/>
      </c>
      <c r="Q1125" t="str">
        <f>IFERROR(INDEX($M$2:$M$2388,MATCH(ROWS($P$2:P1125),$P$2:$P$2388,0)),"")</f>
        <v/>
      </c>
    </row>
    <row r="1126" spans="1:17" ht="15" x14ac:dyDescent="0.25">
      <c r="A1126" s="10">
        <v>1170</v>
      </c>
      <c r="B1126" s="10" t="s">
        <v>4209</v>
      </c>
      <c r="C1126" s="880">
        <f t="shared" si="86"/>
        <v>51.424399999999999</v>
      </c>
      <c r="D1126" s="880">
        <f t="shared" si="87"/>
        <v>35.671900000000001</v>
      </c>
      <c r="E1126" s="10">
        <v>51.424446000000003</v>
      </c>
      <c r="F1126" s="10">
        <v>35.671944000000003</v>
      </c>
      <c r="G1126" s="10">
        <v>3.5</v>
      </c>
      <c r="H1126" s="10" t="s">
        <v>4142</v>
      </c>
      <c r="I1126" s="10" t="s">
        <v>4143</v>
      </c>
      <c r="J1126" s="10" t="s">
        <v>4144</v>
      </c>
      <c r="K1126" s="10" t="s">
        <v>4145</v>
      </c>
      <c r="L1126" s="65" t="str">
        <f t="shared" si="88"/>
        <v>Tehran|Iran|51,424446|35,671944|+3:30 Asia</v>
      </c>
      <c r="M1126" s="10" t="s">
        <v>4210</v>
      </c>
      <c r="N1126" s="10">
        <f t="shared" si="85"/>
        <v>0</v>
      </c>
      <c r="O1126" t="str">
        <f t="shared" si="89"/>
        <v/>
      </c>
      <c r="P1126" t="str">
        <f>IF(O1126=1,COUNTIF($O$2:O1126,1),"")</f>
        <v/>
      </c>
      <c r="Q1126" t="str">
        <f>IFERROR(INDEX($M$2:$M$2388,MATCH(ROWS($P$2:P1126),$P$2:$P$2388,0)),"")</f>
        <v/>
      </c>
    </row>
    <row r="1127" spans="1:17" ht="15" x14ac:dyDescent="0.25">
      <c r="A1127" s="10">
        <v>1169</v>
      </c>
      <c r="B1127" s="10" t="s">
        <v>4211</v>
      </c>
      <c r="C1127" s="880">
        <f t="shared" si="86"/>
        <v>54.3675</v>
      </c>
      <c r="D1127" s="880">
        <f t="shared" si="87"/>
        <v>31.897200000000002</v>
      </c>
      <c r="E1127" s="10">
        <v>54.3675</v>
      </c>
      <c r="F1127" s="10">
        <v>31.897223</v>
      </c>
      <c r="G1127" s="10">
        <v>3.5</v>
      </c>
      <c r="H1127" s="10" t="s">
        <v>4142</v>
      </c>
      <c r="I1127" s="10" t="s">
        <v>4143</v>
      </c>
      <c r="J1127" s="10" t="s">
        <v>4144</v>
      </c>
      <c r="K1127" s="10" t="s">
        <v>4145</v>
      </c>
      <c r="L1127" s="65" t="str">
        <f t="shared" si="88"/>
        <v>Yazd|Iran|54,367500|31,897223|+3:30 Asia</v>
      </c>
      <c r="M1127" s="10" t="s">
        <v>4212</v>
      </c>
      <c r="N1127" s="10">
        <f t="shared" si="85"/>
        <v>0</v>
      </c>
      <c r="O1127" t="str">
        <f t="shared" si="89"/>
        <v/>
      </c>
      <c r="P1127" t="str">
        <f>IF(O1127=1,COUNTIF($O$2:O1127,1),"")</f>
        <v/>
      </c>
      <c r="Q1127" t="str">
        <f>IFERROR(INDEX($M$2:$M$2388,MATCH(ROWS($P$2:P1127),$P$2:$P$2388,0)),"")</f>
        <v/>
      </c>
    </row>
    <row r="1128" spans="1:17" ht="15" x14ac:dyDescent="0.25">
      <c r="A1128" s="10">
        <v>1199</v>
      </c>
      <c r="B1128" s="10" t="s">
        <v>4213</v>
      </c>
      <c r="C1128" s="880">
        <f t="shared" si="86"/>
        <v>60.872700000000002</v>
      </c>
      <c r="D1128" s="880">
        <f t="shared" si="87"/>
        <v>29.497699999999998</v>
      </c>
      <c r="E1128" s="10">
        <v>60.872776000000002</v>
      </c>
      <c r="F1128" s="10">
        <v>29.497778</v>
      </c>
      <c r="G1128" s="10">
        <v>3.5</v>
      </c>
      <c r="H1128" s="10" t="s">
        <v>4142</v>
      </c>
      <c r="I1128" s="10" t="s">
        <v>4143</v>
      </c>
      <c r="J1128" s="10" t="s">
        <v>4144</v>
      </c>
      <c r="K1128" s="10" t="s">
        <v>4145</v>
      </c>
      <c r="L1128" s="65" t="str">
        <f t="shared" si="88"/>
        <v>Zahedan|Iran|60,872776|29,497778|+3:30 Asia</v>
      </c>
      <c r="M1128" s="10" t="s">
        <v>4214</v>
      </c>
      <c r="N1128" s="10">
        <f t="shared" si="85"/>
        <v>0</v>
      </c>
      <c r="O1128" t="str">
        <f t="shared" si="89"/>
        <v/>
      </c>
      <c r="P1128" t="str">
        <f>IF(O1128=1,COUNTIF($O$2:O1128,1),"")</f>
        <v/>
      </c>
      <c r="Q1128" t="str">
        <f>IFERROR(INDEX($M$2:$M$2388,MATCH(ROWS($P$2:P1128),$P$2:$P$2388,0)),"")</f>
        <v/>
      </c>
    </row>
    <row r="1129" spans="1:17" ht="15" x14ac:dyDescent="0.25">
      <c r="A1129" s="10">
        <v>1168</v>
      </c>
      <c r="B1129" s="10" t="s">
        <v>4215</v>
      </c>
      <c r="C1129" s="880">
        <f t="shared" si="86"/>
        <v>48.4786</v>
      </c>
      <c r="D1129" s="880">
        <f t="shared" si="87"/>
        <v>36.673499999999997</v>
      </c>
      <c r="E1129" s="10">
        <v>48.478698999999999</v>
      </c>
      <c r="F1129" s="10">
        <v>36.673599000000003</v>
      </c>
      <c r="G1129" s="10">
        <v>3.5</v>
      </c>
      <c r="H1129" s="10" t="s">
        <v>4142</v>
      </c>
      <c r="I1129" s="10" t="s">
        <v>4143</v>
      </c>
      <c r="J1129" s="10" t="s">
        <v>4144</v>
      </c>
      <c r="K1129" s="10" t="s">
        <v>4145</v>
      </c>
      <c r="L1129" s="65" t="str">
        <f t="shared" si="88"/>
        <v>Zanjan|Iran|48,478699|36,673599|+3:30 Asia</v>
      </c>
      <c r="M1129" s="10" t="s">
        <v>4216</v>
      </c>
      <c r="N1129" s="10">
        <f t="shared" si="85"/>
        <v>0</v>
      </c>
      <c r="O1129" t="str">
        <f t="shared" si="89"/>
        <v/>
      </c>
      <c r="P1129" t="str">
        <f>IF(O1129=1,COUNTIF($O$2:O1129,1),"")</f>
        <v/>
      </c>
      <c r="Q1129" t="str">
        <f>IFERROR(INDEX($M$2:$M$2388,MATCH(ROWS($P$2:P1129),$P$2:$P$2388,0)),"")</f>
        <v/>
      </c>
    </row>
    <row r="1130" spans="1:17" ht="15" x14ac:dyDescent="0.25">
      <c r="A1130" s="10">
        <v>1162</v>
      </c>
      <c r="B1130" s="10" t="s">
        <v>4217</v>
      </c>
      <c r="C1130" s="880">
        <f t="shared" si="86"/>
        <v>44.185000000000002</v>
      </c>
      <c r="D1130" s="880">
        <f t="shared" si="87"/>
        <v>33.308300000000003</v>
      </c>
      <c r="E1130" s="10">
        <v>44.185001</v>
      </c>
      <c r="F1130" s="10">
        <v>33.308334000000002</v>
      </c>
      <c r="G1130" s="10">
        <v>3</v>
      </c>
      <c r="H1130" s="10" t="s">
        <v>1883</v>
      </c>
      <c r="I1130" s="10" t="s">
        <v>4218</v>
      </c>
      <c r="J1130" s="10" t="s">
        <v>4219</v>
      </c>
      <c r="K1130" s="10" t="s">
        <v>4220</v>
      </c>
      <c r="L1130" s="65" t="str">
        <f t="shared" si="88"/>
        <v>Abu Ghurayb|Iraq|44,185001|33,308334|+3:00 Asia</v>
      </c>
      <c r="M1130" s="10" t="s">
        <v>4221</v>
      </c>
      <c r="N1130" s="10">
        <f t="shared" si="85"/>
        <v>0</v>
      </c>
      <c r="O1130" t="str">
        <f t="shared" si="89"/>
        <v/>
      </c>
      <c r="P1130" t="str">
        <f>IF(O1130=1,COUNTIF($O$2:O1130,1),"")</f>
        <v/>
      </c>
      <c r="Q1130" t="str">
        <f>IFERROR(INDEX($M$2:$M$2388,MATCH(ROWS($P$2:P1130),$P$2:$P$2388,0)),"")</f>
        <v/>
      </c>
    </row>
    <row r="1131" spans="1:17" ht="15" x14ac:dyDescent="0.25">
      <c r="A1131" s="10">
        <v>1161</v>
      </c>
      <c r="B1131" s="10" t="s">
        <v>4222</v>
      </c>
      <c r="C1131" s="880">
        <f t="shared" si="86"/>
        <v>44.9255</v>
      </c>
      <c r="D1131" s="880">
        <f t="shared" si="87"/>
        <v>31.9877</v>
      </c>
      <c r="E1131" s="10">
        <v>44.925556</v>
      </c>
      <c r="F1131" s="10">
        <v>31.987777999999999</v>
      </c>
      <c r="G1131" s="10">
        <v>3</v>
      </c>
      <c r="H1131" s="10" t="s">
        <v>1883</v>
      </c>
      <c r="I1131" s="10" t="s">
        <v>4218</v>
      </c>
      <c r="J1131" s="10" t="s">
        <v>4219</v>
      </c>
      <c r="K1131" s="10" t="s">
        <v>4220</v>
      </c>
      <c r="L1131" s="65" t="str">
        <f t="shared" si="88"/>
        <v>Ad Diwaniyah|Iraq|44,925556|31,987778|+3:00 Asia</v>
      </c>
      <c r="M1131" s="10" t="s">
        <v>4223</v>
      </c>
      <c r="N1131" s="10">
        <f t="shared" si="85"/>
        <v>0</v>
      </c>
      <c r="O1131" t="str">
        <f t="shared" si="89"/>
        <v/>
      </c>
      <c r="P1131" t="str">
        <f>IF(O1131=1,COUNTIF($O$2:O1131,1),"")</f>
        <v/>
      </c>
      <c r="Q1131" t="str">
        <f>IFERROR(INDEX($M$2:$M$2388,MATCH(ROWS($P$2:P1131),$P$2:$P$2388,0)),"")</f>
        <v/>
      </c>
    </row>
    <row r="1132" spans="1:17" ht="15" x14ac:dyDescent="0.25">
      <c r="A1132" s="10">
        <v>1160</v>
      </c>
      <c r="B1132" s="10" t="s">
        <v>4224</v>
      </c>
      <c r="C1132" s="880">
        <f t="shared" si="86"/>
        <v>47.175199999999997</v>
      </c>
      <c r="D1132" s="880">
        <f t="shared" si="87"/>
        <v>31.845199999999998</v>
      </c>
      <c r="E1132" s="10">
        <v>47.175277999999999</v>
      </c>
      <c r="F1132" s="10">
        <v>31.845278</v>
      </c>
      <c r="G1132" s="10">
        <v>3</v>
      </c>
      <c r="H1132" s="10" t="s">
        <v>1883</v>
      </c>
      <c r="I1132" s="10" t="s">
        <v>4218</v>
      </c>
      <c r="J1132" s="10" t="s">
        <v>4219</v>
      </c>
      <c r="K1132" s="10" t="s">
        <v>4220</v>
      </c>
      <c r="L1132" s="65" t="str">
        <f t="shared" si="88"/>
        <v>Al `Amarah|Iraq|47,175278|31,845278|+3:00 Asia</v>
      </c>
      <c r="M1132" s="10" t="s">
        <v>4225</v>
      </c>
      <c r="N1132" s="10">
        <f t="shared" si="85"/>
        <v>0</v>
      </c>
      <c r="O1132" t="str">
        <f t="shared" si="89"/>
        <v/>
      </c>
      <c r="P1132" t="str">
        <f>IF(O1132=1,COUNTIF($O$2:O1132,1),"")</f>
        <v/>
      </c>
      <c r="Q1132" t="str">
        <f>IFERROR(INDEX($M$2:$M$2388,MATCH(ROWS($P$2:P1132),$P$2:$P$2388,0)),"")</f>
        <v/>
      </c>
    </row>
    <row r="1133" spans="1:17" ht="15" x14ac:dyDescent="0.25">
      <c r="A1133" s="10">
        <v>1159</v>
      </c>
      <c r="B1133" s="10" t="s">
        <v>4226</v>
      </c>
      <c r="C1133" s="880">
        <f t="shared" si="86"/>
        <v>47.819099999999999</v>
      </c>
      <c r="D1133" s="880">
        <f t="shared" si="87"/>
        <v>30.4941</v>
      </c>
      <c r="E1133" s="10">
        <v>47.819167999999998</v>
      </c>
      <c r="F1133" s="10">
        <v>30.494167000000001</v>
      </c>
      <c r="G1133" s="10">
        <v>3</v>
      </c>
      <c r="H1133" s="10" t="s">
        <v>1883</v>
      </c>
      <c r="I1133" s="10" t="s">
        <v>4218</v>
      </c>
      <c r="J1133" s="10" t="s">
        <v>4219</v>
      </c>
      <c r="K1133" s="10" t="s">
        <v>4220</v>
      </c>
      <c r="L1133" s="65" t="str">
        <f t="shared" si="88"/>
        <v>Al Basrah|Iraq|47,819168|30,494167|+3:00 Asia</v>
      </c>
      <c r="M1133" s="10" t="s">
        <v>4227</v>
      </c>
      <c r="N1133" s="10">
        <f t="shared" si="85"/>
        <v>0</v>
      </c>
      <c r="O1133" t="str">
        <f t="shared" si="89"/>
        <v/>
      </c>
      <c r="P1133" t="str">
        <f>IF(O1133=1,COUNTIF($O$2:O1133,1),"")</f>
        <v/>
      </c>
      <c r="Q1133" t="str">
        <f>IFERROR(INDEX($M$2:$M$2388,MATCH(ROWS($P$2:P1133),$P$2:$P$2388,0)),"")</f>
        <v/>
      </c>
    </row>
    <row r="1134" spans="1:17" ht="15" x14ac:dyDescent="0.25">
      <c r="A1134" s="10">
        <v>1163</v>
      </c>
      <c r="B1134" s="10" t="s">
        <v>4228</v>
      </c>
      <c r="C1134" s="880">
        <f t="shared" si="86"/>
        <v>47.817500000000003</v>
      </c>
      <c r="D1134" s="880">
        <f t="shared" si="87"/>
        <v>30.4955</v>
      </c>
      <c r="E1134" s="10">
        <v>47.817501</v>
      </c>
      <c r="F1134" s="10">
        <v>30.495556000000001</v>
      </c>
      <c r="G1134" s="10">
        <v>3</v>
      </c>
      <c r="H1134" s="10" t="s">
        <v>1883</v>
      </c>
      <c r="I1134" s="10" t="s">
        <v>4218</v>
      </c>
      <c r="J1134" s="10" t="s">
        <v>4219</v>
      </c>
      <c r="K1134" s="10" t="s">
        <v>4220</v>
      </c>
      <c r="L1134" s="65" t="str">
        <f t="shared" si="88"/>
        <v>Al Basrah al Qadimah|Iraq|47,817501|30,495556|+3:00 Asia</v>
      </c>
      <c r="M1134" s="10" t="s">
        <v>4229</v>
      </c>
      <c r="N1134" s="10">
        <f t="shared" si="85"/>
        <v>0</v>
      </c>
      <c r="O1134" t="str">
        <f t="shared" si="89"/>
        <v/>
      </c>
      <c r="P1134" t="str">
        <f>IF(O1134=1,COUNTIF($O$2:O1134,1),"")</f>
        <v/>
      </c>
      <c r="Q1134" t="str">
        <f>IFERROR(INDEX($M$2:$M$2388,MATCH(ROWS($P$2:P1134),$P$2:$P$2388,0)),"")</f>
        <v/>
      </c>
    </row>
    <row r="1135" spans="1:17" ht="15" x14ac:dyDescent="0.25">
      <c r="A1135" s="10">
        <v>1158</v>
      </c>
      <c r="B1135" s="10" t="s">
        <v>4230</v>
      </c>
      <c r="C1135" s="880">
        <f t="shared" si="86"/>
        <v>44.432699999999997</v>
      </c>
      <c r="D1135" s="880">
        <f t="shared" si="87"/>
        <v>32.479399999999998</v>
      </c>
      <c r="E1135" s="10">
        <v>44.432777000000002</v>
      </c>
      <c r="F1135" s="10">
        <v>32.479443000000003</v>
      </c>
      <c r="G1135" s="10">
        <v>3</v>
      </c>
      <c r="H1135" s="10" t="s">
        <v>1883</v>
      </c>
      <c r="I1135" s="10" t="s">
        <v>4218</v>
      </c>
      <c r="J1135" s="10" t="s">
        <v>4219</v>
      </c>
      <c r="K1135" s="10" t="s">
        <v>4220</v>
      </c>
      <c r="L1135" s="65" t="str">
        <f t="shared" si="88"/>
        <v>Al Hillah|Iraq|44,432777|32,479443|+3:00 Asia</v>
      </c>
      <c r="M1135" s="10" t="s">
        <v>4231</v>
      </c>
      <c r="N1135" s="10">
        <f t="shared" si="85"/>
        <v>0</v>
      </c>
      <c r="O1135" t="str">
        <f t="shared" si="89"/>
        <v/>
      </c>
      <c r="P1135" t="str">
        <f>IF(O1135=1,COUNTIF($O$2:O1135,1),"")</f>
        <v/>
      </c>
      <c r="Q1135" t="str">
        <f>IFERROR(INDEX($M$2:$M$2388,MATCH(ROWS($P$2:P1135),$P$2:$P$2388,0)),"")</f>
        <v/>
      </c>
    </row>
    <row r="1136" spans="1:17" ht="15" x14ac:dyDescent="0.25">
      <c r="A1136" s="10">
        <v>1157</v>
      </c>
      <c r="B1136" s="10" t="s">
        <v>4232</v>
      </c>
      <c r="C1136" s="880">
        <f t="shared" si="86"/>
        <v>45.829099999999997</v>
      </c>
      <c r="D1136" s="880">
        <f t="shared" si="87"/>
        <v>32.497500000000002</v>
      </c>
      <c r="E1136" s="10">
        <v>45.829166000000001</v>
      </c>
      <c r="F1136" s="10">
        <v>32.497501</v>
      </c>
      <c r="G1136" s="10">
        <v>3</v>
      </c>
      <c r="H1136" s="10" t="s">
        <v>1883</v>
      </c>
      <c r="I1136" s="10" t="s">
        <v>4218</v>
      </c>
      <c r="J1136" s="10" t="s">
        <v>4219</v>
      </c>
      <c r="K1136" s="10" t="s">
        <v>4220</v>
      </c>
      <c r="L1136" s="65" t="str">
        <f t="shared" si="88"/>
        <v>Al Kut|Iraq|45,829166|32,497501|+3:00 Asia</v>
      </c>
      <c r="M1136" s="10" t="s">
        <v>4233</v>
      </c>
      <c r="N1136" s="10">
        <f t="shared" si="85"/>
        <v>0</v>
      </c>
      <c r="O1136" t="str">
        <f t="shared" si="89"/>
        <v/>
      </c>
      <c r="P1136" t="str">
        <f>IF(O1136=1,COUNTIF($O$2:O1136,1),"")</f>
        <v/>
      </c>
      <c r="Q1136" t="str">
        <f>IFERROR(INDEX($M$2:$M$2388,MATCH(ROWS($P$2:P1136),$P$2:$P$2388,0)),"")</f>
        <v/>
      </c>
    </row>
    <row r="1137" spans="1:17" ht="15" x14ac:dyDescent="0.25">
      <c r="A1137" s="10">
        <v>1155</v>
      </c>
      <c r="B1137" s="10" t="s">
        <v>4234</v>
      </c>
      <c r="C1137" s="880">
        <f t="shared" si="86"/>
        <v>43.086100000000002</v>
      </c>
      <c r="D1137" s="880">
        <f t="shared" si="87"/>
        <v>36.329099999999997</v>
      </c>
      <c r="E1137" s="10">
        <v>43.086112999999997</v>
      </c>
      <c r="F1137" s="10">
        <v>36.329166000000001</v>
      </c>
      <c r="G1137" s="10">
        <v>3</v>
      </c>
      <c r="H1137" s="10" t="s">
        <v>1883</v>
      </c>
      <c r="I1137" s="10" t="s">
        <v>4218</v>
      </c>
      <c r="J1137" s="10" t="s">
        <v>4219</v>
      </c>
      <c r="K1137" s="10" t="s">
        <v>4220</v>
      </c>
      <c r="L1137" s="65" t="str">
        <f t="shared" si="88"/>
        <v>Al Mawsil al Jadidah|Iraq|43,086113|36,329166|+3:00 Asia</v>
      </c>
      <c r="M1137" s="10" t="s">
        <v>4235</v>
      </c>
      <c r="N1137" s="10">
        <f t="shared" si="85"/>
        <v>0</v>
      </c>
      <c r="O1137" t="str">
        <f t="shared" si="89"/>
        <v/>
      </c>
      <c r="P1137" t="str">
        <f>IF(O1137=1,COUNTIF($O$2:O1137,1),"")</f>
        <v/>
      </c>
      <c r="Q1137" t="str">
        <f>IFERROR(INDEX($M$2:$M$2388,MATCH(ROWS($P$2:P1137),$P$2:$P$2388,0)),"")</f>
        <v/>
      </c>
    </row>
    <row r="1138" spans="1:17" ht="15" x14ac:dyDescent="0.25">
      <c r="A1138" s="10">
        <v>1154</v>
      </c>
      <c r="B1138" s="10" t="s">
        <v>4236</v>
      </c>
      <c r="C1138" s="880">
        <f t="shared" si="86"/>
        <v>44.314700000000002</v>
      </c>
      <c r="D1138" s="880">
        <f t="shared" si="87"/>
        <v>31.996099999999998</v>
      </c>
      <c r="E1138" s="10">
        <v>44.314723999999998</v>
      </c>
      <c r="F1138" s="10">
        <v>31.996110999999999</v>
      </c>
      <c r="G1138" s="10">
        <v>3</v>
      </c>
      <c r="H1138" s="10" t="s">
        <v>1883</v>
      </c>
      <c r="I1138" s="10" t="s">
        <v>4218</v>
      </c>
      <c r="J1138" s="10" t="s">
        <v>4219</v>
      </c>
      <c r="K1138" s="10" t="s">
        <v>4220</v>
      </c>
      <c r="L1138" s="65" t="str">
        <f t="shared" si="88"/>
        <v>An Najaf|Iraq|44,314724|31,996111|+3:00 Asia</v>
      </c>
      <c r="M1138" s="10" t="s">
        <v>4237</v>
      </c>
      <c r="N1138" s="10">
        <f t="shared" si="85"/>
        <v>0</v>
      </c>
      <c r="O1138" t="str">
        <f t="shared" si="89"/>
        <v/>
      </c>
      <c r="P1138" t="str">
        <f>IF(O1138=1,COUNTIF($O$2:O1138,1),"")</f>
        <v/>
      </c>
      <c r="Q1138" t="str">
        <f>IFERROR(INDEX($M$2:$M$2388,MATCH(ROWS($P$2:P1138),$P$2:$P$2388,0)),"")</f>
        <v/>
      </c>
    </row>
    <row r="1139" spans="1:17" ht="15" x14ac:dyDescent="0.25">
      <c r="A1139" s="10">
        <v>1153</v>
      </c>
      <c r="B1139" s="10" t="s">
        <v>4238</v>
      </c>
      <c r="C1139" s="880">
        <f t="shared" si="86"/>
        <v>46.259399999999999</v>
      </c>
      <c r="D1139" s="880">
        <f t="shared" si="87"/>
        <v>31.054099999999998</v>
      </c>
      <c r="E1139" s="10">
        <v>46.259444999999999</v>
      </c>
      <c r="F1139" s="10">
        <v>31.054167</v>
      </c>
      <c r="G1139" s="10">
        <v>3</v>
      </c>
      <c r="H1139" s="10" t="s">
        <v>1883</v>
      </c>
      <c r="I1139" s="10" t="s">
        <v>4218</v>
      </c>
      <c r="J1139" s="10" t="s">
        <v>4219</v>
      </c>
      <c r="K1139" s="10" t="s">
        <v>4220</v>
      </c>
      <c r="L1139" s="65" t="str">
        <f t="shared" si="88"/>
        <v>An Nasiriyah|Iraq|46,259445|31,054167|+3:00 Asia</v>
      </c>
      <c r="M1139" s="10" t="s">
        <v>4239</v>
      </c>
      <c r="N1139" s="10">
        <f t="shared" si="85"/>
        <v>0</v>
      </c>
      <c r="O1139" t="str">
        <f t="shared" si="89"/>
        <v/>
      </c>
      <c r="P1139" t="str">
        <f>IF(O1139=1,COUNTIF($O$2:O1139,1),"")</f>
        <v/>
      </c>
      <c r="Q1139" t="str">
        <f>IFERROR(INDEX($M$2:$M$2388,MATCH(ROWS($P$2:P1139),$P$2:$P$2388,0)),"")</f>
        <v/>
      </c>
    </row>
    <row r="1140" spans="1:17" ht="15" x14ac:dyDescent="0.25">
      <c r="A1140" s="10">
        <v>1152</v>
      </c>
      <c r="B1140" s="10" t="s">
        <v>4240</v>
      </c>
      <c r="C1140" s="880">
        <f t="shared" si="86"/>
        <v>43.3125</v>
      </c>
      <c r="D1140" s="880">
        <f t="shared" si="87"/>
        <v>33.419699999999999</v>
      </c>
      <c r="E1140" s="10">
        <v>43.3125</v>
      </c>
      <c r="F1140" s="10">
        <v>33.419724000000002</v>
      </c>
      <c r="G1140" s="10">
        <v>3</v>
      </c>
      <c r="H1140" s="10" t="s">
        <v>1883</v>
      </c>
      <c r="I1140" s="10" t="s">
        <v>4218</v>
      </c>
      <c r="J1140" s="10" t="s">
        <v>4219</v>
      </c>
      <c r="K1140" s="10" t="s">
        <v>4220</v>
      </c>
      <c r="L1140" s="65" t="str">
        <f t="shared" si="88"/>
        <v>Ar Ramadi|Iraq|43,312500|33,419724|+3:00 Asia</v>
      </c>
      <c r="M1140" s="10" t="s">
        <v>4241</v>
      </c>
      <c r="N1140" s="10">
        <f t="shared" si="85"/>
        <v>0</v>
      </c>
      <c r="O1140" t="str">
        <f t="shared" si="89"/>
        <v/>
      </c>
      <c r="P1140" t="str">
        <f>IF(O1140=1,COUNTIF($O$2:O1140,1),"")</f>
        <v/>
      </c>
      <c r="Q1140" t="str">
        <f>IFERROR(INDEX($M$2:$M$2388,MATCH(ROWS($P$2:P1140),$P$2:$P$2388,0)),"")</f>
        <v/>
      </c>
    </row>
    <row r="1141" spans="1:17" ht="15" x14ac:dyDescent="0.25">
      <c r="A1141" s="10">
        <v>1149</v>
      </c>
      <c r="B1141" s="10" t="s">
        <v>4242</v>
      </c>
      <c r="C1141" s="880">
        <f t="shared" si="86"/>
        <v>44.008800000000001</v>
      </c>
      <c r="D1141" s="880">
        <f t="shared" si="87"/>
        <v>36.189900000000002</v>
      </c>
      <c r="E1141" s="10">
        <v>44.008887999999999</v>
      </c>
      <c r="F1141" s="10">
        <v>36.189999</v>
      </c>
      <c r="G1141" s="10">
        <v>3</v>
      </c>
      <c r="H1141" s="10" t="s">
        <v>1883</v>
      </c>
      <c r="I1141" s="10" t="s">
        <v>4218</v>
      </c>
      <c r="J1141" s="10" t="s">
        <v>4219</v>
      </c>
      <c r="K1141" s="10" t="s">
        <v>4220</v>
      </c>
      <c r="L1141" s="65" t="str">
        <f t="shared" si="88"/>
        <v>Arbil|Iraq|44,008888|36,189999|+3:00 Asia</v>
      </c>
      <c r="M1141" s="10" t="s">
        <v>4243</v>
      </c>
      <c r="N1141" s="10">
        <f t="shared" si="85"/>
        <v>0</v>
      </c>
      <c r="O1141" t="str">
        <f t="shared" si="89"/>
        <v/>
      </c>
      <c r="P1141" t="str">
        <f>IF(O1141=1,COUNTIF($O$2:O1141,1),"")</f>
        <v/>
      </c>
      <c r="Q1141" t="str">
        <f>IFERROR(INDEX($M$2:$M$2388,MATCH(ROWS($P$2:P1141),$P$2:$P$2388,0)),"")</f>
        <v/>
      </c>
    </row>
    <row r="1142" spans="1:17" ht="15" x14ac:dyDescent="0.25">
      <c r="A1142" s="10">
        <v>1151</v>
      </c>
      <c r="B1142" s="10" t="s">
        <v>4244</v>
      </c>
      <c r="C1142" s="880">
        <f t="shared" si="86"/>
        <v>45.440800000000003</v>
      </c>
      <c r="D1142" s="880">
        <f t="shared" si="87"/>
        <v>35.561599999999999</v>
      </c>
      <c r="E1142" s="10">
        <v>45.440834000000002</v>
      </c>
      <c r="F1142" s="10">
        <v>35.561667999999997</v>
      </c>
      <c r="G1142" s="10">
        <v>3</v>
      </c>
      <c r="H1142" s="10" t="s">
        <v>1883</v>
      </c>
      <c r="I1142" s="10" t="s">
        <v>4218</v>
      </c>
      <c r="J1142" s="10" t="s">
        <v>4219</v>
      </c>
      <c r="K1142" s="10" t="s">
        <v>4220</v>
      </c>
      <c r="L1142" s="65" t="str">
        <f t="shared" si="88"/>
        <v>As Sulaymaniyah|Iraq|45,440834|35,561668|+3:00 Asia</v>
      </c>
      <c r="M1142" s="10" t="s">
        <v>4245</v>
      </c>
      <c r="N1142" s="10">
        <f t="shared" si="85"/>
        <v>0</v>
      </c>
      <c r="O1142" t="str">
        <f t="shared" si="89"/>
        <v/>
      </c>
      <c r="P1142" t="str">
        <f>IF(O1142=1,COUNTIF($O$2:O1142,1),"")</f>
        <v/>
      </c>
      <c r="Q1142" t="str">
        <f>IFERROR(INDEX($M$2:$M$2388,MATCH(ROWS($P$2:P1142),$P$2:$P$2388,0)),"")</f>
        <v/>
      </c>
    </row>
    <row r="1143" spans="1:17" ht="15" x14ac:dyDescent="0.25">
      <c r="A1143" s="10">
        <v>1150</v>
      </c>
      <c r="B1143" s="10" t="s">
        <v>4246</v>
      </c>
      <c r="C1143" s="880">
        <f t="shared" si="86"/>
        <v>44.393799999999999</v>
      </c>
      <c r="D1143" s="880">
        <f t="shared" si="87"/>
        <v>33.3386</v>
      </c>
      <c r="E1143" s="10">
        <v>44.393889999999999</v>
      </c>
      <c r="F1143" s="10">
        <v>33.338611999999998</v>
      </c>
      <c r="G1143" s="10">
        <v>3</v>
      </c>
      <c r="H1143" s="10" t="s">
        <v>1883</v>
      </c>
      <c r="I1143" s="10" t="s">
        <v>4218</v>
      </c>
      <c r="J1143" s="10" t="s">
        <v>4219</v>
      </c>
      <c r="K1143" s="10" t="s">
        <v>4220</v>
      </c>
      <c r="L1143" s="65" t="str">
        <f t="shared" si="88"/>
        <v>Baghdad|Iraq|44,393890|33,338612|+3:00 Asia</v>
      </c>
      <c r="M1143" s="10" t="s">
        <v>4247</v>
      </c>
      <c r="N1143" s="10">
        <f t="shared" si="85"/>
        <v>0</v>
      </c>
      <c r="O1143" t="str">
        <f t="shared" si="89"/>
        <v/>
      </c>
      <c r="P1143" t="str">
        <f>IF(O1143=1,COUNTIF($O$2:O1143,1),"")</f>
        <v/>
      </c>
      <c r="Q1143" t="str">
        <f>IFERROR(INDEX($M$2:$M$2388,MATCH(ROWS($P$2:P1143),$P$2:$P$2388,0)),"")</f>
        <v/>
      </c>
    </row>
    <row r="1144" spans="1:17" ht="15" x14ac:dyDescent="0.25">
      <c r="A1144" s="10">
        <v>1148</v>
      </c>
      <c r="B1144" s="10" t="s">
        <v>4248</v>
      </c>
      <c r="C1144" s="880">
        <f t="shared" si="86"/>
        <v>44.016100000000002</v>
      </c>
      <c r="D1144" s="880">
        <f t="shared" si="87"/>
        <v>32.597700000000003</v>
      </c>
      <c r="E1144" s="10">
        <v>44.016109</v>
      </c>
      <c r="F1144" s="10">
        <v>32.597777999999998</v>
      </c>
      <c r="G1144" s="10">
        <v>3</v>
      </c>
      <c r="H1144" s="10" t="s">
        <v>1883</v>
      </c>
      <c r="I1144" s="10" t="s">
        <v>4218</v>
      </c>
      <c r="J1144" s="10" t="s">
        <v>4219</v>
      </c>
      <c r="K1144" s="10" t="s">
        <v>4220</v>
      </c>
      <c r="L1144" s="65" t="str">
        <f t="shared" si="88"/>
        <v>Karbala'|Iraq|44,016109|32,597778|+3:00 Asia</v>
      </c>
      <c r="M1144" s="10" t="s">
        <v>4249</v>
      </c>
      <c r="N1144" s="10">
        <f t="shared" si="85"/>
        <v>0</v>
      </c>
      <c r="O1144" t="str">
        <f t="shared" si="89"/>
        <v/>
      </c>
      <c r="P1144" t="str">
        <f>IF(O1144=1,COUNTIF($O$2:O1144,1),"")</f>
        <v/>
      </c>
      <c r="Q1144" t="str">
        <f>IFERROR(INDEX($M$2:$M$2388,MATCH(ROWS($P$2:P1144),$P$2:$P$2388,0)),"")</f>
        <v/>
      </c>
    </row>
    <row r="1145" spans="1:17" ht="15" x14ac:dyDescent="0.25">
      <c r="A1145" s="10">
        <v>1147</v>
      </c>
      <c r="B1145" s="10" t="s">
        <v>4250</v>
      </c>
      <c r="C1145" s="880">
        <f t="shared" si="86"/>
        <v>44.392200000000003</v>
      </c>
      <c r="D1145" s="880">
        <f t="shared" si="87"/>
        <v>35.468000000000004</v>
      </c>
      <c r="E1145" s="10">
        <v>44.392223000000001</v>
      </c>
      <c r="F1145" s="10">
        <v>35.468055999999997</v>
      </c>
      <c r="G1145" s="10">
        <v>3</v>
      </c>
      <c r="H1145" s="10" t="s">
        <v>1883</v>
      </c>
      <c r="I1145" s="10" t="s">
        <v>4218</v>
      </c>
      <c r="J1145" s="10" t="s">
        <v>4219</v>
      </c>
      <c r="K1145" s="10" t="s">
        <v>4220</v>
      </c>
      <c r="L1145" s="65" t="str">
        <f t="shared" si="88"/>
        <v>Kirkuk|Iraq|44,392223|35,468056|+3:00 Asia</v>
      </c>
      <c r="M1145" s="10" t="s">
        <v>4251</v>
      </c>
      <c r="N1145" s="10">
        <f t="shared" si="85"/>
        <v>0</v>
      </c>
      <c r="O1145" t="str">
        <f t="shared" si="89"/>
        <v/>
      </c>
      <c r="P1145" t="str">
        <f>IF(O1145=1,COUNTIF($O$2:O1145,1),"")</f>
        <v/>
      </c>
      <c r="Q1145" t="str">
        <f>IFERROR(INDEX($M$2:$M$2388,MATCH(ROWS($P$2:P1145),$P$2:$P$2388,0)),"")</f>
        <v/>
      </c>
    </row>
    <row r="1146" spans="1:17" ht="15" x14ac:dyDescent="0.25">
      <c r="A1146" s="10">
        <v>1156</v>
      </c>
      <c r="B1146" s="10" t="s">
        <v>4252</v>
      </c>
      <c r="C1146" s="880">
        <f t="shared" si="86"/>
        <v>43.1188</v>
      </c>
      <c r="D1146" s="880">
        <f t="shared" si="87"/>
        <v>36.334899999999998</v>
      </c>
      <c r="E1146" s="10">
        <v>43.118889000000003</v>
      </c>
      <c r="F1146" s="10">
        <v>36.334999000000003</v>
      </c>
      <c r="G1146" s="10">
        <v>3</v>
      </c>
      <c r="H1146" s="10" t="s">
        <v>1883</v>
      </c>
      <c r="I1146" s="10" t="s">
        <v>4218</v>
      </c>
      <c r="J1146" s="10" t="s">
        <v>4219</v>
      </c>
      <c r="K1146" s="10" t="s">
        <v>4220</v>
      </c>
      <c r="L1146" s="65" t="str">
        <f t="shared" si="88"/>
        <v>Mosul|Iraq|43,118889|36,334999|+3:00 Asia</v>
      </c>
      <c r="M1146" s="10" t="s">
        <v>4253</v>
      </c>
      <c r="N1146" s="10">
        <f t="shared" si="85"/>
        <v>0</v>
      </c>
      <c r="O1146" t="str">
        <f t="shared" si="89"/>
        <v/>
      </c>
      <c r="P1146" t="str">
        <f>IF(O1146=1,COUNTIF($O$2:O1146,1),"")</f>
        <v/>
      </c>
      <c r="Q1146" t="str">
        <f>IFERROR(INDEX($M$2:$M$2388,MATCH(ROWS($P$2:P1146),$P$2:$P$2388,0)),"")</f>
        <v/>
      </c>
    </row>
    <row r="1147" spans="1:17" ht="15" x14ac:dyDescent="0.25">
      <c r="A1147" s="10">
        <v>1146</v>
      </c>
      <c r="B1147" s="10" t="s">
        <v>4254</v>
      </c>
      <c r="C1147" s="880">
        <f t="shared" si="86"/>
        <v>43.676900000000003</v>
      </c>
      <c r="D1147" s="880">
        <f t="shared" si="87"/>
        <v>34.596600000000002</v>
      </c>
      <c r="E1147" s="10">
        <v>43.676945000000003</v>
      </c>
      <c r="F1147" s="10">
        <v>34.596668000000001</v>
      </c>
      <c r="G1147" s="10">
        <v>3</v>
      </c>
      <c r="H1147" s="10" t="s">
        <v>1883</v>
      </c>
      <c r="I1147" s="10" t="s">
        <v>4218</v>
      </c>
      <c r="J1147" s="10" t="s">
        <v>4219</v>
      </c>
      <c r="K1147" s="10" t="s">
        <v>4220</v>
      </c>
      <c r="L1147" s="65" t="str">
        <f t="shared" si="88"/>
        <v>Tikrit|Iraq|43,676945|34,596668|+3:00 Asia</v>
      </c>
      <c r="M1147" s="10" t="s">
        <v>4255</v>
      </c>
      <c r="N1147" s="10">
        <f t="shared" si="85"/>
        <v>0</v>
      </c>
      <c r="O1147" t="str">
        <f t="shared" si="89"/>
        <v/>
      </c>
      <c r="P1147" t="str">
        <f>IF(O1147=1,COUNTIF($O$2:O1147,1),"")</f>
        <v/>
      </c>
      <c r="Q1147" t="str">
        <f>IFERROR(INDEX($M$2:$M$2388,MATCH(ROWS($P$2:P1147),$P$2:$P$2388,0)),"")</f>
        <v/>
      </c>
    </row>
    <row r="1148" spans="1:17" ht="15" x14ac:dyDescent="0.25">
      <c r="A1148" s="10">
        <v>1145</v>
      </c>
      <c r="B1148" s="10" t="s">
        <v>4256</v>
      </c>
      <c r="C1148" s="880">
        <f t="shared" si="86"/>
        <v>44.621899999999997</v>
      </c>
      <c r="D1148" s="880">
        <f t="shared" si="87"/>
        <v>34.883000000000003</v>
      </c>
      <c r="E1148" s="10">
        <v>44.621943999999999</v>
      </c>
      <c r="F1148" s="10">
        <v>34.883057000000001</v>
      </c>
      <c r="G1148" s="10">
        <v>3</v>
      </c>
      <c r="H1148" s="10" t="s">
        <v>1883</v>
      </c>
      <c r="I1148" s="10" t="s">
        <v>4218</v>
      </c>
      <c r="J1148" s="10" t="s">
        <v>4219</v>
      </c>
      <c r="K1148" s="10" t="s">
        <v>4220</v>
      </c>
      <c r="L1148" s="65" t="str">
        <f t="shared" si="88"/>
        <v>Tozkhurmato|Iraq|44,621944|34,883057|+3:00 Asia</v>
      </c>
      <c r="M1148" s="10" t="s">
        <v>4257</v>
      </c>
      <c r="N1148" s="10">
        <f t="shared" si="85"/>
        <v>0</v>
      </c>
      <c r="O1148" t="str">
        <f t="shared" si="89"/>
        <v/>
      </c>
      <c r="P1148" t="str">
        <f>IF(O1148=1,COUNTIF($O$2:O1148,1),"")</f>
        <v/>
      </c>
      <c r="Q1148" t="str">
        <f>IFERROR(INDEX($M$2:$M$2388,MATCH(ROWS($P$2:P1148),$P$2:$P$2388,0)),"")</f>
        <v/>
      </c>
    </row>
    <row r="1149" spans="1:17" ht="15" x14ac:dyDescent="0.25">
      <c r="A1149" s="10">
        <v>1144</v>
      </c>
      <c r="B1149" s="10" t="s">
        <v>4258</v>
      </c>
      <c r="C1149" s="880">
        <f t="shared" si="86"/>
        <v>42.687199999999997</v>
      </c>
      <c r="D1149" s="880">
        <f t="shared" si="87"/>
        <v>37.144100000000002</v>
      </c>
      <c r="E1149" s="10">
        <v>42.687221999999998</v>
      </c>
      <c r="F1149" s="10">
        <v>37.144165000000001</v>
      </c>
      <c r="G1149" s="10">
        <v>3</v>
      </c>
      <c r="H1149" s="10" t="s">
        <v>1883</v>
      </c>
      <c r="I1149" s="10" t="s">
        <v>4218</v>
      </c>
      <c r="J1149" s="10" t="s">
        <v>4219</v>
      </c>
      <c r="K1149" s="10" t="s">
        <v>4220</v>
      </c>
      <c r="L1149" s="65" t="str">
        <f t="shared" si="88"/>
        <v>Zakho|Iraq|42,687222|37,144165|+3:00 Asia</v>
      </c>
      <c r="M1149" s="10" t="s">
        <v>4259</v>
      </c>
      <c r="N1149" s="10">
        <f t="shared" si="85"/>
        <v>0</v>
      </c>
      <c r="O1149" t="str">
        <f t="shared" si="89"/>
        <v/>
      </c>
      <c r="P1149" t="str">
        <f>IF(O1149=1,COUNTIF($O$2:O1149,1),"")</f>
        <v/>
      </c>
      <c r="Q1149" t="str">
        <f>IFERROR(INDEX($M$2:$M$2388,MATCH(ROWS($P$2:P1149),$P$2:$P$2388,0)),"")</f>
        <v/>
      </c>
    </row>
    <row r="1150" spans="1:17" ht="15" x14ac:dyDescent="0.25">
      <c r="A1150" s="10">
        <v>951</v>
      </c>
      <c r="B1150" s="10" t="s">
        <v>4260</v>
      </c>
      <c r="C1150" s="880">
        <f t="shared" si="86"/>
        <v>-7.45</v>
      </c>
      <c r="D1150" s="880">
        <f t="shared" si="87"/>
        <v>55.133299999999998</v>
      </c>
      <c r="E1150" s="10">
        <v>-7.45</v>
      </c>
      <c r="F1150" s="10">
        <v>55.133335000000002</v>
      </c>
      <c r="G1150" s="10">
        <v>0</v>
      </c>
      <c r="H1150" s="10" t="s">
        <v>2318</v>
      </c>
      <c r="I1150" s="10" t="s">
        <v>4261</v>
      </c>
      <c r="J1150" s="10" t="s">
        <v>4262</v>
      </c>
      <c r="K1150" s="10" t="s">
        <v>4263</v>
      </c>
      <c r="L1150" s="65" t="str">
        <f t="shared" si="88"/>
        <v>Bun Cranncha|Ireland|-7,450000|55,133335|+0:00 Europe</v>
      </c>
      <c r="M1150" s="10" t="s">
        <v>4264</v>
      </c>
      <c r="N1150" s="10">
        <f t="shared" si="85"/>
        <v>0</v>
      </c>
      <c r="O1150" t="str">
        <f t="shared" si="89"/>
        <v/>
      </c>
      <c r="P1150" t="str">
        <f>IF(O1150=1,COUNTIF($O$2:O1150,1),"")</f>
        <v/>
      </c>
      <c r="Q1150" t="str">
        <f>IFERROR(INDEX($M$2:$M$2388,MATCH(ROWS($P$2:P1150),$P$2:$P$2388,0)),"")</f>
        <v/>
      </c>
    </row>
    <row r="1151" spans="1:17" ht="15" x14ac:dyDescent="0.25">
      <c r="A1151" s="10">
        <v>953</v>
      </c>
      <c r="B1151" s="10" t="s">
        <v>4265</v>
      </c>
      <c r="C1151" s="880">
        <f t="shared" si="86"/>
        <v>-6.0494000000000003</v>
      </c>
      <c r="D1151" s="880">
        <f t="shared" si="87"/>
        <v>52.974899999999998</v>
      </c>
      <c r="E1151" s="10">
        <v>-6.0494440000000003</v>
      </c>
      <c r="F1151" s="10">
        <v>52.974997999999999</v>
      </c>
      <c r="G1151" s="10">
        <v>0</v>
      </c>
      <c r="H1151" s="10" t="s">
        <v>2318</v>
      </c>
      <c r="I1151" s="10" t="s">
        <v>4261</v>
      </c>
      <c r="J1151" s="10" t="s">
        <v>4262</v>
      </c>
      <c r="K1151" s="10" t="s">
        <v>4263</v>
      </c>
      <c r="L1151" s="65" t="str">
        <f t="shared" si="88"/>
        <v>Cill Mhantain|Ireland|-6,049444|52,974998|+0:00 Europe</v>
      </c>
      <c r="M1151" s="10" t="s">
        <v>4266</v>
      </c>
      <c r="N1151" s="10">
        <f t="shared" si="85"/>
        <v>0</v>
      </c>
      <c r="O1151" t="str">
        <f t="shared" si="89"/>
        <v/>
      </c>
      <c r="P1151" t="str">
        <f>IF(O1151=1,COUNTIF($O$2:O1151,1),"")</f>
        <v/>
      </c>
      <c r="Q1151" t="str">
        <f>IFERROR(INDEX($M$2:$M$2388,MATCH(ROWS($P$2:P1151),$P$2:$P$2388,0)),"")</f>
        <v/>
      </c>
    </row>
    <row r="1152" spans="1:17" ht="15" x14ac:dyDescent="0.25">
      <c r="A1152" s="10">
        <v>954</v>
      </c>
      <c r="B1152" s="10" t="s">
        <v>4267</v>
      </c>
      <c r="C1152" s="880">
        <f t="shared" si="86"/>
        <v>-6.2488000000000001</v>
      </c>
      <c r="D1152" s="880">
        <f t="shared" si="87"/>
        <v>53.332999999999998</v>
      </c>
      <c r="E1152" s="10">
        <v>-6.2488890000000001</v>
      </c>
      <c r="F1152" s="10">
        <v>53.333056999999997</v>
      </c>
      <c r="G1152" s="10">
        <v>0</v>
      </c>
      <c r="H1152" s="10" t="s">
        <v>2318</v>
      </c>
      <c r="I1152" s="10" t="s">
        <v>4261</v>
      </c>
      <c r="J1152" s="10" t="s">
        <v>4262</v>
      </c>
      <c r="K1152" s="10" t="s">
        <v>4263</v>
      </c>
      <c r="L1152" s="65" t="str">
        <f t="shared" si="88"/>
        <v>Dublin|Ireland|-6,248889|53,333057|+0:00 Europe</v>
      </c>
      <c r="M1152" s="10" t="s">
        <v>4268</v>
      </c>
      <c r="N1152" s="10">
        <f t="shared" si="85"/>
        <v>0</v>
      </c>
      <c r="O1152" t="str">
        <f t="shared" si="89"/>
        <v/>
      </c>
      <c r="P1152" t="str">
        <f>IF(O1152=1,COUNTIF($O$2:O1152,1),"")</f>
        <v/>
      </c>
      <c r="Q1152" t="str">
        <f>IFERROR(INDEX($M$2:$M$2388,MATCH(ROWS($P$2:P1152),$P$2:$P$2388,0)),"")</f>
        <v/>
      </c>
    </row>
    <row r="1153" spans="1:17" ht="15" x14ac:dyDescent="0.25">
      <c r="A1153" s="10">
        <v>952</v>
      </c>
      <c r="B1153" s="10" t="s">
        <v>4269</v>
      </c>
      <c r="C1153" s="880">
        <f t="shared" si="86"/>
        <v>-7.8505000000000003</v>
      </c>
      <c r="D1153" s="880">
        <f t="shared" si="87"/>
        <v>51.95</v>
      </c>
      <c r="E1153" s="10">
        <v>-7.8505549999999999</v>
      </c>
      <c r="F1153" s="10">
        <v>51.950001</v>
      </c>
      <c r="G1153" s="10">
        <v>0</v>
      </c>
      <c r="H1153" s="10" t="s">
        <v>2318</v>
      </c>
      <c r="I1153" s="10" t="s">
        <v>4261</v>
      </c>
      <c r="J1153" s="10" t="s">
        <v>4262</v>
      </c>
      <c r="K1153" s="10" t="s">
        <v>4263</v>
      </c>
      <c r="L1153" s="65" t="str">
        <f t="shared" si="88"/>
        <v>Eochaill|Ireland|-7,850555|51,950001|+0:00 Europe</v>
      </c>
      <c r="M1153" s="10" t="s">
        <v>4270</v>
      </c>
      <c r="N1153" s="10">
        <f t="shared" si="85"/>
        <v>0</v>
      </c>
      <c r="O1153" t="str">
        <f t="shared" si="89"/>
        <v/>
      </c>
      <c r="P1153" t="str">
        <f>IF(O1153=1,COUNTIF($O$2:O1153,1),"")</f>
        <v/>
      </c>
      <c r="Q1153" t="str">
        <f>IFERROR(INDEX($M$2:$M$2388,MATCH(ROWS($P$2:P1153),$P$2:$P$2388,0)),"")</f>
        <v/>
      </c>
    </row>
    <row r="1154" spans="1:17" ht="15" x14ac:dyDescent="0.25">
      <c r="A1154" s="10">
        <v>960</v>
      </c>
      <c r="B1154" s="10" t="s">
        <v>4271</v>
      </c>
      <c r="C1154" s="880">
        <f t="shared" si="86"/>
        <v>34.989100000000001</v>
      </c>
      <c r="D1154" s="880">
        <f t="shared" si="87"/>
        <v>32.8155</v>
      </c>
      <c r="E1154" s="10">
        <v>34.989165999999997</v>
      </c>
      <c r="F1154" s="10">
        <v>32.815556000000001</v>
      </c>
      <c r="G1154" s="10">
        <v>2</v>
      </c>
      <c r="H1154" s="10" t="s">
        <v>1938</v>
      </c>
      <c r="I1154" s="10" t="s">
        <v>4272</v>
      </c>
      <c r="J1154" s="10" t="s">
        <v>4273</v>
      </c>
      <c r="K1154" s="10" t="s">
        <v>4274</v>
      </c>
      <c r="L1154" s="65" t="str">
        <f t="shared" si="88"/>
        <v>Haifa|Israel|34,989166|32,815556|+2:00 Asia</v>
      </c>
      <c r="M1154" s="10" t="s">
        <v>4275</v>
      </c>
      <c r="N1154" s="10">
        <f t="shared" ref="N1154:N1217" si="90">--ISNUMBER(IFERROR(SEARCH($R$2,J1154,1),""))</f>
        <v>0</v>
      </c>
      <c r="O1154" t="str">
        <f t="shared" si="89"/>
        <v/>
      </c>
      <c r="P1154" t="str">
        <f>IF(O1154=1,COUNTIF($O$2:O1154,1),"")</f>
        <v/>
      </c>
      <c r="Q1154" t="str">
        <f>IFERROR(INDEX($M$2:$M$2388,MATCH(ROWS($P$2:P1154),$P$2:$P$2388,0)),"")</f>
        <v/>
      </c>
    </row>
    <row r="1155" spans="1:17" ht="15" x14ac:dyDescent="0.25">
      <c r="A1155" s="10">
        <v>955</v>
      </c>
      <c r="B1155" s="10" t="s">
        <v>4276</v>
      </c>
      <c r="C1155" s="880">
        <f t="shared" ref="C1155:C1218" si="91">TRUNC(E1155,4)</f>
        <v>35.2333</v>
      </c>
      <c r="D1155" s="880">
        <f t="shared" ref="D1155:D1218" si="92">TRUNC(F1155,4)</f>
        <v>31.7666</v>
      </c>
      <c r="E1155" s="10">
        <v>35.233333999999999</v>
      </c>
      <c r="F1155" s="10">
        <v>31.766666000000001</v>
      </c>
      <c r="G1155" s="10">
        <v>2</v>
      </c>
      <c r="H1155" s="10" t="s">
        <v>1938</v>
      </c>
      <c r="I1155" s="10" t="s">
        <v>4272</v>
      </c>
      <c r="J1155" s="10" t="s">
        <v>4273</v>
      </c>
      <c r="K1155" s="10" t="s">
        <v>4274</v>
      </c>
      <c r="L1155" s="65" t="str">
        <f t="shared" ref="L1155:L1218" si="93">MID(M1155,1,LEN(M1155)-(LEN(K1155)-SEARCH("/",K1155)+1))</f>
        <v>Jerusalem|Israel|35,233334|31,766666|+2:00 Asia</v>
      </c>
      <c r="M1155" s="10" t="s">
        <v>4277</v>
      </c>
      <c r="N1155" s="10">
        <f t="shared" si="90"/>
        <v>0</v>
      </c>
      <c r="O1155" t="str">
        <f t="shared" ref="O1155:O1218" si="94">IF(N1155=0,"",--ISNUMBER(IFERROR(SEARCH($U$2,L1155,1),"")))</f>
        <v/>
      </c>
      <c r="P1155" t="str">
        <f>IF(O1155=1,COUNTIF($O$2:O1155,1),"")</f>
        <v/>
      </c>
      <c r="Q1155" t="str">
        <f>IFERROR(INDEX($M$2:$M$2388,MATCH(ROWS($P$2:P1155),$P$2:$P$2388,0)),"")</f>
        <v/>
      </c>
    </row>
    <row r="1156" spans="1:17" ht="15" x14ac:dyDescent="0.25">
      <c r="A1156" s="10">
        <v>959</v>
      </c>
      <c r="B1156" s="10" t="s">
        <v>4278</v>
      </c>
      <c r="C1156" s="880">
        <f t="shared" si="91"/>
        <v>34.804400000000001</v>
      </c>
      <c r="D1156" s="880">
        <f t="shared" si="92"/>
        <v>31.964099999999998</v>
      </c>
      <c r="E1156" s="10">
        <v>34.804442999999999</v>
      </c>
      <c r="F1156" s="10">
        <v>31.964167</v>
      </c>
      <c r="G1156" s="10">
        <v>2</v>
      </c>
      <c r="H1156" s="10" t="s">
        <v>1938</v>
      </c>
      <c r="I1156" s="10" t="s">
        <v>4272</v>
      </c>
      <c r="J1156" s="10" t="s">
        <v>4273</v>
      </c>
      <c r="K1156" s="10" t="s">
        <v>4274</v>
      </c>
      <c r="L1156" s="65" t="str">
        <f t="shared" si="93"/>
        <v>Rishon LeZiyyon|Israel|34,804443|31,964167|+2:00 Asia</v>
      </c>
      <c r="M1156" s="10" t="s">
        <v>4279</v>
      </c>
      <c r="N1156" s="10">
        <f t="shared" si="90"/>
        <v>0</v>
      </c>
      <c r="O1156" t="str">
        <f t="shared" si="94"/>
        <v/>
      </c>
      <c r="P1156" t="str">
        <f>IF(O1156=1,COUNTIF($O$2:O1156,1),"")</f>
        <v/>
      </c>
      <c r="Q1156" t="str">
        <f>IFERROR(INDEX($M$2:$M$2388,MATCH(ROWS($P$2:P1156),$P$2:$P$2388,0)),"")</f>
        <v/>
      </c>
    </row>
    <row r="1157" spans="1:17" ht="15" x14ac:dyDescent="0.25">
      <c r="A1157" s="10">
        <v>958</v>
      </c>
      <c r="B1157" s="10" t="s">
        <v>4280</v>
      </c>
      <c r="C1157" s="880">
        <f t="shared" si="91"/>
        <v>34.764699999999998</v>
      </c>
      <c r="D1157" s="880">
        <f t="shared" si="92"/>
        <v>32.067700000000002</v>
      </c>
      <c r="E1157" s="10">
        <v>34.764721000000002</v>
      </c>
      <c r="F1157" s="10">
        <v>32.067779999999999</v>
      </c>
      <c r="G1157" s="10">
        <v>2</v>
      </c>
      <c r="H1157" s="10" t="s">
        <v>1938</v>
      </c>
      <c r="I1157" s="10" t="s">
        <v>4272</v>
      </c>
      <c r="J1157" s="10" t="s">
        <v>4273</v>
      </c>
      <c r="K1157" s="10" t="s">
        <v>4274</v>
      </c>
      <c r="L1157" s="65" t="str">
        <f t="shared" si="93"/>
        <v>Tel Aviv-Yafo|Israel|34,764721|32,067780|+2:00 Asia</v>
      </c>
      <c r="M1157" s="10" t="s">
        <v>4281</v>
      </c>
      <c r="N1157" s="10">
        <f t="shared" si="90"/>
        <v>0</v>
      </c>
      <c r="O1157" t="str">
        <f t="shared" si="94"/>
        <v/>
      </c>
      <c r="P1157" t="str">
        <f>IF(O1157=1,COUNTIF($O$2:O1157,1),"")</f>
        <v/>
      </c>
      <c r="Q1157" t="str">
        <f>IFERROR(INDEX($M$2:$M$2388,MATCH(ROWS($P$2:P1157),$P$2:$P$2388,0)),"")</f>
        <v/>
      </c>
    </row>
    <row r="1158" spans="1:17" ht="15" x14ac:dyDescent="0.25">
      <c r="A1158" s="10">
        <v>957</v>
      </c>
      <c r="B1158" s="10" t="s">
        <v>4282</v>
      </c>
      <c r="C1158" s="880">
        <f t="shared" si="91"/>
        <v>34.9313</v>
      </c>
      <c r="D1158" s="880">
        <f t="shared" si="92"/>
        <v>30.987200000000001</v>
      </c>
      <c r="E1158" s="10">
        <v>34.931389000000003</v>
      </c>
      <c r="F1158" s="10">
        <v>30.987223</v>
      </c>
      <c r="G1158" s="10">
        <v>2</v>
      </c>
      <c r="H1158" s="10" t="s">
        <v>1938</v>
      </c>
      <c r="I1158" s="10" t="s">
        <v>4272</v>
      </c>
      <c r="J1158" s="10" t="s">
        <v>4273</v>
      </c>
      <c r="K1158" s="10" t="s">
        <v>4274</v>
      </c>
      <c r="L1158" s="65" t="str">
        <f t="shared" si="93"/>
        <v>Yeroham|Israel|34,931389|30,987223|+2:00 Asia</v>
      </c>
      <c r="M1158" s="10" t="s">
        <v>4283</v>
      </c>
      <c r="N1158" s="10">
        <f t="shared" si="90"/>
        <v>0</v>
      </c>
      <c r="O1158" t="str">
        <f t="shared" si="94"/>
        <v/>
      </c>
      <c r="P1158" t="str">
        <f>IF(O1158=1,COUNTIF($O$2:O1158,1),"")</f>
        <v/>
      </c>
      <c r="Q1158" t="str">
        <f>IFERROR(INDEX($M$2:$M$2388,MATCH(ROWS($P$2:P1158),$P$2:$P$2388,0)),"")</f>
        <v/>
      </c>
    </row>
    <row r="1159" spans="1:17" ht="15" x14ac:dyDescent="0.25">
      <c r="A1159" s="10">
        <v>956</v>
      </c>
      <c r="B1159" s="10" t="s">
        <v>4284</v>
      </c>
      <c r="C1159" s="880">
        <f t="shared" si="91"/>
        <v>35.494399999999999</v>
      </c>
      <c r="D1159" s="880">
        <f t="shared" si="92"/>
        <v>32.9666</v>
      </c>
      <c r="E1159" s="10">
        <v>35.494446000000003</v>
      </c>
      <c r="F1159" s="10">
        <v>32.966667000000001</v>
      </c>
      <c r="G1159" s="10">
        <v>2</v>
      </c>
      <c r="H1159" s="10" t="s">
        <v>1938</v>
      </c>
      <c r="I1159" s="10" t="s">
        <v>4272</v>
      </c>
      <c r="J1159" s="10" t="s">
        <v>4273</v>
      </c>
      <c r="K1159" s="10" t="s">
        <v>4274</v>
      </c>
      <c r="L1159" s="65" t="str">
        <f t="shared" si="93"/>
        <v>Zefat|Israel|35,494446|32,966667|+2:00 Asia</v>
      </c>
      <c r="M1159" s="10" t="s">
        <v>4285</v>
      </c>
      <c r="N1159" s="10">
        <f t="shared" si="90"/>
        <v>0</v>
      </c>
      <c r="O1159" t="str">
        <f t="shared" si="94"/>
        <v/>
      </c>
      <c r="P1159" t="str">
        <f>IF(O1159=1,COUNTIF($O$2:O1159,1),"")</f>
        <v/>
      </c>
      <c r="Q1159" t="str">
        <f>IFERROR(INDEX($M$2:$M$2388,MATCH(ROWS($P$2:P1159),$P$2:$P$2388,0)),"")</f>
        <v/>
      </c>
    </row>
    <row r="1160" spans="1:17" ht="15" x14ac:dyDescent="0.25">
      <c r="A1160" s="10">
        <v>1221</v>
      </c>
      <c r="B1160" s="10" t="s">
        <v>4286</v>
      </c>
      <c r="C1160" s="880">
        <f t="shared" si="91"/>
        <v>16.851099999999999</v>
      </c>
      <c r="D1160" s="880">
        <f t="shared" si="92"/>
        <v>41.117699999999999</v>
      </c>
      <c r="E1160" s="10">
        <v>16.851185000000001</v>
      </c>
      <c r="F1160" s="10">
        <v>41.117733000000001</v>
      </c>
      <c r="G1160" s="10">
        <v>1</v>
      </c>
      <c r="H1160" s="10" t="s">
        <v>1670</v>
      </c>
      <c r="I1160" s="10" t="s">
        <v>4287</v>
      </c>
      <c r="J1160" s="10" t="s">
        <v>4288</v>
      </c>
      <c r="K1160" s="10" t="s">
        <v>4289</v>
      </c>
      <c r="L1160" s="65" t="str">
        <f t="shared" si="93"/>
        <v>Bari|Italy|16,851185|41,117733|+1:00 Europe</v>
      </c>
      <c r="M1160" s="10" t="s">
        <v>4290</v>
      </c>
      <c r="N1160" s="10">
        <f t="shared" si="90"/>
        <v>0</v>
      </c>
      <c r="O1160" t="str">
        <f t="shared" si="94"/>
        <v/>
      </c>
      <c r="P1160" t="str">
        <f>IF(O1160=1,COUNTIF($O$2:O1160,1),"")</f>
        <v/>
      </c>
      <c r="Q1160" t="str">
        <f>IFERROR(INDEX($M$2:$M$2388,MATCH(ROWS($P$2:P1160),$P$2:$P$2388,0)),"")</f>
        <v/>
      </c>
    </row>
    <row r="1161" spans="1:17" ht="15" x14ac:dyDescent="0.25">
      <c r="A1161" s="10">
        <v>1220</v>
      </c>
      <c r="B1161" s="10" t="s">
        <v>4291</v>
      </c>
      <c r="C1161" s="880">
        <f t="shared" si="91"/>
        <v>11.338699999999999</v>
      </c>
      <c r="D1161" s="880">
        <f t="shared" si="92"/>
        <v>44.4938</v>
      </c>
      <c r="E1161" s="10">
        <v>11.338749</v>
      </c>
      <c r="F1161" s="10">
        <v>44.493813000000003</v>
      </c>
      <c r="G1161" s="10">
        <v>1</v>
      </c>
      <c r="H1161" s="10" t="s">
        <v>1670</v>
      </c>
      <c r="I1161" s="10" t="s">
        <v>4287</v>
      </c>
      <c r="J1161" s="10" t="s">
        <v>4288</v>
      </c>
      <c r="K1161" s="10" t="s">
        <v>4289</v>
      </c>
      <c r="L1161" s="65" t="str">
        <f t="shared" si="93"/>
        <v>Bologna|Italy|11,338749|44,493813|+1:00 Europe</v>
      </c>
      <c r="M1161" s="10" t="s">
        <v>4292</v>
      </c>
      <c r="N1161" s="10">
        <f t="shared" si="90"/>
        <v>0</v>
      </c>
      <c r="O1161" t="str">
        <f t="shared" si="94"/>
        <v/>
      </c>
      <c r="P1161" t="str">
        <f>IF(O1161=1,COUNTIF($O$2:O1161,1),"")</f>
        <v/>
      </c>
      <c r="Q1161" t="str">
        <f>IFERROR(INDEX($M$2:$M$2388,MATCH(ROWS($P$2:P1161),$P$2:$P$2388,0)),"")</f>
        <v/>
      </c>
    </row>
    <row r="1162" spans="1:17" ht="15" x14ac:dyDescent="0.25">
      <c r="A1162" s="10">
        <v>1208</v>
      </c>
      <c r="B1162" s="10" t="s">
        <v>4293</v>
      </c>
      <c r="C1162" s="880">
        <f t="shared" si="91"/>
        <v>15.0871</v>
      </c>
      <c r="D1162" s="880">
        <f t="shared" si="92"/>
        <v>37.502099999999999</v>
      </c>
      <c r="E1162" s="10">
        <v>15.08719</v>
      </c>
      <c r="F1162" s="10">
        <v>37.502132000000003</v>
      </c>
      <c r="G1162" s="10">
        <v>1</v>
      </c>
      <c r="H1162" s="10" t="s">
        <v>1670</v>
      </c>
      <c r="I1162" s="10" t="s">
        <v>4287</v>
      </c>
      <c r="J1162" s="10" t="s">
        <v>4288</v>
      </c>
      <c r="K1162" s="10" t="s">
        <v>4289</v>
      </c>
      <c r="L1162" s="65" t="str">
        <f t="shared" si="93"/>
        <v>Catania|Italy|15,087190|37,502132|+1:00 Europe</v>
      </c>
      <c r="M1162" s="10" t="s">
        <v>4294</v>
      </c>
      <c r="N1162" s="10">
        <f t="shared" si="90"/>
        <v>0</v>
      </c>
      <c r="O1162" t="str">
        <f t="shared" si="94"/>
        <v/>
      </c>
      <c r="P1162" t="str">
        <f>IF(O1162=1,COUNTIF($O$2:O1162,1),"")</f>
        <v/>
      </c>
      <c r="Q1162" t="str">
        <f>IFERROR(INDEX($M$2:$M$2388,MATCH(ROWS($P$2:P1162),$P$2:$P$2388,0)),"")</f>
        <v/>
      </c>
    </row>
    <row r="1163" spans="1:17" ht="15" x14ac:dyDescent="0.25">
      <c r="A1163" s="10">
        <v>1219</v>
      </c>
      <c r="B1163" s="10" t="s">
        <v>4295</v>
      </c>
      <c r="C1163" s="880">
        <f t="shared" si="91"/>
        <v>11.25</v>
      </c>
      <c r="D1163" s="880">
        <f t="shared" si="92"/>
        <v>43.766599999999997</v>
      </c>
      <c r="E1163" s="10">
        <v>11.25</v>
      </c>
      <c r="F1163" s="10">
        <v>43.766666000000001</v>
      </c>
      <c r="G1163" s="10">
        <v>1</v>
      </c>
      <c r="H1163" s="10" t="s">
        <v>1670</v>
      </c>
      <c r="I1163" s="10" t="s">
        <v>4287</v>
      </c>
      <c r="J1163" s="10" t="s">
        <v>4288</v>
      </c>
      <c r="K1163" s="10" t="s">
        <v>4289</v>
      </c>
      <c r="L1163" s="65" t="str">
        <f t="shared" si="93"/>
        <v>Florence|Italy|11,250000|43,766666|+1:00 Europe</v>
      </c>
      <c r="M1163" s="10" t="s">
        <v>4296</v>
      </c>
      <c r="N1163" s="10">
        <f t="shared" si="90"/>
        <v>0</v>
      </c>
      <c r="O1163" t="str">
        <f t="shared" si="94"/>
        <v/>
      </c>
      <c r="P1163" t="str">
        <f>IF(O1163=1,COUNTIF($O$2:O1163,1),"")</f>
        <v/>
      </c>
      <c r="Q1163" t="str">
        <f>IFERROR(INDEX($M$2:$M$2388,MATCH(ROWS($P$2:P1163),$P$2:$P$2388,0)),"")</f>
        <v/>
      </c>
    </row>
    <row r="1164" spans="1:17" ht="15" x14ac:dyDescent="0.25">
      <c r="A1164" s="10">
        <v>1218</v>
      </c>
      <c r="B1164" s="10" t="s">
        <v>4297</v>
      </c>
      <c r="C1164" s="880">
        <f t="shared" si="91"/>
        <v>8.9499999999999993</v>
      </c>
      <c r="D1164" s="880">
        <f t="shared" si="92"/>
        <v>44.416600000000003</v>
      </c>
      <c r="E1164" s="10">
        <v>8.9499999999999993</v>
      </c>
      <c r="F1164" s="10">
        <v>44.416668000000001</v>
      </c>
      <c r="G1164" s="10">
        <v>1</v>
      </c>
      <c r="H1164" s="10" t="s">
        <v>1670</v>
      </c>
      <c r="I1164" s="10" t="s">
        <v>4287</v>
      </c>
      <c r="J1164" s="10" t="s">
        <v>4288</v>
      </c>
      <c r="K1164" s="10" t="s">
        <v>4289</v>
      </c>
      <c r="L1164" s="65" t="str">
        <f t="shared" si="93"/>
        <v>Genova|Italy|8,950000|44,416668|+1:00 Europe</v>
      </c>
      <c r="M1164" s="10" t="s">
        <v>4298</v>
      </c>
      <c r="N1164" s="10">
        <f t="shared" si="90"/>
        <v>0</v>
      </c>
      <c r="O1164" t="str">
        <f t="shared" si="94"/>
        <v/>
      </c>
      <c r="P1164" t="str">
        <f>IF(O1164=1,COUNTIF($O$2:O1164,1),"")</f>
        <v/>
      </c>
      <c r="Q1164" t="str">
        <f>IFERROR(INDEX($M$2:$M$2388,MATCH(ROWS($P$2:P1164),$P$2:$P$2388,0)),"")</f>
        <v/>
      </c>
    </row>
    <row r="1165" spans="1:17" ht="15" x14ac:dyDescent="0.25">
      <c r="A1165" s="10">
        <v>1207</v>
      </c>
      <c r="B1165" s="10" t="s">
        <v>4299</v>
      </c>
      <c r="C1165" s="880">
        <f t="shared" si="91"/>
        <v>15.5496</v>
      </c>
      <c r="D1165" s="880">
        <f t="shared" si="92"/>
        <v>38.193199999999997</v>
      </c>
      <c r="E1165" s="10">
        <v>15.54969</v>
      </c>
      <c r="F1165" s="10">
        <v>38.193268000000003</v>
      </c>
      <c r="G1165" s="10">
        <v>1</v>
      </c>
      <c r="H1165" s="10" t="s">
        <v>1670</v>
      </c>
      <c r="I1165" s="10" t="s">
        <v>4287</v>
      </c>
      <c r="J1165" s="10" t="s">
        <v>4288</v>
      </c>
      <c r="K1165" s="10" t="s">
        <v>4289</v>
      </c>
      <c r="L1165" s="65" t="str">
        <f t="shared" si="93"/>
        <v>Messina|Italy|15,549690|38,193268|+1:00 Europe</v>
      </c>
      <c r="M1165" s="10" t="s">
        <v>4300</v>
      </c>
      <c r="N1165" s="10">
        <f t="shared" si="90"/>
        <v>0</v>
      </c>
      <c r="O1165" t="str">
        <f t="shared" si="94"/>
        <v/>
      </c>
      <c r="P1165" t="str">
        <f>IF(O1165=1,COUNTIF($O$2:O1165,1),"")</f>
        <v/>
      </c>
      <c r="Q1165" t="str">
        <f>IFERROR(INDEX($M$2:$M$2388,MATCH(ROWS($P$2:P1165),$P$2:$P$2388,0)),"")</f>
        <v/>
      </c>
    </row>
    <row r="1166" spans="1:17" ht="15" x14ac:dyDescent="0.25">
      <c r="A1166" s="10">
        <v>1217</v>
      </c>
      <c r="B1166" s="10" t="s">
        <v>4301</v>
      </c>
      <c r="C1166" s="880">
        <f t="shared" si="91"/>
        <v>9.1881000000000004</v>
      </c>
      <c r="D1166" s="880">
        <f t="shared" si="92"/>
        <v>45.4636</v>
      </c>
      <c r="E1166" s="10">
        <v>9.1881749999999993</v>
      </c>
      <c r="F1166" s="10">
        <v>45.463684000000001</v>
      </c>
      <c r="G1166" s="10">
        <v>1</v>
      </c>
      <c r="H1166" s="10" t="s">
        <v>1670</v>
      </c>
      <c r="I1166" s="10" t="s">
        <v>4287</v>
      </c>
      <c r="J1166" s="10" t="s">
        <v>4288</v>
      </c>
      <c r="K1166" s="10" t="s">
        <v>4289</v>
      </c>
      <c r="L1166" s="65" t="str">
        <f t="shared" si="93"/>
        <v>Milano|Italy|9,188175|45,463684|+1:00 Europe</v>
      </c>
      <c r="M1166" s="10" t="s">
        <v>4302</v>
      </c>
      <c r="N1166" s="10">
        <f t="shared" si="90"/>
        <v>0</v>
      </c>
      <c r="O1166" t="str">
        <f t="shared" si="94"/>
        <v/>
      </c>
      <c r="P1166" t="str">
        <f>IF(O1166=1,COUNTIF($O$2:O1166,1),"")</f>
        <v/>
      </c>
      <c r="Q1166" t="str">
        <f>IFERROR(INDEX($M$2:$M$2388,MATCH(ROWS($P$2:P1166),$P$2:$P$2388,0)),"")</f>
        <v/>
      </c>
    </row>
    <row r="1167" spans="1:17" ht="15" x14ac:dyDescent="0.25">
      <c r="A1167" s="10">
        <v>1216</v>
      </c>
      <c r="B1167" s="10" t="s">
        <v>4303</v>
      </c>
      <c r="C1167" s="880">
        <f t="shared" si="91"/>
        <v>14.25</v>
      </c>
      <c r="D1167" s="880">
        <f t="shared" si="92"/>
        <v>40.833300000000001</v>
      </c>
      <c r="E1167" s="10">
        <v>14.25</v>
      </c>
      <c r="F1167" s="10">
        <v>40.833331999999999</v>
      </c>
      <c r="G1167" s="10">
        <v>1</v>
      </c>
      <c r="H1167" s="10" t="s">
        <v>1670</v>
      </c>
      <c r="I1167" s="10" t="s">
        <v>4287</v>
      </c>
      <c r="J1167" s="10" t="s">
        <v>4288</v>
      </c>
      <c r="K1167" s="10" t="s">
        <v>4289</v>
      </c>
      <c r="L1167" s="65" t="str">
        <f t="shared" si="93"/>
        <v>Napoli|Italy|14,250000|40,833332|+1:00 Europe</v>
      </c>
      <c r="M1167" s="10" t="s">
        <v>4304</v>
      </c>
      <c r="N1167" s="10">
        <f t="shared" si="90"/>
        <v>0</v>
      </c>
      <c r="O1167" t="str">
        <f t="shared" si="94"/>
        <v/>
      </c>
      <c r="P1167" t="str">
        <f>IF(O1167=1,COUNTIF($O$2:O1167,1),"")</f>
        <v/>
      </c>
      <c r="Q1167" t="str">
        <f>IFERROR(INDEX($M$2:$M$2388,MATCH(ROWS($P$2:P1167),$P$2:$P$2388,0)),"")</f>
        <v/>
      </c>
    </row>
    <row r="1168" spans="1:17" ht="15" x14ac:dyDescent="0.25">
      <c r="A1168" s="10">
        <v>1215</v>
      </c>
      <c r="B1168" s="10" t="s">
        <v>4305</v>
      </c>
      <c r="C1168" s="880">
        <f t="shared" si="91"/>
        <v>11.8818</v>
      </c>
      <c r="D1168" s="880">
        <f t="shared" si="92"/>
        <v>45.415100000000002</v>
      </c>
      <c r="E1168" s="10">
        <v>11.881807999999999</v>
      </c>
      <c r="F1168" s="10">
        <v>45.415194999999997</v>
      </c>
      <c r="G1168" s="10">
        <v>1</v>
      </c>
      <c r="H1168" s="10" t="s">
        <v>1670</v>
      </c>
      <c r="I1168" s="10" t="s">
        <v>4287</v>
      </c>
      <c r="J1168" s="10" t="s">
        <v>4288</v>
      </c>
      <c r="K1168" s="10" t="s">
        <v>4289</v>
      </c>
      <c r="L1168" s="65" t="str">
        <f t="shared" si="93"/>
        <v>Padova|Italy|11,881808|45,415195|+1:00 Europe</v>
      </c>
      <c r="M1168" s="10" t="s">
        <v>4306</v>
      </c>
      <c r="N1168" s="10">
        <f t="shared" si="90"/>
        <v>0</v>
      </c>
      <c r="O1168" t="str">
        <f t="shared" si="94"/>
        <v/>
      </c>
      <c r="P1168" t="str">
        <f>IF(O1168=1,COUNTIF($O$2:O1168,1),"")</f>
        <v/>
      </c>
      <c r="Q1168" t="str">
        <f>IFERROR(INDEX($M$2:$M$2388,MATCH(ROWS($P$2:P1168),$P$2:$P$2388,0)),"")</f>
        <v/>
      </c>
    </row>
    <row r="1169" spans="1:17" ht="15" x14ac:dyDescent="0.25">
      <c r="A1169" s="10">
        <v>1206</v>
      </c>
      <c r="B1169" s="10" t="s">
        <v>4307</v>
      </c>
      <c r="C1169" s="880">
        <f t="shared" si="91"/>
        <v>13.3666</v>
      </c>
      <c r="D1169" s="880">
        <f t="shared" si="92"/>
        <v>38.116599999999998</v>
      </c>
      <c r="E1169" s="10">
        <v>13.366667</v>
      </c>
      <c r="F1169" s="10">
        <v>38.116664999999998</v>
      </c>
      <c r="G1169" s="10">
        <v>1</v>
      </c>
      <c r="H1169" s="10" t="s">
        <v>1670</v>
      </c>
      <c r="I1169" s="10" t="s">
        <v>4287</v>
      </c>
      <c r="J1169" s="10" t="s">
        <v>4288</v>
      </c>
      <c r="K1169" s="10" t="s">
        <v>4289</v>
      </c>
      <c r="L1169" s="65" t="str">
        <f t="shared" si="93"/>
        <v>Palermo|Italy|13,366667|38,116665|+1:00 Europe</v>
      </c>
      <c r="M1169" s="10" t="s">
        <v>4308</v>
      </c>
      <c r="N1169" s="10">
        <f t="shared" si="90"/>
        <v>0</v>
      </c>
      <c r="O1169" t="str">
        <f t="shared" si="94"/>
        <v/>
      </c>
      <c r="P1169" t="str">
        <f>IF(O1169=1,COUNTIF($O$2:O1169,1),"")</f>
        <v/>
      </c>
      <c r="Q1169" t="str">
        <f>IFERROR(INDEX($M$2:$M$2388,MATCH(ROWS($P$2:P1169),$P$2:$P$2388,0)),"")</f>
        <v/>
      </c>
    </row>
    <row r="1170" spans="1:17" ht="15" x14ac:dyDescent="0.25">
      <c r="A1170" s="10">
        <v>1214</v>
      </c>
      <c r="B1170" s="10" t="s">
        <v>4309</v>
      </c>
      <c r="C1170" s="880">
        <f t="shared" si="91"/>
        <v>12.4833</v>
      </c>
      <c r="D1170" s="880">
        <f t="shared" si="92"/>
        <v>41.9</v>
      </c>
      <c r="E1170" s="10">
        <v>12.483333999999999</v>
      </c>
      <c r="F1170" s="10">
        <v>41.900002000000001</v>
      </c>
      <c r="G1170" s="10">
        <v>1</v>
      </c>
      <c r="H1170" s="10" t="s">
        <v>1670</v>
      </c>
      <c r="I1170" s="10" t="s">
        <v>4287</v>
      </c>
      <c r="J1170" s="10" t="s">
        <v>4288</v>
      </c>
      <c r="K1170" s="10" t="s">
        <v>4289</v>
      </c>
      <c r="L1170" s="65" t="str">
        <f t="shared" si="93"/>
        <v>Rome|Italy|12,483334|41,900002|+1:00 Europe</v>
      </c>
      <c r="M1170" s="10" t="s">
        <v>4310</v>
      </c>
      <c r="N1170" s="10">
        <f t="shared" si="90"/>
        <v>0</v>
      </c>
      <c r="O1170" t="str">
        <f t="shared" si="94"/>
        <v/>
      </c>
      <c r="P1170" t="str">
        <f>IF(O1170=1,COUNTIF($O$2:O1170,1),"")</f>
        <v/>
      </c>
      <c r="Q1170" t="str">
        <f>IFERROR(INDEX($M$2:$M$2388,MATCH(ROWS($P$2:P1170),$P$2:$P$2388,0)),"")</f>
        <v/>
      </c>
    </row>
    <row r="1171" spans="1:17" ht="15" x14ac:dyDescent="0.25">
      <c r="A1171" s="10">
        <v>1213</v>
      </c>
      <c r="B1171" s="10" t="s">
        <v>4311</v>
      </c>
      <c r="C1171" s="880">
        <f t="shared" si="91"/>
        <v>17.229700000000001</v>
      </c>
      <c r="D1171" s="880">
        <f t="shared" si="92"/>
        <v>40.476100000000002</v>
      </c>
      <c r="E1171" s="10">
        <v>17.229723</v>
      </c>
      <c r="F1171" s="10">
        <v>40.476112000000001</v>
      </c>
      <c r="G1171" s="10">
        <v>1</v>
      </c>
      <c r="H1171" s="10" t="s">
        <v>1670</v>
      </c>
      <c r="I1171" s="10" t="s">
        <v>4287</v>
      </c>
      <c r="J1171" s="10" t="s">
        <v>4288</v>
      </c>
      <c r="K1171" s="10" t="s">
        <v>4289</v>
      </c>
      <c r="L1171" s="65" t="str">
        <f t="shared" si="93"/>
        <v>Taranto|Italy|17,229723|40,476112|+1:00 Europe</v>
      </c>
      <c r="M1171" s="10" t="s">
        <v>4312</v>
      </c>
      <c r="N1171" s="10">
        <f t="shared" si="90"/>
        <v>0</v>
      </c>
      <c r="O1171" t="str">
        <f t="shared" si="94"/>
        <v/>
      </c>
      <c r="P1171" t="str">
        <f>IF(O1171=1,COUNTIF($O$2:O1171,1),"")</f>
        <v/>
      </c>
      <c r="Q1171" t="str">
        <f>IFERROR(INDEX($M$2:$M$2388,MATCH(ROWS($P$2:P1171),$P$2:$P$2388,0)),"")</f>
        <v/>
      </c>
    </row>
    <row r="1172" spans="1:17" ht="15" x14ac:dyDescent="0.25">
      <c r="A1172" s="10">
        <v>1211</v>
      </c>
      <c r="B1172" s="10" t="s">
        <v>4313</v>
      </c>
      <c r="C1172" s="880">
        <f t="shared" si="91"/>
        <v>13.78</v>
      </c>
      <c r="D1172" s="880">
        <f t="shared" si="92"/>
        <v>45.648600000000002</v>
      </c>
      <c r="E1172" s="10">
        <v>13.78</v>
      </c>
      <c r="F1172" s="10">
        <v>45.648612999999997</v>
      </c>
      <c r="G1172" s="10">
        <v>1</v>
      </c>
      <c r="H1172" s="10" t="s">
        <v>1670</v>
      </c>
      <c r="I1172" s="10" t="s">
        <v>4287</v>
      </c>
      <c r="J1172" s="10" t="s">
        <v>4288</v>
      </c>
      <c r="K1172" s="10" t="s">
        <v>4289</v>
      </c>
      <c r="L1172" s="65" t="str">
        <f t="shared" si="93"/>
        <v>Trieste|Italy|13,780000|45,648613|+1:00 Europe</v>
      </c>
      <c r="M1172" s="10" t="s">
        <v>4314</v>
      </c>
      <c r="N1172" s="10">
        <f t="shared" si="90"/>
        <v>0</v>
      </c>
      <c r="O1172" t="str">
        <f t="shared" si="94"/>
        <v/>
      </c>
      <c r="P1172" t="str">
        <f>IF(O1172=1,COUNTIF($O$2:O1172,1),"")</f>
        <v/>
      </c>
      <c r="Q1172" t="str">
        <f>IFERROR(INDEX($M$2:$M$2388,MATCH(ROWS($P$2:P1172),$P$2:$P$2388,0)),"")</f>
        <v/>
      </c>
    </row>
    <row r="1173" spans="1:17" ht="15" x14ac:dyDescent="0.25">
      <c r="A1173" s="10">
        <v>1212</v>
      </c>
      <c r="B1173" s="10" t="s">
        <v>4315</v>
      </c>
      <c r="C1173" s="880">
        <f t="shared" si="91"/>
        <v>7.6749999999999998</v>
      </c>
      <c r="D1173" s="880">
        <f t="shared" si="92"/>
        <v>45.077100000000002</v>
      </c>
      <c r="E1173" s="10">
        <v>7.6750220000000002</v>
      </c>
      <c r="F1173" s="10">
        <v>45.077148000000001</v>
      </c>
      <c r="G1173" s="10">
        <v>1</v>
      </c>
      <c r="H1173" s="10" t="s">
        <v>1670</v>
      </c>
      <c r="I1173" s="10" t="s">
        <v>4287</v>
      </c>
      <c r="J1173" s="10" t="s">
        <v>4288</v>
      </c>
      <c r="K1173" s="10" t="s">
        <v>4289</v>
      </c>
      <c r="L1173" s="65" t="str">
        <f t="shared" si="93"/>
        <v>Turin|Italy|7,675022|45,077148|+1:00 Europe</v>
      </c>
      <c r="M1173" s="10" t="s">
        <v>4316</v>
      </c>
      <c r="N1173" s="10">
        <f t="shared" si="90"/>
        <v>0</v>
      </c>
      <c r="O1173" t="str">
        <f t="shared" si="94"/>
        <v/>
      </c>
      <c r="P1173" t="str">
        <f>IF(O1173=1,COUNTIF($O$2:O1173,1),"")</f>
        <v/>
      </c>
      <c r="Q1173" t="str">
        <f>IFERROR(INDEX($M$2:$M$2388,MATCH(ROWS($P$2:P1173),$P$2:$P$2388,0)),"")</f>
        <v/>
      </c>
    </row>
    <row r="1174" spans="1:17" ht="15" x14ac:dyDescent="0.25">
      <c r="A1174" s="10">
        <v>1210</v>
      </c>
      <c r="B1174" s="10" t="s">
        <v>4317</v>
      </c>
      <c r="C1174" s="880">
        <f t="shared" si="91"/>
        <v>12.326599999999999</v>
      </c>
      <c r="D1174" s="880">
        <f t="shared" si="92"/>
        <v>45.438600000000001</v>
      </c>
      <c r="E1174" s="10">
        <v>12.326667</v>
      </c>
      <c r="F1174" s="10">
        <v>45.438609999999997</v>
      </c>
      <c r="G1174" s="10">
        <v>1</v>
      </c>
      <c r="H1174" s="10" t="s">
        <v>1670</v>
      </c>
      <c r="I1174" s="10" t="s">
        <v>4287</v>
      </c>
      <c r="J1174" s="10" t="s">
        <v>4288</v>
      </c>
      <c r="K1174" s="10" t="s">
        <v>4289</v>
      </c>
      <c r="L1174" s="65" t="str">
        <f t="shared" si="93"/>
        <v>Venice|Italy|12,326667|45,438610|+1:00 Europe</v>
      </c>
      <c r="M1174" s="10" t="s">
        <v>4318</v>
      </c>
      <c r="N1174" s="10">
        <f t="shared" si="90"/>
        <v>0</v>
      </c>
      <c r="O1174" t="str">
        <f t="shared" si="94"/>
        <v/>
      </c>
      <c r="P1174" t="str">
        <f>IF(O1174=1,COUNTIF($O$2:O1174,1),"")</f>
        <v/>
      </c>
      <c r="Q1174" t="str">
        <f>IFERROR(INDEX($M$2:$M$2388,MATCH(ROWS($P$2:P1174),$P$2:$P$2388,0)),"")</f>
        <v/>
      </c>
    </row>
    <row r="1175" spans="1:17" ht="15" x14ac:dyDescent="0.25">
      <c r="A1175" s="10">
        <v>1209</v>
      </c>
      <c r="B1175" s="10" t="s">
        <v>4319</v>
      </c>
      <c r="C1175" s="880">
        <f t="shared" si="91"/>
        <v>10.9977</v>
      </c>
      <c r="D1175" s="880">
        <f t="shared" si="92"/>
        <v>45.434100000000001</v>
      </c>
      <c r="E1175" s="10">
        <v>10.997788</v>
      </c>
      <c r="F1175" s="10">
        <v>45.434184999999999</v>
      </c>
      <c r="G1175" s="10">
        <v>1</v>
      </c>
      <c r="H1175" s="10" t="s">
        <v>1670</v>
      </c>
      <c r="I1175" s="10" t="s">
        <v>4287</v>
      </c>
      <c r="J1175" s="10" t="s">
        <v>4288</v>
      </c>
      <c r="K1175" s="10" t="s">
        <v>4289</v>
      </c>
      <c r="L1175" s="65" t="str">
        <f t="shared" si="93"/>
        <v>Verona|Italy|10,997788|45,434185|+1:00 Europe</v>
      </c>
      <c r="M1175" s="10" t="s">
        <v>4320</v>
      </c>
      <c r="N1175" s="10">
        <f t="shared" si="90"/>
        <v>0</v>
      </c>
      <c r="O1175" t="str">
        <f t="shared" si="94"/>
        <v/>
      </c>
      <c r="P1175" t="str">
        <f>IF(O1175=1,COUNTIF($O$2:O1175,1),"")</f>
        <v/>
      </c>
      <c r="Q1175" t="str">
        <f>IFERROR(INDEX($M$2:$M$2388,MATCH(ROWS($P$2:P1175),$P$2:$P$2388,0)),"")</f>
        <v/>
      </c>
    </row>
    <row r="1176" spans="1:17" ht="15" x14ac:dyDescent="0.25">
      <c r="A1176" s="10">
        <v>1205</v>
      </c>
      <c r="B1176" s="10" t="s">
        <v>4321</v>
      </c>
      <c r="C1176" s="880">
        <f t="shared" si="91"/>
        <v>14.533099999999999</v>
      </c>
      <c r="D1176" s="880">
        <f t="shared" si="92"/>
        <v>36.953699999999998</v>
      </c>
      <c r="E1176" s="10">
        <v>14.533182</v>
      </c>
      <c r="F1176" s="10">
        <v>36.953738999999999</v>
      </c>
      <c r="G1176" s="10">
        <v>1</v>
      </c>
      <c r="H1176" s="10" t="s">
        <v>1670</v>
      </c>
      <c r="I1176" s="10" t="s">
        <v>4287</v>
      </c>
      <c r="J1176" s="10" t="s">
        <v>4288</v>
      </c>
      <c r="K1176" s="10" t="s">
        <v>4289</v>
      </c>
      <c r="L1176" s="65" t="str">
        <f t="shared" si="93"/>
        <v>Vittoria|Italy|14,533182|36,953739|+1:00 Europe</v>
      </c>
      <c r="M1176" s="10" t="s">
        <v>4322</v>
      </c>
      <c r="N1176" s="10">
        <f t="shared" si="90"/>
        <v>0</v>
      </c>
      <c r="O1176" t="str">
        <f t="shared" si="94"/>
        <v/>
      </c>
      <c r="P1176" t="str">
        <f>IF(O1176=1,COUNTIF($O$2:O1176,1),"")</f>
        <v/>
      </c>
      <c r="Q1176" t="str">
        <f>IFERROR(INDEX($M$2:$M$2388,MATCH(ROWS($P$2:P1176),$P$2:$P$2388,0)),"")</f>
        <v/>
      </c>
    </row>
    <row r="1177" spans="1:17" ht="15" x14ac:dyDescent="0.25">
      <c r="A1177" s="10">
        <v>1204</v>
      </c>
      <c r="B1177" s="10" t="s">
        <v>4323</v>
      </c>
      <c r="C1177" s="880">
        <f t="shared" si="91"/>
        <v>14.749599999999999</v>
      </c>
      <c r="D1177" s="880">
        <f t="shared" si="92"/>
        <v>37.160899999999998</v>
      </c>
      <c r="E1177" s="10">
        <v>14.749684999999999</v>
      </c>
      <c r="F1177" s="10">
        <v>37.160946000000003</v>
      </c>
      <c r="G1177" s="10">
        <v>1</v>
      </c>
      <c r="H1177" s="10" t="s">
        <v>1670</v>
      </c>
      <c r="I1177" s="10" t="s">
        <v>4287</v>
      </c>
      <c r="J1177" s="10" t="s">
        <v>4288</v>
      </c>
      <c r="K1177" s="10" t="s">
        <v>4289</v>
      </c>
      <c r="L1177" s="65" t="str">
        <f t="shared" si="93"/>
        <v>Vizzini|Italy|14,749685|37,160946|+1:00 Europe</v>
      </c>
      <c r="M1177" s="10" t="s">
        <v>4324</v>
      </c>
      <c r="N1177" s="10">
        <f t="shared" si="90"/>
        <v>0</v>
      </c>
      <c r="O1177" t="str">
        <f t="shared" si="94"/>
        <v/>
      </c>
      <c r="P1177" t="str">
        <f>IF(O1177=1,COUNTIF($O$2:O1177,1),"")</f>
        <v/>
      </c>
      <c r="Q1177" t="str">
        <f>IFERROR(INDEX($M$2:$M$2388,MATCH(ROWS($P$2:P1177),$P$2:$P$2388,0)),"")</f>
        <v/>
      </c>
    </row>
    <row r="1178" spans="1:17" ht="15" x14ac:dyDescent="0.25">
      <c r="A1178" s="10">
        <v>1203</v>
      </c>
      <c r="B1178" s="10" t="s">
        <v>4325</v>
      </c>
      <c r="C1178" s="880">
        <f t="shared" si="91"/>
        <v>15.107900000000001</v>
      </c>
      <c r="D1178" s="880">
        <f t="shared" si="92"/>
        <v>37.682099999999998</v>
      </c>
      <c r="E1178" s="10">
        <v>15.107987</v>
      </c>
      <c r="F1178" s="10">
        <v>37.682155999999999</v>
      </c>
      <c r="G1178" s="10">
        <v>1</v>
      </c>
      <c r="H1178" s="10" t="s">
        <v>1670</v>
      </c>
      <c r="I1178" s="10" t="s">
        <v>4287</v>
      </c>
      <c r="J1178" s="10" t="s">
        <v>4288</v>
      </c>
      <c r="K1178" s="10" t="s">
        <v>4289</v>
      </c>
      <c r="L1178" s="65" t="str">
        <f t="shared" si="93"/>
        <v>Zafferana Etnea|Italy|15,107987|37,682156|+1:00 Europe</v>
      </c>
      <c r="M1178" s="10" t="s">
        <v>4326</v>
      </c>
      <c r="N1178" s="10">
        <f t="shared" si="90"/>
        <v>0</v>
      </c>
      <c r="O1178" t="str">
        <f t="shared" si="94"/>
        <v/>
      </c>
      <c r="P1178" t="str">
        <f>IF(O1178=1,COUNTIF($O$2:O1178,1),"")</f>
        <v/>
      </c>
      <c r="Q1178" t="str">
        <f>IFERROR(INDEX($M$2:$M$2388,MATCH(ROWS($P$2:P1178),$P$2:$P$2388,0)),"")</f>
        <v/>
      </c>
    </row>
    <row r="1179" spans="1:17" ht="15" x14ac:dyDescent="0.25">
      <c r="A1179" s="10">
        <v>337</v>
      </c>
      <c r="B1179" s="10" t="s">
        <v>4327</v>
      </c>
      <c r="C1179" s="880">
        <f t="shared" si="91"/>
        <v>-4.0279999999999996</v>
      </c>
      <c r="D1179" s="880">
        <f t="shared" si="92"/>
        <v>5.3411</v>
      </c>
      <c r="E1179" s="10">
        <v>-4.0280560000000003</v>
      </c>
      <c r="F1179" s="10">
        <v>5.3411109999999997</v>
      </c>
      <c r="G1179" s="10">
        <v>0</v>
      </c>
      <c r="H1179" s="10" t="s">
        <v>2318</v>
      </c>
      <c r="I1179" s="10" t="s">
        <v>4328</v>
      </c>
      <c r="J1179" s="10" t="s">
        <v>4329</v>
      </c>
      <c r="K1179" s="10" t="s">
        <v>4330</v>
      </c>
      <c r="L1179" s="65" t="str">
        <f t="shared" si="93"/>
        <v>Abidjan|Ivory Coast|-4,028056|5,341111|+0:00 Africa</v>
      </c>
      <c r="M1179" s="10" t="s">
        <v>4331</v>
      </c>
      <c r="N1179" s="10">
        <f t="shared" si="90"/>
        <v>0</v>
      </c>
      <c r="O1179" t="str">
        <f t="shared" si="94"/>
        <v/>
      </c>
      <c r="P1179" t="str">
        <f>IF(O1179=1,COUNTIF($O$2:O1179,1),"")</f>
        <v/>
      </c>
      <c r="Q1179" t="str">
        <f>IFERROR(INDEX($M$2:$M$2388,MATCH(ROWS($P$2:P1179),$P$2:$P$2388,0)),"")</f>
        <v/>
      </c>
    </row>
    <row r="1180" spans="1:17" ht="15" x14ac:dyDescent="0.25">
      <c r="A1180" s="10">
        <v>336</v>
      </c>
      <c r="B1180" s="10" t="s">
        <v>4332</v>
      </c>
      <c r="C1180" s="880">
        <f t="shared" si="91"/>
        <v>-4.0205000000000002</v>
      </c>
      <c r="D1180" s="880">
        <f t="shared" si="92"/>
        <v>5.4188000000000001</v>
      </c>
      <c r="E1180" s="10">
        <v>-4.0205549999999999</v>
      </c>
      <c r="F1180" s="10">
        <v>5.4188890000000001</v>
      </c>
      <c r="G1180" s="10">
        <v>0</v>
      </c>
      <c r="H1180" s="10" t="s">
        <v>2318</v>
      </c>
      <c r="I1180" s="10" t="s">
        <v>4328</v>
      </c>
      <c r="J1180" s="10" t="s">
        <v>4329</v>
      </c>
      <c r="K1180" s="10" t="s">
        <v>4330</v>
      </c>
      <c r="L1180" s="65" t="str">
        <f t="shared" si="93"/>
        <v>Abobo|Ivory Coast|-4,020555|5,418889|+0:00 Africa</v>
      </c>
      <c r="M1180" s="10" t="s">
        <v>4333</v>
      </c>
      <c r="N1180" s="10">
        <f t="shared" si="90"/>
        <v>0</v>
      </c>
      <c r="O1180" t="str">
        <f t="shared" si="94"/>
        <v/>
      </c>
      <c r="P1180" t="str">
        <f>IF(O1180=1,COUNTIF($O$2:O1180,1),"")</f>
        <v/>
      </c>
      <c r="Q1180" t="str">
        <f>IFERROR(INDEX($M$2:$M$2388,MATCH(ROWS($P$2:P1180),$P$2:$P$2388,0)),"")</f>
        <v/>
      </c>
    </row>
    <row r="1181" spans="1:17" ht="15" x14ac:dyDescent="0.25">
      <c r="A1181" s="10">
        <v>335</v>
      </c>
      <c r="B1181" s="10" t="s">
        <v>4334</v>
      </c>
      <c r="C1181" s="880">
        <f t="shared" si="91"/>
        <v>-5.0330000000000004</v>
      </c>
      <c r="D1181" s="880">
        <f t="shared" si="92"/>
        <v>7.6833</v>
      </c>
      <c r="E1181" s="10">
        <v>-5.0330560000000002</v>
      </c>
      <c r="F1181" s="10">
        <v>7.6833330000000002</v>
      </c>
      <c r="G1181" s="10">
        <v>0</v>
      </c>
      <c r="H1181" s="10" t="s">
        <v>2318</v>
      </c>
      <c r="I1181" s="10" t="s">
        <v>4328</v>
      </c>
      <c r="J1181" s="10" t="s">
        <v>4329</v>
      </c>
      <c r="K1181" s="10" t="s">
        <v>4330</v>
      </c>
      <c r="L1181" s="65" t="str">
        <f t="shared" si="93"/>
        <v>Bouake|Ivory Coast|-5,033056|7,683333|+0:00 Africa</v>
      </c>
      <c r="M1181" s="10" t="s">
        <v>4335</v>
      </c>
      <c r="N1181" s="10">
        <f t="shared" si="90"/>
        <v>0</v>
      </c>
      <c r="O1181" t="str">
        <f t="shared" si="94"/>
        <v/>
      </c>
      <c r="P1181" t="str">
        <f>IF(O1181=1,COUNTIF($O$2:O1181,1),"")</f>
        <v/>
      </c>
      <c r="Q1181" t="str">
        <f>IFERROR(INDEX($M$2:$M$2388,MATCH(ROWS($P$2:P1181),$P$2:$P$2388,0)),"")</f>
        <v/>
      </c>
    </row>
    <row r="1182" spans="1:17" ht="15" x14ac:dyDescent="0.25">
      <c r="A1182" s="10">
        <v>334</v>
      </c>
      <c r="B1182" s="10" t="s">
        <v>4336</v>
      </c>
      <c r="C1182" s="880">
        <f t="shared" si="91"/>
        <v>-6.4519000000000002</v>
      </c>
      <c r="D1182" s="880">
        <f t="shared" si="92"/>
        <v>6.8746999999999998</v>
      </c>
      <c r="E1182" s="10">
        <v>-6.4519440000000001</v>
      </c>
      <c r="F1182" s="10">
        <v>6.8747220000000002</v>
      </c>
      <c r="G1182" s="10">
        <v>0</v>
      </c>
      <c r="H1182" s="10" t="s">
        <v>2318</v>
      </c>
      <c r="I1182" s="10" t="s">
        <v>4328</v>
      </c>
      <c r="J1182" s="10" t="s">
        <v>4329</v>
      </c>
      <c r="K1182" s="10" t="s">
        <v>4330</v>
      </c>
      <c r="L1182" s="65" t="str">
        <f t="shared" si="93"/>
        <v>Daloa|Ivory Coast|-6,451944|6,874722|+0:00 Africa</v>
      </c>
      <c r="M1182" s="10" t="s">
        <v>4337</v>
      </c>
      <c r="N1182" s="10">
        <f t="shared" si="90"/>
        <v>0</v>
      </c>
      <c r="O1182" t="str">
        <f t="shared" si="94"/>
        <v/>
      </c>
      <c r="P1182" t="str">
        <f>IF(O1182=1,COUNTIF($O$2:O1182,1),"")</f>
        <v/>
      </c>
      <c r="Q1182" t="str">
        <f>IFERROR(INDEX($M$2:$M$2388,MATCH(ROWS($P$2:P1182),$P$2:$P$2388,0)),"")</f>
        <v/>
      </c>
    </row>
    <row r="1183" spans="1:17" ht="15" x14ac:dyDescent="0.25">
      <c r="A1183" s="10">
        <v>333</v>
      </c>
      <c r="B1183" s="10" t="s">
        <v>4338</v>
      </c>
      <c r="C1183" s="880">
        <f t="shared" si="91"/>
        <v>-6.4776999999999996</v>
      </c>
      <c r="D1183" s="880">
        <f t="shared" si="92"/>
        <v>7.3818999999999999</v>
      </c>
      <c r="E1183" s="10">
        <v>-6.4777779999999998</v>
      </c>
      <c r="F1183" s="10">
        <v>7.3819439999999998</v>
      </c>
      <c r="G1183" s="10">
        <v>0</v>
      </c>
      <c r="H1183" s="10" t="s">
        <v>2318</v>
      </c>
      <c r="I1183" s="10" t="s">
        <v>4328</v>
      </c>
      <c r="J1183" s="10" t="s">
        <v>4329</v>
      </c>
      <c r="K1183" s="10" t="s">
        <v>4330</v>
      </c>
      <c r="L1183" s="65" t="str">
        <f t="shared" si="93"/>
        <v>Vavoua|Ivory Coast|-6,477778|7,381944|+0:00 Africa</v>
      </c>
      <c r="M1183" s="10" t="s">
        <v>4339</v>
      </c>
      <c r="N1183" s="10">
        <f t="shared" si="90"/>
        <v>0</v>
      </c>
      <c r="O1183" t="str">
        <f t="shared" si="94"/>
        <v/>
      </c>
      <c r="P1183" t="str">
        <f>IF(O1183=1,COUNTIF($O$2:O1183,1),"")</f>
        <v/>
      </c>
      <c r="Q1183" t="str">
        <f>IFERROR(INDEX($M$2:$M$2388,MATCH(ROWS($P$2:P1183),$P$2:$P$2388,0)),"")</f>
        <v/>
      </c>
    </row>
    <row r="1184" spans="1:17" ht="15" x14ac:dyDescent="0.25">
      <c r="A1184" s="10">
        <v>332</v>
      </c>
      <c r="B1184" s="10" t="s">
        <v>4340</v>
      </c>
      <c r="C1184" s="880">
        <f t="shared" si="91"/>
        <v>-5.2832999999999997</v>
      </c>
      <c r="D1184" s="880">
        <f t="shared" si="92"/>
        <v>6.8166000000000002</v>
      </c>
      <c r="E1184" s="10">
        <v>-5.2833329999999998</v>
      </c>
      <c r="F1184" s="10">
        <v>6.8166669999999998</v>
      </c>
      <c r="G1184" s="10">
        <v>0</v>
      </c>
      <c r="H1184" s="10" t="s">
        <v>2318</v>
      </c>
      <c r="I1184" s="10" t="s">
        <v>4328</v>
      </c>
      <c r="J1184" s="10" t="s">
        <v>4329</v>
      </c>
      <c r="K1184" s="10" t="s">
        <v>4330</v>
      </c>
      <c r="L1184" s="65" t="str">
        <f t="shared" si="93"/>
        <v>Yamoussoukro|Ivory Coast|-5,283333|6,816667|+0:00 Africa</v>
      </c>
      <c r="M1184" s="10" t="s">
        <v>4341</v>
      </c>
      <c r="N1184" s="10">
        <f t="shared" si="90"/>
        <v>0</v>
      </c>
      <c r="O1184" t="str">
        <f t="shared" si="94"/>
        <v/>
      </c>
      <c r="P1184" t="str">
        <f>IF(O1184=1,COUNTIF($O$2:O1184,1),"")</f>
        <v/>
      </c>
      <c r="Q1184" t="str">
        <f>IFERROR(INDEX($M$2:$M$2388,MATCH(ROWS($P$2:P1184),$P$2:$P$2388,0)),"")</f>
        <v/>
      </c>
    </row>
    <row r="1185" spans="1:17" ht="15" x14ac:dyDescent="0.25">
      <c r="A1185" s="10">
        <v>331</v>
      </c>
      <c r="B1185" s="10" t="s">
        <v>4342</v>
      </c>
      <c r="C1185" s="880">
        <f t="shared" si="91"/>
        <v>-6.0430000000000001</v>
      </c>
      <c r="D1185" s="880">
        <f t="shared" si="92"/>
        <v>7.4291</v>
      </c>
      <c r="E1185" s="10">
        <v>-6.043056</v>
      </c>
      <c r="F1185" s="10">
        <v>7.4291669999999996</v>
      </c>
      <c r="G1185" s="10">
        <v>0</v>
      </c>
      <c r="H1185" s="10" t="s">
        <v>2318</v>
      </c>
      <c r="I1185" s="10" t="s">
        <v>4328</v>
      </c>
      <c r="J1185" s="10" t="s">
        <v>4329</v>
      </c>
      <c r="K1185" s="10" t="s">
        <v>4330</v>
      </c>
      <c r="L1185" s="65" t="str">
        <f t="shared" si="93"/>
        <v>Zuenoula|Ivory Coast|-6,043056|7,429167|+0:00 Africa</v>
      </c>
      <c r="M1185" s="10" t="s">
        <v>4343</v>
      </c>
      <c r="N1185" s="10">
        <f t="shared" si="90"/>
        <v>0</v>
      </c>
      <c r="O1185" t="str">
        <f t="shared" si="94"/>
        <v/>
      </c>
      <c r="P1185" t="str">
        <f>IF(O1185=1,COUNTIF($O$2:O1185,1),"")</f>
        <v/>
      </c>
      <c r="Q1185" t="str">
        <f>IFERROR(INDEX($M$2:$M$2388,MATCH(ROWS($P$2:P1185),$P$2:$P$2388,0)),"")</f>
        <v/>
      </c>
    </row>
    <row r="1186" spans="1:17" ht="15" x14ac:dyDescent="0.25">
      <c r="A1186" s="10">
        <v>1226</v>
      </c>
      <c r="B1186" s="10" t="s">
        <v>4344</v>
      </c>
      <c r="C1186" s="880">
        <f t="shared" si="91"/>
        <v>-76.793499999999995</v>
      </c>
      <c r="D1186" s="880">
        <f t="shared" si="92"/>
        <v>17.997</v>
      </c>
      <c r="E1186" s="10">
        <v>-76.793571</v>
      </c>
      <c r="F1186" s="10">
        <v>17.997019000000002</v>
      </c>
      <c r="G1186" s="10">
        <v>-5</v>
      </c>
      <c r="H1186" s="10" t="s">
        <v>1873</v>
      </c>
      <c r="I1186" s="10" t="s">
        <v>4345</v>
      </c>
      <c r="J1186" s="10" t="s">
        <v>4346</v>
      </c>
      <c r="K1186" s="10" t="s">
        <v>4347</v>
      </c>
      <c r="L1186" s="65" t="str">
        <f t="shared" si="93"/>
        <v>Kingston|Jamaica|-76,793571|17,997019|-5:00 America</v>
      </c>
      <c r="M1186" s="10" t="s">
        <v>4348</v>
      </c>
      <c r="N1186" s="10">
        <f t="shared" si="90"/>
        <v>0</v>
      </c>
      <c r="O1186" t="str">
        <f t="shared" si="94"/>
        <v/>
      </c>
      <c r="P1186" t="str">
        <f>IF(O1186=1,COUNTIF($O$2:O1186,1),"")</f>
        <v/>
      </c>
      <c r="Q1186" t="str">
        <f>IFERROR(INDEX($M$2:$M$2388,MATCH(ROWS($P$2:P1186),$P$2:$P$2388,0)),"")</f>
        <v/>
      </c>
    </row>
    <row r="1187" spans="1:17" ht="15" x14ac:dyDescent="0.25">
      <c r="A1187" s="10">
        <v>1225</v>
      </c>
      <c r="B1187" s="10" t="s">
        <v>4349</v>
      </c>
      <c r="C1187" s="880">
        <f t="shared" si="91"/>
        <v>-76.783100000000005</v>
      </c>
      <c r="D1187" s="880">
        <f t="shared" si="92"/>
        <v>18.007400000000001</v>
      </c>
      <c r="E1187" s="10">
        <v>-76.783187999999996</v>
      </c>
      <c r="F1187" s="10">
        <v>18.007466999999998</v>
      </c>
      <c r="G1187" s="10">
        <v>-5</v>
      </c>
      <c r="H1187" s="10" t="s">
        <v>1873</v>
      </c>
      <c r="I1187" s="10" t="s">
        <v>4345</v>
      </c>
      <c r="J1187" s="10" t="s">
        <v>4346</v>
      </c>
      <c r="K1187" s="10" t="s">
        <v>4347</v>
      </c>
      <c r="L1187" s="65" t="str">
        <f t="shared" si="93"/>
        <v>New Kingston|Jamaica|-76,783188|18,007467|-5:00 America</v>
      </c>
      <c r="M1187" s="10" t="s">
        <v>4350</v>
      </c>
      <c r="N1187" s="10">
        <f t="shared" si="90"/>
        <v>0</v>
      </c>
      <c r="O1187" t="str">
        <f t="shared" si="94"/>
        <v/>
      </c>
      <c r="P1187" t="str">
        <f>IF(O1187=1,COUNTIF($O$2:O1187,1),"")</f>
        <v/>
      </c>
      <c r="Q1187" t="str">
        <f>IFERROR(INDEX($M$2:$M$2388,MATCH(ROWS($P$2:P1187),$P$2:$P$2388,0)),"")</f>
        <v/>
      </c>
    </row>
    <row r="1188" spans="1:17" ht="15" x14ac:dyDescent="0.25">
      <c r="A1188" s="10">
        <v>1224</v>
      </c>
      <c r="B1188" s="10" t="s">
        <v>4351</v>
      </c>
      <c r="C1188" s="880">
        <f t="shared" si="91"/>
        <v>-76.9499</v>
      </c>
      <c r="D1188" s="880">
        <f t="shared" si="92"/>
        <v>17.9833</v>
      </c>
      <c r="E1188" s="10">
        <v>-76.949996999999996</v>
      </c>
      <c r="F1188" s="10">
        <v>17.983333999999999</v>
      </c>
      <c r="G1188" s="10">
        <v>-5</v>
      </c>
      <c r="H1188" s="10" t="s">
        <v>1873</v>
      </c>
      <c r="I1188" s="10" t="s">
        <v>4345</v>
      </c>
      <c r="J1188" s="10" t="s">
        <v>4346</v>
      </c>
      <c r="K1188" s="10" t="s">
        <v>4347</v>
      </c>
      <c r="L1188" s="65" t="str">
        <f t="shared" si="93"/>
        <v>Spanish Town|Jamaica|-76,949997|17,983334|-5:00 America</v>
      </c>
      <c r="M1188" s="10" t="s">
        <v>4352</v>
      </c>
      <c r="N1188" s="10">
        <f t="shared" si="90"/>
        <v>0</v>
      </c>
      <c r="O1188" t="str">
        <f t="shared" si="94"/>
        <v/>
      </c>
      <c r="P1188" t="str">
        <f>IF(O1188=1,COUNTIF($O$2:O1188,1),"")</f>
        <v/>
      </c>
      <c r="Q1188" t="str">
        <f>IFERROR(INDEX($M$2:$M$2388,MATCH(ROWS($P$2:P1188),$P$2:$P$2388,0)),"")</f>
        <v/>
      </c>
    </row>
    <row r="1189" spans="1:17" ht="15" x14ac:dyDescent="0.25">
      <c r="A1189" s="10">
        <v>1223</v>
      </c>
      <c r="B1189" s="10" t="s">
        <v>4353</v>
      </c>
      <c r="C1189" s="880">
        <f t="shared" si="91"/>
        <v>-76.790999999999997</v>
      </c>
      <c r="D1189" s="880">
        <f t="shared" si="92"/>
        <v>18.075299999999999</v>
      </c>
      <c r="E1189" s="10">
        <v>-76.791083999999998</v>
      </c>
      <c r="F1189" s="10">
        <v>18.075368999999998</v>
      </c>
      <c r="G1189" s="10">
        <v>-5</v>
      </c>
      <c r="H1189" s="10" t="s">
        <v>1873</v>
      </c>
      <c r="I1189" s="10" t="s">
        <v>4345</v>
      </c>
      <c r="J1189" s="10" t="s">
        <v>4346</v>
      </c>
      <c r="K1189" s="10" t="s">
        <v>4347</v>
      </c>
      <c r="L1189" s="65" t="str">
        <f t="shared" si="93"/>
        <v>Stony Hill|Jamaica|-76,791084|18,075369|-5:00 America</v>
      </c>
      <c r="M1189" s="10" t="s">
        <v>4354</v>
      </c>
      <c r="N1189" s="10">
        <f t="shared" si="90"/>
        <v>0</v>
      </c>
      <c r="O1189" t="str">
        <f t="shared" si="94"/>
        <v/>
      </c>
      <c r="P1189" t="str">
        <f>IF(O1189=1,COUNTIF($O$2:O1189,1),"")</f>
        <v/>
      </c>
      <c r="Q1189" t="str">
        <f>IFERROR(INDEX($M$2:$M$2388,MATCH(ROWS($P$2:P1189),$P$2:$P$2388,0)),"")</f>
        <v/>
      </c>
    </row>
    <row r="1190" spans="1:17" ht="15" x14ac:dyDescent="0.25">
      <c r="A1190" s="10">
        <v>1222</v>
      </c>
      <c r="B1190" s="10" t="s">
        <v>4355</v>
      </c>
      <c r="C1190" s="880">
        <f t="shared" si="91"/>
        <v>-76.566599999999994</v>
      </c>
      <c r="D1190" s="880">
        <f t="shared" si="92"/>
        <v>17.866599999999998</v>
      </c>
      <c r="E1190" s="10">
        <v>-76.566665999999998</v>
      </c>
      <c r="F1190" s="10">
        <v>17.866667</v>
      </c>
      <c r="G1190" s="10">
        <v>-5</v>
      </c>
      <c r="H1190" s="10" t="s">
        <v>1873</v>
      </c>
      <c r="I1190" s="10" t="s">
        <v>4345</v>
      </c>
      <c r="J1190" s="10" t="s">
        <v>4346</v>
      </c>
      <c r="K1190" s="10" t="s">
        <v>4347</v>
      </c>
      <c r="L1190" s="65" t="str">
        <f t="shared" si="93"/>
        <v>Yallahs|Jamaica|-76,566666|17,866667|-5:00 America</v>
      </c>
      <c r="M1190" s="10" t="s">
        <v>4356</v>
      </c>
      <c r="N1190" s="10">
        <f t="shared" si="90"/>
        <v>0</v>
      </c>
      <c r="O1190" t="str">
        <f t="shared" si="94"/>
        <v/>
      </c>
      <c r="P1190" t="str">
        <f>IF(O1190=1,COUNTIF($O$2:O1190,1),"")</f>
        <v/>
      </c>
      <c r="Q1190" t="str">
        <f>IFERROR(INDEX($M$2:$M$2388,MATCH(ROWS($P$2:P1190),$P$2:$P$2388,0)),"")</f>
        <v/>
      </c>
    </row>
    <row r="1191" spans="1:17" ht="15" x14ac:dyDescent="0.25">
      <c r="A1191" s="10">
        <v>1319</v>
      </c>
      <c r="B1191" s="10" t="s">
        <v>4357</v>
      </c>
      <c r="C1191" s="880">
        <f t="shared" si="91"/>
        <v>139.58860000000001</v>
      </c>
      <c r="D1191" s="880">
        <f t="shared" si="92"/>
        <v>35.969700000000003</v>
      </c>
      <c r="E1191" s="10">
        <v>139.58860799999999</v>
      </c>
      <c r="F1191" s="10">
        <v>35.969723000000002</v>
      </c>
      <c r="G1191" s="10">
        <v>9</v>
      </c>
      <c r="H1191" s="10" t="s">
        <v>4033</v>
      </c>
      <c r="I1191" s="10" t="s">
        <v>4358</v>
      </c>
      <c r="J1191" s="10" t="s">
        <v>4359</v>
      </c>
      <c r="K1191" s="10" t="s">
        <v>4360</v>
      </c>
      <c r="L1191" s="65" t="str">
        <f t="shared" si="93"/>
        <v>Ageo|Japan|139,588608|35,969723|+9:00 Asia</v>
      </c>
      <c r="M1191" s="10" t="s">
        <v>4361</v>
      </c>
      <c r="N1191" s="10">
        <f t="shared" si="90"/>
        <v>0</v>
      </c>
      <c r="O1191" t="str">
        <f t="shared" si="94"/>
        <v/>
      </c>
      <c r="P1191" t="str">
        <f>IF(O1191=1,COUNTIF($O$2:O1191,1),"")</f>
        <v/>
      </c>
      <c r="Q1191" t="str">
        <f>IFERROR(INDEX($M$2:$M$2388,MATCH(ROWS($P$2:P1191),$P$2:$P$2388,0)),"")</f>
        <v/>
      </c>
    </row>
    <row r="1192" spans="1:17" ht="15" x14ac:dyDescent="0.25">
      <c r="A1192" s="10">
        <v>1234</v>
      </c>
      <c r="B1192" s="10" t="s">
        <v>4362</v>
      </c>
      <c r="C1192" s="880">
        <f t="shared" si="91"/>
        <v>134.98330000000001</v>
      </c>
      <c r="D1192" s="880">
        <f t="shared" si="92"/>
        <v>34.633299999999998</v>
      </c>
      <c r="E1192" s="10">
        <v>134.98333700000001</v>
      </c>
      <c r="F1192" s="10">
        <v>34.633335000000002</v>
      </c>
      <c r="G1192" s="10">
        <v>9</v>
      </c>
      <c r="H1192" s="10" t="s">
        <v>4033</v>
      </c>
      <c r="I1192" s="10" t="s">
        <v>4358</v>
      </c>
      <c r="J1192" s="10" t="s">
        <v>4359</v>
      </c>
      <c r="K1192" s="10" t="s">
        <v>4360</v>
      </c>
      <c r="L1192" s="65" t="str">
        <f t="shared" si="93"/>
        <v>Akashi|Japan|134,983337|34,633335|+9:00 Asia</v>
      </c>
      <c r="M1192" s="10" t="s">
        <v>4363</v>
      </c>
      <c r="N1192" s="10">
        <f t="shared" si="90"/>
        <v>0</v>
      </c>
      <c r="O1192" t="str">
        <f t="shared" si="94"/>
        <v/>
      </c>
      <c r="P1192" t="str">
        <f>IF(O1192=1,COUNTIF($O$2:O1192,1),"")</f>
        <v/>
      </c>
      <c r="Q1192" t="str">
        <f>IFERROR(INDEX($M$2:$M$2388,MATCH(ROWS($P$2:P1192),$P$2:$P$2388,0)),"")</f>
        <v/>
      </c>
    </row>
    <row r="1193" spans="1:17" ht="15" x14ac:dyDescent="0.25">
      <c r="A1193" s="10">
        <v>1329</v>
      </c>
      <c r="B1193" s="10" t="s">
        <v>4364</v>
      </c>
      <c r="C1193" s="880">
        <f t="shared" si="91"/>
        <v>140.11660000000001</v>
      </c>
      <c r="D1193" s="880">
        <f t="shared" si="92"/>
        <v>39.7166</v>
      </c>
      <c r="E1193" s="10">
        <v>140.116669</v>
      </c>
      <c r="F1193" s="10">
        <v>39.716667000000001</v>
      </c>
      <c r="G1193" s="10">
        <v>9</v>
      </c>
      <c r="H1193" s="10" t="s">
        <v>4033</v>
      </c>
      <c r="I1193" s="10" t="s">
        <v>4358</v>
      </c>
      <c r="J1193" s="10" t="s">
        <v>4359</v>
      </c>
      <c r="K1193" s="10" t="s">
        <v>4360</v>
      </c>
      <c r="L1193" s="65" t="str">
        <f t="shared" si="93"/>
        <v>Akita|Japan|140,116669|39,716667|+9:00 Asia</v>
      </c>
      <c r="M1193" s="10" t="s">
        <v>4365</v>
      </c>
      <c r="N1193" s="10">
        <f t="shared" si="90"/>
        <v>0</v>
      </c>
      <c r="O1193" t="str">
        <f t="shared" si="94"/>
        <v/>
      </c>
      <c r="P1193" t="str">
        <f>IF(O1193=1,COUNTIF($O$2:O1193,1),"")</f>
        <v/>
      </c>
      <c r="Q1193" t="str">
        <f>IFERROR(INDEX($M$2:$M$2388,MATCH(ROWS($P$2:P1193),$P$2:$P$2388,0)),"")</f>
        <v/>
      </c>
    </row>
    <row r="1194" spans="1:17" ht="15" x14ac:dyDescent="0.25">
      <c r="A1194" s="10">
        <v>1318</v>
      </c>
      <c r="B1194" s="10" t="s">
        <v>4366</v>
      </c>
      <c r="C1194" s="880">
        <f t="shared" si="91"/>
        <v>135.41659999999999</v>
      </c>
      <c r="D1194" s="880">
        <f t="shared" si="92"/>
        <v>34.7166</v>
      </c>
      <c r="E1194" s="10">
        <v>135.41667200000001</v>
      </c>
      <c r="F1194" s="10">
        <v>34.716667000000001</v>
      </c>
      <c r="G1194" s="10">
        <v>9</v>
      </c>
      <c r="H1194" s="10" t="s">
        <v>4033</v>
      </c>
      <c r="I1194" s="10" t="s">
        <v>4358</v>
      </c>
      <c r="J1194" s="10" t="s">
        <v>4359</v>
      </c>
      <c r="K1194" s="10" t="s">
        <v>4360</v>
      </c>
      <c r="L1194" s="65" t="str">
        <f t="shared" si="93"/>
        <v>Amagasaki|Japan|135,416672|34,716667|+9:00 Asia</v>
      </c>
      <c r="M1194" s="10" t="s">
        <v>4367</v>
      </c>
      <c r="N1194" s="10">
        <f t="shared" si="90"/>
        <v>0</v>
      </c>
      <c r="O1194" t="str">
        <f t="shared" si="94"/>
        <v/>
      </c>
      <c r="P1194" t="str">
        <f>IF(O1194=1,COUNTIF($O$2:O1194,1),"")</f>
        <v/>
      </c>
      <c r="Q1194" t="str">
        <f>IFERROR(INDEX($M$2:$M$2388,MATCH(ROWS($P$2:P1194),$P$2:$P$2388,0)),"")</f>
        <v/>
      </c>
    </row>
    <row r="1195" spans="1:17" ht="15" x14ac:dyDescent="0.25">
      <c r="A1195" s="10">
        <v>1334</v>
      </c>
      <c r="B1195" s="10" t="s">
        <v>4368</v>
      </c>
      <c r="C1195" s="880">
        <f t="shared" si="91"/>
        <v>140.75110000000001</v>
      </c>
      <c r="D1195" s="880">
        <f t="shared" si="92"/>
        <v>40.821100000000001</v>
      </c>
      <c r="E1195" s="10">
        <v>140.751114</v>
      </c>
      <c r="F1195" s="10">
        <v>40.821109999999997</v>
      </c>
      <c r="G1195" s="10">
        <v>9</v>
      </c>
      <c r="H1195" s="10" t="s">
        <v>4033</v>
      </c>
      <c r="I1195" s="10" t="s">
        <v>4358</v>
      </c>
      <c r="J1195" s="10" t="s">
        <v>4359</v>
      </c>
      <c r="K1195" s="10" t="s">
        <v>4360</v>
      </c>
      <c r="L1195" s="65" t="str">
        <f t="shared" si="93"/>
        <v>Aomori|Japan|140,751114|40,821110|+9:00 Asia</v>
      </c>
      <c r="M1195" s="10" t="s">
        <v>4369</v>
      </c>
      <c r="N1195" s="10">
        <f t="shared" si="90"/>
        <v>0</v>
      </c>
      <c r="O1195" t="str">
        <f t="shared" si="94"/>
        <v/>
      </c>
      <c r="P1195" t="str">
        <f>IF(O1195=1,COUNTIF($O$2:O1195,1),"")</f>
        <v/>
      </c>
      <c r="Q1195" t="str">
        <f>IFERROR(INDEX($M$2:$M$2388,MATCH(ROWS($P$2:P1195),$P$2:$P$2388,0)),"")</f>
        <v/>
      </c>
    </row>
    <row r="1196" spans="1:17" ht="15" x14ac:dyDescent="0.25">
      <c r="A1196" s="10">
        <v>1333</v>
      </c>
      <c r="B1196" s="10" t="s">
        <v>4370</v>
      </c>
      <c r="C1196" s="880">
        <f t="shared" si="91"/>
        <v>142.37020000000001</v>
      </c>
      <c r="D1196" s="880">
        <f t="shared" si="92"/>
        <v>43.767699999999998</v>
      </c>
      <c r="E1196" s="10">
        <v>142.370285</v>
      </c>
      <c r="F1196" s="10">
        <v>43.767775999999998</v>
      </c>
      <c r="G1196" s="10">
        <v>9</v>
      </c>
      <c r="H1196" s="10" t="s">
        <v>4033</v>
      </c>
      <c r="I1196" s="10" t="s">
        <v>4358</v>
      </c>
      <c r="J1196" s="10" t="s">
        <v>4359</v>
      </c>
      <c r="K1196" s="10" t="s">
        <v>4360</v>
      </c>
      <c r="L1196" s="65" t="str">
        <f t="shared" si="93"/>
        <v>Asahikawa|Japan|142,370285|43,767776|+9:00 Asia</v>
      </c>
      <c r="M1196" s="10" t="s">
        <v>4371</v>
      </c>
      <c r="N1196" s="10">
        <f t="shared" si="90"/>
        <v>0</v>
      </c>
      <c r="O1196" t="str">
        <f t="shared" si="94"/>
        <v/>
      </c>
      <c r="P1196" t="str">
        <f>IF(O1196=1,COUNTIF($O$2:O1196,1),"")</f>
        <v/>
      </c>
      <c r="Q1196" t="str">
        <f>IFERROR(INDEX($M$2:$M$2388,MATCH(ROWS($P$2:P1196),$P$2:$P$2388,0)),"")</f>
        <v/>
      </c>
    </row>
    <row r="1197" spans="1:17" ht="15" x14ac:dyDescent="0.25">
      <c r="A1197" s="10">
        <v>1233</v>
      </c>
      <c r="B1197" s="10" t="s">
        <v>4372</v>
      </c>
      <c r="C1197" s="880">
        <f t="shared" si="91"/>
        <v>139.3597</v>
      </c>
      <c r="D1197" s="880">
        <f t="shared" si="92"/>
        <v>35.438800000000001</v>
      </c>
      <c r="E1197" s="10">
        <v>139.35972599999999</v>
      </c>
      <c r="F1197" s="10">
        <v>35.438889000000003</v>
      </c>
      <c r="G1197" s="10">
        <v>9</v>
      </c>
      <c r="H1197" s="10" t="s">
        <v>4033</v>
      </c>
      <c r="I1197" s="10" t="s">
        <v>4358</v>
      </c>
      <c r="J1197" s="10" t="s">
        <v>4359</v>
      </c>
      <c r="K1197" s="10" t="s">
        <v>4360</v>
      </c>
      <c r="L1197" s="65" t="str">
        <f t="shared" si="93"/>
        <v>Atsugi|Japan|139,359726|35,438889|+9:00 Asia</v>
      </c>
      <c r="M1197" s="10" t="s">
        <v>4373</v>
      </c>
      <c r="N1197" s="10">
        <f t="shared" si="90"/>
        <v>0</v>
      </c>
      <c r="O1197" t="str">
        <f t="shared" si="94"/>
        <v/>
      </c>
      <c r="P1197" t="str">
        <f>IF(O1197=1,COUNTIF($O$2:O1197,1),"")</f>
        <v/>
      </c>
      <c r="Q1197" t="str">
        <f>IFERROR(INDEX($M$2:$M$2388,MATCH(ROWS($P$2:P1197),$P$2:$P$2388,0)),"")</f>
        <v/>
      </c>
    </row>
    <row r="1198" spans="1:17" ht="15" x14ac:dyDescent="0.25">
      <c r="A1198" s="10">
        <v>1328</v>
      </c>
      <c r="B1198" s="10" t="s">
        <v>4374</v>
      </c>
      <c r="C1198" s="880">
        <f t="shared" si="91"/>
        <v>140.11660000000001</v>
      </c>
      <c r="D1198" s="880">
        <f t="shared" si="92"/>
        <v>35.599899999999998</v>
      </c>
      <c r="E1198" s="10">
        <v>140.116669</v>
      </c>
      <c r="F1198" s="10">
        <v>35.599997999999999</v>
      </c>
      <c r="G1198" s="10">
        <v>9</v>
      </c>
      <c r="H1198" s="10" t="s">
        <v>4033</v>
      </c>
      <c r="I1198" s="10" t="s">
        <v>4358</v>
      </c>
      <c r="J1198" s="10" t="s">
        <v>4359</v>
      </c>
      <c r="K1198" s="10" t="s">
        <v>4360</v>
      </c>
      <c r="L1198" s="65" t="str">
        <f t="shared" si="93"/>
        <v>Chiba|Japan|140,116669|35,599998|+9:00 Asia</v>
      </c>
      <c r="M1198" s="10" t="s">
        <v>4375</v>
      </c>
      <c r="N1198" s="10">
        <f t="shared" si="90"/>
        <v>0</v>
      </c>
      <c r="O1198" t="str">
        <f t="shared" si="94"/>
        <v/>
      </c>
      <c r="P1198" t="str">
        <f>IF(O1198=1,COUNTIF($O$2:O1198,1),"")</f>
        <v/>
      </c>
      <c r="Q1198" t="str">
        <f>IFERROR(INDEX($M$2:$M$2388,MATCH(ROWS($P$2:P1198),$P$2:$P$2388,0)),"")</f>
        <v/>
      </c>
    </row>
    <row r="1199" spans="1:17" ht="15" x14ac:dyDescent="0.25">
      <c r="A1199" s="10">
        <v>1317</v>
      </c>
      <c r="B1199" s="10" t="s">
        <v>4376</v>
      </c>
      <c r="C1199" s="880">
        <f t="shared" si="91"/>
        <v>139.40379999999999</v>
      </c>
      <c r="D1199" s="880">
        <f t="shared" si="92"/>
        <v>35.326099999999997</v>
      </c>
      <c r="E1199" s="10">
        <v>139.403885</v>
      </c>
      <c r="F1199" s="10">
        <v>35.326110999999997</v>
      </c>
      <c r="G1199" s="10">
        <v>9</v>
      </c>
      <c r="H1199" s="10" t="s">
        <v>4033</v>
      </c>
      <c r="I1199" s="10" t="s">
        <v>4358</v>
      </c>
      <c r="J1199" s="10" t="s">
        <v>4359</v>
      </c>
      <c r="K1199" s="10" t="s">
        <v>4360</v>
      </c>
      <c r="L1199" s="65" t="str">
        <f t="shared" si="93"/>
        <v>Chigasaki|Japan|139,403885|35,326111|+9:00 Asia</v>
      </c>
      <c r="M1199" s="10" t="s">
        <v>4377</v>
      </c>
      <c r="N1199" s="10">
        <f t="shared" si="90"/>
        <v>0</v>
      </c>
      <c r="O1199" t="str">
        <f t="shared" si="94"/>
        <v/>
      </c>
      <c r="P1199" t="str">
        <f>IF(O1199=1,COUNTIF($O$2:O1199,1),"")</f>
        <v/>
      </c>
      <c r="Q1199" t="str">
        <f>IFERROR(INDEX($M$2:$M$2388,MATCH(ROWS($P$2:P1199),$P$2:$P$2388,0)),"")</f>
        <v/>
      </c>
    </row>
    <row r="1200" spans="1:17" ht="15" x14ac:dyDescent="0.25">
      <c r="A1200" s="10">
        <v>1316</v>
      </c>
      <c r="B1200" s="10" t="s">
        <v>4378</v>
      </c>
      <c r="C1200" s="880">
        <f t="shared" si="91"/>
        <v>139.5522</v>
      </c>
      <c r="D1200" s="880">
        <f t="shared" si="92"/>
        <v>35.655500000000004</v>
      </c>
      <c r="E1200" s="10">
        <v>139.55221599999999</v>
      </c>
      <c r="F1200" s="10">
        <v>35.655555999999997</v>
      </c>
      <c r="G1200" s="10">
        <v>9</v>
      </c>
      <c r="H1200" s="10" t="s">
        <v>4033</v>
      </c>
      <c r="I1200" s="10" t="s">
        <v>4358</v>
      </c>
      <c r="J1200" s="10" t="s">
        <v>4359</v>
      </c>
      <c r="K1200" s="10" t="s">
        <v>4360</v>
      </c>
      <c r="L1200" s="65" t="str">
        <f t="shared" si="93"/>
        <v>Chofu|Japan|139,552216|35,655556|+9:00 Asia</v>
      </c>
      <c r="M1200" s="10" t="s">
        <v>4379</v>
      </c>
      <c r="N1200" s="10">
        <f t="shared" si="90"/>
        <v>0</v>
      </c>
      <c r="O1200" t="str">
        <f t="shared" si="94"/>
        <v/>
      </c>
      <c r="P1200" t="str">
        <f>IF(O1200=1,COUNTIF($O$2:O1200,1),"")</f>
        <v/>
      </c>
      <c r="Q1200" t="str">
        <f>IFERROR(INDEX($M$2:$M$2388,MATCH(ROWS($P$2:P1200),$P$2:$P$2388,0)),"")</f>
        <v/>
      </c>
    </row>
    <row r="1201" spans="1:17" ht="15" x14ac:dyDescent="0.25">
      <c r="A1201" s="10">
        <v>1315</v>
      </c>
      <c r="B1201" s="10" t="s">
        <v>4380</v>
      </c>
      <c r="C1201" s="880">
        <f t="shared" si="91"/>
        <v>139.48330000000001</v>
      </c>
      <c r="D1201" s="880">
        <f t="shared" si="92"/>
        <v>35.666600000000003</v>
      </c>
      <c r="E1201" s="10">
        <v>139.48333700000001</v>
      </c>
      <c r="F1201" s="10">
        <v>35.666668000000001</v>
      </c>
      <c r="G1201" s="10">
        <v>9</v>
      </c>
      <c r="H1201" s="10" t="s">
        <v>4033</v>
      </c>
      <c r="I1201" s="10" t="s">
        <v>4358</v>
      </c>
      <c r="J1201" s="10" t="s">
        <v>4359</v>
      </c>
      <c r="K1201" s="10" t="s">
        <v>4360</v>
      </c>
      <c r="L1201" s="65" t="str">
        <f t="shared" si="93"/>
        <v>Fuchu|Japan|139,483337|35,666668|+9:00 Asia</v>
      </c>
      <c r="M1201" s="10" t="s">
        <v>4381</v>
      </c>
      <c r="N1201" s="10">
        <f t="shared" si="90"/>
        <v>0</v>
      </c>
      <c r="O1201" t="str">
        <f t="shared" si="94"/>
        <v/>
      </c>
      <c r="P1201" t="str">
        <f>IF(O1201=1,COUNTIF($O$2:O1201,1),"")</f>
        <v/>
      </c>
      <c r="Q1201" t="str">
        <f>IFERROR(INDEX($M$2:$M$2388,MATCH(ROWS($P$2:P1201),$P$2:$P$2388,0)),"")</f>
        <v/>
      </c>
    </row>
    <row r="1202" spans="1:17" ht="15" x14ac:dyDescent="0.25">
      <c r="A1202" s="10">
        <v>1314</v>
      </c>
      <c r="B1202" s="10" t="s">
        <v>4382</v>
      </c>
      <c r="C1202" s="880">
        <f t="shared" si="91"/>
        <v>138.6833</v>
      </c>
      <c r="D1202" s="880">
        <f t="shared" si="92"/>
        <v>35.166600000000003</v>
      </c>
      <c r="E1202" s="10">
        <v>138.683334</v>
      </c>
      <c r="F1202" s="10">
        <v>35.166668000000001</v>
      </c>
      <c r="G1202" s="10">
        <v>9</v>
      </c>
      <c r="H1202" s="10" t="s">
        <v>4033</v>
      </c>
      <c r="I1202" s="10" t="s">
        <v>4358</v>
      </c>
      <c r="J1202" s="10" t="s">
        <v>4359</v>
      </c>
      <c r="K1202" s="10" t="s">
        <v>4360</v>
      </c>
      <c r="L1202" s="65" t="str">
        <f t="shared" si="93"/>
        <v>Fuji|Japan|138,683334|35,166668|+9:00 Asia</v>
      </c>
      <c r="M1202" s="10" t="s">
        <v>4383</v>
      </c>
      <c r="N1202" s="10">
        <f t="shared" si="90"/>
        <v>0</v>
      </c>
      <c r="O1202" t="str">
        <f t="shared" si="94"/>
        <v/>
      </c>
      <c r="P1202" t="str">
        <f>IF(O1202=1,COUNTIF($O$2:O1202,1),"")</f>
        <v/>
      </c>
      <c r="Q1202" t="str">
        <f>IFERROR(INDEX($M$2:$M$2388,MATCH(ROWS($P$2:P1202),$P$2:$P$2388,0)),"")</f>
        <v/>
      </c>
    </row>
    <row r="1203" spans="1:17" ht="15" x14ac:dyDescent="0.25">
      <c r="A1203" s="10">
        <v>1313</v>
      </c>
      <c r="B1203" s="10" t="s">
        <v>4384</v>
      </c>
      <c r="C1203" s="880">
        <f t="shared" si="91"/>
        <v>139.47</v>
      </c>
      <c r="D1203" s="880">
        <f t="shared" si="92"/>
        <v>35.341900000000003</v>
      </c>
      <c r="E1203" s="10">
        <v>139.470001</v>
      </c>
      <c r="F1203" s="10">
        <v>35.341946</v>
      </c>
      <c r="G1203" s="10">
        <v>9</v>
      </c>
      <c r="H1203" s="10" t="s">
        <v>4033</v>
      </c>
      <c r="I1203" s="10" t="s">
        <v>4358</v>
      </c>
      <c r="J1203" s="10" t="s">
        <v>4359</v>
      </c>
      <c r="K1203" s="10" t="s">
        <v>4360</v>
      </c>
      <c r="L1203" s="65" t="str">
        <f t="shared" si="93"/>
        <v>Fujisawa|Japan|139,470001|35,341946|+9:00 Asia</v>
      </c>
      <c r="M1203" s="10" t="s">
        <v>4385</v>
      </c>
      <c r="N1203" s="10">
        <f t="shared" si="90"/>
        <v>0</v>
      </c>
      <c r="O1203" t="str">
        <f t="shared" si="94"/>
        <v/>
      </c>
      <c r="P1203" t="str">
        <f>IF(O1203=1,COUNTIF($O$2:O1203,1),"")</f>
        <v/>
      </c>
      <c r="Q1203" t="str">
        <f>IFERROR(INDEX($M$2:$M$2388,MATCH(ROWS($P$2:P1203),$P$2:$P$2388,0)),"")</f>
        <v/>
      </c>
    </row>
    <row r="1204" spans="1:17" ht="15" x14ac:dyDescent="0.25">
      <c r="A1204" s="10">
        <v>1312</v>
      </c>
      <c r="B1204" s="10" t="s">
        <v>4386</v>
      </c>
      <c r="C1204" s="880">
        <f t="shared" si="91"/>
        <v>136.2166</v>
      </c>
      <c r="D1204" s="880">
        <f t="shared" si="92"/>
        <v>36.066600000000001</v>
      </c>
      <c r="E1204" s="10">
        <v>136.21665999999999</v>
      </c>
      <c r="F1204" s="10">
        <v>36.066665999999998</v>
      </c>
      <c r="G1204" s="10">
        <v>9</v>
      </c>
      <c r="H1204" s="10" t="s">
        <v>4033</v>
      </c>
      <c r="I1204" s="10" t="s">
        <v>4358</v>
      </c>
      <c r="J1204" s="10" t="s">
        <v>4359</v>
      </c>
      <c r="K1204" s="10" t="s">
        <v>4360</v>
      </c>
      <c r="L1204" s="65" t="str">
        <f t="shared" si="93"/>
        <v>Fukui|Japan|136,216660|36,066666|+9:00 Asia</v>
      </c>
      <c r="M1204" s="10" t="s">
        <v>4387</v>
      </c>
      <c r="N1204" s="10">
        <f t="shared" si="90"/>
        <v>0</v>
      </c>
      <c r="O1204" t="str">
        <f t="shared" si="94"/>
        <v/>
      </c>
      <c r="P1204" t="str">
        <f>IF(O1204=1,COUNTIF($O$2:O1204,1),"")</f>
        <v/>
      </c>
      <c r="Q1204" t="str">
        <f>IFERROR(INDEX($M$2:$M$2388,MATCH(ROWS($P$2:P1204),$P$2:$P$2388,0)),"")</f>
        <v/>
      </c>
    </row>
    <row r="1205" spans="1:17" ht="15" x14ac:dyDescent="0.25">
      <c r="A1205" s="10">
        <v>1311</v>
      </c>
      <c r="B1205" s="10" t="s">
        <v>4388</v>
      </c>
      <c r="C1205" s="880">
        <f t="shared" si="91"/>
        <v>130.3999</v>
      </c>
      <c r="D1205" s="880">
        <f t="shared" si="92"/>
        <v>33.583300000000001</v>
      </c>
      <c r="E1205" s="10">
        <v>130.39999399999999</v>
      </c>
      <c r="F1205" s="10">
        <v>33.583331999999999</v>
      </c>
      <c r="G1205" s="10">
        <v>9</v>
      </c>
      <c r="H1205" s="10" t="s">
        <v>4033</v>
      </c>
      <c r="I1205" s="10" t="s">
        <v>4358</v>
      </c>
      <c r="J1205" s="10" t="s">
        <v>4359</v>
      </c>
      <c r="K1205" s="10" t="s">
        <v>4360</v>
      </c>
      <c r="L1205" s="65" t="str">
        <f t="shared" si="93"/>
        <v>Fukuoka|Japan|130,399994|33,583332|+9:00 Asia</v>
      </c>
      <c r="M1205" s="10" t="s">
        <v>4389</v>
      </c>
      <c r="N1205" s="10">
        <f t="shared" si="90"/>
        <v>0</v>
      </c>
      <c r="O1205" t="str">
        <f t="shared" si="94"/>
        <v/>
      </c>
      <c r="P1205" t="str">
        <f>IF(O1205=1,COUNTIF($O$2:O1205,1),"")</f>
        <v/>
      </c>
      <c r="Q1205" t="str">
        <f>IFERROR(INDEX($M$2:$M$2388,MATCH(ROWS($P$2:P1205),$P$2:$P$2388,0)),"")</f>
        <v/>
      </c>
    </row>
    <row r="1206" spans="1:17" ht="15" x14ac:dyDescent="0.25">
      <c r="A1206" s="10">
        <v>1327</v>
      </c>
      <c r="B1206" s="10" t="s">
        <v>4390</v>
      </c>
      <c r="C1206" s="880">
        <f t="shared" si="91"/>
        <v>140.4666</v>
      </c>
      <c r="D1206" s="880">
        <f t="shared" si="92"/>
        <v>37.75</v>
      </c>
      <c r="E1206" s="10">
        <v>140.46665999999999</v>
      </c>
      <c r="F1206" s="10">
        <v>37.75</v>
      </c>
      <c r="G1206" s="10">
        <v>9</v>
      </c>
      <c r="H1206" s="10" t="s">
        <v>4033</v>
      </c>
      <c r="I1206" s="10" t="s">
        <v>4358</v>
      </c>
      <c r="J1206" s="10" t="s">
        <v>4359</v>
      </c>
      <c r="K1206" s="10" t="s">
        <v>4360</v>
      </c>
      <c r="L1206" s="65" t="str">
        <f t="shared" si="93"/>
        <v>Fukushima|Japan|140,466660|37,750000|+9:00 Asia</v>
      </c>
      <c r="M1206" s="10" t="s">
        <v>4391</v>
      </c>
      <c r="N1206" s="10">
        <f t="shared" si="90"/>
        <v>0</v>
      </c>
      <c r="O1206" t="str">
        <f t="shared" si="94"/>
        <v/>
      </c>
      <c r="P1206" t="str">
        <f>IF(O1206=1,COUNTIF($O$2:O1206,1),"")</f>
        <v/>
      </c>
      <c r="Q1206" t="str">
        <f>IFERROR(INDEX($M$2:$M$2388,MATCH(ROWS($P$2:P1206),$P$2:$P$2388,0)),"")</f>
        <v/>
      </c>
    </row>
    <row r="1207" spans="1:17" ht="15" x14ac:dyDescent="0.25">
      <c r="A1207" s="10">
        <v>1310</v>
      </c>
      <c r="B1207" s="10" t="s">
        <v>4392</v>
      </c>
      <c r="C1207" s="880">
        <f t="shared" si="91"/>
        <v>133.36660000000001</v>
      </c>
      <c r="D1207" s="880">
        <f t="shared" si="92"/>
        <v>34.4833</v>
      </c>
      <c r="E1207" s="10">
        <v>133.366669</v>
      </c>
      <c r="F1207" s="10">
        <v>34.483333999999999</v>
      </c>
      <c r="G1207" s="10">
        <v>9</v>
      </c>
      <c r="H1207" s="10" t="s">
        <v>4033</v>
      </c>
      <c r="I1207" s="10" t="s">
        <v>4358</v>
      </c>
      <c r="J1207" s="10" t="s">
        <v>4359</v>
      </c>
      <c r="K1207" s="10" t="s">
        <v>4360</v>
      </c>
      <c r="L1207" s="65" t="str">
        <f t="shared" si="93"/>
        <v>Fukuyama|Japan|133,366669|34,483334|+9:00 Asia</v>
      </c>
      <c r="M1207" s="10" t="s">
        <v>4393</v>
      </c>
      <c r="N1207" s="10">
        <f t="shared" si="90"/>
        <v>0</v>
      </c>
      <c r="O1207" t="str">
        <f t="shared" si="94"/>
        <v/>
      </c>
      <c r="P1207" t="str">
        <f>IF(O1207=1,COUNTIF($O$2:O1207,1),"")</f>
        <v/>
      </c>
      <c r="Q1207" t="str">
        <f>IFERROR(INDEX($M$2:$M$2388,MATCH(ROWS($P$2:P1207),$P$2:$P$2388,0)),"")</f>
        <v/>
      </c>
    </row>
    <row r="1208" spans="1:17" ht="15" x14ac:dyDescent="0.25">
      <c r="A1208" s="10">
        <v>1309</v>
      </c>
      <c r="B1208" s="10" t="s">
        <v>4394</v>
      </c>
      <c r="C1208" s="880">
        <f t="shared" si="91"/>
        <v>139.98330000000001</v>
      </c>
      <c r="D1208" s="880">
        <f t="shared" si="92"/>
        <v>35.692999999999998</v>
      </c>
      <c r="E1208" s="10">
        <v>139.98333700000001</v>
      </c>
      <c r="F1208" s="10">
        <v>35.693053999999997</v>
      </c>
      <c r="G1208" s="10">
        <v>9</v>
      </c>
      <c r="H1208" s="10" t="s">
        <v>4033</v>
      </c>
      <c r="I1208" s="10" t="s">
        <v>4358</v>
      </c>
      <c r="J1208" s="10" t="s">
        <v>4359</v>
      </c>
      <c r="K1208" s="10" t="s">
        <v>4360</v>
      </c>
      <c r="L1208" s="65" t="str">
        <f t="shared" si="93"/>
        <v>Funabashi|Japan|139,983337|35,693054|+9:00 Asia</v>
      </c>
      <c r="M1208" s="10" t="s">
        <v>4395</v>
      </c>
      <c r="N1208" s="10">
        <f t="shared" si="90"/>
        <v>0</v>
      </c>
      <c r="O1208" t="str">
        <f t="shared" si="94"/>
        <v/>
      </c>
      <c r="P1208" t="str">
        <f>IF(O1208=1,COUNTIF($O$2:O1208,1),"")</f>
        <v/>
      </c>
      <c r="Q1208" t="str">
        <f>IFERROR(INDEX($M$2:$M$2388,MATCH(ROWS($P$2:P1208),$P$2:$P$2388,0)),"")</f>
        <v/>
      </c>
    </row>
    <row r="1209" spans="1:17" ht="15" x14ac:dyDescent="0.25">
      <c r="A1209" s="10">
        <v>1308</v>
      </c>
      <c r="B1209" s="10" t="s">
        <v>4396</v>
      </c>
      <c r="C1209" s="880">
        <f t="shared" si="91"/>
        <v>136.75</v>
      </c>
      <c r="D1209" s="880">
        <f t="shared" si="92"/>
        <v>35.416600000000003</v>
      </c>
      <c r="E1209" s="10">
        <v>136.75</v>
      </c>
      <c r="F1209" s="10">
        <v>35.416668000000001</v>
      </c>
      <c r="G1209" s="10">
        <v>9</v>
      </c>
      <c r="H1209" s="10" t="s">
        <v>4033</v>
      </c>
      <c r="I1209" s="10" t="s">
        <v>4358</v>
      </c>
      <c r="J1209" s="10" t="s">
        <v>4359</v>
      </c>
      <c r="K1209" s="10" t="s">
        <v>4360</v>
      </c>
      <c r="L1209" s="65" t="str">
        <f t="shared" si="93"/>
        <v>Gifu|Japan|136,750000|35,416668|+9:00 Asia</v>
      </c>
      <c r="M1209" s="10" t="s">
        <v>4397</v>
      </c>
      <c r="N1209" s="10">
        <f t="shared" si="90"/>
        <v>0</v>
      </c>
      <c r="O1209" t="str">
        <f t="shared" si="94"/>
        <v/>
      </c>
      <c r="P1209" t="str">
        <f>IF(O1209=1,COUNTIF($O$2:O1209,1),"")</f>
        <v/>
      </c>
      <c r="Q1209" t="str">
        <f>IFERROR(INDEX($M$2:$M$2388,MATCH(ROWS($P$2:P1209),$P$2:$P$2388,0)),"")</f>
        <v/>
      </c>
    </row>
    <row r="1210" spans="1:17" ht="15" x14ac:dyDescent="0.25">
      <c r="A1210" s="10">
        <v>1332</v>
      </c>
      <c r="B1210" s="10" t="s">
        <v>4398</v>
      </c>
      <c r="C1210" s="880">
        <f t="shared" si="91"/>
        <v>141.5</v>
      </c>
      <c r="D1210" s="880">
        <f t="shared" si="92"/>
        <v>40.5</v>
      </c>
      <c r="E1210" s="10">
        <v>141.5</v>
      </c>
      <c r="F1210" s="10">
        <v>40.5</v>
      </c>
      <c r="G1210" s="10">
        <v>9</v>
      </c>
      <c r="H1210" s="10" t="s">
        <v>4033</v>
      </c>
      <c r="I1210" s="10" t="s">
        <v>4358</v>
      </c>
      <c r="J1210" s="10" t="s">
        <v>4359</v>
      </c>
      <c r="K1210" s="10" t="s">
        <v>4360</v>
      </c>
      <c r="L1210" s="65" t="str">
        <f t="shared" si="93"/>
        <v>Hachinohe|Japan|141,500000|40,500000|+9:00 Asia</v>
      </c>
      <c r="M1210" s="10" t="s">
        <v>4399</v>
      </c>
      <c r="N1210" s="10">
        <f t="shared" si="90"/>
        <v>0</v>
      </c>
      <c r="O1210" t="str">
        <f t="shared" si="94"/>
        <v/>
      </c>
      <c r="P1210" t="str">
        <f>IF(O1210=1,COUNTIF($O$2:O1210,1),"")</f>
        <v/>
      </c>
      <c r="Q1210" t="str">
        <f>IFERROR(INDEX($M$2:$M$2388,MATCH(ROWS($P$2:P1210),$P$2:$P$2388,0)),"")</f>
        <v/>
      </c>
    </row>
    <row r="1211" spans="1:17" ht="15" x14ac:dyDescent="0.25">
      <c r="A1211" s="10">
        <v>1307</v>
      </c>
      <c r="B1211" s="10" t="s">
        <v>4400</v>
      </c>
      <c r="C1211" s="880">
        <f t="shared" si="91"/>
        <v>139.32380000000001</v>
      </c>
      <c r="D1211" s="880">
        <f t="shared" si="92"/>
        <v>35.655799999999999</v>
      </c>
      <c r="E1211" s="10">
        <v>139.323883</v>
      </c>
      <c r="F1211" s="10">
        <v>35.655833999999999</v>
      </c>
      <c r="G1211" s="10">
        <v>9</v>
      </c>
      <c r="H1211" s="10" t="s">
        <v>4033</v>
      </c>
      <c r="I1211" s="10" t="s">
        <v>4358</v>
      </c>
      <c r="J1211" s="10" t="s">
        <v>4359</v>
      </c>
      <c r="K1211" s="10" t="s">
        <v>4360</v>
      </c>
      <c r="L1211" s="65" t="str">
        <f t="shared" si="93"/>
        <v>Hachioji|Japan|139,323883|35,655834|+9:00 Asia</v>
      </c>
      <c r="M1211" s="10" t="s">
        <v>4401</v>
      </c>
      <c r="N1211" s="10">
        <f t="shared" si="90"/>
        <v>0</v>
      </c>
      <c r="O1211" t="str">
        <f t="shared" si="94"/>
        <v/>
      </c>
      <c r="P1211" t="str">
        <f>IF(O1211=1,COUNTIF($O$2:O1211,1),"")</f>
        <v/>
      </c>
      <c r="Q1211" t="str">
        <f>IFERROR(INDEX($M$2:$M$2388,MATCH(ROWS($P$2:P1211),$P$2:$P$2388,0)),"")</f>
        <v/>
      </c>
    </row>
    <row r="1212" spans="1:17" ht="15" x14ac:dyDescent="0.25">
      <c r="A1212" s="10">
        <v>1331</v>
      </c>
      <c r="B1212" s="10" t="s">
        <v>4402</v>
      </c>
      <c r="C1212" s="880">
        <f t="shared" si="91"/>
        <v>140.73660000000001</v>
      </c>
      <c r="D1212" s="880">
        <f t="shared" si="92"/>
        <v>41.775799999999997</v>
      </c>
      <c r="E1212" s="10">
        <v>140.73666399999999</v>
      </c>
      <c r="F1212" s="10">
        <v>41.775832999999999</v>
      </c>
      <c r="G1212" s="10">
        <v>9</v>
      </c>
      <c r="H1212" s="10" t="s">
        <v>4033</v>
      </c>
      <c r="I1212" s="10" t="s">
        <v>4358</v>
      </c>
      <c r="J1212" s="10" t="s">
        <v>4359</v>
      </c>
      <c r="K1212" s="10" t="s">
        <v>4360</v>
      </c>
      <c r="L1212" s="65" t="str">
        <f t="shared" si="93"/>
        <v>Hakodate|Japan|140,736664|41,775833|+9:00 Asia</v>
      </c>
      <c r="M1212" s="10" t="s">
        <v>4403</v>
      </c>
      <c r="N1212" s="10">
        <f t="shared" si="90"/>
        <v>0</v>
      </c>
      <c r="O1212" t="str">
        <f t="shared" si="94"/>
        <v/>
      </c>
      <c r="P1212" t="str">
        <f>IF(O1212=1,COUNTIF($O$2:O1212,1),"")</f>
        <v/>
      </c>
      <c r="Q1212" t="str">
        <f>IFERROR(INDEX($M$2:$M$2388,MATCH(ROWS($P$2:P1212),$P$2:$P$2388,0)),"")</f>
        <v/>
      </c>
    </row>
    <row r="1213" spans="1:17" ht="15" x14ac:dyDescent="0.25">
      <c r="A1213" s="10">
        <v>1306</v>
      </c>
      <c r="B1213" s="10" t="s">
        <v>4404</v>
      </c>
      <c r="C1213" s="880">
        <f t="shared" si="91"/>
        <v>137.73330000000001</v>
      </c>
      <c r="D1213" s="880">
        <f t="shared" si="92"/>
        <v>34.700000000000003</v>
      </c>
      <c r="E1213" s="10">
        <v>137.73333700000001</v>
      </c>
      <c r="F1213" s="10">
        <v>34.700001</v>
      </c>
      <c r="G1213" s="10">
        <v>9</v>
      </c>
      <c r="H1213" s="10" t="s">
        <v>4033</v>
      </c>
      <c r="I1213" s="10" t="s">
        <v>4358</v>
      </c>
      <c r="J1213" s="10" t="s">
        <v>4359</v>
      </c>
      <c r="K1213" s="10" t="s">
        <v>4360</v>
      </c>
      <c r="L1213" s="65" t="str">
        <f t="shared" si="93"/>
        <v>Hamamatsu|Japan|137,733337|34,700001|+9:00 Asia</v>
      </c>
      <c r="M1213" s="10" t="s">
        <v>4405</v>
      </c>
      <c r="N1213" s="10">
        <f t="shared" si="90"/>
        <v>0</v>
      </c>
      <c r="O1213" t="str">
        <f t="shared" si="94"/>
        <v/>
      </c>
      <c r="P1213" t="str">
        <f>IF(O1213=1,COUNTIF($O$2:O1213,1),"")</f>
        <v/>
      </c>
      <c r="Q1213" t="str">
        <f>IFERROR(INDEX($M$2:$M$2388,MATCH(ROWS($P$2:P1213),$P$2:$P$2388,0)),"")</f>
        <v/>
      </c>
    </row>
    <row r="1214" spans="1:17" ht="15" x14ac:dyDescent="0.25">
      <c r="A1214" s="10">
        <v>1305</v>
      </c>
      <c r="B1214" s="10" t="s">
        <v>4406</v>
      </c>
      <c r="C1214" s="880">
        <f t="shared" si="91"/>
        <v>134.69990000000001</v>
      </c>
      <c r="D1214" s="880">
        <f t="shared" si="92"/>
        <v>34.816600000000001</v>
      </c>
      <c r="E1214" s="10">
        <v>134.699997</v>
      </c>
      <c r="F1214" s="10">
        <v>34.816665999999998</v>
      </c>
      <c r="G1214" s="10">
        <v>9</v>
      </c>
      <c r="H1214" s="10" t="s">
        <v>4033</v>
      </c>
      <c r="I1214" s="10" t="s">
        <v>4358</v>
      </c>
      <c r="J1214" s="10" t="s">
        <v>4359</v>
      </c>
      <c r="K1214" s="10" t="s">
        <v>4360</v>
      </c>
      <c r="L1214" s="65" t="str">
        <f t="shared" si="93"/>
        <v>Himeji|Japan|134,699997|34,816666|+9:00 Asia</v>
      </c>
      <c r="M1214" s="10" t="s">
        <v>4407</v>
      </c>
      <c r="N1214" s="10">
        <f t="shared" si="90"/>
        <v>0</v>
      </c>
      <c r="O1214" t="str">
        <f t="shared" si="94"/>
        <v/>
      </c>
      <c r="P1214" t="str">
        <f>IF(O1214=1,COUNTIF($O$2:O1214,1),"")</f>
        <v/>
      </c>
      <c r="Q1214" t="str">
        <f>IFERROR(INDEX($M$2:$M$2388,MATCH(ROWS($P$2:P1214),$P$2:$P$2388,0)),"")</f>
        <v/>
      </c>
    </row>
    <row r="1215" spans="1:17" ht="15" x14ac:dyDescent="0.25">
      <c r="A1215" s="10">
        <v>1304</v>
      </c>
      <c r="B1215" s="10" t="s">
        <v>4408</v>
      </c>
      <c r="C1215" s="880">
        <f t="shared" si="91"/>
        <v>135.63329999999999</v>
      </c>
      <c r="D1215" s="880">
        <f t="shared" si="92"/>
        <v>34.799900000000001</v>
      </c>
      <c r="E1215" s="10">
        <v>135.633331</v>
      </c>
      <c r="F1215" s="10">
        <v>34.799999</v>
      </c>
      <c r="G1215" s="10">
        <v>9</v>
      </c>
      <c r="H1215" s="10" t="s">
        <v>4033</v>
      </c>
      <c r="I1215" s="10" t="s">
        <v>4358</v>
      </c>
      <c r="J1215" s="10" t="s">
        <v>4359</v>
      </c>
      <c r="K1215" s="10" t="s">
        <v>4360</v>
      </c>
      <c r="L1215" s="65" t="str">
        <f t="shared" si="93"/>
        <v>Hirakata|Japan|135,633331|34,799999|+9:00 Asia</v>
      </c>
      <c r="M1215" s="10" t="s">
        <v>4409</v>
      </c>
      <c r="N1215" s="10">
        <f t="shared" si="90"/>
        <v>0</v>
      </c>
      <c r="O1215" t="str">
        <f t="shared" si="94"/>
        <v/>
      </c>
      <c r="P1215" t="str">
        <f>IF(O1215=1,COUNTIF($O$2:O1215,1),"")</f>
        <v/>
      </c>
      <c r="Q1215" t="str">
        <f>IFERROR(INDEX($M$2:$M$2388,MATCH(ROWS($P$2:P1215),$P$2:$P$2388,0)),"")</f>
        <v/>
      </c>
    </row>
    <row r="1216" spans="1:17" ht="15" x14ac:dyDescent="0.25">
      <c r="A1216" s="10">
        <v>1303</v>
      </c>
      <c r="B1216" s="10" t="s">
        <v>4410</v>
      </c>
      <c r="C1216" s="880">
        <f t="shared" si="91"/>
        <v>139.34219999999999</v>
      </c>
      <c r="D1216" s="880">
        <f t="shared" si="92"/>
        <v>35.323</v>
      </c>
      <c r="E1216" s="10">
        <v>139.34222399999999</v>
      </c>
      <c r="F1216" s="10">
        <v>35.323054999999997</v>
      </c>
      <c r="G1216" s="10">
        <v>9</v>
      </c>
      <c r="H1216" s="10" t="s">
        <v>4033</v>
      </c>
      <c r="I1216" s="10" t="s">
        <v>4358</v>
      </c>
      <c r="J1216" s="10" t="s">
        <v>4359</v>
      </c>
      <c r="K1216" s="10" t="s">
        <v>4360</v>
      </c>
      <c r="L1216" s="65" t="str">
        <f t="shared" si="93"/>
        <v>Hiratsuka|Japan|139,342224|35,323055|+9:00 Asia</v>
      </c>
      <c r="M1216" s="10" t="s">
        <v>4411</v>
      </c>
      <c r="N1216" s="10">
        <f t="shared" si="90"/>
        <v>0</v>
      </c>
      <c r="O1216" t="str">
        <f t="shared" si="94"/>
        <v/>
      </c>
      <c r="P1216" t="str">
        <f>IF(O1216=1,COUNTIF($O$2:O1216,1),"")</f>
        <v/>
      </c>
      <c r="Q1216" t="str">
        <f>IFERROR(INDEX($M$2:$M$2388,MATCH(ROWS($P$2:P1216),$P$2:$P$2388,0)),"")</f>
        <v/>
      </c>
    </row>
    <row r="1217" spans="1:17" ht="15" x14ac:dyDescent="0.25">
      <c r="A1217" s="10">
        <v>1302</v>
      </c>
      <c r="B1217" s="10" t="s">
        <v>4412</v>
      </c>
      <c r="C1217" s="880">
        <f t="shared" si="91"/>
        <v>132.44990000000001</v>
      </c>
      <c r="D1217" s="880">
        <f t="shared" si="92"/>
        <v>34.4</v>
      </c>
      <c r="E1217" s="10">
        <v>132.449997</v>
      </c>
      <c r="F1217" s="10">
        <v>34.400002000000001</v>
      </c>
      <c r="G1217" s="10">
        <v>9</v>
      </c>
      <c r="H1217" s="10" t="s">
        <v>4033</v>
      </c>
      <c r="I1217" s="10" t="s">
        <v>4358</v>
      </c>
      <c r="J1217" s="10" t="s">
        <v>4359</v>
      </c>
      <c r="K1217" s="10" t="s">
        <v>4360</v>
      </c>
      <c r="L1217" s="65" t="str">
        <f t="shared" si="93"/>
        <v>Hiroshima|Japan|132,449997|34,400002|+9:00 Asia</v>
      </c>
      <c r="M1217" s="10" t="s">
        <v>4413</v>
      </c>
      <c r="N1217" s="10">
        <f t="shared" si="90"/>
        <v>0</v>
      </c>
      <c r="O1217" t="str">
        <f t="shared" si="94"/>
        <v/>
      </c>
      <c r="P1217" t="str">
        <f>IF(O1217=1,COUNTIF($O$2:O1217,1),"")</f>
        <v/>
      </c>
      <c r="Q1217" t="str">
        <f>IFERROR(INDEX($M$2:$M$2388,MATCH(ROWS($P$2:P1217),$P$2:$P$2388,0)),"")</f>
        <v/>
      </c>
    </row>
    <row r="1218" spans="1:17" ht="15" x14ac:dyDescent="0.25">
      <c r="A1218" s="10">
        <v>1301</v>
      </c>
      <c r="B1218" s="10" t="s">
        <v>4414</v>
      </c>
      <c r="C1218" s="880">
        <f t="shared" si="91"/>
        <v>135.56659999999999</v>
      </c>
      <c r="D1218" s="880">
        <f t="shared" si="92"/>
        <v>34.816600000000001</v>
      </c>
      <c r="E1218" s="10">
        <v>135.566666</v>
      </c>
      <c r="F1218" s="10">
        <v>34.816665999999998</v>
      </c>
      <c r="G1218" s="10">
        <v>9</v>
      </c>
      <c r="H1218" s="10" t="s">
        <v>4033</v>
      </c>
      <c r="I1218" s="10" t="s">
        <v>4358</v>
      </c>
      <c r="J1218" s="10" t="s">
        <v>4359</v>
      </c>
      <c r="K1218" s="10" t="s">
        <v>4360</v>
      </c>
      <c r="L1218" s="65" t="str">
        <f t="shared" si="93"/>
        <v>Ibaraki|Japan|135,566666|34,816666|+9:00 Asia</v>
      </c>
      <c r="M1218" s="10" t="s">
        <v>4415</v>
      </c>
      <c r="N1218" s="10">
        <f t="shared" ref="N1218:N1281" si="95">--ISNUMBER(IFERROR(SEARCH($R$2,J1218,1),""))</f>
        <v>0</v>
      </c>
      <c r="O1218" t="str">
        <f t="shared" si="94"/>
        <v/>
      </c>
      <c r="P1218" t="str">
        <f>IF(O1218=1,COUNTIF($O$2:O1218,1),"")</f>
        <v/>
      </c>
      <c r="Q1218" t="str">
        <f>IFERROR(INDEX($M$2:$M$2388,MATCH(ROWS($P$2:P1218),$P$2:$P$2388,0)),"")</f>
        <v/>
      </c>
    </row>
    <row r="1219" spans="1:17" ht="15" x14ac:dyDescent="0.25">
      <c r="A1219" s="10">
        <v>1326</v>
      </c>
      <c r="B1219" s="10" t="s">
        <v>4416</v>
      </c>
      <c r="C1219" s="880">
        <f t="shared" ref="C1219:C1282" si="96">TRUNC(E1219,4)</f>
        <v>140.08330000000001</v>
      </c>
      <c r="D1219" s="880">
        <f t="shared" ref="D1219:D1282" si="97">TRUNC(F1219,4)</f>
        <v>35.516599999999997</v>
      </c>
      <c r="E1219" s="10">
        <v>140.08332799999999</v>
      </c>
      <c r="F1219" s="10">
        <v>35.516666000000001</v>
      </c>
      <c r="G1219" s="10">
        <v>9</v>
      </c>
      <c r="H1219" s="10" t="s">
        <v>4033</v>
      </c>
      <c r="I1219" s="10" t="s">
        <v>4358</v>
      </c>
      <c r="J1219" s="10" t="s">
        <v>4359</v>
      </c>
      <c r="K1219" s="10" t="s">
        <v>4360</v>
      </c>
      <c r="L1219" s="65" t="str">
        <f t="shared" ref="L1219:L1282" si="98">MID(M1219,1,LEN(M1219)-(LEN(K1219)-SEARCH("/",K1219)+1))</f>
        <v>Ichihara|Japan|140,083328|35,516666|+9:00 Asia</v>
      </c>
      <c r="M1219" s="10" t="s">
        <v>4417</v>
      </c>
      <c r="N1219" s="10">
        <f t="shared" si="95"/>
        <v>0</v>
      </c>
      <c r="O1219" t="str">
        <f t="shared" ref="O1219:O1282" si="99">IF(N1219=0,"",--ISNUMBER(IFERROR(SEARCH($U$2,L1219,1),"")))</f>
        <v/>
      </c>
      <c r="P1219" t="str">
        <f>IF(O1219=1,COUNTIF($O$2:O1219,1),"")</f>
        <v/>
      </c>
      <c r="Q1219" t="str">
        <f>IFERROR(INDEX($M$2:$M$2388,MATCH(ROWS($P$2:P1219),$P$2:$P$2388,0)),"")</f>
        <v/>
      </c>
    </row>
    <row r="1220" spans="1:17" ht="15" x14ac:dyDescent="0.25">
      <c r="A1220" s="10">
        <v>1300</v>
      </c>
      <c r="B1220" s="10" t="s">
        <v>4418</v>
      </c>
      <c r="C1220" s="880">
        <f t="shared" si="96"/>
        <v>139.9247</v>
      </c>
      <c r="D1220" s="880">
        <f t="shared" si="97"/>
        <v>35.719700000000003</v>
      </c>
      <c r="E1220" s="10">
        <v>139.92472799999999</v>
      </c>
      <c r="F1220" s="10">
        <v>35.719723000000002</v>
      </c>
      <c r="G1220" s="10">
        <v>9</v>
      </c>
      <c r="H1220" s="10" t="s">
        <v>4033</v>
      </c>
      <c r="I1220" s="10" t="s">
        <v>4358</v>
      </c>
      <c r="J1220" s="10" t="s">
        <v>4359</v>
      </c>
      <c r="K1220" s="10" t="s">
        <v>4360</v>
      </c>
      <c r="L1220" s="65" t="str">
        <f t="shared" si="98"/>
        <v>Ichikawa|Japan|139,924728|35,719723|+9:00 Asia</v>
      </c>
      <c r="M1220" s="10" t="s">
        <v>4419</v>
      </c>
      <c r="N1220" s="10">
        <f t="shared" si="95"/>
        <v>0</v>
      </c>
      <c r="O1220" t="str">
        <f t="shared" si="99"/>
        <v/>
      </c>
      <c r="P1220" t="str">
        <f>IF(O1220=1,COUNTIF($O$2:O1220,1),"")</f>
        <v/>
      </c>
      <c r="Q1220" t="str">
        <f>IFERROR(INDEX($M$2:$M$2388,MATCH(ROWS($P$2:P1220),$P$2:$P$2388,0)),"")</f>
        <v/>
      </c>
    </row>
    <row r="1221" spans="1:17" ht="15" x14ac:dyDescent="0.25">
      <c r="A1221" s="10">
        <v>1299</v>
      </c>
      <c r="B1221" s="10" t="s">
        <v>4420</v>
      </c>
      <c r="C1221" s="880">
        <f t="shared" si="96"/>
        <v>136.80000000000001</v>
      </c>
      <c r="D1221" s="880">
        <f t="shared" si="97"/>
        <v>35.299900000000001</v>
      </c>
      <c r="E1221" s="10">
        <v>136.800003</v>
      </c>
      <c r="F1221" s="10">
        <v>35.299999</v>
      </c>
      <c r="G1221" s="10">
        <v>9</v>
      </c>
      <c r="H1221" s="10" t="s">
        <v>4033</v>
      </c>
      <c r="I1221" s="10" t="s">
        <v>4358</v>
      </c>
      <c r="J1221" s="10" t="s">
        <v>4359</v>
      </c>
      <c r="K1221" s="10" t="s">
        <v>4360</v>
      </c>
      <c r="L1221" s="65" t="str">
        <f t="shared" si="98"/>
        <v>Ichinomiya|Japan|136,800003|35,299999|+9:00 Asia</v>
      </c>
      <c r="M1221" s="10" t="s">
        <v>4421</v>
      </c>
      <c r="N1221" s="10">
        <f t="shared" si="95"/>
        <v>0</v>
      </c>
      <c r="O1221" t="str">
        <f t="shared" si="99"/>
        <v/>
      </c>
      <c r="P1221" t="str">
        <f>IF(O1221=1,COUNTIF($O$2:O1221,1),"")</f>
        <v/>
      </c>
      <c r="Q1221" t="str">
        <f>IFERROR(INDEX($M$2:$M$2388,MATCH(ROWS($P$2:P1221),$P$2:$P$2388,0)),"")</f>
        <v/>
      </c>
    </row>
    <row r="1222" spans="1:17" ht="15" x14ac:dyDescent="0.25">
      <c r="A1222" s="10">
        <v>1325</v>
      </c>
      <c r="B1222" s="10" t="s">
        <v>4422</v>
      </c>
      <c r="C1222" s="880">
        <f t="shared" si="96"/>
        <v>140.88329999999999</v>
      </c>
      <c r="D1222" s="880">
        <f t="shared" si="97"/>
        <v>37.049900000000001</v>
      </c>
      <c r="E1222" s="10">
        <v>140.883331</v>
      </c>
      <c r="F1222" s="10">
        <v>37.049999</v>
      </c>
      <c r="G1222" s="10">
        <v>9</v>
      </c>
      <c r="H1222" s="10" t="s">
        <v>4033</v>
      </c>
      <c r="I1222" s="10" t="s">
        <v>4358</v>
      </c>
      <c r="J1222" s="10" t="s">
        <v>4359</v>
      </c>
      <c r="K1222" s="10" t="s">
        <v>4360</v>
      </c>
      <c r="L1222" s="65" t="str">
        <f t="shared" si="98"/>
        <v>Iwaki|Japan|140,883331|37,049999|+9:00 Asia</v>
      </c>
      <c r="M1222" s="10" t="s">
        <v>4423</v>
      </c>
      <c r="N1222" s="10">
        <f t="shared" si="95"/>
        <v>0</v>
      </c>
      <c r="O1222" t="str">
        <f t="shared" si="99"/>
        <v/>
      </c>
      <c r="P1222" t="str">
        <f>IF(O1222=1,COUNTIF($O$2:O1222,1),"")</f>
        <v/>
      </c>
      <c r="Q1222" t="str">
        <f>IFERROR(INDEX($M$2:$M$2388,MATCH(ROWS($P$2:P1222),$P$2:$P$2388,0)),"")</f>
        <v/>
      </c>
    </row>
    <row r="1223" spans="1:17" ht="15" x14ac:dyDescent="0.25">
      <c r="A1223" s="10">
        <v>1298</v>
      </c>
      <c r="B1223" s="10" t="s">
        <v>4424</v>
      </c>
      <c r="C1223" s="880">
        <f t="shared" si="96"/>
        <v>130.55000000000001</v>
      </c>
      <c r="D1223" s="880">
        <f t="shared" si="97"/>
        <v>31.6</v>
      </c>
      <c r="E1223" s="10">
        <v>130.550003</v>
      </c>
      <c r="F1223" s="10">
        <v>31.6</v>
      </c>
      <c r="G1223" s="10">
        <v>9</v>
      </c>
      <c r="H1223" s="10" t="s">
        <v>4033</v>
      </c>
      <c r="I1223" s="10" t="s">
        <v>4358</v>
      </c>
      <c r="J1223" s="10" t="s">
        <v>4359</v>
      </c>
      <c r="K1223" s="10" t="s">
        <v>4360</v>
      </c>
      <c r="L1223" s="65" t="str">
        <f t="shared" si="98"/>
        <v>Kagoshima|Japan|130,550003|31,600000|+9:00 Asia</v>
      </c>
      <c r="M1223" s="10" t="s">
        <v>4425</v>
      </c>
      <c r="N1223" s="10">
        <f t="shared" si="95"/>
        <v>0</v>
      </c>
      <c r="O1223" t="str">
        <f t="shared" si="99"/>
        <v/>
      </c>
      <c r="P1223" t="str">
        <f>IF(O1223=1,COUNTIF($O$2:O1223,1),"")</f>
        <v/>
      </c>
      <c r="Q1223" t="str">
        <f>IFERROR(INDEX($M$2:$M$2388,MATCH(ROWS($P$2:P1223),$P$2:$P$2388,0)),"")</f>
        <v/>
      </c>
    </row>
    <row r="1224" spans="1:17" ht="15" x14ac:dyDescent="0.25">
      <c r="A1224" s="10">
        <v>1297</v>
      </c>
      <c r="B1224" s="10" t="s">
        <v>4426</v>
      </c>
      <c r="C1224" s="880">
        <f t="shared" si="96"/>
        <v>134.85</v>
      </c>
      <c r="D1224" s="880">
        <f t="shared" si="97"/>
        <v>34.766599999999997</v>
      </c>
      <c r="E1224" s="10">
        <v>134.85000600000001</v>
      </c>
      <c r="F1224" s="10">
        <v>34.766666000000001</v>
      </c>
      <c r="G1224" s="10">
        <v>9</v>
      </c>
      <c r="H1224" s="10" t="s">
        <v>4033</v>
      </c>
      <c r="I1224" s="10" t="s">
        <v>4358</v>
      </c>
      <c r="J1224" s="10" t="s">
        <v>4359</v>
      </c>
      <c r="K1224" s="10" t="s">
        <v>4360</v>
      </c>
      <c r="L1224" s="65" t="str">
        <f t="shared" si="98"/>
        <v>Kakogawa|Japan|134,850006|34,766666|+9:00 Asia</v>
      </c>
      <c r="M1224" s="10" t="s">
        <v>4427</v>
      </c>
      <c r="N1224" s="10">
        <f t="shared" si="95"/>
        <v>0</v>
      </c>
      <c r="O1224" t="str">
        <f t="shared" si="99"/>
        <v/>
      </c>
      <c r="P1224" t="str">
        <f>IF(O1224=1,COUNTIF($O$2:O1224,1),"")</f>
        <v/>
      </c>
      <c r="Q1224" t="str">
        <f>IFERROR(INDEX($M$2:$M$2388,MATCH(ROWS($P$2:P1224),$P$2:$P$2388,0)),"")</f>
        <v/>
      </c>
    </row>
    <row r="1225" spans="1:17" ht="15" x14ac:dyDescent="0.25">
      <c r="A1225" s="10">
        <v>1296</v>
      </c>
      <c r="B1225" s="10" t="s">
        <v>4428</v>
      </c>
      <c r="C1225" s="880">
        <f t="shared" si="96"/>
        <v>136.6499</v>
      </c>
      <c r="D1225" s="880">
        <f t="shared" si="97"/>
        <v>36.566600000000001</v>
      </c>
      <c r="E1225" s="10">
        <v>136.64999399999999</v>
      </c>
      <c r="F1225" s="10">
        <v>36.566665999999998</v>
      </c>
      <c r="G1225" s="10">
        <v>9</v>
      </c>
      <c r="H1225" s="10" t="s">
        <v>4033</v>
      </c>
      <c r="I1225" s="10" t="s">
        <v>4358</v>
      </c>
      <c r="J1225" s="10" t="s">
        <v>4359</v>
      </c>
      <c r="K1225" s="10" t="s">
        <v>4360</v>
      </c>
      <c r="L1225" s="65" t="str">
        <f t="shared" si="98"/>
        <v>Kanazawa|Japan|136,649994|36,566666|+9:00 Asia</v>
      </c>
      <c r="M1225" s="10" t="s">
        <v>4429</v>
      </c>
      <c r="N1225" s="10">
        <f t="shared" si="95"/>
        <v>0</v>
      </c>
      <c r="O1225" t="str">
        <f t="shared" si="99"/>
        <v/>
      </c>
      <c r="P1225" t="str">
        <f>IF(O1225=1,COUNTIF($O$2:O1225,1),"")</f>
        <v/>
      </c>
      <c r="Q1225" t="str">
        <f>IFERROR(INDEX($M$2:$M$2388,MATCH(ROWS($P$2:P1225),$P$2:$P$2388,0)),"")</f>
        <v/>
      </c>
    </row>
    <row r="1226" spans="1:17" ht="15" x14ac:dyDescent="0.25">
      <c r="A1226" s="10">
        <v>1295</v>
      </c>
      <c r="B1226" s="10" t="s">
        <v>4430</v>
      </c>
      <c r="C1226" s="880">
        <f t="shared" si="96"/>
        <v>139.96879999999999</v>
      </c>
      <c r="D1226" s="880">
        <f t="shared" si="97"/>
        <v>35.854399999999998</v>
      </c>
      <c r="E1226" s="10">
        <v>139.968887</v>
      </c>
      <c r="F1226" s="10">
        <v>35.854443000000003</v>
      </c>
      <c r="G1226" s="10">
        <v>9</v>
      </c>
      <c r="H1226" s="10" t="s">
        <v>4033</v>
      </c>
      <c r="I1226" s="10" t="s">
        <v>4358</v>
      </c>
      <c r="J1226" s="10" t="s">
        <v>4359</v>
      </c>
      <c r="K1226" s="10" t="s">
        <v>4360</v>
      </c>
      <c r="L1226" s="65" t="str">
        <f t="shared" si="98"/>
        <v>Kashiwa|Japan|139,968887|35,854443|+9:00 Asia</v>
      </c>
      <c r="M1226" s="10" t="s">
        <v>4431</v>
      </c>
      <c r="N1226" s="10">
        <f t="shared" si="95"/>
        <v>0</v>
      </c>
      <c r="O1226" t="str">
        <f t="shared" si="99"/>
        <v/>
      </c>
      <c r="P1226" t="str">
        <f>IF(O1226=1,COUNTIF($O$2:O1226,1),"")</f>
        <v/>
      </c>
      <c r="Q1226" t="str">
        <f>IFERROR(INDEX($M$2:$M$2388,MATCH(ROWS($P$2:P1226),$P$2:$P$2388,0)),"")</f>
        <v/>
      </c>
    </row>
    <row r="1227" spans="1:17" ht="15" x14ac:dyDescent="0.25">
      <c r="A1227" s="10">
        <v>1294</v>
      </c>
      <c r="B1227" s="10" t="s">
        <v>4432</v>
      </c>
      <c r="C1227" s="880">
        <f t="shared" si="96"/>
        <v>136.98330000000001</v>
      </c>
      <c r="D1227" s="880">
        <f t="shared" si="97"/>
        <v>35.2333</v>
      </c>
      <c r="E1227" s="10">
        <v>136.98333700000001</v>
      </c>
      <c r="F1227" s="10">
        <v>35.233333999999999</v>
      </c>
      <c r="G1227" s="10">
        <v>9</v>
      </c>
      <c r="H1227" s="10" t="s">
        <v>4033</v>
      </c>
      <c r="I1227" s="10" t="s">
        <v>4358</v>
      </c>
      <c r="J1227" s="10" t="s">
        <v>4359</v>
      </c>
      <c r="K1227" s="10" t="s">
        <v>4360</v>
      </c>
      <c r="L1227" s="65" t="str">
        <f t="shared" si="98"/>
        <v>Kasugai|Japan|136,983337|35,233334|+9:00 Asia</v>
      </c>
      <c r="M1227" s="10" t="s">
        <v>4433</v>
      </c>
      <c r="N1227" s="10">
        <f t="shared" si="95"/>
        <v>0</v>
      </c>
      <c r="O1227" t="str">
        <f t="shared" si="99"/>
        <v/>
      </c>
      <c r="P1227" t="str">
        <f>IF(O1227=1,COUNTIF($O$2:O1227,1),"")</f>
        <v/>
      </c>
      <c r="Q1227" t="str">
        <f>IFERROR(INDEX($M$2:$M$2388,MATCH(ROWS($P$2:P1227),$P$2:$P$2388,0)),"")</f>
        <v/>
      </c>
    </row>
    <row r="1228" spans="1:17" ht="15" x14ac:dyDescent="0.25">
      <c r="A1228" s="10">
        <v>1293</v>
      </c>
      <c r="B1228" s="10" t="s">
        <v>4434</v>
      </c>
      <c r="C1228" s="880">
        <f t="shared" si="96"/>
        <v>139.75360000000001</v>
      </c>
      <c r="D1228" s="880">
        <f t="shared" si="97"/>
        <v>35.976300000000002</v>
      </c>
      <c r="E1228" s="10">
        <v>139.75361599999999</v>
      </c>
      <c r="F1228" s="10">
        <v>35.976387000000003</v>
      </c>
      <c r="G1228" s="10">
        <v>9</v>
      </c>
      <c r="H1228" s="10" t="s">
        <v>4033</v>
      </c>
      <c r="I1228" s="10" t="s">
        <v>4358</v>
      </c>
      <c r="J1228" s="10" t="s">
        <v>4359</v>
      </c>
      <c r="K1228" s="10" t="s">
        <v>4360</v>
      </c>
      <c r="L1228" s="65" t="str">
        <f t="shared" si="98"/>
        <v>Kasukabe|Japan|139,753616|35,976387|+9:00 Asia</v>
      </c>
      <c r="M1228" s="10" t="s">
        <v>4435</v>
      </c>
      <c r="N1228" s="10">
        <f t="shared" si="95"/>
        <v>0</v>
      </c>
      <c r="O1228" t="str">
        <f t="shared" si="99"/>
        <v/>
      </c>
      <c r="P1228" t="str">
        <f>IF(O1228=1,COUNTIF($O$2:O1228,1),"")</f>
        <v/>
      </c>
      <c r="Q1228" t="str">
        <f>IFERROR(INDEX($M$2:$M$2388,MATCH(ROWS($P$2:P1228),$P$2:$P$2388,0)),"")</f>
        <v/>
      </c>
    </row>
    <row r="1229" spans="1:17" ht="15" x14ac:dyDescent="0.25">
      <c r="A1229" s="10">
        <v>1292</v>
      </c>
      <c r="B1229" s="10" t="s">
        <v>4436</v>
      </c>
      <c r="C1229" s="880">
        <f t="shared" si="96"/>
        <v>139.48519999999999</v>
      </c>
      <c r="D1229" s="880">
        <f t="shared" si="97"/>
        <v>35.9086</v>
      </c>
      <c r="E1229" s="10">
        <v>139.485275</v>
      </c>
      <c r="F1229" s="10">
        <v>35.908611000000001</v>
      </c>
      <c r="G1229" s="10">
        <v>9</v>
      </c>
      <c r="H1229" s="10" t="s">
        <v>4033</v>
      </c>
      <c r="I1229" s="10" t="s">
        <v>4358</v>
      </c>
      <c r="J1229" s="10" t="s">
        <v>4359</v>
      </c>
      <c r="K1229" s="10" t="s">
        <v>4360</v>
      </c>
      <c r="L1229" s="65" t="str">
        <f t="shared" si="98"/>
        <v>Kawagoe|Japan|139,485275|35,908611|+9:00 Asia</v>
      </c>
      <c r="M1229" s="10" t="s">
        <v>4437</v>
      </c>
      <c r="N1229" s="10">
        <f t="shared" si="95"/>
        <v>0</v>
      </c>
      <c r="O1229" t="str">
        <f t="shared" si="99"/>
        <v/>
      </c>
      <c r="P1229" t="str">
        <f>IF(O1229=1,COUNTIF($O$2:O1229,1),"")</f>
        <v/>
      </c>
      <c r="Q1229" t="str">
        <f>IFERROR(INDEX($M$2:$M$2388,MATCH(ROWS($P$2:P1229),$P$2:$P$2388,0)),"")</f>
        <v/>
      </c>
    </row>
    <row r="1230" spans="1:17" ht="15" x14ac:dyDescent="0.25">
      <c r="A1230" s="10">
        <v>1291</v>
      </c>
      <c r="B1230" s="10" t="s">
        <v>4438</v>
      </c>
      <c r="C1230" s="880">
        <f t="shared" si="96"/>
        <v>139.72049999999999</v>
      </c>
      <c r="D1230" s="880">
        <f t="shared" si="97"/>
        <v>35.805</v>
      </c>
      <c r="E1230" s="10">
        <v>139.720551</v>
      </c>
      <c r="F1230" s="10">
        <v>35.805</v>
      </c>
      <c r="G1230" s="10">
        <v>9</v>
      </c>
      <c r="H1230" s="10" t="s">
        <v>4033</v>
      </c>
      <c r="I1230" s="10" t="s">
        <v>4358</v>
      </c>
      <c r="J1230" s="10" t="s">
        <v>4359</v>
      </c>
      <c r="K1230" s="10" t="s">
        <v>4360</v>
      </c>
      <c r="L1230" s="65" t="str">
        <f t="shared" si="98"/>
        <v>Kawaguchi|Japan|139,720551|35,805000|+9:00 Asia</v>
      </c>
      <c r="M1230" s="10" t="s">
        <v>4439</v>
      </c>
      <c r="N1230" s="10">
        <f t="shared" si="95"/>
        <v>0</v>
      </c>
      <c r="O1230" t="str">
        <f t="shared" si="99"/>
        <v/>
      </c>
      <c r="P1230" t="str">
        <f>IF(O1230=1,COUNTIF($O$2:O1230,1),"")</f>
        <v/>
      </c>
      <c r="Q1230" t="str">
        <f>IFERROR(INDEX($M$2:$M$2388,MATCH(ROWS($P$2:P1230),$P$2:$P$2388,0)),"")</f>
        <v/>
      </c>
    </row>
    <row r="1231" spans="1:17" ht="15" x14ac:dyDescent="0.25">
      <c r="A1231" s="10">
        <v>1290</v>
      </c>
      <c r="B1231" s="10" t="s">
        <v>4440</v>
      </c>
      <c r="C1231" s="880">
        <f t="shared" si="96"/>
        <v>139.71719999999999</v>
      </c>
      <c r="D1231" s="880">
        <f t="shared" si="97"/>
        <v>35.520499999999998</v>
      </c>
      <c r="E1231" s="10">
        <v>139.71722399999999</v>
      </c>
      <c r="F1231" s="10">
        <v>35.520556999999997</v>
      </c>
      <c r="G1231" s="10">
        <v>9</v>
      </c>
      <c r="H1231" s="10" t="s">
        <v>4033</v>
      </c>
      <c r="I1231" s="10" t="s">
        <v>4358</v>
      </c>
      <c r="J1231" s="10" t="s">
        <v>4359</v>
      </c>
      <c r="K1231" s="10" t="s">
        <v>4360</v>
      </c>
      <c r="L1231" s="65" t="str">
        <f t="shared" si="98"/>
        <v>Kawasaki|Japan|139,717224|35,520557|+9:00 Asia</v>
      </c>
      <c r="M1231" s="10" t="s">
        <v>4441</v>
      </c>
      <c r="N1231" s="10">
        <f t="shared" si="95"/>
        <v>0</v>
      </c>
      <c r="O1231" t="str">
        <f t="shared" si="99"/>
        <v/>
      </c>
      <c r="P1231" t="str">
        <f>IF(O1231=1,COUNTIF($O$2:O1231,1),"")</f>
        <v/>
      </c>
      <c r="Q1231" t="str">
        <f>IFERROR(INDEX($M$2:$M$2388,MATCH(ROWS($P$2:P1231),$P$2:$P$2388,0)),"")</f>
        <v/>
      </c>
    </row>
    <row r="1232" spans="1:17" ht="15" x14ac:dyDescent="0.25">
      <c r="A1232" s="10">
        <v>1289</v>
      </c>
      <c r="B1232" s="10" t="s">
        <v>4442</v>
      </c>
      <c r="C1232" s="880">
        <f t="shared" si="96"/>
        <v>135.36660000000001</v>
      </c>
      <c r="D1232" s="880">
        <f t="shared" si="97"/>
        <v>34.4666</v>
      </c>
      <c r="E1232" s="10">
        <v>135.366669</v>
      </c>
      <c r="F1232" s="10">
        <v>34.466667000000001</v>
      </c>
      <c r="G1232" s="10">
        <v>9</v>
      </c>
      <c r="H1232" s="10" t="s">
        <v>4033</v>
      </c>
      <c r="I1232" s="10" t="s">
        <v>4358</v>
      </c>
      <c r="J1232" s="10" t="s">
        <v>4359</v>
      </c>
      <c r="K1232" s="10" t="s">
        <v>4360</v>
      </c>
      <c r="L1232" s="65" t="str">
        <f t="shared" si="98"/>
        <v>Kishiwada|Japan|135,366669|34,466667|+9:00 Asia</v>
      </c>
      <c r="M1232" s="10" t="s">
        <v>4443</v>
      </c>
      <c r="N1232" s="10">
        <f t="shared" si="95"/>
        <v>0</v>
      </c>
      <c r="O1232" t="str">
        <f t="shared" si="99"/>
        <v/>
      </c>
      <c r="P1232" t="str">
        <f>IF(O1232=1,COUNTIF($O$2:O1232,1),"")</f>
        <v/>
      </c>
      <c r="Q1232" t="str">
        <f>IFERROR(INDEX($M$2:$M$2388,MATCH(ROWS($P$2:P1232),$P$2:$P$2388,0)),"")</f>
        <v/>
      </c>
    </row>
    <row r="1233" spans="1:17" ht="15" x14ac:dyDescent="0.25">
      <c r="A1233" s="10">
        <v>1288</v>
      </c>
      <c r="B1233" s="10" t="s">
        <v>4444</v>
      </c>
      <c r="C1233" s="880">
        <f t="shared" si="96"/>
        <v>130.83330000000001</v>
      </c>
      <c r="D1233" s="880">
        <f t="shared" si="97"/>
        <v>33.833300000000001</v>
      </c>
      <c r="E1233" s="10">
        <v>130.83332799999999</v>
      </c>
      <c r="F1233" s="10">
        <v>33.833331999999999</v>
      </c>
      <c r="G1233" s="10">
        <v>9</v>
      </c>
      <c r="H1233" s="10" t="s">
        <v>4033</v>
      </c>
      <c r="I1233" s="10" t="s">
        <v>4358</v>
      </c>
      <c r="J1233" s="10" t="s">
        <v>4359</v>
      </c>
      <c r="K1233" s="10" t="s">
        <v>4360</v>
      </c>
      <c r="L1233" s="65" t="str">
        <f t="shared" si="98"/>
        <v>Kitakyushu|Japan|130,833328|33,833332|+9:00 Asia</v>
      </c>
      <c r="M1233" s="10" t="s">
        <v>4445</v>
      </c>
      <c r="N1233" s="10">
        <f t="shared" si="95"/>
        <v>0</v>
      </c>
      <c r="O1233" t="str">
        <f t="shared" si="99"/>
        <v/>
      </c>
      <c r="P1233" t="str">
        <f>IF(O1233=1,COUNTIF($O$2:O1233,1),"")</f>
        <v/>
      </c>
      <c r="Q1233" t="str">
        <f>IFERROR(INDEX($M$2:$M$2388,MATCH(ROWS($P$2:P1233),$P$2:$P$2388,0)),"")</f>
        <v/>
      </c>
    </row>
    <row r="1234" spans="1:17" ht="15" x14ac:dyDescent="0.25">
      <c r="A1234" s="10">
        <v>1287</v>
      </c>
      <c r="B1234" s="10" t="s">
        <v>4446</v>
      </c>
      <c r="C1234" s="880">
        <f t="shared" si="96"/>
        <v>135.16659999999999</v>
      </c>
      <c r="D1234" s="880">
        <f t="shared" si="97"/>
        <v>34.683300000000003</v>
      </c>
      <c r="E1234" s="10">
        <v>135.16667200000001</v>
      </c>
      <c r="F1234" s="10">
        <v>34.683334000000002</v>
      </c>
      <c r="G1234" s="10">
        <v>9</v>
      </c>
      <c r="H1234" s="10" t="s">
        <v>4033</v>
      </c>
      <c r="I1234" s="10" t="s">
        <v>4358</v>
      </c>
      <c r="J1234" s="10" t="s">
        <v>4359</v>
      </c>
      <c r="K1234" s="10" t="s">
        <v>4360</v>
      </c>
      <c r="L1234" s="65" t="str">
        <f t="shared" si="98"/>
        <v>Kobe|Japan|135,166672|34,683334|+9:00 Asia</v>
      </c>
      <c r="M1234" s="10" t="s">
        <v>4447</v>
      </c>
      <c r="N1234" s="10">
        <f t="shared" si="95"/>
        <v>0</v>
      </c>
      <c r="O1234" t="str">
        <f t="shared" si="99"/>
        <v/>
      </c>
      <c r="P1234" t="str">
        <f>IF(O1234=1,COUNTIF($O$2:O1234,1),"")</f>
        <v/>
      </c>
      <c r="Q1234" t="str">
        <f>IFERROR(INDEX($M$2:$M$2388,MATCH(ROWS($P$2:P1234),$P$2:$P$2388,0)),"")</f>
        <v/>
      </c>
    </row>
    <row r="1235" spans="1:17" ht="15" x14ac:dyDescent="0.25">
      <c r="A1235" s="10">
        <v>1286</v>
      </c>
      <c r="B1235" s="10" t="s">
        <v>4448</v>
      </c>
      <c r="C1235" s="880">
        <f t="shared" si="96"/>
        <v>133.55000000000001</v>
      </c>
      <c r="D1235" s="880">
        <f t="shared" si="97"/>
        <v>33.549900000000001</v>
      </c>
      <c r="E1235" s="10">
        <v>133.550003</v>
      </c>
      <c r="F1235" s="10">
        <v>33.549999</v>
      </c>
      <c r="G1235" s="10">
        <v>9</v>
      </c>
      <c r="H1235" s="10" t="s">
        <v>4033</v>
      </c>
      <c r="I1235" s="10" t="s">
        <v>4358</v>
      </c>
      <c r="J1235" s="10" t="s">
        <v>4359</v>
      </c>
      <c r="K1235" s="10" t="s">
        <v>4360</v>
      </c>
      <c r="L1235" s="65" t="str">
        <f t="shared" si="98"/>
        <v>Kochi|Japan|133,550003|33,549999|+9:00 Asia</v>
      </c>
      <c r="M1235" s="10" t="s">
        <v>4449</v>
      </c>
      <c r="N1235" s="10">
        <f t="shared" si="95"/>
        <v>0</v>
      </c>
      <c r="O1235" t="str">
        <f t="shared" si="99"/>
        <v/>
      </c>
      <c r="P1235" t="str">
        <f>IF(O1235=1,COUNTIF($O$2:O1235,1),"")</f>
        <v/>
      </c>
      <c r="Q1235" t="str">
        <f>IFERROR(INDEX($M$2:$M$2388,MATCH(ROWS($P$2:P1235),$P$2:$P$2388,0)),"")</f>
        <v/>
      </c>
    </row>
    <row r="1236" spans="1:17" ht="15" x14ac:dyDescent="0.25">
      <c r="A1236" s="10">
        <v>1324</v>
      </c>
      <c r="B1236" s="10" t="s">
        <v>4450</v>
      </c>
      <c r="C1236" s="880">
        <f t="shared" si="96"/>
        <v>140.38329999999999</v>
      </c>
      <c r="D1236" s="880">
        <f t="shared" si="97"/>
        <v>37.4</v>
      </c>
      <c r="E1236" s="10">
        <v>140.383331</v>
      </c>
      <c r="F1236" s="10">
        <v>37.400002000000001</v>
      </c>
      <c r="G1236" s="10">
        <v>9</v>
      </c>
      <c r="H1236" s="10" t="s">
        <v>4033</v>
      </c>
      <c r="I1236" s="10" t="s">
        <v>4358</v>
      </c>
      <c r="J1236" s="10" t="s">
        <v>4359</v>
      </c>
      <c r="K1236" s="10" t="s">
        <v>4360</v>
      </c>
      <c r="L1236" s="65" t="str">
        <f t="shared" si="98"/>
        <v>Koriyama|Japan|140,383331|37,400002|+9:00 Asia</v>
      </c>
      <c r="M1236" s="10" t="s">
        <v>4451</v>
      </c>
      <c r="N1236" s="10">
        <f t="shared" si="95"/>
        <v>0</v>
      </c>
      <c r="O1236" t="str">
        <f t="shared" si="99"/>
        <v/>
      </c>
      <c r="P1236" t="str">
        <f>IF(O1236=1,COUNTIF($O$2:O1236,1),"")</f>
        <v/>
      </c>
      <c r="Q1236" t="str">
        <f>IFERROR(INDEX($M$2:$M$2388,MATCH(ROWS($P$2:P1236),$P$2:$P$2388,0)),"")</f>
        <v/>
      </c>
    </row>
    <row r="1237" spans="1:17" ht="15" x14ac:dyDescent="0.25">
      <c r="A1237" s="10">
        <v>1285</v>
      </c>
      <c r="B1237" s="10" t="s">
        <v>4452</v>
      </c>
      <c r="C1237" s="880">
        <f t="shared" si="96"/>
        <v>139.7833</v>
      </c>
      <c r="D1237" s="880">
        <f t="shared" si="97"/>
        <v>35.883299999999998</v>
      </c>
      <c r="E1237" s="10">
        <v>139.78334000000001</v>
      </c>
      <c r="F1237" s="10">
        <v>35.883335000000002</v>
      </c>
      <c r="G1237" s="10">
        <v>9</v>
      </c>
      <c r="H1237" s="10" t="s">
        <v>4033</v>
      </c>
      <c r="I1237" s="10" t="s">
        <v>4358</v>
      </c>
      <c r="J1237" s="10" t="s">
        <v>4359</v>
      </c>
      <c r="K1237" s="10" t="s">
        <v>4360</v>
      </c>
      <c r="L1237" s="65" t="str">
        <f t="shared" si="98"/>
        <v>Koshigaya|Japan|139,783340|35,883335|+9:00 Asia</v>
      </c>
      <c r="M1237" s="10" t="s">
        <v>4453</v>
      </c>
      <c r="N1237" s="10">
        <f t="shared" si="95"/>
        <v>0</v>
      </c>
      <c r="O1237" t="str">
        <f t="shared" si="99"/>
        <v/>
      </c>
      <c r="P1237" t="str">
        <f>IF(O1237=1,COUNTIF($O$2:O1237,1),"")</f>
        <v/>
      </c>
      <c r="Q1237" t="str">
        <f>IFERROR(INDEX($M$2:$M$2388,MATCH(ROWS($P$2:P1237),$P$2:$P$2388,0)),"")</f>
        <v/>
      </c>
    </row>
    <row r="1238" spans="1:17" ht="15" x14ac:dyDescent="0.25">
      <c r="A1238" s="10">
        <v>1284</v>
      </c>
      <c r="B1238" s="10" t="s">
        <v>4454</v>
      </c>
      <c r="C1238" s="880">
        <f t="shared" si="96"/>
        <v>130.7166</v>
      </c>
      <c r="D1238" s="880">
        <f t="shared" si="97"/>
        <v>32.799900000000001</v>
      </c>
      <c r="E1238" s="10">
        <v>130.71665999999999</v>
      </c>
      <c r="F1238" s="10">
        <v>32.799999</v>
      </c>
      <c r="G1238" s="10">
        <v>9</v>
      </c>
      <c r="H1238" s="10" t="s">
        <v>4033</v>
      </c>
      <c r="I1238" s="10" t="s">
        <v>4358</v>
      </c>
      <c r="J1238" s="10" t="s">
        <v>4359</v>
      </c>
      <c r="K1238" s="10" t="s">
        <v>4360</v>
      </c>
      <c r="L1238" s="65" t="str">
        <f t="shared" si="98"/>
        <v>Kumamoto|Japan|130,716660|32,799999|+9:00 Asia</v>
      </c>
      <c r="M1238" s="10" t="s">
        <v>4455</v>
      </c>
      <c r="N1238" s="10">
        <f t="shared" si="95"/>
        <v>0</v>
      </c>
      <c r="O1238" t="str">
        <f t="shared" si="99"/>
        <v/>
      </c>
      <c r="P1238" t="str">
        <f>IF(O1238=1,COUNTIF($O$2:O1238,1),"")</f>
        <v/>
      </c>
      <c r="Q1238" t="str">
        <f>IFERROR(INDEX($M$2:$M$2388,MATCH(ROWS($P$2:P1238),$P$2:$P$2388,0)),"")</f>
        <v/>
      </c>
    </row>
    <row r="1239" spans="1:17" ht="15" x14ac:dyDescent="0.25">
      <c r="A1239" s="10">
        <v>1283</v>
      </c>
      <c r="B1239" s="10" t="s">
        <v>4456</v>
      </c>
      <c r="C1239" s="880">
        <f t="shared" si="96"/>
        <v>133.76660000000001</v>
      </c>
      <c r="D1239" s="880">
        <f t="shared" si="97"/>
        <v>34.583300000000001</v>
      </c>
      <c r="E1239" s="10">
        <v>133.76666299999999</v>
      </c>
      <c r="F1239" s="10">
        <v>34.583331999999999</v>
      </c>
      <c r="G1239" s="10">
        <v>9</v>
      </c>
      <c r="H1239" s="10" t="s">
        <v>4033</v>
      </c>
      <c r="I1239" s="10" t="s">
        <v>4358</v>
      </c>
      <c r="J1239" s="10" t="s">
        <v>4359</v>
      </c>
      <c r="K1239" s="10" t="s">
        <v>4360</v>
      </c>
      <c r="L1239" s="65" t="str">
        <f t="shared" si="98"/>
        <v>Kurashiki|Japan|133,766663|34,583332|+9:00 Asia</v>
      </c>
      <c r="M1239" s="10" t="s">
        <v>4457</v>
      </c>
      <c r="N1239" s="10">
        <f t="shared" si="95"/>
        <v>0</v>
      </c>
      <c r="O1239" t="str">
        <f t="shared" si="99"/>
        <v/>
      </c>
      <c r="P1239" t="str">
        <f>IF(O1239=1,COUNTIF($O$2:O1239,1),"")</f>
        <v/>
      </c>
      <c r="Q1239" t="str">
        <f>IFERROR(INDEX($M$2:$M$2388,MATCH(ROWS($P$2:P1239),$P$2:$P$2388,0)),"")</f>
        <v/>
      </c>
    </row>
    <row r="1240" spans="1:17" ht="15" x14ac:dyDescent="0.25">
      <c r="A1240" s="10">
        <v>1282</v>
      </c>
      <c r="B1240" s="10" t="s">
        <v>4458</v>
      </c>
      <c r="C1240" s="880">
        <f t="shared" si="96"/>
        <v>130.51660000000001</v>
      </c>
      <c r="D1240" s="880">
        <f t="shared" si="97"/>
        <v>33.316600000000001</v>
      </c>
      <c r="E1240" s="10">
        <v>130.51666299999999</v>
      </c>
      <c r="F1240" s="10">
        <v>33.316665999999998</v>
      </c>
      <c r="G1240" s="10">
        <v>9</v>
      </c>
      <c r="H1240" s="10" t="s">
        <v>4033</v>
      </c>
      <c r="I1240" s="10" t="s">
        <v>4358</v>
      </c>
      <c r="J1240" s="10" t="s">
        <v>4359</v>
      </c>
      <c r="K1240" s="10" t="s">
        <v>4360</v>
      </c>
      <c r="L1240" s="65" t="str">
        <f t="shared" si="98"/>
        <v>Kurume|Japan|130,516663|33,316666|+9:00 Asia</v>
      </c>
      <c r="M1240" s="10" t="s">
        <v>4459</v>
      </c>
      <c r="N1240" s="10">
        <f t="shared" si="95"/>
        <v>0</v>
      </c>
      <c r="O1240" t="str">
        <f t="shared" si="99"/>
        <v/>
      </c>
      <c r="P1240" t="str">
        <f>IF(O1240=1,COUNTIF($O$2:O1240,1),"")</f>
        <v/>
      </c>
      <c r="Q1240" t="str">
        <f>IFERROR(INDEX($M$2:$M$2388,MATCH(ROWS($P$2:P1240),$P$2:$P$2388,0)),"")</f>
        <v/>
      </c>
    </row>
    <row r="1241" spans="1:17" ht="15" x14ac:dyDescent="0.25">
      <c r="A1241" s="10">
        <v>1281</v>
      </c>
      <c r="B1241" s="10" t="s">
        <v>4460</v>
      </c>
      <c r="C1241" s="880">
        <f t="shared" si="96"/>
        <v>135.75</v>
      </c>
      <c r="D1241" s="880">
        <f t="shared" si="97"/>
        <v>35</v>
      </c>
      <c r="E1241" s="10">
        <v>135.75</v>
      </c>
      <c r="F1241" s="10">
        <v>35</v>
      </c>
      <c r="G1241" s="10">
        <v>9</v>
      </c>
      <c r="H1241" s="10" t="s">
        <v>4033</v>
      </c>
      <c r="I1241" s="10" t="s">
        <v>4358</v>
      </c>
      <c r="J1241" s="10" t="s">
        <v>4359</v>
      </c>
      <c r="K1241" s="10" t="s">
        <v>4360</v>
      </c>
      <c r="L1241" s="65" t="str">
        <f t="shared" si="98"/>
        <v>Kyoto|Japan|135,750000|35,000000|+9:00 Asia</v>
      </c>
      <c r="M1241" s="10" t="s">
        <v>4461</v>
      </c>
      <c r="N1241" s="10">
        <f t="shared" si="95"/>
        <v>0</v>
      </c>
      <c r="O1241" t="str">
        <f t="shared" si="99"/>
        <v/>
      </c>
      <c r="P1241" t="str">
        <f>IF(O1241=1,COUNTIF($O$2:O1241,1),"")</f>
        <v/>
      </c>
      <c r="Q1241" t="str">
        <f>IFERROR(INDEX($M$2:$M$2388,MATCH(ROWS($P$2:P1241),$P$2:$P$2388,0)),"")</f>
        <v/>
      </c>
    </row>
    <row r="1242" spans="1:17" ht="15" x14ac:dyDescent="0.25">
      <c r="A1242" s="10">
        <v>1280</v>
      </c>
      <c r="B1242" s="10" t="s">
        <v>4462</v>
      </c>
      <c r="C1242" s="880">
        <f t="shared" si="96"/>
        <v>139.45079999999999</v>
      </c>
      <c r="D1242" s="880">
        <f t="shared" si="97"/>
        <v>35.540199999999999</v>
      </c>
      <c r="E1242" s="10">
        <v>139.45083600000001</v>
      </c>
      <c r="F1242" s="10">
        <v>35.540278999999998</v>
      </c>
      <c r="G1242" s="10">
        <v>9</v>
      </c>
      <c r="H1242" s="10" t="s">
        <v>4033</v>
      </c>
      <c r="I1242" s="10" t="s">
        <v>4358</v>
      </c>
      <c r="J1242" s="10" t="s">
        <v>4359</v>
      </c>
      <c r="K1242" s="10" t="s">
        <v>4360</v>
      </c>
      <c r="L1242" s="65" t="str">
        <f t="shared" si="98"/>
        <v>Machida|Japan|139,450836|35,540279|+9:00 Asia</v>
      </c>
      <c r="M1242" s="10" t="s">
        <v>4463</v>
      </c>
      <c r="N1242" s="10">
        <f t="shared" si="95"/>
        <v>0</v>
      </c>
      <c r="O1242" t="str">
        <f t="shared" si="99"/>
        <v/>
      </c>
      <c r="P1242" t="str">
        <f>IF(O1242=1,COUNTIF($O$2:O1242,1),"")</f>
        <v/>
      </c>
      <c r="Q1242" t="str">
        <f>IFERROR(INDEX($M$2:$M$2388,MATCH(ROWS($P$2:P1242),$P$2:$P$2388,0)),"")</f>
        <v/>
      </c>
    </row>
    <row r="1243" spans="1:17" ht="15" x14ac:dyDescent="0.25">
      <c r="A1243" s="10">
        <v>1279</v>
      </c>
      <c r="B1243" s="10" t="s">
        <v>4464</v>
      </c>
      <c r="C1243" s="880">
        <f t="shared" si="96"/>
        <v>139.06659999999999</v>
      </c>
      <c r="D1243" s="880">
        <f t="shared" si="97"/>
        <v>36.383299999999998</v>
      </c>
      <c r="E1243" s="10">
        <v>139.066666</v>
      </c>
      <c r="F1243" s="10">
        <v>36.383335000000002</v>
      </c>
      <c r="G1243" s="10">
        <v>9</v>
      </c>
      <c r="H1243" s="10" t="s">
        <v>4033</v>
      </c>
      <c r="I1243" s="10" t="s">
        <v>4358</v>
      </c>
      <c r="J1243" s="10" t="s">
        <v>4359</v>
      </c>
      <c r="K1243" s="10" t="s">
        <v>4360</v>
      </c>
      <c r="L1243" s="65" t="str">
        <f t="shared" si="98"/>
        <v>Maebashi|Japan|139,066666|36,383335|+9:00 Asia</v>
      </c>
      <c r="M1243" s="10" t="s">
        <v>4465</v>
      </c>
      <c r="N1243" s="10">
        <f t="shared" si="95"/>
        <v>0</v>
      </c>
      <c r="O1243" t="str">
        <f t="shared" si="99"/>
        <v/>
      </c>
      <c r="P1243" t="str">
        <f>IF(O1243=1,COUNTIF($O$2:O1243,1),"")</f>
        <v/>
      </c>
      <c r="Q1243" t="str">
        <f>IFERROR(INDEX($M$2:$M$2388,MATCH(ROWS($P$2:P1243),$P$2:$P$2388,0)),"")</f>
        <v/>
      </c>
    </row>
    <row r="1244" spans="1:17" ht="15" x14ac:dyDescent="0.25">
      <c r="A1244" s="10">
        <v>1278</v>
      </c>
      <c r="B1244" s="10" t="s">
        <v>4466</v>
      </c>
      <c r="C1244" s="880">
        <f t="shared" si="96"/>
        <v>139.8999</v>
      </c>
      <c r="D1244" s="880">
        <f t="shared" si="97"/>
        <v>35.783299999999997</v>
      </c>
      <c r="E1244" s="10">
        <v>139.89999399999999</v>
      </c>
      <c r="F1244" s="10">
        <v>35.783332999999999</v>
      </c>
      <c r="G1244" s="10">
        <v>9</v>
      </c>
      <c r="H1244" s="10" t="s">
        <v>4033</v>
      </c>
      <c r="I1244" s="10" t="s">
        <v>4358</v>
      </c>
      <c r="J1244" s="10" t="s">
        <v>4359</v>
      </c>
      <c r="K1244" s="10" t="s">
        <v>4360</v>
      </c>
      <c r="L1244" s="65" t="str">
        <f t="shared" si="98"/>
        <v>Matsudo|Japan|139,899994|35,783333|+9:00 Asia</v>
      </c>
      <c r="M1244" s="10" t="s">
        <v>4467</v>
      </c>
      <c r="N1244" s="10">
        <f t="shared" si="95"/>
        <v>0</v>
      </c>
      <c r="O1244" t="str">
        <f t="shared" si="99"/>
        <v/>
      </c>
      <c r="P1244" t="str">
        <f>IF(O1244=1,COUNTIF($O$2:O1244,1),"")</f>
        <v/>
      </c>
      <c r="Q1244" t="str">
        <f>IFERROR(INDEX($M$2:$M$2388,MATCH(ROWS($P$2:P1244),$P$2:$P$2388,0)),"")</f>
        <v/>
      </c>
    </row>
    <row r="1245" spans="1:17" ht="15" x14ac:dyDescent="0.25">
      <c r="A1245" s="10">
        <v>1277</v>
      </c>
      <c r="B1245" s="10" t="s">
        <v>4468</v>
      </c>
      <c r="C1245" s="880">
        <f t="shared" si="96"/>
        <v>137.9666</v>
      </c>
      <c r="D1245" s="880">
        <f t="shared" si="97"/>
        <v>36.2333</v>
      </c>
      <c r="E1245" s="10">
        <v>137.96665999999999</v>
      </c>
      <c r="F1245" s="10">
        <v>36.233333999999999</v>
      </c>
      <c r="G1245" s="10">
        <v>9</v>
      </c>
      <c r="H1245" s="10" t="s">
        <v>4033</v>
      </c>
      <c r="I1245" s="10" t="s">
        <v>4358</v>
      </c>
      <c r="J1245" s="10" t="s">
        <v>4359</v>
      </c>
      <c r="K1245" s="10" t="s">
        <v>4360</v>
      </c>
      <c r="L1245" s="65" t="str">
        <f t="shared" si="98"/>
        <v>Matsumoto|Japan|137,966660|36,233334|+9:00 Asia</v>
      </c>
      <c r="M1245" s="10" t="s">
        <v>4469</v>
      </c>
      <c r="N1245" s="10">
        <f t="shared" si="95"/>
        <v>0</v>
      </c>
      <c r="O1245" t="str">
        <f t="shared" si="99"/>
        <v/>
      </c>
      <c r="P1245" t="str">
        <f>IF(O1245=1,COUNTIF($O$2:O1245,1),"")</f>
        <v/>
      </c>
      <c r="Q1245" t="str">
        <f>IFERROR(INDEX($M$2:$M$2388,MATCH(ROWS($P$2:P1245),$P$2:$P$2388,0)),"")</f>
        <v/>
      </c>
    </row>
    <row r="1246" spans="1:17" ht="15" x14ac:dyDescent="0.25">
      <c r="A1246" s="10">
        <v>1276</v>
      </c>
      <c r="B1246" s="10" t="s">
        <v>4470</v>
      </c>
      <c r="C1246" s="880">
        <f t="shared" si="96"/>
        <v>139.44990000000001</v>
      </c>
      <c r="D1246" s="880">
        <f t="shared" si="97"/>
        <v>35.4833</v>
      </c>
      <c r="E1246" s="10">
        <v>139.449997</v>
      </c>
      <c r="F1246" s="10">
        <v>35.483333999999999</v>
      </c>
      <c r="G1246" s="10">
        <v>9</v>
      </c>
      <c r="H1246" s="10" t="s">
        <v>4033</v>
      </c>
      <c r="I1246" s="10" t="s">
        <v>4358</v>
      </c>
      <c r="J1246" s="10" t="s">
        <v>4359</v>
      </c>
      <c r="K1246" s="10" t="s">
        <v>4360</v>
      </c>
      <c r="L1246" s="65" t="str">
        <f t="shared" si="98"/>
        <v>Minami-rinkan|Japan|139,449997|35,483334|+9:00 Asia</v>
      </c>
      <c r="M1246" s="10" t="s">
        <v>4471</v>
      </c>
      <c r="N1246" s="10">
        <f t="shared" si="95"/>
        <v>0</v>
      </c>
      <c r="O1246" t="str">
        <f t="shared" si="99"/>
        <v/>
      </c>
      <c r="P1246" t="str">
        <f>IF(O1246=1,COUNTIF($O$2:O1246,1),"")</f>
        <v/>
      </c>
      <c r="Q1246" t="str">
        <f>IFERROR(INDEX($M$2:$M$2388,MATCH(ROWS($P$2:P1246),$P$2:$P$2388,0)),"")</f>
        <v/>
      </c>
    </row>
    <row r="1247" spans="1:17" ht="15" x14ac:dyDescent="0.25">
      <c r="A1247" s="10">
        <v>1323</v>
      </c>
      <c r="B1247" s="10" t="s">
        <v>4472</v>
      </c>
      <c r="C1247" s="880">
        <f t="shared" si="96"/>
        <v>140.4666</v>
      </c>
      <c r="D1247" s="880">
        <f t="shared" si="97"/>
        <v>36.366599999999998</v>
      </c>
      <c r="E1247" s="10">
        <v>140.46665999999999</v>
      </c>
      <c r="F1247" s="10">
        <v>36.366664999999998</v>
      </c>
      <c r="G1247" s="10">
        <v>9</v>
      </c>
      <c r="H1247" s="10" t="s">
        <v>4033</v>
      </c>
      <c r="I1247" s="10" t="s">
        <v>4358</v>
      </c>
      <c r="J1247" s="10" t="s">
        <v>4359</v>
      </c>
      <c r="K1247" s="10" t="s">
        <v>4360</v>
      </c>
      <c r="L1247" s="65" t="str">
        <f t="shared" si="98"/>
        <v>Mito|Japan|140,466660|36,366665|+9:00 Asia</v>
      </c>
      <c r="M1247" s="10" t="s">
        <v>4473</v>
      </c>
      <c r="N1247" s="10">
        <f t="shared" si="95"/>
        <v>0</v>
      </c>
      <c r="O1247" t="str">
        <f t="shared" si="99"/>
        <v/>
      </c>
      <c r="P1247" t="str">
        <f>IF(O1247=1,COUNTIF($O$2:O1247,1),"")</f>
        <v/>
      </c>
      <c r="Q1247" t="str">
        <f>IFERROR(INDEX($M$2:$M$2388,MATCH(ROWS($P$2:P1247),$P$2:$P$2388,0)),"")</f>
        <v/>
      </c>
    </row>
    <row r="1248" spans="1:17" ht="15" x14ac:dyDescent="0.25">
      <c r="A1248" s="10">
        <v>1275</v>
      </c>
      <c r="B1248" s="10" t="s">
        <v>4474</v>
      </c>
      <c r="C1248" s="880">
        <f t="shared" si="96"/>
        <v>131.4333</v>
      </c>
      <c r="D1248" s="880">
        <f t="shared" si="97"/>
        <v>31.9</v>
      </c>
      <c r="E1248" s="10">
        <v>131.433334</v>
      </c>
      <c r="F1248" s="10">
        <v>31.9</v>
      </c>
      <c r="G1248" s="10">
        <v>9</v>
      </c>
      <c r="H1248" s="10" t="s">
        <v>4033</v>
      </c>
      <c r="I1248" s="10" t="s">
        <v>4358</v>
      </c>
      <c r="J1248" s="10" t="s">
        <v>4359</v>
      </c>
      <c r="K1248" s="10" t="s">
        <v>4360</v>
      </c>
      <c r="L1248" s="65" t="str">
        <f t="shared" si="98"/>
        <v>Miyazaki|Japan|131,433334|31,900000|+9:00 Asia</v>
      </c>
      <c r="M1248" s="10" t="s">
        <v>4475</v>
      </c>
      <c r="N1248" s="10">
        <f t="shared" si="95"/>
        <v>0</v>
      </c>
      <c r="O1248" t="str">
        <f t="shared" si="99"/>
        <v/>
      </c>
      <c r="P1248" t="str">
        <f>IF(O1248=1,COUNTIF($O$2:O1248,1),"")</f>
        <v/>
      </c>
      <c r="Q1248" t="str">
        <f>IFERROR(INDEX($M$2:$M$2388,MATCH(ROWS($P$2:P1248),$P$2:$P$2388,0)),"")</f>
        <v/>
      </c>
    </row>
    <row r="1249" spans="1:17" ht="15" x14ac:dyDescent="0.25">
      <c r="A1249" s="10">
        <v>1322</v>
      </c>
      <c r="B1249" s="10" t="s">
        <v>4476</v>
      </c>
      <c r="C1249" s="880">
        <f t="shared" si="96"/>
        <v>141.1499</v>
      </c>
      <c r="D1249" s="880">
        <f t="shared" si="97"/>
        <v>39.700000000000003</v>
      </c>
      <c r="E1249" s="10">
        <v>141.14999399999999</v>
      </c>
      <c r="F1249" s="10">
        <v>39.700001</v>
      </c>
      <c r="G1249" s="10">
        <v>9</v>
      </c>
      <c r="H1249" s="10" t="s">
        <v>4033</v>
      </c>
      <c r="I1249" s="10" t="s">
        <v>4358</v>
      </c>
      <c r="J1249" s="10" t="s">
        <v>4359</v>
      </c>
      <c r="K1249" s="10" t="s">
        <v>4360</v>
      </c>
      <c r="L1249" s="65" t="str">
        <f t="shared" si="98"/>
        <v>Morioka|Japan|141,149994|39,700001|+9:00 Asia</v>
      </c>
      <c r="M1249" s="10" t="s">
        <v>4477</v>
      </c>
      <c r="N1249" s="10">
        <f t="shared" si="95"/>
        <v>0</v>
      </c>
      <c r="O1249" t="str">
        <f t="shared" si="99"/>
        <v/>
      </c>
      <c r="P1249" t="str">
        <f>IF(O1249=1,COUNTIF($O$2:O1249,1),"")</f>
        <v/>
      </c>
      <c r="Q1249" t="str">
        <f>IFERROR(INDEX($M$2:$M$2388,MATCH(ROWS($P$2:P1249),$P$2:$P$2388,0)),"")</f>
        <v/>
      </c>
    </row>
    <row r="1250" spans="1:17" ht="15" x14ac:dyDescent="0.25">
      <c r="A1250" s="10">
        <v>1274</v>
      </c>
      <c r="B1250" s="10" t="s">
        <v>4478</v>
      </c>
      <c r="C1250" s="880">
        <f t="shared" si="96"/>
        <v>138.1833</v>
      </c>
      <c r="D1250" s="880">
        <f t="shared" si="97"/>
        <v>36.65</v>
      </c>
      <c r="E1250" s="10">
        <v>138.183334</v>
      </c>
      <c r="F1250" s="10">
        <v>36.650002000000001</v>
      </c>
      <c r="G1250" s="10">
        <v>9</v>
      </c>
      <c r="H1250" s="10" t="s">
        <v>4033</v>
      </c>
      <c r="I1250" s="10" t="s">
        <v>4358</v>
      </c>
      <c r="J1250" s="10" t="s">
        <v>4359</v>
      </c>
      <c r="K1250" s="10" t="s">
        <v>4360</v>
      </c>
      <c r="L1250" s="65" t="str">
        <f t="shared" si="98"/>
        <v>Nagano|Japan|138,183334|36,650002|+9:00 Asia</v>
      </c>
      <c r="M1250" s="10" t="s">
        <v>4479</v>
      </c>
      <c r="N1250" s="10">
        <f t="shared" si="95"/>
        <v>0</v>
      </c>
      <c r="O1250" t="str">
        <f t="shared" si="99"/>
        <v/>
      </c>
      <c r="P1250" t="str">
        <f>IF(O1250=1,COUNTIF($O$2:O1250,1),"")</f>
        <v/>
      </c>
      <c r="Q1250" t="str">
        <f>IFERROR(INDEX($M$2:$M$2388,MATCH(ROWS($P$2:P1250),$P$2:$P$2388,0)),"")</f>
        <v/>
      </c>
    </row>
    <row r="1251" spans="1:17" ht="15" x14ac:dyDescent="0.25">
      <c r="A1251" s="10">
        <v>1273</v>
      </c>
      <c r="B1251" s="10" t="s">
        <v>4480</v>
      </c>
      <c r="C1251" s="880">
        <f t="shared" si="96"/>
        <v>129.8683</v>
      </c>
      <c r="D1251" s="880">
        <f t="shared" si="97"/>
        <v>32.755000000000003</v>
      </c>
      <c r="E1251" s="10">
        <v>129.86833200000001</v>
      </c>
      <c r="F1251" s="10">
        <v>32.755001</v>
      </c>
      <c r="G1251" s="10">
        <v>9</v>
      </c>
      <c r="H1251" s="10" t="s">
        <v>4033</v>
      </c>
      <c r="I1251" s="10" t="s">
        <v>4358</v>
      </c>
      <c r="J1251" s="10" t="s">
        <v>4359</v>
      </c>
      <c r="K1251" s="10" t="s">
        <v>4360</v>
      </c>
      <c r="L1251" s="65" t="str">
        <f t="shared" si="98"/>
        <v>Nagasaki|Japan|129,868332|32,755001|+9:00 Asia</v>
      </c>
      <c r="M1251" s="10" t="s">
        <v>4481</v>
      </c>
      <c r="N1251" s="10">
        <f t="shared" si="95"/>
        <v>0</v>
      </c>
      <c r="O1251" t="str">
        <f t="shared" si="99"/>
        <v/>
      </c>
      <c r="P1251" t="str">
        <f>IF(O1251=1,COUNTIF($O$2:O1251,1),"")</f>
        <v/>
      </c>
      <c r="Q1251" t="str">
        <f>IFERROR(INDEX($M$2:$M$2388,MATCH(ROWS($P$2:P1251),$P$2:$P$2388,0)),"")</f>
        <v/>
      </c>
    </row>
    <row r="1252" spans="1:17" ht="15" x14ac:dyDescent="0.25">
      <c r="A1252" s="10">
        <v>1272</v>
      </c>
      <c r="B1252" s="10" t="s">
        <v>4482</v>
      </c>
      <c r="C1252" s="880">
        <f t="shared" si="96"/>
        <v>136.91659999999999</v>
      </c>
      <c r="D1252" s="880">
        <f t="shared" si="97"/>
        <v>35.166600000000003</v>
      </c>
      <c r="E1252" s="10">
        <v>136.91667200000001</v>
      </c>
      <c r="F1252" s="10">
        <v>35.166668000000001</v>
      </c>
      <c r="G1252" s="10">
        <v>9</v>
      </c>
      <c r="H1252" s="10" t="s">
        <v>4033</v>
      </c>
      <c r="I1252" s="10" t="s">
        <v>4358</v>
      </c>
      <c r="J1252" s="10" t="s">
        <v>4359</v>
      </c>
      <c r="K1252" s="10" t="s">
        <v>4360</v>
      </c>
      <c r="L1252" s="65" t="str">
        <f t="shared" si="98"/>
        <v>Nagoya|Japan|136,916672|35,166668|+9:00 Asia</v>
      </c>
      <c r="M1252" s="10" t="s">
        <v>4483</v>
      </c>
      <c r="N1252" s="10">
        <f t="shared" si="95"/>
        <v>0</v>
      </c>
      <c r="O1252" t="str">
        <f t="shared" si="99"/>
        <v/>
      </c>
      <c r="P1252" t="str">
        <f>IF(O1252=1,COUNTIF($O$2:O1252,1),"")</f>
        <v/>
      </c>
      <c r="Q1252" t="str">
        <f>IFERROR(INDEX($M$2:$M$2388,MATCH(ROWS($P$2:P1252),$P$2:$P$2388,0)),"")</f>
        <v/>
      </c>
    </row>
    <row r="1253" spans="1:17" ht="15" x14ac:dyDescent="0.25">
      <c r="A1253" s="10">
        <v>1271</v>
      </c>
      <c r="B1253" s="10" t="s">
        <v>4484</v>
      </c>
      <c r="C1253" s="880">
        <f t="shared" si="96"/>
        <v>127.6733</v>
      </c>
      <c r="D1253" s="880">
        <f t="shared" si="97"/>
        <v>26.2072</v>
      </c>
      <c r="E1253" s="10">
        <v>127.673332</v>
      </c>
      <c r="F1253" s="10">
        <v>26.207222000000002</v>
      </c>
      <c r="G1253" s="10">
        <v>9</v>
      </c>
      <c r="H1253" s="10" t="s">
        <v>4033</v>
      </c>
      <c r="I1253" s="10" t="s">
        <v>4358</v>
      </c>
      <c r="J1253" s="10" t="s">
        <v>4359</v>
      </c>
      <c r="K1253" s="10" t="s">
        <v>4360</v>
      </c>
      <c r="L1253" s="65" t="str">
        <f t="shared" si="98"/>
        <v>Naha|Japan|127,673332|26,207222|+9:00 Asia</v>
      </c>
      <c r="M1253" s="10" t="s">
        <v>4485</v>
      </c>
      <c r="N1253" s="10">
        <f t="shared" si="95"/>
        <v>0</v>
      </c>
      <c r="O1253" t="str">
        <f t="shared" si="99"/>
        <v/>
      </c>
      <c r="P1253" t="str">
        <f>IF(O1253=1,COUNTIF($O$2:O1253,1),"")</f>
        <v/>
      </c>
      <c r="Q1253" t="str">
        <f>IFERROR(INDEX($M$2:$M$2388,MATCH(ROWS($P$2:P1253),$P$2:$P$2388,0)),"")</f>
        <v/>
      </c>
    </row>
    <row r="1254" spans="1:17" ht="15" x14ac:dyDescent="0.25">
      <c r="A1254" s="10">
        <v>1270</v>
      </c>
      <c r="B1254" s="10" t="s">
        <v>4486</v>
      </c>
      <c r="C1254" s="880">
        <f t="shared" si="96"/>
        <v>135.83330000000001</v>
      </c>
      <c r="D1254" s="880">
        <f t="shared" si="97"/>
        <v>34.683300000000003</v>
      </c>
      <c r="E1254" s="10">
        <v>135.83332799999999</v>
      </c>
      <c r="F1254" s="10">
        <v>34.683334000000002</v>
      </c>
      <c r="G1254" s="10">
        <v>9</v>
      </c>
      <c r="H1254" s="10" t="s">
        <v>4033</v>
      </c>
      <c r="I1254" s="10" t="s">
        <v>4358</v>
      </c>
      <c r="J1254" s="10" t="s">
        <v>4359</v>
      </c>
      <c r="K1254" s="10" t="s">
        <v>4360</v>
      </c>
      <c r="L1254" s="65" t="str">
        <f t="shared" si="98"/>
        <v>Nara|Japan|135,833328|34,683334|+9:00 Asia</v>
      </c>
      <c r="M1254" s="10" t="s">
        <v>4487</v>
      </c>
      <c r="N1254" s="10">
        <f t="shared" si="95"/>
        <v>0</v>
      </c>
      <c r="O1254" t="str">
        <f t="shared" si="99"/>
        <v/>
      </c>
      <c r="P1254" t="str">
        <f>IF(O1254=1,COUNTIF($O$2:O1254,1),"")</f>
        <v/>
      </c>
      <c r="Q1254" t="str">
        <f>IFERROR(INDEX($M$2:$M$2388,MATCH(ROWS($P$2:P1254),$P$2:$P$2388,0)),"")</f>
        <v/>
      </c>
    </row>
    <row r="1255" spans="1:17" ht="15" x14ac:dyDescent="0.25">
      <c r="A1255" s="10">
        <v>1269</v>
      </c>
      <c r="B1255" s="10" t="s">
        <v>4488</v>
      </c>
      <c r="C1255" s="880">
        <f t="shared" si="96"/>
        <v>139.6499</v>
      </c>
      <c r="D1255" s="880">
        <f t="shared" si="97"/>
        <v>35.7333</v>
      </c>
      <c r="E1255" s="10">
        <v>139.64999399999999</v>
      </c>
      <c r="F1255" s="10">
        <v>35.733333999999999</v>
      </c>
      <c r="G1255" s="10">
        <v>9</v>
      </c>
      <c r="H1255" s="10" t="s">
        <v>4033</v>
      </c>
      <c r="I1255" s="10" t="s">
        <v>4358</v>
      </c>
      <c r="J1255" s="10" t="s">
        <v>4359</v>
      </c>
      <c r="K1255" s="10" t="s">
        <v>4360</v>
      </c>
      <c r="L1255" s="65" t="str">
        <f t="shared" si="98"/>
        <v>Nerima|Japan|139,649994|35,733334|+9:00 Asia</v>
      </c>
      <c r="M1255" s="10" t="s">
        <v>4489</v>
      </c>
      <c r="N1255" s="10">
        <f t="shared" si="95"/>
        <v>0</v>
      </c>
      <c r="O1255" t="str">
        <f t="shared" si="99"/>
        <v/>
      </c>
      <c r="P1255" t="str">
        <f>IF(O1255=1,COUNTIF($O$2:O1255,1),"")</f>
        <v/>
      </c>
      <c r="Q1255" t="str">
        <f>IFERROR(INDEX($M$2:$M$2388,MATCH(ROWS($P$2:P1255),$P$2:$P$2388,0)),"")</f>
        <v/>
      </c>
    </row>
    <row r="1256" spans="1:17" ht="15" x14ac:dyDescent="0.25">
      <c r="A1256" s="10">
        <v>1268</v>
      </c>
      <c r="B1256" s="10" t="s">
        <v>4490</v>
      </c>
      <c r="C1256" s="880">
        <f t="shared" si="96"/>
        <v>139.05000000000001</v>
      </c>
      <c r="D1256" s="880">
        <f t="shared" si="97"/>
        <v>37.916600000000003</v>
      </c>
      <c r="E1256" s="10">
        <v>139.050003</v>
      </c>
      <c r="F1256" s="10">
        <v>37.916668000000001</v>
      </c>
      <c r="G1256" s="10">
        <v>9</v>
      </c>
      <c r="H1256" s="10" t="s">
        <v>4033</v>
      </c>
      <c r="I1256" s="10" t="s">
        <v>4358</v>
      </c>
      <c r="J1256" s="10" t="s">
        <v>4359</v>
      </c>
      <c r="K1256" s="10" t="s">
        <v>4360</v>
      </c>
      <c r="L1256" s="65" t="str">
        <f t="shared" si="98"/>
        <v>Niigata|Japan|139,050003|37,916668|+9:00 Asia</v>
      </c>
      <c r="M1256" s="10" t="s">
        <v>4491</v>
      </c>
      <c r="N1256" s="10">
        <f t="shared" si="95"/>
        <v>0</v>
      </c>
      <c r="O1256" t="str">
        <f t="shared" si="99"/>
        <v/>
      </c>
      <c r="P1256" t="str">
        <f>IF(O1256=1,COUNTIF($O$2:O1256,1),"")</f>
        <v/>
      </c>
      <c r="Q1256" t="str">
        <f>IFERROR(INDEX($M$2:$M$2388,MATCH(ROWS($P$2:P1256),$P$2:$P$2388,0)),"")</f>
        <v/>
      </c>
    </row>
    <row r="1257" spans="1:17" ht="15" x14ac:dyDescent="0.25">
      <c r="A1257" s="10">
        <v>1267</v>
      </c>
      <c r="B1257" s="10" t="s">
        <v>4492</v>
      </c>
      <c r="C1257" s="880">
        <f t="shared" si="96"/>
        <v>135.33330000000001</v>
      </c>
      <c r="D1257" s="880">
        <f t="shared" si="97"/>
        <v>34.7166</v>
      </c>
      <c r="E1257" s="10">
        <v>135.33332799999999</v>
      </c>
      <c r="F1257" s="10">
        <v>34.716667000000001</v>
      </c>
      <c r="G1257" s="10">
        <v>9</v>
      </c>
      <c r="H1257" s="10" t="s">
        <v>4033</v>
      </c>
      <c r="I1257" s="10" t="s">
        <v>4358</v>
      </c>
      <c r="J1257" s="10" t="s">
        <v>4359</v>
      </c>
      <c r="K1257" s="10" t="s">
        <v>4360</v>
      </c>
      <c r="L1257" s="65" t="str">
        <f t="shared" si="98"/>
        <v>Nishinomiya|Japan|135,333328|34,716667|+9:00 Asia</v>
      </c>
      <c r="M1257" s="10" t="s">
        <v>4493</v>
      </c>
      <c r="N1257" s="10">
        <f t="shared" si="95"/>
        <v>0</v>
      </c>
      <c r="O1257" t="str">
        <f t="shared" si="99"/>
        <v/>
      </c>
      <c r="P1257" t="str">
        <f>IF(O1257=1,COUNTIF($O$2:O1257,1),"")</f>
        <v/>
      </c>
      <c r="Q1257" t="str">
        <f>IFERROR(INDEX($M$2:$M$2388,MATCH(ROWS($P$2:P1257),$P$2:$P$2388,0)),"")</f>
        <v/>
      </c>
    </row>
    <row r="1258" spans="1:17" ht="15" x14ac:dyDescent="0.25">
      <c r="A1258" s="10">
        <v>1266</v>
      </c>
      <c r="B1258" s="10" t="s">
        <v>4494</v>
      </c>
      <c r="C1258" s="880">
        <f t="shared" si="96"/>
        <v>138.86660000000001</v>
      </c>
      <c r="D1258" s="880">
        <f t="shared" si="97"/>
        <v>35.099899999999998</v>
      </c>
      <c r="E1258" s="10">
        <v>138.866669</v>
      </c>
      <c r="F1258" s="10">
        <v>35.099997999999999</v>
      </c>
      <c r="G1258" s="10">
        <v>9</v>
      </c>
      <c r="H1258" s="10" t="s">
        <v>4033</v>
      </c>
      <c r="I1258" s="10" t="s">
        <v>4358</v>
      </c>
      <c r="J1258" s="10" t="s">
        <v>4359</v>
      </c>
      <c r="K1258" s="10" t="s">
        <v>4360</v>
      </c>
      <c r="L1258" s="65" t="str">
        <f t="shared" si="98"/>
        <v>Numazu|Japan|138,866669|35,099998|+9:00 Asia</v>
      </c>
      <c r="M1258" s="10" t="s">
        <v>4495</v>
      </c>
      <c r="N1258" s="10">
        <f t="shared" si="95"/>
        <v>0</v>
      </c>
      <c r="O1258" t="str">
        <f t="shared" si="99"/>
        <v/>
      </c>
      <c r="P1258" t="str">
        <f>IF(O1258=1,COUNTIF($O$2:O1258,1),"")</f>
        <v/>
      </c>
      <c r="Q1258" t="str">
        <f>IFERROR(INDEX($M$2:$M$2388,MATCH(ROWS($P$2:P1258),$P$2:$P$2388,0)),"")</f>
        <v/>
      </c>
    </row>
    <row r="1259" spans="1:17" ht="15" x14ac:dyDescent="0.25">
      <c r="A1259" s="10">
        <v>1265</v>
      </c>
      <c r="B1259" s="10" t="s">
        <v>4496</v>
      </c>
      <c r="C1259" s="880">
        <f t="shared" si="96"/>
        <v>139.15969999999999</v>
      </c>
      <c r="D1259" s="880">
        <f t="shared" si="97"/>
        <v>35.255499999999998</v>
      </c>
      <c r="E1259" s="10">
        <v>139.159729</v>
      </c>
      <c r="F1259" s="10">
        <v>35.255553999999997</v>
      </c>
      <c r="G1259" s="10">
        <v>9</v>
      </c>
      <c r="H1259" s="10" t="s">
        <v>4033</v>
      </c>
      <c r="I1259" s="10" t="s">
        <v>4358</v>
      </c>
      <c r="J1259" s="10" t="s">
        <v>4359</v>
      </c>
      <c r="K1259" s="10" t="s">
        <v>4360</v>
      </c>
      <c r="L1259" s="65" t="str">
        <f t="shared" si="98"/>
        <v>Odawara|Japan|139,159729|35,255554|+9:00 Asia</v>
      </c>
      <c r="M1259" s="10" t="s">
        <v>4497</v>
      </c>
      <c r="N1259" s="10">
        <f t="shared" si="95"/>
        <v>0</v>
      </c>
      <c r="O1259" t="str">
        <f t="shared" si="99"/>
        <v/>
      </c>
      <c r="P1259" t="str">
        <f>IF(O1259=1,COUNTIF($O$2:O1259,1),"")</f>
        <v/>
      </c>
      <c r="Q1259" t="str">
        <f>IFERROR(INDEX($M$2:$M$2388,MATCH(ROWS($P$2:P1259),$P$2:$P$2388,0)),"")</f>
        <v/>
      </c>
    </row>
    <row r="1260" spans="1:17" ht="15" x14ac:dyDescent="0.25">
      <c r="A1260" s="10">
        <v>1264</v>
      </c>
      <c r="B1260" s="10" t="s">
        <v>4498</v>
      </c>
      <c r="C1260" s="880">
        <f t="shared" si="96"/>
        <v>131.6044</v>
      </c>
      <c r="D1260" s="880">
        <f t="shared" si="97"/>
        <v>33.237200000000001</v>
      </c>
      <c r="E1260" s="10">
        <v>131.604446</v>
      </c>
      <c r="F1260" s="10">
        <v>33.237220999999998</v>
      </c>
      <c r="G1260" s="10">
        <v>9</v>
      </c>
      <c r="H1260" s="10" t="s">
        <v>4033</v>
      </c>
      <c r="I1260" s="10" t="s">
        <v>4358</v>
      </c>
      <c r="J1260" s="10" t="s">
        <v>4359</v>
      </c>
      <c r="K1260" s="10" t="s">
        <v>4360</v>
      </c>
      <c r="L1260" s="65" t="str">
        <f t="shared" si="98"/>
        <v>Oita|Japan|131,604446|33,237221|+9:00 Asia</v>
      </c>
      <c r="M1260" s="10" t="s">
        <v>4499</v>
      </c>
      <c r="N1260" s="10">
        <f t="shared" si="95"/>
        <v>0</v>
      </c>
      <c r="O1260" t="str">
        <f t="shared" si="99"/>
        <v/>
      </c>
      <c r="P1260" t="str">
        <f>IF(O1260=1,COUNTIF($O$2:O1260,1),"")</f>
        <v/>
      </c>
      <c r="Q1260" t="str">
        <f>IFERROR(INDEX($M$2:$M$2388,MATCH(ROWS($P$2:P1260),$P$2:$P$2388,0)),"")</f>
        <v/>
      </c>
    </row>
    <row r="1261" spans="1:17" ht="15" x14ac:dyDescent="0.25">
      <c r="A1261" s="10">
        <v>1263</v>
      </c>
      <c r="B1261" s="10" t="s">
        <v>4500</v>
      </c>
      <c r="C1261" s="880">
        <f t="shared" si="96"/>
        <v>133.91659999999999</v>
      </c>
      <c r="D1261" s="880">
        <f t="shared" si="97"/>
        <v>34.65</v>
      </c>
      <c r="E1261" s="10">
        <v>133.91667200000001</v>
      </c>
      <c r="F1261" s="10">
        <v>34.650002000000001</v>
      </c>
      <c r="G1261" s="10">
        <v>9</v>
      </c>
      <c r="H1261" s="10" t="s">
        <v>4033</v>
      </c>
      <c r="I1261" s="10" t="s">
        <v>4358</v>
      </c>
      <c r="J1261" s="10" t="s">
        <v>4359</v>
      </c>
      <c r="K1261" s="10" t="s">
        <v>4360</v>
      </c>
      <c r="L1261" s="65" t="str">
        <f t="shared" si="98"/>
        <v>Okayama|Japan|133,916672|34,650002|+9:00 Asia</v>
      </c>
      <c r="M1261" s="10" t="s">
        <v>4501</v>
      </c>
      <c r="N1261" s="10">
        <f t="shared" si="95"/>
        <v>0</v>
      </c>
      <c r="O1261" t="str">
        <f t="shared" si="99"/>
        <v/>
      </c>
      <c r="P1261" t="str">
        <f>IF(O1261=1,COUNTIF($O$2:O1261,1),"")</f>
        <v/>
      </c>
      <c r="Q1261" t="str">
        <f>IFERROR(INDEX($M$2:$M$2388,MATCH(ROWS($P$2:P1261),$P$2:$P$2388,0)),"")</f>
        <v/>
      </c>
    </row>
    <row r="1262" spans="1:17" ht="15" x14ac:dyDescent="0.25">
      <c r="A1262" s="10">
        <v>1262</v>
      </c>
      <c r="B1262" s="10" t="s">
        <v>4502</v>
      </c>
      <c r="C1262" s="880">
        <f t="shared" si="96"/>
        <v>137.16659999999999</v>
      </c>
      <c r="D1262" s="880">
        <f t="shared" si="97"/>
        <v>34.950000000000003</v>
      </c>
      <c r="E1262" s="10">
        <v>137.16667200000001</v>
      </c>
      <c r="F1262" s="10">
        <v>34.950001</v>
      </c>
      <c r="G1262" s="10">
        <v>9</v>
      </c>
      <c r="H1262" s="10" t="s">
        <v>4033</v>
      </c>
      <c r="I1262" s="10" t="s">
        <v>4358</v>
      </c>
      <c r="J1262" s="10" t="s">
        <v>4359</v>
      </c>
      <c r="K1262" s="10" t="s">
        <v>4360</v>
      </c>
      <c r="L1262" s="65" t="str">
        <f t="shared" si="98"/>
        <v>Okazaki|Japan|137,166672|34,950001|+9:00 Asia</v>
      </c>
      <c r="M1262" s="10" t="s">
        <v>4503</v>
      </c>
      <c r="N1262" s="10">
        <f t="shared" si="95"/>
        <v>0</v>
      </c>
      <c r="O1262" t="str">
        <f t="shared" si="99"/>
        <v/>
      </c>
      <c r="P1262" t="str">
        <f>IF(O1262=1,COUNTIF($O$2:O1262,1),"")</f>
        <v/>
      </c>
      <c r="Q1262" t="str">
        <f>IFERROR(INDEX($M$2:$M$2388,MATCH(ROWS($P$2:P1262),$P$2:$P$2388,0)),"")</f>
        <v/>
      </c>
    </row>
    <row r="1263" spans="1:17" ht="15" x14ac:dyDescent="0.25">
      <c r="A1263" s="10">
        <v>1261</v>
      </c>
      <c r="B1263" s="10" t="s">
        <v>4504</v>
      </c>
      <c r="C1263" s="880">
        <f t="shared" si="96"/>
        <v>135.5</v>
      </c>
      <c r="D1263" s="880">
        <f t="shared" si="97"/>
        <v>34.666600000000003</v>
      </c>
      <c r="E1263" s="10">
        <v>135.5</v>
      </c>
      <c r="F1263" s="10">
        <v>34.666668000000001</v>
      </c>
      <c r="G1263" s="10">
        <v>9</v>
      </c>
      <c r="H1263" s="10" t="s">
        <v>4033</v>
      </c>
      <c r="I1263" s="10" t="s">
        <v>4358</v>
      </c>
      <c r="J1263" s="10" t="s">
        <v>4359</v>
      </c>
      <c r="K1263" s="10" t="s">
        <v>4360</v>
      </c>
      <c r="L1263" s="65" t="str">
        <f t="shared" si="98"/>
        <v>Osaka|Japan|135,500000|34,666668|+9:00 Asia</v>
      </c>
      <c r="M1263" s="10" t="s">
        <v>4505</v>
      </c>
      <c r="N1263" s="10">
        <f t="shared" si="95"/>
        <v>0</v>
      </c>
      <c r="O1263" t="str">
        <f t="shared" si="99"/>
        <v/>
      </c>
      <c r="P1263" t="str">
        <f>IF(O1263=1,COUNTIF($O$2:O1263,1),"")</f>
        <v/>
      </c>
      <c r="Q1263" t="str">
        <f>IFERROR(INDEX($M$2:$M$2388,MATCH(ROWS($P$2:P1263),$P$2:$P$2388,0)),"")</f>
        <v/>
      </c>
    </row>
    <row r="1264" spans="1:17" ht="15" x14ac:dyDescent="0.25">
      <c r="A1264" s="10">
        <v>1260</v>
      </c>
      <c r="B1264" s="10" t="s">
        <v>4506</v>
      </c>
      <c r="C1264" s="880">
        <f t="shared" si="96"/>
        <v>135.86660000000001</v>
      </c>
      <c r="D1264" s="880">
        <f t="shared" si="97"/>
        <v>35</v>
      </c>
      <c r="E1264" s="10">
        <v>135.866669</v>
      </c>
      <c r="F1264" s="10">
        <v>35</v>
      </c>
      <c r="G1264" s="10">
        <v>9</v>
      </c>
      <c r="H1264" s="10" t="s">
        <v>4033</v>
      </c>
      <c r="I1264" s="10" t="s">
        <v>4358</v>
      </c>
      <c r="J1264" s="10" t="s">
        <v>4359</v>
      </c>
      <c r="K1264" s="10" t="s">
        <v>4360</v>
      </c>
      <c r="L1264" s="65" t="str">
        <f t="shared" si="98"/>
        <v>Otsu|Japan|135,866669|35,000000|+9:00 Asia</v>
      </c>
      <c r="M1264" s="10" t="s">
        <v>4507</v>
      </c>
      <c r="N1264" s="10">
        <f t="shared" si="95"/>
        <v>0</v>
      </c>
      <c r="O1264" t="str">
        <f t="shared" si="99"/>
        <v/>
      </c>
      <c r="P1264" t="str">
        <f>IF(O1264=1,COUNTIF($O$2:O1264,1),"")</f>
        <v/>
      </c>
      <c r="Q1264" t="str">
        <f>IFERROR(INDEX($M$2:$M$2388,MATCH(ROWS($P$2:P1264),$P$2:$P$2388,0)),"")</f>
        <v/>
      </c>
    </row>
    <row r="1265" spans="1:17" ht="15" x14ac:dyDescent="0.25">
      <c r="A1265" s="10">
        <v>1259</v>
      </c>
      <c r="B1265" s="10" t="s">
        <v>4508</v>
      </c>
      <c r="C1265" s="880">
        <f t="shared" si="96"/>
        <v>139.3544</v>
      </c>
      <c r="D1265" s="880">
        <f t="shared" si="97"/>
        <v>35.552999999999997</v>
      </c>
      <c r="E1265" s="10">
        <v>139.354446</v>
      </c>
      <c r="F1265" s="10">
        <v>35.553055000000001</v>
      </c>
      <c r="G1265" s="10">
        <v>9</v>
      </c>
      <c r="H1265" s="10" t="s">
        <v>4033</v>
      </c>
      <c r="I1265" s="10" t="s">
        <v>4358</v>
      </c>
      <c r="J1265" s="10" t="s">
        <v>4359</v>
      </c>
      <c r="K1265" s="10" t="s">
        <v>4360</v>
      </c>
      <c r="L1265" s="65" t="str">
        <f t="shared" si="98"/>
        <v>Sagamihara|Japan|139,354446|35,553055|+9:00 Asia</v>
      </c>
      <c r="M1265" s="10" t="s">
        <v>4509</v>
      </c>
      <c r="N1265" s="10">
        <f t="shared" si="95"/>
        <v>0</v>
      </c>
      <c r="O1265" t="str">
        <f t="shared" si="99"/>
        <v/>
      </c>
      <c r="P1265" t="str">
        <f>IF(O1265=1,COUNTIF($O$2:O1265,1),"")</f>
        <v/>
      </c>
      <c r="Q1265" t="str">
        <f>IFERROR(INDEX($M$2:$M$2388,MATCH(ROWS($P$2:P1265),$P$2:$P$2388,0)),"")</f>
        <v/>
      </c>
    </row>
    <row r="1266" spans="1:17" ht="15" x14ac:dyDescent="0.25">
      <c r="A1266" s="10">
        <v>1258</v>
      </c>
      <c r="B1266" s="10" t="s">
        <v>4510</v>
      </c>
      <c r="C1266" s="880">
        <f t="shared" si="96"/>
        <v>135.4666</v>
      </c>
      <c r="D1266" s="880">
        <f t="shared" si="97"/>
        <v>34.583300000000001</v>
      </c>
      <c r="E1266" s="10">
        <v>135.46665999999999</v>
      </c>
      <c r="F1266" s="10">
        <v>34.583331999999999</v>
      </c>
      <c r="G1266" s="10">
        <v>9</v>
      </c>
      <c r="H1266" s="10" t="s">
        <v>4033</v>
      </c>
      <c r="I1266" s="10" t="s">
        <v>4358</v>
      </c>
      <c r="J1266" s="10" t="s">
        <v>4359</v>
      </c>
      <c r="K1266" s="10" t="s">
        <v>4360</v>
      </c>
      <c r="L1266" s="65" t="str">
        <f t="shared" si="98"/>
        <v>Sakai|Japan|135,466660|34,583332|+9:00 Asia</v>
      </c>
      <c r="M1266" s="10" t="s">
        <v>4511</v>
      </c>
      <c r="N1266" s="10">
        <f t="shared" si="95"/>
        <v>0</v>
      </c>
      <c r="O1266" t="str">
        <f t="shared" si="99"/>
        <v/>
      </c>
      <c r="P1266" t="str">
        <f>IF(O1266=1,COUNTIF($O$2:O1266,1),"")</f>
        <v/>
      </c>
      <c r="Q1266" t="str">
        <f>IFERROR(INDEX($M$2:$M$2388,MATCH(ROWS($P$2:P1266),$P$2:$P$2388,0)),"")</f>
        <v/>
      </c>
    </row>
    <row r="1267" spans="1:17" ht="15" x14ac:dyDescent="0.25">
      <c r="A1267" s="10">
        <v>1330</v>
      </c>
      <c r="B1267" s="10" t="s">
        <v>4512</v>
      </c>
      <c r="C1267" s="880">
        <f t="shared" si="96"/>
        <v>141.35380000000001</v>
      </c>
      <c r="D1267" s="880">
        <f t="shared" si="97"/>
        <v>43.054699999999997</v>
      </c>
      <c r="E1267" s="10">
        <v>141.353882</v>
      </c>
      <c r="F1267" s="10">
        <v>43.054721999999998</v>
      </c>
      <c r="G1267" s="10">
        <v>9</v>
      </c>
      <c r="H1267" s="10" t="s">
        <v>4033</v>
      </c>
      <c r="I1267" s="10" t="s">
        <v>4358</v>
      </c>
      <c r="J1267" s="10" t="s">
        <v>4359</v>
      </c>
      <c r="K1267" s="10" t="s">
        <v>4360</v>
      </c>
      <c r="L1267" s="65" t="str">
        <f t="shared" si="98"/>
        <v>Sapporo|Japan|141,353882|43,054722|+9:00 Asia</v>
      </c>
      <c r="M1267" s="10" t="s">
        <v>4513</v>
      </c>
      <c r="N1267" s="10">
        <f t="shared" si="95"/>
        <v>0</v>
      </c>
      <c r="O1267" t="str">
        <f t="shared" si="99"/>
        <v/>
      </c>
      <c r="P1267" t="str">
        <f>IF(O1267=1,COUNTIF($O$2:O1267,1),"")</f>
        <v/>
      </c>
      <c r="Q1267" t="str">
        <f>IFERROR(INDEX($M$2:$M$2388,MATCH(ROWS($P$2:P1267),$P$2:$P$2388,0)),"")</f>
        <v/>
      </c>
    </row>
    <row r="1268" spans="1:17" ht="15" x14ac:dyDescent="0.25">
      <c r="A1268" s="10">
        <v>1257</v>
      </c>
      <c r="B1268" s="10" t="s">
        <v>4514</v>
      </c>
      <c r="C1268" s="880">
        <f t="shared" si="96"/>
        <v>129.7227</v>
      </c>
      <c r="D1268" s="880">
        <f t="shared" si="97"/>
        <v>33.159100000000002</v>
      </c>
      <c r="E1268" s="10">
        <v>129.72277800000001</v>
      </c>
      <c r="F1268" s="10">
        <v>33.159168000000001</v>
      </c>
      <c r="G1268" s="10">
        <v>9</v>
      </c>
      <c r="H1268" s="10" t="s">
        <v>4033</v>
      </c>
      <c r="I1268" s="10" t="s">
        <v>4358</v>
      </c>
      <c r="J1268" s="10" t="s">
        <v>4359</v>
      </c>
      <c r="K1268" s="10" t="s">
        <v>4360</v>
      </c>
      <c r="L1268" s="65" t="str">
        <f t="shared" si="98"/>
        <v>Sasebo|Japan|129,722778|33,159168|+9:00 Asia</v>
      </c>
      <c r="M1268" s="10" t="s">
        <v>4515</v>
      </c>
      <c r="N1268" s="10">
        <f t="shared" si="95"/>
        <v>0</v>
      </c>
      <c r="O1268" t="str">
        <f t="shared" si="99"/>
        <v/>
      </c>
      <c r="P1268" t="str">
        <f>IF(O1268=1,COUNTIF($O$2:O1268,1),"")</f>
        <v/>
      </c>
      <c r="Q1268" t="str">
        <f>IFERROR(INDEX($M$2:$M$2388,MATCH(ROWS($P$2:P1268),$P$2:$P$2388,0)),"")</f>
        <v/>
      </c>
    </row>
    <row r="1269" spans="1:17" ht="15" x14ac:dyDescent="0.25">
      <c r="A1269" s="10">
        <v>1321</v>
      </c>
      <c r="B1269" s="10" t="s">
        <v>4516</v>
      </c>
      <c r="C1269" s="880">
        <f t="shared" si="96"/>
        <v>140.88470000000001</v>
      </c>
      <c r="D1269" s="880">
        <f t="shared" si="97"/>
        <v>38.2547</v>
      </c>
      <c r="E1269" s="10">
        <v>140.88471999999999</v>
      </c>
      <c r="F1269" s="10">
        <v>38.254722999999998</v>
      </c>
      <c r="G1269" s="10">
        <v>9</v>
      </c>
      <c r="H1269" s="10" t="s">
        <v>4033</v>
      </c>
      <c r="I1269" s="10" t="s">
        <v>4358</v>
      </c>
      <c r="J1269" s="10" t="s">
        <v>4359</v>
      </c>
      <c r="K1269" s="10" t="s">
        <v>4360</v>
      </c>
      <c r="L1269" s="65" t="str">
        <f t="shared" si="98"/>
        <v>Sendai|Japan|140,884720|38,254723|+9:00 Asia</v>
      </c>
      <c r="M1269" s="10" t="s">
        <v>4517</v>
      </c>
      <c r="N1269" s="10">
        <f t="shared" si="95"/>
        <v>0</v>
      </c>
      <c r="O1269" t="str">
        <f t="shared" si="99"/>
        <v/>
      </c>
      <c r="P1269" t="str">
        <f>IF(O1269=1,COUNTIF($O$2:O1269,1),"")</f>
        <v/>
      </c>
      <c r="Q1269" t="str">
        <f>IFERROR(INDEX($M$2:$M$2388,MATCH(ROWS($P$2:P1269),$P$2:$P$2388,0)),"")</f>
        <v/>
      </c>
    </row>
    <row r="1270" spans="1:17" ht="15" x14ac:dyDescent="0.25">
      <c r="A1270" s="10">
        <v>1256</v>
      </c>
      <c r="B1270" s="10" t="s">
        <v>4518</v>
      </c>
      <c r="C1270" s="880">
        <f t="shared" si="96"/>
        <v>135.19990000000001</v>
      </c>
      <c r="D1270" s="880">
        <f t="shared" si="97"/>
        <v>34.183300000000003</v>
      </c>
      <c r="E1270" s="10">
        <v>135.199997</v>
      </c>
      <c r="F1270" s="10">
        <v>34.183334000000002</v>
      </c>
      <c r="G1270" s="10">
        <v>9</v>
      </c>
      <c r="H1270" s="10" t="s">
        <v>4033</v>
      </c>
      <c r="I1270" s="10" t="s">
        <v>4358</v>
      </c>
      <c r="J1270" s="10" t="s">
        <v>4359</v>
      </c>
      <c r="K1270" s="10" t="s">
        <v>4360</v>
      </c>
      <c r="L1270" s="65" t="str">
        <f t="shared" si="98"/>
        <v>Shimminatocho|Japan|135,199997|34,183334|+9:00 Asia</v>
      </c>
      <c r="M1270" s="10" t="s">
        <v>4519</v>
      </c>
      <c r="N1270" s="10">
        <f t="shared" si="95"/>
        <v>0</v>
      </c>
      <c r="O1270" t="str">
        <f t="shared" si="99"/>
        <v/>
      </c>
      <c r="P1270" t="str">
        <f>IF(O1270=1,COUNTIF($O$2:O1270,1),"")</f>
        <v/>
      </c>
      <c r="Q1270" t="str">
        <f>IFERROR(INDEX($M$2:$M$2388,MATCH(ROWS($P$2:P1270),$P$2:$P$2388,0)),"")</f>
        <v/>
      </c>
    </row>
    <row r="1271" spans="1:17" ht="15" x14ac:dyDescent="0.25">
      <c r="A1271" s="10">
        <v>1255</v>
      </c>
      <c r="B1271" s="10" t="s">
        <v>4520</v>
      </c>
      <c r="C1271" s="880">
        <f t="shared" si="96"/>
        <v>130.94990000000001</v>
      </c>
      <c r="D1271" s="880">
        <f t="shared" si="97"/>
        <v>33.950000000000003</v>
      </c>
      <c r="E1271" s="10">
        <v>130.949997</v>
      </c>
      <c r="F1271" s="10">
        <v>33.950001</v>
      </c>
      <c r="G1271" s="10">
        <v>9</v>
      </c>
      <c r="H1271" s="10" t="s">
        <v>4033</v>
      </c>
      <c r="I1271" s="10" t="s">
        <v>4358</v>
      </c>
      <c r="J1271" s="10" t="s">
        <v>4359</v>
      </c>
      <c r="K1271" s="10" t="s">
        <v>4360</v>
      </c>
      <c r="L1271" s="65" t="str">
        <f t="shared" si="98"/>
        <v>Shimonoseki|Japan|130,949997|33,950001|+9:00 Asia</v>
      </c>
      <c r="M1271" s="10" t="s">
        <v>4521</v>
      </c>
      <c r="N1271" s="10">
        <f t="shared" si="95"/>
        <v>0</v>
      </c>
      <c r="O1271" t="str">
        <f t="shared" si="99"/>
        <v/>
      </c>
      <c r="P1271" t="str">
        <f>IF(O1271=1,COUNTIF($O$2:O1271,1),"")</f>
        <v/>
      </c>
      <c r="Q1271" t="str">
        <f>IFERROR(INDEX($M$2:$M$2388,MATCH(ROWS($P$2:P1271),$P$2:$P$2388,0)),"")</f>
        <v/>
      </c>
    </row>
    <row r="1272" spans="1:17" ht="15" x14ac:dyDescent="0.25">
      <c r="A1272" s="10">
        <v>1232</v>
      </c>
      <c r="B1272" s="10" t="s">
        <v>4522</v>
      </c>
      <c r="C1272" s="880">
        <f t="shared" si="96"/>
        <v>135.98330000000001</v>
      </c>
      <c r="D1272" s="880">
        <f t="shared" si="97"/>
        <v>33.7333</v>
      </c>
      <c r="E1272" s="10">
        <v>135.98333700000001</v>
      </c>
      <c r="F1272" s="10">
        <v>33.733333999999999</v>
      </c>
      <c r="G1272" s="10">
        <v>9</v>
      </c>
      <c r="H1272" s="10" t="s">
        <v>4033</v>
      </c>
      <c r="I1272" s="10" t="s">
        <v>4358</v>
      </c>
      <c r="J1272" s="10" t="s">
        <v>4359</v>
      </c>
      <c r="K1272" s="10" t="s">
        <v>4360</v>
      </c>
      <c r="L1272" s="65" t="str">
        <f t="shared" si="98"/>
        <v>Shingu|Japan|135,983337|33,733334|+9:00 Asia</v>
      </c>
      <c r="M1272" s="10" t="s">
        <v>4523</v>
      </c>
      <c r="N1272" s="10">
        <f t="shared" si="95"/>
        <v>0</v>
      </c>
      <c r="O1272" t="str">
        <f t="shared" si="99"/>
        <v/>
      </c>
      <c r="P1272" t="str">
        <f>IF(O1272=1,COUNTIF($O$2:O1272,1),"")</f>
        <v/>
      </c>
      <c r="Q1272" t="str">
        <f>IFERROR(INDEX($M$2:$M$2388,MATCH(ROWS($P$2:P1272),$P$2:$P$2388,0)),"")</f>
        <v/>
      </c>
    </row>
    <row r="1273" spans="1:17" ht="15" x14ac:dyDescent="0.25">
      <c r="A1273" s="10">
        <v>1254</v>
      </c>
      <c r="B1273" s="10" t="s">
        <v>4524</v>
      </c>
      <c r="C1273" s="880">
        <f t="shared" si="96"/>
        <v>138.38329999999999</v>
      </c>
      <c r="D1273" s="880">
        <f t="shared" si="97"/>
        <v>34.9666</v>
      </c>
      <c r="E1273" s="10">
        <v>138.383331</v>
      </c>
      <c r="F1273" s="10">
        <v>34.966667000000001</v>
      </c>
      <c r="G1273" s="10">
        <v>9</v>
      </c>
      <c r="H1273" s="10" t="s">
        <v>4033</v>
      </c>
      <c r="I1273" s="10" t="s">
        <v>4358</v>
      </c>
      <c r="J1273" s="10" t="s">
        <v>4359</v>
      </c>
      <c r="K1273" s="10" t="s">
        <v>4360</v>
      </c>
      <c r="L1273" s="65" t="str">
        <f t="shared" si="98"/>
        <v>Shizuoka|Japan|138,383331|34,966667|+9:00 Asia</v>
      </c>
      <c r="M1273" s="10" t="s">
        <v>4525</v>
      </c>
      <c r="N1273" s="10">
        <f t="shared" si="95"/>
        <v>0</v>
      </c>
      <c r="O1273" t="str">
        <f t="shared" si="99"/>
        <v/>
      </c>
      <c r="P1273" t="str">
        <f>IF(O1273=1,COUNTIF($O$2:O1273,1),"")</f>
        <v/>
      </c>
      <c r="Q1273" t="str">
        <f>IFERROR(INDEX($M$2:$M$2388,MATCH(ROWS($P$2:P1273),$P$2:$P$2388,0)),"")</f>
        <v/>
      </c>
    </row>
    <row r="1274" spans="1:17" ht="15" x14ac:dyDescent="0.25">
      <c r="A1274" s="10">
        <v>1253</v>
      </c>
      <c r="B1274" s="10" t="s">
        <v>4526</v>
      </c>
      <c r="C1274" s="880">
        <f t="shared" si="96"/>
        <v>139.80439999999999</v>
      </c>
      <c r="D1274" s="880">
        <f t="shared" si="97"/>
        <v>35.8202</v>
      </c>
      <c r="E1274" s="10">
        <v>139.80444299999999</v>
      </c>
      <c r="F1274" s="10">
        <v>35.820278000000002</v>
      </c>
      <c r="G1274" s="10">
        <v>9</v>
      </c>
      <c r="H1274" s="10" t="s">
        <v>4033</v>
      </c>
      <c r="I1274" s="10" t="s">
        <v>4358</v>
      </c>
      <c r="J1274" s="10" t="s">
        <v>4359</v>
      </c>
      <c r="K1274" s="10" t="s">
        <v>4360</v>
      </c>
      <c r="L1274" s="65" t="str">
        <f t="shared" si="98"/>
        <v>Soka|Japan|139,804443|35,820278|+9:00 Asia</v>
      </c>
      <c r="M1274" s="10" t="s">
        <v>4527</v>
      </c>
      <c r="N1274" s="10">
        <f t="shared" si="95"/>
        <v>0</v>
      </c>
      <c r="O1274" t="str">
        <f t="shared" si="99"/>
        <v/>
      </c>
      <c r="P1274" t="str">
        <f>IF(O1274=1,COUNTIF($O$2:O1274,1),"")</f>
        <v/>
      </c>
      <c r="Q1274" t="str">
        <f>IFERROR(INDEX($M$2:$M$2388,MATCH(ROWS($P$2:P1274),$P$2:$P$2388,0)),"")</f>
        <v/>
      </c>
    </row>
    <row r="1275" spans="1:17" ht="15" x14ac:dyDescent="0.25">
      <c r="A1275" s="10">
        <v>1252</v>
      </c>
      <c r="B1275" s="10" t="s">
        <v>4528</v>
      </c>
      <c r="C1275" s="880">
        <f t="shared" si="96"/>
        <v>135.5333</v>
      </c>
      <c r="D1275" s="880">
        <f t="shared" si="97"/>
        <v>34.75</v>
      </c>
      <c r="E1275" s="10">
        <v>135.53334000000001</v>
      </c>
      <c r="F1275" s="10">
        <v>34.75</v>
      </c>
      <c r="G1275" s="10">
        <v>9</v>
      </c>
      <c r="H1275" s="10" t="s">
        <v>4033</v>
      </c>
      <c r="I1275" s="10" t="s">
        <v>4358</v>
      </c>
      <c r="J1275" s="10" t="s">
        <v>4359</v>
      </c>
      <c r="K1275" s="10" t="s">
        <v>4360</v>
      </c>
      <c r="L1275" s="65" t="str">
        <f t="shared" si="98"/>
        <v>Suita|Japan|135,533340|34,750000|+9:00 Asia</v>
      </c>
      <c r="M1275" s="10" t="s">
        <v>4529</v>
      </c>
      <c r="N1275" s="10">
        <f t="shared" si="95"/>
        <v>0</v>
      </c>
      <c r="O1275" t="str">
        <f t="shared" si="99"/>
        <v/>
      </c>
      <c r="P1275" t="str">
        <f>IF(O1275=1,COUNTIF($O$2:O1275,1),"")</f>
        <v/>
      </c>
      <c r="Q1275" t="str">
        <f>IFERROR(INDEX($M$2:$M$2388,MATCH(ROWS($P$2:P1275),$P$2:$P$2388,0)),"")</f>
        <v/>
      </c>
    </row>
    <row r="1276" spans="1:17" ht="15" x14ac:dyDescent="0.25">
      <c r="A1276" s="10">
        <v>1251</v>
      </c>
      <c r="B1276" s="10" t="s">
        <v>4530</v>
      </c>
      <c r="C1276" s="880">
        <f t="shared" si="96"/>
        <v>134.05000000000001</v>
      </c>
      <c r="D1276" s="880">
        <f t="shared" si="97"/>
        <v>34.333300000000001</v>
      </c>
      <c r="E1276" s="10">
        <v>134.050003</v>
      </c>
      <c r="F1276" s="10">
        <v>34.333331999999999</v>
      </c>
      <c r="G1276" s="10">
        <v>9</v>
      </c>
      <c r="H1276" s="10" t="s">
        <v>4033</v>
      </c>
      <c r="I1276" s="10" t="s">
        <v>4358</v>
      </c>
      <c r="J1276" s="10" t="s">
        <v>4359</v>
      </c>
      <c r="K1276" s="10" t="s">
        <v>4360</v>
      </c>
      <c r="L1276" s="65" t="str">
        <f t="shared" si="98"/>
        <v>Takamatsu|Japan|134,050003|34,333332|+9:00 Asia</v>
      </c>
      <c r="M1276" s="10" t="s">
        <v>4531</v>
      </c>
      <c r="N1276" s="10">
        <f t="shared" si="95"/>
        <v>0</v>
      </c>
      <c r="O1276" t="str">
        <f t="shared" si="99"/>
        <v/>
      </c>
      <c r="P1276" t="str">
        <f>IF(O1276=1,COUNTIF($O$2:O1276,1),"")</f>
        <v/>
      </c>
      <c r="Q1276" t="str">
        <f>IFERROR(INDEX($M$2:$M$2388,MATCH(ROWS($P$2:P1276),$P$2:$P$2388,0)),"")</f>
        <v/>
      </c>
    </row>
    <row r="1277" spans="1:17" ht="15" x14ac:dyDescent="0.25">
      <c r="A1277" s="10">
        <v>1250</v>
      </c>
      <c r="B1277" s="10" t="s">
        <v>4532</v>
      </c>
      <c r="C1277" s="880">
        <f t="shared" si="96"/>
        <v>135.35</v>
      </c>
      <c r="D1277" s="880">
        <f t="shared" si="97"/>
        <v>34.799900000000001</v>
      </c>
      <c r="E1277" s="10">
        <v>135.35000600000001</v>
      </c>
      <c r="F1277" s="10">
        <v>34.799999</v>
      </c>
      <c r="G1277" s="10">
        <v>9</v>
      </c>
      <c r="H1277" s="10" t="s">
        <v>4033</v>
      </c>
      <c r="I1277" s="10" t="s">
        <v>4358</v>
      </c>
      <c r="J1277" s="10" t="s">
        <v>4359</v>
      </c>
      <c r="K1277" s="10" t="s">
        <v>4360</v>
      </c>
      <c r="L1277" s="65" t="str">
        <f t="shared" si="98"/>
        <v>Takarazuka|Japan|135,350006|34,799999|+9:00 Asia</v>
      </c>
      <c r="M1277" s="10" t="s">
        <v>4533</v>
      </c>
      <c r="N1277" s="10">
        <f t="shared" si="95"/>
        <v>0</v>
      </c>
      <c r="O1277" t="str">
        <f t="shared" si="99"/>
        <v/>
      </c>
      <c r="P1277" t="str">
        <f>IF(O1277=1,COUNTIF($O$2:O1277,1),"")</f>
        <v/>
      </c>
      <c r="Q1277" t="str">
        <f>IFERROR(INDEX($M$2:$M$2388,MATCH(ROWS($P$2:P1277),$P$2:$P$2388,0)),"")</f>
        <v/>
      </c>
    </row>
    <row r="1278" spans="1:17" ht="15" x14ac:dyDescent="0.25">
      <c r="A1278" s="10">
        <v>1249</v>
      </c>
      <c r="B1278" s="10" t="s">
        <v>4534</v>
      </c>
      <c r="C1278" s="880">
        <f t="shared" si="96"/>
        <v>139.01660000000001</v>
      </c>
      <c r="D1278" s="880">
        <f t="shared" si="97"/>
        <v>36.333300000000001</v>
      </c>
      <c r="E1278" s="10">
        <v>139.01666299999999</v>
      </c>
      <c r="F1278" s="10">
        <v>36.333331999999999</v>
      </c>
      <c r="G1278" s="10">
        <v>9</v>
      </c>
      <c r="H1278" s="10" t="s">
        <v>4033</v>
      </c>
      <c r="I1278" s="10" t="s">
        <v>4358</v>
      </c>
      <c r="J1278" s="10" t="s">
        <v>4359</v>
      </c>
      <c r="K1278" s="10" t="s">
        <v>4360</v>
      </c>
      <c r="L1278" s="65" t="str">
        <f t="shared" si="98"/>
        <v>Takasaki|Japan|139,016663|36,333332|+9:00 Asia</v>
      </c>
      <c r="M1278" s="10" t="s">
        <v>4535</v>
      </c>
      <c r="N1278" s="10">
        <f t="shared" si="95"/>
        <v>0</v>
      </c>
      <c r="O1278" t="str">
        <f t="shared" si="99"/>
        <v/>
      </c>
      <c r="P1278" t="str">
        <f>IF(O1278=1,COUNTIF($O$2:O1278,1),"")</f>
        <v/>
      </c>
      <c r="Q1278" t="str">
        <f>IFERROR(INDEX($M$2:$M$2388,MATCH(ROWS($P$2:P1278),$P$2:$P$2388,0)),"")</f>
        <v/>
      </c>
    </row>
    <row r="1279" spans="1:17" ht="15" x14ac:dyDescent="0.25">
      <c r="A1279" s="10">
        <v>1248</v>
      </c>
      <c r="B1279" s="10" t="s">
        <v>4536</v>
      </c>
      <c r="C1279" s="880">
        <f t="shared" si="96"/>
        <v>135.61660000000001</v>
      </c>
      <c r="D1279" s="880">
        <f t="shared" si="97"/>
        <v>34.849899999999998</v>
      </c>
      <c r="E1279" s="10">
        <v>135.616669</v>
      </c>
      <c r="F1279" s="10">
        <v>34.849997999999999</v>
      </c>
      <c r="G1279" s="10">
        <v>9</v>
      </c>
      <c r="H1279" s="10" t="s">
        <v>4033</v>
      </c>
      <c r="I1279" s="10" t="s">
        <v>4358</v>
      </c>
      <c r="J1279" s="10" t="s">
        <v>4359</v>
      </c>
      <c r="K1279" s="10" t="s">
        <v>4360</v>
      </c>
      <c r="L1279" s="65" t="str">
        <f t="shared" si="98"/>
        <v>Takatsuki|Japan|135,616669|34,849998|+9:00 Asia</v>
      </c>
      <c r="M1279" s="10" t="s">
        <v>4537</v>
      </c>
      <c r="N1279" s="10">
        <f t="shared" si="95"/>
        <v>0</v>
      </c>
      <c r="O1279" t="str">
        <f t="shared" si="99"/>
        <v/>
      </c>
      <c r="P1279" t="str">
        <f>IF(O1279=1,COUNTIF($O$2:O1279,1),"")</f>
        <v/>
      </c>
      <c r="Q1279" t="str">
        <f>IFERROR(INDEX($M$2:$M$2388,MATCH(ROWS($P$2:P1279),$P$2:$P$2388,0)),"")</f>
        <v/>
      </c>
    </row>
    <row r="1280" spans="1:17" ht="15" x14ac:dyDescent="0.25">
      <c r="A1280" s="10">
        <v>1247</v>
      </c>
      <c r="B1280" s="10" t="s">
        <v>4538</v>
      </c>
      <c r="C1280" s="880">
        <f t="shared" si="96"/>
        <v>139.46770000000001</v>
      </c>
      <c r="D1280" s="880">
        <f t="shared" si="97"/>
        <v>35.786299999999997</v>
      </c>
      <c r="E1280" s="10">
        <v>139.46777299999999</v>
      </c>
      <c r="F1280" s="10">
        <v>35.786388000000002</v>
      </c>
      <c r="G1280" s="10">
        <v>9</v>
      </c>
      <c r="H1280" s="10" t="s">
        <v>4033</v>
      </c>
      <c r="I1280" s="10" t="s">
        <v>4358</v>
      </c>
      <c r="J1280" s="10" t="s">
        <v>4359</v>
      </c>
      <c r="K1280" s="10" t="s">
        <v>4360</v>
      </c>
      <c r="L1280" s="65" t="str">
        <f t="shared" si="98"/>
        <v>Tokorozawa|Japan|139,467773|35,786388|+9:00 Asia</v>
      </c>
      <c r="M1280" s="10" t="s">
        <v>4539</v>
      </c>
      <c r="N1280" s="10">
        <f t="shared" si="95"/>
        <v>0</v>
      </c>
      <c r="O1280" t="str">
        <f t="shared" si="99"/>
        <v/>
      </c>
      <c r="P1280" t="str">
        <f>IF(O1280=1,COUNTIF($O$2:O1280,1),"")</f>
        <v/>
      </c>
      <c r="Q1280" t="str">
        <f>IFERROR(INDEX($M$2:$M$2388,MATCH(ROWS($P$2:P1280),$P$2:$P$2388,0)),"")</f>
        <v/>
      </c>
    </row>
    <row r="1281" spans="1:17" ht="15" x14ac:dyDescent="0.25">
      <c r="A1281" s="10">
        <v>1246</v>
      </c>
      <c r="B1281" s="10" t="s">
        <v>4540</v>
      </c>
      <c r="C1281" s="880">
        <f t="shared" si="96"/>
        <v>134.56659999999999</v>
      </c>
      <c r="D1281" s="880">
        <f t="shared" si="97"/>
        <v>34.066600000000001</v>
      </c>
      <c r="E1281" s="10">
        <v>134.566666</v>
      </c>
      <c r="F1281" s="10">
        <v>34.066665999999998</v>
      </c>
      <c r="G1281" s="10">
        <v>9</v>
      </c>
      <c r="H1281" s="10" t="s">
        <v>4033</v>
      </c>
      <c r="I1281" s="10" t="s">
        <v>4358</v>
      </c>
      <c r="J1281" s="10" t="s">
        <v>4359</v>
      </c>
      <c r="K1281" s="10" t="s">
        <v>4360</v>
      </c>
      <c r="L1281" s="65" t="str">
        <f t="shared" si="98"/>
        <v>Tokushima|Japan|134,566666|34,066666|+9:00 Asia</v>
      </c>
      <c r="M1281" s="10" t="s">
        <v>4541</v>
      </c>
      <c r="N1281" s="10">
        <f t="shared" si="95"/>
        <v>0</v>
      </c>
      <c r="O1281" t="str">
        <f t="shared" si="99"/>
        <v/>
      </c>
      <c r="P1281" t="str">
        <f>IF(O1281=1,COUNTIF($O$2:O1281,1),"")</f>
        <v/>
      </c>
      <c r="Q1281" t="str">
        <f>IFERROR(INDEX($M$2:$M$2388,MATCH(ROWS($P$2:P1281),$P$2:$P$2388,0)),"")</f>
        <v/>
      </c>
    </row>
    <row r="1282" spans="1:17" ht="15" x14ac:dyDescent="0.25">
      <c r="A1282" s="10">
        <v>1245</v>
      </c>
      <c r="B1282" s="10" t="s">
        <v>4542</v>
      </c>
      <c r="C1282" s="880">
        <f t="shared" si="96"/>
        <v>139.75129999999999</v>
      </c>
      <c r="D1282" s="880">
        <f t="shared" si="97"/>
        <v>35.685000000000002</v>
      </c>
      <c r="E1282" s="10">
        <v>139.75138899999999</v>
      </c>
      <c r="F1282" s="10">
        <v>35.685001</v>
      </c>
      <c r="G1282" s="10">
        <v>9</v>
      </c>
      <c r="H1282" s="10" t="s">
        <v>4033</v>
      </c>
      <c r="I1282" s="10" t="s">
        <v>4358</v>
      </c>
      <c r="J1282" s="10" t="s">
        <v>4359</v>
      </c>
      <c r="K1282" s="10" t="s">
        <v>4360</v>
      </c>
      <c r="L1282" s="65" t="str">
        <f t="shared" si="98"/>
        <v>Tokyo|Japan|139,751389|35,685001|+9:00 Asia</v>
      </c>
      <c r="M1282" s="10" t="s">
        <v>4543</v>
      </c>
      <c r="N1282" s="10">
        <f t="shared" ref="N1282:N1345" si="100">--ISNUMBER(IFERROR(SEARCH($R$2,J1282,1),""))</f>
        <v>0</v>
      </c>
      <c r="O1282" t="str">
        <f t="shared" si="99"/>
        <v/>
      </c>
      <c r="P1282" t="str">
        <f>IF(O1282=1,COUNTIF($O$2:O1282,1),"")</f>
        <v/>
      </c>
      <c r="Q1282" t="str">
        <f>IFERROR(INDEX($M$2:$M$2388,MATCH(ROWS($P$2:P1282),$P$2:$P$2388,0)),"")</f>
        <v/>
      </c>
    </row>
    <row r="1283" spans="1:17" ht="15" x14ac:dyDescent="0.25">
      <c r="A1283" s="10">
        <v>1244</v>
      </c>
      <c r="B1283" s="10" t="s">
        <v>4544</v>
      </c>
      <c r="C1283" s="880">
        <f t="shared" ref="C1283:C1346" si="101">TRUNC(E1283,4)</f>
        <v>137.2166</v>
      </c>
      <c r="D1283" s="880">
        <f t="shared" ref="D1283:D1346" si="102">TRUNC(F1283,4)</f>
        <v>36.683300000000003</v>
      </c>
      <c r="E1283" s="10">
        <v>137.21665999999999</v>
      </c>
      <c r="F1283" s="10">
        <v>36.683334000000002</v>
      </c>
      <c r="G1283" s="10">
        <v>9</v>
      </c>
      <c r="H1283" s="10" t="s">
        <v>4033</v>
      </c>
      <c r="I1283" s="10" t="s">
        <v>4358</v>
      </c>
      <c r="J1283" s="10" t="s">
        <v>4359</v>
      </c>
      <c r="K1283" s="10" t="s">
        <v>4360</v>
      </c>
      <c r="L1283" s="65" t="str">
        <f t="shared" ref="L1283:L1346" si="103">MID(M1283,1,LEN(M1283)-(LEN(K1283)-SEARCH("/",K1283)+1))</f>
        <v>Toyama|Japan|137,216660|36,683334|+9:00 Asia</v>
      </c>
      <c r="M1283" s="10" t="s">
        <v>4545</v>
      </c>
      <c r="N1283" s="10">
        <f t="shared" si="100"/>
        <v>0</v>
      </c>
      <c r="O1283" t="str">
        <f t="shared" ref="O1283:O1346" si="104">IF(N1283=0,"",--ISNUMBER(IFERROR(SEARCH($U$2,L1283,1),"")))</f>
        <v/>
      </c>
      <c r="P1283" t="str">
        <f>IF(O1283=1,COUNTIF($O$2:O1283,1),"")</f>
        <v/>
      </c>
      <c r="Q1283" t="str">
        <f>IFERROR(INDEX($M$2:$M$2388,MATCH(ROWS($P$2:P1283),$P$2:$P$2388,0)),"")</f>
        <v/>
      </c>
    </row>
    <row r="1284" spans="1:17" ht="15" x14ac:dyDescent="0.25">
      <c r="A1284" s="10">
        <v>1243</v>
      </c>
      <c r="B1284" s="10" t="s">
        <v>4546</v>
      </c>
      <c r="C1284" s="880">
        <f t="shared" si="101"/>
        <v>137.38329999999999</v>
      </c>
      <c r="D1284" s="880">
        <f t="shared" si="102"/>
        <v>34.766599999999997</v>
      </c>
      <c r="E1284" s="10">
        <v>137.383331</v>
      </c>
      <c r="F1284" s="10">
        <v>34.766666000000001</v>
      </c>
      <c r="G1284" s="10">
        <v>9</v>
      </c>
      <c r="H1284" s="10" t="s">
        <v>4033</v>
      </c>
      <c r="I1284" s="10" t="s">
        <v>4358</v>
      </c>
      <c r="J1284" s="10" t="s">
        <v>4359</v>
      </c>
      <c r="K1284" s="10" t="s">
        <v>4360</v>
      </c>
      <c r="L1284" s="65" t="str">
        <f t="shared" si="103"/>
        <v>Toyohashi|Japan|137,383331|34,766666|+9:00 Asia</v>
      </c>
      <c r="M1284" s="10" t="s">
        <v>4547</v>
      </c>
      <c r="N1284" s="10">
        <f t="shared" si="100"/>
        <v>0</v>
      </c>
      <c r="O1284" t="str">
        <f t="shared" si="104"/>
        <v/>
      </c>
      <c r="P1284" t="str">
        <f>IF(O1284=1,COUNTIF($O$2:O1284,1),"")</f>
        <v/>
      </c>
      <c r="Q1284" t="str">
        <f>IFERROR(INDEX($M$2:$M$2388,MATCH(ROWS($P$2:P1284),$P$2:$P$2388,0)),"")</f>
        <v/>
      </c>
    </row>
    <row r="1285" spans="1:17" ht="15" x14ac:dyDescent="0.25">
      <c r="A1285" s="10">
        <v>1242</v>
      </c>
      <c r="B1285" s="10" t="s">
        <v>4548</v>
      </c>
      <c r="C1285" s="880">
        <f t="shared" si="101"/>
        <v>135.4666</v>
      </c>
      <c r="D1285" s="880">
        <f t="shared" si="102"/>
        <v>34.783299999999997</v>
      </c>
      <c r="E1285" s="10">
        <v>135.46665999999999</v>
      </c>
      <c r="F1285" s="10">
        <v>34.783332999999999</v>
      </c>
      <c r="G1285" s="10">
        <v>9</v>
      </c>
      <c r="H1285" s="10" t="s">
        <v>4033</v>
      </c>
      <c r="I1285" s="10" t="s">
        <v>4358</v>
      </c>
      <c r="J1285" s="10" t="s">
        <v>4359</v>
      </c>
      <c r="K1285" s="10" t="s">
        <v>4360</v>
      </c>
      <c r="L1285" s="65" t="str">
        <f t="shared" si="103"/>
        <v>Toyonaka|Japan|135,466660|34,783333|+9:00 Asia</v>
      </c>
      <c r="M1285" s="10" t="s">
        <v>4549</v>
      </c>
      <c r="N1285" s="10">
        <f t="shared" si="100"/>
        <v>0</v>
      </c>
      <c r="O1285" t="str">
        <f t="shared" si="104"/>
        <v/>
      </c>
      <c r="P1285" t="str">
        <f>IF(O1285=1,COUNTIF($O$2:O1285,1),"")</f>
        <v/>
      </c>
      <c r="Q1285" t="str">
        <f>IFERROR(INDEX($M$2:$M$2388,MATCH(ROWS($P$2:P1285),$P$2:$P$2388,0)),"")</f>
        <v/>
      </c>
    </row>
    <row r="1286" spans="1:17" ht="15" x14ac:dyDescent="0.25">
      <c r="A1286" s="10">
        <v>1241</v>
      </c>
      <c r="B1286" s="10" t="s">
        <v>4550</v>
      </c>
      <c r="C1286" s="880">
        <f t="shared" si="101"/>
        <v>137.1499</v>
      </c>
      <c r="D1286" s="880">
        <f t="shared" si="102"/>
        <v>35.083300000000001</v>
      </c>
      <c r="E1286" s="10">
        <v>137.14999399999999</v>
      </c>
      <c r="F1286" s="10">
        <v>35.083331999999999</v>
      </c>
      <c r="G1286" s="10">
        <v>9</v>
      </c>
      <c r="H1286" s="10" t="s">
        <v>4033</v>
      </c>
      <c r="I1286" s="10" t="s">
        <v>4358</v>
      </c>
      <c r="J1286" s="10" t="s">
        <v>4359</v>
      </c>
      <c r="K1286" s="10" t="s">
        <v>4360</v>
      </c>
      <c r="L1286" s="65" t="str">
        <f t="shared" si="103"/>
        <v>Toyota|Japan|137,149994|35,083332|+9:00 Asia</v>
      </c>
      <c r="M1286" s="10" t="s">
        <v>4551</v>
      </c>
      <c r="N1286" s="10">
        <f t="shared" si="100"/>
        <v>0</v>
      </c>
      <c r="O1286" t="str">
        <f t="shared" si="104"/>
        <v/>
      </c>
      <c r="P1286" t="str">
        <f>IF(O1286=1,COUNTIF($O$2:O1286,1),"")</f>
        <v/>
      </c>
      <c r="Q1286" t="str">
        <f>IFERROR(INDEX($M$2:$M$2388,MATCH(ROWS($P$2:P1286),$P$2:$P$2388,0)),"")</f>
        <v/>
      </c>
    </row>
    <row r="1287" spans="1:17" ht="15" x14ac:dyDescent="0.25">
      <c r="A1287" s="10">
        <v>1240</v>
      </c>
      <c r="B1287" s="10" t="s">
        <v>4552</v>
      </c>
      <c r="C1287" s="880">
        <f t="shared" si="101"/>
        <v>139.86660000000001</v>
      </c>
      <c r="D1287" s="880">
        <f t="shared" si="102"/>
        <v>36.549900000000001</v>
      </c>
      <c r="E1287" s="10">
        <v>139.866669</v>
      </c>
      <c r="F1287" s="10">
        <v>36.549999</v>
      </c>
      <c r="G1287" s="10">
        <v>9</v>
      </c>
      <c r="H1287" s="10" t="s">
        <v>4033</v>
      </c>
      <c r="I1287" s="10" t="s">
        <v>4358</v>
      </c>
      <c r="J1287" s="10" t="s">
        <v>4359</v>
      </c>
      <c r="K1287" s="10" t="s">
        <v>4360</v>
      </c>
      <c r="L1287" s="65" t="str">
        <f t="shared" si="103"/>
        <v>Utsunomiya|Japan|139,866669|36,549999|+9:00 Asia</v>
      </c>
      <c r="M1287" s="10" t="s">
        <v>4553</v>
      </c>
      <c r="N1287" s="10">
        <f t="shared" si="100"/>
        <v>0</v>
      </c>
      <c r="O1287" t="str">
        <f t="shared" si="104"/>
        <v/>
      </c>
      <c r="P1287" t="str">
        <f>IF(O1287=1,COUNTIF($O$2:O1287,1),"")</f>
        <v/>
      </c>
      <c r="Q1287" t="str">
        <f>IFERROR(INDEX($M$2:$M$2388,MATCH(ROWS($P$2:P1287),$P$2:$P$2388,0)),"")</f>
        <v/>
      </c>
    </row>
    <row r="1288" spans="1:17" ht="15" x14ac:dyDescent="0.25">
      <c r="A1288" s="10">
        <v>1320</v>
      </c>
      <c r="B1288" s="10" t="s">
        <v>4554</v>
      </c>
      <c r="C1288" s="880">
        <f t="shared" si="101"/>
        <v>140.3374</v>
      </c>
      <c r="D1288" s="880">
        <f t="shared" si="102"/>
        <v>38.252699999999997</v>
      </c>
      <c r="E1288" s="10">
        <v>140.33749399999999</v>
      </c>
      <c r="F1288" s="10">
        <v>38.252777000000002</v>
      </c>
      <c r="G1288" s="10">
        <v>9</v>
      </c>
      <c r="H1288" s="10" t="s">
        <v>4033</v>
      </c>
      <c r="I1288" s="10" t="s">
        <v>4358</v>
      </c>
      <c r="J1288" s="10" t="s">
        <v>4359</v>
      </c>
      <c r="K1288" s="10" t="s">
        <v>4360</v>
      </c>
      <c r="L1288" s="65" t="str">
        <f t="shared" si="103"/>
        <v>Yamagata|Japan|140,337494|38,252777|+9:00 Asia</v>
      </c>
      <c r="M1288" s="10" t="s">
        <v>4555</v>
      </c>
      <c r="N1288" s="10">
        <f t="shared" si="100"/>
        <v>0</v>
      </c>
      <c r="O1288" t="str">
        <f t="shared" si="104"/>
        <v/>
      </c>
      <c r="P1288" t="str">
        <f>IF(O1288=1,COUNTIF($O$2:O1288,1),"")</f>
        <v/>
      </c>
      <c r="Q1288" t="str">
        <f>IFERROR(INDEX($M$2:$M$2388,MATCH(ROWS($P$2:P1288),$P$2:$P$2388,0)),"")</f>
        <v/>
      </c>
    </row>
    <row r="1289" spans="1:17" ht="15" x14ac:dyDescent="0.25">
      <c r="A1289" s="10">
        <v>1239</v>
      </c>
      <c r="B1289" s="10" t="s">
        <v>4556</v>
      </c>
      <c r="C1289" s="880">
        <f t="shared" si="101"/>
        <v>135.6</v>
      </c>
      <c r="D1289" s="880">
        <f t="shared" si="102"/>
        <v>34.616599999999998</v>
      </c>
      <c r="E1289" s="10">
        <v>135.60000600000001</v>
      </c>
      <c r="F1289" s="10">
        <v>34.616664999999998</v>
      </c>
      <c r="G1289" s="10">
        <v>9</v>
      </c>
      <c r="H1289" s="10" t="s">
        <v>4033</v>
      </c>
      <c r="I1289" s="10" t="s">
        <v>4358</v>
      </c>
      <c r="J1289" s="10" t="s">
        <v>4359</v>
      </c>
      <c r="K1289" s="10" t="s">
        <v>4360</v>
      </c>
      <c r="L1289" s="65" t="str">
        <f t="shared" si="103"/>
        <v>Yao|Japan|135,600006|34,616665|+9:00 Asia</v>
      </c>
      <c r="M1289" s="10" t="s">
        <v>4557</v>
      </c>
      <c r="N1289" s="10">
        <f t="shared" si="100"/>
        <v>0</v>
      </c>
      <c r="O1289" t="str">
        <f t="shared" si="104"/>
        <v/>
      </c>
      <c r="P1289" t="str">
        <f>IF(O1289=1,COUNTIF($O$2:O1289,1),"")</f>
        <v/>
      </c>
      <c r="Q1289" t="str">
        <f>IFERROR(INDEX($M$2:$M$2388,MATCH(ROWS($P$2:P1289),$P$2:$P$2388,0)),"")</f>
        <v/>
      </c>
    </row>
    <row r="1290" spans="1:17" ht="15" x14ac:dyDescent="0.25">
      <c r="A1290" s="10">
        <v>1238</v>
      </c>
      <c r="B1290" s="10" t="s">
        <v>4558</v>
      </c>
      <c r="C1290" s="880">
        <f t="shared" si="101"/>
        <v>136.61660000000001</v>
      </c>
      <c r="D1290" s="880">
        <f t="shared" si="102"/>
        <v>34.9666</v>
      </c>
      <c r="E1290" s="10">
        <v>136.616669</v>
      </c>
      <c r="F1290" s="10">
        <v>34.966667000000001</v>
      </c>
      <c r="G1290" s="10">
        <v>9</v>
      </c>
      <c r="H1290" s="10" t="s">
        <v>4033</v>
      </c>
      <c r="I1290" s="10" t="s">
        <v>4358</v>
      </c>
      <c r="J1290" s="10" t="s">
        <v>4359</v>
      </c>
      <c r="K1290" s="10" t="s">
        <v>4360</v>
      </c>
      <c r="L1290" s="65" t="str">
        <f t="shared" si="103"/>
        <v>Yokkaichi|Japan|136,616669|34,966667|+9:00 Asia</v>
      </c>
      <c r="M1290" s="10" t="s">
        <v>4559</v>
      </c>
      <c r="N1290" s="10">
        <f t="shared" si="100"/>
        <v>0</v>
      </c>
      <c r="O1290" t="str">
        <f t="shared" si="104"/>
        <v/>
      </c>
      <c r="P1290" t="str">
        <f>IF(O1290=1,COUNTIF($O$2:O1290,1),"")</f>
        <v/>
      </c>
      <c r="Q1290" t="str">
        <f>IFERROR(INDEX($M$2:$M$2388,MATCH(ROWS($P$2:P1290),$P$2:$P$2388,0)),"")</f>
        <v/>
      </c>
    </row>
    <row r="1291" spans="1:17" ht="15" x14ac:dyDescent="0.25">
      <c r="A1291" s="10">
        <v>1237</v>
      </c>
      <c r="B1291" s="10" t="s">
        <v>4560</v>
      </c>
      <c r="C1291" s="880">
        <f t="shared" si="101"/>
        <v>139.6499</v>
      </c>
      <c r="D1291" s="880">
        <f t="shared" si="102"/>
        <v>35.450000000000003</v>
      </c>
      <c r="E1291" s="10">
        <v>139.64999399999999</v>
      </c>
      <c r="F1291" s="10">
        <v>35.450001</v>
      </c>
      <c r="G1291" s="10">
        <v>9</v>
      </c>
      <c r="H1291" s="10" t="s">
        <v>4033</v>
      </c>
      <c r="I1291" s="10" t="s">
        <v>4358</v>
      </c>
      <c r="J1291" s="10" t="s">
        <v>4359</v>
      </c>
      <c r="K1291" s="10" t="s">
        <v>4360</v>
      </c>
      <c r="L1291" s="65" t="str">
        <f t="shared" si="103"/>
        <v>Yokohama|Japan|139,649994|35,450001|+9:00 Asia</v>
      </c>
      <c r="M1291" s="10" t="s">
        <v>4561</v>
      </c>
      <c r="N1291" s="10">
        <f t="shared" si="100"/>
        <v>0</v>
      </c>
      <c r="O1291" t="str">
        <f t="shared" si="104"/>
        <v/>
      </c>
      <c r="P1291" t="str">
        <f>IF(O1291=1,COUNTIF($O$2:O1291,1),"")</f>
        <v/>
      </c>
      <c r="Q1291" t="str">
        <f>IFERROR(INDEX($M$2:$M$2388,MATCH(ROWS($P$2:P1291),$P$2:$P$2388,0)),"")</f>
        <v/>
      </c>
    </row>
    <row r="1292" spans="1:17" ht="15" x14ac:dyDescent="0.25">
      <c r="A1292" s="10">
        <v>1236</v>
      </c>
      <c r="B1292" s="10" t="s">
        <v>4562</v>
      </c>
      <c r="C1292" s="880">
        <f t="shared" si="101"/>
        <v>139.66720000000001</v>
      </c>
      <c r="D1292" s="880">
        <f t="shared" si="102"/>
        <v>35.2836</v>
      </c>
      <c r="E1292" s="10">
        <v>139.66722100000001</v>
      </c>
      <c r="F1292" s="10">
        <v>35.283611000000001</v>
      </c>
      <c r="G1292" s="10">
        <v>9</v>
      </c>
      <c r="H1292" s="10" t="s">
        <v>4033</v>
      </c>
      <c r="I1292" s="10" t="s">
        <v>4358</v>
      </c>
      <c r="J1292" s="10" t="s">
        <v>4359</v>
      </c>
      <c r="K1292" s="10" t="s">
        <v>4360</v>
      </c>
      <c r="L1292" s="65" t="str">
        <f t="shared" si="103"/>
        <v>Yokosuka|Japan|139,667221|35,283611|+9:00 Asia</v>
      </c>
      <c r="M1292" s="10" t="s">
        <v>4563</v>
      </c>
      <c r="N1292" s="10">
        <f t="shared" si="100"/>
        <v>0</v>
      </c>
      <c r="O1292" t="str">
        <f t="shared" si="104"/>
        <v/>
      </c>
      <c r="P1292" t="str">
        <f>IF(O1292=1,COUNTIF($O$2:O1292,1),"")</f>
        <v/>
      </c>
      <c r="Q1292" t="str">
        <f>IFERROR(INDEX($M$2:$M$2388,MATCH(ROWS($P$2:P1292),$P$2:$P$2388,0)),"")</f>
        <v/>
      </c>
    </row>
    <row r="1293" spans="1:17" ht="15" x14ac:dyDescent="0.25">
      <c r="A1293" s="10">
        <v>1235</v>
      </c>
      <c r="B1293" s="10" t="s">
        <v>4564</v>
      </c>
      <c r="C1293" s="880">
        <f t="shared" si="101"/>
        <v>139.63329999999999</v>
      </c>
      <c r="D1293" s="880">
        <f t="shared" si="102"/>
        <v>35.883299999999998</v>
      </c>
      <c r="E1293" s="10">
        <v>139.633331</v>
      </c>
      <c r="F1293" s="10">
        <v>35.883335000000002</v>
      </c>
      <c r="G1293" s="10">
        <v>9</v>
      </c>
      <c r="H1293" s="10" t="s">
        <v>4033</v>
      </c>
      <c r="I1293" s="10" t="s">
        <v>4358</v>
      </c>
      <c r="J1293" s="10" t="s">
        <v>4359</v>
      </c>
      <c r="K1293" s="10" t="s">
        <v>4360</v>
      </c>
      <c r="L1293" s="65" t="str">
        <f t="shared" si="103"/>
        <v>Yono|Japan|139,633331|35,883335|+9:00 Asia</v>
      </c>
      <c r="M1293" s="10" t="s">
        <v>4565</v>
      </c>
      <c r="N1293" s="10">
        <f t="shared" si="100"/>
        <v>0</v>
      </c>
      <c r="O1293" t="str">
        <f t="shared" si="104"/>
        <v/>
      </c>
      <c r="P1293" t="str">
        <f>IF(O1293=1,COUNTIF($O$2:O1293,1),"")</f>
        <v/>
      </c>
      <c r="Q1293" t="str">
        <f>IFERROR(INDEX($M$2:$M$2388,MATCH(ROWS($P$2:P1293),$P$2:$P$2388,0)),"")</f>
        <v/>
      </c>
    </row>
    <row r="1294" spans="1:17" ht="15" x14ac:dyDescent="0.25">
      <c r="A1294" s="10">
        <v>1231</v>
      </c>
      <c r="B1294" s="10" t="s">
        <v>4566</v>
      </c>
      <c r="C1294" s="880">
        <f t="shared" si="101"/>
        <v>35.933300000000003</v>
      </c>
      <c r="D1294" s="880">
        <f t="shared" si="102"/>
        <v>31.95</v>
      </c>
      <c r="E1294" s="10">
        <v>35.933334000000002</v>
      </c>
      <c r="F1294" s="10">
        <v>31.950001</v>
      </c>
      <c r="G1294" s="10">
        <v>2</v>
      </c>
      <c r="H1294" s="10" t="s">
        <v>1938</v>
      </c>
      <c r="I1294" s="10" t="s">
        <v>4567</v>
      </c>
      <c r="J1294" s="10" t="s">
        <v>4568</v>
      </c>
      <c r="K1294" s="10" t="s">
        <v>4569</v>
      </c>
      <c r="L1294" s="65" t="str">
        <f t="shared" si="103"/>
        <v>Amman|Jordan|35,933334|31,950001|+2:00 Asia</v>
      </c>
      <c r="M1294" s="10" t="s">
        <v>4570</v>
      </c>
      <c r="N1294" s="10">
        <f t="shared" si="100"/>
        <v>0</v>
      </c>
      <c r="O1294" t="str">
        <f t="shared" si="104"/>
        <v/>
      </c>
      <c r="P1294" t="str">
        <f>IF(O1294=1,COUNTIF($O$2:O1294,1),"")</f>
        <v/>
      </c>
      <c r="Q1294" t="str">
        <f>IFERROR(INDEX($M$2:$M$2388,MATCH(ROWS($P$2:P1294),$P$2:$P$2388,0)),"")</f>
        <v/>
      </c>
    </row>
    <row r="1295" spans="1:17" ht="15" x14ac:dyDescent="0.25">
      <c r="A1295" s="10">
        <v>1230</v>
      </c>
      <c r="B1295" s="10" t="s">
        <v>4571</v>
      </c>
      <c r="C1295" s="880">
        <f t="shared" si="101"/>
        <v>35.849899999999998</v>
      </c>
      <c r="D1295" s="880">
        <f t="shared" si="102"/>
        <v>32.555500000000002</v>
      </c>
      <c r="E1295" s="10">
        <v>35.849997999999999</v>
      </c>
      <c r="F1295" s="10">
        <v>32.555557</v>
      </c>
      <c r="G1295" s="10">
        <v>2</v>
      </c>
      <c r="H1295" s="10" t="s">
        <v>1938</v>
      </c>
      <c r="I1295" s="10" t="s">
        <v>4567</v>
      </c>
      <c r="J1295" s="10" t="s">
        <v>4568</v>
      </c>
      <c r="K1295" s="10" t="s">
        <v>4569</v>
      </c>
      <c r="L1295" s="65" t="str">
        <f t="shared" si="103"/>
        <v>Irbid|Jordan|35,849998|32,555557|+2:00 Asia</v>
      </c>
      <c r="M1295" s="10" t="s">
        <v>4572</v>
      </c>
      <c r="N1295" s="10">
        <f t="shared" si="100"/>
        <v>0</v>
      </c>
      <c r="O1295" t="str">
        <f t="shared" si="104"/>
        <v/>
      </c>
      <c r="P1295" t="str">
        <f>IF(O1295=1,COUNTIF($O$2:O1295,1),"")</f>
        <v/>
      </c>
      <c r="Q1295" t="str">
        <f>IFERROR(INDEX($M$2:$M$2388,MATCH(ROWS($P$2:P1295),$P$2:$P$2388,0)),"")</f>
        <v/>
      </c>
    </row>
    <row r="1296" spans="1:17" ht="15" x14ac:dyDescent="0.25">
      <c r="A1296" s="10">
        <v>1229</v>
      </c>
      <c r="B1296" s="10" t="s">
        <v>4573</v>
      </c>
      <c r="C1296" s="880">
        <f t="shared" si="101"/>
        <v>35.849899999999998</v>
      </c>
      <c r="D1296" s="880">
        <f t="shared" si="102"/>
        <v>31.883299999999998</v>
      </c>
      <c r="E1296" s="10">
        <v>35.849997999999999</v>
      </c>
      <c r="F1296" s="10">
        <v>31.883333</v>
      </c>
      <c r="G1296" s="10">
        <v>2</v>
      </c>
      <c r="H1296" s="10" t="s">
        <v>1938</v>
      </c>
      <c r="I1296" s="10" t="s">
        <v>4567</v>
      </c>
      <c r="J1296" s="10" t="s">
        <v>4568</v>
      </c>
      <c r="K1296" s="10" t="s">
        <v>4569</v>
      </c>
      <c r="L1296" s="65" t="str">
        <f t="shared" si="103"/>
        <v>Umm as Summaq|Jordan|35,849998|31,883333|+2:00 Asia</v>
      </c>
      <c r="M1296" s="10" t="s">
        <v>4574</v>
      </c>
      <c r="N1296" s="10">
        <f t="shared" si="100"/>
        <v>0</v>
      </c>
      <c r="O1296" t="str">
        <f t="shared" si="104"/>
        <v/>
      </c>
      <c r="P1296" t="str">
        <f>IF(O1296=1,COUNTIF($O$2:O1296,1),"")</f>
        <v/>
      </c>
      <c r="Q1296" t="str">
        <f>IFERROR(INDEX($M$2:$M$2388,MATCH(ROWS($P$2:P1296),$P$2:$P$2388,0)),"")</f>
        <v/>
      </c>
    </row>
    <row r="1297" spans="1:17" ht="15" x14ac:dyDescent="0.25">
      <c r="A1297" s="10">
        <v>1228</v>
      </c>
      <c r="B1297" s="10" t="s">
        <v>4575</v>
      </c>
      <c r="C1297" s="880">
        <f t="shared" si="101"/>
        <v>35.816600000000001</v>
      </c>
      <c r="D1297" s="880">
        <f t="shared" si="102"/>
        <v>31.95</v>
      </c>
      <c r="E1297" s="10">
        <v>35.816665999999998</v>
      </c>
      <c r="F1297" s="10">
        <v>31.950001</v>
      </c>
      <c r="G1297" s="10">
        <v>2</v>
      </c>
      <c r="H1297" s="10" t="s">
        <v>1938</v>
      </c>
      <c r="I1297" s="10" t="s">
        <v>4567</v>
      </c>
      <c r="J1297" s="10" t="s">
        <v>4568</v>
      </c>
      <c r="K1297" s="10" t="s">
        <v>4569</v>
      </c>
      <c r="L1297" s="65" t="str">
        <f t="shared" si="103"/>
        <v>Wadi as Sir|Jordan|35,816666|31,950001|+2:00 Asia</v>
      </c>
      <c r="M1297" s="10" t="s">
        <v>4576</v>
      </c>
      <c r="N1297" s="10">
        <f t="shared" si="100"/>
        <v>0</v>
      </c>
      <c r="O1297" t="str">
        <f t="shared" si="104"/>
        <v/>
      </c>
      <c r="P1297" t="str">
        <f>IF(O1297=1,COUNTIF($O$2:O1297,1),"")</f>
        <v/>
      </c>
      <c r="Q1297" t="str">
        <f>IFERROR(INDEX($M$2:$M$2388,MATCH(ROWS($P$2:P1297),$P$2:$P$2388,0)),"")</f>
        <v/>
      </c>
    </row>
    <row r="1298" spans="1:17" ht="15" x14ac:dyDescent="0.25">
      <c r="A1298" s="10">
        <v>1227</v>
      </c>
      <c r="B1298" s="10" t="s">
        <v>4577</v>
      </c>
      <c r="C1298" s="880">
        <f t="shared" si="101"/>
        <v>35.599899999999998</v>
      </c>
      <c r="D1298" s="880">
        <f t="shared" si="102"/>
        <v>32.549900000000001</v>
      </c>
      <c r="E1298" s="10">
        <v>35.599997999999999</v>
      </c>
      <c r="F1298" s="10">
        <v>32.549999</v>
      </c>
      <c r="G1298" s="10">
        <v>2</v>
      </c>
      <c r="H1298" s="10" t="s">
        <v>1938</v>
      </c>
      <c r="I1298" s="10" t="s">
        <v>4567</v>
      </c>
      <c r="J1298" s="10" t="s">
        <v>4568</v>
      </c>
      <c r="K1298" s="10" t="s">
        <v>4569</v>
      </c>
      <c r="L1298" s="65" t="str">
        <f t="shared" si="103"/>
        <v>Waqqas|Jordan|35,599998|32,549999|+2:00 Asia</v>
      </c>
      <c r="M1298" s="10" t="s">
        <v>4578</v>
      </c>
      <c r="N1298" s="10">
        <f t="shared" si="100"/>
        <v>0</v>
      </c>
      <c r="O1298" t="str">
        <f t="shared" si="104"/>
        <v/>
      </c>
      <c r="P1298" t="str">
        <f>IF(O1298=1,COUNTIF($O$2:O1298,1),"")</f>
        <v/>
      </c>
      <c r="Q1298" t="str">
        <f>IFERROR(INDEX($M$2:$M$2388,MATCH(ROWS($P$2:P1298),$P$2:$P$2388,0)),"")</f>
        <v/>
      </c>
    </row>
    <row r="1299" spans="1:17" ht="15" x14ac:dyDescent="0.25">
      <c r="A1299" s="10">
        <v>1417</v>
      </c>
      <c r="B1299" s="10" t="s">
        <v>4579</v>
      </c>
      <c r="C1299" s="880">
        <f t="shared" si="101"/>
        <v>76.9499</v>
      </c>
      <c r="D1299" s="880">
        <f t="shared" si="102"/>
        <v>43.25</v>
      </c>
      <c r="E1299" s="10">
        <v>76.949996999999996</v>
      </c>
      <c r="F1299" s="10">
        <v>43.25</v>
      </c>
      <c r="G1299" s="10">
        <v>6</v>
      </c>
      <c r="H1299" s="10" t="s">
        <v>1895</v>
      </c>
      <c r="I1299" s="10" t="s">
        <v>4580</v>
      </c>
      <c r="J1299" s="10" t="s">
        <v>4581</v>
      </c>
      <c r="K1299" s="10" t="s">
        <v>4582</v>
      </c>
      <c r="L1299" s="65" t="str">
        <f t="shared" si="103"/>
        <v>Almaty|Kazakhstan|76,949997|43,250000|+6:00 Asia</v>
      </c>
      <c r="M1299" s="10" t="s">
        <v>4583</v>
      </c>
      <c r="N1299" s="10">
        <f t="shared" si="100"/>
        <v>0</v>
      </c>
      <c r="O1299" t="str">
        <f t="shared" si="104"/>
        <v/>
      </c>
      <c r="P1299" t="str">
        <f>IF(O1299=1,COUNTIF($O$2:O1299,1),"")</f>
        <v/>
      </c>
      <c r="Q1299" t="str">
        <f>IFERROR(INDEX($M$2:$M$2388,MATCH(ROWS($P$2:P1299),$P$2:$P$2388,0)),"")</f>
        <v/>
      </c>
    </row>
    <row r="1300" spans="1:17" ht="15" x14ac:dyDescent="0.25">
      <c r="A1300" s="10">
        <v>1409</v>
      </c>
      <c r="B1300" s="10" t="s">
        <v>4584</v>
      </c>
      <c r="C1300" s="880">
        <f t="shared" si="101"/>
        <v>57.1813</v>
      </c>
      <c r="D1300" s="880">
        <f t="shared" si="102"/>
        <v>50.298000000000002</v>
      </c>
      <c r="E1300" s="10">
        <v>57.181389000000003</v>
      </c>
      <c r="F1300" s="10">
        <v>50.298054</v>
      </c>
      <c r="G1300" s="10">
        <v>5</v>
      </c>
      <c r="H1300" s="10" t="s">
        <v>4585</v>
      </c>
      <c r="I1300" s="10" t="s">
        <v>4580</v>
      </c>
      <c r="J1300" s="10" t="s">
        <v>4581</v>
      </c>
      <c r="K1300" s="10" t="s">
        <v>4586</v>
      </c>
      <c r="L1300" s="65" t="str">
        <f t="shared" si="103"/>
        <v>Aqtobe|Kazakhstan|57,181389|50,298054|+5:00 Asia</v>
      </c>
      <c r="M1300" s="10" t="s">
        <v>4587</v>
      </c>
      <c r="N1300" s="10">
        <f t="shared" si="100"/>
        <v>0</v>
      </c>
      <c r="O1300" t="str">
        <f t="shared" si="104"/>
        <v/>
      </c>
      <c r="P1300" t="str">
        <f>IF(O1300=1,COUNTIF($O$2:O1300,1),"")</f>
        <v/>
      </c>
      <c r="Q1300" t="str">
        <f>IFERROR(INDEX($M$2:$M$2388,MATCH(ROWS($P$2:P1300),$P$2:$P$2388,0)),"")</f>
        <v/>
      </c>
    </row>
    <row r="1301" spans="1:17" ht="15" x14ac:dyDescent="0.25">
      <c r="A1301" s="10">
        <v>1416</v>
      </c>
      <c r="B1301" s="10" t="s">
        <v>4588</v>
      </c>
      <c r="C1301" s="880">
        <f t="shared" si="101"/>
        <v>71.427700000000002</v>
      </c>
      <c r="D1301" s="880">
        <f t="shared" si="102"/>
        <v>51.181100000000001</v>
      </c>
      <c r="E1301" s="10">
        <v>71.427779999999998</v>
      </c>
      <c r="F1301" s="10">
        <v>51.181109999999997</v>
      </c>
      <c r="G1301" s="10">
        <v>6</v>
      </c>
      <c r="H1301" s="10" t="s">
        <v>1895</v>
      </c>
      <c r="I1301" s="10" t="s">
        <v>4580</v>
      </c>
      <c r="J1301" s="10" t="s">
        <v>4581</v>
      </c>
      <c r="K1301" s="10" t="s">
        <v>4589</v>
      </c>
      <c r="L1301" s="65" t="str">
        <f t="shared" si="103"/>
        <v>Astana|Kazakhstan|71,427780|51,181110|+6:00 Asia</v>
      </c>
      <c r="M1301" s="10" t="s">
        <v>4590</v>
      </c>
      <c r="N1301" s="10">
        <f t="shared" si="100"/>
        <v>0</v>
      </c>
      <c r="O1301" t="str">
        <f t="shared" si="104"/>
        <v/>
      </c>
      <c r="P1301" t="str">
        <f>IF(O1301=1,COUNTIF($O$2:O1301,1),"")</f>
        <v/>
      </c>
      <c r="Q1301" t="str">
        <f>IFERROR(INDEX($M$2:$M$2388,MATCH(ROWS($P$2:P1301),$P$2:$P$2388,0)),"")</f>
        <v/>
      </c>
    </row>
    <row r="1302" spans="1:17" ht="15" x14ac:dyDescent="0.25">
      <c r="A1302" s="10">
        <v>1408</v>
      </c>
      <c r="B1302" s="10" t="s">
        <v>4591</v>
      </c>
      <c r="C1302" s="880">
        <f t="shared" si="101"/>
        <v>54.866599999999998</v>
      </c>
      <c r="D1302" s="880">
        <f t="shared" si="102"/>
        <v>50.066600000000001</v>
      </c>
      <c r="E1302" s="10">
        <v>54.866664999999998</v>
      </c>
      <c r="F1302" s="10">
        <v>50.066665999999998</v>
      </c>
      <c r="G1302" s="10">
        <v>5</v>
      </c>
      <c r="H1302" s="10" t="s">
        <v>4585</v>
      </c>
      <c r="I1302" s="10" t="s">
        <v>4580</v>
      </c>
      <c r="J1302" s="10" t="s">
        <v>4581</v>
      </c>
      <c r="K1302" s="10" t="s">
        <v>4586</v>
      </c>
      <c r="L1302" s="65" t="str">
        <f t="shared" si="103"/>
        <v>Karagandy|Kazakhstan|54,866665|50,066666|+5:00 Asia</v>
      </c>
      <c r="M1302" s="10" t="s">
        <v>4592</v>
      </c>
      <c r="N1302" s="10">
        <f t="shared" si="100"/>
        <v>0</v>
      </c>
      <c r="O1302" t="str">
        <f t="shared" si="104"/>
        <v/>
      </c>
      <c r="P1302" t="str">
        <f>IF(O1302=1,COUNTIF($O$2:O1302,1),"")</f>
        <v/>
      </c>
      <c r="Q1302" t="str">
        <f>IFERROR(INDEX($M$2:$M$2388,MATCH(ROWS($P$2:P1302),$P$2:$P$2388,0)),"")</f>
        <v/>
      </c>
    </row>
    <row r="1303" spans="1:17" ht="15" x14ac:dyDescent="0.25">
      <c r="A1303" s="10">
        <v>1414</v>
      </c>
      <c r="B1303" s="10" t="s">
        <v>4593</v>
      </c>
      <c r="C1303" s="880">
        <f t="shared" si="101"/>
        <v>76.9499</v>
      </c>
      <c r="D1303" s="880">
        <f t="shared" si="102"/>
        <v>52.299900000000001</v>
      </c>
      <c r="E1303" s="10">
        <v>76.949996999999996</v>
      </c>
      <c r="F1303" s="10">
        <v>52.299999</v>
      </c>
      <c r="G1303" s="10">
        <v>6</v>
      </c>
      <c r="H1303" s="10" t="s">
        <v>1895</v>
      </c>
      <c r="I1303" s="10" t="s">
        <v>4580</v>
      </c>
      <c r="J1303" s="10" t="s">
        <v>4581</v>
      </c>
      <c r="K1303" s="10" t="s">
        <v>4582</v>
      </c>
      <c r="L1303" s="65" t="str">
        <f t="shared" si="103"/>
        <v>Pavlodar|Kazakhstan|76,949997|52,299999|+6:00 Asia</v>
      </c>
      <c r="M1303" s="10" t="s">
        <v>4594</v>
      </c>
      <c r="N1303" s="10">
        <f t="shared" si="100"/>
        <v>0</v>
      </c>
      <c r="O1303" t="str">
        <f t="shared" si="104"/>
        <v/>
      </c>
      <c r="P1303" t="str">
        <f>IF(O1303=1,COUNTIF($O$2:O1303,1),"")</f>
        <v/>
      </c>
      <c r="Q1303" t="str">
        <f>IFERROR(INDEX($M$2:$M$2388,MATCH(ROWS($P$2:P1303),$P$2:$P$2388,0)),"")</f>
        <v/>
      </c>
    </row>
    <row r="1304" spans="1:17" ht="15" x14ac:dyDescent="0.25">
      <c r="A1304" s="10">
        <v>1413</v>
      </c>
      <c r="B1304" s="10" t="s">
        <v>4595</v>
      </c>
      <c r="C1304" s="880">
        <f t="shared" si="101"/>
        <v>69.162700000000001</v>
      </c>
      <c r="D1304" s="880">
        <f t="shared" si="102"/>
        <v>54.8752</v>
      </c>
      <c r="E1304" s="10">
        <v>69.162780999999995</v>
      </c>
      <c r="F1304" s="10">
        <v>54.875278000000002</v>
      </c>
      <c r="G1304" s="10">
        <v>6</v>
      </c>
      <c r="H1304" s="10" t="s">
        <v>1895</v>
      </c>
      <c r="I1304" s="10" t="s">
        <v>4580</v>
      </c>
      <c r="J1304" s="10" t="s">
        <v>4581</v>
      </c>
      <c r="K1304" s="10" t="s">
        <v>4589</v>
      </c>
      <c r="L1304" s="65" t="str">
        <f t="shared" si="103"/>
        <v>Petropavlovsk|Kazakhstan|69,162781|54,875278|+6:00 Asia</v>
      </c>
      <c r="M1304" s="10" t="s">
        <v>4596</v>
      </c>
      <c r="N1304" s="10">
        <f t="shared" si="100"/>
        <v>0</v>
      </c>
      <c r="O1304" t="str">
        <f t="shared" si="104"/>
        <v/>
      </c>
      <c r="P1304" t="str">
        <f>IF(O1304=1,COUNTIF($O$2:O1304,1),"")</f>
        <v/>
      </c>
      <c r="Q1304" t="str">
        <f>IFERROR(INDEX($M$2:$M$2388,MATCH(ROWS($P$2:P1304),$P$2:$P$2388,0)),"")</f>
        <v/>
      </c>
    </row>
    <row r="1305" spans="1:17" ht="15" x14ac:dyDescent="0.25">
      <c r="A1305" s="10">
        <v>1412</v>
      </c>
      <c r="B1305" s="10" t="s">
        <v>4597</v>
      </c>
      <c r="C1305" s="880">
        <f t="shared" si="101"/>
        <v>80.227500000000006</v>
      </c>
      <c r="D1305" s="880">
        <f t="shared" si="102"/>
        <v>50.411099999999998</v>
      </c>
      <c r="E1305" s="10">
        <v>80.227501000000004</v>
      </c>
      <c r="F1305" s="10">
        <v>50.411110000000001</v>
      </c>
      <c r="G1305" s="10">
        <v>6</v>
      </c>
      <c r="H1305" s="10" t="s">
        <v>1895</v>
      </c>
      <c r="I1305" s="10" t="s">
        <v>4580</v>
      </c>
      <c r="J1305" s="10" t="s">
        <v>4581</v>
      </c>
      <c r="K1305" s="10" t="s">
        <v>4582</v>
      </c>
      <c r="L1305" s="65" t="str">
        <f t="shared" si="103"/>
        <v>Semipalatinsk|Kazakhstan|80,227501|50,411110|+6:00 Asia</v>
      </c>
      <c r="M1305" s="10" t="s">
        <v>4598</v>
      </c>
      <c r="N1305" s="10">
        <f t="shared" si="100"/>
        <v>0</v>
      </c>
      <c r="O1305" t="str">
        <f t="shared" si="104"/>
        <v/>
      </c>
      <c r="P1305" t="str">
        <f>IF(O1305=1,COUNTIF($O$2:O1305,1),"")</f>
        <v/>
      </c>
      <c r="Q1305" t="str">
        <f>IFERROR(INDEX($M$2:$M$2388,MATCH(ROWS($P$2:P1305),$P$2:$P$2388,0)),"")</f>
        <v/>
      </c>
    </row>
    <row r="1306" spans="1:17" ht="15" x14ac:dyDescent="0.25">
      <c r="A1306" s="10">
        <v>1407</v>
      </c>
      <c r="B1306" s="10" t="s">
        <v>4599</v>
      </c>
      <c r="C1306" s="880">
        <f t="shared" si="101"/>
        <v>57.186900000000001</v>
      </c>
      <c r="D1306" s="880">
        <f t="shared" si="102"/>
        <v>48.587200000000003</v>
      </c>
      <c r="E1306" s="10">
        <v>57.186942999999999</v>
      </c>
      <c r="F1306" s="10">
        <v>48.587223000000002</v>
      </c>
      <c r="G1306" s="10">
        <v>5</v>
      </c>
      <c r="H1306" s="10" t="s">
        <v>4585</v>
      </c>
      <c r="I1306" s="10" t="s">
        <v>4580</v>
      </c>
      <c r="J1306" s="10" t="s">
        <v>4581</v>
      </c>
      <c r="K1306" s="10" t="s">
        <v>4586</v>
      </c>
      <c r="L1306" s="65" t="str">
        <f t="shared" si="103"/>
        <v>Shubarshi|Kazakhstan|57,186943|48,587223|+5:00 Asia</v>
      </c>
      <c r="M1306" s="10" t="s">
        <v>4600</v>
      </c>
      <c r="N1306" s="10">
        <f t="shared" si="100"/>
        <v>0</v>
      </c>
      <c r="O1306" t="str">
        <f t="shared" si="104"/>
        <v/>
      </c>
      <c r="P1306" t="str">
        <f>IF(O1306=1,COUNTIF($O$2:O1306,1),"")</f>
        <v/>
      </c>
      <c r="Q1306" t="str">
        <f>IFERROR(INDEX($M$2:$M$2388,MATCH(ROWS($P$2:P1306),$P$2:$P$2388,0)),"")</f>
        <v/>
      </c>
    </row>
    <row r="1307" spans="1:17" ht="15" x14ac:dyDescent="0.25">
      <c r="A1307" s="10">
        <v>1411</v>
      </c>
      <c r="B1307" s="10" t="s">
        <v>4601</v>
      </c>
      <c r="C1307" s="880">
        <f t="shared" si="101"/>
        <v>69.599900000000005</v>
      </c>
      <c r="D1307" s="880">
        <f t="shared" si="102"/>
        <v>42.299900000000001</v>
      </c>
      <c r="E1307" s="10">
        <v>69.599997999999999</v>
      </c>
      <c r="F1307" s="10">
        <v>42.299999</v>
      </c>
      <c r="G1307" s="10">
        <v>6</v>
      </c>
      <c r="H1307" s="10" t="s">
        <v>1895</v>
      </c>
      <c r="I1307" s="10" t="s">
        <v>4580</v>
      </c>
      <c r="J1307" s="10" t="s">
        <v>4581</v>
      </c>
      <c r="K1307" s="10" t="s">
        <v>4589</v>
      </c>
      <c r="L1307" s="65" t="str">
        <f t="shared" si="103"/>
        <v>Shymkent|Kazakhstan|69,599998|42,299999|+6:00 Asia</v>
      </c>
      <c r="M1307" s="10" t="s">
        <v>4602</v>
      </c>
      <c r="N1307" s="10">
        <f t="shared" si="100"/>
        <v>0</v>
      </c>
      <c r="O1307" t="str">
        <f t="shared" si="104"/>
        <v/>
      </c>
      <c r="P1307" t="str">
        <f>IF(O1307=1,COUNTIF($O$2:O1307,1),"")</f>
        <v/>
      </c>
      <c r="Q1307" t="str">
        <f>IFERROR(INDEX($M$2:$M$2388,MATCH(ROWS($P$2:P1307),$P$2:$P$2388,0)),"")</f>
        <v/>
      </c>
    </row>
    <row r="1308" spans="1:17" ht="15" x14ac:dyDescent="0.25">
      <c r="A1308" s="10">
        <v>1410</v>
      </c>
      <c r="B1308" s="10" t="s">
        <v>4603</v>
      </c>
      <c r="C1308" s="880">
        <f t="shared" si="101"/>
        <v>71.366600000000005</v>
      </c>
      <c r="D1308" s="880">
        <f t="shared" si="102"/>
        <v>42.9</v>
      </c>
      <c r="E1308" s="10">
        <v>71.366669000000002</v>
      </c>
      <c r="F1308" s="10">
        <v>42.900002000000001</v>
      </c>
      <c r="G1308" s="10">
        <v>6</v>
      </c>
      <c r="H1308" s="10" t="s">
        <v>1895</v>
      </c>
      <c r="I1308" s="10" t="s">
        <v>4580</v>
      </c>
      <c r="J1308" s="10" t="s">
        <v>4581</v>
      </c>
      <c r="K1308" s="10" t="s">
        <v>4582</v>
      </c>
      <c r="L1308" s="65" t="str">
        <f t="shared" si="103"/>
        <v>Taraz|Kazakhstan|71,366669|42,900002|+6:00 Asia</v>
      </c>
      <c r="M1308" s="10" t="s">
        <v>4604</v>
      </c>
      <c r="N1308" s="10">
        <f t="shared" si="100"/>
        <v>0</v>
      </c>
      <c r="O1308" t="str">
        <f t="shared" si="104"/>
        <v/>
      </c>
      <c r="P1308" t="str">
        <f>IF(O1308=1,COUNTIF($O$2:O1308,1),"")</f>
        <v/>
      </c>
      <c r="Q1308" t="str">
        <f>IFERROR(INDEX($M$2:$M$2388,MATCH(ROWS($P$2:P1308),$P$2:$P$2388,0)),"")</f>
        <v/>
      </c>
    </row>
    <row r="1309" spans="1:17" ht="15" x14ac:dyDescent="0.25">
      <c r="A1309" s="10">
        <v>1415</v>
      </c>
      <c r="B1309" s="10" t="s">
        <v>4605</v>
      </c>
      <c r="C1309" s="880">
        <f t="shared" si="101"/>
        <v>82.610200000000006</v>
      </c>
      <c r="D1309" s="880">
        <f t="shared" si="102"/>
        <v>49.9788</v>
      </c>
      <c r="E1309" s="10">
        <v>82.610275000000001</v>
      </c>
      <c r="F1309" s="10">
        <v>49.978889000000002</v>
      </c>
      <c r="G1309" s="10">
        <v>6</v>
      </c>
      <c r="H1309" s="10" t="s">
        <v>1895</v>
      </c>
      <c r="I1309" s="10" t="s">
        <v>4580</v>
      </c>
      <c r="J1309" s="10" t="s">
        <v>4581</v>
      </c>
      <c r="K1309" s="10" t="s">
        <v>4582</v>
      </c>
      <c r="L1309" s="65" t="str">
        <f t="shared" si="103"/>
        <v>Ust'-Kamenogorsk|Kazakhstan|82,610275|49,978889|+6:00 Asia</v>
      </c>
      <c r="M1309" s="10" t="s">
        <v>4606</v>
      </c>
      <c r="N1309" s="10">
        <f t="shared" si="100"/>
        <v>0</v>
      </c>
      <c r="O1309" t="str">
        <f t="shared" si="104"/>
        <v/>
      </c>
      <c r="P1309" t="str">
        <f>IF(O1309=1,COUNTIF($O$2:O1309,1),"")</f>
        <v/>
      </c>
      <c r="Q1309" t="str">
        <f>IFERROR(INDEX($M$2:$M$2388,MATCH(ROWS($P$2:P1309),$P$2:$P$2388,0)),"")</f>
        <v/>
      </c>
    </row>
    <row r="1310" spans="1:17" ht="15" x14ac:dyDescent="0.25">
      <c r="A1310" s="10">
        <v>1406</v>
      </c>
      <c r="B1310" s="10" t="s">
        <v>4607</v>
      </c>
      <c r="C1310" s="880">
        <f t="shared" si="101"/>
        <v>52.078800000000001</v>
      </c>
      <c r="D1310" s="880">
        <f t="shared" si="102"/>
        <v>43.594099999999997</v>
      </c>
      <c r="E1310" s="10">
        <v>52.078887999999999</v>
      </c>
      <c r="F1310" s="10">
        <v>43.594166000000001</v>
      </c>
      <c r="G1310" s="10">
        <v>5</v>
      </c>
      <c r="H1310" s="10" t="s">
        <v>4585</v>
      </c>
      <c r="I1310" s="10" t="s">
        <v>4580</v>
      </c>
      <c r="J1310" s="10" t="s">
        <v>4581</v>
      </c>
      <c r="K1310" s="10" t="s">
        <v>4608</v>
      </c>
      <c r="L1310" s="65" t="str">
        <f t="shared" si="103"/>
        <v>Zhetibay|Kazakhstan|52,078888|43,594166|+5:00 Asia</v>
      </c>
      <c r="M1310" s="10" t="s">
        <v>4609</v>
      </c>
      <c r="N1310" s="10">
        <f t="shared" si="100"/>
        <v>0</v>
      </c>
      <c r="O1310" t="str">
        <f t="shared" si="104"/>
        <v/>
      </c>
      <c r="P1310" t="str">
        <f>IF(O1310=1,COUNTIF($O$2:O1310,1),"")</f>
        <v/>
      </c>
      <c r="Q1310" t="str">
        <f>IFERROR(INDEX($M$2:$M$2388,MATCH(ROWS($P$2:P1310),$P$2:$P$2388,0)),"")</f>
        <v/>
      </c>
    </row>
    <row r="1311" spans="1:17" ht="15" x14ac:dyDescent="0.25">
      <c r="A1311" s="10">
        <v>1405</v>
      </c>
      <c r="B1311" s="10" t="s">
        <v>4610</v>
      </c>
      <c r="C1311" s="880">
        <f t="shared" si="101"/>
        <v>49.4</v>
      </c>
      <c r="D1311" s="880">
        <f t="shared" si="102"/>
        <v>49.333300000000001</v>
      </c>
      <c r="E1311" s="10">
        <v>49.400002000000001</v>
      </c>
      <c r="F1311" s="10">
        <v>49.333331999999999</v>
      </c>
      <c r="G1311" s="10">
        <v>5</v>
      </c>
      <c r="H1311" s="10" t="s">
        <v>4585</v>
      </c>
      <c r="I1311" s="10" t="s">
        <v>4580</v>
      </c>
      <c r="J1311" s="10" t="s">
        <v>4581</v>
      </c>
      <c r="K1311" s="10" t="s">
        <v>4611</v>
      </c>
      <c r="L1311" s="65" t="str">
        <f t="shared" si="103"/>
        <v>Zhumysker|Kazakhstan|49,400002|49,333332|+5:00 Asia</v>
      </c>
      <c r="M1311" s="10" t="s">
        <v>4612</v>
      </c>
      <c r="N1311" s="10">
        <f t="shared" si="100"/>
        <v>0</v>
      </c>
      <c r="O1311" t="str">
        <f t="shared" si="104"/>
        <v/>
      </c>
      <c r="P1311" t="str">
        <f>IF(O1311=1,COUNTIF($O$2:O1311,1),"")</f>
        <v/>
      </c>
      <c r="Q1311" t="str">
        <f>IFERROR(INDEX($M$2:$M$2388,MATCH(ROWS($P$2:P1311),$P$2:$P$2388,0)),"")</f>
        <v/>
      </c>
    </row>
    <row r="1312" spans="1:17" ht="15" x14ac:dyDescent="0.25">
      <c r="A1312" s="10">
        <v>1342</v>
      </c>
      <c r="B1312" s="10" t="s">
        <v>4613</v>
      </c>
      <c r="C1312" s="880">
        <f t="shared" si="101"/>
        <v>35.283299999999997</v>
      </c>
      <c r="D1312" s="880">
        <f t="shared" si="102"/>
        <v>0.51659999999999995</v>
      </c>
      <c r="E1312" s="10">
        <v>35.283332999999999</v>
      </c>
      <c r="F1312" s="10">
        <v>0.51666699999999999</v>
      </c>
      <c r="G1312" s="10">
        <v>3</v>
      </c>
      <c r="H1312" s="10" t="s">
        <v>1883</v>
      </c>
      <c r="I1312" s="10" t="s">
        <v>4614</v>
      </c>
      <c r="J1312" s="10" t="s">
        <v>4615</v>
      </c>
      <c r="K1312" s="10" t="s">
        <v>4616</v>
      </c>
      <c r="L1312" s="65" t="str">
        <f t="shared" si="103"/>
        <v>Eldoret|Kenya|35,283333|0,516667|+3:00 Africa</v>
      </c>
      <c r="M1312" s="10" t="s">
        <v>4617</v>
      </c>
      <c r="N1312" s="10">
        <f t="shared" si="100"/>
        <v>0</v>
      </c>
      <c r="O1312" t="str">
        <f t="shared" si="104"/>
        <v/>
      </c>
      <c r="P1312" t="str">
        <f>IF(O1312=1,COUNTIF($O$2:O1312,1),"")</f>
        <v/>
      </c>
      <c r="Q1312" t="str">
        <f>IFERROR(INDEX($M$2:$M$2388,MATCH(ROWS($P$2:P1312),$P$2:$P$2388,0)),"")</f>
        <v/>
      </c>
    </row>
    <row r="1313" spans="1:17" ht="15" x14ac:dyDescent="0.25">
      <c r="A1313" s="10">
        <v>1341</v>
      </c>
      <c r="B1313" s="10" t="s">
        <v>4618</v>
      </c>
      <c r="C1313" s="880">
        <f t="shared" si="101"/>
        <v>34.75</v>
      </c>
      <c r="D1313" s="880">
        <f t="shared" si="102"/>
        <v>-0.1</v>
      </c>
      <c r="E1313" s="10">
        <v>34.75</v>
      </c>
      <c r="F1313" s="10">
        <v>-0.1</v>
      </c>
      <c r="G1313" s="10">
        <v>3</v>
      </c>
      <c r="H1313" s="10" t="s">
        <v>1883</v>
      </c>
      <c r="I1313" s="10" t="s">
        <v>4614</v>
      </c>
      <c r="J1313" s="10" t="s">
        <v>4615</v>
      </c>
      <c r="K1313" s="10" t="s">
        <v>4616</v>
      </c>
      <c r="L1313" s="65" t="str">
        <f t="shared" si="103"/>
        <v>Kisumu|Kenya|34,750000|-0,100000|+3:00 Africa</v>
      </c>
      <c r="M1313" s="10" t="s">
        <v>4619</v>
      </c>
      <c r="N1313" s="10">
        <f t="shared" si="100"/>
        <v>0</v>
      </c>
      <c r="O1313" t="str">
        <f t="shared" si="104"/>
        <v/>
      </c>
      <c r="P1313" t="str">
        <f>IF(O1313=1,COUNTIF($O$2:O1313,1),"")</f>
        <v/>
      </c>
      <c r="Q1313" t="str">
        <f>IFERROR(INDEX($M$2:$M$2388,MATCH(ROWS($P$2:P1313),$P$2:$P$2388,0)),"")</f>
        <v/>
      </c>
    </row>
    <row r="1314" spans="1:17" ht="15" x14ac:dyDescent="0.25">
      <c r="A1314" s="10">
        <v>1340</v>
      </c>
      <c r="B1314" s="10" t="s">
        <v>4620</v>
      </c>
      <c r="C1314" s="880">
        <f t="shared" si="101"/>
        <v>39.666600000000003</v>
      </c>
      <c r="D1314" s="880">
        <f t="shared" si="102"/>
        <v>-4.05</v>
      </c>
      <c r="E1314" s="10">
        <v>39.666668000000001</v>
      </c>
      <c r="F1314" s="10">
        <v>-4.05</v>
      </c>
      <c r="G1314" s="10">
        <v>3</v>
      </c>
      <c r="H1314" s="10" t="s">
        <v>1883</v>
      </c>
      <c r="I1314" s="10" t="s">
        <v>4614</v>
      </c>
      <c r="J1314" s="10" t="s">
        <v>4615</v>
      </c>
      <c r="K1314" s="10" t="s">
        <v>4616</v>
      </c>
      <c r="L1314" s="65" t="str">
        <f t="shared" si="103"/>
        <v>Mombasa|Kenya|39,666668|-4,050000|+3:00 Africa</v>
      </c>
      <c r="M1314" s="10" t="s">
        <v>4621</v>
      </c>
      <c r="N1314" s="10">
        <f t="shared" si="100"/>
        <v>0</v>
      </c>
      <c r="O1314" t="str">
        <f t="shared" si="104"/>
        <v/>
      </c>
      <c r="P1314" t="str">
        <f>IF(O1314=1,COUNTIF($O$2:O1314,1),"")</f>
        <v/>
      </c>
      <c r="Q1314" t="str">
        <f>IFERROR(INDEX($M$2:$M$2388,MATCH(ROWS($P$2:P1314),$P$2:$P$2388,0)),"")</f>
        <v/>
      </c>
    </row>
    <row r="1315" spans="1:17" ht="15" x14ac:dyDescent="0.25">
      <c r="A1315" s="10">
        <v>1339</v>
      </c>
      <c r="B1315" s="10" t="s">
        <v>4622</v>
      </c>
      <c r="C1315" s="880">
        <f t="shared" si="101"/>
        <v>36.816600000000001</v>
      </c>
      <c r="D1315" s="880">
        <f t="shared" si="102"/>
        <v>-1.2833000000000001</v>
      </c>
      <c r="E1315" s="10">
        <v>36.816665999999998</v>
      </c>
      <c r="F1315" s="10">
        <v>-1.2833330000000001</v>
      </c>
      <c r="G1315" s="10">
        <v>3</v>
      </c>
      <c r="H1315" s="10" t="s">
        <v>1883</v>
      </c>
      <c r="I1315" s="10" t="s">
        <v>4614</v>
      </c>
      <c r="J1315" s="10" t="s">
        <v>4615</v>
      </c>
      <c r="K1315" s="10" t="s">
        <v>4616</v>
      </c>
      <c r="L1315" s="65" t="str">
        <f t="shared" si="103"/>
        <v>Nairobi|Kenya|36,816666|-1,283333|+3:00 Africa</v>
      </c>
      <c r="M1315" s="10" t="s">
        <v>4623</v>
      </c>
      <c r="N1315" s="10">
        <f t="shared" si="100"/>
        <v>0</v>
      </c>
      <c r="O1315" t="str">
        <f t="shared" si="104"/>
        <v/>
      </c>
      <c r="P1315" t="str">
        <f>IF(O1315=1,COUNTIF($O$2:O1315,1),"")</f>
        <v/>
      </c>
      <c r="Q1315" t="str">
        <f>IFERROR(INDEX($M$2:$M$2388,MATCH(ROWS($P$2:P1315),$P$2:$P$2388,0)),"")</f>
        <v/>
      </c>
    </row>
    <row r="1316" spans="1:17" ht="15" x14ac:dyDescent="0.25">
      <c r="A1316" s="10">
        <v>1338</v>
      </c>
      <c r="B1316" s="10" t="s">
        <v>4624</v>
      </c>
      <c r="C1316" s="880">
        <f t="shared" si="101"/>
        <v>36.066600000000001</v>
      </c>
      <c r="D1316" s="880">
        <f t="shared" si="102"/>
        <v>-0.2833</v>
      </c>
      <c r="E1316" s="10">
        <v>36.066665999999998</v>
      </c>
      <c r="F1316" s="10">
        <v>-0.283333</v>
      </c>
      <c r="G1316" s="10">
        <v>3</v>
      </c>
      <c r="H1316" s="10" t="s">
        <v>1883</v>
      </c>
      <c r="I1316" s="10" t="s">
        <v>4614</v>
      </c>
      <c r="J1316" s="10" t="s">
        <v>4615</v>
      </c>
      <c r="K1316" s="10" t="s">
        <v>4616</v>
      </c>
      <c r="L1316" s="65" t="str">
        <f t="shared" si="103"/>
        <v>Nakuru|Kenya|36,066666|-0,283333|+3:00 Africa</v>
      </c>
      <c r="M1316" s="10" t="s">
        <v>4625</v>
      </c>
      <c r="N1316" s="10">
        <f t="shared" si="100"/>
        <v>0</v>
      </c>
      <c r="O1316" t="str">
        <f t="shared" si="104"/>
        <v/>
      </c>
      <c r="P1316" t="str">
        <f>IF(O1316=1,COUNTIF($O$2:O1316,1),"")</f>
        <v/>
      </c>
      <c r="Q1316" t="str">
        <f>IFERROR(INDEX($M$2:$M$2388,MATCH(ROWS($P$2:P1316),$P$2:$P$2388,0)),"")</f>
        <v/>
      </c>
    </row>
    <row r="1317" spans="1:17" ht="15" x14ac:dyDescent="0.25">
      <c r="A1317" s="10">
        <v>1337</v>
      </c>
      <c r="B1317" s="10" t="s">
        <v>4626</v>
      </c>
      <c r="C1317" s="880">
        <f t="shared" si="101"/>
        <v>40.453000000000003</v>
      </c>
      <c r="D1317" s="880">
        <f t="shared" si="102"/>
        <v>-2.3904999999999998</v>
      </c>
      <c r="E1317" s="10">
        <v>40.453055999999997</v>
      </c>
      <c r="F1317" s="10">
        <v>-2.3905560000000001</v>
      </c>
      <c r="G1317" s="10">
        <v>3</v>
      </c>
      <c r="H1317" s="10" t="s">
        <v>1883</v>
      </c>
      <c r="I1317" s="10" t="s">
        <v>4614</v>
      </c>
      <c r="J1317" s="10" t="s">
        <v>4615</v>
      </c>
      <c r="K1317" s="10" t="s">
        <v>4616</v>
      </c>
      <c r="L1317" s="65" t="str">
        <f t="shared" si="103"/>
        <v>Witu|Kenya|40,453056|-2,390556|+3:00 Africa</v>
      </c>
      <c r="M1317" s="10" t="s">
        <v>4627</v>
      </c>
      <c r="N1317" s="10">
        <f t="shared" si="100"/>
        <v>0</v>
      </c>
      <c r="O1317" t="str">
        <f t="shared" si="104"/>
        <v/>
      </c>
      <c r="P1317" t="str">
        <f>IF(O1317=1,COUNTIF($O$2:O1317,1),"")</f>
        <v/>
      </c>
      <c r="Q1317" t="str">
        <f>IFERROR(INDEX($M$2:$M$2388,MATCH(ROWS($P$2:P1317),$P$2:$P$2388,0)),"")</f>
        <v/>
      </c>
    </row>
    <row r="1318" spans="1:17" ht="15" x14ac:dyDescent="0.25">
      <c r="A1318" s="10">
        <v>1336</v>
      </c>
      <c r="B1318" s="10" t="s">
        <v>4628</v>
      </c>
      <c r="C1318" s="880">
        <f t="shared" si="101"/>
        <v>37.633299999999998</v>
      </c>
      <c r="D1318" s="880">
        <f t="shared" si="102"/>
        <v>-1.7833000000000001</v>
      </c>
      <c r="E1318" s="10">
        <v>37.633335000000002</v>
      </c>
      <c r="F1318" s="10">
        <v>-1.7833330000000001</v>
      </c>
      <c r="G1318" s="10">
        <v>3</v>
      </c>
      <c r="H1318" s="10" t="s">
        <v>1883</v>
      </c>
      <c r="I1318" s="10" t="s">
        <v>4614</v>
      </c>
      <c r="J1318" s="10" t="s">
        <v>4615</v>
      </c>
      <c r="K1318" s="10" t="s">
        <v>4616</v>
      </c>
      <c r="L1318" s="65" t="str">
        <f t="shared" si="103"/>
        <v>Wote|Kenya|37,633335|-1,783333|+3:00 Africa</v>
      </c>
      <c r="M1318" s="10" t="s">
        <v>4629</v>
      </c>
      <c r="N1318" s="10">
        <f t="shared" si="100"/>
        <v>0</v>
      </c>
      <c r="O1318" t="str">
        <f t="shared" si="104"/>
        <v/>
      </c>
      <c r="P1318" t="str">
        <f>IF(O1318=1,COUNTIF($O$2:O1318,1),"")</f>
        <v/>
      </c>
      <c r="Q1318" t="str">
        <f>IFERROR(INDEX($M$2:$M$2388,MATCH(ROWS($P$2:P1318),$P$2:$P$2388,0)),"")</f>
        <v/>
      </c>
    </row>
    <row r="1319" spans="1:17" ht="15" x14ac:dyDescent="0.25">
      <c r="A1319" s="10">
        <v>1335</v>
      </c>
      <c r="B1319" s="10" t="s">
        <v>4630</v>
      </c>
      <c r="C1319" s="880">
        <f t="shared" si="101"/>
        <v>38.366599999999998</v>
      </c>
      <c r="D1319" s="880">
        <f t="shared" si="102"/>
        <v>-3.4</v>
      </c>
      <c r="E1319" s="10">
        <v>38.366664999999998</v>
      </c>
      <c r="F1319" s="10">
        <v>-3.4</v>
      </c>
      <c r="G1319" s="10">
        <v>3</v>
      </c>
      <c r="H1319" s="10" t="s">
        <v>1883</v>
      </c>
      <c r="I1319" s="10" t="s">
        <v>4614</v>
      </c>
      <c r="J1319" s="10" t="s">
        <v>4615</v>
      </c>
      <c r="K1319" s="10" t="s">
        <v>4616</v>
      </c>
      <c r="L1319" s="65" t="str">
        <f t="shared" si="103"/>
        <v>Wundanyi|Kenya|38,366665|-3,400000|+3:00 Africa</v>
      </c>
      <c r="M1319" s="10" t="s">
        <v>4631</v>
      </c>
      <c r="N1319" s="10">
        <f t="shared" si="100"/>
        <v>0</v>
      </c>
      <c r="O1319" t="str">
        <f t="shared" si="104"/>
        <v/>
      </c>
      <c r="P1319" t="str">
        <f>IF(O1319=1,COUNTIF($O$2:O1319,1),"")</f>
        <v/>
      </c>
      <c r="Q1319" t="str">
        <f>IFERROR(INDEX($M$2:$M$2388,MATCH(ROWS($P$2:P1319),$P$2:$P$2388,0)),"")</f>
        <v/>
      </c>
    </row>
    <row r="1320" spans="1:17" ht="15" x14ac:dyDescent="0.25">
      <c r="A1320" s="10">
        <v>1350</v>
      </c>
      <c r="B1320" s="10" t="s">
        <v>4632</v>
      </c>
      <c r="C1320" s="880">
        <f t="shared" si="101"/>
        <v>172.97800000000001</v>
      </c>
      <c r="D1320" s="880">
        <f t="shared" si="102"/>
        <v>1.3290999999999999</v>
      </c>
      <c r="E1320" s="10">
        <v>172.97801200000001</v>
      </c>
      <c r="F1320" s="10">
        <v>1.3291409999999999</v>
      </c>
      <c r="G1320" s="10">
        <v>12</v>
      </c>
      <c r="H1320" s="10" t="s">
        <v>3301</v>
      </c>
      <c r="I1320" s="10" t="s">
        <v>4633</v>
      </c>
      <c r="J1320" s="10" t="s">
        <v>4634</v>
      </c>
      <c r="K1320" s="10" t="s">
        <v>4635</v>
      </c>
      <c r="L1320" s="65" t="str">
        <f t="shared" si="103"/>
        <v>Bairiki|Kiribati|172,978012|1,329141|+12:00 Pacific</v>
      </c>
      <c r="M1320" s="10" t="s">
        <v>4636</v>
      </c>
      <c r="N1320" s="10">
        <f t="shared" si="100"/>
        <v>0</v>
      </c>
      <c r="O1320" t="str">
        <f t="shared" si="104"/>
        <v/>
      </c>
      <c r="P1320" t="str">
        <f>IF(O1320=1,COUNTIF($O$2:O1320,1),"")</f>
        <v/>
      </c>
      <c r="Q1320" t="str">
        <f>IFERROR(INDEX($M$2:$M$2388,MATCH(ROWS($P$2:P1320),$P$2:$P$2388,0)),"")</f>
        <v/>
      </c>
    </row>
    <row r="1321" spans="1:17" ht="15" x14ac:dyDescent="0.25">
      <c r="A1321" s="10">
        <v>1401</v>
      </c>
      <c r="B1321" s="10" t="s">
        <v>4637</v>
      </c>
      <c r="C1321" s="880">
        <f t="shared" si="101"/>
        <v>48.274700000000003</v>
      </c>
      <c r="D1321" s="880">
        <f t="shared" si="102"/>
        <v>29.442399999999999</v>
      </c>
      <c r="E1321" s="10">
        <v>48.274723000000002</v>
      </c>
      <c r="F1321" s="10">
        <v>29.442499000000002</v>
      </c>
      <c r="G1321" s="10">
        <v>3</v>
      </c>
      <c r="H1321" s="10" t="s">
        <v>1883</v>
      </c>
      <c r="I1321" s="10" t="s">
        <v>4638</v>
      </c>
      <c r="J1321" s="10" t="s">
        <v>4639</v>
      </c>
      <c r="K1321" s="10" t="s">
        <v>4640</v>
      </c>
      <c r="L1321" s="65" t="str">
        <f t="shared" si="103"/>
        <v>Az Zawr|Kuwait|48,274723|29,442499|+3:00 Asia</v>
      </c>
      <c r="M1321" s="10" t="s">
        <v>4641</v>
      </c>
      <c r="N1321" s="10">
        <f t="shared" si="100"/>
        <v>0</v>
      </c>
      <c r="O1321" t="str">
        <f t="shared" si="104"/>
        <v/>
      </c>
      <c r="P1321" t="str">
        <f>IF(O1321=1,COUNTIF($O$2:O1321,1),"")</f>
        <v/>
      </c>
      <c r="Q1321" t="str">
        <f>IFERROR(INDEX($M$2:$M$2388,MATCH(ROWS($P$2:P1321),$P$2:$P$2388,0)),"")</f>
        <v/>
      </c>
    </row>
    <row r="1322" spans="1:17" ht="15" x14ac:dyDescent="0.25">
      <c r="A1322" s="10">
        <v>1399</v>
      </c>
      <c r="B1322" s="10" t="s">
        <v>4642</v>
      </c>
      <c r="C1322" s="880">
        <f t="shared" si="101"/>
        <v>48.039099999999998</v>
      </c>
      <c r="D1322" s="880">
        <f t="shared" si="102"/>
        <v>29.318000000000001</v>
      </c>
      <c r="E1322" s="10">
        <v>48.039164999999997</v>
      </c>
      <c r="F1322" s="10">
        <v>29.318055999999999</v>
      </c>
      <c r="G1322" s="10">
        <v>3</v>
      </c>
      <c r="H1322" s="10" t="s">
        <v>1883</v>
      </c>
      <c r="I1322" s="10" t="s">
        <v>4638</v>
      </c>
      <c r="J1322" s="10" t="s">
        <v>4639</v>
      </c>
      <c r="K1322" s="10" t="s">
        <v>4640</v>
      </c>
      <c r="L1322" s="65" t="str">
        <f t="shared" si="103"/>
        <v>Bayan|Kuwait|48,039165|29,318056|+3:00 Asia</v>
      </c>
      <c r="M1322" s="10" t="s">
        <v>4643</v>
      </c>
      <c r="N1322" s="10">
        <f t="shared" si="100"/>
        <v>0</v>
      </c>
      <c r="O1322" t="str">
        <f t="shared" si="104"/>
        <v/>
      </c>
      <c r="P1322" t="str">
        <f>IF(O1322=1,COUNTIF($O$2:O1322,1),"")</f>
        <v/>
      </c>
      <c r="Q1322" t="str">
        <f>IFERROR(INDEX($M$2:$M$2388,MATCH(ROWS($P$2:P1322),$P$2:$P$2388,0)),"")</f>
        <v/>
      </c>
    </row>
    <row r="1323" spans="1:17" ht="15" x14ac:dyDescent="0.25">
      <c r="A1323" s="10">
        <v>1398</v>
      </c>
      <c r="B1323" s="10" t="s">
        <v>4644</v>
      </c>
      <c r="C1323" s="880">
        <f t="shared" si="101"/>
        <v>47.978000000000002</v>
      </c>
      <c r="D1323" s="880">
        <f t="shared" si="102"/>
        <v>29.269100000000002</v>
      </c>
      <c r="E1323" s="10">
        <v>47.978054</v>
      </c>
      <c r="F1323" s="10">
        <v>29.269166999999999</v>
      </c>
      <c r="G1323" s="10">
        <v>3</v>
      </c>
      <c r="H1323" s="10" t="s">
        <v>1883</v>
      </c>
      <c r="I1323" s="10" t="s">
        <v>4638</v>
      </c>
      <c r="J1323" s="10" t="s">
        <v>4639</v>
      </c>
      <c r="K1323" s="10" t="s">
        <v>4640</v>
      </c>
      <c r="L1323" s="65" t="str">
        <f t="shared" si="103"/>
        <v>Janub as Surrah|Kuwait|47,978054|29,269167|+3:00 Asia</v>
      </c>
      <c r="M1323" s="10" t="s">
        <v>4645</v>
      </c>
      <c r="N1323" s="10">
        <f t="shared" si="100"/>
        <v>0</v>
      </c>
      <c r="O1323" t="str">
        <f t="shared" si="104"/>
        <v/>
      </c>
      <c r="P1323" t="str">
        <f>IF(O1323=1,COUNTIF($O$2:O1323,1),"")</f>
        <v/>
      </c>
      <c r="Q1323" t="str">
        <f>IFERROR(INDEX($M$2:$M$2388,MATCH(ROWS($P$2:P1323),$P$2:$P$2388,0)),"")</f>
        <v/>
      </c>
    </row>
    <row r="1324" spans="1:17" ht="15" x14ac:dyDescent="0.25">
      <c r="A1324" s="10">
        <v>1400</v>
      </c>
      <c r="B1324" s="10" t="s">
        <v>4646</v>
      </c>
      <c r="C1324" s="880">
        <f t="shared" si="101"/>
        <v>47.97</v>
      </c>
      <c r="D1324" s="880">
        <f t="shared" si="102"/>
        <v>29.35</v>
      </c>
      <c r="E1324" s="10">
        <v>47.970001000000003</v>
      </c>
      <c r="F1324" s="10">
        <v>29.35</v>
      </c>
      <c r="G1324" s="10">
        <v>3</v>
      </c>
      <c r="H1324" s="10" t="s">
        <v>1883</v>
      </c>
      <c r="I1324" s="10" t="s">
        <v>4638</v>
      </c>
      <c r="J1324" s="10" t="s">
        <v>4639</v>
      </c>
      <c r="K1324" s="10" t="s">
        <v>4640</v>
      </c>
      <c r="L1324" s="65" t="str">
        <f t="shared" si="103"/>
        <v>Kuwait City|Kuwait|47,970001|29,350000|+3:00 Asia</v>
      </c>
      <c r="M1324" s="10" t="s">
        <v>4647</v>
      </c>
      <c r="N1324" s="10">
        <f t="shared" si="100"/>
        <v>0</v>
      </c>
      <c r="O1324" t="str">
        <f t="shared" si="104"/>
        <v/>
      </c>
      <c r="P1324" t="str">
        <f>IF(O1324=1,COUNTIF($O$2:O1324,1),"")</f>
        <v/>
      </c>
      <c r="Q1324" t="str">
        <f>IFERROR(INDEX($M$2:$M$2388,MATCH(ROWS($P$2:P1324),$P$2:$P$2388,0)),"")</f>
        <v/>
      </c>
    </row>
    <row r="1325" spans="1:17" ht="15" x14ac:dyDescent="0.25">
      <c r="A1325" s="10">
        <v>1346</v>
      </c>
      <c r="B1325" s="10" t="s">
        <v>4648</v>
      </c>
      <c r="C1325" s="880">
        <f t="shared" si="101"/>
        <v>74.600200000000001</v>
      </c>
      <c r="D1325" s="880">
        <f t="shared" si="102"/>
        <v>42.872999999999998</v>
      </c>
      <c r="E1325" s="10">
        <v>74.600280999999995</v>
      </c>
      <c r="F1325" s="10">
        <v>42.873055000000001</v>
      </c>
      <c r="G1325" s="10">
        <v>6</v>
      </c>
      <c r="H1325" s="10" t="s">
        <v>1895</v>
      </c>
      <c r="I1325" s="10" t="s">
        <v>4649</v>
      </c>
      <c r="J1325" s="10" t="s">
        <v>4650</v>
      </c>
      <c r="K1325" s="10" t="s">
        <v>4651</v>
      </c>
      <c r="L1325" s="65" t="str">
        <f t="shared" si="103"/>
        <v>Bishkek|Kyrgyzstan|74,600281|42,873055|+6:00 Asia</v>
      </c>
      <c r="M1325" s="10" t="s">
        <v>4652</v>
      </c>
      <c r="N1325" s="10">
        <f t="shared" si="100"/>
        <v>0</v>
      </c>
      <c r="O1325" t="str">
        <f t="shared" si="104"/>
        <v/>
      </c>
      <c r="P1325" t="str">
        <f>IF(O1325=1,COUNTIF($O$2:O1325,1),"")</f>
        <v/>
      </c>
      <c r="Q1325" t="str">
        <f>IFERROR(INDEX($M$2:$M$2388,MATCH(ROWS($P$2:P1325),$P$2:$P$2388,0)),"")</f>
        <v/>
      </c>
    </row>
    <row r="1326" spans="1:17" ht="15" x14ac:dyDescent="0.25">
      <c r="A1326" s="10">
        <v>1345</v>
      </c>
      <c r="B1326" s="10" t="s">
        <v>4653</v>
      </c>
      <c r="C1326" s="880">
        <f t="shared" si="101"/>
        <v>69.516599999999997</v>
      </c>
      <c r="D1326" s="880">
        <f t="shared" si="102"/>
        <v>39.833300000000001</v>
      </c>
      <c r="E1326" s="10">
        <v>69.516670000000005</v>
      </c>
      <c r="F1326" s="10">
        <v>39.833331999999999</v>
      </c>
      <c r="G1326" s="10">
        <v>6</v>
      </c>
      <c r="H1326" s="10" t="s">
        <v>1895</v>
      </c>
      <c r="I1326" s="10" t="s">
        <v>4649</v>
      </c>
      <c r="J1326" s="10" t="s">
        <v>4650</v>
      </c>
      <c r="K1326" s="10" t="s">
        <v>4651</v>
      </c>
      <c r="L1326" s="65" t="str">
        <f t="shared" si="103"/>
        <v>Isfana|Kyrgyzstan|69,516670|39,833332|+6:00 Asia</v>
      </c>
      <c r="M1326" s="10" t="s">
        <v>4654</v>
      </c>
      <c r="N1326" s="10">
        <f t="shared" si="100"/>
        <v>0</v>
      </c>
      <c r="O1326" t="str">
        <f t="shared" si="104"/>
        <v/>
      </c>
      <c r="P1326" t="str">
        <f>IF(O1326=1,COUNTIF($O$2:O1326,1),"")</f>
        <v/>
      </c>
      <c r="Q1326" t="str">
        <f>IFERROR(INDEX($M$2:$M$2388,MATCH(ROWS($P$2:P1326),$P$2:$P$2388,0)),"")</f>
        <v/>
      </c>
    </row>
    <row r="1327" spans="1:17" ht="15" x14ac:dyDescent="0.25">
      <c r="A1327" s="10">
        <v>1344</v>
      </c>
      <c r="B1327" s="10" t="s">
        <v>4655</v>
      </c>
      <c r="C1327" s="880">
        <f t="shared" si="101"/>
        <v>71.345799999999997</v>
      </c>
      <c r="D1327" s="880">
        <f t="shared" si="102"/>
        <v>39.941299999999998</v>
      </c>
      <c r="E1327" s="10">
        <v>71.345832999999999</v>
      </c>
      <c r="F1327" s="10">
        <v>39.941386999999999</v>
      </c>
      <c r="G1327" s="10">
        <v>6</v>
      </c>
      <c r="H1327" s="10" t="s">
        <v>1895</v>
      </c>
      <c r="I1327" s="10" t="s">
        <v>4649</v>
      </c>
      <c r="J1327" s="10" t="s">
        <v>4650</v>
      </c>
      <c r="K1327" s="10" t="s">
        <v>4651</v>
      </c>
      <c r="L1327" s="65" t="str">
        <f t="shared" si="103"/>
        <v>Khaydarkan|Kyrgyzstan|71,345833|39,941387|+6:00 Asia</v>
      </c>
      <c r="M1327" s="10" t="s">
        <v>4656</v>
      </c>
      <c r="N1327" s="10">
        <f t="shared" si="100"/>
        <v>0</v>
      </c>
      <c r="O1327" t="str">
        <f t="shared" si="104"/>
        <v/>
      </c>
      <c r="P1327" t="str">
        <f>IF(O1327=1,COUNTIF($O$2:O1327,1),"")</f>
        <v/>
      </c>
      <c r="Q1327" t="str">
        <f>IFERROR(INDEX($M$2:$M$2388,MATCH(ROWS($P$2:P1327),$P$2:$P$2388,0)),"")</f>
        <v/>
      </c>
    </row>
    <row r="1328" spans="1:17" ht="15" x14ac:dyDescent="0.25">
      <c r="A1328" s="10">
        <v>1343</v>
      </c>
      <c r="B1328" s="10" t="s">
        <v>4657</v>
      </c>
      <c r="C1328" s="880">
        <f t="shared" si="101"/>
        <v>69.569699999999997</v>
      </c>
      <c r="D1328" s="880">
        <f t="shared" si="102"/>
        <v>39.930199999999999</v>
      </c>
      <c r="E1328" s="10">
        <v>69.569725000000005</v>
      </c>
      <c r="F1328" s="10">
        <v>39.930278999999999</v>
      </c>
      <c r="G1328" s="10">
        <v>6</v>
      </c>
      <c r="H1328" s="10" t="s">
        <v>1895</v>
      </c>
      <c r="I1328" s="10" t="s">
        <v>4649</v>
      </c>
      <c r="J1328" s="10" t="s">
        <v>4650</v>
      </c>
      <c r="K1328" s="10" t="s">
        <v>4651</v>
      </c>
      <c r="L1328" s="65" t="str">
        <f t="shared" si="103"/>
        <v>Suluktu|Kyrgyzstan|69,569725|39,930279|+6:00 Asia</v>
      </c>
      <c r="M1328" s="10" t="s">
        <v>4658</v>
      </c>
      <c r="N1328" s="10">
        <f t="shared" si="100"/>
        <v>0</v>
      </c>
      <c r="O1328" t="str">
        <f t="shared" si="104"/>
        <v/>
      </c>
      <c r="P1328" t="str">
        <f>IF(O1328=1,COUNTIF($O$2:O1328,1),"")</f>
        <v/>
      </c>
      <c r="Q1328" t="str">
        <f>IFERROR(INDEX($M$2:$M$2388,MATCH(ROWS($P$2:P1328),$P$2:$P$2388,0)),"")</f>
        <v/>
      </c>
    </row>
    <row r="1329" spans="1:17" ht="15" x14ac:dyDescent="0.25">
      <c r="A1329" s="10">
        <v>1420</v>
      </c>
      <c r="B1329" s="10" t="s">
        <v>4659</v>
      </c>
      <c r="C1329" s="880">
        <f t="shared" si="101"/>
        <v>104.75</v>
      </c>
      <c r="D1329" s="880">
        <f t="shared" si="102"/>
        <v>16.549900000000001</v>
      </c>
      <c r="E1329" s="10">
        <v>104.75</v>
      </c>
      <c r="F1329" s="10">
        <v>16.549999</v>
      </c>
      <c r="G1329" s="10">
        <v>7</v>
      </c>
      <c r="H1329" s="10" t="s">
        <v>2363</v>
      </c>
      <c r="I1329" s="10" t="s">
        <v>4660</v>
      </c>
      <c r="J1329" s="10" t="s">
        <v>4661</v>
      </c>
      <c r="K1329" s="10" t="s">
        <v>4662</v>
      </c>
      <c r="L1329" s="65" t="str">
        <f t="shared" si="103"/>
        <v>Savannakhet|Laos|104,750000|16,549999|+7:00 Asia</v>
      </c>
      <c r="M1329" s="10" t="s">
        <v>4663</v>
      </c>
      <c r="N1329" s="10">
        <f t="shared" si="100"/>
        <v>0</v>
      </c>
      <c r="O1329" t="str">
        <f t="shared" si="104"/>
        <v/>
      </c>
      <c r="P1329" t="str">
        <f>IF(O1329=1,COUNTIF($O$2:O1329,1),"")</f>
        <v/>
      </c>
      <c r="Q1329" t="str">
        <f>IFERROR(INDEX($M$2:$M$2388,MATCH(ROWS($P$2:P1329),$P$2:$P$2388,0)),"")</f>
        <v/>
      </c>
    </row>
    <row r="1330" spans="1:17" ht="15" x14ac:dyDescent="0.25">
      <c r="A1330" s="10">
        <v>1418</v>
      </c>
      <c r="B1330" s="10" t="s">
        <v>4664</v>
      </c>
      <c r="C1330" s="880">
        <f t="shared" si="101"/>
        <v>102.59990000000001</v>
      </c>
      <c r="D1330" s="880">
        <f t="shared" si="102"/>
        <v>17.9666</v>
      </c>
      <c r="E1330" s="10">
        <v>102.599998</v>
      </c>
      <c r="F1330" s="10">
        <v>17.966667000000001</v>
      </c>
      <c r="G1330" s="10">
        <v>7</v>
      </c>
      <c r="H1330" s="10" t="s">
        <v>2363</v>
      </c>
      <c r="I1330" s="10" t="s">
        <v>4660</v>
      </c>
      <c r="J1330" s="10" t="s">
        <v>4661</v>
      </c>
      <c r="K1330" s="10" t="s">
        <v>4662</v>
      </c>
      <c r="L1330" s="65" t="str">
        <f t="shared" si="103"/>
        <v>Vientiane|Laos|102,599998|17,966667|+7:00 Asia</v>
      </c>
      <c r="M1330" s="10" t="s">
        <v>4665</v>
      </c>
      <c r="N1330" s="10">
        <f t="shared" si="100"/>
        <v>0</v>
      </c>
      <c r="O1330" t="str">
        <f t="shared" si="104"/>
        <v/>
      </c>
      <c r="P1330" t="str">
        <f>IF(O1330=1,COUNTIF($O$2:O1330,1),"")</f>
        <v/>
      </c>
      <c r="Q1330" t="str">
        <f>IFERROR(INDEX($M$2:$M$2388,MATCH(ROWS($P$2:P1330),$P$2:$P$2388,0)),"")</f>
        <v/>
      </c>
    </row>
    <row r="1331" spans="1:17" ht="15" x14ac:dyDescent="0.25">
      <c r="A1331" s="10">
        <v>1419</v>
      </c>
      <c r="B1331" s="10" t="s">
        <v>4666</v>
      </c>
      <c r="C1331" s="880">
        <f t="shared" si="101"/>
        <v>104.0438</v>
      </c>
      <c r="D1331" s="880">
        <f t="shared" si="102"/>
        <v>20.419699999999999</v>
      </c>
      <c r="E1331" s="10">
        <v>104.043892</v>
      </c>
      <c r="F1331" s="10">
        <v>20.419722</v>
      </c>
      <c r="G1331" s="10">
        <v>7</v>
      </c>
      <c r="H1331" s="10" t="s">
        <v>2363</v>
      </c>
      <c r="I1331" s="10" t="s">
        <v>4660</v>
      </c>
      <c r="J1331" s="10" t="s">
        <v>4661</v>
      </c>
      <c r="K1331" s="10" t="s">
        <v>4662</v>
      </c>
      <c r="L1331" s="65" t="str">
        <f t="shared" si="103"/>
        <v>Xam Nua|Laos|104,043892|20,419722|+7:00 Asia</v>
      </c>
      <c r="M1331" s="10" t="s">
        <v>4667</v>
      </c>
      <c r="N1331" s="10">
        <f t="shared" si="100"/>
        <v>0</v>
      </c>
      <c r="O1331" t="str">
        <f t="shared" si="104"/>
        <v/>
      </c>
      <c r="P1331" t="str">
        <f>IF(O1331=1,COUNTIF($O$2:O1331,1),"")</f>
        <v/>
      </c>
      <c r="Q1331" t="str">
        <f>IFERROR(INDEX($M$2:$M$2388,MATCH(ROWS($P$2:P1331),$P$2:$P$2388,0)),"")</f>
        <v/>
      </c>
    </row>
    <row r="1332" spans="1:17" ht="15" x14ac:dyDescent="0.25">
      <c r="A1332" s="10">
        <v>1452</v>
      </c>
      <c r="B1332" s="10" t="s">
        <v>4668</v>
      </c>
      <c r="C1332" s="880">
        <f t="shared" si="101"/>
        <v>24.1</v>
      </c>
      <c r="D1332" s="880">
        <f t="shared" si="102"/>
        <v>56.95</v>
      </c>
      <c r="E1332" s="10">
        <v>24.1</v>
      </c>
      <c r="F1332" s="10">
        <v>56.950001</v>
      </c>
      <c r="G1332" s="10">
        <v>2</v>
      </c>
      <c r="H1332" s="10" t="s">
        <v>1938</v>
      </c>
      <c r="I1332" s="10" t="s">
        <v>4669</v>
      </c>
      <c r="J1332" s="10" t="s">
        <v>4670</v>
      </c>
      <c r="K1332" s="10" t="s">
        <v>4671</v>
      </c>
      <c r="L1332" s="65" t="str">
        <f t="shared" si="103"/>
        <v>Riga|Latvia|24,100000|56,950001|+2:00 Europe</v>
      </c>
      <c r="M1332" s="10" t="s">
        <v>4672</v>
      </c>
      <c r="N1332" s="10">
        <f t="shared" si="100"/>
        <v>0</v>
      </c>
      <c r="O1332" t="str">
        <f t="shared" si="104"/>
        <v/>
      </c>
      <c r="P1332" t="str">
        <f>IF(O1332=1,COUNTIF($O$2:O1332,1),"")</f>
        <v/>
      </c>
      <c r="Q1332" t="str">
        <f>IFERROR(INDEX($M$2:$M$2388,MATCH(ROWS($P$2:P1332),$P$2:$P$2388,0)),"")</f>
        <v/>
      </c>
    </row>
    <row r="1333" spans="1:17" ht="15" x14ac:dyDescent="0.25">
      <c r="A1333" s="10">
        <v>1449</v>
      </c>
      <c r="B1333" s="10" t="s">
        <v>4673</v>
      </c>
      <c r="C1333" s="880">
        <f t="shared" si="101"/>
        <v>25.424399999999999</v>
      </c>
      <c r="D1333" s="880">
        <f t="shared" si="102"/>
        <v>57.535899999999998</v>
      </c>
      <c r="E1333" s="10">
        <v>25.424423000000001</v>
      </c>
      <c r="F1333" s="10">
        <v>57.535915000000003</v>
      </c>
      <c r="G1333" s="10">
        <v>2</v>
      </c>
      <c r="H1333" s="10" t="s">
        <v>1938</v>
      </c>
      <c r="I1333" s="10" t="s">
        <v>4669</v>
      </c>
      <c r="J1333" s="10" t="s">
        <v>4670</v>
      </c>
      <c r="K1333" s="10" t="s">
        <v>4671</v>
      </c>
      <c r="L1333" s="65" t="str">
        <f t="shared" si="103"/>
        <v>Valmiera|Latvia|25,424423|57,535915|+2:00 Europe</v>
      </c>
      <c r="M1333" s="10" t="s">
        <v>4674</v>
      </c>
      <c r="N1333" s="10">
        <f t="shared" si="100"/>
        <v>0</v>
      </c>
      <c r="O1333" t="str">
        <f t="shared" si="104"/>
        <v/>
      </c>
      <c r="P1333" t="str">
        <f>IF(O1333=1,COUNTIF($O$2:O1333,1),"")</f>
        <v/>
      </c>
      <c r="Q1333" t="str">
        <f>IFERROR(INDEX($M$2:$M$2388,MATCH(ROWS($P$2:P1333),$P$2:$P$2388,0)),"")</f>
        <v/>
      </c>
    </row>
    <row r="1334" spans="1:17" ht="15" x14ac:dyDescent="0.25">
      <c r="A1334" s="10">
        <v>1451</v>
      </c>
      <c r="B1334" s="10" t="s">
        <v>4675</v>
      </c>
      <c r="C1334" s="880">
        <f t="shared" si="101"/>
        <v>21.0166</v>
      </c>
      <c r="D1334" s="880">
        <f t="shared" si="102"/>
        <v>56.533299999999997</v>
      </c>
      <c r="E1334" s="10">
        <v>21.016666000000001</v>
      </c>
      <c r="F1334" s="10">
        <v>56.533332999999999</v>
      </c>
      <c r="G1334" s="10">
        <v>2</v>
      </c>
      <c r="H1334" s="10" t="s">
        <v>1938</v>
      </c>
      <c r="I1334" s="10" t="s">
        <v>4669</v>
      </c>
      <c r="J1334" s="10" t="s">
        <v>4670</v>
      </c>
      <c r="K1334" s="10" t="s">
        <v>4671</v>
      </c>
      <c r="L1334" s="65" t="str">
        <f t="shared" si="103"/>
        <v>Vec-Liepaja|Latvia|21,016666|56,533333|+2:00 Europe</v>
      </c>
      <c r="M1334" s="10" t="s">
        <v>4676</v>
      </c>
      <c r="N1334" s="10">
        <f t="shared" si="100"/>
        <v>0</v>
      </c>
      <c r="O1334" t="str">
        <f t="shared" si="104"/>
        <v/>
      </c>
      <c r="P1334" t="str">
        <f>IF(O1334=1,COUNTIF($O$2:O1334,1),"")</f>
        <v/>
      </c>
      <c r="Q1334" t="str">
        <f>IFERROR(INDEX($M$2:$M$2388,MATCH(ROWS($P$2:P1334),$P$2:$P$2388,0)),"")</f>
        <v/>
      </c>
    </row>
    <row r="1335" spans="1:17" ht="15" x14ac:dyDescent="0.25">
      <c r="A1335" s="10">
        <v>1450</v>
      </c>
      <c r="B1335" s="10" t="s">
        <v>4677</v>
      </c>
      <c r="C1335" s="880">
        <f t="shared" si="101"/>
        <v>21.560500000000001</v>
      </c>
      <c r="D1335" s="880">
        <f t="shared" si="102"/>
        <v>57.389400000000002</v>
      </c>
      <c r="E1335" s="10">
        <v>21.560555999999998</v>
      </c>
      <c r="F1335" s="10">
        <v>57.389446</v>
      </c>
      <c r="G1335" s="10">
        <v>2</v>
      </c>
      <c r="H1335" s="10" t="s">
        <v>1938</v>
      </c>
      <c r="I1335" s="10" t="s">
        <v>4669</v>
      </c>
      <c r="J1335" s="10" t="s">
        <v>4670</v>
      </c>
      <c r="K1335" s="10" t="s">
        <v>4671</v>
      </c>
      <c r="L1335" s="65" t="str">
        <f t="shared" si="103"/>
        <v>Ventspils|Latvia|21,560556|57,389446|+2:00 Europe</v>
      </c>
      <c r="M1335" s="10" t="s">
        <v>4678</v>
      </c>
      <c r="N1335" s="10">
        <f t="shared" si="100"/>
        <v>0</v>
      </c>
      <c r="O1335" t="str">
        <f t="shared" si="104"/>
        <v/>
      </c>
      <c r="P1335" t="str">
        <f>IF(O1335=1,COUNTIF($O$2:O1335,1),"")</f>
        <v/>
      </c>
      <c r="Q1335" t="str">
        <f>IFERROR(INDEX($M$2:$M$2388,MATCH(ROWS($P$2:P1335),$P$2:$P$2388,0)),"")</f>
        <v/>
      </c>
    </row>
    <row r="1336" spans="1:17" ht="15" x14ac:dyDescent="0.25">
      <c r="A1336" s="10">
        <v>1425</v>
      </c>
      <c r="B1336" s="10" t="s">
        <v>4679</v>
      </c>
      <c r="C1336" s="880">
        <f t="shared" si="101"/>
        <v>35.509700000000002</v>
      </c>
      <c r="D1336" s="880">
        <f t="shared" si="102"/>
        <v>33.871899999999997</v>
      </c>
      <c r="E1336" s="10">
        <v>35.509723999999999</v>
      </c>
      <c r="F1336" s="10">
        <v>33.871943999999999</v>
      </c>
      <c r="G1336" s="10">
        <v>2</v>
      </c>
      <c r="H1336" s="10" t="s">
        <v>1938</v>
      </c>
      <c r="I1336" s="10" t="s">
        <v>4680</v>
      </c>
      <c r="J1336" s="10" t="s">
        <v>4681</v>
      </c>
      <c r="K1336" s="10" t="s">
        <v>4682</v>
      </c>
      <c r="L1336" s="65" t="str">
        <f t="shared" si="103"/>
        <v>Beirut|Lebanon|35,509724|33,871944|+2:00 Asia</v>
      </c>
      <c r="M1336" s="10" t="s">
        <v>4683</v>
      </c>
      <c r="N1336" s="10">
        <f t="shared" si="100"/>
        <v>0</v>
      </c>
      <c r="O1336" t="str">
        <f t="shared" si="104"/>
        <v/>
      </c>
      <c r="P1336" t="str">
        <f>IF(O1336=1,COUNTIF($O$2:O1336,1),"")</f>
        <v/>
      </c>
      <c r="Q1336" t="str">
        <f>IFERROR(INDEX($M$2:$M$2388,MATCH(ROWS($P$2:P1336),$P$2:$P$2388,0)),"")</f>
        <v/>
      </c>
    </row>
    <row r="1337" spans="1:17" ht="15" x14ac:dyDescent="0.25">
      <c r="A1337" s="10">
        <v>1424</v>
      </c>
      <c r="B1337" s="10" t="s">
        <v>4684</v>
      </c>
      <c r="C1337" s="880">
        <f t="shared" si="101"/>
        <v>35.4833</v>
      </c>
      <c r="D1337" s="880">
        <f t="shared" si="102"/>
        <v>33.9</v>
      </c>
      <c r="E1337" s="10">
        <v>35.483333999999999</v>
      </c>
      <c r="F1337" s="10">
        <v>33.900002000000001</v>
      </c>
      <c r="G1337" s="10">
        <v>2</v>
      </c>
      <c r="H1337" s="10" t="s">
        <v>1938</v>
      </c>
      <c r="I1337" s="10" t="s">
        <v>4680</v>
      </c>
      <c r="J1337" s="10" t="s">
        <v>4681</v>
      </c>
      <c r="K1337" s="10" t="s">
        <v>4682</v>
      </c>
      <c r="L1337" s="65" t="str">
        <f t="shared" si="103"/>
        <v>Ra's Bayrut|Lebanon|35,483334|33,900002|+2:00 Asia</v>
      </c>
      <c r="M1337" s="10" t="s">
        <v>4685</v>
      </c>
      <c r="N1337" s="10">
        <f t="shared" si="100"/>
        <v>0</v>
      </c>
      <c r="O1337" t="str">
        <f t="shared" si="104"/>
        <v/>
      </c>
      <c r="P1337" t="str">
        <f>IF(O1337=1,COUNTIF($O$2:O1337,1),"")</f>
        <v/>
      </c>
      <c r="Q1337" t="str">
        <f>IFERROR(INDEX($M$2:$M$2388,MATCH(ROWS($P$2:P1337),$P$2:$P$2388,0)),"")</f>
        <v/>
      </c>
    </row>
    <row r="1338" spans="1:17" ht="15" x14ac:dyDescent="0.25">
      <c r="A1338" s="10">
        <v>1422</v>
      </c>
      <c r="B1338" s="10" t="s">
        <v>4686</v>
      </c>
      <c r="C1338" s="880">
        <f t="shared" si="101"/>
        <v>35.849699999999999</v>
      </c>
      <c r="D1338" s="880">
        <f t="shared" si="102"/>
        <v>34.436599999999999</v>
      </c>
      <c r="E1338" s="10">
        <v>35.849724000000002</v>
      </c>
      <c r="F1338" s="10">
        <v>34.436667999999997</v>
      </c>
      <c r="G1338" s="10">
        <v>2</v>
      </c>
      <c r="H1338" s="10" t="s">
        <v>1938</v>
      </c>
      <c r="I1338" s="10" t="s">
        <v>4680</v>
      </c>
      <c r="J1338" s="10" t="s">
        <v>4681</v>
      </c>
      <c r="K1338" s="10" t="s">
        <v>4682</v>
      </c>
      <c r="L1338" s="65" t="str">
        <f t="shared" si="103"/>
        <v>Tripoli|Lebanon|35,849724|34,436668|+2:00 Asia</v>
      </c>
      <c r="M1338" s="10" t="s">
        <v>4687</v>
      </c>
      <c r="N1338" s="10">
        <f t="shared" si="100"/>
        <v>0</v>
      </c>
      <c r="O1338" t="str">
        <f t="shared" si="104"/>
        <v/>
      </c>
      <c r="P1338" t="str">
        <f>IF(O1338=1,COUNTIF($O$2:O1338,1),"")</f>
        <v/>
      </c>
      <c r="Q1338" t="str">
        <f>IFERROR(INDEX($M$2:$M$2388,MATCH(ROWS($P$2:P1338),$P$2:$P$2388,0)),"")</f>
        <v/>
      </c>
    </row>
    <row r="1339" spans="1:17" ht="15" x14ac:dyDescent="0.25">
      <c r="A1339" s="10">
        <v>1423</v>
      </c>
      <c r="B1339" s="10" t="s">
        <v>4688</v>
      </c>
      <c r="C1339" s="880">
        <f t="shared" si="101"/>
        <v>35.193800000000003</v>
      </c>
      <c r="D1339" s="880">
        <f t="shared" si="102"/>
        <v>33.273299999999999</v>
      </c>
      <c r="E1339" s="10">
        <v>35.193890000000003</v>
      </c>
      <c r="F1339" s="10">
        <v>33.273335000000003</v>
      </c>
      <c r="G1339" s="10">
        <v>2</v>
      </c>
      <c r="H1339" s="10" t="s">
        <v>1938</v>
      </c>
      <c r="I1339" s="10" t="s">
        <v>4680</v>
      </c>
      <c r="J1339" s="10" t="s">
        <v>4681</v>
      </c>
      <c r="K1339" s="10" t="s">
        <v>4682</v>
      </c>
      <c r="L1339" s="65" t="str">
        <f t="shared" si="103"/>
        <v>Tyre|Lebanon|35,193890|33,273335|+2:00 Asia</v>
      </c>
      <c r="M1339" s="10" t="s">
        <v>4689</v>
      </c>
      <c r="N1339" s="10">
        <f t="shared" si="100"/>
        <v>0</v>
      </c>
      <c r="O1339" t="str">
        <f t="shared" si="104"/>
        <v/>
      </c>
      <c r="P1339" t="str">
        <f>IF(O1339=1,COUNTIF($O$2:O1339,1),"")</f>
        <v/>
      </c>
      <c r="Q1339" t="str">
        <f>IFERROR(INDEX($M$2:$M$2388,MATCH(ROWS($P$2:P1339),$P$2:$P$2388,0)),"")</f>
        <v/>
      </c>
    </row>
    <row r="1340" spans="1:17" ht="15" x14ac:dyDescent="0.25">
      <c r="A1340" s="10">
        <v>1421</v>
      </c>
      <c r="B1340" s="10" t="s">
        <v>4690</v>
      </c>
      <c r="C1340" s="880">
        <f t="shared" si="101"/>
        <v>35.9041</v>
      </c>
      <c r="D1340" s="880">
        <f t="shared" si="102"/>
        <v>33.849699999999999</v>
      </c>
      <c r="E1340" s="10">
        <v>35.904167000000001</v>
      </c>
      <c r="F1340" s="10">
        <v>33.849724000000002</v>
      </c>
      <c r="G1340" s="10">
        <v>2</v>
      </c>
      <c r="H1340" s="10" t="s">
        <v>1938</v>
      </c>
      <c r="I1340" s="10" t="s">
        <v>4680</v>
      </c>
      <c r="J1340" s="10" t="s">
        <v>4681</v>
      </c>
      <c r="K1340" s="10" t="s">
        <v>4682</v>
      </c>
      <c r="L1340" s="65" t="str">
        <f t="shared" si="103"/>
        <v>Zahle|Lebanon|35,904167|33,849724|+2:00 Asia</v>
      </c>
      <c r="M1340" s="10" t="s">
        <v>4691</v>
      </c>
      <c r="N1340" s="10">
        <f t="shared" si="100"/>
        <v>0</v>
      </c>
      <c r="O1340" t="str">
        <f t="shared" si="104"/>
        <v/>
      </c>
      <c r="P1340" t="str">
        <f>IF(O1340=1,COUNTIF($O$2:O1340,1),"")</f>
        <v/>
      </c>
      <c r="Q1340" t="str">
        <f>IFERROR(INDEX($M$2:$M$2388,MATCH(ROWS($P$2:P1340),$P$2:$P$2388,0)),"")</f>
        <v/>
      </c>
    </row>
    <row r="1341" spans="1:17" ht="15" x14ac:dyDescent="0.25">
      <c r="A1341" s="10">
        <v>1441</v>
      </c>
      <c r="B1341" s="10" t="s">
        <v>4692</v>
      </c>
      <c r="C1341" s="880">
        <f t="shared" si="101"/>
        <v>28.683299999999999</v>
      </c>
      <c r="D1341" s="880">
        <f t="shared" si="102"/>
        <v>-30.116599999999998</v>
      </c>
      <c r="E1341" s="10">
        <v>28.683332</v>
      </c>
      <c r="F1341" s="10">
        <v>-30.116667</v>
      </c>
      <c r="G1341" s="10">
        <v>2</v>
      </c>
      <c r="H1341" s="10" t="s">
        <v>1938</v>
      </c>
      <c r="I1341" s="10" t="s">
        <v>4693</v>
      </c>
      <c r="J1341" s="10" t="s">
        <v>4694</v>
      </c>
      <c r="K1341" s="10" t="s">
        <v>4695</v>
      </c>
      <c r="L1341" s="65" t="str">
        <f t="shared" si="103"/>
        <v>Qacha's Nek|Lesotho|28,683332|-30,116667|+2:00 Africa</v>
      </c>
      <c r="M1341" s="10" t="s">
        <v>4696</v>
      </c>
      <c r="N1341" s="10">
        <f t="shared" si="100"/>
        <v>0</v>
      </c>
      <c r="O1341" t="str">
        <f t="shared" si="104"/>
        <v/>
      </c>
      <c r="P1341" t="str">
        <f>IF(O1341=1,COUNTIF($O$2:O1341,1),"")</f>
        <v/>
      </c>
      <c r="Q1341" t="str">
        <f>IFERROR(INDEX($M$2:$M$2388,MATCH(ROWS($P$2:P1341),$P$2:$P$2388,0)),"")</f>
        <v/>
      </c>
    </row>
    <row r="1342" spans="1:17" ht="15" x14ac:dyDescent="0.25">
      <c r="A1342" s="10">
        <v>1440</v>
      </c>
      <c r="B1342" s="10" t="s">
        <v>4697</v>
      </c>
      <c r="C1342" s="880">
        <f t="shared" si="101"/>
        <v>27.7166</v>
      </c>
      <c r="D1342" s="880">
        <f t="shared" si="102"/>
        <v>-30.4</v>
      </c>
      <c r="E1342" s="10">
        <v>27.716667000000001</v>
      </c>
      <c r="F1342" s="10">
        <v>-30.4</v>
      </c>
      <c r="G1342" s="10">
        <v>2</v>
      </c>
      <c r="H1342" s="10" t="s">
        <v>1938</v>
      </c>
      <c r="I1342" s="10" t="s">
        <v>4693</v>
      </c>
      <c r="J1342" s="10" t="s">
        <v>4694</v>
      </c>
      <c r="K1342" s="10" t="s">
        <v>4695</v>
      </c>
      <c r="L1342" s="65" t="str">
        <f t="shared" si="103"/>
        <v>Quthing|Lesotho|27,716667|-30,400000|+2:00 Africa</v>
      </c>
      <c r="M1342" s="10" t="s">
        <v>4698</v>
      </c>
      <c r="N1342" s="10">
        <f t="shared" si="100"/>
        <v>0</v>
      </c>
      <c r="O1342" t="str">
        <f t="shared" si="104"/>
        <v/>
      </c>
      <c r="P1342" t="str">
        <f>IF(O1342=1,COUNTIF($O$2:O1342,1),"")</f>
        <v/>
      </c>
      <c r="Q1342" t="str">
        <f>IFERROR(INDEX($M$2:$M$2388,MATCH(ROWS($P$2:P1342),$P$2:$P$2388,0)),"")</f>
        <v/>
      </c>
    </row>
    <row r="1343" spans="1:17" ht="15" x14ac:dyDescent="0.25">
      <c r="A1343" s="10">
        <v>1439</v>
      </c>
      <c r="B1343" s="10" t="s">
        <v>4699</v>
      </c>
      <c r="C1343" s="880">
        <f t="shared" si="101"/>
        <v>27.7333</v>
      </c>
      <c r="D1343" s="880">
        <f t="shared" si="102"/>
        <v>-29.15</v>
      </c>
      <c r="E1343" s="10">
        <v>27.733333999999999</v>
      </c>
      <c r="F1343" s="10">
        <v>-29.15</v>
      </c>
      <c r="G1343" s="10">
        <v>2</v>
      </c>
      <c r="H1343" s="10" t="s">
        <v>1938</v>
      </c>
      <c r="I1343" s="10" t="s">
        <v>4693</v>
      </c>
      <c r="J1343" s="10" t="s">
        <v>4694</v>
      </c>
      <c r="K1343" s="10" t="s">
        <v>4695</v>
      </c>
      <c r="L1343" s="65" t="str">
        <f t="shared" si="103"/>
        <v>Teyateyaneng|Lesotho|27,733334|-29,150000|+2:00 Africa</v>
      </c>
      <c r="M1343" s="10" t="s">
        <v>4700</v>
      </c>
      <c r="N1343" s="10">
        <f t="shared" si="100"/>
        <v>0</v>
      </c>
      <c r="O1343" t="str">
        <f t="shared" si="104"/>
        <v/>
      </c>
      <c r="P1343" t="str">
        <f>IF(O1343=1,COUNTIF($O$2:O1343,1),"")</f>
        <v/>
      </c>
      <c r="Q1343" t="str">
        <f>IFERROR(INDEX($M$2:$M$2388,MATCH(ROWS($P$2:P1343),$P$2:$P$2388,0)),"")</f>
        <v/>
      </c>
    </row>
    <row r="1344" spans="1:17" ht="15" x14ac:dyDescent="0.25">
      <c r="A1344" s="10">
        <v>2075</v>
      </c>
      <c r="B1344" s="10" t="s">
        <v>4701</v>
      </c>
      <c r="C1344" s="880">
        <f t="shared" si="101"/>
        <v>125.5736</v>
      </c>
      <c r="D1344" s="880">
        <f t="shared" si="102"/>
        <v>-8.5586000000000002</v>
      </c>
      <c r="E1344" s="10">
        <v>125.57360799999999</v>
      </c>
      <c r="F1344" s="10">
        <v>-8.5586110000000009</v>
      </c>
      <c r="G1344" s="10">
        <v>9</v>
      </c>
      <c r="H1344" s="10" t="s">
        <v>4033</v>
      </c>
      <c r="I1344" s="10" t="s">
        <v>4702</v>
      </c>
      <c r="J1344" s="10" t="s">
        <v>4703</v>
      </c>
      <c r="K1344" s="10" t="s">
        <v>4704</v>
      </c>
      <c r="L1344" s="65" t="str">
        <f t="shared" si="103"/>
        <v>Dili|Lesser Sunda Islands|125,573608|-8,558611|+9:00 Asia</v>
      </c>
      <c r="M1344" s="10" t="s">
        <v>4705</v>
      </c>
      <c r="N1344" s="10">
        <f t="shared" si="100"/>
        <v>0</v>
      </c>
      <c r="O1344" t="str">
        <f t="shared" si="104"/>
        <v/>
      </c>
      <c r="P1344" t="str">
        <f>IF(O1344=1,COUNTIF($O$2:O1344,1),"")</f>
        <v/>
      </c>
      <c r="Q1344" t="str">
        <f>IFERROR(INDEX($M$2:$M$2388,MATCH(ROWS($P$2:P1344),$P$2:$P$2388,0)),"")</f>
        <v/>
      </c>
    </row>
    <row r="1345" spans="1:17" ht="15" x14ac:dyDescent="0.25">
      <c r="A1345" s="10">
        <v>1438</v>
      </c>
      <c r="B1345" s="10" t="s">
        <v>4706</v>
      </c>
      <c r="C1345" s="880">
        <f t="shared" si="101"/>
        <v>-10.8047</v>
      </c>
      <c r="D1345" s="880">
        <f t="shared" si="102"/>
        <v>6.3105000000000002</v>
      </c>
      <c r="E1345" s="10">
        <v>-10.804722</v>
      </c>
      <c r="F1345" s="10">
        <v>6.3105549999999999</v>
      </c>
      <c r="G1345" s="10">
        <v>0</v>
      </c>
      <c r="H1345" s="10" t="s">
        <v>2318</v>
      </c>
      <c r="I1345" s="10" t="s">
        <v>4707</v>
      </c>
      <c r="J1345" s="10" t="s">
        <v>4708</v>
      </c>
      <c r="K1345" s="10" t="s">
        <v>4709</v>
      </c>
      <c r="L1345" s="65" t="str">
        <f t="shared" si="103"/>
        <v>Monrovia|Liberia|-10,804722|6,310555|+0:00 Africa</v>
      </c>
      <c r="M1345" s="10" t="s">
        <v>4710</v>
      </c>
      <c r="N1345" s="10">
        <f t="shared" si="100"/>
        <v>0</v>
      </c>
      <c r="O1345" t="str">
        <f t="shared" si="104"/>
        <v/>
      </c>
      <c r="P1345" t="str">
        <f>IF(O1345=1,COUNTIF($O$2:O1345,1),"")</f>
        <v/>
      </c>
      <c r="Q1345" t="str">
        <f>IFERROR(INDEX($M$2:$M$2388,MATCH(ROWS($P$2:P1345),$P$2:$P$2388,0)),"")</f>
        <v/>
      </c>
    </row>
    <row r="1346" spans="1:17" ht="15" x14ac:dyDescent="0.25">
      <c r="A1346" s="10">
        <v>1436</v>
      </c>
      <c r="B1346" s="10" t="s">
        <v>4711</v>
      </c>
      <c r="C1346" s="880">
        <f t="shared" si="101"/>
        <v>-8.5376999999999992</v>
      </c>
      <c r="D1346" s="880">
        <f t="shared" si="102"/>
        <v>7.5793999999999997</v>
      </c>
      <c r="E1346" s="10">
        <v>-8.5377779999999994</v>
      </c>
      <c r="F1346" s="10">
        <v>7.5794439999999996</v>
      </c>
      <c r="G1346" s="10">
        <v>0</v>
      </c>
      <c r="H1346" s="10" t="s">
        <v>2318</v>
      </c>
      <c r="I1346" s="10" t="s">
        <v>4707</v>
      </c>
      <c r="J1346" s="10" t="s">
        <v>4708</v>
      </c>
      <c r="K1346" s="10" t="s">
        <v>4709</v>
      </c>
      <c r="L1346" s="65" t="str">
        <f t="shared" si="103"/>
        <v>New Yekepa|Liberia|-8,537778|7,579444|+0:00 Africa</v>
      </c>
      <c r="M1346" s="10" t="s">
        <v>4712</v>
      </c>
      <c r="N1346" s="10">
        <f t="shared" ref="N1346:N1409" si="105">--ISNUMBER(IFERROR(SEARCH($R$2,J1346,1),""))</f>
        <v>0</v>
      </c>
      <c r="O1346" t="str">
        <f t="shared" si="104"/>
        <v/>
      </c>
      <c r="P1346" t="str">
        <f>IF(O1346=1,COUNTIF($O$2:O1346,1),"")</f>
        <v/>
      </c>
      <c r="Q1346" t="str">
        <f>IFERROR(INDEX($M$2:$M$2388,MATCH(ROWS($P$2:P1346),$P$2:$P$2388,0)),"")</f>
        <v/>
      </c>
    </row>
    <row r="1347" spans="1:17" ht="15" x14ac:dyDescent="0.25">
      <c r="A1347" s="10">
        <v>1437</v>
      </c>
      <c r="B1347" s="10" t="s">
        <v>4713</v>
      </c>
      <c r="C1347" s="880">
        <f t="shared" ref="C1347:C1410" si="106">TRUNC(E1347,4)</f>
        <v>-10.8172</v>
      </c>
      <c r="D1347" s="880">
        <f t="shared" ref="D1347:D1410" si="107">TRUNC(F1347,4)</f>
        <v>6.8708</v>
      </c>
      <c r="E1347" s="10">
        <v>-10.817223</v>
      </c>
      <c r="F1347" s="10">
        <v>6.8708330000000002</v>
      </c>
      <c r="G1347" s="10">
        <v>0</v>
      </c>
      <c r="H1347" s="10" t="s">
        <v>2318</v>
      </c>
      <c r="I1347" s="10" t="s">
        <v>4707</v>
      </c>
      <c r="J1347" s="10" t="s">
        <v>4708</v>
      </c>
      <c r="K1347" s="10" t="s">
        <v>4709</v>
      </c>
      <c r="L1347" s="65" t="str">
        <f t="shared" ref="L1347:L1410" si="108">MID(M1347,1,LEN(M1347)-(LEN(K1347)-SEARCH("/",K1347)+1))</f>
        <v>Tubmanburg|Liberia|-10,817223|6,870833|+0:00 Africa</v>
      </c>
      <c r="M1347" s="10" t="s">
        <v>4714</v>
      </c>
      <c r="N1347" s="10">
        <f t="shared" si="105"/>
        <v>0</v>
      </c>
      <c r="O1347" t="str">
        <f t="shared" ref="O1347:O1410" si="109">IF(N1347=0,"",--ISNUMBER(IFERROR(SEARCH($U$2,L1347,1),"")))</f>
        <v/>
      </c>
      <c r="P1347" t="str">
        <f>IF(O1347=1,COUNTIF($O$2:O1347,1),"")</f>
        <v/>
      </c>
      <c r="Q1347" t="str">
        <f>IFERROR(INDEX($M$2:$M$2388,MATCH(ROWS($P$2:P1347),$P$2:$P$2388,0)),"")</f>
        <v/>
      </c>
    </row>
    <row r="1348" spans="1:17" ht="15" x14ac:dyDescent="0.25">
      <c r="A1348" s="10">
        <v>1435</v>
      </c>
      <c r="B1348" s="10" t="s">
        <v>4715</v>
      </c>
      <c r="C1348" s="880">
        <f t="shared" si="106"/>
        <v>-8.1280000000000001</v>
      </c>
      <c r="D1348" s="880">
        <f t="shared" si="107"/>
        <v>6.0666000000000002</v>
      </c>
      <c r="E1348" s="10">
        <v>-8.1280560000000008</v>
      </c>
      <c r="F1348" s="10">
        <v>6.0666669999999998</v>
      </c>
      <c r="G1348" s="10">
        <v>0</v>
      </c>
      <c r="H1348" s="10" t="s">
        <v>2318</v>
      </c>
      <c r="I1348" s="10" t="s">
        <v>4707</v>
      </c>
      <c r="J1348" s="10" t="s">
        <v>4708</v>
      </c>
      <c r="K1348" s="10" t="s">
        <v>4709</v>
      </c>
      <c r="L1348" s="65" t="str">
        <f t="shared" si="108"/>
        <v>Zwedru|Liberia|-8,128056|6,066667|+0:00 Africa</v>
      </c>
      <c r="M1348" s="10" t="s">
        <v>4716</v>
      </c>
      <c r="N1348" s="10">
        <f t="shared" si="105"/>
        <v>0</v>
      </c>
      <c r="O1348" t="str">
        <f t="shared" si="109"/>
        <v/>
      </c>
      <c r="P1348" t="str">
        <f>IF(O1348=1,COUNTIF($O$2:O1348,1),"")</f>
        <v/>
      </c>
      <c r="Q1348" t="str">
        <f>IFERROR(INDEX($M$2:$M$2388,MATCH(ROWS($P$2:P1348),$P$2:$P$2388,0)),"")</f>
        <v/>
      </c>
    </row>
    <row r="1349" spans="1:17" ht="15" x14ac:dyDescent="0.25">
      <c r="A1349" s="10">
        <v>1460</v>
      </c>
      <c r="B1349" s="10" t="s">
        <v>4717</v>
      </c>
      <c r="C1349" s="880">
        <f t="shared" si="106"/>
        <v>14.2666</v>
      </c>
      <c r="D1349" s="880">
        <f t="shared" si="107"/>
        <v>32.65</v>
      </c>
      <c r="E1349" s="10">
        <v>14.266666000000001</v>
      </c>
      <c r="F1349" s="10">
        <v>32.650002000000001</v>
      </c>
      <c r="G1349" s="10">
        <v>2</v>
      </c>
      <c r="H1349" s="10" t="s">
        <v>1938</v>
      </c>
      <c r="I1349" s="10" t="s">
        <v>4718</v>
      </c>
      <c r="J1349" s="10" t="s">
        <v>4719</v>
      </c>
      <c r="K1349" s="10" t="s">
        <v>4720</v>
      </c>
      <c r="L1349" s="65" t="str">
        <f t="shared" si="108"/>
        <v>Al Khums|Libya|14,266666|32,650002|+2:00 Africa</v>
      </c>
      <c r="M1349" s="10" t="s">
        <v>4721</v>
      </c>
      <c r="N1349" s="10">
        <f t="shared" si="105"/>
        <v>0</v>
      </c>
      <c r="O1349" t="str">
        <f t="shared" si="109"/>
        <v/>
      </c>
      <c r="P1349" t="str">
        <f>IF(O1349=1,COUNTIF($O$2:O1349,1),"")</f>
        <v/>
      </c>
      <c r="Q1349" t="str">
        <f>IFERROR(INDEX($M$2:$M$2388,MATCH(ROWS($P$2:P1349),$P$2:$P$2388,0)),"")</f>
        <v/>
      </c>
    </row>
    <row r="1350" spans="1:17" ht="15" x14ac:dyDescent="0.25">
      <c r="A1350" s="10">
        <v>1456</v>
      </c>
      <c r="B1350" s="10" t="s">
        <v>4722</v>
      </c>
      <c r="C1350" s="880">
        <f t="shared" si="106"/>
        <v>20.066600000000001</v>
      </c>
      <c r="D1350" s="880">
        <f t="shared" si="107"/>
        <v>32.116599999999998</v>
      </c>
      <c r="E1350" s="10">
        <v>20.066668</v>
      </c>
      <c r="F1350" s="10">
        <v>32.116664999999998</v>
      </c>
      <c r="G1350" s="10">
        <v>2</v>
      </c>
      <c r="H1350" s="10" t="s">
        <v>1938</v>
      </c>
      <c r="I1350" s="10" t="s">
        <v>4718</v>
      </c>
      <c r="J1350" s="10" t="s">
        <v>4719</v>
      </c>
      <c r="K1350" s="10" t="s">
        <v>4720</v>
      </c>
      <c r="L1350" s="65" t="str">
        <f t="shared" si="108"/>
        <v>Banghazi|Libya|20,066668|32,116665|+2:00 Africa</v>
      </c>
      <c r="M1350" s="10" t="s">
        <v>4723</v>
      </c>
      <c r="N1350" s="10">
        <f t="shared" si="105"/>
        <v>0</v>
      </c>
      <c r="O1350" t="str">
        <f t="shared" si="109"/>
        <v/>
      </c>
      <c r="P1350" t="str">
        <f>IF(O1350=1,COUNTIF($O$2:O1350,1),"")</f>
        <v/>
      </c>
      <c r="Q1350" t="str">
        <f>IFERROR(INDEX($M$2:$M$2388,MATCH(ROWS($P$2:P1350),$P$2:$P$2388,0)),"")</f>
        <v/>
      </c>
    </row>
    <row r="1351" spans="1:17" ht="15" x14ac:dyDescent="0.25">
      <c r="A1351" s="10">
        <v>1453</v>
      </c>
      <c r="B1351" s="10" t="s">
        <v>4724</v>
      </c>
      <c r="C1351" s="880">
        <f t="shared" si="106"/>
        <v>25.1</v>
      </c>
      <c r="D1351" s="880">
        <f t="shared" si="107"/>
        <v>31.7666</v>
      </c>
      <c r="E1351" s="10">
        <v>25.1</v>
      </c>
      <c r="F1351" s="10">
        <v>31.766666000000001</v>
      </c>
      <c r="G1351" s="10">
        <v>2</v>
      </c>
      <c r="H1351" s="10" t="s">
        <v>1938</v>
      </c>
      <c r="I1351" s="10" t="s">
        <v>4718</v>
      </c>
      <c r="J1351" s="10" t="s">
        <v>4719</v>
      </c>
      <c r="K1351" s="10" t="s">
        <v>4720</v>
      </c>
      <c r="L1351" s="65" t="str">
        <f t="shared" si="108"/>
        <v>Bardiyah|Libya|25,100000|31,766666|+2:00 Africa</v>
      </c>
      <c r="M1351" s="10" t="s">
        <v>4725</v>
      </c>
      <c r="N1351" s="10">
        <f t="shared" si="105"/>
        <v>0</v>
      </c>
      <c r="O1351" t="str">
        <f t="shared" si="109"/>
        <v/>
      </c>
      <c r="P1351" t="str">
        <f>IF(O1351=1,COUNTIF($O$2:O1351,1),"")</f>
        <v/>
      </c>
      <c r="Q1351" t="str">
        <f>IFERROR(INDEX($M$2:$M$2388,MATCH(ROWS($P$2:P1351),$P$2:$P$2388,0)),"")</f>
        <v/>
      </c>
    </row>
    <row r="1352" spans="1:17" ht="15" x14ac:dyDescent="0.25">
      <c r="A1352" s="10">
        <v>1459</v>
      </c>
      <c r="B1352" s="10" t="s">
        <v>4726</v>
      </c>
      <c r="C1352" s="880">
        <f t="shared" si="106"/>
        <v>15.0905</v>
      </c>
      <c r="D1352" s="880">
        <f t="shared" si="107"/>
        <v>32.378300000000003</v>
      </c>
      <c r="E1352" s="10">
        <v>15.090555</v>
      </c>
      <c r="F1352" s="10">
        <v>32.378334000000002</v>
      </c>
      <c r="G1352" s="10">
        <v>2</v>
      </c>
      <c r="H1352" s="10" t="s">
        <v>1938</v>
      </c>
      <c r="I1352" s="10" t="s">
        <v>4718</v>
      </c>
      <c r="J1352" s="10" t="s">
        <v>4719</v>
      </c>
      <c r="K1352" s="10" t="s">
        <v>4720</v>
      </c>
      <c r="L1352" s="65" t="str">
        <f t="shared" si="108"/>
        <v>Misratah|Libya|15,090555|32,378334|+2:00 Africa</v>
      </c>
      <c r="M1352" s="10" t="s">
        <v>4727</v>
      </c>
      <c r="N1352" s="10">
        <f t="shared" si="105"/>
        <v>0</v>
      </c>
      <c r="O1352" t="str">
        <f t="shared" si="109"/>
        <v/>
      </c>
      <c r="P1352" t="str">
        <f>IF(O1352=1,COUNTIF($O$2:O1352,1),"")</f>
        <v/>
      </c>
      <c r="Q1352" t="str">
        <f>IFERROR(INDEX($M$2:$M$2388,MATCH(ROWS($P$2:P1352),$P$2:$P$2388,0)),"")</f>
        <v/>
      </c>
    </row>
    <row r="1353" spans="1:17" ht="15" x14ac:dyDescent="0.25">
      <c r="A1353" s="10">
        <v>1455</v>
      </c>
      <c r="B1353" s="10" t="s">
        <v>4728</v>
      </c>
      <c r="C1353" s="880">
        <f t="shared" si="106"/>
        <v>20.25</v>
      </c>
      <c r="D1353" s="880">
        <f t="shared" si="107"/>
        <v>31.668600000000001</v>
      </c>
      <c r="E1353" s="10">
        <v>20.25</v>
      </c>
      <c r="F1353" s="10">
        <v>31.668612</v>
      </c>
      <c r="G1353" s="10">
        <v>2</v>
      </c>
      <c r="H1353" s="10" t="s">
        <v>1938</v>
      </c>
      <c r="I1353" s="10" t="s">
        <v>4718</v>
      </c>
      <c r="J1353" s="10" t="s">
        <v>4719</v>
      </c>
      <c r="K1353" s="10" t="s">
        <v>4720</v>
      </c>
      <c r="L1353" s="65" t="str">
        <f t="shared" si="108"/>
        <v>Suluq|Libya|20,250000|31,668612|+2:00 Africa</v>
      </c>
      <c r="M1353" s="10" t="s">
        <v>4729</v>
      </c>
      <c r="N1353" s="10">
        <f t="shared" si="105"/>
        <v>0</v>
      </c>
      <c r="O1353" t="str">
        <f t="shared" si="109"/>
        <v/>
      </c>
      <c r="P1353" t="str">
        <f>IF(O1353=1,COUNTIF($O$2:O1353,1),"")</f>
        <v/>
      </c>
      <c r="Q1353" t="str">
        <f>IFERROR(INDEX($M$2:$M$2388,MATCH(ROWS($P$2:P1353),$P$2:$P$2388,0)),"")</f>
        <v/>
      </c>
    </row>
    <row r="1354" spans="1:17" ht="15" x14ac:dyDescent="0.25">
      <c r="A1354" s="10">
        <v>1457</v>
      </c>
      <c r="B1354" s="10" t="s">
        <v>4730</v>
      </c>
      <c r="C1354" s="880">
        <f t="shared" si="106"/>
        <v>13.6333</v>
      </c>
      <c r="D1354" s="880">
        <f t="shared" si="107"/>
        <v>32.433300000000003</v>
      </c>
      <c r="E1354" s="10">
        <v>13.633333</v>
      </c>
      <c r="F1354" s="10">
        <v>32.433334000000002</v>
      </c>
      <c r="G1354" s="10">
        <v>2</v>
      </c>
      <c r="H1354" s="10" t="s">
        <v>1938</v>
      </c>
      <c r="I1354" s="10" t="s">
        <v>4718</v>
      </c>
      <c r="J1354" s="10" t="s">
        <v>4719</v>
      </c>
      <c r="K1354" s="10" t="s">
        <v>4720</v>
      </c>
      <c r="L1354" s="65" t="str">
        <f t="shared" si="108"/>
        <v>Tarhunah|Libya|13,633333|32,433334|+2:00 Africa</v>
      </c>
      <c r="M1354" s="10" t="s">
        <v>4731</v>
      </c>
      <c r="N1354" s="10">
        <f t="shared" si="105"/>
        <v>0</v>
      </c>
      <c r="O1354" t="str">
        <f t="shared" si="109"/>
        <v/>
      </c>
      <c r="P1354" t="str">
        <f>IF(O1354=1,COUNTIF($O$2:O1354,1),"")</f>
        <v/>
      </c>
      <c r="Q1354" t="str">
        <f>IFERROR(INDEX($M$2:$M$2388,MATCH(ROWS($P$2:P1354),$P$2:$P$2388,0)),"")</f>
        <v/>
      </c>
    </row>
    <row r="1355" spans="1:17" ht="15" x14ac:dyDescent="0.25">
      <c r="A1355" s="10">
        <v>1454</v>
      </c>
      <c r="B1355" s="10" t="s">
        <v>4732</v>
      </c>
      <c r="C1355" s="880">
        <f t="shared" si="106"/>
        <v>23.976299999999998</v>
      </c>
      <c r="D1355" s="880">
        <f t="shared" si="107"/>
        <v>32.083599999999997</v>
      </c>
      <c r="E1355" s="10">
        <v>23.976389000000001</v>
      </c>
      <c r="F1355" s="10">
        <v>32.083610999999998</v>
      </c>
      <c r="G1355" s="10">
        <v>2</v>
      </c>
      <c r="H1355" s="10" t="s">
        <v>1938</v>
      </c>
      <c r="I1355" s="10" t="s">
        <v>4718</v>
      </c>
      <c r="J1355" s="10" t="s">
        <v>4719</v>
      </c>
      <c r="K1355" s="10" t="s">
        <v>4720</v>
      </c>
      <c r="L1355" s="65" t="str">
        <f t="shared" si="108"/>
        <v>Tobruk|Libya|23,976389|32,083611|+2:00 Africa</v>
      </c>
      <c r="M1355" s="10" t="s">
        <v>4733</v>
      </c>
      <c r="N1355" s="10">
        <f t="shared" si="105"/>
        <v>0</v>
      </c>
      <c r="O1355" t="str">
        <f t="shared" si="109"/>
        <v/>
      </c>
      <c r="P1355" t="str">
        <f>IF(O1355=1,COUNTIF($O$2:O1355,1),"")</f>
        <v/>
      </c>
      <c r="Q1355" t="str">
        <f>IFERROR(INDEX($M$2:$M$2388,MATCH(ROWS($P$2:P1355),$P$2:$P$2388,0)),"")</f>
        <v/>
      </c>
    </row>
    <row r="1356" spans="1:17" ht="15" x14ac:dyDescent="0.25">
      <c r="A1356" s="10">
        <v>1458</v>
      </c>
      <c r="B1356" s="10" t="s">
        <v>4686</v>
      </c>
      <c r="C1356" s="880">
        <f t="shared" si="106"/>
        <v>13.18</v>
      </c>
      <c r="D1356" s="880">
        <f t="shared" si="107"/>
        <v>32.892499999999998</v>
      </c>
      <c r="E1356" s="10">
        <v>13.18</v>
      </c>
      <c r="F1356" s="10">
        <v>32.892502</v>
      </c>
      <c r="G1356" s="10">
        <v>2</v>
      </c>
      <c r="H1356" s="10" t="s">
        <v>1938</v>
      </c>
      <c r="I1356" s="10" t="s">
        <v>4718</v>
      </c>
      <c r="J1356" s="10" t="s">
        <v>4719</v>
      </c>
      <c r="K1356" s="10" t="s">
        <v>4682</v>
      </c>
      <c r="L1356" s="65" t="str">
        <f t="shared" si="108"/>
        <v>Tripoli|Libya|13,180000|32,892502|+2:00 Asia</v>
      </c>
      <c r="M1356" s="10" t="s">
        <v>4734</v>
      </c>
      <c r="N1356" s="10">
        <f t="shared" si="105"/>
        <v>0</v>
      </c>
      <c r="O1356" t="str">
        <f t="shared" si="109"/>
        <v/>
      </c>
      <c r="P1356" t="str">
        <f>IF(O1356=1,COUNTIF($O$2:O1356,1),"")</f>
        <v/>
      </c>
      <c r="Q1356" t="str">
        <f>IFERROR(INDEX($M$2:$M$2388,MATCH(ROWS($P$2:P1356),$P$2:$P$2388,0)),"")</f>
        <v/>
      </c>
    </row>
    <row r="1357" spans="1:17" ht="15" x14ac:dyDescent="0.25">
      <c r="A1357" s="10">
        <v>1429</v>
      </c>
      <c r="B1357" s="10" t="s">
        <v>4735</v>
      </c>
      <c r="C1357" s="880">
        <f t="shared" si="106"/>
        <v>9.5333000000000006</v>
      </c>
      <c r="D1357" s="880">
        <f t="shared" si="107"/>
        <v>47.099899999999998</v>
      </c>
      <c r="E1357" s="10">
        <v>9.5333330000000007</v>
      </c>
      <c r="F1357" s="10">
        <v>47.099997999999999</v>
      </c>
      <c r="G1357" s="10">
        <v>1</v>
      </c>
      <c r="H1357" s="10" t="s">
        <v>1670</v>
      </c>
      <c r="I1357" s="10" t="s">
        <v>4736</v>
      </c>
      <c r="J1357" s="10" t="s">
        <v>4737</v>
      </c>
      <c r="K1357" s="10" t="s">
        <v>4738</v>
      </c>
      <c r="L1357" s="65" t="str">
        <f t="shared" si="108"/>
        <v>Triesen|Liechtenstein|9,533333|47,099998|+1:00 Europe</v>
      </c>
      <c r="M1357" s="10" t="s">
        <v>4739</v>
      </c>
      <c r="N1357" s="10">
        <f t="shared" si="105"/>
        <v>0</v>
      </c>
      <c r="O1357" t="str">
        <f t="shared" si="109"/>
        <v/>
      </c>
      <c r="P1357" t="str">
        <f>IF(O1357=1,COUNTIF($O$2:O1357,1),"")</f>
        <v/>
      </c>
      <c r="Q1357" t="str">
        <f>IFERROR(INDEX($M$2:$M$2388,MATCH(ROWS($P$2:P1357),$P$2:$P$2388,0)),"")</f>
        <v/>
      </c>
    </row>
    <row r="1358" spans="1:17" ht="15" x14ac:dyDescent="0.25">
      <c r="A1358" s="10">
        <v>1428</v>
      </c>
      <c r="B1358" s="10" t="s">
        <v>4740</v>
      </c>
      <c r="C1358" s="880">
        <f t="shared" si="106"/>
        <v>9.5333000000000006</v>
      </c>
      <c r="D1358" s="880">
        <f t="shared" si="107"/>
        <v>47.116599999999998</v>
      </c>
      <c r="E1358" s="10">
        <v>9.5333330000000007</v>
      </c>
      <c r="F1358" s="10">
        <v>47.116664999999998</v>
      </c>
      <c r="G1358" s="10">
        <v>1</v>
      </c>
      <c r="H1358" s="10" t="s">
        <v>1670</v>
      </c>
      <c r="I1358" s="10" t="s">
        <v>4736</v>
      </c>
      <c r="J1358" s="10" t="s">
        <v>4737</v>
      </c>
      <c r="K1358" s="10" t="s">
        <v>4738</v>
      </c>
      <c r="L1358" s="65" t="str">
        <f t="shared" si="108"/>
        <v>Triesenberg|Liechtenstein|9,533333|47,116665|+1:00 Europe</v>
      </c>
      <c r="M1358" s="10" t="s">
        <v>4741</v>
      </c>
      <c r="N1358" s="10">
        <f t="shared" si="105"/>
        <v>0</v>
      </c>
      <c r="O1358" t="str">
        <f t="shared" si="109"/>
        <v/>
      </c>
      <c r="P1358" t="str">
        <f>IF(O1358=1,COUNTIF($O$2:O1358,1),"")</f>
        <v/>
      </c>
      <c r="Q1358" t="str">
        <f>IFERROR(INDEX($M$2:$M$2388,MATCH(ROWS($P$2:P1358),$P$2:$P$2388,0)),"")</f>
        <v/>
      </c>
    </row>
    <row r="1359" spans="1:17" ht="15" x14ac:dyDescent="0.25">
      <c r="A1359" s="10">
        <v>1427</v>
      </c>
      <c r="B1359" s="10" t="s">
        <v>4742</v>
      </c>
      <c r="C1359" s="880">
        <f t="shared" si="106"/>
        <v>9.5166000000000004</v>
      </c>
      <c r="D1359" s="880">
        <f t="shared" si="107"/>
        <v>47.133299999999998</v>
      </c>
      <c r="E1359" s="10">
        <v>9.5166660000000007</v>
      </c>
      <c r="F1359" s="10">
        <v>47.133335000000002</v>
      </c>
      <c r="G1359" s="10">
        <v>1</v>
      </c>
      <c r="H1359" s="10" t="s">
        <v>1670</v>
      </c>
      <c r="I1359" s="10" t="s">
        <v>4736</v>
      </c>
      <c r="J1359" s="10" t="s">
        <v>4737</v>
      </c>
      <c r="K1359" s="10" t="s">
        <v>4738</v>
      </c>
      <c r="L1359" s="65" t="str">
        <f t="shared" si="108"/>
        <v>Vaduz|Liechtenstein|9,516666|47,133335|+1:00 Europe</v>
      </c>
      <c r="M1359" s="10" t="s">
        <v>4743</v>
      </c>
      <c r="N1359" s="10">
        <f t="shared" si="105"/>
        <v>0</v>
      </c>
      <c r="O1359" t="str">
        <f t="shared" si="109"/>
        <v/>
      </c>
      <c r="P1359" t="str">
        <f>IF(O1359=1,COUNTIF($O$2:O1359,1),"")</f>
        <v/>
      </c>
      <c r="Q1359" t="str">
        <f>IFERROR(INDEX($M$2:$M$2388,MATCH(ROWS($P$2:P1359),$P$2:$P$2388,0)),"")</f>
        <v/>
      </c>
    </row>
    <row r="1360" spans="1:17" ht="15" x14ac:dyDescent="0.25">
      <c r="A1360" s="10">
        <v>1445</v>
      </c>
      <c r="B1360" s="10" t="s">
        <v>4744</v>
      </c>
      <c r="C1360" s="880">
        <f t="shared" si="106"/>
        <v>23.9</v>
      </c>
      <c r="D1360" s="880">
        <f t="shared" si="107"/>
        <v>54.9</v>
      </c>
      <c r="E1360" s="10">
        <v>23.9</v>
      </c>
      <c r="F1360" s="10">
        <v>54.900002000000001</v>
      </c>
      <c r="G1360" s="10">
        <v>2</v>
      </c>
      <c r="H1360" s="10" t="s">
        <v>1938</v>
      </c>
      <c r="I1360" s="10" t="s">
        <v>4745</v>
      </c>
      <c r="J1360" s="10" t="s">
        <v>4746</v>
      </c>
      <c r="K1360" s="10" t="s">
        <v>4747</v>
      </c>
      <c r="L1360" s="65" t="str">
        <f t="shared" si="108"/>
        <v>Kaunas|Lithuania|23,900000|54,900002|+2:00 Europe</v>
      </c>
      <c r="M1360" s="10" t="s">
        <v>4748</v>
      </c>
      <c r="N1360" s="10">
        <f t="shared" si="105"/>
        <v>0</v>
      </c>
      <c r="O1360" t="str">
        <f t="shared" si="109"/>
        <v/>
      </c>
      <c r="P1360" t="str">
        <f>IF(O1360=1,COUNTIF($O$2:O1360,1),"")</f>
        <v/>
      </c>
      <c r="Q1360" t="str">
        <f>IFERROR(INDEX($M$2:$M$2388,MATCH(ROWS($P$2:P1360),$P$2:$P$2388,0)),"")</f>
        <v/>
      </c>
    </row>
    <row r="1361" spans="1:17" ht="15" x14ac:dyDescent="0.25">
      <c r="A1361" s="10">
        <v>1444</v>
      </c>
      <c r="B1361" s="10" t="s">
        <v>4749</v>
      </c>
      <c r="C1361" s="880">
        <f t="shared" si="106"/>
        <v>25.316600000000001</v>
      </c>
      <c r="D1361" s="880">
        <f t="shared" si="107"/>
        <v>54.683300000000003</v>
      </c>
      <c r="E1361" s="10">
        <v>25.316668</v>
      </c>
      <c r="F1361" s="10">
        <v>54.683334000000002</v>
      </c>
      <c r="G1361" s="10">
        <v>2</v>
      </c>
      <c r="H1361" s="10" t="s">
        <v>1938</v>
      </c>
      <c r="I1361" s="10" t="s">
        <v>4745</v>
      </c>
      <c r="J1361" s="10" t="s">
        <v>4746</v>
      </c>
      <c r="K1361" s="10" t="s">
        <v>4747</v>
      </c>
      <c r="L1361" s="65" t="str">
        <f t="shared" si="108"/>
        <v>Vilnius|Lithuania|25,316668|54,683334|+2:00 Europe</v>
      </c>
      <c r="M1361" s="10" t="s">
        <v>4750</v>
      </c>
      <c r="N1361" s="10">
        <f t="shared" si="105"/>
        <v>0</v>
      </c>
      <c r="O1361" t="str">
        <f t="shared" si="109"/>
        <v/>
      </c>
      <c r="P1361" t="str">
        <f>IF(O1361=1,COUNTIF($O$2:O1361,1),"")</f>
        <v/>
      </c>
      <c r="Q1361" t="str">
        <f>IFERROR(INDEX($M$2:$M$2388,MATCH(ROWS($P$2:P1361),$P$2:$P$2388,0)),"")</f>
        <v/>
      </c>
    </row>
    <row r="1362" spans="1:17" ht="15" x14ac:dyDescent="0.25">
      <c r="A1362" s="10">
        <v>1443</v>
      </c>
      <c r="B1362" s="10" t="s">
        <v>4751</v>
      </c>
      <c r="C1362" s="880">
        <f t="shared" si="106"/>
        <v>26.416599999999999</v>
      </c>
      <c r="D1362" s="880">
        <f t="shared" si="107"/>
        <v>55.599899999999998</v>
      </c>
      <c r="E1362" s="10">
        <v>26.416665999999999</v>
      </c>
      <c r="F1362" s="10">
        <v>55.599997999999999</v>
      </c>
      <c r="G1362" s="10">
        <v>2</v>
      </c>
      <c r="H1362" s="10" t="s">
        <v>1938</v>
      </c>
      <c r="I1362" s="10" t="s">
        <v>4745</v>
      </c>
      <c r="J1362" s="10" t="s">
        <v>4746</v>
      </c>
      <c r="K1362" s="10" t="s">
        <v>4747</v>
      </c>
      <c r="L1362" s="65" t="str">
        <f t="shared" si="108"/>
        <v>Visaginas|Lithuania|26,416666|55,599998|+2:00 Europe</v>
      </c>
      <c r="M1362" s="10" t="s">
        <v>4752</v>
      </c>
      <c r="N1362" s="10">
        <f t="shared" si="105"/>
        <v>0</v>
      </c>
      <c r="O1362" t="str">
        <f t="shared" si="109"/>
        <v/>
      </c>
      <c r="P1362" t="str">
        <f>IF(O1362=1,COUNTIF($O$2:O1362,1),"")</f>
        <v/>
      </c>
      <c r="Q1362" t="str">
        <f>IFERROR(INDEX($M$2:$M$2388,MATCH(ROWS($P$2:P1362),$P$2:$P$2388,0)),"")</f>
        <v/>
      </c>
    </row>
    <row r="1363" spans="1:17" ht="15" x14ac:dyDescent="0.25">
      <c r="A1363" s="10">
        <v>1442</v>
      </c>
      <c r="B1363" s="10" t="s">
        <v>4753</v>
      </c>
      <c r="C1363" s="880">
        <f t="shared" si="106"/>
        <v>26.25</v>
      </c>
      <c r="D1363" s="880">
        <f t="shared" si="107"/>
        <v>55.7333</v>
      </c>
      <c r="E1363" s="10">
        <v>26.25</v>
      </c>
      <c r="F1363" s="10">
        <v>55.733333999999999</v>
      </c>
      <c r="G1363" s="10">
        <v>2</v>
      </c>
      <c r="H1363" s="10" t="s">
        <v>1938</v>
      </c>
      <c r="I1363" s="10" t="s">
        <v>4745</v>
      </c>
      <c r="J1363" s="10" t="s">
        <v>4746</v>
      </c>
      <c r="K1363" s="10" t="s">
        <v>4747</v>
      </c>
      <c r="L1363" s="65" t="str">
        <f t="shared" si="108"/>
        <v>Zarasai|Lithuania|26,250000|55,733334|+2:00 Europe</v>
      </c>
      <c r="M1363" s="10" t="s">
        <v>4754</v>
      </c>
      <c r="N1363" s="10">
        <f t="shared" si="105"/>
        <v>0</v>
      </c>
      <c r="O1363" t="str">
        <f t="shared" si="109"/>
        <v/>
      </c>
      <c r="P1363" t="str">
        <f>IF(O1363=1,COUNTIF($O$2:O1363,1),"")</f>
        <v/>
      </c>
      <c r="Q1363" t="str">
        <f>IFERROR(INDEX($M$2:$M$2388,MATCH(ROWS($P$2:P1363),$P$2:$P$2388,0)),"")</f>
        <v/>
      </c>
    </row>
    <row r="1364" spans="1:17" ht="15" x14ac:dyDescent="0.25">
      <c r="A1364" s="10">
        <v>1448</v>
      </c>
      <c r="B1364" s="10" t="s">
        <v>4755</v>
      </c>
      <c r="C1364" s="880">
        <f t="shared" si="106"/>
        <v>5.8804999999999996</v>
      </c>
      <c r="D1364" s="880">
        <f t="shared" si="107"/>
        <v>49.558300000000003</v>
      </c>
      <c r="E1364" s="10">
        <v>5.8805560000000003</v>
      </c>
      <c r="F1364" s="10">
        <v>49.558334000000002</v>
      </c>
      <c r="G1364" s="10">
        <v>1</v>
      </c>
      <c r="H1364" s="10" t="s">
        <v>1670</v>
      </c>
      <c r="I1364" s="10" t="s">
        <v>4756</v>
      </c>
      <c r="J1364" s="10" t="s">
        <v>4757</v>
      </c>
      <c r="K1364" s="10" t="s">
        <v>4758</v>
      </c>
      <c r="L1364" s="65" t="str">
        <f t="shared" si="108"/>
        <v>Petange|Luxembourg|5,880556|49,558334|+1:00 Europe</v>
      </c>
      <c r="M1364" s="10" t="s">
        <v>4759</v>
      </c>
      <c r="N1364" s="10">
        <f t="shared" si="105"/>
        <v>0</v>
      </c>
      <c r="O1364" t="str">
        <f t="shared" si="109"/>
        <v/>
      </c>
      <c r="P1364" t="str">
        <f>IF(O1364=1,COUNTIF($O$2:O1364,1),"")</f>
        <v/>
      </c>
      <c r="Q1364" t="str">
        <f>IFERROR(INDEX($M$2:$M$2388,MATCH(ROWS($P$2:P1364),$P$2:$P$2388,0)),"")</f>
        <v/>
      </c>
    </row>
    <row r="1365" spans="1:17" ht="15" x14ac:dyDescent="0.25">
      <c r="A1365" s="10">
        <v>1447</v>
      </c>
      <c r="B1365" s="10" t="s">
        <v>4760</v>
      </c>
      <c r="C1365" s="880">
        <f t="shared" si="106"/>
        <v>6.0126999999999997</v>
      </c>
      <c r="D1365" s="880">
        <f t="shared" si="107"/>
        <v>49.506300000000003</v>
      </c>
      <c r="E1365" s="10">
        <v>6.012778</v>
      </c>
      <c r="F1365" s="10">
        <v>49.506390000000003</v>
      </c>
      <c r="G1365" s="10">
        <v>1</v>
      </c>
      <c r="H1365" s="10" t="s">
        <v>1670</v>
      </c>
      <c r="I1365" s="10" t="s">
        <v>4756</v>
      </c>
      <c r="J1365" s="10" t="s">
        <v>4757</v>
      </c>
      <c r="K1365" s="10" t="s">
        <v>4758</v>
      </c>
      <c r="L1365" s="65" t="str">
        <f t="shared" si="108"/>
        <v>Schifflange|Luxembourg|6,012778|49,506390|+1:00 Europe</v>
      </c>
      <c r="M1365" s="10" t="s">
        <v>4761</v>
      </c>
      <c r="N1365" s="10">
        <f t="shared" si="105"/>
        <v>0</v>
      </c>
      <c r="O1365" t="str">
        <f t="shared" si="109"/>
        <v/>
      </c>
      <c r="P1365" t="str">
        <f>IF(O1365=1,COUNTIF($O$2:O1365,1),"")</f>
        <v/>
      </c>
      <c r="Q1365" t="str">
        <f>IFERROR(INDEX($M$2:$M$2388,MATCH(ROWS($P$2:P1365),$P$2:$P$2388,0)),"")</f>
        <v/>
      </c>
    </row>
    <row r="1366" spans="1:17" ht="15" x14ac:dyDescent="0.25">
      <c r="A1366" s="10">
        <v>1446</v>
      </c>
      <c r="B1366" s="10" t="s">
        <v>4762</v>
      </c>
      <c r="C1366" s="880">
        <f t="shared" si="106"/>
        <v>6.0732999999999997</v>
      </c>
      <c r="D1366" s="880">
        <f t="shared" si="107"/>
        <v>49.6205</v>
      </c>
      <c r="E1366" s="10">
        <v>6.0733329999999999</v>
      </c>
      <c r="F1366" s="10">
        <v>49.620556000000001</v>
      </c>
      <c r="G1366" s="10">
        <v>1</v>
      </c>
      <c r="H1366" s="10" t="s">
        <v>1670</v>
      </c>
      <c r="I1366" s="10" t="s">
        <v>4756</v>
      </c>
      <c r="J1366" s="10" t="s">
        <v>4757</v>
      </c>
      <c r="K1366" s="10" t="s">
        <v>4758</v>
      </c>
      <c r="L1366" s="65" t="str">
        <f t="shared" si="108"/>
        <v>Strassen|Luxembourg|6,073333|49,620556|+1:00 Europe</v>
      </c>
      <c r="M1366" s="10" t="s">
        <v>4763</v>
      </c>
      <c r="N1366" s="10">
        <f t="shared" si="105"/>
        <v>0</v>
      </c>
      <c r="O1366" t="str">
        <f t="shared" si="109"/>
        <v/>
      </c>
      <c r="P1366" t="str">
        <f>IF(O1366=1,COUNTIF($O$2:O1366,1),"")</f>
        <v/>
      </c>
      <c r="Q1366" t="str">
        <f>IFERROR(INDEX($M$2:$M$2388,MATCH(ROWS($P$2:P1366),$P$2:$P$2388,0)),"")</f>
        <v/>
      </c>
    </row>
    <row r="1367" spans="1:17" ht="15" x14ac:dyDescent="0.25">
      <c r="A1367" s="10">
        <v>1492</v>
      </c>
      <c r="B1367" s="10" t="s">
        <v>4764</v>
      </c>
      <c r="C1367" s="880">
        <f t="shared" si="106"/>
        <v>21.433299999999999</v>
      </c>
      <c r="D1367" s="880">
        <f t="shared" si="107"/>
        <v>42</v>
      </c>
      <c r="E1367" s="10">
        <v>21.433332</v>
      </c>
      <c r="F1367" s="10">
        <v>42</v>
      </c>
      <c r="G1367" s="10">
        <v>1</v>
      </c>
      <c r="H1367" s="10" t="s">
        <v>1670</v>
      </c>
      <c r="I1367" s="10" t="s">
        <v>4765</v>
      </c>
      <c r="J1367" s="10" t="s">
        <v>4766</v>
      </c>
      <c r="K1367" s="10" t="s">
        <v>4767</v>
      </c>
      <c r="L1367" s="65" t="str">
        <f t="shared" si="108"/>
        <v>Skopje|Macedonia|21,433332|42,000000|+1:00 Europe</v>
      </c>
      <c r="M1367" s="10" t="s">
        <v>4768</v>
      </c>
      <c r="N1367" s="10">
        <f t="shared" si="105"/>
        <v>0</v>
      </c>
      <c r="O1367" t="str">
        <f t="shared" si="109"/>
        <v/>
      </c>
      <c r="P1367" t="str">
        <f>IF(O1367=1,COUNTIF($O$2:O1367,1),"")</f>
        <v/>
      </c>
      <c r="Q1367" t="str">
        <f>IFERROR(INDEX($M$2:$M$2388,MATCH(ROWS($P$2:P1367),$P$2:$P$2388,0)),"")</f>
        <v/>
      </c>
    </row>
    <row r="1368" spans="1:17" ht="15" x14ac:dyDescent="0.25">
      <c r="A1368" s="10">
        <v>1491</v>
      </c>
      <c r="B1368" s="10" t="s">
        <v>4769</v>
      </c>
      <c r="C1368" s="880">
        <f t="shared" si="106"/>
        <v>21.290500000000002</v>
      </c>
      <c r="D1368" s="880">
        <f t="shared" si="107"/>
        <v>41.4208</v>
      </c>
      <c r="E1368" s="10">
        <v>21.290555999999999</v>
      </c>
      <c r="F1368" s="10">
        <v>41.420833999999999</v>
      </c>
      <c r="G1368" s="10">
        <v>1</v>
      </c>
      <c r="H1368" s="10" t="s">
        <v>1670</v>
      </c>
      <c r="I1368" s="10" t="s">
        <v>4765</v>
      </c>
      <c r="J1368" s="10" t="s">
        <v>4766</v>
      </c>
      <c r="K1368" s="10" t="s">
        <v>4767</v>
      </c>
      <c r="L1368" s="65" t="str">
        <f t="shared" si="108"/>
        <v>Zitose|Macedonia|21,290556|41,420834|+1:00 Europe</v>
      </c>
      <c r="M1368" s="10" t="s">
        <v>4770</v>
      </c>
      <c r="N1368" s="10">
        <f t="shared" si="105"/>
        <v>0</v>
      </c>
      <c r="O1368" t="str">
        <f t="shared" si="109"/>
        <v/>
      </c>
      <c r="P1368" t="str">
        <f>IF(O1368=1,COUNTIF($O$2:O1368,1),"")</f>
        <v/>
      </c>
      <c r="Q1368" t="str">
        <f>IFERROR(INDEX($M$2:$M$2388,MATCH(ROWS($P$2:P1368),$P$2:$P$2388,0)),"")</f>
        <v/>
      </c>
    </row>
    <row r="1369" spans="1:17" ht="15" x14ac:dyDescent="0.25">
      <c r="A1369" s="10">
        <v>1490</v>
      </c>
      <c r="B1369" s="10" t="s">
        <v>4771</v>
      </c>
      <c r="C1369" s="880">
        <f t="shared" si="106"/>
        <v>22.2361</v>
      </c>
      <c r="D1369" s="880">
        <f t="shared" si="107"/>
        <v>41.988599999999998</v>
      </c>
      <c r="E1369" s="10">
        <v>22.236111000000001</v>
      </c>
      <c r="F1369" s="10">
        <v>41.988608999999997</v>
      </c>
      <c r="G1369" s="10">
        <v>1</v>
      </c>
      <c r="H1369" s="10" t="s">
        <v>1670</v>
      </c>
      <c r="I1369" s="10" t="s">
        <v>4765</v>
      </c>
      <c r="J1369" s="10" t="s">
        <v>4766</v>
      </c>
      <c r="K1369" s="10" t="s">
        <v>4767</v>
      </c>
      <c r="L1369" s="65" t="str">
        <f t="shared" si="108"/>
        <v>Zletovo|Macedonia|22,236111|41,988609|+1:00 Europe</v>
      </c>
      <c r="M1369" s="10" t="s">
        <v>4772</v>
      </c>
      <c r="N1369" s="10">
        <f t="shared" si="105"/>
        <v>0</v>
      </c>
      <c r="O1369" t="str">
        <f t="shared" si="109"/>
        <v/>
      </c>
      <c r="P1369" t="str">
        <f>IF(O1369=1,COUNTIF($O$2:O1369,1),"")</f>
        <v/>
      </c>
      <c r="Q1369" t="str">
        <f>IFERROR(INDEX($M$2:$M$2388,MATCH(ROWS($P$2:P1369),$P$2:$P$2388,0)),"")</f>
        <v/>
      </c>
    </row>
    <row r="1370" spans="1:17" ht="15" x14ac:dyDescent="0.25">
      <c r="A1370" s="10">
        <v>1489</v>
      </c>
      <c r="B1370" s="10" t="s">
        <v>4773</v>
      </c>
      <c r="C1370" s="880">
        <f t="shared" si="106"/>
        <v>22.444400000000002</v>
      </c>
      <c r="D1370" s="880">
        <f t="shared" si="107"/>
        <v>41.854100000000003</v>
      </c>
      <c r="E1370" s="10">
        <v>22.444445000000002</v>
      </c>
      <c r="F1370" s="10">
        <v>41.854168000000001</v>
      </c>
      <c r="G1370" s="10">
        <v>1</v>
      </c>
      <c r="H1370" s="10" t="s">
        <v>1670</v>
      </c>
      <c r="I1370" s="10" t="s">
        <v>4765</v>
      </c>
      <c r="J1370" s="10" t="s">
        <v>4766</v>
      </c>
      <c r="K1370" s="10" t="s">
        <v>4767</v>
      </c>
      <c r="L1370" s="65" t="str">
        <f t="shared" si="108"/>
        <v>Zrnovci|Macedonia|22,444445|41,854168|+1:00 Europe</v>
      </c>
      <c r="M1370" s="10" t="s">
        <v>4774</v>
      </c>
      <c r="N1370" s="10">
        <f t="shared" si="105"/>
        <v>0</v>
      </c>
      <c r="O1370" t="str">
        <f t="shared" si="109"/>
        <v/>
      </c>
      <c r="P1370" t="str">
        <f>IF(O1370=1,COUNTIF($O$2:O1370,1),"")</f>
        <v/>
      </c>
      <c r="Q1370" t="str">
        <f>IFERROR(INDEX($M$2:$M$2388,MATCH(ROWS($P$2:P1370),$P$2:$P$2388,0)),"")</f>
        <v/>
      </c>
    </row>
    <row r="1371" spans="1:17" ht="15" x14ac:dyDescent="0.25">
      <c r="A1371" s="10">
        <v>1487</v>
      </c>
      <c r="B1371" s="10" t="s">
        <v>4775</v>
      </c>
      <c r="C1371" s="880">
        <f t="shared" si="106"/>
        <v>47.516599999999997</v>
      </c>
      <c r="D1371" s="880">
        <f t="shared" si="107"/>
        <v>-18.916599999999999</v>
      </c>
      <c r="E1371" s="10">
        <v>47.516666000000001</v>
      </c>
      <c r="F1371" s="10">
        <v>-18.916665999999999</v>
      </c>
      <c r="G1371" s="10">
        <v>3</v>
      </c>
      <c r="H1371" s="10" t="s">
        <v>1883</v>
      </c>
      <c r="I1371" s="10" t="s">
        <v>4776</v>
      </c>
      <c r="J1371" s="10" t="s">
        <v>4777</v>
      </c>
      <c r="K1371" s="10" t="s">
        <v>4778</v>
      </c>
      <c r="L1371" s="65" t="str">
        <f t="shared" si="108"/>
        <v>Antananarivo|Madagascar|47,516666|-18,916666|+3:00 Indian</v>
      </c>
      <c r="M1371" s="10" t="s">
        <v>4779</v>
      </c>
      <c r="N1371" s="10">
        <f t="shared" si="105"/>
        <v>0</v>
      </c>
      <c r="O1371" t="str">
        <f t="shared" si="109"/>
        <v/>
      </c>
      <c r="P1371" t="str">
        <f>IF(O1371=1,COUNTIF($O$2:O1371,1),"")</f>
        <v/>
      </c>
      <c r="Q1371" t="str">
        <f>IFERROR(INDEX($M$2:$M$2388,MATCH(ROWS($P$2:P1371),$P$2:$P$2388,0)),"")</f>
        <v/>
      </c>
    </row>
    <row r="1372" spans="1:17" ht="15" x14ac:dyDescent="0.25">
      <c r="A1372" s="10">
        <v>1484</v>
      </c>
      <c r="B1372" s="10" t="s">
        <v>4780</v>
      </c>
      <c r="C1372" s="880">
        <f t="shared" si="106"/>
        <v>49.383299999999998</v>
      </c>
      <c r="D1372" s="880">
        <f t="shared" si="107"/>
        <v>-18.166599999999999</v>
      </c>
      <c r="E1372" s="10">
        <v>49.383335000000002</v>
      </c>
      <c r="F1372" s="10">
        <v>-18.166665999999999</v>
      </c>
      <c r="G1372" s="10">
        <v>3</v>
      </c>
      <c r="H1372" s="10" t="s">
        <v>1883</v>
      </c>
      <c r="I1372" s="10" t="s">
        <v>4776</v>
      </c>
      <c r="J1372" s="10" t="s">
        <v>4777</v>
      </c>
      <c r="K1372" s="10" t="s">
        <v>4778</v>
      </c>
      <c r="L1372" s="65" t="str">
        <f t="shared" si="108"/>
        <v>Toamasina|Madagascar|49,383335|-18,166666|+3:00 Indian</v>
      </c>
      <c r="M1372" s="10" t="s">
        <v>4781</v>
      </c>
      <c r="N1372" s="10">
        <f t="shared" si="105"/>
        <v>0</v>
      </c>
      <c r="O1372" t="str">
        <f t="shared" si="109"/>
        <v/>
      </c>
      <c r="P1372" t="str">
        <f>IF(O1372=1,COUNTIF($O$2:O1372,1),"")</f>
        <v/>
      </c>
      <c r="Q1372" t="str">
        <f>IFERROR(INDEX($M$2:$M$2388,MATCH(ROWS($P$2:P1372),$P$2:$P$2388,0)),"")</f>
        <v/>
      </c>
    </row>
    <row r="1373" spans="1:17" ht="15" x14ac:dyDescent="0.25">
      <c r="A1373" s="10">
        <v>1486</v>
      </c>
      <c r="B1373" s="10" t="s">
        <v>4782</v>
      </c>
      <c r="C1373" s="880">
        <f t="shared" si="106"/>
        <v>49.033299999999997</v>
      </c>
      <c r="D1373" s="880">
        <f t="shared" si="107"/>
        <v>-17.350000000000001</v>
      </c>
      <c r="E1373" s="10">
        <v>49.033332999999999</v>
      </c>
      <c r="F1373" s="10">
        <v>-17.350000000000001</v>
      </c>
      <c r="G1373" s="10">
        <v>3</v>
      </c>
      <c r="H1373" s="10" t="s">
        <v>1883</v>
      </c>
      <c r="I1373" s="10" t="s">
        <v>4776</v>
      </c>
      <c r="J1373" s="10" t="s">
        <v>4777</v>
      </c>
      <c r="K1373" s="10" t="s">
        <v>4778</v>
      </c>
      <c r="L1373" s="65" t="str">
        <f t="shared" si="108"/>
        <v>Vohibinany|Madagascar|49,033333|-17,350000|+3:00 Indian</v>
      </c>
      <c r="M1373" s="10" t="s">
        <v>4783</v>
      </c>
      <c r="N1373" s="10">
        <f t="shared" si="105"/>
        <v>0</v>
      </c>
      <c r="O1373" t="str">
        <f t="shared" si="109"/>
        <v/>
      </c>
      <c r="P1373" t="str">
        <f>IF(O1373=1,COUNTIF($O$2:O1373,1),"")</f>
        <v/>
      </c>
      <c r="Q1373" t="str">
        <f>IFERROR(INDEX($M$2:$M$2388,MATCH(ROWS($P$2:P1373),$P$2:$P$2388,0)),"")</f>
        <v/>
      </c>
    </row>
    <row r="1374" spans="1:17" ht="15" x14ac:dyDescent="0.25">
      <c r="A1374" s="10">
        <v>1485</v>
      </c>
      <c r="B1374" s="10" t="s">
        <v>4784</v>
      </c>
      <c r="C1374" s="880">
        <f t="shared" si="106"/>
        <v>47.283299999999997</v>
      </c>
      <c r="D1374" s="880">
        <f t="shared" si="107"/>
        <v>-22.816600000000001</v>
      </c>
      <c r="E1374" s="10">
        <v>47.283332999999999</v>
      </c>
      <c r="F1374" s="10">
        <v>-22.816668</v>
      </c>
      <c r="G1374" s="10">
        <v>3</v>
      </c>
      <c r="H1374" s="10" t="s">
        <v>1883</v>
      </c>
      <c r="I1374" s="10" t="s">
        <v>4776</v>
      </c>
      <c r="J1374" s="10" t="s">
        <v>4777</v>
      </c>
      <c r="K1374" s="10" t="s">
        <v>4778</v>
      </c>
      <c r="L1374" s="65" t="str">
        <f t="shared" si="108"/>
        <v>Vondrozo|Madagascar|47,283333|-22,816668|+3:00 Indian</v>
      </c>
      <c r="M1374" s="10" t="s">
        <v>4785</v>
      </c>
      <c r="N1374" s="10">
        <f t="shared" si="105"/>
        <v>0</v>
      </c>
      <c r="O1374" t="str">
        <f t="shared" si="109"/>
        <v/>
      </c>
      <c r="P1374" t="str">
        <f>IF(O1374=1,COUNTIF($O$2:O1374,1),"")</f>
        <v/>
      </c>
      <c r="Q1374" t="str">
        <f>IFERROR(INDEX($M$2:$M$2388,MATCH(ROWS($P$2:P1374),$P$2:$P$2388,0)),"")</f>
        <v/>
      </c>
    </row>
    <row r="1375" spans="1:17" ht="15" x14ac:dyDescent="0.25">
      <c r="A1375" s="10">
        <v>1987</v>
      </c>
      <c r="B1375" s="10" t="s">
        <v>2440</v>
      </c>
      <c r="C1375" s="880">
        <f t="shared" si="106"/>
        <v>55.45</v>
      </c>
      <c r="D1375" s="880">
        <f t="shared" si="107"/>
        <v>-4.6166</v>
      </c>
      <c r="E1375" s="10">
        <v>55.450001</v>
      </c>
      <c r="F1375" s="10">
        <v>-4.6166669999999996</v>
      </c>
      <c r="G1375" s="10">
        <v>4</v>
      </c>
      <c r="H1375" s="10" t="s">
        <v>2402</v>
      </c>
      <c r="I1375" s="10" t="s">
        <v>4786</v>
      </c>
      <c r="J1375" s="10" t="s">
        <v>4787</v>
      </c>
      <c r="K1375" s="10" t="s">
        <v>2405</v>
      </c>
      <c r="L1375" s="65" t="str">
        <f t="shared" si="108"/>
        <v>Victoria|Mahe|55,450001|-4,616667|-8:00 America</v>
      </c>
      <c r="M1375" s="10" t="s">
        <v>4788</v>
      </c>
      <c r="N1375" s="10">
        <f t="shared" si="105"/>
        <v>0</v>
      </c>
      <c r="O1375" t="str">
        <f t="shared" si="109"/>
        <v/>
      </c>
      <c r="P1375" t="str">
        <f>IF(O1375=1,COUNTIF($O$2:O1375,1),"")</f>
        <v/>
      </c>
      <c r="Q1375" t="str">
        <f>IFERROR(INDEX($M$2:$M$2388,MATCH(ROWS($P$2:P1375),$P$2:$P$2388,0)),"")</f>
        <v/>
      </c>
    </row>
    <row r="1376" spans="1:17" ht="15" x14ac:dyDescent="0.25">
      <c r="A1376" s="10">
        <v>1526</v>
      </c>
      <c r="B1376" s="10" t="s">
        <v>4789</v>
      </c>
      <c r="C1376" s="880">
        <f t="shared" si="106"/>
        <v>35</v>
      </c>
      <c r="D1376" s="880">
        <f t="shared" si="107"/>
        <v>-15.783300000000001</v>
      </c>
      <c r="E1376" s="10">
        <v>35</v>
      </c>
      <c r="F1376" s="10">
        <v>-15.783333000000001</v>
      </c>
      <c r="G1376" s="10">
        <v>2</v>
      </c>
      <c r="H1376" s="10" t="s">
        <v>1938</v>
      </c>
      <c r="I1376" s="10" t="s">
        <v>4790</v>
      </c>
      <c r="J1376" s="10" t="s">
        <v>4791</v>
      </c>
      <c r="K1376" s="10" t="s">
        <v>4792</v>
      </c>
      <c r="L1376" s="65" t="str">
        <f t="shared" si="108"/>
        <v>Blantyre|Malawi|35,000000|-15,783333|+2:00 Africa</v>
      </c>
      <c r="M1376" s="10" t="s">
        <v>4793</v>
      </c>
      <c r="N1376" s="10">
        <f t="shared" si="105"/>
        <v>0</v>
      </c>
      <c r="O1376" t="str">
        <f t="shared" si="109"/>
        <v/>
      </c>
      <c r="P1376" t="str">
        <f>IF(O1376=1,COUNTIF($O$2:O1376,1),"")</f>
        <v/>
      </c>
      <c r="Q1376" t="str">
        <f>IFERROR(INDEX($M$2:$M$2388,MATCH(ROWS($P$2:P1376),$P$2:$P$2388,0)),"")</f>
        <v/>
      </c>
    </row>
    <row r="1377" spans="1:17" ht="15" x14ac:dyDescent="0.25">
      <c r="A1377" s="10">
        <v>1523</v>
      </c>
      <c r="B1377" s="10" t="s">
        <v>4794</v>
      </c>
      <c r="C1377" s="880">
        <f t="shared" si="106"/>
        <v>33.266599999999997</v>
      </c>
      <c r="D1377" s="880">
        <f t="shared" si="107"/>
        <v>-9.7165999999999997</v>
      </c>
      <c r="E1377" s="10">
        <v>33.266666000000001</v>
      </c>
      <c r="F1377" s="10">
        <v>-9.7166669999999993</v>
      </c>
      <c r="G1377" s="10">
        <v>2</v>
      </c>
      <c r="H1377" s="10" t="s">
        <v>1938</v>
      </c>
      <c r="I1377" s="10" t="s">
        <v>4790</v>
      </c>
      <c r="J1377" s="10" t="s">
        <v>4791</v>
      </c>
      <c r="K1377" s="10" t="s">
        <v>4792</v>
      </c>
      <c r="L1377" s="65" t="str">
        <f t="shared" si="108"/>
        <v>Chitipa|Malawi|33,266666|-9,716667|+2:00 Africa</v>
      </c>
      <c r="M1377" s="10" t="s">
        <v>4795</v>
      </c>
      <c r="N1377" s="10">
        <f t="shared" si="105"/>
        <v>0</v>
      </c>
      <c r="O1377" t="str">
        <f t="shared" si="109"/>
        <v/>
      </c>
      <c r="P1377" t="str">
        <f>IF(O1377=1,COUNTIF($O$2:O1377,1),"")</f>
        <v/>
      </c>
      <c r="Q1377" t="str">
        <f>IFERROR(INDEX($M$2:$M$2388,MATCH(ROWS($P$2:P1377),$P$2:$P$2388,0)),"")</f>
        <v/>
      </c>
    </row>
    <row r="1378" spans="1:17" ht="15" x14ac:dyDescent="0.25">
      <c r="A1378" s="10">
        <v>1522</v>
      </c>
      <c r="B1378" s="10" t="s">
        <v>4796</v>
      </c>
      <c r="C1378" s="880">
        <f t="shared" si="106"/>
        <v>33.933300000000003</v>
      </c>
      <c r="D1378" s="880">
        <f t="shared" si="107"/>
        <v>-9.9332999999999991</v>
      </c>
      <c r="E1378" s="10">
        <v>33.933334000000002</v>
      </c>
      <c r="F1378" s="10">
        <v>-9.9333329999999993</v>
      </c>
      <c r="G1378" s="10">
        <v>2</v>
      </c>
      <c r="H1378" s="10" t="s">
        <v>1938</v>
      </c>
      <c r="I1378" s="10" t="s">
        <v>4790</v>
      </c>
      <c r="J1378" s="10" t="s">
        <v>4791</v>
      </c>
      <c r="K1378" s="10" t="s">
        <v>4792</v>
      </c>
      <c r="L1378" s="65" t="str">
        <f t="shared" si="108"/>
        <v>Karonga|Malawi|33,933334|-9,933333|+2:00 Africa</v>
      </c>
      <c r="M1378" s="10" t="s">
        <v>4797</v>
      </c>
      <c r="N1378" s="10">
        <f t="shared" si="105"/>
        <v>0</v>
      </c>
      <c r="O1378" t="str">
        <f t="shared" si="109"/>
        <v/>
      </c>
      <c r="P1378" t="str">
        <f>IF(O1378=1,COUNTIF($O$2:O1378,1),"")</f>
        <v/>
      </c>
      <c r="Q1378" t="str">
        <f>IFERROR(INDEX($M$2:$M$2388,MATCH(ROWS($P$2:P1378),$P$2:$P$2388,0)),"")</f>
        <v/>
      </c>
    </row>
    <row r="1379" spans="1:17" ht="15" x14ac:dyDescent="0.25">
      <c r="A1379" s="10">
        <v>1525</v>
      </c>
      <c r="B1379" s="10" t="s">
        <v>4798</v>
      </c>
      <c r="C1379" s="880">
        <f t="shared" si="106"/>
        <v>33.783299999999997</v>
      </c>
      <c r="D1379" s="880">
        <f t="shared" si="107"/>
        <v>-13.9833</v>
      </c>
      <c r="E1379" s="10">
        <v>33.783332999999999</v>
      </c>
      <c r="F1379" s="10">
        <v>-13.983333999999999</v>
      </c>
      <c r="G1379" s="10">
        <v>2</v>
      </c>
      <c r="H1379" s="10" t="s">
        <v>1938</v>
      </c>
      <c r="I1379" s="10" t="s">
        <v>4790</v>
      </c>
      <c r="J1379" s="10" t="s">
        <v>4791</v>
      </c>
      <c r="K1379" s="10" t="s">
        <v>4792</v>
      </c>
      <c r="L1379" s="65" t="str">
        <f t="shared" si="108"/>
        <v>Lilongwe|Malawi|33,783333|-13,983334|+2:00 Africa</v>
      </c>
      <c r="M1379" s="10" t="s">
        <v>4799</v>
      </c>
      <c r="N1379" s="10">
        <f t="shared" si="105"/>
        <v>0</v>
      </c>
      <c r="O1379" t="str">
        <f t="shared" si="109"/>
        <v/>
      </c>
      <c r="P1379" t="str">
        <f>IF(O1379=1,COUNTIF($O$2:O1379,1),"")</f>
        <v/>
      </c>
      <c r="Q1379" t="str">
        <f>IFERROR(INDEX($M$2:$M$2388,MATCH(ROWS($P$2:P1379),$P$2:$P$2388,0)),"")</f>
        <v/>
      </c>
    </row>
    <row r="1380" spans="1:17" ht="15" x14ac:dyDescent="0.25">
      <c r="A1380" s="10">
        <v>1524</v>
      </c>
      <c r="B1380" s="10" t="s">
        <v>4800</v>
      </c>
      <c r="C1380" s="880">
        <f t="shared" si="106"/>
        <v>35.333300000000001</v>
      </c>
      <c r="D1380" s="880">
        <f t="shared" si="107"/>
        <v>-15.3833</v>
      </c>
      <c r="E1380" s="10">
        <v>35.333331999999999</v>
      </c>
      <c r="F1380" s="10">
        <v>-15.383333</v>
      </c>
      <c r="G1380" s="10">
        <v>2</v>
      </c>
      <c r="H1380" s="10" t="s">
        <v>1938</v>
      </c>
      <c r="I1380" s="10" t="s">
        <v>4790</v>
      </c>
      <c r="J1380" s="10" t="s">
        <v>4791</v>
      </c>
      <c r="K1380" s="10" t="s">
        <v>4792</v>
      </c>
      <c r="L1380" s="65" t="str">
        <f t="shared" si="108"/>
        <v>Zomba|Malawi|35,333332|-15,383333|+2:00 Africa</v>
      </c>
      <c r="M1380" s="10" t="s">
        <v>4801</v>
      </c>
      <c r="N1380" s="10">
        <f t="shared" si="105"/>
        <v>0</v>
      </c>
      <c r="O1380" t="str">
        <f t="shared" si="109"/>
        <v/>
      </c>
      <c r="P1380" t="str">
        <f>IF(O1380=1,COUNTIF($O$2:O1380,1),"")</f>
        <v/>
      </c>
      <c r="Q1380" t="str">
        <f>IFERROR(INDEX($M$2:$M$2388,MATCH(ROWS($P$2:P1380),$P$2:$P$2388,0)),"")</f>
        <v/>
      </c>
    </row>
    <row r="1381" spans="1:17" ht="15" x14ac:dyDescent="0.25">
      <c r="A1381" s="10">
        <v>1614</v>
      </c>
      <c r="B1381" s="10" t="s">
        <v>4802</v>
      </c>
      <c r="C1381" s="880">
        <f t="shared" si="106"/>
        <v>100.36660000000001</v>
      </c>
      <c r="D1381" s="880">
        <f t="shared" si="107"/>
        <v>6.1166</v>
      </c>
      <c r="E1381" s="10">
        <v>100.366669</v>
      </c>
      <c r="F1381" s="10">
        <v>6.1166669999999996</v>
      </c>
      <c r="G1381" s="10">
        <v>8</v>
      </c>
      <c r="H1381" s="10" t="s">
        <v>1831</v>
      </c>
      <c r="I1381" s="10" t="s">
        <v>4803</v>
      </c>
      <c r="J1381" s="10" t="s">
        <v>4804</v>
      </c>
      <c r="K1381" s="10" t="s">
        <v>4805</v>
      </c>
      <c r="L1381" s="65" t="str">
        <f t="shared" si="108"/>
        <v>Alor Setar|Malaysia|100,366669|6,116667|+8:00 Asia</v>
      </c>
      <c r="M1381" s="10" t="s">
        <v>4806</v>
      </c>
      <c r="N1381" s="10">
        <f t="shared" si="105"/>
        <v>0</v>
      </c>
      <c r="O1381" t="str">
        <f t="shared" si="109"/>
        <v/>
      </c>
      <c r="P1381" t="str">
        <f>IF(O1381=1,COUNTIF($O$2:O1381,1),"")</f>
        <v/>
      </c>
      <c r="Q1381" t="str">
        <f>IFERROR(INDEX($M$2:$M$2388,MATCH(ROWS($P$2:P1381),$P$2:$P$2388,0)),"")</f>
        <v/>
      </c>
    </row>
    <row r="1382" spans="1:17" ht="15" x14ac:dyDescent="0.25">
      <c r="A1382" s="10">
        <v>1608</v>
      </c>
      <c r="B1382" s="10" t="s">
        <v>4807</v>
      </c>
      <c r="C1382" s="880">
        <f t="shared" si="106"/>
        <v>100.4666</v>
      </c>
      <c r="D1382" s="880">
        <f t="shared" si="107"/>
        <v>5.3666</v>
      </c>
      <c r="E1382" s="10">
        <v>100.466667</v>
      </c>
      <c r="F1382" s="10">
        <v>5.3666669999999996</v>
      </c>
      <c r="G1382" s="10">
        <v>8</v>
      </c>
      <c r="H1382" s="10" t="s">
        <v>1831</v>
      </c>
      <c r="I1382" s="10" t="s">
        <v>4803</v>
      </c>
      <c r="J1382" s="10" t="s">
        <v>4804</v>
      </c>
      <c r="K1382" s="10" t="s">
        <v>4805</v>
      </c>
      <c r="L1382" s="65" t="str">
        <f t="shared" si="108"/>
        <v>Bukit Mertajam|Malaysia|100,466667|5,366667|+8:00 Asia</v>
      </c>
      <c r="M1382" s="10" t="s">
        <v>4808</v>
      </c>
      <c r="N1382" s="10">
        <f t="shared" si="105"/>
        <v>0</v>
      </c>
      <c r="O1382" t="str">
        <f t="shared" si="109"/>
        <v/>
      </c>
      <c r="P1382" t="str">
        <f>IF(O1382=1,COUNTIF($O$2:O1382,1),"")</f>
        <v/>
      </c>
      <c r="Q1382" t="str">
        <f>IFERROR(INDEX($M$2:$M$2388,MATCH(ROWS($P$2:P1382),$P$2:$P$2388,0)),"")</f>
        <v/>
      </c>
    </row>
    <row r="1383" spans="1:17" ht="15" x14ac:dyDescent="0.25">
      <c r="A1383" s="10">
        <v>1605</v>
      </c>
      <c r="B1383" s="10" t="s">
        <v>4809</v>
      </c>
      <c r="C1383" s="880">
        <f t="shared" si="106"/>
        <v>101.08329999999999</v>
      </c>
      <c r="D1383" s="880">
        <f t="shared" si="107"/>
        <v>4.5833000000000004</v>
      </c>
      <c r="E1383" s="10">
        <v>101.083336</v>
      </c>
      <c r="F1383" s="10">
        <v>4.5833329999999997</v>
      </c>
      <c r="G1383" s="10">
        <v>8</v>
      </c>
      <c r="H1383" s="10" t="s">
        <v>1831</v>
      </c>
      <c r="I1383" s="10" t="s">
        <v>4803</v>
      </c>
      <c r="J1383" s="10" t="s">
        <v>4804</v>
      </c>
      <c r="K1383" s="10" t="s">
        <v>4805</v>
      </c>
      <c r="L1383" s="65" t="str">
        <f t="shared" si="108"/>
        <v>Ipoh|Malaysia|101,083336|4,583333|+8:00 Asia</v>
      </c>
      <c r="M1383" s="10" t="s">
        <v>4810</v>
      </c>
      <c r="N1383" s="10">
        <f t="shared" si="105"/>
        <v>0</v>
      </c>
      <c r="O1383" t="str">
        <f t="shared" si="109"/>
        <v/>
      </c>
      <c r="P1383" t="str">
        <f>IF(O1383=1,COUNTIF($O$2:O1383,1),"")</f>
        <v/>
      </c>
      <c r="Q1383" t="str">
        <f>IFERROR(INDEX($M$2:$M$2388,MATCH(ROWS($P$2:P1383),$P$2:$P$2388,0)),"")</f>
        <v/>
      </c>
    </row>
    <row r="1384" spans="1:17" ht="15" x14ac:dyDescent="0.25">
      <c r="A1384" s="10">
        <v>1596</v>
      </c>
      <c r="B1384" s="10" t="s">
        <v>4811</v>
      </c>
      <c r="C1384" s="880">
        <f t="shared" si="106"/>
        <v>102.36660000000001</v>
      </c>
      <c r="D1384" s="880">
        <f t="shared" si="107"/>
        <v>3.9333</v>
      </c>
      <c r="E1384" s="10">
        <v>102.366669</v>
      </c>
      <c r="F1384" s="10">
        <v>3.9333330000000002</v>
      </c>
      <c r="G1384" s="10">
        <v>8</v>
      </c>
      <c r="H1384" s="10" t="s">
        <v>1831</v>
      </c>
      <c r="I1384" s="10" t="s">
        <v>4803</v>
      </c>
      <c r="J1384" s="10" t="s">
        <v>4804</v>
      </c>
      <c r="K1384" s="10" t="s">
        <v>4805</v>
      </c>
      <c r="L1384" s="65" t="str">
        <f t="shared" si="108"/>
        <v>Jerantut|Malaysia|102,366669|3,933333|+8:00 Asia</v>
      </c>
      <c r="M1384" s="10" t="s">
        <v>4812</v>
      </c>
      <c r="N1384" s="10">
        <f t="shared" si="105"/>
        <v>0</v>
      </c>
      <c r="O1384" t="str">
        <f t="shared" si="109"/>
        <v/>
      </c>
      <c r="P1384" t="str">
        <f>IF(O1384=1,COUNTIF($O$2:O1384,1),"")</f>
        <v/>
      </c>
      <c r="Q1384" t="str">
        <f>IFERROR(INDEX($M$2:$M$2388,MATCH(ROWS($P$2:P1384),$P$2:$P$2388,0)),"")</f>
        <v/>
      </c>
    </row>
    <row r="1385" spans="1:17" ht="15" x14ac:dyDescent="0.25">
      <c r="A1385" s="10">
        <v>1598</v>
      </c>
      <c r="B1385" s="10" t="s">
        <v>4813</v>
      </c>
      <c r="C1385" s="880">
        <f t="shared" si="106"/>
        <v>103.75</v>
      </c>
      <c r="D1385" s="880">
        <f t="shared" si="107"/>
        <v>1.4665999999999999</v>
      </c>
      <c r="E1385" s="10">
        <v>103.75</v>
      </c>
      <c r="F1385" s="10">
        <v>1.4666669999999999</v>
      </c>
      <c r="G1385" s="10">
        <v>8</v>
      </c>
      <c r="H1385" s="10" t="s">
        <v>1831</v>
      </c>
      <c r="I1385" s="10" t="s">
        <v>4803</v>
      </c>
      <c r="J1385" s="10" t="s">
        <v>4804</v>
      </c>
      <c r="K1385" s="10" t="s">
        <v>4805</v>
      </c>
      <c r="L1385" s="65" t="str">
        <f t="shared" si="108"/>
        <v>Johor Bahru|Malaysia|103,750000|1,466667|+8:00 Asia</v>
      </c>
      <c r="M1385" s="10" t="s">
        <v>4814</v>
      </c>
      <c r="N1385" s="10">
        <f t="shared" si="105"/>
        <v>0</v>
      </c>
      <c r="O1385" t="str">
        <f t="shared" si="109"/>
        <v/>
      </c>
      <c r="P1385" t="str">
        <f>IF(O1385=1,COUNTIF($O$2:O1385,1),"")</f>
        <v/>
      </c>
      <c r="Q1385" t="str">
        <f>IFERROR(INDEX($M$2:$M$2388,MATCH(ROWS($P$2:P1385),$P$2:$P$2388,0)),"")</f>
        <v/>
      </c>
    </row>
    <row r="1386" spans="1:17" ht="15" x14ac:dyDescent="0.25">
      <c r="A1386" s="10">
        <v>1617</v>
      </c>
      <c r="B1386" s="10" t="s">
        <v>4815</v>
      </c>
      <c r="C1386" s="880">
        <f t="shared" si="106"/>
        <v>101.5333</v>
      </c>
      <c r="D1386" s="880">
        <f t="shared" si="107"/>
        <v>3.15</v>
      </c>
      <c r="E1386" s="10">
        <v>101.533333</v>
      </c>
      <c r="F1386" s="10">
        <v>3.15</v>
      </c>
      <c r="G1386" s="10">
        <v>8</v>
      </c>
      <c r="H1386" s="10" t="s">
        <v>1831</v>
      </c>
      <c r="I1386" s="10" t="s">
        <v>4803</v>
      </c>
      <c r="J1386" s="10" t="s">
        <v>4804</v>
      </c>
      <c r="K1386" s="10" t="s">
        <v>4805</v>
      </c>
      <c r="L1386" s="65" t="str">
        <f t="shared" si="108"/>
        <v>Kampung Baru Subang|Malaysia|101,533333|3,150000|+8:00 Asia</v>
      </c>
      <c r="M1386" s="10" t="s">
        <v>4816</v>
      </c>
      <c r="N1386" s="10">
        <f t="shared" si="105"/>
        <v>0</v>
      </c>
      <c r="O1386" t="str">
        <f t="shared" si="109"/>
        <v/>
      </c>
      <c r="P1386" t="str">
        <f>IF(O1386=1,COUNTIF($O$2:O1386,1),"")</f>
        <v/>
      </c>
      <c r="Q1386" t="str">
        <f>IFERROR(INDEX($M$2:$M$2388,MATCH(ROWS($P$2:P1386),$P$2:$P$2388,0)),"")</f>
        <v/>
      </c>
    </row>
    <row r="1387" spans="1:17" ht="15" x14ac:dyDescent="0.25">
      <c r="A1387" s="10">
        <v>1600</v>
      </c>
      <c r="B1387" s="10" t="s">
        <v>4817</v>
      </c>
      <c r="C1387" s="880">
        <f t="shared" si="106"/>
        <v>101.4499</v>
      </c>
      <c r="D1387" s="880">
        <f t="shared" si="107"/>
        <v>3.0333000000000001</v>
      </c>
      <c r="E1387" s="10">
        <v>101.449997</v>
      </c>
      <c r="F1387" s="10">
        <v>3.0333329999999998</v>
      </c>
      <c r="G1387" s="10">
        <v>8</v>
      </c>
      <c r="H1387" s="10" t="s">
        <v>1831</v>
      </c>
      <c r="I1387" s="10" t="s">
        <v>4803</v>
      </c>
      <c r="J1387" s="10" t="s">
        <v>4804</v>
      </c>
      <c r="K1387" s="10" t="s">
        <v>4805</v>
      </c>
      <c r="L1387" s="65" t="str">
        <f t="shared" si="108"/>
        <v>Klang|Malaysia|101,449997|3,033333|+8:00 Asia</v>
      </c>
      <c r="M1387" s="10" t="s">
        <v>4818</v>
      </c>
      <c r="N1387" s="10">
        <f t="shared" si="105"/>
        <v>0</v>
      </c>
      <c r="O1387" t="str">
        <f t="shared" si="109"/>
        <v/>
      </c>
      <c r="P1387" t="str">
        <f>IF(O1387=1,COUNTIF($O$2:O1387,1),"")</f>
        <v/>
      </c>
      <c r="Q1387" t="str">
        <f>IFERROR(INDEX($M$2:$M$2388,MATCH(ROWS($P$2:P1387),$P$2:$P$2388,0)),"")</f>
        <v/>
      </c>
    </row>
    <row r="1388" spans="1:17" ht="15" x14ac:dyDescent="0.25">
      <c r="A1388" s="10">
        <v>1615</v>
      </c>
      <c r="B1388" s="10" t="s">
        <v>4819</v>
      </c>
      <c r="C1388" s="880">
        <f t="shared" si="106"/>
        <v>102.25</v>
      </c>
      <c r="D1388" s="880">
        <f t="shared" si="107"/>
        <v>6.1333000000000002</v>
      </c>
      <c r="E1388" s="10">
        <v>102.25</v>
      </c>
      <c r="F1388" s="10">
        <v>6.1333330000000004</v>
      </c>
      <c r="G1388" s="10">
        <v>8</v>
      </c>
      <c r="H1388" s="10" t="s">
        <v>1831</v>
      </c>
      <c r="I1388" s="10" t="s">
        <v>4803</v>
      </c>
      <c r="J1388" s="10" t="s">
        <v>4804</v>
      </c>
      <c r="K1388" s="10" t="s">
        <v>4805</v>
      </c>
      <c r="L1388" s="65" t="str">
        <f t="shared" si="108"/>
        <v>Kota Baharu|Malaysia|102,250000|6,133333|+8:00 Asia</v>
      </c>
      <c r="M1388" s="10" t="s">
        <v>4820</v>
      </c>
      <c r="N1388" s="10">
        <f t="shared" si="105"/>
        <v>0</v>
      </c>
      <c r="O1388" t="str">
        <f t="shared" si="109"/>
        <v/>
      </c>
      <c r="P1388" t="str">
        <f>IF(O1388=1,COUNTIF($O$2:O1388,1),"")</f>
        <v/>
      </c>
      <c r="Q1388" t="str">
        <f>IFERROR(INDEX($M$2:$M$2388,MATCH(ROWS($P$2:P1388),$P$2:$P$2388,0)),"")</f>
        <v/>
      </c>
    </row>
    <row r="1389" spans="1:17" ht="15" x14ac:dyDescent="0.25">
      <c r="A1389" s="10">
        <v>1601</v>
      </c>
      <c r="B1389" s="10" t="s">
        <v>4821</v>
      </c>
      <c r="C1389" s="880">
        <f t="shared" si="106"/>
        <v>116.06659999999999</v>
      </c>
      <c r="D1389" s="880">
        <f t="shared" si="107"/>
        <v>5.9832999999999998</v>
      </c>
      <c r="E1389" s="10">
        <v>116.066666</v>
      </c>
      <c r="F1389" s="10">
        <v>5.983333</v>
      </c>
      <c r="G1389" s="10">
        <v>8</v>
      </c>
      <c r="H1389" s="10" t="s">
        <v>1831</v>
      </c>
      <c r="I1389" s="10" t="s">
        <v>4803</v>
      </c>
      <c r="J1389" s="10" t="s">
        <v>4804</v>
      </c>
      <c r="K1389" s="10" t="s">
        <v>4822</v>
      </c>
      <c r="L1389" s="65" t="str">
        <f t="shared" si="108"/>
        <v>Kota Kinabalu|Malaysia|116,066666|5,983333|+8:00 Asia</v>
      </c>
      <c r="M1389" s="10" t="s">
        <v>4823</v>
      </c>
      <c r="N1389" s="10">
        <f t="shared" si="105"/>
        <v>0</v>
      </c>
      <c r="O1389" t="str">
        <f t="shared" si="109"/>
        <v/>
      </c>
      <c r="P1389" t="str">
        <f>IF(O1389=1,COUNTIF($O$2:O1389,1),"")</f>
        <v/>
      </c>
      <c r="Q1389" t="str">
        <f>IFERROR(INDEX($M$2:$M$2388,MATCH(ROWS($P$2:P1389),$P$2:$P$2388,0)),"")</f>
        <v/>
      </c>
    </row>
    <row r="1390" spans="1:17" ht="15" x14ac:dyDescent="0.25">
      <c r="A1390" s="10">
        <v>1595</v>
      </c>
      <c r="B1390" s="10" t="s">
        <v>4824</v>
      </c>
      <c r="C1390" s="880">
        <f t="shared" si="106"/>
        <v>99.849900000000005</v>
      </c>
      <c r="D1390" s="880">
        <f t="shared" si="107"/>
        <v>6.3166000000000002</v>
      </c>
      <c r="E1390" s="10">
        <v>99.849997999999999</v>
      </c>
      <c r="F1390" s="10">
        <v>6.3166669999999998</v>
      </c>
      <c r="G1390" s="10">
        <v>8</v>
      </c>
      <c r="H1390" s="10" t="s">
        <v>1831</v>
      </c>
      <c r="I1390" s="10" t="s">
        <v>4803</v>
      </c>
      <c r="J1390" s="10" t="s">
        <v>4804</v>
      </c>
      <c r="K1390" s="10" t="s">
        <v>4805</v>
      </c>
      <c r="L1390" s="65" t="str">
        <f t="shared" si="108"/>
        <v>Kuah|Malaysia|99,849998|6,316667|+8:00 Asia</v>
      </c>
      <c r="M1390" s="10" t="s">
        <v>4825</v>
      </c>
      <c r="N1390" s="10">
        <f t="shared" si="105"/>
        <v>0</v>
      </c>
      <c r="O1390" t="str">
        <f t="shared" si="109"/>
        <v/>
      </c>
      <c r="P1390" t="str">
        <f>IF(O1390=1,COUNTIF($O$2:O1390,1),"")</f>
        <v/>
      </c>
      <c r="Q1390" t="str">
        <f>IFERROR(INDEX($M$2:$M$2388,MATCH(ROWS($P$2:P1390),$P$2:$P$2388,0)),"")</f>
        <v/>
      </c>
    </row>
    <row r="1391" spans="1:17" ht="15" x14ac:dyDescent="0.25">
      <c r="A1391" s="10">
        <v>1610</v>
      </c>
      <c r="B1391" s="10" t="s">
        <v>4826</v>
      </c>
      <c r="C1391" s="880">
        <f t="shared" si="106"/>
        <v>101.6999</v>
      </c>
      <c r="D1391" s="880">
        <f t="shared" si="107"/>
        <v>3.1665999999999999</v>
      </c>
      <c r="E1391" s="10">
        <v>101.699997</v>
      </c>
      <c r="F1391" s="10">
        <v>3.1666669999999999</v>
      </c>
      <c r="G1391" s="10">
        <v>8</v>
      </c>
      <c r="H1391" s="10" t="s">
        <v>1831</v>
      </c>
      <c r="I1391" s="10" t="s">
        <v>4803</v>
      </c>
      <c r="J1391" s="10" t="s">
        <v>4804</v>
      </c>
      <c r="K1391" s="10" t="s">
        <v>4805</v>
      </c>
      <c r="L1391" s="65" t="str">
        <f t="shared" si="108"/>
        <v>Kuala Lumpur|Malaysia|101,699997|3,166667|+8:00 Asia</v>
      </c>
      <c r="M1391" s="10" t="s">
        <v>4827</v>
      </c>
      <c r="N1391" s="10">
        <f t="shared" si="105"/>
        <v>0</v>
      </c>
      <c r="O1391" t="str">
        <f t="shared" si="109"/>
        <v/>
      </c>
      <c r="P1391" t="str">
        <f>IF(O1391=1,COUNTIF($O$2:O1391,1),"")</f>
        <v/>
      </c>
      <c r="Q1391" t="str">
        <f>IFERROR(INDEX($M$2:$M$2388,MATCH(ROWS($P$2:P1391),$P$2:$P$2388,0)),"")</f>
        <v/>
      </c>
    </row>
    <row r="1392" spans="1:17" ht="15" x14ac:dyDescent="0.25">
      <c r="A1392" s="10">
        <v>1606</v>
      </c>
      <c r="B1392" s="10" t="s">
        <v>4828</v>
      </c>
      <c r="C1392" s="880">
        <f t="shared" si="106"/>
        <v>103.13330000000001</v>
      </c>
      <c r="D1392" s="880">
        <f t="shared" si="107"/>
        <v>5.3333000000000004</v>
      </c>
      <c r="E1392" s="10">
        <v>103.133331</v>
      </c>
      <c r="F1392" s="10">
        <v>5.3333329999999997</v>
      </c>
      <c r="G1392" s="10">
        <v>8</v>
      </c>
      <c r="H1392" s="10" t="s">
        <v>1831</v>
      </c>
      <c r="I1392" s="10" t="s">
        <v>4803</v>
      </c>
      <c r="J1392" s="10" t="s">
        <v>4804</v>
      </c>
      <c r="K1392" s="10" t="s">
        <v>4805</v>
      </c>
      <c r="L1392" s="65" t="str">
        <f t="shared" si="108"/>
        <v>Kuala Terengganu|Malaysia|103,133331|5,333333|+8:00 Asia</v>
      </c>
      <c r="M1392" s="10" t="s">
        <v>4829</v>
      </c>
      <c r="N1392" s="10">
        <f t="shared" si="105"/>
        <v>0</v>
      </c>
      <c r="O1392" t="str">
        <f t="shared" si="109"/>
        <v/>
      </c>
      <c r="P1392" t="str">
        <f>IF(O1392=1,COUNTIF($O$2:O1392,1),"")</f>
        <v/>
      </c>
      <c r="Q1392" t="str">
        <f>IFERROR(INDEX($M$2:$M$2388,MATCH(ROWS($P$2:P1392),$P$2:$P$2388,0)),"")</f>
        <v/>
      </c>
    </row>
    <row r="1393" spans="1:17" ht="15" x14ac:dyDescent="0.25">
      <c r="A1393" s="10">
        <v>1611</v>
      </c>
      <c r="B1393" s="10" t="s">
        <v>4830</v>
      </c>
      <c r="C1393" s="880">
        <f t="shared" si="106"/>
        <v>103.33329999999999</v>
      </c>
      <c r="D1393" s="880">
        <f t="shared" si="107"/>
        <v>3.8</v>
      </c>
      <c r="E1393" s="10">
        <v>103.333336</v>
      </c>
      <c r="F1393" s="10">
        <v>3.8</v>
      </c>
      <c r="G1393" s="10">
        <v>8</v>
      </c>
      <c r="H1393" s="10" t="s">
        <v>1831</v>
      </c>
      <c r="I1393" s="10" t="s">
        <v>4803</v>
      </c>
      <c r="J1393" s="10" t="s">
        <v>4804</v>
      </c>
      <c r="K1393" s="10" t="s">
        <v>4805</v>
      </c>
      <c r="L1393" s="65" t="str">
        <f t="shared" si="108"/>
        <v>Kuantan|Malaysia|103,333336|3,800000|+8:00 Asia</v>
      </c>
      <c r="M1393" s="10" t="s">
        <v>4831</v>
      </c>
      <c r="N1393" s="10">
        <f t="shared" si="105"/>
        <v>0</v>
      </c>
      <c r="O1393" t="str">
        <f t="shared" si="109"/>
        <v/>
      </c>
      <c r="P1393" t="str">
        <f>IF(O1393=1,COUNTIF($O$2:O1393,1),"")</f>
        <v/>
      </c>
      <c r="Q1393" t="str">
        <f>IFERROR(INDEX($M$2:$M$2388,MATCH(ROWS($P$2:P1393),$P$2:$P$2388,0)),"")</f>
        <v/>
      </c>
    </row>
    <row r="1394" spans="1:17" ht="15" x14ac:dyDescent="0.25">
      <c r="A1394" s="10">
        <v>1613</v>
      </c>
      <c r="B1394" s="10" t="s">
        <v>4832</v>
      </c>
      <c r="C1394" s="880">
        <f t="shared" si="106"/>
        <v>110.33329999999999</v>
      </c>
      <c r="D1394" s="880">
        <f t="shared" si="107"/>
        <v>1.55</v>
      </c>
      <c r="E1394" s="10">
        <v>110.333336</v>
      </c>
      <c r="F1394" s="10">
        <v>1.55</v>
      </c>
      <c r="G1394" s="10">
        <v>8</v>
      </c>
      <c r="H1394" s="10" t="s">
        <v>1831</v>
      </c>
      <c r="I1394" s="10" t="s">
        <v>4803</v>
      </c>
      <c r="J1394" s="10" t="s">
        <v>4804</v>
      </c>
      <c r="K1394" s="10" t="s">
        <v>4822</v>
      </c>
      <c r="L1394" s="65" t="str">
        <f t="shared" si="108"/>
        <v>Kuching|Malaysia|110,333336|1,550000|+8:00 Asia</v>
      </c>
      <c r="M1394" s="10" t="s">
        <v>4833</v>
      </c>
      <c r="N1394" s="10">
        <f t="shared" si="105"/>
        <v>0</v>
      </c>
      <c r="O1394" t="str">
        <f t="shared" si="109"/>
        <v/>
      </c>
      <c r="P1394" t="str">
        <f>IF(O1394=1,COUNTIF($O$2:O1394,1),"")</f>
        <v/>
      </c>
      <c r="Q1394" t="str">
        <f>IFERROR(INDEX($M$2:$M$2388,MATCH(ROWS($P$2:P1394),$P$2:$P$2388,0)),"")</f>
        <v/>
      </c>
    </row>
    <row r="1395" spans="1:17" ht="15" x14ac:dyDescent="0.25">
      <c r="A1395" s="10">
        <v>1616</v>
      </c>
      <c r="B1395" s="10" t="s">
        <v>4834</v>
      </c>
      <c r="C1395" s="880">
        <f t="shared" si="106"/>
        <v>113.9833</v>
      </c>
      <c r="D1395" s="880">
        <f t="shared" si="107"/>
        <v>4.3833000000000002</v>
      </c>
      <c r="E1395" s="10">
        <v>113.98333</v>
      </c>
      <c r="F1395" s="10">
        <v>4.3833330000000004</v>
      </c>
      <c r="G1395" s="10">
        <v>8</v>
      </c>
      <c r="H1395" s="10" t="s">
        <v>1831</v>
      </c>
      <c r="I1395" s="10" t="s">
        <v>4803</v>
      </c>
      <c r="J1395" s="10" t="s">
        <v>4804</v>
      </c>
      <c r="K1395" s="10" t="s">
        <v>4822</v>
      </c>
      <c r="L1395" s="65" t="str">
        <f t="shared" si="108"/>
        <v>Miri|Malaysia|113,983330|4,383333|+8:00 Asia</v>
      </c>
      <c r="M1395" s="10" t="s">
        <v>4835</v>
      </c>
      <c r="N1395" s="10">
        <f t="shared" si="105"/>
        <v>0</v>
      </c>
      <c r="O1395" t="str">
        <f t="shared" si="109"/>
        <v/>
      </c>
      <c r="P1395" t="str">
        <f>IF(O1395=1,COUNTIF($O$2:O1395,1),"")</f>
        <v/>
      </c>
      <c r="Q1395" t="str">
        <f>IFERROR(INDEX($M$2:$M$2388,MATCH(ROWS($P$2:P1395),$P$2:$P$2388,0)),"")</f>
        <v/>
      </c>
    </row>
    <row r="1396" spans="1:17" ht="15" x14ac:dyDescent="0.25">
      <c r="A1396" s="10">
        <v>1609</v>
      </c>
      <c r="B1396" s="10" t="s">
        <v>4836</v>
      </c>
      <c r="C1396" s="880">
        <f t="shared" si="106"/>
        <v>101.65</v>
      </c>
      <c r="D1396" s="880">
        <f t="shared" si="107"/>
        <v>3.0832999999999999</v>
      </c>
      <c r="E1396" s="10">
        <v>101.650002</v>
      </c>
      <c r="F1396" s="10">
        <v>3.0833330000000001</v>
      </c>
      <c r="G1396" s="10">
        <v>8</v>
      </c>
      <c r="H1396" s="10" t="s">
        <v>1831</v>
      </c>
      <c r="I1396" s="10" t="s">
        <v>4803</v>
      </c>
      <c r="J1396" s="10" t="s">
        <v>4804</v>
      </c>
      <c r="K1396" s="10" t="s">
        <v>4805</v>
      </c>
      <c r="L1396" s="65" t="str">
        <f t="shared" si="108"/>
        <v>Petaling Jaya|Malaysia|101,650002|3,083333|+8:00 Asia</v>
      </c>
      <c r="M1396" s="10" t="s">
        <v>4837</v>
      </c>
      <c r="N1396" s="10">
        <f t="shared" si="105"/>
        <v>0</v>
      </c>
      <c r="O1396" t="str">
        <f t="shared" si="109"/>
        <v/>
      </c>
      <c r="P1396" t="str">
        <f>IF(O1396=1,COUNTIF($O$2:O1396,1),"")</f>
        <v/>
      </c>
      <c r="Q1396" t="str">
        <f>IFERROR(INDEX($M$2:$M$2388,MATCH(ROWS($P$2:P1396),$P$2:$P$2388,0)),"")</f>
        <v/>
      </c>
    </row>
    <row r="1397" spans="1:17" ht="15" x14ac:dyDescent="0.25">
      <c r="A1397" s="10">
        <v>1597</v>
      </c>
      <c r="B1397" s="10" t="s">
        <v>4838</v>
      </c>
      <c r="C1397" s="880">
        <f t="shared" si="106"/>
        <v>101.86660000000001</v>
      </c>
      <c r="D1397" s="880">
        <f t="shared" si="107"/>
        <v>3.8</v>
      </c>
      <c r="E1397" s="10">
        <v>101.866669</v>
      </c>
      <c r="F1397" s="10">
        <v>3.8</v>
      </c>
      <c r="G1397" s="10">
        <v>8</v>
      </c>
      <c r="H1397" s="10" t="s">
        <v>1831</v>
      </c>
      <c r="I1397" s="10" t="s">
        <v>4803</v>
      </c>
      <c r="J1397" s="10" t="s">
        <v>4804</v>
      </c>
      <c r="K1397" s="10" t="s">
        <v>4805</v>
      </c>
      <c r="L1397" s="65" t="str">
        <f t="shared" si="108"/>
        <v>Raub|Malaysia|101,866669|3,800000|+8:00 Asia</v>
      </c>
      <c r="M1397" s="10" t="s">
        <v>4839</v>
      </c>
      <c r="N1397" s="10">
        <f t="shared" si="105"/>
        <v>0</v>
      </c>
      <c r="O1397" t="str">
        <f t="shared" si="109"/>
        <v/>
      </c>
      <c r="P1397" t="str">
        <f>IF(O1397=1,COUNTIF($O$2:O1397,1),"")</f>
        <v/>
      </c>
      <c r="Q1397" t="str">
        <f>IFERROR(INDEX($M$2:$M$2388,MATCH(ROWS($P$2:P1397),$P$2:$P$2388,0)),"")</f>
        <v/>
      </c>
    </row>
    <row r="1398" spans="1:17" ht="15" x14ac:dyDescent="0.25">
      <c r="A1398" s="10">
        <v>1602</v>
      </c>
      <c r="B1398" s="10" t="s">
        <v>4840</v>
      </c>
      <c r="C1398" s="880">
        <f t="shared" si="106"/>
        <v>118.11660000000001</v>
      </c>
      <c r="D1398" s="880">
        <f t="shared" si="107"/>
        <v>5.8333000000000004</v>
      </c>
      <c r="E1398" s="10">
        <v>118.116669</v>
      </c>
      <c r="F1398" s="10">
        <v>5.8333329999999997</v>
      </c>
      <c r="G1398" s="10">
        <v>8</v>
      </c>
      <c r="H1398" s="10" t="s">
        <v>1831</v>
      </c>
      <c r="I1398" s="10" t="s">
        <v>4803</v>
      </c>
      <c r="J1398" s="10" t="s">
        <v>4804</v>
      </c>
      <c r="K1398" s="10" t="s">
        <v>4822</v>
      </c>
      <c r="L1398" s="65" t="str">
        <f t="shared" si="108"/>
        <v>Sandakan|Malaysia|118,116669|5,833333|+8:00 Asia</v>
      </c>
      <c r="M1398" s="10" t="s">
        <v>4841</v>
      </c>
      <c r="N1398" s="10">
        <f t="shared" si="105"/>
        <v>0</v>
      </c>
      <c r="O1398" t="str">
        <f t="shared" si="109"/>
        <v/>
      </c>
      <c r="P1398" t="str">
        <f>IF(O1398=1,COUNTIF($O$2:O1398,1),"")</f>
        <v/>
      </c>
      <c r="Q1398" t="str">
        <f>IFERROR(INDEX($M$2:$M$2388,MATCH(ROWS($P$2:P1398),$P$2:$P$2388,0)),"")</f>
        <v/>
      </c>
    </row>
    <row r="1399" spans="1:17" ht="15" x14ac:dyDescent="0.25">
      <c r="A1399" s="10">
        <v>1607</v>
      </c>
      <c r="B1399" s="10" t="s">
        <v>4842</v>
      </c>
      <c r="C1399" s="880">
        <f t="shared" si="106"/>
        <v>101.9333</v>
      </c>
      <c r="D1399" s="880">
        <f t="shared" si="107"/>
        <v>2.7166000000000001</v>
      </c>
      <c r="E1399" s="10">
        <v>101.933334</v>
      </c>
      <c r="F1399" s="10">
        <v>2.7166670000000002</v>
      </c>
      <c r="G1399" s="10">
        <v>8</v>
      </c>
      <c r="H1399" s="10" t="s">
        <v>1831</v>
      </c>
      <c r="I1399" s="10" t="s">
        <v>4803</v>
      </c>
      <c r="J1399" s="10" t="s">
        <v>4804</v>
      </c>
      <c r="K1399" s="10" t="s">
        <v>4805</v>
      </c>
      <c r="L1399" s="65" t="str">
        <f t="shared" si="108"/>
        <v>Seremban|Malaysia|101,933334|2,716667|+8:00 Asia</v>
      </c>
      <c r="M1399" s="10" t="s">
        <v>4843</v>
      </c>
      <c r="N1399" s="10">
        <f t="shared" si="105"/>
        <v>0</v>
      </c>
      <c r="O1399" t="str">
        <f t="shared" si="109"/>
        <v/>
      </c>
      <c r="P1399" t="str">
        <f>IF(O1399=1,COUNTIF($O$2:O1399,1),"")</f>
        <v/>
      </c>
      <c r="Q1399" t="str">
        <f>IFERROR(INDEX($M$2:$M$2388,MATCH(ROWS($P$2:P1399),$P$2:$P$2388,0)),"")</f>
        <v/>
      </c>
    </row>
    <row r="1400" spans="1:17" ht="15" x14ac:dyDescent="0.25">
      <c r="A1400" s="10">
        <v>1599</v>
      </c>
      <c r="B1400" s="10" t="s">
        <v>4844</v>
      </c>
      <c r="C1400" s="880">
        <f t="shared" si="106"/>
        <v>101.53279999999999</v>
      </c>
      <c r="D1400" s="880">
        <f t="shared" si="107"/>
        <v>3.085</v>
      </c>
      <c r="E1400" s="10">
        <v>101.532814</v>
      </c>
      <c r="F1400" s="10">
        <v>3.0850659999999999</v>
      </c>
      <c r="G1400" s="10">
        <v>8</v>
      </c>
      <c r="H1400" s="10" t="s">
        <v>1831</v>
      </c>
      <c r="I1400" s="10" t="s">
        <v>4803</v>
      </c>
      <c r="J1400" s="10" t="s">
        <v>4804</v>
      </c>
      <c r="K1400" s="10" t="s">
        <v>4805</v>
      </c>
      <c r="L1400" s="65" t="str">
        <f t="shared" si="108"/>
        <v>Shah Alam|Malaysia|101,532814|3,085066|+8:00 Asia</v>
      </c>
      <c r="M1400" s="10" t="s">
        <v>4845</v>
      </c>
      <c r="N1400" s="10">
        <f t="shared" si="105"/>
        <v>0</v>
      </c>
      <c r="O1400" t="str">
        <f t="shared" si="109"/>
        <v/>
      </c>
      <c r="P1400" t="str">
        <f>IF(O1400=1,COUNTIF($O$2:O1400,1),"")</f>
        <v/>
      </c>
      <c r="Q1400" t="str">
        <f>IFERROR(INDEX($M$2:$M$2388,MATCH(ROWS($P$2:P1400),$P$2:$P$2388,0)),"")</f>
        <v/>
      </c>
    </row>
    <row r="1401" spans="1:17" ht="15" x14ac:dyDescent="0.25">
      <c r="A1401" s="10">
        <v>1612</v>
      </c>
      <c r="B1401" s="10" t="s">
        <v>4846</v>
      </c>
      <c r="C1401" s="880">
        <f t="shared" si="106"/>
        <v>100.5</v>
      </c>
      <c r="D1401" s="880">
        <f t="shared" si="107"/>
        <v>5.65</v>
      </c>
      <c r="E1401" s="10">
        <v>100.5</v>
      </c>
      <c r="F1401" s="10">
        <v>5.65</v>
      </c>
      <c r="G1401" s="10">
        <v>8</v>
      </c>
      <c r="H1401" s="10" t="s">
        <v>1831</v>
      </c>
      <c r="I1401" s="10" t="s">
        <v>4803</v>
      </c>
      <c r="J1401" s="10" t="s">
        <v>4804</v>
      </c>
      <c r="K1401" s="10" t="s">
        <v>4805</v>
      </c>
      <c r="L1401" s="65" t="str">
        <f t="shared" si="108"/>
        <v>Sungai Petani|Malaysia|100,500000|5,650000|+8:00 Asia</v>
      </c>
      <c r="M1401" s="10" t="s">
        <v>4847</v>
      </c>
      <c r="N1401" s="10">
        <f t="shared" si="105"/>
        <v>0</v>
      </c>
      <c r="O1401" t="str">
        <f t="shared" si="109"/>
        <v/>
      </c>
      <c r="P1401" t="str">
        <f>IF(O1401=1,COUNTIF($O$2:O1401,1),"")</f>
        <v/>
      </c>
      <c r="Q1401" t="str">
        <f>IFERROR(INDEX($M$2:$M$2388,MATCH(ROWS($P$2:P1401),$P$2:$P$2388,0)),"")</f>
        <v/>
      </c>
    </row>
    <row r="1402" spans="1:17" ht="15" x14ac:dyDescent="0.25">
      <c r="A1402" s="10">
        <v>1604</v>
      </c>
      <c r="B1402" s="10" t="s">
        <v>4848</v>
      </c>
      <c r="C1402" s="880">
        <f t="shared" si="106"/>
        <v>100.7333</v>
      </c>
      <c r="D1402" s="880">
        <f t="shared" si="107"/>
        <v>4.8499999999999996</v>
      </c>
      <c r="E1402" s="10">
        <v>100.73333</v>
      </c>
      <c r="F1402" s="10">
        <v>4.8499999999999996</v>
      </c>
      <c r="G1402" s="10">
        <v>8</v>
      </c>
      <c r="H1402" s="10" t="s">
        <v>1831</v>
      </c>
      <c r="I1402" s="10" t="s">
        <v>4803</v>
      </c>
      <c r="J1402" s="10" t="s">
        <v>4804</v>
      </c>
      <c r="K1402" s="10" t="s">
        <v>4805</v>
      </c>
      <c r="L1402" s="65" t="str">
        <f t="shared" si="108"/>
        <v>Taiping|Malaysia|100,733330|4,850000|+8:00 Asia</v>
      </c>
      <c r="M1402" s="10" t="s">
        <v>4849</v>
      </c>
      <c r="N1402" s="10">
        <f t="shared" si="105"/>
        <v>0</v>
      </c>
      <c r="O1402" t="str">
        <f t="shared" si="109"/>
        <v/>
      </c>
      <c r="P1402" t="str">
        <f>IF(O1402=1,COUNTIF($O$2:O1402,1),"")</f>
        <v/>
      </c>
      <c r="Q1402" t="str">
        <f>IFERROR(INDEX($M$2:$M$2388,MATCH(ROWS($P$2:P1402),$P$2:$P$2388,0)),"")</f>
        <v/>
      </c>
    </row>
    <row r="1403" spans="1:17" ht="15" x14ac:dyDescent="0.25">
      <c r="A1403" s="10">
        <v>1603</v>
      </c>
      <c r="B1403" s="10" t="s">
        <v>4850</v>
      </c>
      <c r="C1403" s="880">
        <f t="shared" si="106"/>
        <v>117.9</v>
      </c>
      <c r="D1403" s="880">
        <f t="shared" si="107"/>
        <v>4.25</v>
      </c>
      <c r="E1403" s="10">
        <v>117.900002</v>
      </c>
      <c r="F1403" s="10">
        <v>4.25</v>
      </c>
      <c r="G1403" s="10">
        <v>8</v>
      </c>
      <c r="H1403" s="10" t="s">
        <v>1831</v>
      </c>
      <c r="I1403" s="10" t="s">
        <v>4803</v>
      </c>
      <c r="J1403" s="10" t="s">
        <v>4804</v>
      </c>
      <c r="K1403" s="10" t="s">
        <v>4822</v>
      </c>
      <c r="L1403" s="65" t="str">
        <f t="shared" si="108"/>
        <v>Tawau|Malaysia|117,900002|4,250000|+8:00 Asia</v>
      </c>
      <c r="M1403" s="10" t="s">
        <v>4851</v>
      </c>
      <c r="N1403" s="10">
        <f t="shared" si="105"/>
        <v>0</v>
      </c>
      <c r="O1403" t="str">
        <f t="shared" si="109"/>
        <v/>
      </c>
      <c r="P1403" t="str">
        <f>IF(O1403=1,COUNTIF($O$2:O1403,1),"")</f>
        <v/>
      </c>
      <c r="Q1403" t="str">
        <f>IFERROR(INDEX($M$2:$M$2388,MATCH(ROWS($P$2:P1403),$P$2:$P$2388,0)),"")</f>
        <v/>
      </c>
    </row>
    <row r="1404" spans="1:17" ht="15" x14ac:dyDescent="0.25">
      <c r="A1404" s="10">
        <v>1520</v>
      </c>
      <c r="B1404" s="10" t="s">
        <v>4852</v>
      </c>
      <c r="C1404" s="880">
        <f t="shared" si="106"/>
        <v>73.083299999999994</v>
      </c>
      <c r="D1404" s="880">
        <f t="shared" si="107"/>
        <v>-0.6</v>
      </c>
      <c r="E1404" s="10">
        <v>73.083336000000003</v>
      </c>
      <c r="F1404" s="10">
        <v>-0.6</v>
      </c>
      <c r="G1404" s="10">
        <v>5</v>
      </c>
      <c r="H1404" s="10" t="s">
        <v>4585</v>
      </c>
      <c r="I1404" s="10" t="s">
        <v>4853</v>
      </c>
      <c r="J1404" s="10" t="s">
        <v>4854</v>
      </c>
      <c r="K1404" s="10" t="s">
        <v>4855</v>
      </c>
      <c r="L1404" s="65" t="str">
        <f t="shared" si="108"/>
        <v>Hithadhoo|Maldives|73,083336|-0,600000|+5:00 Indian</v>
      </c>
      <c r="M1404" s="10" t="s">
        <v>4856</v>
      </c>
      <c r="N1404" s="10">
        <f t="shared" si="105"/>
        <v>0</v>
      </c>
      <c r="O1404" t="str">
        <f t="shared" si="109"/>
        <v/>
      </c>
      <c r="P1404" t="str">
        <f>IF(O1404=1,COUNTIF($O$2:O1404,1),"")</f>
        <v/>
      </c>
      <c r="Q1404" t="str">
        <f>IFERROR(INDEX($M$2:$M$2388,MATCH(ROWS($P$2:P1404),$P$2:$P$2388,0)),"")</f>
        <v/>
      </c>
    </row>
    <row r="1405" spans="1:17" ht="15" x14ac:dyDescent="0.25">
      <c r="A1405" s="10">
        <v>1519</v>
      </c>
      <c r="B1405" s="10" t="s">
        <v>4857</v>
      </c>
      <c r="C1405" s="880">
        <f t="shared" si="106"/>
        <v>73.509799999999998</v>
      </c>
      <c r="D1405" s="880">
        <f t="shared" si="107"/>
        <v>4.1771000000000003</v>
      </c>
      <c r="E1405" s="10">
        <v>73.509865000000005</v>
      </c>
      <c r="F1405" s="10">
        <v>4.1771079999999996</v>
      </c>
      <c r="G1405" s="10">
        <v>5</v>
      </c>
      <c r="H1405" s="10" t="s">
        <v>4585</v>
      </c>
      <c r="I1405" s="10" t="s">
        <v>4853</v>
      </c>
      <c r="J1405" s="10" t="s">
        <v>4854</v>
      </c>
      <c r="K1405" s="10" t="s">
        <v>4855</v>
      </c>
      <c r="L1405" s="65" t="str">
        <f t="shared" si="108"/>
        <v>Male|Maldives|73,509865|4,177108|+5:00 Indian</v>
      </c>
      <c r="M1405" s="10" t="s">
        <v>4858</v>
      </c>
      <c r="N1405" s="10">
        <f t="shared" si="105"/>
        <v>0</v>
      </c>
      <c r="O1405" t="str">
        <f t="shared" si="109"/>
        <v/>
      </c>
      <c r="P1405" t="str">
        <f>IF(O1405=1,COUNTIF($O$2:O1405,1),"")</f>
        <v/>
      </c>
      <c r="Q1405" t="str">
        <f>IFERROR(INDEX($M$2:$M$2388,MATCH(ROWS($P$2:P1405),$P$2:$P$2388,0)),"")</f>
        <v/>
      </c>
    </row>
    <row r="1406" spans="1:17" ht="15" x14ac:dyDescent="0.25">
      <c r="A1406" s="10">
        <v>1521</v>
      </c>
      <c r="B1406" s="10" t="s">
        <v>4859</v>
      </c>
      <c r="C1406" s="880">
        <f t="shared" si="106"/>
        <v>72.933300000000003</v>
      </c>
      <c r="D1406" s="880">
        <f t="shared" si="107"/>
        <v>0.5333</v>
      </c>
      <c r="E1406" s="10">
        <v>72.933334000000002</v>
      </c>
      <c r="F1406" s="10">
        <v>0.53333299999999995</v>
      </c>
      <c r="G1406" s="10">
        <v>5</v>
      </c>
      <c r="H1406" s="10" t="s">
        <v>4585</v>
      </c>
      <c r="I1406" s="10" t="s">
        <v>4853</v>
      </c>
      <c r="J1406" s="10" t="s">
        <v>4854</v>
      </c>
      <c r="K1406" s="10" t="s">
        <v>4855</v>
      </c>
      <c r="L1406" s="65" t="str">
        <f t="shared" si="108"/>
        <v>Thinadhoo|Maldives|72,933334|0,533333|+5:00 Indian</v>
      </c>
      <c r="M1406" s="10" t="s">
        <v>4860</v>
      </c>
      <c r="N1406" s="10">
        <f t="shared" si="105"/>
        <v>0</v>
      </c>
      <c r="O1406" t="str">
        <f t="shared" si="109"/>
        <v/>
      </c>
      <c r="P1406" t="str">
        <f>IF(O1406=1,COUNTIF($O$2:O1406,1),"")</f>
        <v/>
      </c>
      <c r="Q1406" t="str">
        <f>IFERROR(INDEX($M$2:$M$2388,MATCH(ROWS($P$2:P1406),$P$2:$P$2388,0)),"")</f>
        <v/>
      </c>
    </row>
    <row r="1407" spans="1:17" ht="15" x14ac:dyDescent="0.25">
      <c r="A1407" s="10">
        <v>1496</v>
      </c>
      <c r="B1407" s="10" t="s">
        <v>4861</v>
      </c>
      <c r="C1407" s="880">
        <f t="shared" si="106"/>
        <v>-8</v>
      </c>
      <c r="D1407" s="880">
        <f t="shared" si="107"/>
        <v>12.65</v>
      </c>
      <c r="E1407" s="10">
        <v>-8</v>
      </c>
      <c r="F1407" s="10">
        <v>12.65</v>
      </c>
      <c r="G1407" s="10">
        <v>0</v>
      </c>
      <c r="H1407" s="10" t="s">
        <v>2318</v>
      </c>
      <c r="I1407" s="10" t="s">
        <v>4862</v>
      </c>
      <c r="J1407" s="10" t="s">
        <v>4863</v>
      </c>
      <c r="K1407" s="10" t="s">
        <v>4864</v>
      </c>
      <c r="L1407" s="65" t="str">
        <f t="shared" si="108"/>
        <v>Bamako|Mali|-8,000000|12,650000|+0:00 Africa</v>
      </c>
      <c r="M1407" s="10" t="s">
        <v>4865</v>
      </c>
      <c r="N1407" s="10">
        <f t="shared" si="105"/>
        <v>0</v>
      </c>
      <c r="O1407" t="str">
        <f t="shared" si="109"/>
        <v/>
      </c>
      <c r="P1407" t="str">
        <f>IF(O1407=1,COUNTIF($O$2:O1407,1),"")</f>
        <v/>
      </c>
      <c r="Q1407" t="str">
        <f>IFERROR(INDEX($M$2:$M$2388,MATCH(ROWS($P$2:P1407),$P$2:$P$2388,0)),"")</f>
        <v/>
      </c>
    </row>
    <row r="1408" spans="1:17" ht="15" x14ac:dyDescent="0.25">
      <c r="A1408" s="10">
        <v>1495</v>
      </c>
      <c r="B1408" s="10" t="s">
        <v>4866</v>
      </c>
      <c r="C1408" s="880">
        <f t="shared" si="106"/>
        <v>-4.9165999999999999</v>
      </c>
      <c r="D1408" s="880">
        <f t="shared" si="107"/>
        <v>14.4666</v>
      </c>
      <c r="E1408" s="10">
        <v>-4.9166670000000003</v>
      </c>
      <c r="F1408" s="10">
        <v>14.466666999999999</v>
      </c>
      <c r="G1408" s="10">
        <v>0</v>
      </c>
      <c r="H1408" s="10" t="s">
        <v>2318</v>
      </c>
      <c r="I1408" s="10" t="s">
        <v>4862</v>
      </c>
      <c r="J1408" s="10" t="s">
        <v>4863</v>
      </c>
      <c r="K1408" s="10" t="s">
        <v>4864</v>
      </c>
      <c r="L1408" s="65" t="str">
        <f t="shared" si="108"/>
        <v>Tenenkou|Mali|-4,916667|14,466667|+0:00 Africa</v>
      </c>
      <c r="M1408" s="10" t="s">
        <v>4867</v>
      </c>
      <c r="N1408" s="10">
        <f t="shared" si="105"/>
        <v>0</v>
      </c>
      <c r="O1408" t="str">
        <f t="shared" si="109"/>
        <v/>
      </c>
      <c r="P1408" t="str">
        <f>IF(O1408=1,COUNTIF($O$2:O1408,1),"")</f>
        <v/>
      </c>
      <c r="Q1408" t="str">
        <f>IFERROR(INDEX($M$2:$M$2388,MATCH(ROWS($P$2:P1408),$P$2:$P$2388,0)),"")</f>
        <v/>
      </c>
    </row>
    <row r="1409" spans="1:17" ht="15" x14ac:dyDescent="0.25">
      <c r="A1409" s="10">
        <v>1494</v>
      </c>
      <c r="B1409" s="10" t="s">
        <v>4868</v>
      </c>
      <c r="C1409" s="880">
        <f t="shared" si="106"/>
        <v>-3.0074000000000001</v>
      </c>
      <c r="D1409" s="880">
        <f t="shared" si="107"/>
        <v>16.773399999999999</v>
      </c>
      <c r="E1409" s="10">
        <v>-3.0074209999999999</v>
      </c>
      <c r="F1409" s="10">
        <v>16.773478999999998</v>
      </c>
      <c r="G1409" s="10">
        <v>0</v>
      </c>
      <c r="H1409" s="10" t="s">
        <v>2318</v>
      </c>
      <c r="I1409" s="10" t="s">
        <v>4862</v>
      </c>
      <c r="J1409" s="10" t="s">
        <v>4863</v>
      </c>
      <c r="K1409" s="10" t="s">
        <v>4864</v>
      </c>
      <c r="L1409" s="65" t="str">
        <f t="shared" si="108"/>
        <v>Tombouctou|Mali|-3,007421|16,773479|+0:00 Africa</v>
      </c>
      <c r="M1409" s="10" t="s">
        <v>4869</v>
      </c>
      <c r="N1409" s="10">
        <f t="shared" si="105"/>
        <v>0</v>
      </c>
      <c r="O1409" t="str">
        <f t="shared" si="109"/>
        <v/>
      </c>
      <c r="P1409" t="str">
        <f>IF(O1409=1,COUNTIF($O$2:O1409,1),"")</f>
        <v/>
      </c>
      <c r="Q1409" t="str">
        <f>IFERROR(INDEX($M$2:$M$2388,MATCH(ROWS($P$2:P1409),$P$2:$P$2388,0)),"")</f>
        <v/>
      </c>
    </row>
    <row r="1410" spans="1:17" ht="15" x14ac:dyDescent="0.25">
      <c r="A1410" s="10">
        <v>1493</v>
      </c>
      <c r="B1410" s="10" t="s">
        <v>4870</v>
      </c>
      <c r="C1410" s="880">
        <f t="shared" si="106"/>
        <v>-4.7832999999999997</v>
      </c>
      <c r="D1410" s="880">
        <f t="shared" si="107"/>
        <v>12.3666</v>
      </c>
      <c r="E1410" s="10">
        <v>-4.7833329999999998</v>
      </c>
      <c r="F1410" s="10">
        <v>12.366667</v>
      </c>
      <c r="G1410" s="10">
        <v>0</v>
      </c>
      <c r="H1410" s="10" t="s">
        <v>2318</v>
      </c>
      <c r="I1410" s="10" t="s">
        <v>4862</v>
      </c>
      <c r="J1410" s="10" t="s">
        <v>4863</v>
      </c>
      <c r="K1410" s="10" t="s">
        <v>4864</v>
      </c>
      <c r="L1410" s="65" t="str">
        <f t="shared" si="108"/>
        <v>Yorosso|Mali|-4,783333|12,366667|+0:00 Africa</v>
      </c>
      <c r="M1410" s="10" t="s">
        <v>4871</v>
      </c>
      <c r="N1410" s="10">
        <f t="shared" ref="N1410:N1473" si="110">--ISNUMBER(IFERROR(SEARCH($R$2,J1410,1),""))</f>
        <v>0</v>
      </c>
      <c r="O1410" t="str">
        <f t="shared" si="109"/>
        <v/>
      </c>
      <c r="P1410" t="str">
        <f>IF(O1410=1,COUNTIF($O$2:O1410,1),"")</f>
        <v/>
      </c>
      <c r="Q1410" t="str">
        <f>IFERROR(INDEX($M$2:$M$2388,MATCH(ROWS($P$2:P1410),$P$2:$P$2388,0)),"")</f>
        <v/>
      </c>
    </row>
    <row r="1411" spans="1:17" ht="15" x14ac:dyDescent="0.25">
      <c r="A1411" s="10">
        <v>1515</v>
      </c>
      <c r="B1411" s="10" t="s">
        <v>4872</v>
      </c>
      <c r="C1411" s="880">
        <f t="shared" ref="C1411:C1474" si="111">TRUNC(E1411,4)</f>
        <v>14.4411</v>
      </c>
      <c r="D1411" s="880">
        <f t="shared" ref="D1411:D1474" si="112">TRUNC(F1411,4)</f>
        <v>35.871899999999997</v>
      </c>
      <c r="E1411" s="10">
        <v>14.441112</v>
      </c>
      <c r="F1411" s="10">
        <v>35.871943999999999</v>
      </c>
      <c r="G1411" s="10">
        <v>1</v>
      </c>
      <c r="H1411" s="10" t="s">
        <v>1670</v>
      </c>
      <c r="I1411" s="10" t="s">
        <v>4873</v>
      </c>
      <c r="J1411" s="10" t="s">
        <v>4874</v>
      </c>
      <c r="K1411" s="10" t="s">
        <v>4875</v>
      </c>
      <c r="L1411" s="65" t="str">
        <f t="shared" ref="L1411:L1474" si="113">MID(M1411,1,LEN(M1411)-(LEN(K1411)-SEARCH("/",K1411)+1))</f>
        <v>Zebbug|Malta|14,441112|35,871944|+1:00 Europe</v>
      </c>
      <c r="M1411" s="10" t="s">
        <v>4876</v>
      </c>
      <c r="N1411" s="10">
        <f t="shared" si="110"/>
        <v>0</v>
      </c>
      <c r="O1411" t="str">
        <f t="shared" ref="O1411:O1474" si="114">IF(N1411=0,"",--ISNUMBER(IFERROR(SEARCH($U$2,L1411,1),"")))</f>
        <v/>
      </c>
      <c r="P1411" t="str">
        <f>IF(O1411=1,COUNTIF($O$2:O1411,1),"")</f>
        <v/>
      </c>
      <c r="Q1411" t="str">
        <f>IFERROR(INDEX($M$2:$M$2388,MATCH(ROWS($P$2:P1411),$P$2:$P$2388,0)),"")</f>
        <v/>
      </c>
    </row>
    <row r="1412" spans="1:17" ht="15" x14ac:dyDescent="0.25">
      <c r="A1412" s="10">
        <v>1514</v>
      </c>
      <c r="B1412" s="10" t="s">
        <v>4877</v>
      </c>
      <c r="C1412" s="880">
        <f t="shared" si="111"/>
        <v>14.532999999999999</v>
      </c>
      <c r="D1412" s="880">
        <f t="shared" si="112"/>
        <v>35.855800000000002</v>
      </c>
      <c r="E1412" s="10">
        <v>14.533054999999999</v>
      </c>
      <c r="F1412" s="10">
        <v>35.855834999999999</v>
      </c>
      <c r="G1412" s="10">
        <v>1</v>
      </c>
      <c r="H1412" s="10" t="s">
        <v>1670</v>
      </c>
      <c r="I1412" s="10" t="s">
        <v>4873</v>
      </c>
      <c r="J1412" s="10" t="s">
        <v>4874</v>
      </c>
      <c r="K1412" s="10" t="s">
        <v>4875</v>
      </c>
      <c r="L1412" s="65" t="str">
        <f t="shared" si="113"/>
        <v>Zejtun|Malta|14,533055|35,855835|+1:00 Europe</v>
      </c>
      <c r="M1412" s="10" t="s">
        <v>4878</v>
      </c>
      <c r="N1412" s="10">
        <f t="shared" si="110"/>
        <v>0</v>
      </c>
      <c r="O1412" t="str">
        <f t="shared" si="114"/>
        <v/>
      </c>
      <c r="P1412" t="str">
        <f>IF(O1412=1,COUNTIF($O$2:O1412,1),"")</f>
        <v/>
      </c>
      <c r="Q1412" t="str">
        <f>IFERROR(INDEX($M$2:$M$2388,MATCH(ROWS($P$2:P1412),$P$2:$P$2388,0)),"")</f>
        <v/>
      </c>
    </row>
    <row r="1413" spans="1:17" ht="15" x14ac:dyDescent="0.25">
      <c r="A1413" s="10">
        <v>1513</v>
      </c>
      <c r="B1413" s="10" t="s">
        <v>4879</v>
      </c>
      <c r="C1413" s="880">
        <f t="shared" si="111"/>
        <v>14.4741</v>
      </c>
      <c r="D1413" s="880">
        <f t="shared" si="112"/>
        <v>35.831099999999999</v>
      </c>
      <c r="E1413" s="10">
        <v>14.474167</v>
      </c>
      <c r="F1413" s="10">
        <v>35.831111999999997</v>
      </c>
      <c r="G1413" s="10">
        <v>1</v>
      </c>
      <c r="H1413" s="10" t="s">
        <v>1670</v>
      </c>
      <c r="I1413" s="10" t="s">
        <v>4873</v>
      </c>
      <c r="J1413" s="10" t="s">
        <v>4874</v>
      </c>
      <c r="K1413" s="10" t="s">
        <v>4875</v>
      </c>
      <c r="L1413" s="65" t="str">
        <f t="shared" si="113"/>
        <v>Zurrieq|Malta|14,474167|35,831112|+1:00 Europe</v>
      </c>
      <c r="M1413" s="10" t="s">
        <v>4880</v>
      </c>
      <c r="N1413" s="10">
        <f t="shared" si="110"/>
        <v>0</v>
      </c>
      <c r="O1413" t="str">
        <f t="shared" si="114"/>
        <v/>
      </c>
      <c r="P1413" t="str">
        <f>IF(O1413=1,COUNTIF($O$2:O1413,1),"")</f>
        <v/>
      </c>
      <c r="Q1413" t="str">
        <f>IFERROR(INDEX($M$2:$M$2388,MATCH(ROWS($P$2:P1413),$P$2:$P$2388,0)),"")</f>
        <v/>
      </c>
    </row>
    <row r="1414" spans="1:17" ht="15" x14ac:dyDescent="0.25">
      <c r="A1414" s="10">
        <v>1488</v>
      </c>
      <c r="B1414" s="10" t="s">
        <v>4881</v>
      </c>
      <c r="C1414" s="880">
        <f t="shared" si="111"/>
        <v>171.38329999999999</v>
      </c>
      <c r="D1414" s="880">
        <f t="shared" si="112"/>
        <v>7.1</v>
      </c>
      <c r="E1414" s="10">
        <v>171.383331</v>
      </c>
      <c r="F1414" s="10">
        <v>7.1</v>
      </c>
      <c r="G1414" s="10">
        <v>12</v>
      </c>
      <c r="H1414" s="10" t="s">
        <v>3301</v>
      </c>
      <c r="I1414" s="10" t="s">
        <v>4882</v>
      </c>
      <c r="J1414" s="10" t="s">
        <v>4883</v>
      </c>
      <c r="K1414" s="10" t="s">
        <v>4884</v>
      </c>
      <c r="L1414" s="65" t="str">
        <f t="shared" si="113"/>
        <v>Majuro|Marshall Islands|171,383331|7,100000|+12:00 Pacific</v>
      </c>
      <c r="M1414" s="10" t="s">
        <v>4885</v>
      </c>
      <c r="N1414" s="10">
        <f t="shared" si="110"/>
        <v>0</v>
      </c>
      <c r="O1414" t="str">
        <f t="shared" si="114"/>
        <v/>
      </c>
      <c r="P1414" t="str">
        <f>IF(O1414=1,COUNTIF($O$2:O1414,1),"")</f>
        <v/>
      </c>
      <c r="Q1414" t="str">
        <f>IFERROR(INDEX($M$2:$M$2388,MATCH(ROWS($P$2:P1414),$P$2:$P$2388,0)),"")</f>
        <v/>
      </c>
    </row>
    <row r="1415" spans="1:17" ht="15" x14ac:dyDescent="0.25">
      <c r="A1415" s="10">
        <v>1511</v>
      </c>
      <c r="B1415" s="10" t="s">
        <v>4886</v>
      </c>
      <c r="C1415" s="880">
        <f t="shared" si="111"/>
        <v>-60.916600000000003</v>
      </c>
      <c r="D1415" s="880">
        <f t="shared" si="112"/>
        <v>14.4666</v>
      </c>
      <c r="E1415" s="10">
        <v>-60.916668000000001</v>
      </c>
      <c r="F1415" s="10">
        <v>14.466666999999999</v>
      </c>
      <c r="G1415" s="10">
        <v>-4</v>
      </c>
      <c r="H1415" s="10" t="s">
        <v>1733</v>
      </c>
      <c r="I1415" s="10" t="s">
        <v>4887</v>
      </c>
      <c r="J1415" s="10" t="s">
        <v>4888</v>
      </c>
      <c r="K1415" s="10" t="s">
        <v>4889</v>
      </c>
      <c r="L1415" s="65" t="str">
        <f t="shared" si="113"/>
        <v>Sainte-Luce|Martinique|-60,916668|14,466667|-4:00 America</v>
      </c>
      <c r="M1415" s="10" t="s">
        <v>4890</v>
      </c>
      <c r="N1415" s="10">
        <f t="shared" si="110"/>
        <v>0</v>
      </c>
      <c r="O1415" t="str">
        <f t="shared" si="114"/>
        <v/>
      </c>
      <c r="P1415" t="str">
        <f>IF(O1415=1,COUNTIF($O$2:O1415,1),"")</f>
        <v/>
      </c>
      <c r="Q1415" t="str">
        <f>IFERROR(INDEX($M$2:$M$2388,MATCH(ROWS($P$2:P1415),$P$2:$P$2388,0)),"")</f>
        <v/>
      </c>
    </row>
    <row r="1416" spans="1:17" ht="15" x14ac:dyDescent="0.25">
      <c r="A1416" s="10">
        <v>1510</v>
      </c>
      <c r="B1416" s="10" t="s">
        <v>4891</v>
      </c>
      <c r="C1416" s="880">
        <f t="shared" si="111"/>
        <v>-60.9833</v>
      </c>
      <c r="D1416" s="880">
        <f t="shared" si="112"/>
        <v>14.783300000000001</v>
      </c>
      <c r="E1416" s="10">
        <v>-60.983333999999999</v>
      </c>
      <c r="F1416" s="10">
        <v>14.783333000000001</v>
      </c>
      <c r="G1416" s="10">
        <v>-4</v>
      </c>
      <c r="H1416" s="10" t="s">
        <v>1733</v>
      </c>
      <c r="I1416" s="10" t="s">
        <v>4887</v>
      </c>
      <c r="J1416" s="10" t="s">
        <v>4888</v>
      </c>
      <c r="K1416" s="10" t="s">
        <v>4889</v>
      </c>
      <c r="L1416" s="65" t="str">
        <f t="shared" si="113"/>
        <v>Sainte-Marie|Martinique|-60,983334|14,783333|-4:00 America</v>
      </c>
      <c r="M1416" s="10" t="s">
        <v>4892</v>
      </c>
      <c r="N1416" s="10">
        <f t="shared" si="110"/>
        <v>0</v>
      </c>
      <c r="O1416" t="str">
        <f t="shared" si="114"/>
        <v/>
      </c>
      <c r="P1416" t="str">
        <f>IF(O1416=1,COUNTIF($O$2:O1416,1),"")</f>
        <v/>
      </c>
      <c r="Q1416" t="str">
        <f>IFERROR(INDEX($M$2:$M$2388,MATCH(ROWS($P$2:P1416),$P$2:$P$2388,0)),"")</f>
        <v/>
      </c>
    </row>
    <row r="1417" spans="1:17" ht="15" x14ac:dyDescent="0.25">
      <c r="A1417" s="10">
        <v>1509</v>
      </c>
      <c r="B1417" s="10" t="s">
        <v>4893</v>
      </c>
      <c r="C1417" s="880">
        <f t="shared" si="111"/>
        <v>-61.033299999999997</v>
      </c>
      <c r="D1417" s="880">
        <f t="shared" si="112"/>
        <v>14.666600000000001</v>
      </c>
      <c r="E1417" s="10">
        <v>-61.033332999999999</v>
      </c>
      <c r="F1417" s="10">
        <v>14.666667</v>
      </c>
      <c r="G1417" s="10">
        <v>-4</v>
      </c>
      <c r="H1417" s="10" t="s">
        <v>1733</v>
      </c>
      <c r="I1417" s="10" t="s">
        <v>4887</v>
      </c>
      <c r="J1417" s="10" t="s">
        <v>4888</v>
      </c>
      <c r="K1417" s="10" t="s">
        <v>4889</v>
      </c>
      <c r="L1417" s="65" t="str">
        <f t="shared" si="113"/>
        <v>Saint-Joseph|Martinique|-61,033333|14,666667|-4:00 America</v>
      </c>
      <c r="M1417" s="10" t="s">
        <v>4894</v>
      </c>
      <c r="N1417" s="10">
        <f t="shared" si="110"/>
        <v>0</v>
      </c>
      <c r="O1417" t="str">
        <f t="shared" si="114"/>
        <v/>
      </c>
      <c r="P1417" t="str">
        <f>IF(O1417=1,COUNTIF($O$2:O1417,1),"")</f>
        <v/>
      </c>
      <c r="Q1417" t="str">
        <f>IFERROR(INDEX($M$2:$M$2388,MATCH(ROWS($P$2:P1417),$P$2:$P$2388,0)),"")</f>
        <v/>
      </c>
    </row>
    <row r="1418" spans="1:17" ht="15" x14ac:dyDescent="0.25">
      <c r="A1418" s="10">
        <v>1512</v>
      </c>
      <c r="B1418" s="10" t="s">
        <v>4895</v>
      </c>
      <c r="C1418" s="880">
        <f t="shared" si="111"/>
        <v>-16.040500000000002</v>
      </c>
      <c r="D1418" s="880">
        <f t="shared" si="112"/>
        <v>18.119399999999999</v>
      </c>
      <c r="E1418" s="10">
        <v>-16.040555999999999</v>
      </c>
      <c r="F1418" s="10">
        <v>18.119444000000001</v>
      </c>
      <c r="G1418" s="10">
        <v>0</v>
      </c>
      <c r="H1418" s="10" t="s">
        <v>2318</v>
      </c>
      <c r="I1418" s="10" t="s">
        <v>4896</v>
      </c>
      <c r="J1418" s="10" t="s">
        <v>4897</v>
      </c>
      <c r="K1418" s="10" t="s">
        <v>4898</v>
      </c>
      <c r="L1418" s="65" t="str">
        <f t="shared" si="113"/>
        <v>Nouakchott|Mauritania|-16,040556|18,119444|+0:00 Africa</v>
      </c>
      <c r="M1418" s="10" t="s">
        <v>4899</v>
      </c>
      <c r="N1418" s="10">
        <f t="shared" si="110"/>
        <v>0</v>
      </c>
      <c r="O1418" t="str">
        <f t="shared" si="114"/>
        <v/>
      </c>
      <c r="P1418" t="str">
        <f>IF(O1418=1,COUNTIF($O$2:O1418,1),"")</f>
        <v/>
      </c>
      <c r="Q1418" t="str">
        <f>IFERROR(INDEX($M$2:$M$2388,MATCH(ROWS($P$2:P1418),$P$2:$P$2388,0)),"")</f>
        <v/>
      </c>
    </row>
    <row r="1419" spans="1:17" ht="15" x14ac:dyDescent="0.25">
      <c r="A1419" s="10">
        <v>1518</v>
      </c>
      <c r="B1419" s="10" t="s">
        <v>4900</v>
      </c>
      <c r="C1419" s="880">
        <f t="shared" si="111"/>
        <v>57.3705</v>
      </c>
      <c r="D1419" s="880">
        <f t="shared" si="112"/>
        <v>-20.325500000000002</v>
      </c>
      <c r="E1419" s="10">
        <v>57.370556000000001</v>
      </c>
      <c r="F1419" s="10">
        <v>-20.325555999999999</v>
      </c>
      <c r="G1419" s="10">
        <v>4</v>
      </c>
      <c r="H1419" s="10" t="s">
        <v>1794</v>
      </c>
      <c r="I1419" s="10" t="s">
        <v>4901</v>
      </c>
      <c r="J1419" s="10" t="s">
        <v>4902</v>
      </c>
      <c r="K1419" s="10" t="s">
        <v>4903</v>
      </c>
      <c r="L1419" s="65" t="str">
        <f t="shared" si="113"/>
        <v>Tamarin|Mauritius|57,370556|-20,325556|+4:00 Indian</v>
      </c>
      <c r="M1419" s="10" t="s">
        <v>4904</v>
      </c>
      <c r="N1419" s="10">
        <f t="shared" si="110"/>
        <v>0</v>
      </c>
      <c r="O1419" t="str">
        <f t="shared" si="114"/>
        <v/>
      </c>
      <c r="P1419" t="str">
        <f>IF(O1419=1,COUNTIF($O$2:O1419,1),"")</f>
        <v/>
      </c>
      <c r="Q1419" t="str">
        <f>IFERROR(INDEX($M$2:$M$2388,MATCH(ROWS($P$2:P1419),$P$2:$P$2388,0)),"")</f>
        <v/>
      </c>
    </row>
    <row r="1420" spans="1:17" ht="15" x14ac:dyDescent="0.25">
      <c r="A1420" s="10">
        <v>1517</v>
      </c>
      <c r="B1420" s="10" t="s">
        <v>4905</v>
      </c>
      <c r="C1420" s="880">
        <f t="shared" si="111"/>
        <v>57.5244</v>
      </c>
      <c r="D1420" s="880">
        <f t="shared" si="112"/>
        <v>-20.126100000000001</v>
      </c>
      <c r="E1420" s="10">
        <v>57.524445</v>
      </c>
      <c r="F1420" s="10">
        <v>-20.126111999999999</v>
      </c>
      <c r="G1420" s="10">
        <v>4</v>
      </c>
      <c r="H1420" s="10" t="s">
        <v>1794</v>
      </c>
      <c r="I1420" s="10" t="s">
        <v>4901</v>
      </c>
      <c r="J1420" s="10" t="s">
        <v>4902</v>
      </c>
      <c r="K1420" s="10" t="s">
        <v>4903</v>
      </c>
      <c r="L1420" s="65" t="str">
        <f t="shared" si="113"/>
        <v>Terre Rouge|Mauritius|57,524445|-20,126112|+4:00 Indian</v>
      </c>
      <c r="M1420" s="10" t="s">
        <v>4906</v>
      </c>
      <c r="N1420" s="10">
        <f t="shared" si="110"/>
        <v>0</v>
      </c>
      <c r="O1420" t="str">
        <f t="shared" si="114"/>
        <v/>
      </c>
      <c r="P1420" t="str">
        <f>IF(O1420=1,COUNTIF($O$2:O1420,1),"")</f>
        <v/>
      </c>
      <c r="Q1420" t="str">
        <f>IFERROR(INDEX($M$2:$M$2388,MATCH(ROWS($P$2:P1420),$P$2:$P$2388,0)),"")</f>
        <v/>
      </c>
    </row>
    <row r="1421" spans="1:17" ht="15" x14ac:dyDescent="0.25">
      <c r="A1421" s="10">
        <v>1516</v>
      </c>
      <c r="B1421" s="10" t="s">
        <v>4907</v>
      </c>
      <c r="C1421" s="880">
        <f t="shared" si="111"/>
        <v>57.545200000000001</v>
      </c>
      <c r="D1421" s="880">
        <f t="shared" si="112"/>
        <v>-20.0547</v>
      </c>
      <c r="E1421" s="10">
        <v>57.545276999999999</v>
      </c>
      <c r="F1421" s="10">
        <v>-20.054722000000002</v>
      </c>
      <c r="G1421" s="10">
        <v>4</v>
      </c>
      <c r="H1421" s="10" t="s">
        <v>1794</v>
      </c>
      <c r="I1421" s="10" t="s">
        <v>4901</v>
      </c>
      <c r="J1421" s="10" t="s">
        <v>4902</v>
      </c>
      <c r="K1421" s="10" t="s">
        <v>4903</v>
      </c>
      <c r="L1421" s="65" t="str">
        <f t="shared" si="113"/>
        <v>Triolet|Mauritius|57,545277|-20,054722|+4:00 Indian</v>
      </c>
      <c r="M1421" s="10" t="s">
        <v>4908</v>
      </c>
      <c r="N1421" s="10">
        <f t="shared" si="110"/>
        <v>0</v>
      </c>
      <c r="O1421" t="str">
        <f t="shared" si="114"/>
        <v/>
      </c>
      <c r="P1421" t="str">
        <f>IF(O1421=1,COUNTIF($O$2:O1421,1),"")</f>
        <v/>
      </c>
      <c r="Q1421" t="str">
        <f>IFERROR(INDEX($M$2:$M$2388,MATCH(ROWS($P$2:P1421),$P$2:$P$2388,0)),"")</f>
        <v/>
      </c>
    </row>
    <row r="1422" spans="1:17" ht="15" x14ac:dyDescent="0.25">
      <c r="A1422" s="10">
        <v>2345</v>
      </c>
      <c r="B1422" s="10" t="s">
        <v>4909</v>
      </c>
      <c r="C1422" s="880">
        <f t="shared" si="111"/>
        <v>45.1205</v>
      </c>
      <c r="D1422" s="880">
        <f t="shared" si="112"/>
        <v>-12.701599999999999</v>
      </c>
      <c r="E1422" s="10">
        <v>45.120556000000001</v>
      </c>
      <c r="F1422" s="10">
        <v>-12.701667</v>
      </c>
      <c r="G1422" s="10">
        <v>3</v>
      </c>
      <c r="H1422" s="10" t="s">
        <v>1883</v>
      </c>
      <c r="I1422" s="10" t="s">
        <v>4910</v>
      </c>
      <c r="J1422" s="10" t="s">
        <v>4911</v>
      </c>
      <c r="K1422" s="10" t="s">
        <v>4912</v>
      </c>
      <c r="L1422" s="65" t="str">
        <f t="shared" si="113"/>
        <v>Bandraboua|Mayotte|45,120556|-12,701667|+3:00 Indian</v>
      </c>
      <c r="M1422" s="10" t="s">
        <v>4913</v>
      </c>
      <c r="N1422" s="10">
        <f t="shared" si="110"/>
        <v>0</v>
      </c>
      <c r="O1422" t="str">
        <f t="shared" si="114"/>
        <v/>
      </c>
      <c r="P1422" t="str">
        <f>IF(O1422=1,COUNTIF($O$2:O1422,1),"")</f>
        <v/>
      </c>
      <c r="Q1422" t="str">
        <f>IFERROR(INDEX($M$2:$M$2388,MATCH(ROWS($P$2:P1422),$P$2:$P$2388,0)),"")</f>
        <v/>
      </c>
    </row>
    <row r="1423" spans="1:17" ht="15" x14ac:dyDescent="0.25">
      <c r="A1423" s="10">
        <v>2344</v>
      </c>
      <c r="B1423" s="10" t="s">
        <v>4914</v>
      </c>
      <c r="C1423" s="880">
        <f t="shared" si="111"/>
        <v>45.227200000000003</v>
      </c>
      <c r="D1423" s="880">
        <f t="shared" si="112"/>
        <v>-12.779400000000001</v>
      </c>
      <c r="E1423" s="10">
        <v>45.227221999999998</v>
      </c>
      <c r="F1423" s="10">
        <v>-12.779445000000001</v>
      </c>
      <c r="G1423" s="10">
        <v>3</v>
      </c>
      <c r="H1423" s="10" t="s">
        <v>1883</v>
      </c>
      <c r="I1423" s="10" t="s">
        <v>4910</v>
      </c>
      <c r="J1423" s="10" t="s">
        <v>4911</v>
      </c>
      <c r="K1423" s="10" t="s">
        <v>4912</v>
      </c>
      <c r="L1423" s="65" t="str">
        <f t="shared" si="113"/>
        <v>Mamoudzou|Mayotte|45,227222|-12,779445|+3:00 Indian</v>
      </c>
      <c r="M1423" s="10" t="s">
        <v>4915</v>
      </c>
      <c r="N1423" s="10">
        <f t="shared" si="110"/>
        <v>0</v>
      </c>
      <c r="O1423" t="str">
        <f t="shared" si="114"/>
        <v/>
      </c>
      <c r="P1423" t="str">
        <f>IF(O1423=1,COUNTIF($O$2:O1423,1),"")</f>
        <v/>
      </c>
      <c r="Q1423" t="str">
        <f>IFERROR(INDEX($M$2:$M$2388,MATCH(ROWS($P$2:P1423),$P$2:$P$2388,0)),"")</f>
        <v/>
      </c>
    </row>
    <row r="1424" spans="1:17" ht="15" x14ac:dyDescent="0.25">
      <c r="A1424" s="10">
        <v>2346</v>
      </c>
      <c r="B1424" s="10" t="s">
        <v>4916</v>
      </c>
      <c r="C1424" s="880">
        <f t="shared" si="111"/>
        <v>45.066600000000001</v>
      </c>
      <c r="D1424" s="880">
        <f t="shared" si="112"/>
        <v>-12.6966</v>
      </c>
      <c r="E1424" s="10">
        <v>45.066665999999998</v>
      </c>
      <c r="F1424" s="10">
        <v>-12.696667</v>
      </c>
      <c r="G1424" s="10">
        <v>3</v>
      </c>
      <c r="H1424" s="10" t="s">
        <v>1883</v>
      </c>
      <c r="I1424" s="10" t="s">
        <v>4910</v>
      </c>
      <c r="J1424" s="10" t="s">
        <v>4911</v>
      </c>
      <c r="K1424" s="10" t="s">
        <v>4912</v>
      </c>
      <c r="L1424" s="65" t="str">
        <f t="shared" si="113"/>
        <v>Mtsamboro|Mayotte|45,066666|-12,696667|+3:00 Indian</v>
      </c>
      <c r="M1424" s="10" t="s">
        <v>4917</v>
      </c>
      <c r="N1424" s="10">
        <f t="shared" si="110"/>
        <v>0</v>
      </c>
      <c r="O1424" t="str">
        <f t="shared" si="114"/>
        <v/>
      </c>
      <c r="P1424" t="str">
        <f>IF(O1424=1,COUNTIF($O$2:O1424,1),"")</f>
        <v/>
      </c>
      <c r="Q1424" t="str">
        <f>IFERROR(INDEX($M$2:$M$2388,MATCH(ROWS($P$2:P1424),$P$2:$P$2388,0)),"")</f>
        <v/>
      </c>
    </row>
    <row r="1425" spans="1:17" ht="15" x14ac:dyDescent="0.25">
      <c r="A1425" s="10">
        <v>1561</v>
      </c>
      <c r="B1425" s="10" t="s">
        <v>4918</v>
      </c>
      <c r="C1425" s="880">
        <f t="shared" si="111"/>
        <v>-99.916600000000003</v>
      </c>
      <c r="D1425" s="880">
        <f t="shared" si="112"/>
        <v>16.850000000000001</v>
      </c>
      <c r="E1425" s="10">
        <v>-99.916663999999997</v>
      </c>
      <c r="F1425" s="10">
        <v>16.850000000000001</v>
      </c>
      <c r="G1425" s="10">
        <v>-6</v>
      </c>
      <c r="H1425" s="10" t="s">
        <v>1975</v>
      </c>
      <c r="I1425" s="10" t="s">
        <v>4919</v>
      </c>
      <c r="J1425" s="10" t="s">
        <v>4920</v>
      </c>
      <c r="K1425" s="10" t="s">
        <v>4921</v>
      </c>
      <c r="L1425" s="65" t="str">
        <f t="shared" si="113"/>
        <v>Acapulco de Juarez|Mexico|-99,916664|16,850000|-6:00 America</v>
      </c>
      <c r="M1425" s="10" t="s">
        <v>4922</v>
      </c>
      <c r="N1425" s="10">
        <f t="shared" si="110"/>
        <v>0</v>
      </c>
      <c r="O1425" t="str">
        <f t="shared" si="114"/>
        <v/>
      </c>
      <c r="P1425" t="str">
        <f>IF(O1425=1,COUNTIF($O$2:O1425,1),"")</f>
        <v/>
      </c>
      <c r="Q1425" t="str">
        <f>IFERROR(INDEX($M$2:$M$2388,MATCH(ROWS($P$2:P1425),$P$2:$P$2388,0)),"")</f>
        <v/>
      </c>
    </row>
    <row r="1426" spans="1:17" ht="15" x14ac:dyDescent="0.25">
      <c r="A1426" s="10">
        <v>1594</v>
      </c>
      <c r="B1426" s="10" t="s">
        <v>4923</v>
      </c>
      <c r="C1426" s="880">
        <f t="shared" si="111"/>
        <v>-102.3</v>
      </c>
      <c r="D1426" s="880">
        <f t="shared" si="112"/>
        <v>21.883299999999998</v>
      </c>
      <c r="E1426" s="10">
        <v>-102.300003</v>
      </c>
      <c r="F1426" s="10">
        <v>21.883333</v>
      </c>
      <c r="G1426" s="10">
        <v>-6</v>
      </c>
      <c r="H1426" s="10" t="s">
        <v>1975</v>
      </c>
      <c r="I1426" s="10" t="s">
        <v>4919</v>
      </c>
      <c r="J1426" s="10" t="s">
        <v>4920</v>
      </c>
      <c r="K1426" s="10" t="s">
        <v>4921</v>
      </c>
      <c r="L1426" s="65" t="str">
        <f t="shared" si="113"/>
        <v>Aguascalientes|Mexico|-102,300003|21,883333|-6:00 America</v>
      </c>
      <c r="M1426" s="10" t="s">
        <v>4924</v>
      </c>
      <c r="N1426" s="10">
        <f t="shared" si="110"/>
        <v>0</v>
      </c>
      <c r="O1426" t="str">
        <f t="shared" si="114"/>
        <v/>
      </c>
      <c r="P1426" t="str">
        <f>IF(O1426=1,COUNTIF($O$2:O1426,1),"")</f>
        <v/>
      </c>
      <c r="Q1426" t="str">
        <f>IFERROR(INDEX($M$2:$M$2388,MATCH(ROWS($P$2:P1426),$P$2:$P$2388,0)),"")</f>
        <v/>
      </c>
    </row>
    <row r="1427" spans="1:17" ht="15" x14ac:dyDescent="0.25">
      <c r="A1427" s="10">
        <v>1593</v>
      </c>
      <c r="B1427" s="10" t="s">
        <v>4925</v>
      </c>
      <c r="C1427" s="880">
        <f t="shared" si="111"/>
        <v>-100.1999</v>
      </c>
      <c r="D1427" s="880">
        <f t="shared" si="112"/>
        <v>25.7666</v>
      </c>
      <c r="E1427" s="10">
        <v>-100.199997</v>
      </c>
      <c r="F1427" s="10">
        <v>25.766666000000001</v>
      </c>
      <c r="G1427" s="10">
        <v>-6</v>
      </c>
      <c r="H1427" s="10" t="s">
        <v>1975</v>
      </c>
      <c r="I1427" s="10" t="s">
        <v>4919</v>
      </c>
      <c r="J1427" s="10" t="s">
        <v>4920</v>
      </c>
      <c r="K1427" s="10" t="s">
        <v>4926</v>
      </c>
      <c r="L1427" s="65" t="str">
        <f t="shared" si="113"/>
        <v>Apodaca|Mexico|-100,199997|25,766666|-6:00 America</v>
      </c>
      <c r="M1427" s="10" t="s">
        <v>4927</v>
      </c>
      <c r="N1427" s="10">
        <f t="shared" si="110"/>
        <v>0</v>
      </c>
      <c r="O1427" t="str">
        <f t="shared" si="114"/>
        <v/>
      </c>
      <c r="P1427" t="str">
        <f>IF(O1427=1,COUNTIF($O$2:O1427,1),"")</f>
        <v/>
      </c>
      <c r="Q1427" t="str">
        <f>IFERROR(INDEX($M$2:$M$2388,MATCH(ROWS($P$2:P1427),$P$2:$P$2388,0)),"")</f>
        <v/>
      </c>
    </row>
    <row r="1428" spans="1:17" ht="15" x14ac:dyDescent="0.25">
      <c r="A1428" s="10">
        <v>1559</v>
      </c>
      <c r="B1428" s="10" t="s">
        <v>4928</v>
      </c>
      <c r="C1428" s="880">
        <f t="shared" si="111"/>
        <v>-90.533299999999997</v>
      </c>
      <c r="D1428" s="880">
        <f t="shared" si="112"/>
        <v>19.850000000000001</v>
      </c>
      <c r="E1428" s="10">
        <v>-90.533332999999999</v>
      </c>
      <c r="F1428" s="10">
        <v>19.850000000000001</v>
      </c>
      <c r="G1428" s="10">
        <v>-6</v>
      </c>
      <c r="H1428" s="10" t="s">
        <v>1975</v>
      </c>
      <c r="I1428" s="10" t="s">
        <v>4919</v>
      </c>
      <c r="J1428" s="10" t="s">
        <v>4920</v>
      </c>
      <c r="K1428" s="10" t="s">
        <v>4929</v>
      </c>
      <c r="L1428" s="65" t="str">
        <f t="shared" si="113"/>
        <v>Campeche|Mexico|-90,533333|19,850000|-6:00 America</v>
      </c>
      <c r="M1428" s="10" t="s">
        <v>4930</v>
      </c>
      <c r="N1428" s="10">
        <f t="shared" si="110"/>
        <v>0</v>
      </c>
      <c r="O1428" t="str">
        <f t="shared" si="114"/>
        <v/>
      </c>
      <c r="P1428" t="str">
        <f>IF(O1428=1,COUNTIF($O$2:O1428,1),"")</f>
        <v/>
      </c>
      <c r="Q1428" t="str">
        <f>IFERROR(INDEX($M$2:$M$2388,MATCH(ROWS($P$2:P1428),$P$2:$P$2388,0)),"")</f>
        <v/>
      </c>
    </row>
    <row r="1429" spans="1:17" ht="15" x14ac:dyDescent="0.25">
      <c r="A1429" s="10">
        <v>1558</v>
      </c>
      <c r="B1429" s="10" t="s">
        <v>4931</v>
      </c>
      <c r="C1429" s="880">
        <f t="shared" si="111"/>
        <v>-86.846500000000006</v>
      </c>
      <c r="D1429" s="880">
        <f t="shared" si="112"/>
        <v>21.174199999999999</v>
      </c>
      <c r="E1429" s="10">
        <v>-86.846558000000002</v>
      </c>
      <c r="F1429" s="10">
        <v>21.174288000000001</v>
      </c>
      <c r="G1429" s="10">
        <v>-6</v>
      </c>
      <c r="H1429" s="10" t="s">
        <v>1975</v>
      </c>
      <c r="I1429" s="10" t="s">
        <v>4919</v>
      </c>
      <c r="J1429" s="10" t="s">
        <v>4920</v>
      </c>
      <c r="K1429" s="10" t="s">
        <v>4932</v>
      </c>
      <c r="L1429" s="65" t="str">
        <f t="shared" si="113"/>
        <v>Cancun|Mexico|-86,846558|21,174288|-6:00 America</v>
      </c>
      <c r="M1429" s="10" t="s">
        <v>4933</v>
      </c>
      <c r="N1429" s="10">
        <f t="shared" si="110"/>
        <v>0</v>
      </c>
      <c r="O1429" t="str">
        <f t="shared" si="114"/>
        <v/>
      </c>
      <c r="P1429" t="str">
        <f>IF(O1429=1,COUNTIF($O$2:O1429,1),"")</f>
        <v/>
      </c>
      <c r="Q1429" t="str">
        <f>IFERROR(INDEX($M$2:$M$2388,MATCH(ROWS($P$2:P1429),$P$2:$P$2388,0)),"")</f>
        <v/>
      </c>
    </row>
    <row r="1430" spans="1:17" ht="15" x14ac:dyDescent="0.25">
      <c r="A1430" s="10">
        <v>1592</v>
      </c>
      <c r="B1430" s="10" t="s">
        <v>4934</v>
      </c>
      <c r="C1430" s="880">
        <f t="shared" si="111"/>
        <v>-100.81659999999999</v>
      </c>
      <c r="D1430" s="880">
        <f t="shared" si="112"/>
        <v>20.5166</v>
      </c>
      <c r="E1430" s="10">
        <v>-100.816666</v>
      </c>
      <c r="F1430" s="10">
        <v>20.516666000000001</v>
      </c>
      <c r="G1430" s="10">
        <v>-6</v>
      </c>
      <c r="H1430" s="10" t="s">
        <v>1975</v>
      </c>
      <c r="I1430" s="10" t="s">
        <v>4919</v>
      </c>
      <c r="J1430" s="10" t="s">
        <v>4920</v>
      </c>
      <c r="K1430" s="10" t="s">
        <v>4921</v>
      </c>
      <c r="L1430" s="65" t="str">
        <f t="shared" si="113"/>
        <v>Celaya|Mexico|-100,816666|20,516666|-6:00 America</v>
      </c>
      <c r="M1430" s="10" t="s">
        <v>4935</v>
      </c>
      <c r="N1430" s="10">
        <f t="shared" si="110"/>
        <v>0</v>
      </c>
      <c r="O1430" t="str">
        <f t="shared" si="114"/>
        <v/>
      </c>
      <c r="P1430" t="str">
        <f>IF(O1430=1,COUNTIF($O$2:O1430,1),"")</f>
        <v/>
      </c>
      <c r="Q1430" t="str">
        <f>IFERROR(INDEX($M$2:$M$2388,MATCH(ROWS($P$2:P1430),$P$2:$P$2388,0)),"")</f>
        <v/>
      </c>
    </row>
    <row r="1431" spans="1:17" ht="15" x14ac:dyDescent="0.25">
      <c r="A1431" s="10">
        <v>1591</v>
      </c>
      <c r="B1431" s="10" t="s">
        <v>4936</v>
      </c>
      <c r="C1431" s="880">
        <f t="shared" si="111"/>
        <v>-106.08329999999999</v>
      </c>
      <c r="D1431" s="880">
        <f t="shared" si="112"/>
        <v>28.633299999999998</v>
      </c>
      <c r="E1431" s="10">
        <v>-106.083336</v>
      </c>
      <c r="F1431" s="10">
        <v>28.633333</v>
      </c>
      <c r="G1431" s="10">
        <v>-6</v>
      </c>
      <c r="H1431" s="10" t="s">
        <v>1975</v>
      </c>
      <c r="I1431" s="10" t="s">
        <v>4919</v>
      </c>
      <c r="J1431" s="10" t="s">
        <v>4920</v>
      </c>
      <c r="K1431" s="10" t="s">
        <v>4926</v>
      </c>
      <c r="L1431" s="65" t="str">
        <f t="shared" si="113"/>
        <v>Chihuahua|Mexico|-106,083336|28,633333|-6:00 America</v>
      </c>
      <c r="M1431" s="10" t="s">
        <v>4937</v>
      </c>
      <c r="N1431" s="10">
        <f t="shared" si="110"/>
        <v>0</v>
      </c>
      <c r="O1431" t="str">
        <f t="shared" si="114"/>
        <v/>
      </c>
      <c r="P1431" t="str">
        <f>IF(O1431=1,COUNTIF($O$2:O1431,1),"")</f>
        <v/>
      </c>
      <c r="Q1431" t="str">
        <f>IFERROR(INDEX($M$2:$M$2388,MATCH(ROWS($P$2:P1431),$P$2:$P$2388,0)),"")</f>
        <v/>
      </c>
    </row>
    <row r="1432" spans="1:17" ht="15" x14ac:dyDescent="0.25">
      <c r="A1432" s="10">
        <v>1590</v>
      </c>
      <c r="B1432" s="10" t="s">
        <v>4938</v>
      </c>
      <c r="C1432" s="880">
        <f t="shared" si="111"/>
        <v>-106.4833</v>
      </c>
      <c r="D1432" s="880">
        <f t="shared" si="112"/>
        <v>31.7333</v>
      </c>
      <c r="E1432" s="10">
        <v>-106.48333</v>
      </c>
      <c r="F1432" s="10">
        <v>31.733333999999999</v>
      </c>
      <c r="G1432" s="10">
        <v>-6</v>
      </c>
      <c r="H1432" s="10" t="s">
        <v>1975</v>
      </c>
      <c r="I1432" s="10" t="s">
        <v>4919</v>
      </c>
      <c r="J1432" s="10" t="s">
        <v>4920</v>
      </c>
      <c r="K1432" s="10" t="s">
        <v>4926</v>
      </c>
      <c r="L1432" s="65" t="str">
        <f t="shared" si="113"/>
        <v>Ciudad Juarez|Mexico|-106,483330|31,733334|-6:00 America</v>
      </c>
      <c r="M1432" s="10" t="s">
        <v>4939</v>
      </c>
      <c r="N1432" s="10">
        <f t="shared" si="110"/>
        <v>0</v>
      </c>
      <c r="O1432" t="str">
        <f t="shared" si="114"/>
        <v/>
      </c>
      <c r="P1432" t="str">
        <f>IF(O1432=1,COUNTIF($O$2:O1432,1),"")</f>
        <v/>
      </c>
      <c r="Q1432" t="str">
        <f>IFERROR(INDEX($M$2:$M$2388,MATCH(ROWS($P$2:P1432),$P$2:$P$2388,0)),"")</f>
        <v/>
      </c>
    </row>
    <row r="1433" spans="1:17" ht="15" x14ac:dyDescent="0.25">
      <c r="A1433" s="10">
        <v>1560</v>
      </c>
      <c r="B1433" s="10" t="s">
        <v>4940</v>
      </c>
      <c r="C1433" s="880">
        <f t="shared" si="111"/>
        <v>-99.261300000000006</v>
      </c>
      <c r="D1433" s="880">
        <f t="shared" si="112"/>
        <v>19.558299999999999</v>
      </c>
      <c r="E1433" s="10">
        <v>-99.261391000000003</v>
      </c>
      <c r="F1433" s="10">
        <v>19.558332</v>
      </c>
      <c r="G1433" s="10">
        <v>-6</v>
      </c>
      <c r="H1433" s="10" t="s">
        <v>1975</v>
      </c>
      <c r="I1433" s="10" t="s">
        <v>4919</v>
      </c>
      <c r="J1433" s="10" t="s">
        <v>4920</v>
      </c>
      <c r="K1433" s="10" t="s">
        <v>4921</v>
      </c>
      <c r="L1433" s="65" t="str">
        <f t="shared" si="113"/>
        <v>Ciudad Lopez Mateos|Mexico|-99,261391|19,558332|-6:00 America</v>
      </c>
      <c r="M1433" s="10" t="s">
        <v>4941</v>
      </c>
      <c r="N1433" s="10">
        <f t="shared" si="110"/>
        <v>0</v>
      </c>
      <c r="O1433" t="str">
        <f t="shared" si="114"/>
        <v/>
      </c>
      <c r="P1433" t="str">
        <f>IF(O1433=1,COUNTIF($O$2:O1433,1),"")</f>
        <v/>
      </c>
      <c r="Q1433" t="str">
        <f>IFERROR(INDEX($M$2:$M$2388,MATCH(ROWS($P$2:P1433),$P$2:$P$2388,0)),"")</f>
        <v/>
      </c>
    </row>
    <row r="1434" spans="1:17" ht="15" x14ac:dyDescent="0.25">
      <c r="A1434" s="10">
        <v>1556</v>
      </c>
      <c r="B1434" s="10" t="s">
        <v>4942</v>
      </c>
      <c r="C1434" s="880">
        <f t="shared" si="111"/>
        <v>-99.033000000000001</v>
      </c>
      <c r="D1434" s="880">
        <f t="shared" si="112"/>
        <v>19.413599999999999</v>
      </c>
      <c r="E1434" s="10">
        <v>-99.033057999999997</v>
      </c>
      <c r="F1434" s="10">
        <v>19.413609999999998</v>
      </c>
      <c r="G1434" s="10">
        <v>-6</v>
      </c>
      <c r="H1434" s="10" t="s">
        <v>1975</v>
      </c>
      <c r="I1434" s="10" t="s">
        <v>4919</v>
      </c>
      <c r="J1434" s="10" t="s">
        <v>4920</v>
      </c>
      <c r="K1434" s="10" t="s">
        <v>4921</v>
      </c>
      <c r="L1434" s="65" t="str">
        <f t="shared" si="113"/>
        <v>Ciudad Nezahualcoyotl|Mexico|-99,033058|19,413610|-6:00 America</v>
      </c>
      <c r="M1434" s="10" t="s">
        <v>4943</v>
      </c>
      <c r="N1434" s="10">
        <f t="shared" si="110"/>
        <v>0</v>
      </c>
      <c r="O1434" t="str">
        <f t="shared" si="114"/>
        <v/>
      </c>
      <c r="P1434" t="str">
        <f>IF(O1434=1,COUNTIF($O$2:O1434,1),"")</f>
        <v/>
      </c>
      <c r="Q1434" t="str">
        <f>IFERROR(INDEX($M$2:$M$2388,MATCH(ROWS($P$2:P1434),$P$2:$P$2388,0)),"")</f>
        <v/>
      </c>
    </row>
    <row r="1435" spans="1:17" ht="15" x14ac:dyDescent="0.25">
      <c r="A1435" s="10">
        <v>1589</v>
      </c>
      <c r="B1435" s="10" t="s">
        <v>4944</v>
      </c>
      <c r="C1435" s="880">
        <f t="shared" si="111"/>
        <v>-109.9333</v>
      </c>
      <c r="D1435" s="880">
        <f t="shared" si="112"/>
        <v>27.4833</v>
      </c>
      <c r="E1435" s="10">
        <v>-109.933334</v>
      </c>
      <c r="F1435" s="10">
        <v>27.483333999999999</v>
      </c>
      <c r="G1435" s="10">
        <v>-7</v>
      </c>
      <c r="H1435" s="10" t="s">
        <v>2411</v>
      </c>
      <c r="I1435" s="10" t="s">
        <v>4919</v>
      </c>
      <c r="J1435" s="10" t="s">
        <v>4920</v>
      </c>
      <c r="K1435" s="10" t="s">
        <v>4945</v>
      </c>
      <c r="L1435" s="65" t="str">
        <f t="shared" si="113"/>
        <v>Ciudad Obregon|Mexico|-109,933334|27,483334|-7:00 America</v>
      </c>
      <c r="M1435" s="10" t="s">
        <v>4946</v>
      </c>
      <c r="N1435" s="10">
        <f t="shared" si="110"/>
        <v>0</v>
      </c>
      <c r="O1435" t="str">
        <f t="shared" si="114"/>
        <v/>
      </c>
      <c r="P1435" t="str">
        <f>IF(O1435=1,COUNTIF($O$2:O1435,1),"")</f>
        <v/>
      </c>
      <c r="Q1435" t="str">
        <f>IFERROR(INDEX($M$2:$M$2388,MATCH(ROWS($P$2:P1435),$P$2:$P$2388,0)),"")</f>
        <v/>
      </c>
    </row>
    <row r="1436" spans="1:17" ht="15" x14ac:dyDescent="0.25">
      <c r="A1436" s="10">
        <v>1555</v>
      </c>
      <c r="B1436" s="10" t="s">
        <v>4947</v>
      </c>
      <c r="C1436" s="880">
        <f t="shared" si="111"/>
        <v>-99.133300000000006</v>
      </c>
      <c r="D1436" s="880">
        <f t="shared" si="112"/>
        <v>23.7333</v>
      </c>
      <c r="E1436" s="10">
        <v>-99.133330999999998</v>
      </c>
      <c r="F1436" s="10">
        <v>23.733333999999999</v>
      </c>
      <c r="G1436" s="10">
        <v>-6</v>
      </c>
      <c r="H1436" s="10" t="s">
        <v>1975</v>
      </c>
      <c r="I1436" s="10" t="s">
        <v>4919</v>
      </c>
      <c r="J1436" s="10" t="s">
        <v>4920</v>
      </c>
      <c r="K1436" s="10" t="s">
        <v>4926</v>
      </c>
      <c r="L1436" s="65" t="str">
        <f t="shared" si="113"/>
        <v>Ciudad Victoria|Mexico|-99,133331|23,733334|-6:00 America</v>
      </c>
      <c r="M1436" s="10" t="s">
        <v>4948</v>
      </c>
      <c r="N1436" s="10">
        <f t="shared" si="110"/>
        <v>0</v>
      </c>
      <c r="O1436" t="str">
        <f t="shared" si="114"/>
        <v/>
      </c>
      <c r="P1436" t="str">
        <f>IF(O1436=1,COUNTIF($O$2:O1436,1),"")</f>
        <v/>
      </c>
      <c r="Q1436" t="str">
        <f>IFERROR(INDEX($M$2:$M$2388,MATCH(ROWS($P$2:P1436),$P$2:$P$2388,0)),"")</f>
        <v/>
      </c>
    </row>
    <row r="1437" spans="1:17" ht="15" x14ac:dyDescent="0.25">
      <c r="A1437" s="10">
        <v>1554</v>
      </c>
      <c r="B1437" s="10" t="s">
        <v>4949</v>
      </c>
      <c r="C1437" s="880">
        <f t="shared" si="111"/>
        <v>-99.110200000000006</v>
      </c>
      <c r="D1437" s="880">
        <f t="shared" si="112"/>
        <v>19.631599999999999</v>
      </c>
      <c r="E1437" s="10">
        <v>-99.110275000000001</v>
      </c>
      <c r="F1437" s="10">
        <v>19.631665999999999</v>
      </c>
      <c r="G1437" s="10">
        <v>-6</v>
      </c>
      <c r="H1437" s="10" t="s">
        <v>1975</v>
      </c>
      <c r="I1437" s="10" t="s">
        <v>4919</v>
      </c>
      <c r="J1437" s="10" t="s">
        <v>4920</v>
      </c>
      <c r="K1437" s="10" t="s">
        <v>4921</v>
      </c>
      <c r="L1437" s="65" t="str">
        <f t="shared" si="113"/>
        <v>Coacalco|Mexico|-99,110275|19,631666|-6:00 America</v>
      </c>
      <c r="M1437" s="10" t="s">
        <v>4950</v>
      </c>
      <c r="N1437" s="10">
        <f t="shared" si="110"/>
        <v>0</v>
      </c>
      <c r="O1437" t="str">
        <f t="shared" si="114"/>
        <v/>
      </c>
      <c r="P1437" t="str">
        <f>IF(O1437=1,COUNTIF($O$2:O1437,1),"")</f>
        <v/>
      </c>
      <c r="Q1437" t="str">
        <f>IFERROR(INDEX($M$2:$M$2388,MATCH(ROWS($P$2:P1437),$P$2:$P$2388,0)),"")</f>
        <v/>
      </c>
    </row>
    <row r="1438" spans="1:17" ht="15" x14ac:dyDescent="0.25">
      <c r="A1438" s="10">
        <v>1553</v>
      </c>
      <c r="B1438" s="10" t="s">
        <v>4951</v>
      </c>
      <c r="C1438" s="880">
        <f t="shared" si="111"/>
        <v>-94.416600000000003</v>
      </c>
      <c r="D1438" s="880">
        <f t="shared" si="112"/>
        <v>18.149999999999999</v>
      </c>
      <c r="E1438" s="10">
        <v>-94.416663999999997</v>
      </c>
      <c r="F1438" s="10">
        <v>18.149999999999999</v>
      </c>
      <c r="G1438" s="10">
        <v>-6</v>
      </c>
      <c r="H1438" s="10" t="s">
        <v>1975</v>
      </c>
      <c r="I1438" s="10" t="s">
        <v>4919</v>
      </c>
      <c r="J1438" s="10" t="s">
        <v>4920</v>
      </c>
      <c r="K1438" s="10" t="s">
        <v>4921</v>
      </c>
      <c r="L1438" s="65" t="str">
        <f t="shared" si="113"/>
        <v>Coatzacoalcos|Mexico|-94,416664|18,150000|-6:00 America</v>
      </c>
      <c r="M1438" s="10" t="s">
        <v>4952</v>
      </c>
      <c r="N1438" s="10">
        <f t="shared" si="110"/>
        <v>0</v>
      </c>
      <c r="O1438" t="str">
        <f t="shared" si="114"/>
        <v/>
      </c>
      <c r="P1438" t="str">
        <f>IF(O1438=1,COUNTIF($O$2:O1438,1),"")</f>
        <v/>
      </c>
      <c r="Q1438" t="str">
        <f>IFERROR(INDEX($M$2:$M$2388,MATCH(ROWS($P$2:P1438),$P$2:$P$2388,0)),"")</f>
        <v/>
      </c>
    </row>
    <row r="1439" spans="1:17" ht="15" x14ac:dyDescent="0.25">
      <c r="A1439" s="10">
        <v>1527</v>
      </c>
      <c r="B1439" s="10" t="s">
        <v>4953</v>
      </c>
      <c r="C1439" s="880">
        <f t="shared" si="111"/>
        <v>-98.15</v>
      </c>
      <c r="D1439" s="880">
        <f t="shared" si="112"/>
        <v>22.533300000000001</v>
      </c>
      <c r="E1439" s="10">
        <v>-98.150002000000001</v>
      </c>
      <c r="F1439" s="10">
        <v>22.533332999999999</v>
      </c>
      <c r="G1439" s="10">
        <v>-6</v>
      </c>
      <c r="H1439" s="10" t="s">
        <v>1975</v>
      </c>
      <c r="I1439" s="10" t="s">
        <v>4919</v>
      </c>
      <c r="J1439" s="10" t="s">
        <v>4920</v>
      </c>
      <c r="K1439" s="10" t="s">
        <v>4921</v>
      </c>
      <c r="L1439" s="65" t="str">
        <f t="shared" si="113"/>
        <v>Cuauhtemoc|Mexico|-98,150002|22,533333|-6:00 America</v>
      </c>
      <c r="M1439" s="10" t="s">
        <v>4954</v>
      </c>
      <c r="N1439" s="10">
        <f t="shared" si="110"/>
        <v>0</v>
      </c>
      <c r="O1439" t="str">
        <f t="shared" si="114"/>
        <v/>
      </c>
      <c r="P1439" t="str">
        <f>IF(O1439=1,COUNTIF($O$2:O1439,1),"")</f>
        <v/>
      </c>
      <c r="Q1439" t="str">
        <f>IFERROR(INDEX($M$2:$M$2388,MATCH(ROWS($P$2:P1439),$P$2:$P$2388,0)),"")</f>
        <v/>
      </c>
    </row>
    <row r="1440" spans="1:17" ht="15" x14ac:dyDescent="0.25">
      <c r="A1440" s="10">
        <v>1536</v>
      </c>
      <c r="B1440" s="10" t="s">
        <v>4955</v>
      </c>
      <c r="C1440" s="880">
        <f t="shared" si="111"/>
        <v>-99.246600000000001</v>
      </c>
      <c r="D1440" s="880">
        <f t="shared" si="112"/>
        <v>19.646899999999999</v>
      </c>
      <c r="E1440" s="10">
        <v>-99.246666000000005</v>
      </c>
      <c r="F1440" s="10">
        <v>19.646944000000001</v>
      </c>
      <c r="G1440" s="10">
        <v>-6</v>
      </c>
      <c r="H1440" s="10" t="s">
        <v>1975</v>
      </c>
      <c r="I1440" s="10" t="s">
        <v>4919</v>
      </c>
      <c r="J1440" s="10" t="s">
        <v>4920</v>
      </c>
      <c r="K1440" s="10" t="s">
        <v>4921</v>
      </c>
      <c r="L1440" s="65" t="str">
        <f t="shared" si="113"/>
        <v>Cuautitlan Izcalli|Mexico|-99,246666|19,646944|-6:00 America</v>
      </c>
      <c r="M1440" s="10" t="s">
        <v>4956</v>
      </c>
      <c r="N1440" s="10">
        <f t="shared" si="110"/>
        <v>0</v>
      </c>
      <c r="O1440" t="str">
        <f t="shared" si="114"/>
        <v/>
      </c>
      <c r="P1440" t="str">
        <f>IF(O1440=1,COUNTIF($O$2:O1440,1),"")</f>
        <v/>
      </c>
      <c r="Q1440" t="str">
        <f>IFERROR(INDEX($M$2:$M$2388,MATCH(ROWS($P$2:P1440),$P$2:$P$2388,0)),"")</f>
        <v/>
      </c>
    </row>
    <row r="1441" spans="1:17" ht="15" x14ac:dyDescent="0.25">
      <c r="A1441" s="10">
        <v>1552</v>
      </c>
      <c r="B1441" s="10" t="s">
        <v>4957</v>
      </c>
      <c r="C1441" s="880">
        <f t="shared" si="111"/>
        <v>-99.25</v>
      </c>
      <c r="D1441" s="880">
        <f t="shared" si="112"/>
        <v>18.916599999999999</v>
      </c>
      <c r="E1441" s="10">
        <v>-99.25</v>
      </c>
      <c r="F1441" s="10">
        <v>18.916665999999999</v>
      </c>
      <c r="G1441" s="10">
        <v>-6</v>
      </c>
      <c r="H1441" s="10" t="s">
        <v>1975</v>
      </c>
      <c r="I1441" s="10" t="s">
        <v>4919</v>
      </c>
      <c r="J1441" s="10" t="s">
        <v>4920</v>
      </c>
      <c r="K1441" s="10" t="s">
        <v>4921</v>
      </c>
      <c r="L1441" s="65" t="str">
        <f t="shared" si="113"/>
        <v>Cuernavaca|Mexico|-99,250000|18,916666|-6:00 America</v>
      </c>
      <c r="M1441" s="10" t="s">
        <v>4958</v>
      </c>
      <c r="N1441" s="10">
        <f t="shared" si="110"/>
        <v>0</v>
      </c>
      <c r="O1441" t="str">
        <f t="shared" si="114"/>
        <v/>
      </c>
      <c r="P1441" t="str">
        <f>IF(O1441=1,COUNTIF($O$2:O1441,1),"")</f>
        <v/>
      </c>
      <c r="Q1441" t="str">
        <f>IFERROR(INDEX($M$2:$M$2388,MATCH(ROWS($P$2:P1441),$P$2:$P$2388,0)),"")</f>
        <v/>
      </c>
    </row>
    <row r="1442" spans="1:17" ht="15" x14ac:dyDescent="0.25">
      <c r="A1442" s="10">
        <v>1588</v>
      </c>
      <c r="B1442" s="10" t="s">
        <v>4959</v>
      </c>
      <c r="C1442" s="880">
        <f t="shared" si="111"/>
        <v>-107.3897</v>
      </c>
      <c r="D1442" s="880">
        <f t="shared" si="112"/>
        <v>24.799399999999999</v>
      </c>
      <c r="E1442" s="10">
        <v>-107.389725</v>
      </c>
      <c r="F1442" s="10">
        <v>24.799444000000001</v>
      </c>
      <c r="G1442" s="10">
        <v>-7</v>
      </c>
      <c r="H1442" s="10" t="s">
        <v>2411</v>
      </c>
      <c r="I1442" s="10" t="s">
        <v>4919</v>
      </c>
      <c r="J1442" s="10" t="s">
        <v>4920</v>
      </c>
      <c r="K1442" s="10" t="s">
        <v>4960</v>
      </c>
      <c r="L1442" s="65" t="str">
        <f t="shared" si="113"/>
        <v>Culiacan|Mexico|-107,389725|24,799444|-7:00 America</v>
      </c>
      <c r="M1442" s="10" t="s">
        <v>4961</v>
      </c>
      <c r="N1442" s="10">
        <f t="shared" si="110"/>
        <v>0</v>
      </c>
      <c r="O1442" t="str">
        <f t="shared" si="114"/>
        <v/>
      </c>
      <c r="P1442" t="str">
        <f>IF(O1442=1,COUNTIF($O$2:O1442,1),"")</f>
        <v/>
      </c>
      <c r="Q1442" t="str">
        <f>IFERROR(INDEX($M$2:$M$2388,MATCH(ROWS($P$2:P1442),$P$2:$P$2388,0)),"")</f>
        <v/>
      </c>
    </row>
    <row r="1443" spans="1:17" ht="15" x14ac:dyDescent="0.25">
      <c r="A1443" s="10">
        <v>1587</v>
      </c>
      <c r="B1443" s="10" t="s">
        <v>4962</v>
      </c>
      <c r="C1443" s="880">
        <f t="shared" si="111"/>
        <v>-104.6666</v>
      </c>
      <c r="D1443" s="880">
        <f t="shared" si="112"/>
        <v>24.033300000000001</v>
      </c>
      <c r="E1443" s="10">
        <v>-104.666664</v>
      </c>
      <c r="F1443" s="10">
        <v>24.033332999999999</v>
      </c>
      <c r="G1443" s="10">
        <v>-6</v>
      </c>
      <c r="H1443" s="10" t="s">
        <v>1975</v>
      </c>
      <c r="I1443" s="10" t="s">
        <v>4919</v>
      </c>
      <c r="J1443" s="10" t="s">
        <v>4920</v>
      </c>
      <c r="K1443" s="10" t="s">
        <v>4926</v>
      </c>
      <c r="L1443" s="65" t="str">
        <f t="shared" si="113"/>
        <v>Durango|Mexico|-104,666664|24,033333|-6:00 America</v>
      </c>
      <c r="M1443" s="10" t="s">
        <v>4963</v>
      </c>
      <c r="N1443" s="10">
        <f t="shared" si="110"/>
        <v>0</v>
      </c>
      <c r="O1443" t="str">
        <f t="shared" si="114"/>
        <v/>
      </c>
      <c r="P1443" t="str">
        <f>IF(O1443=1,COUNTIF($O$2:O1443,1),"")</f>
        <v/>
      </c>
      <c r="Q1443" t="str">
        <f>IFERROR(INDEX($M$2:$M$2388,MATCH(ROWS($P$2:P1443),$P$2:$P$2388,0)),"")</f>
        <v/>
      </c>
    </row>
    <row r="1444" spans="1:17" ht="15" x14ac:dyDescent="0.25">
      <c r="A1444" s="10">
        <v>1551</v>
      </c>
      <c r="B1444" s="10" t="s">
        <v>4964</v>
      </c>
      <c r="C1444" s="880">
        <f t="shared" si="111"/>
        <v>-99.052400000000006</v>
      </c>
      <c r="D1444" s="880">
        <f t="shared" si="112"/>
        <v>19.601099999999999</v>
      </c>
      <c r="E1444" s="10">
        <v>-99.052498</v>
      </c>
      <c r="F1444" s="10">
        <v>19.601109999999998</v>
      </c>
      <c r="G1444" s="10">
        <v>-6</v>
      </c>
      <c r="H1444" s="10" t="s">
        <v>1975</v>
      </c>
      <c r="I1444" s="10" t="s">
        <v>4919</v>
      </c>
      <c r="J1444" s="10" t="s">
        <v>4920</v>
      </c>
      <c r="K1444" s="10" t="s">
        <v>4921</v>
      </c>
      <c r="L1444" s="65" t="str">
        <f t="shared" si="113"/>
        <v>Ecatepec|Mexico|-99,052498|19,601110|-6:00 America</v>
      </c>
      <c r="M1444" s="10" t="s">
        <v>4965</v>
      </c>
      <c r="N1444" s="10">
        <f t="shared" si="110"/>
        <v>0</v>
      </c>
      <c r="O1444" t="str">
        <f t="shared" si="114"/>
        <v/>
      </c>
      <c r="P1444" t="str">
        <f>IF(O1444=1,COUNTIF($O$2:O1444,1),"")</f>
        <v/>
      </c>
      <c r="Q1444" t="str">
        <f>IFERROR(INDEX($M$2:$M$2388,MATCH(ROWS($P$2:P1444),$P$2:$P$2388,0)),"")</f>
        <v/>
      </c>
    </row>
    <row r="1445" spans="1:17" ht="15" x14ac:dyDescent="0.25">
      <c r="A1445" s="10">
        <v>1586</v>
      </c>
      <c r="B1445" s="10" t="s">
        <v>4966</v>
      </c>
      <c r="C1445" s="880">
        <f t="shared" si="111"/>
        <v>-116.61660000000001</v>
      </c>
      <c r="D1445" s="880">
        <f t="shared" si="112"/>
        <v>31.866599999999998</v>
      </c>
      <c r="E1445" s="10">
        <v>-116.616669</v>
      </c>
      <c r="F1445" s="10">
        <v>31.866667</v>
      </c>
      <c r="G1445" s="10">
        <v>-8</v>
      </c>
      <c r="H1445" s="10" t="s">
        <v>2402</v>
      </c>
      <c r="I1445" s="10" t="s">
        <v>4919</v>
      </c>
      <c r="J1445" s="10" t="s">
        <v>4920</v>
      </c>
      <c r="K1445" s="10" t="s">
        <v>4967</v>
      </c>
      <c r="L1445" s="65" t="str">
        <f t="shared" si="113"/>
        <v>Ensenada|Mexico|-116,616669|31,866667|-8:00 America</v>
      </c>
      <c r="M1445" s="10" t="s">
        <v>4968</v>
      </c>
      <c r="N1445" s="10">
        <f t="shared" si="110"/>
        <v>0</v>
      </c>
      <c r="O1445" t="str">
        <f t="shared" si="114"/>
        <v/>
      </c>
      <c r="P1445" t="str">
        <f>IF(O1445=1,COUNTIF($O$2:O1445,1),"")</f>
        <v/>
      </c>
      <c r="Q1445" t="str">
        <f>IFERROR(INDEX($M$2:$M$2388,MATCH(ROWS($P$2:P1445),$P$2:$P$2388,0)),"")</f>
        <v/>
      </c>
    </row>
    <row r="1446" spans="1:17" ht="15" x14ac:dyDescent="0.25">
      <c r="A1446" s="10">
        <v>1585</v>
      </c>
      <c r="B1446" s="10" t="s">
        <v>4969</v>
      </c>
      <c r="C1446" s="880">
        <f t="shared" si="111"/>
        <v>-100.33329999999999</v>
      </c>
      <c r="D1446" s="880">
        <f t="shared" si="112"/>
        <v>25.816600000000001</v>
      </c>
      <c r="E1446" s="10">
        <v>-100.333336</v>
      </c>
      <c r="F1446" s="10">
        <v>25.816668</v>
      </c>
      <c r="G1446" s="10">
        <v>-6</v>
      </c>
      <c r="H1446" s="10" t="s">
        <v>1975</v>
      </c>
      <c r="I1446" s="10" t="s">
        <v>4919</v>
      </c>
      <c r="J1446" s="10" t="s">
        <v>4920</v>
      </c>
      <c r="K1446" s="10" t="s">
        <v>4926</v>
      </c>
      <c r="L1446" s="65" t="str">
        <f t="shared" si="113"/>
        <v>General Escobedo|Mexico|-100,333336|25,816668|-6:00 America</v>
      </c>
      <c r="M1446" s="10" t="s">
        <v>4970</v>
      </c>
      <c r="N1446" s="10">
        <f t="shared" si="110"/>
        <v>0</v>
      </c>
      <c r="O1446" t="str">
        <f t="shared" si="114"/>
        <v/>
      </c>
      <c r="P1446" t="str">
        <f>IF(O1446=1,COUNTIF($O$2:O1446,1),"")</f>
        <v/>
      </c>
      <c r="Q1446" t="str">
        <f>IFERROR(INDEX($M$2:$M$2388,MATCH(ROWS($P$2:P1446),$P$2:$P$2388,0)),"")</f>
        <v/>
      </c>
    </row>
    <row r="1447" spans="1:17" ht="15" x14ac:dyDescent="0.25">
      <c r="A1447" s="10">
        <v>1584</v>
      </c>
      <c r="B1447" s="10" t="s">
        <v>4971</v>
      </c>
      <c r="C1447" s="880">
        <f t="shared" si="111"/>
        <v>-103.5</v>
      </c>
      <c r="D1447" s="880">
        <f t="shared" si="112"/>
        <v>25.566600000000001</v>
      </c>
      <c r="E1447" s="10">
        <v>-103.5</v>
      </c>
      <c r="F1447" s="10">
        <v>25.566668</v>
      </c>
      <c r="G1447" s="10">
        <v>-6</v>
      </c>
      <c r="H1447" s="10" t="s">
        <v>1975</v>
      </c>
      <c r="I1447" s="10" t="s">
        <v>4919</v>
      </c>
      <c r="J1447" s="10" t="s">
        <v>4920</v>
      </c>
      <c r="K1447" s="10" t="s">
        <v>4926</v>
      </c>
      <c r="L1447" s="65" t="str">
        <f t="shared" si="113"/>
        <v>Gomez Palacio|Mexico|-103,500000|25,566668|-6:00 America</v>
      </c>
      <c r="M1447" s="10" t="s">
        <v>4972</v>
      </c>
      <c r="N1447" s="10">
        <f t="shared" si="110"/>
        <v>0</v>
      </c>
      <c r="O1447" t="str">
        <f t="shared" si="114"/>
        <v/>
      </c>
      <c r="P1447" t="str">
        <f>IF(O1447=1,COUNTIF($O$2:O1447,1),"")</f>
        <v/>
      </c>
      <c r="Q1447" t="str">
        <f>IFERROR(INDEX($M$2:$M$2388,MATCH(ROWS($P$2:P1447),$P$2:$P$2388,0)),"")</f>
        <v/>
      </c>
    </row>
    <row r="1448" spans="1:17" ht="15" x14ac:dyDescent="0.25">
      <c r="A1448" s="10">
        <v>1583</v>
      </c>
      <c r="B1448" s="10" t="s">
        <v>4973</v>
      </c>
      <c r="C1448" s="880">
        <f t="shared" si="111"/>
        <v>-103.33329999999999</v>
      </c>
      <c r="D1448" s="880">
        <f t="shared" si="112"/>
        <v>20.666599999999999</v>
      </c>
      <c r="E1448" s="10">
        <v>-103.333336</v>
      </c>
      <c r="F1448" s="10">
        <v>20.666665999999999</v>
      </c>
      <c r="G1448" s="10">
        <v>-6</v>
      </c>
      <c r="H1448" s="10" t="s">
        <v>1975</v>
      </c>
      <c r="I1448" s="10" t="s">
        <v>4919</v>
      </c>
      <c r="J1448" s="10" t="s">
        <v>4920</v>
      </c>
      <c r="K1448" s="10" t="s">
        <v>4921</v>
      </c>
      <c r="L1448" s="65" t="str">
        <f t="shared" si="113"/>
        <v>Guadalajara|Mexico|-103,333336|20,666666|-6:00 America</v>
      </c>
      <c r="M1448" s="10" t="s">
        <v>4974</v>
      </c>
      <c r="N1448" s="10">
        <f t="shared" si="110"/>
        <v>0</v>
      </c>
      <c r="O1448" t="str">
        <f t="shared" si="114"/>
        <v/>
      </c>
      <c r="P1448" t="str">
        <f>IF(O1448=1,COUNTIF($O$2:O1448,1),"")</f>
        <v/>
      </c>
      <c r="Q1448" t="str">
        <f>IFERROR(INDEX($M$2:$M$2388,MATCH(ROWS($P$2:P1448),$P$2:$P$2388,0)),"")</f>
        <v/>
      </c>
    </row>
    <row r="1449" spans="1:17" ht="15" x14ac:dyDescent="0.25">
      <c r="A1449" s="10">
        <v>1582</v>
      </c>
      <c r="B1449" s="10" t="s">
        <v>4975</v>
      </c>
      <c r="C1449" s="880">
        <f t="shared" si="111"/>
        <v>-100.25</v>
      </c>
      <c r="D1449" s="880">
        <f t="shared" si="112"/>
        <v>25.683299999999999</v>
      </c>
      <c r="E1449" s="10">
        <v>-100.25</v>
      </c>
      <c r="F1449" s="10">
        <v>25.683332</v>
      </c>
      <c r="G1449" s="10">
        <v>-6</v>
      </c>
      <c r="H1449" s="10" t="s">
        <v>1975</v>
      </c>
      <c r="I1449" s="10" t="s">
        <v>4919</v>
      </c>
      <c r="J1449" s="10" t="s">
        <v>4920</v>
      </c>
      <c r="K1449" s="10" t="s">
        <v>4926</v>
      </c>
      <c r="L1449" s="65" t="str">
        <f t="shared" si="113"/>
        <v>Guadalupe|Mexico|-100,250000|25,683332|-6:00 America</v>
      </c>
      <c r="M1449" s="10" t="s">
        <v>4976</v>
      </c>
      <c r="N1449" s="10">
        <f t="shared" si="110"/>
        <v>0</v>
      </c>
      <c r="O1449" t="str">
        <f t="shared" si="114"/>
        <v/>
      </c>
      <c r="P1449" t="str">
        <f>IF(O1449=1,COUNTIF($O$2:O1449,1),"")</f>
        <v/>
      </c>
      <c r="Q1449" t="str">
        <f>IFERROR(INDEX($M$2:$M$2388,MATCH(ROWS($P$2:P1449),$P$2:$P$2388,0)),"")</f>
        <v/>
      </c>
    </row>
    <row r="1450" spans="1:17" ht="15" x14ac:dyDescent="0.25">
      <c r="A1450" s="10">
        <v>1581</v>
      </c>
      <c r="B1450" s="10" t="s">
        <v>4977</v>
      </c>
      <c r="C1450" s="880">
        <f t="shared" si="111"/>
        <v>-110.9666</v>
      </c>
      <c r="D1450" s="880">
        <f t="shared" si="112"/>
        <v>29.066600000000001</v>
      </c>
      <c r="E1450" s="10">
        <v>-110.966667</v>
      </c>
      <c r="F1450" s="10">
        <v>29.066668</v>
      </c>
      <c r="G1450" s="10">
        <v>-7</v>
      </c>
      <c r="H1450" s="10" t="s">
        <v>2411</v>
      </c>
      <c r="I1450" s="10" t="s">
        <v>4919</v>
      </c>
      <c r="J1450" s="10" t="s">
        <v>4920</v>
      </c>
      <c r="K1450" s="10" t="s">
        <v>4945</v>
      </c>
      <c r="L1450" s="65" t="str">
        <f t="shared" si="113"/>
        <v>Hermosillo|Mexico|-110,966667|29,066668|-7:00 America</v>
      </c>
      <c r="M1450" s="10" t="s">
        <v>4978</v>
      </c>
      <c r="N1450" s="10">
        <f t="shared" si="110"/>
        <v>0</v>
      </c>
      <c r="O1450" t="str">
        <f t="shared" si="114"/>
        <v/>
      </c>
      <c r="P1450" t="str">
        <f>IF(O1450=1,COUNTIF($O$2:O1450,1),"")</f>
        <v/>
      </c>
      <c r="Q1450" t="str">
        <f>IFERROR(INDEX($M$2:$M$2388,MATCH(ROWS($P$2:P1450),$P$2:$P$2388,0)),"")</f>
        <v/>
      </c>
    </row>
    <row r="1451" spans="1:17" ht="15" x14ac:dyDescent="0.25">
      <c r="A1451" s="10">
        <v>1580</v>
      </c>
      <c r="B1451" s="10" t="s">
        <v>4979</v>
      </c>
      <c r="C1451" s="880">
        <f t="shared" si="111"/>
        <v>-101.34990000000001</v>
      </c>
      <c r="D1451" s="880">
        <f t="shared" si="112"/>
        <v>20.683299999999999</v>
      </c>
      <c r="E1451" s="10">
        <v>-101.349998</v>
      </c>
      <c r="F1451" s="10">
        <v>20.683332</v>
      </c>
      <c r="G1451" s="10">
        <v>-6</v>
      </c>
      <c r="H1451" s="10" t="s">
        <v>1975</v>
      </c>
      <c r="I1451" s="10" t="s">
        <v>4919</v>
      </c>
      <c r="J1451" s="10" t="s">
        <v>4920</v>
      </c>
      <c r="K1451" s="10" t="s">
        <v>4921</v>
      </c>
      <c r="L1451" s="65" t="str">
        <f t="shared" si="113"/>
        <v>Irapuato|Mexico|-101,349998|20,683332|-6:00 America</v>
      </c>
      <c r="M1451" s="10" t="s">
        <v>4980</v>
      </c>
      <c r="N1451" s="10">
        <f t="shared" si="110"/>
        <v>0</v>
      </c>
      <c r="O1451" t="str">
        <f t="shared" si="114"/>
        <v/>
      </c>
      <c r="P1451" t="str">
        <f>IF(O1451=1,COUNTIF($O$2:O1451,1),"")</f>
        <v/>
      </c>
      <c r="Q1451" t="str">
        <f>IFERROR(INDEX($M$2:$M$2388,MATCH(ROWS($P$2:P1451),$P$2:$P$2388,0)),"")</f>
        <v/>
      </c>
    </row>
    <row r="1452" spans="1:17" ht="15" x14ac:dyDescent="0.25">
      <c r="A1452" s="10">
        <v>1550</v>
      </c>
      <c r="B1452" s="10" t="s">
        <v>4981</v>
      </c>
      <c r="C1452" s="880">
        <f t="shared" si="111"/>
        <v>-98.883300000000006</v>
      </c>
      <c r="D1452" s="880">
        <f t="shared" si="112"/>
        <v>19.316600000000001</v>
      </c>
      <c r="E1452" s="10">
        <v>-98.883330999999998</v>
      </c>
      <c r="F1452" s="10">
        <v>19.316668</v>
      </c>
      <c r="G1452" s="10">
        <v>-6</v>
      </c>
      <c r="H1452" s="10" t="s">
        <v>1975</v>
      </c>
      <c r="I1452" s="10" t="s">
        <v>4919</v>
      </c>
      <c r="J1452" s="10" t="s">
        <v>4920</v>
      </c>
      <c r="K1452" s="10" t="s">
        <v>4921</v>
      </c>
      <c r="L1452" s="65" t="str">
        <f t="shared" si="113"/>
        <v>Ixtapaluca|Mexico|-98,883331|19,316668|-6:00 America</v>
      </c>
      <c r="M1452" s="10" t="s">
        <v>4982</v>
      </c>
      <c r="N1452" s="10">
        <f t="shared" si="110"/>
        <v>0</v>
      </c>
      <c r="O1452" t="str">
        <f t="shared" si="114"/>
        <v/>
      </c>
      <c r="P1452" t="str">
        <f>IF(O1452=1,COUNTIF($O$2:O1452,1),"")</f>
        <v/>
      </c>
      <c r="Q1452" t="str">
        <f>IFERROR(INDEX($M$2:$M$2388,MATCH(ROWS($P$2:P1452),$P$2:$P$2388,0)),"")</f>
        <v/>
      </c>
    </row>
    <row r="1453" spans="1:17" ht="15" x14ac:dyDescent="0.25">
      <c r="A1453" s="10">
        <v>1549</v>
      </c>
      <c r="B1453" s="10" t="s">
        <v>4983</v>
      </c>
      <c r="C1453" s="880">
        <f t="shared" si="111"/>
        <v>-96.916600000000003</v>
      </c>
      <c r="D1453" s="880">
        <f t="shared" si="112"/>
        <v>19.533300000000001</v>
      </c>
      <c r="E1453" s="10">
        <v>-96.916663999999997</v>
      </c>
      <c r="F1453" s="10">
        <v>19.533332999999999</v>
      </c>
      <c r="G1453" s="10">
        <v>-6</v>
      </c>
      <c r="H1453" s="10" t="s">
        <v>1975</v>
      </c>
      <c r="I1453" s="10" t="s">
        <v>4919</v>
      </c>
      <c r="J1453" s="10" t="s">
        <v>4920</v>
      </c>
      <c r="K1453" s="10" t="s">
        <v>4921</v>
      </c>
      <c r="L1453" s="65" t="str">
        <f t="shared" si="113"/>
        <v>Jalapa Enriquez|Mexico|-96,916664|19,533333|-6:00 America</v>
      </c>
      <c r="M1453" s="10" t="s">
        <v>4984</v>
      </c>
      <c r="N1453" s="10">
        <f t="shared" si="110"/>
        <v>0</v>
      </c>
      <c r="O1453" t="str">
        <f t="shared" si="114"/>
        <v/>
      </c>
      <c r="P1453" t="str">
        <f>IF(O1453=1,COUNTIF($O$2:O1453,1),"")</f>
        <v/>
      </c>
      <c r="Q1453" t="str">
        <f>IFERROR(INDEX($M$2:$M$2388,MATCH(ROWS($P$2:P1453),$P$2:$P$2388,0)),"")</f>
        <v/>
      </c>
    </row>
    <row r="1454" spans="1:17" ht="15" x14ac:dyDescent="0.25">
      <c r="A1454" s="10">
        <v>1579</v>
      </c>
      <c r="B1454" s="10" t="s">
        <v>4985</v>
      </c>
      <c r="C1454" s="880">
        <f t="shared" si="111"/>
        <v>-101.6666</v>
      </c>
      <c r="D1454" s="880">
        <f t="shared" si="112"/>
        <v>21.116599999999998</v>
      </c>
      <c r="E1454" s="10">
        <v>-101.666664</v>
      </c>
      <c r="F1454" s="10">
        <v>21.116667</v>
      </c>
      <c r="G1454" s="10">
        <v>-6</v>
      </c>
      <c r="H1454" s="10" t="s">
        <v>1975</v>
      </c>
      <c r="I1454" s="10" t="s">
        <v>4919</v>
      </c>
      <c r="J1454" s="10" t="s">
        <v>4920</v>
      </c>
      <c r="K1454" s="10" t="s">
        <v>4921</v>
      </c>
      <c r="L1454" s="65" t="str">
        <f t="shared" si="113"/>
        <v>Leon|Mexico|-101,666664|21,116667|-6:00 America</v>
      </c>
      <c r="M1454" s="10" t="s">
        <v>4986</v>
      </c>
      <c r="N1454" s="10">
        <f t="shared" si="110"/>
        <v>0</v>
      </c>
      <c r="O1454" t="str">
        <f t="shared" si="114"/>
        <v/>
      </c>
      <c r="P1454" t="str">
        <f>IF(O1454=1,COUNTIF($O$2:O1454,1),"")</f>
        <v/>
      </c>
      <c r="Q1454" t="str">
        <f>IFERROR(INDEX($M$2:$M$2388,MATCH(ROWS($P$2:P1454),$P$2:$P$2388,0)),"")</f>
        <v/>
      </c>
    </row>
    <row r="1455" spans="1:17" ht="15" x14ac:dyDescent="0.25">
      <c r="A1455" s="10">
        <v>1578</v>
      </c>
      <c r="B1455" s="10" t="s">
        <v>4987</v>
      </c>
      <c r="C1455" s="880">
        <f t="shared" si="111"/>
        <v>-108.9666</v>
      </c>
      <c r="D1455" s="880">
        <f t="shared" si="112"/>
        <v>25.7666</v>
      </c>
      <c r="E1455" s="10">
        <v>-108.966667</v>
      </c>
      <c r="F1455" s="10">
        <v>25.766666000000001</v>
      </c>
      <c r="G1455" s="10">
        <v>-7</v>
      </c>
      <c r="H1455" s="10" t="s">
        <v>2411</v>
      </c>
      <c r="I1455" s="10" t="s">
        <v>4919</v>
      </c>
      <c r="J1455" s="10" t="s">
        <v>4920</v>
      </c>
      <c r="K1455" s="10" t="s">
        <v>4960</v>
      </c>
      <c r="L1455" s="65" t="str">
        <f t="shared" si="113"/>
        <v>Los Mochis|Mexico|-108,966667|25,766666|-7:00 America</v>
      </c>
      <c r="M1455" s="10" t="s">
        <v>4988</v>
      </c>
      <c r="N1455" s="10">
        <f t="shared" si="110"/>
        <v>0</v>
      </c>
      <c r="O1455" t="str">
        <f t="shared" si="114"/>
        <v/>
      </c>
      <c r="P1455" t="str">
        <f>IF(O1455=1,COUNTIF($O$2:O1455,1),"")</f>
        <v/>
      </c>
      <c r="Q1455" t="str">
        <f>IFERROR(INDEX($M$2:$M$2388,MATCH(ROWS($P$2:P1455),$P$2:$P$2388,0)),"")</f>
        <v/>
      </c>
    </row>
    <row r="1456" spans="1:17" ht="15" x14ac:dyDescent="0.25">
      <c r="A1456" s="10">
        <v>1548</v>
      </c>
      <c r="B1456" s="10" t="s">
        <v>4989</v>
      </c>
      <c r="C1456" s="880">
        <f t="shared" si="111"/>
        <v>-98.9666</v>
      </c>
      <c r="D1456" s="880">
        <f t="shared" si="112"/>
        <v>19.350000000000001</v>
      </c>
      <c r="E1456" s="10">
        <v>-98.966667000000001</v>
      </c>
      <c r="F1456" s="10">
        <v>19.350000000000001</v>
      </c>
      <c r="G1456" s="10">
        <v>-6</v>
      </c>
      <c r="H1456" s="10" t="s">
        <v>1975</v>
      </c>
      <c r="I1456" s="10" t="s">
        <v>4919</v>
      </c>
      <c r="J1456" s="10" t="s">
        <v>4920</v>
      </c>
      <c r="K1456" s="10" t="s">
        <v>4921</v>
      </c>
      <c r="L1456" s="65" t="str">
        <f t="shared" si="113"/>
        <v>Los Reyes|Mexico|-98,966667|19,350000|-6:00 America</v>
      </c>
      <c r="M1456" s="10" t="s">
        <v>4990</v>
      </c>
      <c r="N1456" s="10">
        <f t="shared" si="110"/>
        <v>0</v>
      </c>
      <c r="O1456" t="str">
        <f t="shared" si="114"/>
        <v/>
      </c>
      <c r="P1456" t="str">
        <f>IF(O1456=1,COUNTIF($O$2:O1456,1),"")</f>
        <v/>
      </c>
      <c r="Q1456" t="str">
        <f>IFERROR(INDEX($M$2:$M$2388,MATCH(ROWS($P$2:P1456),$P$2:$P$2388,0)),"")</f>
        <v/>
      </c>
    </row>
    <row r="1457" spans="1:17" ht="15" x14ac:dyDescent="0.25">
      <c r="A1457" s="10">
        <v>1547</v>
      </c>
      <c r="B1457" s="10" t="s">
        <v>4991</v>
      </c>
      <c r="C1457" s="880">
        <f t="shared" si="111"/>
        <v>-97.5</v>
      </c>
      <c r="D1457" s="880">
        <f t="shared" si="112"/>
        <v>25.883299999999998</v>
      </c>
      <c r="E1457" s="10">
        <v>-97.5</v>
      </c>
      <c r="F1457" s="10">
        <v>25.883333</v>
      </c>
      <c r="G1457" s="10">
        <v>-6</v>
      </c>
      <c r="H1457" s="10" t="s">
        <v>1975</v>
      </c>
      <c r="I1457" s="10" t="s">
        <v>4919</v>
      </c>
      <c r="J1457" s="10" t="s">
        <v>4920</v>
      </c>
      <c r="K1457" s="10" t="s">
        <v>4926</v>
      </c>
      <c r="L1457" s="65" t="str">
        <f t="shared" si="113"/>
        <v>Matamoros|Mexico|-97,500000|25,883333|-6:00 America</v>
      </c>
      <c r="M1457" s="10" t="s">
        <v>4992</v>
      </c>
      <c r="N1457" s="10">
        <f t="shared" si="110"/>
        <v>0</v>
      </c>
      <c r="O1457" t="str">
        <f t="shared" si="114"/>
        <v/>
      </c>
      <c r="P1457" t="str">
        <f>IF(O1457=1,COUNTIF($O$2:O1457,1),"")</f>
        <v/>
      </c>
      <c r="Q1457" t="str">
        <f>IFERROR(INDEX($M$2:$M$2388,MATCH(ROWS($P$2:P1457),$P$2:$P$2388,0)),"")</f>
        <v/>
      </c>
    </row>
    <row r="1458" spans="1:17" ht="15" x14ac:dyDescent="0.25">
      <c r="A1458" s="10">
        <v>1577</v>
      </c>
      <c r="B1458" s="10" t="s">
        <v>4993</v>
      </c>
      <c r="C1458" s="880">
        <f t="shared" si="111"/>
        <v>-106.4166</v>
      </c>
      <c r="D1458" s="880">
        <f t="shared" si="112"/>
        <v>23.2166</v>
      </c>
      <c r="E1458" s="10">
        <v>-106.416664</v>
      </c>
      <c r="F1458" s="10">
        <v>23.216667000000001</v>
      </c>
      <c r="G1458" s="10">
        <v>-7</v>
      </c>
      <c r="H1458" s="10" t="s">
        <v>2411</v>
      </c>
      <c r="I1458" s="10" t="s">
        <v>4919</v>
      </c>
      <c r="J1458" s="10" t="s">
        <v>4920</v>
      </c>
      <c r="K1458" s="10" t="s">
        <v>4960</v>
      </c>
      <c r="L1458" s="65" t="str">
        <f t="shared" si="113"/>
        <v>Mazatlan|Mexico|-106,416664|23,216667|-7:00 America</v>
      </c>
      <c r="M1458" s="10" t="s">
        <v>4994</v>
      </c>
      <c r="N1458" s="10">
        <f t="shared" si="110"/>
        <v>0</v>
      </c>
      <c r="O1458" t="str">
        <f t="shared" si="114"/>
        <v/>
      </c>
      <c r="P1458" t="str">
        <f>IF(O1458=1,COUNTIF($O$2:O1458,1),"")</f>
        <v/>
      </c>
      <c r="Q1458" t="str">
        <f>IFERROR(INDEX($M$2:$M$2388,MATCH(ROWS($P$2:P1458),$P$2:$P$2388,0)),"")</f>
        <v/>
      </c>
    </row>
    <row r="1459" spans="1:17" ht="15" x14ac:dyDescent="0.25">
      <c r="A1459" s="10">
        <v>1546</v>
      </c>
      <c r="B1459" s="10" t="s">
        <v>4995</v>
      </c>
      <c r="C1459" s="880">
        <f t="shared" si="111"/>
        <v>-89.616600000000005</v>
      </c>
      <c r="D1459" s="880">
        <f t="shared" si="112"/>
        <v>20.9666</v>
      </c>
      <c r="E1459" s="10">
        <v>-89.616669000000002</v>
      </c>
      <c r="F1459" s="10">
        <v>20.966667000000001</v>
      </c>
      <c r="G1459" s="10">
        <v>-6</v>
      </c>
      <c r="H1459" s="10" t="s">
        <v>1975</v>
      </c>
      <c r="I1459" s="10" t="s">
        <v>4919</v>
      </c>
      <c r="J1459" s="10" t="s">
        <v>4920</v>
      </c>
      <c r="K1459" s="10" t="s">
        <v>4929</v>
      </c>
      <c r="L1459" s="65" t="str">
        <f t="shared" si="113"/>
        <v>Merida|Mexico|-89,616669|20,966667|-6:00 America</v>
      </c>
      <c r="M1459" s="10" t="s">
        <v>4996</v>
      </c>
      <c r="N1459" s="10">
        <f t="shared" si="110"/>
        <v>0</v>
      </c>
      <c r="O1459" t="str">
        <f t="shared" si="114"/>
        <v/>
      </c>
      <c r="P1459" t="str">
        <f>IF(O1459=1,COUNTIF($O$2:O1459,1),"")</f>
        <v/>
      </c>
      <c r="Q1459" t="str">
        <f>IFERROR(INDEX($M$2:$M$2388,MATCH(ROWS($P$2:P1459),$P$2:$P$2388,0)),"")</f>
        <v/>
      </c>
    </row>
    <row r="1460" spans="1:17" ht="15" x14ac:dyDescent="0.25">
      <c r="A1460" s="10">
        <v>1576</v>
      </c>
      <c r="B1460" s="10" t="s">
        <v>4997</v>
      </c>
      <c r="C1460" s="880">
        <f t="shared" si="111"/>
        <v>-115.4683</v>
      </c>
      <c r="D1460" s="880">
        <f t="shared" si="112"/>
        <v>32.651899999999998</v>
      </c>
      <c r="E1460" s="10">
        <v>-115.46832999999999</v>
      </c>
      <c r="F1460" s="10">
        <v>32.651943000000003</v>
      </c>
      <c r="G1460" s="10">
        <v>-8</v>
      </c>
      <c r="H1460" s="10" t="s">
        <v>2402</v>
      </c>
      <c r="I1460" s="10" t="s">
        <v>4919</v>
      </c>
      <c r="J1460" s="10" t="s">
        <v>4920</v>
      </c>
      <c r="K1460" s="10" t="s">
        <v>4967</v>
      </c>
      <c r="L1460" s="65" t="str">
        <f t="shared" si="113"/>
        <v>Mexicali|Mexico|-115,468330|32,651943|-8:00 America</v>
      </c>
      <c r="M1460" s="10" t="s">
        <v>4998</v>
      </c>
      <c r="N1460" s="10">
        <f t="shared" si="110"/>
        <v>0</v>
      </c>
      <c r="O1460" t="str">
        <f t="shared" si="114"/>
        <v/>
      </c>
      <c r="P1460" t="str">
        <f>IF(O1460=1,COUNTIF($O$2:O1460,1),"")</f>
        <v/>
      </c>
      <c r="Q1460" t="str">
        <f>IFERROR(INDEX($M$2:$M$2388,MATCH(ROWS($P$2:P1460),$P$2:$P$2388,0)),"")</f>
        <v/>
      </c>
    </row>
    <row r="1461" spans="1:17" ht="15" x14ac:dyDescent="0.25">
      <c r="A1461" s="10">
        <v>1557</v>
      </c>
      <c r="B1461" s="10" t="s">
        <v>4999</v>
      </c>
      <c r="C1461" s="880">
        <f t="shared" si="111"/>
        <v>-99.138599999999997</v>
      </c>
      <c r="D1461" s="880">
        <f t="shared" si="112"/>
        <v>19.434100000000001</v>
      </c>
      <c r="E1461" s="10">
        <v>-99.138610999999997</v>
      </c>
      <c r="F1461" s="10">
        <v>19.434166000000001</v>
      </c>
      <c r="G1461" s="10">
        <v>-6</v>
      </c>
      <c r="H1461" s="10" t="s">
        <v>1975</v>
      </c>
      <c r="I1461" s="10" t="s">
        <v>4919</v>
      </c>
      <c r="J1461" s="10" t="s">
        <v>4920</v>
      </c>
      <c r="K1461" s="10" t="s">
        <v>4921</v>
      </c>
      <c r="L1461" s="65" t="str">
        <f t="shared" si="113"/>
        <v>Mexico City|Mexico|-99,138611|19,434166|-6:00 America</v>
      </c>
      <c r="M1461" s="10" t="s">
        <v>5000</v>
      </c>
      <c r="N1461" s="10">
        <f t="shared" si="110"/>
        <v>0</v>
      </c>
      <c r="O1461" t="str">
        <f t="shared" si="114"/>
        <v/>
      </c>
      <c r="P1461" t="str">
        <f>IF(O1461=1,COUNTIF($O$2:O1461,1),"")</f>
        <v/>
      </c>
      <c r="Q1461" t="str">
        <f>IFERROR(INDEX($M$2:$M$2388,MATCH(ROWS($P$2:P1461),$P$2:$P$2388,0)),"")</f>
        <v/>
      </c>
    </row>
    <row r="1462" spans="1:17" ht="15" x14ac:dyDescent="0.25">
      <c r="A1462" s="10">
        <v>1575</v>
      </c>
      <c r="B1462" s="10" t="s">
        <v>5001</v>
      </c>
      <c r="C1462" s="880">
        <f t="shared" si="111"/>
        <v>-100.31659999999999</v>
      </c>
      <c r="D1462" s="880">
        <f t="shared" si="112"/>
        <v>25.666599999999999</v>
      </c>
      <c r="E1462" s="10">
        <v>-100.316666</v>
      </c>
      <c r="F1462" s="10">
        <v>25.666665999999999</v>
      </c>
      <c r="G1462" s="10">
        <v>-6</v>
      </c>
      <c r="H1462" s="10" t="s">
        <v>1975</v>
      </c>
      <c r="I1462" s="10" t="s">
        <v>4919</v>
      </c>
      <c r="J1462" s="10" t="s">
        <v>4920</v>
      </c>
      <c r="K1462" s="10" t="s">
        <v>4926</v>
      </c>
      <c r="L1462" s="65" t="str">
        <f t="shared" si="113"/>
        <v>Monterrey|Mexico|-100,316666|25,666666|-6:00 America</v>
      </c>
      <c r="M1462" s="10" t="s">
        <v>5002</v>
      </c>
      <c r="N1462" s="10">
        <f t="shared" si="110"/>
        <v>0</v>
      </c>
      <c r="O1462" t="str">
        <f t="shared" si="114"/>
        <v/>
      </c>
      <c r="P1462" t="str">
        <f>IF(O1462=1,COUNTIF($O$2:O1462,1),"")</f>
        <v/>
      </c>
      <c r="Q1462" t="str">
        <f>IFERROR(INDEX($M$2:$M$2388,MATCH(ROWS($P$2:P1462),$P$2:$P$2388,0)),"")</f>
        <v/>
      </c>
    </row>
    <row r="1463" spans="1:17" ht="15" x14ac:dyDescent="0.25">
      <c r="A1463" s="10">
        <v>1574</v>
      </c>
      <c r="B1463" s="10" t="s">
        <v>5003</v>
      </c>
      <c r="C1463" s="880">
        <f t="shared" si="111"/>
        <v>-101.11660000000001</v>
      </c>
      <c r="D1463" s="880">
        <f t="shared" si="112"/>
        <v>19.7</v>
      </c>
      <c r="E1463" s="10">
        <v>-101.116669</v>
      </c>
      <c r="F1463" s="10">
        <v>19.700001</v>
      </c>
      <c r="G1463" s="10">
        <v>-6</v>
      </c>
      <c r="H1463" s="10" t="s">
        <v>1975</v>
      </c>
      <c r="I1463" s="10" t="s">
        <v>4919</v>
      </c>
      <c r="J1463" s="10" t="s">
        <v>4920</v>
      </c>
      <c r="K1463" s="10" t="s">
        <v>4921</v>
      </c>
      <c r="L1463" s="65" t="str">
        <f t="shared" si="113"/>
        <v>Morelia|Mexico|-101,116669|19,700001|-6:00 America</v>
      </c>
      <c r="M1463" s="10" t="s">
        <v>5004</v>
      </c>
      <c r="N1463" s="10">
        <f t="shared" si="110"/>
        <v>0</v>
      </c>
      <c r="O1463" t="str">
        <f t="shared" si="114"/>
        <v/>
      </c>
      <c r="P1463" t="str">
        <f>IF(O1463=1,COUNTIF($O$2:O1463,1),"")</f>
        <v/>
      </c>
      <c r="Q1463" t="str">
        <f>IFERROR(INDEX($M$2:$M$2388,MATCH(ROWS($P$2:P1463),$P$2:$P$2388,0)),"")</f>
        <v/>
      </c>
    </row>
    <row r="1464" spans="1:17" ht="15" x14ac:dyDescent="0.25">
      <c r="A1464" s="10">
        <v>1545</v>
      </c>
      <c r="B1464" s="10" t="s">
        <v>5005</v>
      </c>
      <c r="C1464" s="880">
        <f t="shared" si="111"/>
        <v>-99.239599999999996</v>
      </c>
      <c r="D1464" s="880">
        <f t="shared" si="112"/>
        <v>19.4785</v>
      </c>
      <c r="E1464" s="10">
        <v>-99.239632</v>
      </c>
      <c r="F1464" s="10">
        <v>19.478508000000001</v>
      </c>
      <c r="G1464" s="10">
        <v>-6</v>
      </c>
      <c r="H1464" s="10" t="s">
        <v>1975</v>
      </c>
      <c r="I1464" s="10" t="s">
        <v>4919</v>
      </c>
      <c r="J1464" s="10" t="s">
        <v>4920</v>
      </c>
      <c r="K1464" s="10" t="s">
        <v>4921</v>
      </c>
      <c r="L1464" s="65" t="str">
        <f t="shared" si="113"/>
        <v>Naucalpan de Juarez|Mexico|-99,239632|19,478508|-6:00 America</v>
      </c>
      <c r="M1464" s="10" t="s">
        <v>5006</v>
      </c>
      <c r="N1464" s="10">
        <f t="shared" si="110"/>
        <v>0</v>
      </c>
      <c r="O1464" t="str">
        <f t="shared" si="114"/>
        <v/>
      </c>
      <c r="P1464" t="str">
        <f>IF(O1464=1,COUNTIF($O$2:O1464,1),"")</f>
        <v/>
      </c>
      <c r="Q1464" t="str">
        <f>IFERROR(INDEX($M$2:$M$2388,MATCH(ROWS($P$2:P1464),$P$2:$P$2388,0)),"")</f>
        <v/>
      </c>
    </row>
    <row r="1465" spans="1:17" ht="15" x14ac:dyDescent="0.25">
      <c r="A1465" s="10">
        <v>1544</v>
      </c>
      <c r="B1465" s="10" t="s">
        <v>5007</v>
      </c>
      <c r="C1465" s="880">
        <f t="shared" si="111"/>
        <v>-99.313000000000002</v>
      </c>
      <c r="D1465" s="880">
        <f t="shared" si="112"/>
        <v>19.6219</v>
      </c>
      <c r="E1465" s="10">
        <v>-99.313057000000001</v>
      </c>
      <c r="F1465" s="10">
        <v>19.621943999999999</v>
      </c>
      <c r="G1465" s="10">
        <v>-6</v>
      </c>
      <c r="H1465" s="10" t="s">
        <v>1975</v>
      </c>
      <c r="I1465" s="10" t="s">
        <v>4919</v>
      </c>
      <c r="J1465" s="10" t="s">
        <v>4920</v>
      </c>
      <c r="K1465" s="10" t="s">
        <v>4921</v>
      </c>
      <c r="L1465" s="65" t="str">
        <f t="shared" si="113"/>
        <v>Nicolas Romero|Mexico|-99,313057|19,621944|-6:00 America</v>
      </c>
      <c r="M1465" s="10" t="s">
        <v>5008</v>
      </c>
      <c r="N1465" s="10">
        <f t="shared" si="110"/>
        <v>0</v>
      </c>
      <c r="O1465" t="str">
        <f t="shared" si="114"/>
        <v/>
      </c>
      <c r="P1465" t="str">
        <f>IF(O1465=1,COUNTIF($O$2:O1465,1),"")</f>
        <v/>
      </c>
      <c r="Q1465" t="str">
        <f>IFERROR(INDEX($M$2:$M$2388,MATCH(ROWS($P$2:P1465),$P$2:$P$2388,0)),"")</f>
        <v/>
      </c>
    </row>
    <row r="1466" spans="1:17" ht="15" x14ac:dyDescent="0.25">
      <c r="A1466" s="10">
        <v>1543</v>
      </c>
      <c r="B1466" s="10" t="s">
        <v>5009</v>
      </c>
      <c r="C1466" s="880">
        <f t="shared" si="111"/>
        <v>-99.516599999999997</v>
      </c>
      <c r="D1466" s="880">
        <f t="shared" si="112"/>
        <v>27.5</v>
      </c>
      <c r="E1466" s="10">
        <v>-99.516670000000005</v>
      </c>
      <c r="F1466" s="10">
        <v>27.5</v>
      </c>
      <c r="G1466" s="10">
        <v>-6</v>
      </c>
      <c r="H1466" s="10" t="s">
        <v>1975</v>
      </c>
      <c r="I1466" s="10" t="s">
        <v>4919</v>
      </c>
      <c r="J1466" s="10" t="s">
        <v>4920</v>
      </c>
      <c r="K1466" s="10" t="s">
        <v>4926</v>
      </c>
      <c r="L1466" s="65" t="str">
        <f t="shared" si="113"/>
        <v>Nuevo Laredo|Mexico|-99,516670|27,500000|-6:00 America</v>
      </c>
      <c r="M1466" s="10" t="s">
        <v>5010</v>
      </c>
      <c r="N1466" s="10">
        <f t="shared" si="110"/>
        <v>0</v>
      </c>
      <c r="O1466" t="str">
        <f t="shared" si="114"/>
        <v/>
      </c>
      <c r="P1466" t="str">
        <f>IF(O1466=1,COUNTIF($O$2:O1466,1),"")</f>
        <v/>
      </c>
      <c r="Q1466" t="str">
        <f>IFERROR(INDEX($M$2:$M$2388,MATCH(ROWS($P$2:P1466),$P$2:$P$2388,0)),"")</f>
        <v/>
      </c>
    </row>
    <row r="1467" spans="1:17" ht="15" x14ac:dyDescent="0.25">
      <c r="A1467" s="10">
        <v>1542</v>
      </c>
      <c r="B1467" s="10" t="s">
        <v>5011</v>
      </c>
      <c r="C1467" s="880">
        <f t="shared" si="111"/>
        <v>-96.7166</v>
      </c>
      <c r="D1467" s="880">
        <f t="shared" si="112"/>
        <v>17.049900000000001</v>
      </c>
      <c r="E1467" s="10">
        <v>-96.716667000000001</v>
      </c>
      <c r="F1467" s="10">
        <v>17.049999</v>
      </c>
      <c r="G1467" s="10">
        <v>-6</v>
      </c>
      <c r="H1467" s="10" t="s">
        <v>1975</v>
      </c>
      <c r="I1467" s="10" t="s">
        <v>4919</v>
      </c>
      <c r="J1467" s="10" t="s">
        <v>4920</v>
      </c>
      <c r="K1467" s="10" t="s">
        <v>4921</v>
      </c>
      <c r="L1467" s="65" t="str">
        <f t="shared" si="113"/>
        <v>Oaxaca de Juarez|Mexico|-96,716667|17,049999|-6:00 America</v>
      </c>
      <c r="M1467" s="10" t="s">
        <v>5012</v>
      </c>
      <c r="N1467" s="10">
        <f t="shared" si="110"/>
        <v>0</v>
      </c>
      <c r="O1467" t="str">
        <f t="shared" si="114"/>
        <v/>
      </c>
      <c r="P1467" t="str">
        <f>IF(O1467=1,COUNTIF($O$2:O1467,1),"")</f>
        <v/>
      </c>
      <c r="Q1467" t="str">
        <f>IFERROR(INDEX($M$2:$M$2388,MATCH(ROWS($P$2:P1467),$P$2:$P$2388,0)),"")</f>
        <v/>
      </c>
    </row>
    <row r="1468" spans="1:17" ht="15" x14ac:dyDescent="0.25">
      <c r="A1468" s="10">
        <v>1541</v>
      </c>
      <c r="B1468" s="10" t="s">
        <v>5013</v>
      </c>
      <c r="C1468" s="880">
        <f t="shared" si="111"/>
        <v>-98.733199999999997</v>
      </c>
      <c r="D1468" s="880">
        <f t="shared" si="112"/>
        <v>20.116900000000001</v>
      </c>
      <c r="E1468" s="10">
        <v>-98.733292000000006</v>
      </c>
      <c r="F1468" s="10">
        <v>20.116973999999999</v>
      </c>
      <c r="G1468" s="10">
        <v>-6</v>
      </c>
      <c r="H1468" s="10" t="s">
        <v>1975</v>
      </c>
      <c r="I1468" s="10" t="s">
        <v>4919</v>
      </c>
      <c r="J1468" s="10" t="s">
        <v>4920</v>
      </c>
      <c r="K1468" s="10" t="s">
        <v>4921</v>
      </c>
      <c r="L1468" s="65" t="str">
        <f t="shared" si="113"/>
        <v>Pachuca de Soto|Mexico|-98,733292|20,116974|-6:00 America</v>
      </c>
      <c r="M1468" s="10" t="s">
        <v>5014</v>
      </c>
      <c r="N1468" s="10">
        <f t="shared" si="110"/>
        <v>0</v>
      </c>
      <c r="O1468" t="str">
        <f t="shared" si="114"/>
        <v/>
      </c>
      <c r="P1468" t="str">
        <f>IF(O1468=1,COUNTIF($O$2:O1468,1),"")</f>
        <v/>
      </c>
      <c r="Q1468" t="str">
        <f>IFERROR(INDEX($M$2:$M$2388,MATCH(ROWS($P$2:P1468),$P$2:$P$2388,0)),"")</f>
        <v/>
      </c>
    </row>
    <row r="1469" spans="1:17" ht="15" x14ac:dyDescent="0.25">
      <c r="A1469" s="10">
        <v>1540</v>
      </c>
      <c r="B1469" s="10" t="s">
        <v>5015</v>
      </c>
      <c r="C1469" s="880">
        <f t="shared" si="111"/>
        <v>-98.1999</v>
      </c>
      <c r="D1469" s="880">
        <f t="shared" si="112"/>
        <v>19.049900000000001</v>
      </c>
      <c r="E1469" s="10">
        <v>-98.199996999999996</v>
      </c>
      <c r="F1469" s="10">
        <v>19.049999</v>
      </c>
      <c r="G1469" s="10">
        <v>-6</v>
      </c>
      <c r="H1469" s="10" t="s">
        <v>1975</v>
      </c>
      <c r="I1469" s="10" t="s">
        <v>4919</v>
      </c>
      <c r="J1469" s="10" t="s">
        <v>4920</v>
      </c>
      <c r="K1469" s="10" t="s">
        <v>4921</v>
      </c>
      <c r="L1469" s="65" t="str">
        <f t="shared" si="113"/>
        <v>Puebla de Zaragoza|Mexico|-98,199997|19,049999|-6:00 America</v>
      </c>
      <c r="M1469" s="10" t="s">
        <v>5016</v>
      </c>
      <c r="N1469" s="10">
        <f t="shared" si="110"/>
        <v>0</v>
      </c>
      <c r="O1469" t="str">
        <f t="shared" si="114"/>
        <v/>
      </c>
      <c r="P1469" t="str">
        <f>IF(O1469=1,COUNTIF($O$2:O1469,1),"")</f>
        <v/>
      </c>
      <c r="Q1469" t="str">
        <f>IFERROR(INDEX($M$2:$M$2388,MATCH(ROWS($P$2:P1469),$P$2:$P$2388,0)),"")</f>
        <v/>
      </c>
    </row>
    <row r="1470" spans="1:17" ht="15" x14ac:dyDescent="0.25">
      <c r="A1470" s="10">
        <v>1573</v>
      </c>
      <c r="B1470" s="10" t="s">
        <v>5017</v>
      </c>
      <c r="C1470" s="880">
        <f t="shared" si="111"/>
        <v>-100.38330000000001</v>
      </c>
      <c r="D1470" s="880">
        <f t="shared" si="112"/>
        <v>20.6</v>
      </c>
      <c r="E1470" s="10">
        <v>-100.383331</v>
      </c>
      <c r="F1470" s="10">
        <v>20.6</v>
      </c>
      <c r="G1470" s="10">
        <v>-6</v>
      </c>
      <c r="H1470" s="10" t="s">
        <v>1975</v>
      </c>
      <c r="I1470" s="10" t="s">
        <v>4919</v>
      </c>
      <c r="J1470" s="10" t="s">
        <v>4920</v>
      </c>
      <c r="K1470" s="10" t="s">
        <v>4921</v>
      </c>
      <c r="L1470" s="65" t="str">
        <f t="shared" si="113"/>
        <v>Queretaro|Mexico|-100,383331|20,600000|-6:00 America</v>
      </c>
      <c r="M1470" s="10" t="s">
        <v>5018</v>
      </c>
      <c r="N1470" s="10">
        <f t="shared" si="110"/>
        <v>0</v>
      </c>
      <c r="O1470" t="str">
        <f t="shared" si="114"/>
        <v/>
      </c>
      <c r="P1470" t="str">
        <f>IF(O1470=1,COUNTIF($O$2:O1470,1),"")</f>
        <v/>
      </c>
      <c r="Q1470" t="str">
        <f>IFERROR(INDEX($M$2:$M$2388,MATCH(ROWS($P$2:P1470),$P$2:$P$2388,0)),"")</f>
        <v/>
      </c>
    </row>
    <row r="1471" spans="1:17" ht="15" x14ac:dyDescent="0.25">
      <c r="A1471" s="10">
        <v>1539</v>
      </c>
      <c r="B1471" s="10" t="s">
        <v>5019</v>
      </c>
      <c r="C1471" s="880">
        <f t="shared" si="111"/>
        <v>-98.283299999999997</v>
      </c>
      <c r="D1471" s="880">
        <f t="shared" si="112"/>
        <v>26.083300000000001</v>
      </c>
      <c r="E1471" s="10">
        <v>-98.283332999999999</v>
      </c>
      <c r="F1471" s="10">
        <v>26.083334000000001</v>
      </c>
      <c r="G1471" s="10">
        <v>-6</v>
      </c>
      <c r="H1471" s="10" t="s">
        <v>1975</v>
      </c>
      <c r="I1471" s="10" t="s">
        <v>4919</v>
      </c>
      <c r="J1471" s="10" t="s">
        <v>4920</v>
      </c>
      <c r="K1471" s="10" t="s">
        <v>4926</v>
      </c>
      <c r="L1471" s="65" t="str">
        <f t="shared" si="113"/>
        <v>Reynosa|Mexico|-98,283333|26,083334|-6:00 America</v>
      </c>
      <c r="M1471" s="10" t="s">
        <v>5020</v>
      </c>
      <c r="N1471" s="10">
        <f t="shared" si="110"/>
        <v>0</v>
      </c>
      <c r="O1471" t="str">
        <f t="shared" si="114"/>
        <v/>
      </c>
      <c r="P1471" t="str">
        <f>IF(O1471=1,COUNTIF($O$2:O1471,1),"")</f>
        <v/>
      </c>
      <c r="Q1471" t="str">
        <f>IFERROR(INDEX($M$2:$M$2388,MATCH(ROWS($P$2:P1471),$P$2:$P$2388,0)),"")</f>
        <v/>
      </c>
    </row>
    <row r="1472" spans="1:17" ht="15" x14ac:dyDescent="0.25">
      <c r="A1472" s="10">
        <v>1572</v>
      </c>
      <c r="B1472" s="10" t="s">
        <v>5021</v>
      </c>
      <c r="C1472" s="880">
        <f t="shared" si="111"/>
        <v>-101</v>
      </c>
      <c r="D1472" s="880">
        <f t="shared" si="112"/>
        <v>25.416599999999999</v>
      </c>
      <c r="E1472" s="10">
        <v>-101</v>
      </c>
      <c r="F1472" s="10">
        <v>25.416665999999999</v>
      </c>
      <c r="G1472" s="10">
        <v>-6</v>
      </c>
      <c r="H1472" s="10" t="s">
        <v>1975</v>
      </c>
      <c r="I1472" s="10" t="s">
        <v>4919</v>
      </c>
      <c r="J1472" s="10" t="s">
        <v>4920</v>
      </c>
      <c r="K1472" s="10" t="s">
        <v>4926</v>
      </c>
      <c r="L1472" s="65" t="str">
        <f t="shared" si="113"/>
        <v>Saltillo|Mexico|-101,000000|25,416666|-6:00 America</v>
      </c>
      <c r="M1472" s="10" t="s">
        <v>5022</v>
      </c>
      <c r="N1472" s="10">
        <f t="shared" si="110"/>
        <v>0</v>
      </c>
      <c r="O1472" t="str">
        <f t="shared" si="114"/>
        <v/>
      </c>
      <c r="P1472" t="str">
        <f>IF(O1472=1,COUNTIF($O$2:O1472,1),"")</f>
        <v/>
      </c>
      <c r="Q1472" t="str">
        <f>IFERROR(INDEX($M$2:$M$2388,MATCH(ROWS($P$2:P1472),$P$2:$P$2388,0)),"")</f>
        <v/>
      </c>
    </row>
    <row r="1473" spans="1:17" ht="15" x14ac:dyDescent="0.25">
      <c r="A1473" s="10">
        <v>1529</v>
      </c>
      <c r="B1473" s="10" t="s">
        <v>5023</v>
      </c>
      <c r="C1473" s="880">
        <f t="shared" si="111"/>
        <v>-98.15</v>
      </c>
      <c r="D1473" s="880">
        <f t="shared" si="112"/>
        <v>24.85</v>
      </c>
      <c r="E1473" s="10">
        <v>-98.150002000000001</v>
      </c>
      <c r="F1473" s="10">
        <v>24.85</v>
      </c>
      <c r="G1473" s="10">
        <v>-6</v>
      </c>
      <c r="H1473" s="10" t="s">
        <v>1975</v>
      </c>
      <c r="I1473" s="10" t="s">
        <v>4919</v>
      </c>
      <c r="J1473" s="10" t="s">
        <v>4920</v>
      </c>
      <c r="K1473" s="10" t="s">
        <v>4926</v>
      </c>
      <c r="L1473" s="65" t="str">
        <f t="shared" si="113"/>
        <v>San Fernando|Mexico|-98,150002|24,850000|-6:00 America</v>
      </c>
      <c r="M1473" s="10" t="s">
        <v>5024</v>
      </c>
      <c r="N1473" s="10">
        <f t="shared" si="110"/>
        <v>0</v>
      </c>
      <c r="O1473" t="str">
        <f t="shared" si="114"/>
        <v/>
      </c>
      <c r="P1473" t="str">
        <f>IF(O1473=1,COUNTIF($O$2:O1473,1),"")</f>
        <v/>
      </c>
      <c r="Q1473" t="str">
        <f>IFERROR(INDEX($M$2:$M$2388,MATCH(ROWS($P$2:P1473),$P$2:$P$2388,0)),"")</f>
        <v/>
      </c>
    </row>
    <row r="1474" spans="1:17" ht="15" x14ac:dyDescent="0.25">
      <c r="A1474" s="10">
        <v>1571</v>
      </c>
      <c r="B1474" s="10" t="s">
        <v>5025</v>
      </c>
      <c r="C1474" s="880">
        <f t="shared" si="111"/>
        <v>-100.9833</v>
      </c>
      <c r="D1474" s="880">
        <f t="shared" si="112"/>
        <v>22.15</v>
      </c>
      <c r="E1474" s="10">
        <v>-100.98333</v>
      </c>
      <c r="F1474" s="10">
        <v>22.15</v>
      </c>
      <c r="G1474" s="10">
        <v>-6</v>
      </c>
      <c r="H1474" s="10" t="s">
        <v>1975</v>
      </c>
      <c r="I1474" s="10" t="s">
        <v>4919</v>
      </c>
      <c r="J1474" s="10" t="s">
        <v>4920</v>
      </c>
      <c r="K1474" s="10" t="s">
        <v>4921</v>
      </c>
      <c r="L1474" s="65" t="str">
        <f t="shared" si="113"/>
        <v>San Luis Potosi|Mexico|-100,983330|22,150000|-6:00 America</v>
      </c>
      <c r="M1474" s="10" t="s">
        <v>5026</v>
      </c>
      <c r="N1474" s="10">
        <f t="shared" ref="N1474:N1537" si="115">--ISNUMBER(IFERROR(SEARCH($R$2,J1474,1),""))</f>
        <v>0</v>
      </c>
      <c r="O1474" t="str">
        <f t="shared" si="114"/>
        <v/>
      </c>
      <c r="P1474" t="str">
        <f>IF(O1474=1,COUNTIF($O$2:O1474,1),"")</f>
        <v/>
      </c>
      <c r="Q1474" t="str">
        <f>IFERROR(INDEX($M$2:$M$2388,MATCH(ROWS($P$2:P1474),$P$2:$P$2388,0)),"")</f>
        <v/>
      </c>
    </row>
    <row r="1475" spans="1:17" ht="15" x14ac:dyDescent="0.25">
      <c r="A1475" s="10">
        <v>1570</v>
      </c>
      <c r="B1475" s="10" t="s">
        <v>5027</v>
      </c>
      <c r="C1475" s="880">
        <f t="shared" ref="C1475:C1538" si="116">TRUNC(E1475,4)</f>
        <v>-100.3</v>
      </c>
      <c r="D1475" s="880">
        <f t="shared" ref="D1475:D1538" si="117">TRUNC(F1475,4)</f>
        <v>25.75</v>
      </c>
      <c r="E1475" s="10">
        <v>-100.300003</v>
      </c>
      <c r="F1475" s="10">
        <v>25.75</v>
      </c>
      <c r="G1475" s="10">
        <v>-6</v>
      </c>
      <c r="H1475" s="10" t="s">
        <v>1975</v>
      </c>
      <c r="I1475" s="10" t="s">
        <v>4919</v>
      </c>
      <c r="J1475" s="10" t="s">
        <v>4920</v>
      </c>
      <c r="K1475" s="10" t="s">
        <v>4926</v>
      </c>
      <c r="L1475" s="65" t="str">
        <f t="shared" ref="L1475:L1538" si="118">MID(M1475,1,LEN(M1475)-(LEN(K1475)-SEARCH("/",K1475)+1))</f>
        <v>San Nicolas de los Garzas|Mexico|-100,300003|25,750000|-6:00 America</v>
      </c>
      <c r="M1475" s="10" t="s">
        <v>5028</v>
      </c>
      <c r="N1475" s="10">
        <f t="shared" si="115"/>
        <v>0</v>
      </c>
      <c r="O1475" t="str">
        <f t="shared" ref="O1475:O1538" si="119">IF(N1475=0,"",--ISNUMBER(IFERROR(SEARCH($U$2,L1475,1),"")))</f>
        <v/>
      </c>
      <c r="P1475" t="str">
        <f>IF(O1475=1,COUNTIF($O$2:O1475,1),"")</f>
        <v/>
      </c>
      <c r="Q1475" t="str">
        <f>IFERROR(INDEX($M$2:$M$2388,MATCH(ROWS($P$2:P1475),$P$2:$P$2388,0)),"")</f>
        <v/>
      </c>
    </row>
    <row r="1476" spans="1:17" ht="15" x14ac:dyDescent="0.25">
      <c r="A1476" s="10">
        <v>1569</v>
      </c>
      <c r="B1476" s="10" t="s">
        <v>5029</v>
      </c>
      <c r="C1476" s="880">
        <f t="shared" si="116"/>
        <v>-100.4666</v>
      </c>
      <c r="D1476" s="880">
        <f t="shared" si="117"/>
        <v>25.683299999999999</v>
      </c>
      <c r="E1476" s="10">
        <v>-100.466667</v>
      </c>
      <c r="F1476" s="10">
        <v>25.683332</v>
      </c>
      <c r="G1476" s="10">
        <v>-6</v>
      </c>
      <c r="H1476" s="10" t="s">
        <v>1975</v>
      </c>
      <c r="I1476" s="10" t="s">
        <v>4919</v>
      </c>
      <c r="J1476" s="10" t="s">
        <v>4920</v>
      </c>
      <c r="K1476" s="10" t="s">
        <v>4926</v>
      </c>
      <c r="L1476" s="65" t="str">
        <f t="shared" si="118"/>
        <v>Santa Catarina|Mexico|-100,466667|25,683332|-6:00 America</v>
      </c>
      <c r="M1476" s="10" t="s">
        <v>5030</v>
      </c>
      <c r="N1476" s="10">
        <f t="shared" si="115"/>
        <v>0</v>
      </c>
      <c r="O1476" t="str">
        <f t="shared" si="119"/>
        <v/>
      </c>
      <c r="P1476" t="str">
        <f>IF(O1476=1,COUNTIF($O$2:O1476,1),"")</f>
        <v/>
      </c>
      <c r="Q1476" t="str">
        <f>IFERROR(INDEX($M$2:$M$2388,MATCH(ROWS($P$2:P1476),$P$2:$P$2388,0)),"")</f>
        <v/>
      </c>
    </row>
    <row r="1477" spans="1:17" ht="15" x14ac:dyDescent="0.25">
      <c r="A1477" s="10">
        <v>1538</v>
      </c>
      <c r="B1477" s="10" t="s">
        <v>5031</v>
      </c>
      <c r="C1477" s="880">
        <f t="shared" si="116"/>
        <v>-97.849900000000005</v>
      </c>
      <c r="D1477" s="880">
        <f t="shared" si="117"/>
        <v>22.2166</v>
      </c>
      <c r="E1477" s="10">
        <v>-97.849997999999999</v>
      </c>
      <c r="F1477" s="10">
        <v>22.216667000000001</v>
      </c>
      <c r="G1477" s="10">
        <v>-6</v>
      </c>
      <c r="H1477" s="10" t="s">
        <v>1975</v>
      </c>
      <c r="I1477" s="10" t="s">
        <v>4919</v>
      </c>
      <c r="J1477" s="10" t="s">
        <v>4920</v>
      </c>
      <c r="K1477" s="10" t="s">
        <v>4921</v>
      </c>
      <c r="L1477" s="65" t="str">
        <f t="shared" si="118"/>
        <v>Tampico|Mexico|-97,849998|22,216667|-6:00 America</v>
      </c>
      <c r="M1477" s="10" t="s">
        <v>5032</v>
      </c>
      <c r="N1477" s="10">
        <f t="shared" si="115"/>
        <v>0</v>
      </c>
      <c r="O1477" t="str">
        <f t="shared" si="119"/>
        <v/>
      </c>
      <c r="P1477" t="str">
        <f>IF(O1477=1,COUNTIF($O$2:O1477,1),"")</f>
        <v/>
      </c>
      <c r="Q1477" t="str">
        <f>IFERROR(INDEX($M$2:$M$2388,MATCH(ROWS($P$2:P1477),$P$2:$P$2388,0)),"")</f>
        <v/>
      </c>
    </row>
    <row r="1478" spans="1:17" ht="15" x14ac:dyDescent="0.25">
      <c r="A1478" s="10">
        <v>1537</v>
      </c>
      <c r="B1478" s="10" t="s">
        <v>5033</v>
      </c>
      <c r="C1478" s="880">
        <f t="shared" si="116"/>
        <v>-97.383300000000006</v>
      </c>
      <c r="D1478" s="880">
        <f t="shared" si="117"/>
        <v>18.45</v>
      </c>
      <c r="E1478" s="10">
        <v>-97.383330999999998</v>
      </c>
      <c r="F1478" s="10">
        <v>18.450001</v>
      </c>
      <c r="G1478" s="10">
        <v>-6</v>
      </c>
      <c r="H1478" s="10" t="s">
        <v>1975</v>
      </c>
      <c r="I1478" s="10" t="s">
        <v>4919</v>
      </c>
      <c r="J1478" s="10" t="s">
        <v>4920</v>
      </c>
      <c r="K1478" s="10" t="s">
        <v>4921</v>
      </c>
      <c r="L1478" s="65" t="str">
        <f t="shared" si="118"/>
        <v>Tehuacan|Mexico|-97,383331|18,450001|-6:00 America</v>
      </c>
      <c r="M1478" s="10" t="s">
        <v>5034</v>
      </c>
      <c r="N1478" s="10">
        <f t="shared" si="115"/>
        <v>0</v>
      </c>
      <c r="O1478" t="str">
        <f t="shared" si="119"/>
        <v/>
      </c>
      <c r="P1478" t="str">
        <f>IF(O1478=1,COUNTIF($O$2:O1478,1),"")</f>
        <v/>
      </c>
      <c r="Q1478" t="str">
        <f>IFERROR(INDEX($M$2:$M$2388,MATCH(ROWS($P$2:P1478),$P$2:$P$2388,0)),"")</f>
        <v/>
      </c>
    </row>
    <row r="1479" spans="1:17" ht="15" x14ac:dyDescent="0.25">
      <c r="A1479" s="10">
        <v>1568</v>
      </c>
      <c r="B1479" s="10" t="s">
        <v>5035</v>
      </c>
      <c r="C1479" s="880">
        <f t="shared" si="116"/>
        <v>-104.9</v>
      </c>
      <c r="D1479" s="880">
        <f t="shared" si="117"/>
        <v>21.5</v>
      </c>
      <c r="E1479" s="10">
        <v>-104.900002</v>
      </c>
      <c r="F1479" s="10">
        <v>21.5</v>
      </c>
      <c r="G1479" s="10">
        <v>-7</v>
      </c>
      <c r="H1479" s="10" t="s">
        <v>2411</v>
      </c>
      <c r="I1479" s="10" t="s">
        <v>4919</v>
      </c>
      <c r="J1479" s="10" t="s">
        <v>4920</v>
      </c>
      <c r="K1479" s="10" t="s">
        <v>4960</v>
      </c>
      <c r="L1479" s="65" t="str">
        <f t="shared" si="118"/>
        <v>Tepic|Mexico|-104,900002|21,500000|-7:00 America</v>
      </c>
      <c r="M1479" s="10" t="s">
        <v>5036</v>
      </c>
      <c r="N1479" s="10">
        <f t="shared" si="115"/>
        <v>0</v>
      </c>
      <c r="O1479" t="str">
        <f t="shared" si="119"/>
        <v/>
      </c>
      <c r="P1479" t="str">
        <f>IF(O1479=1,COUNTIF($O$2:O1479,1),"")</f>
        <v/>
      </c>
      <c r="Q1479" t="str">
        <f>IFERROR(INDEX($M$2:$M$2388,MATCH(ROWS($P$2:P1479),$P$2:$P$2388,0)),"")</f>
        <v/>
      </c>
    </row>
    <row r="1480" spans="1:17" ht="15" x14ac:dyDescent="0.25">
      <c r="A1480" s="10">
        <v>1567</v>
      </c>
      <c r="B1480" s="10" t="s">
        <v>5037</v>
      </c>
      <c r="C1480" s="880">
        <f t="shared" si="116"/>
        <v>-117.0166</v>
      </c>
      <c r="D1480" s="880">
        <f t="shared" si="117"/>
        <v>32.533299999999997</v>
      </c>
      <c r="E1480" s="10">
        <v>-117.01667</v>
      </c>
      <c r="F1480" s="10">
        <v>32.533332999999999</v>
      </c>
      <c r="G1480" s="10">
        <v>-8</v>
      </c>
      <c r="H1480" s="10" t="s">
        <v>2402</v>
      </c>
      <c r="I1480" s="10" t="s">
        <v>4919</v>
      </c>
      <c r="J1480" s="10" t="s">
        <v>4920</v>
      </c>
      <c r="K1480" s="10" t="s">
        <v>4967</v>
      </c>
      <c r="L1480" s="65" t="str">
        <f t="shared" si="118"/>
        <v>Tijuana|Mexico|-117,016670|32,533333|-8:00 America</v>
      </c>
      <c r="M1480" s="10" t="s">
        <v>5038</v>
      </c>
      <c r="N1480" s="10">
        <f t="shared" si="115"/>
        <v>0</v>
      </c>
      <c r="O1480" t="str">
        <f t="shared" si="119"/>
        <v/>
      </c>
      <c r="P1480" t="str">
        <f>IF(O1480=1,COUNTIF($O$2:O1480,1),"")</f>
        <v/>
      </c>
      <c r="Q1480" t="str">
        <f>IFERROR(INDEX($M$2:$M$2388,MATCH(ROWS($P$2:P1480),$P$2:$P$2388,0)),"")</f>
        <v/>
      </c>
    </row>
    <row r="1481" spans="1:17" ht="15" x14ac:dyDescent="0.25">
      <c r="A1481" s="10">
        <v>1535</v>
      </c>
      <c r="B1481" s="10" t="s">
        <v>5039</v>
      </c>
      <c r="C1481" s="880">
        <f t="shared" si="116"/>
        <v>-99.221599999999995</v>
      </c>
      <c r="D1481" s="880">
        <f t="shared" si="117"/>
        <v>19.526900000000001</v>
      </c>
      <c r="E1481" s="10">
        <v>-99.221664000000004</v>
      </c>
      <c r="F1481" s="10">
        <v>19.526945000000001</v>
      </c>
      <c r="G1481" s="10">
        <v>-6</v>
      </c>
      <c r="H1481" s="10" t="s">
        <v>1975</v>
      </c>
      <c r="I1481" s="10" t="s">
        <v>4919</v>
      </c>
      <c r="J1481" s="10" t="s">
        <v>4920</v>
      </c>
      <c r="K1481" s="10" t="s">
        <v>4921</v>
      </c>
      <c r="L1481" s="65" t="str">
        <f t="shared" si="118"/>
        <v>Tlalnepantla|Mexico|-99,221664|19,526945|-6:00 America</v>
      </c>
      <c r="M1481" s="10" t="s">
        <v>5040</v>
      </c>
      <c r="N1481" s="10">
        <f t="shared" si="115"/>
        <v>0</v>
      </c>
      <c r="O1481" t="str">
        <f t="shared" si="119"/>
        <v/>
      </c>
      <c r="P1481" t="str">
        <f>IF(O1481=1,COUNTIF($O$2:O1481,1),"")</f>
        <v/>
      </c>
      <c r="Q1481" t="str">
        <f>IFERROR(INDEX($M$2:$M$2388,MATCH(ROWS($P$2:P1481),$P$2:$P$2388,0)),"")</f>
        <v/>
      </c>
    </row>
    <row r="1482" spans="1:17" ht="15" x14ac:dyDescent="0.25">
      <c r="A1482" s="10">
        <v>1566</v>
      </c>
      <c r="B1482" s="10" t="s">
        <v>5041</v>
      </c>
      <c r="C1482" s="880">
        <f t="shared" si="116"/>
        <v>-103.31659999999999</v>
      </c>
      <c r="D1482" s="880">
        <f t="shared" si="117"/>
        <v>20.65</v>
      </c>
      <c r="E1482" s="10">
        <v>-103.316666</v>
      </c>
      <c r="F1482" s="10">
        <v>20.65</v>
      </c>
      <c r="G1482" s="10">
        <v>-6</v>
      </c>
      <c r="H1482" s="10" t="s">
        <v>1975</v>
      </c>
      <c r="I1482" s="10" t="s">
        <v>4919</v>
      </c>
      <c r="J1482" s="10" t="s">
        <v>4920</v>
      </c>
      <c r="K1482" s="10" t="s">
        <v>4921</v>
      </c>
      <c r="L1482" s="65" t="str">
        <f t="shared" si="118"/>
        <v>Tlaquepaque|Mexico|-103,316666|20,650000|-6:00 America</v>
      </c>
      <c r="M1482" s="10" t="s">
        <v>5042</v>
      </c>
      <c r="N1482" s="10">
        <f t="shared" si="115"/>
        <v>0</v>
      </c>
      <c r="O1482" t="str">
        <f t="shared" si="119"/>
        <v/>
      </c>
      <c r="P1482" t="str">
        <f>IF(O1482=1,COUNTIF($O$2:O1482,1),"")</f>
        <v/>
      </c>
      <c r="Q1482" t="str">
        <f>IFERROR(INDEX($M$2:$M$2388,MATCH(ROWS($P$2:P1482),$P$2:$P$2388,0)),"")</f>
        <v/>
      </c>
    </row>
    <row r="1483" spans="1:17" ht="15" x14ac:dyDescent="0.25">
      <c r="A1483" s="10">
        <v>1534</v>
      </c>
      <c r="B1483" s="10" t="s">
        <v>5043</v>
      </c>
      <c r="C1483" s="880">
        <f t="shared" si="116"/>
        <v>-99.667199999999994</v>
      </c>
      <c r="D1483" s="880">
        <f t="shared" si="117"/>
        <v>19.2883</v>
      </c>
      <c r="E1483" s="10">
        <v>-99.667220999999998</v>
      </c>
      <c r="F1483" s="10">
        <v>19.288333999999999</v>
      </c>
      <c r="G1483" s="10">
        <v>-6</v>
      </c>
      <c r="H1483" s="10" t="s">
        <v>1975</v>
      </c>
      <c r="I1483" s="10" t="s">
        <v>4919</v>
      </c>
      <c r="J1483" s="10" t="s">
        <v>4920</v>
      </c>
      <c r="K1483" s="10" t="s">
        <v>4921</v>
      </c>
      <c r="L1483" s="65" t="str">
        <f t="shared" si="118"/>
        <v>Toluca|Mexico|-99,667221|19,288334|-6:00 America</v>
      </c>
      <c r="M1483" s="10" t="s">
        <v>5044</v>
      </c>
      <c r="N1483" s="10">
        <f t="shared" si="115"/>
        <v>0</v>
      </c>
      <c r="O1483" t="str">
        <f t="shared" si="119"/>
        <v/>
      </c>
      <c r="P1483" t="str">
        <f>IF(O1483=1,COUNTIF($O$2:O1483,1),"")</f>
        <v/>
      </c>
      <c r="Q1483" t="str">
        <f>IFERROR(INDEX($M$2:$M$2388,MATCH(ROWS($P$2:P1483),$P$2:$P$2388,0)),"")</f>
        <v/>
      </c>
    </row>
    <row r="1484" spans="1:17" ht="15" x14ac:dyDescent="0.25">
      <c r="A1484" s="10">
        <v>1565</v>
      </c>
      <c r="B1484" s="10" t="s">
        <v>5045</v>
      </c>
      <c r="C1484" s="880">
        <f t="shared" si="116"/>
        <v>-103.2333</v>
      </c>
      <c r="D1484" s="880">
        <f t="shared" si="117"/>
        <v>20.616599999999998</v>
      </c>
      <c r="E1484" s="10">
        <v>-103.23333</v>
      </c>
      <c r="F1484" s="10">
        <v>20.616667</v>
      </c>
      <c r="G1484" s="10">
        <v>-6</v>
      </c>
      <c r="H1484" s="10" t="s">
        <v>1975</v>
      </c>
      <c r="I1484" s="10" t="s">
        <v>4919</v>
      </c>
      <c r="J1484" s="10" t="s">
        <v>4920</v>
      </c>
      <c r="K1484" s="10" t="s">
        <v>4921</v>
      </c>
      <c r="L1484" s="65" t="str">
        <f t="shared" si="118"/>
        <v>Tonala|Mexico|-103,233330|20,616667|-6:00 America</v>
      </c>
      <c r="M1484" s="10" t="s">
        <v>5046</v>
      </c>
      <c r="N1484" s="10">
        <f t="shared" si="115"/>
        <v>0</v>
      </c>
      <c r="O1484" t="str">
        <f t="shared" si="119"/>
        <v/>
      </c>
      <c r="P1484" t="str">
        <f>IF(O1484=1,COUNTIF($O$2:O1484,1),"")</f>
        <v/>
      </c>
      <c r="Q1484" t="str">
        <f>IFERROR(INDEX($M$2:$M$2388,MATCH(ROWS($P$2:P1484),$P$2:$P$2388,0)),"")</f>
        <v/>
      </c>
    </row>
    <row r="1485" spans="1:17" ht="15" x14ac:dyDescent="0.25">
      <c r="A1485" s="10">
        <v>1564</v>
      </c>
      <c r="B1485" s="10" t="s">
        <v>5047</v>
      </c>
      <c r="C1485" s="880">
        <f t="shared" si="116"/>
        <v>-103.4333</v>
      </c>
      <c r="D1485" s="880">
        <f t="shared" si="117"/>
        <v>25.549900000000001</v>
      </c>
      <c r="E1485" s="10">
        <v>-103.433334</v>
      </c>
      <c r="F1485" s="10">
        <v>25.549999</v>
      </c>
      <c r="G1485" s="10">
        <v>-6</v>
      </c>
      <c r="H1485" s="10" t="s">
        <v>1975</v>
      </c>
      <c r="I1485" s="10" t="s">
        <v>4919</v>
      </c>
      <c r="J1485" s="10" t="s">
        <v>4920</v>
      </c>
      <c r="K1485" s="10" t="s">
        <v>4926</v>
      </c>
      <c r="L1485" s="65" t="str">
        <f t="shared" si="118"/>
        <v>Torreon|Mexico|-103,433334|25,549999|-6:00 America</v>
      </c>
      <c r="M1485" s="10" t="s">
        <v>5048</v>
      </c>
      <c r="N1485" s="10">
        <f t="shared" si="115"/>
        <v>0</v>
      </c>
      <c r="O1485" t="str">
        <f t="shared" si="119"/>
        <v/>
      </c>
      <c r="P1485" t="str">
        <f>IF(O1485=1,COUNTIF($O$2:O1485,1),"")</f>
        <v/>
      </c>
      <c r="Q1485" t="str">
        <f>IFERROR(INDEX($M$2:$M$2388,MATCH(ROWS($P$2:P1485),$P$2:$P$2388,0)),"")</f>
        <v/>
      </c>
    </row>
    <row r="1486" spans="1:17" ht="15" x14ac:dyDescent="0.25">
      <c r="A1486" s="10">
        <v>1533</v>
      </c>
      <c r="B1486" s="10" t="s">
        <v>5049</v>
      </c>
      <c r="C1486" s="880">
        <f t="shared" si="116"/>
        <v>-93.116600000000005</v>
      </c>
      <c r="D1486" s="880">
        <f t="shared" si="117"/>
        <v>16.75</v>
      </c>
      <c r="E1486" s="10">
        <v>-93.116669000000002</v>
      </c>
      <c r="F1486" s="10">
        <v>16.75</v>
      </c>
      <c r="G1486" s="10">
        <v>-6</v>
      </c>
      <c r="H1486" s="10" t="s">
        <v>1975</v>
      </c>
      <c r="I1486" s="10" t="s">
        <v>4919</v>
      </c>
      <c r="J1486" s="10" t="s">
        <v>4920</v>
      </c>
      <c r="K1486" s="10" t="s">
        <v>4929</v>
      </c>
      <c r="L1486" s="65" t="str">
        <f t="shared" si="118"/>
        <v>Tuxtla Gutierrez|Mexico|-93,116669|16,750000|-6:00 America</v>
      </c>
      <c r="M1486" s="10" t="s">
        <v>5050</v>
      </c>
      <c r="N1486" s="10">
        <f t="shared" si="115"/>
        <v>0</v>
      </c>
      <c r="O1486" t="str">
        <f t="shared" si="119"/>
        <v/>
      </c>
      <c r="P1486" t="str">
        <f>IF(O1486=1,COUNTIF($O$2:O1486,1),"")</f>
        <v/>
      </c>
      <c r="Q1486" t="str">
        <f>IFERROR(INDEX($M$2:$M$2388,MATCH(ROWS($P$2:P1486),$P$2:$P$2388,0)),"")</f>
        <v/>
      </c>
    </row>
    <row r="1487" spans="1:17" ht="15" x14ac:dyDescent="0.25">
      <c r="A1487" s="10">
        <v>1563</v>
      </c>
      <c r="B1487" s="10" t="s">
        <v>5051</v>
      </c>
      <c r="C1487" s="880">
        <f t="shared" si="116"/>
        <v>-102.06659999999999</v>
      </c>
      <c r="D1487" s="880">
        <f t="shared" si="117"/>
        <v>19.416599999999999</v>
      </c>
      <c r="E1487" s="10">
        <v>-102.066666</v>
      </c>
      <c r="F1487" s="10">
        <v>19.416665999999999</v>
      </c>
      <c r="G1487" s="10">
        <v>-6</v>
      </c>
      <c r="H1487" s="10" t="s">
        <v>1975</v>
      </c>
      <c r="I1487" s="10" t="s">
        <v>4919</v>
      </c>
      <c r="J1487" s="10" t="s">
        <v>4920</v>
      </c>
      <c r="K1487" s="10" t="s">
        <v>4921</v>
      </c>
      <c r="L1487" s="65" t="str">
        <f t="shared" si="118"/>
        <v>Uruapan del Progreso|Mexico|-102,066666|19,416666|-6:00 America</v>
      </c>
      <c r="M1487" s="10" t="s">
        <v>5052</v>
      </c>
      <c r="N1487" s="10">
        <f t="shared" si="115"/>
        <v>0</v>
      </c>
      <c r="O1487" t="str">
        <f t="shared" si="119"/>
        <v/>
      </c>
      <c r="P1487" t="str">
        <f>IF(O1487=1,COUNTIF($O$2:O1487,1),"")</f>
        <v/>
      </c>
      <c r="Q1487" t="str">
        <f>IFERROR(INDEX($M$2:$M$2388,MATCH(ROWS($P$2:P1487),$P$2:$P$2388,0)),"")</f>
        <v/>
      </c>
    </row>
    <row r="1488" spans="1:17" ht="15" x14ac:dyDescent="0.25">
      <c r="A1488" s="10">
        <v>1532</v>
      </c>
      <c r="B1488" s="10" t="s">
        <v>5053</v>
      </c>
      <c r="C1488" s="880">
        <f t="shared" si="116"/>
        <v>-96.133300000000006</v>
      </c>
      <c r="D1488" s="880">
        <f t="shared" si="117"/>
        <v>19.2</v>
      </c>
      <c r="E1488" s="10">
        <v>-96.133330999999998</v>
      </c>
      <c r="F1488" s="10">
        <v>19.200001</v>
      </c>
      <c r="G1488" s="10">
        <v>-6</v>
      </c>
      <c r="H1488" s="10" t="s">
        <v>1975</v>
      </c>
      <c r="I1488" s="10" t="s">
        <v>4919</v>
      </c>
      <c r="J1488" s="10" t="s">
        <v>4920</v>
      </c>
      <c r="K1488" s="10" t="s">
        <v>4921</v>
      </c>
      <c r="L1488" s="65" t="str">
        <f t="shared" si="118"/>
        <v>Veracruz|Mexico|-96,133331|19,200001|-6:00 America</v>
      </c>
      <c r="M1488" s="10" t="s">
        <v>5054</v>
      </c>
      <c r="N1488" s="10">
        <f t="shared" si="115"/>
        <v>0</v>
      </c>
      <c r="O1488" t="str">
        <f t="shared" si="119"/>
        <v/>
      </c>
      <c r="P1488" t="str">
        <f>IF(O1488=1,COUNTIF($O$2:O1488,1),"")</f>
        <v/>
      </c>
      <c r="Q1488" t="str">
        <f>IFERROR(INDEX($M$2:$M$2388,MATCH(ROWS($P$2:P1488),$P$2:$P$2388,0)),"")</f>
        <v/>
      </c>
    </row>
    <row r="1489" spans="1:17" ht="15" x14ac:dyDescent="0.25">
      <c r="A1489" s="10">
        <v>1531</v>
      </c>
      <c r="B1489" s="10" t="s">
        <v>5055</v>
      </c>
      <c r="C1489" s="880">
        <f t="shared" si="116"/>
        <v>-92.916600000000003</v>
      </c>
      <c r="D1489" s="880">
        <f t="shared" si="117"/>
        <v>17.9833</v>
      </c>
      <c r="E1489" s="10">
        <v>-92.916663999999997</v>
      </c>
      <c r="F1489" s="10">
        <v>17.983333999999999</v>
      </c>
      <c r="G1489" s="10">
        <v>-6</v>
      </c>
      <c r="H1489" s="10" t="s">
        <v>1975</v>
      </c>
      <c r="I1489" s="10" t="s">
        <v>4919</v>
      </c>
      <c r="J1489" s="10" t="s">
        <v>4920</v>
      </c>
      <c r="K1489" s="10" t="s">
        <v>4929</v>
      </c>
      <c r="L1489" s="65" t="str">
        <f t="shared" si="118"/>
        <v>Villahermosa|Mexico|-92,916664|17,983334|-6:00 America</v>
      </c>
      <c r="M1489" s="10" t="s">
        <v>5056</v>
      </c>
      <c r="N1489" s="10">
        <f t="shared" si="115"/>
        <v>0</v>
      </c>
      <c r="O1489" t="str">
        <f t="shared" si="119"/>
        <v/>
      </c>
      <c r="P1489" t="str">
        <f>IF(O1489=1,COUNTIF($O$2:O1489,1),"")</f>
        <v/>
      </c>
      <c r="Q1489" t="str">
        <f>IFERROR(INDEX($M$2:$M$2388,MATCH(ROWS($P$2:P1489),$P$2:$P$2388,0)),"")</f>
        <v/>
      </c>
    </row>
    <row r="1490" spans="1:17" ht="15" x14ac:dyDescent="0.25">
      <c r="A1490" s="10">
        <v>1530</v>
      </c>
      <c r="B1490" s="10" t="s">
        <v>5057</v>
      </c>
      <c r="C1490" s="880">
        <f t="shared" si="116"/>
        <v>-98.933300000000003</v>
      </c>
      <c r="D1490" s="880">
        <f t="shared" si="117"/>
        <v>19.2666</v>
      </c>
      <c r="E1490" s="10">
        <v>-98.933334000000002</v>
      </c>
      <c r="F1490" s="10">
        <v>19.266666000000001</v>
      </c>
      <c r="G1490" s="10">
        <v>-6</v>
      </c>
      <c r="H1490" s="10" t="s">
        <v>1975</v>
      </c>
      <c r="I1490" s="10" t="s">
        <v>4919</v>
      </c>
      <c r="J1490" s="10" t="s">
        <v>4920</v>
      </c>
      <c r="K1490" s="10" t="s">
        <v>4921</v>
      </c>
      <c r="L1490" s="65" t="str">
        <f t="shared" si="118"/>
        <v>Xico|Mexico|-98,933334|19,266666|-6:00 America</v>
      </c>
      <c r="M1490" s="10" t="s">
        <v>5058</v>
      </c>
      <c r="N1490" s="10">
        <f t="shared" si="115"/>
        <v>0</v>
      </c>
      <c r="O1490" t="str">
        <f t="shared" si="119"/>
        <v/>
      </c>
      <c r="P1490" t="str">
        <f>IF(O1490=1,COUNTIF($O$2:O1490,1),"")</f>
        <v/>
      </c>
      <c r="Q1490" t="str">
        <f>IFERROR(INDEX($M$2:$M$2388,MATCH(ROWS($P$2:P1490),$P$2:$P$2388,0)),"")</f>
        <v/>
      </c>
    </row>
    <row r="1491" spans="1:17" ht="15" x14ac:dyDescent="0.25">
      <c r="A1491" s="10">
        <v>1528</v>
      </c>
      <c r="B1491" s="10" t="s">
        <v>5059</v>
      </c>
      <c r="C1491" s="880">
        <f t="shared" si="116"/>
        <v>-98.883300000000006</v>
      </c>
      <c r="D1491" s="880">
        <f t="shared" si="117"/>
        <v>23.0166</v>
      </c>
      <c r="E1491" s="10">
        <v>-98.883330999999998</v>
      </c>
      <c r="F1491" s="10">
        <v>23.016666000000001</v>
      </c>
      <c r="G1491" s="10">
        <v>-6</v>
      </c>
      <c r="H1491" s="10" t="s">
        <v>1975</v>
      </c>
      <c r="I1491" s="10" t="s">
        <v>4919</v>
      </c>
      <c r="J1491" s="10" t="s">
        <v>4920</v>
      </c>
      <c r="K1491" s="10" t="s">
        <v>4926</v>
      </c>
      <c r="L1491" s="65" t="str">
        <f t="shared" si="118"/>
        <v>Xicotencatl|Mexico|-98,883331|23,016666|-6:00 America</v>
      </c>
      <c r="M1491" s="10" t="s">
        <v>5060</v>
      </c>
      <c r="N1491" s="10">
        <f t="shared" si="115"/>
        <v>0</v>
      </c>
      <c r="O1491" t="str">
        <f t="shared" si="119"/>
        <v/>
      </c>
      <c r="P1491" t="str">
        <f>IF(O1491=1,COUNTIF($O$2:O1491,1),"")</f>
        <v/>
      </c>
      <c r="Q1491" t="str">
        <f>IFERROR(INDEX($M$2:$M$2388,MATCH(ROWS($P$2:P1491),$P$2:$P$2388,0)),"")</f>
        <v/>
      </c>
    </row>
    <row r="1492" spans="1:17" ht="15" x14ac:dyDescent="0.25">
      <c r="A1492" s="10">
        <v>1562</v>
      </c>
      <c r="B1492" s="10" t="s">
        <v>5061</v>
      </c>
      <c r="C1492" s="880">
        <f t="shared" si="116"/>
        <v>-103.4</v>
      </c>
      <c r="D1492" s="880">
        <f t="shared" si="117"/>
        <v>20.7166</v>
      </c>
      <c r="E1492" s="10">
        <v>-103.400002</v>
      </c>
      <c r="F1492" s="10">
        <v>20.716667000000001</v>
      </c>
      <c r="G1492" s="10">
        <v>-6</v>
      </c>
      <c r="H1492" s="10" t="s">
        <v>1975</v>
      </c>
      <c r="I1492" s="10" t="s">
        <v>4919</v>
      </c>
      <c r="J1492" s="10" t="s">
        <v>4920</v>
      </c>
      <c r="K1492" s="10" t="s">
        <v>4921</v>
      </c>
      <c r="L1492" s="65" t="str">
        <f t="shared" si="118"/>
        <v>Zapopan|Mexico|-103,400002|20,716667|-6:00 America</v>
      </c>
      <c r="M1492" s="10" t="s">
        <v>5062</v>
      </c>
      <c r="N1492" s="10">
        <f t="shared" si="115"/>
        <v>0</v>
      </c>
      <c r="O1492" t="str">
        <f t="shared" si="119"/>
        <v/>
      </c>
      <c r="P1492" t="str">
        <f>IF(O1492=1,COUNTIF($O$2:O1492,1),"")</f>
        <v/>
      </c>
      <c r="Q1492" t="str">
        <f>IFERROR(INDEX($M$2:$M$2388,MATCH(ROWS($P$2:P1492),$P$2:$P$2388,0)),"")</f>
        <v/>
      </c>
    </row>
    <row r="1493" spans="1:17" ht="15" x14ac:dyDescent="0.25">
      <c r="A1493" s="10">
        <v>1826</v>
      </c>
      <c r="B1493" s="10" t="s">
        <v>5063</v>
      </c>
      <c r="C1493" s="880">
        <f t="shared" si="116"/>
        <v>-56.183300000000003</v>
      </c>
      <c r="D1493" s="880">
        <f t="shared" si="117"/>
        <v>46.766599999999997</v>
      </c>
      <c r="E1493" s="10">
        <v>-56.183334000000002</v>
      </c>
      <c r="F1493" s="10">
        <v>46.766666000000001</v>
      </c>
      <c r="G1493" s="10">
        <v>-3</v>
      </c>
      <c r="H1493" s="10" t="s">
        <v>1739</v>
      </c>
      <c r="I1493" s="10" t="s">
        <v>5064</v>
      </c>
      <c r="J1493" s="10" t="s">
        <v>5065</v>
      </c>
      <c r="K1493" s="10" t="s">
        <v>5066</v>
      </c>
      <c r="L1493" s="65" t="str">
        <f t="shared" si="118"/>
        <v>Saint-Pierre|Miquelon|-56,183334|46,766666|-3:00 America</v>
      </c>
      <c r="M1493" s="10" t="s">
        <v>5067</v>
      </c>
      <c r="N1493" s="10">
        <f t="shared" si="115"/>
        <v>0</v>
      </c>
      <c r="O1493" t="str">
        <f t="shared" si="119"/>
        <v/>
      </c>
      <c r="P1493" t="str">
        <f>IF(O1493=1,COUNTIF($O$2:O1493,1),"")</f>
        <v/>
      </c>
      <c r="Q1493" t="str">
        <f>IFERROR(INDEX($M$2:$M$2388,MATCH(ROWS($P$2:P1493),$P$2:$P$2388,0)),"")</f>
        <v/>
      </c>
    </row>
    <row r="1494" spans="1:17" ht="15" x14ac:dyDescent="0.25">
      <c r="A1494" s="10">
        <v>1480</v>
      </c>
      <c r="B1494" s="10" t="s">
        <v>5068</v>
      </c>
      <c r="C1494" s="880">
        <f t="shared" si="116"/>
        <v>28.857500000000002</v>
      </c>
      <c r="D1494" s="880">
        <f t="shared" si="117"/>
        <v>47.005499999999998</v>
      </c>
      <c r="E1494" s="10">
        <v>28.857500000000002</v>
      </c>
      <c r="F1494" s="10">
        <v>47.005553999999997</v>
      </c>
      <c r="G1494" s="10">
        <v>2</v>
      </c>
      <c r="H1494" s="10" t="s">
        <v>1938</v>
      </c>
      <c r="I1494" s="10" t="s">
        <v>5069</v>
      </c>
      <c r="J1494" s="10" t="s">
        <v>5070</v>
      </c>
      <c r="K1494" s="10" t="s">
        <v>5071</v>
      </c>
      <c r="L1494" s="65" t="str">
        <f t="shared" si="118"/>
        <v>Chisinau|Moldova|28,857500|47,005554|+2:00 Europe</v>
      </c>
      <c r="M1494" s="10" t="s">
        <v>5072</v>
      </c>
      <c r="N1494" s="10">
        <f t="shared" si="115"/>
        <v>0</v>
      </c>
      <c r="O1494" t="str">
        <f t="shared" si="119"/>
        <v/>
      </c>
      <c r="P1494" t="str">
        <f>IF(O1494=1,COUNTIF($O$2:O1494,1),"")</f>
        <v/>
      </c>
      <c r="Q1494" t="str">
        <f>IFERROR(INDEX($M$2:$M$2388,MATCH(ROWS($P$2:P1494),$P$2:$P$2388,0)),"")</f>
        <v/>
      </c>
    </row>
    <row r="1495" spans="1:17" ht="15" x14ac:dyDescent="0.25">
      <c r="A1495" s="10">
        <v>1477</v>
      </c>
      <c r="B1495" s="10" t="s">
        <v>5073</v>
      </c>
      <c r="C1495" s="880">
        <f t="shared" si="116"/>
        <v>27.305</v>
      </c>
      <c r="D1495" s="880">
        <f t="shared" si="117"/>
        <v>48.167999999999999</v>
      </c>
      <c r="E1495" s="10">
        <v>27.305</v>
      </c>
      <c r="F1495" s="10">
        <v>48.168056</v>
      </c>
      <c r="G1495" s="10">
        <v>2</v>
      </c>
      <c r="H1495" s="10" t="s">
        <v>1938</v>
      </c>
      <c r="I1495" s="10" t="s">
        <v>5069</v>
      </c>
      <c r="J1495" s="10" t="s">
        <v>5070</v>
      </c>
      <c r="K1495" s="10" t="s">
        <v>5071</v>
      </c>
      <c r="L1495" s="65" t="str">
        <f t="shared" si="118"/>
        <v>Edinet|Moldova|27,305000|48,168056|+2:00 Europe</v>
      </c>
      <c r="M1495" s="10" t="s">
        <v>5074</v>
      </c>
      <c r="N1495" s="10">
        <f t="shared" si="115"/>
        <v>0</v>
      </c>
      <c r="O1495" t="str">
        <f t="shared" si="119"/>
        <v/>
      </c>
      <c r="P1495" t="str">
        <f>IF(O1495=1,COUNTIF($O$2:O1495,1),"")</f>
        <v/>
      </c>
      <c r="Q1495" t="str">
        <f>IFERROR(INDEX($M$2:$M$2388,MATCH(ROWS($P$2:P1495),$P$2:$P$2388,0)),"")</f>
        <v/>
      </c>
    </row>
    <row r="1496" spans="1:17" ht="15" x14ac:dyDescent="0.25">
      <c r="A1496" s="10">
        <v>1478</v>
      </c>
      <c r="B1496" s="10" t="s">
        <v>5075</v>
      </c>
      <c r="C1496" s="880">
        <f t="shared" si="116"/>
        <v>28.436599999999999</v>
      </c>
      <c r="D1496" s="880">
        <f t="shared" si="117"/>
        <v>46.427500000000002</v>
      </c>
      <c r="E1496" s="10">
        <v>28.436665999999999</v>
      </c>
      <c r="F1496" s="10">
        <v>46.427501999999997</v>
      </c>
      <c r="G1496" s="10">
        <v>2</v>
      </c>
      <c r="H1496" s="10" t="s">
        <v>1938</v>
      </c>
      <c r="I1496" s="10" t="s">
        <v>5069</v>
      </c>
      <c r="J1496" s="10" t="s">
        <v>5070</v>
      </c>
      <c r="K1496" s="10" t="s">
        <v>5071</v>
      </c>
      <c r="L1496" s="65" t="str">
        <f t="shared" si="118"/>
        <v>Iargara|Moldova|28,436666|46,427502|+2:00 Europe</v>
      </c>
      <c r="M1496" s="10" t="s">
        <v>5076</v>
      </c>
      <c r="N1496" s="10">
        <f t="shared" si="115"/>
        <v>0</v>
      </c>
      <c r="O1496" t="str">
        <f t="shared" si="119"/>
        <v/>
      </c>
      <c r="P1496" t="str">
        <f>IF(O1496=1,COUNTIF($O$2:O1496,1),"")</f>
        <v/>
      </c>
      <c r="Q1496" t="str">
        <f>IFERROR(INDEX($M$2:$M$2388,MATCH(ROWS($P$2:P1496),$P$2:$P$2388,0)),"")</f>
        <v/>
      </c>
    </row>
    <row r="1497" spans="1:17" ht="15" x14ac:dyDescent="0.25">
      <c r="A1497" s="10">
        <v>1479</v>
      </c>
      <c r="B1497" s="10" t="s">
        <v>5077</v>
      </c>
      <c r="C1497" s="880">
        <f t="shared" si="116"/>
        <v>28.402699999999999</v>
      </c>
      <c r="D1497" s="880">
        <f t="shared" si="117"/>
        <v>45.684100000000001</v>
      </c>
      <c r="E1497" s="10">
        <v>28.402778999999999</v>
      </c>
      <c r="F1497" s="10">
        <v>45.684165999999998</v>
      </c>
      <c r="G1497" s="10">
        <v>2</v>
      </c>
      <c r="H1497" s="10" t="s">
        <v>1938</v>
      </c>
      <c r="I1497" s="10" t="s">
        <v>5069</v>
      </c>
      <c r="J1497" s="10" t="s">
        <v>5070</v>
      </c>
      <c r="K1497" s="10" t="s">
        <v>5071</v>
      </c>
      <c r="L1497" s="65" t="str">
        <f t="shared" si="118"/>
        <v>Vulcanesti|Moldova|28,402779|45,684166|+2:00 Europe</v>
      </c>
      <c r="M1497" s="10" t="s">
        <v>5078</v>
      </c>
      <c r="N1497" s="10">
        <f t="shared" si="115"/>
        <v>0</v>
      </c>
      <c r="O1497" t="str">
        <f t="shared" si="119"/>
        <v/>
      </c>
      <c r="P1497" t="str">
        <f>IF(O1497=1,COUNTIF($O$2:O1497,1),"")</f>
        <v/>
      </c>
      <c r="Q1497" t="str">
        <f>IFERROR(INDEX($M$2:$M$2388,MATCH(ROWS($P$2:P1497),$P$2:$P$2388,0)),"")</f>
        <v/>
      </c>
    </row>
    <row r="1498" spans="1:17" ht="15" x14ac:dyDescent="0.25">
      <c r="A1498" s="10">
        <v>1476</v>
      </c>
      <c r="B1498" s="10" t="s">
        <v>5079</v>
      </c>
      <c r="C1498" s="880">
        <f t="shared" si="116"/>
        <v>7.4165999999999999</v>
      </c>
      <c r="D1498" s="880">
        <f t="shared" si="117"/>
        <v>43.7333</v>
      </c>
      <c r="E1498" s="10">
        <v>7.4166670000000003</v>
      </c>
      <c r="F1498" s="10">
        <v>43.733333999999999</v>
      </c>
      <c r="G1498" s="10">
        <v>1</v>
      </c>
      <c r="H1498" s="10" t="s">
        <v>1670</v>
      </c>
      <c r="I1498" s="10" t="s">
        <v>5080</v>
      </c>
      <c r="J1498" s="10" t="s">
        <v>5081</v>
      </c>
      <c r="K1498" s="10" t="s">
        <v>5082</v>
      </c>
      <c r="L1498" s="65" t="str">
        <f t="shared" si="118"/>
        <v>La Condamine|Monaco|7,416667|43,733334|+1:00 Europe</v>
      </c>
      <c r="M1498" s="10" t="s">
        <v>5083</v>
      </c>
      <c r="N1498" s="10">
        <f t="shared" si="115"/>
        <v>0</v>
      </c>
      <c r="O1498" t="str">
        <f t="shared" si="119"/>
        <v/>
      </c>
      <c r="P1498" t="str">
        <f>IF(O1498=1,COUNTIF($O$2:O1498,1),"")</f>
        <v/>
      </c>
      <c r="Q1498" t="str">
        <f>IFERROR(INDEX($M$2:$M$2388,MATCH(ROWS($P$2:P1498),$P$2:$P$2388,0)),"")</f>
        <v/>
      </c>
    </row>
    <row r="1499" spans="1:17" ht="15" x14ac:dyDescent="0.25">
      <c r="A1499" s="10">
        <v>1475</v>
      </c>
      <c r="B1499" s="10" t="s">
        <v>5084</v>
      </c>
      <c r="C1499" s="880">
        <f t="shared" si="116"/>
        <v>7.4165999999999999</v>
      </c>
      <c r="D1499" s="880">
        <f t="shared" si="117"/>
        <v>43.7333</v>
      </c>
      <c r="E1499" s="10">
        <v>7.4166670000000003</v>
      </c>
      <c r="F1499" s="10">
        <v>43.733333999999999</v>
      </c>
      <c r="G1499" s="10">
        <v>1</v>
      </c>
      <c r="H1499" s="10" t="s">
        <v>1670</v>
      </c>
      <c r="I1499" s="10" t="s">
        <v>5080</v>
      </c>
      <c r="J1499" s="10" t="s">
        <v>5081</v>
      </c>
      <c r="K1499" s="10" t="s">
        <v>5082</v>
      </c>
      <c r="L1499" s="65" t="str">
        <f t="shared" si="118"/>
        <v>Monte-Carlo|Monaco|7,416667|43,733334|+1:00 Europe</v>
      </c>
      <c r="M1499" s="10" t="s">
        <v>5085</v>
      </c>
      <c r="N1499" s="10">
        <f t="shared" si="115"/>
        <v>0</v>
      </c>
      <c r="O1499" t="str">
        <f t="shared" si="119"/>
        <v/>
      </c>
      <c r="P1499" t="str">
        <f>IF(O1499=1,COUNTIF($O$2:O1499,1),"")</f>
        <v/>
      </c>
      <c r="Q1499" t="str">
        <f>IFERROR(INDEX($M$2:$M$2388,MATCH(ROWS($P$2:P1499),$P$2:$P$2388,0)),"")</f>
        <v/>
      </c>
    </row>
    <row r="1500" spans="1:17" ht="15" x14ac:dyDescent="0.25">
      <c r="A1500" s="10">
        <v>1506</v>
      </c>
      <c r="B1500" s="10" t="s">
        <v>5086</v>
      </c>
      <c r="C1500" s="880">
        <f t="shared" si="116"/>
        <v>98.283799999999999</v>
      </c>
      <c r="D1500" s="880">
        <f t="shared" si="117"/>
        <v>48.756599999999999</v>
      </c>
      <c r="E1500" s="10">
        <v>98.28389</v>
      </c>
      <c r="F1500" s="10">
        <v>48.756667999999998</v>
      </c>
      <c r="G1500" s="10">
        <v>8</v>
      </c>
      <c r="H1500" s="10" t="s">
        <v>1831</v>
      </c>
      <c r="I1500" s="10" t="s">
        <v>5087</v>
      </c>
      <c r="J1500" s="10" t="s">
        <v>5088</v>
      </c>
      <c r="K1500" s="10" t="s">
        <v>5089</v>
      </c>
      <c r="L1500" s="65" t="str">
        <f t="shared" si="118"/>
        <v>Tosontsengel|Mongolia|98,283890|48,756668|+8:00 Asia</v>
      </c>
      <c r="M1500" s="10" t="s">
        <v>5090</v>
      </c>
      <c r="N1500" s="10">
        <f t="shared" si="115"/>
        <v>0</v>
      </c>
      <c r="O1500" t="str">
        <f t="shared" si="119"/>
        <v/>
      </c>
      <c r="P1500" t="str">
        <f>IF(O1500=1,COUNTIF($O$2:O1500,1),"")</f>
        <v/>
      </c>
      <c r="Q1500" t="str">
        <f>IFERROR(INDEX($M$2:$M$2388,MATCH(ROWS($P$2:P1500),$P$2:$P$2388,0)),"")</f>
        <v/>
      </c>
    </row>
    <row r="1501" spans="1:17" ht="15" x14ac:dyDescent="0.25">
      <c r="A1501" s="10">
        <v>1507</v>
      </c>
      <c r="B1501" s="10" t="s">
        <v>5091</v>
      </c>
      <c r="C1501" s="880">
        <f t="shared" si="116"/>
        <v>106.9166</v>
      </c>
      <c r="D1501" s="880">
        <f t="shared" si="117"/>
        <v>47.916600000000003</v>
      </c>
      <c r="E1501" s="10">
        <v>106.916664</v>
      </c>
      <c r="F1501" s="10">
        <v>47.916668000000001</v>
      </c>
      <c r="G1501" s="10">
        <v>8</v>
      </c>
      <c r="H1501" s="10" t="s">
        <v>1831</v>
      </c>
      <c r="I1501" s="10" t="s">
        <v>5087</v>
      </c>
      <c r="J1501" s="10" t="s">
        <v>5088</v>
      </c>
      <c r="K1501" s="10" t="s">
        <v>5089</v>
      </c>
      <c r="L1501" s="65" t="str">
        <f t="shared" si="118"/>
        <v>Ulaanbaatar|Mongolia|106,916664|47,916668|+8:00 Asia</v>
      </c>
      <c r="M1501" s="10" t="s">
        <v>5092</v>
      </c>
      <c r="N1501" s="10">
        <f t="shared" si="115"/>
        <v>0</v>
      </c>
      <c r="O1501" t="str">
        <f t="shared" si="119"/>
        <v/>
      </c>
      <c r="P1501" t="str">
        <f>IF(O1501=1,COUNTIF($O$2:O1501,1),"")</f>
        <v/>
      </c>
      <c r="Q1501" t="str">
        <f>IFERROR(INDEX($M$2:$M$2388,MATCH(ROWS($P$2:P1501),$P$2:$P$2388,0)),"")</f>
        <v/>
      </c>
    </row>
    <row r="1502" spans="1:17" ht="15" x14ac:dyDescent="0.25">
      <c r="A1502" s="10">
        <v>1505</v>
      </c>
      <c r="B1502" s="10" t="s">
        <v>5093</v>
      </c>
      <c r="C1502" s="880">
        <f t="shared" si="116"/>
        <v>92.066599999999994</v>
      </c>
      <c r="D1502" s="880">
        <f t="shared" si="117"/>
        <v>49.981099999999998</v>
      </c>
      <c r="E1502" s="10">
        <v>92.066665999999998</v>
      </c>
      <c r="F1502" s="10">
        <v>49.981110000000001</v>
      </c>
      <c r="G1502" s="10">
        <v>8</v>
      </c>
      <c r="H1502" s="10" t="s">
        <v>1831</v>
      </c>
      <c r="I1502" s="10" t="s">
        <v>5087</v>
      </c>
      <c r="J1502" s="10" t="s">
        <v>5088</v>
      </c>
      <c r="K1502" s="10" t="s">
        <v>5089</v>
      </c>
      <c r="L1502" s="65" t="str">
        <f t="shared" si="118"/>
        <v>Ulaangom|Mongolia|92,066666|49,981110|+8:00 Asia</v>
      </c>
      <c r="M1502" s="10" t="s">
        <v>5094</v>
      </c>
      <c r="N1502" s="10">
        <f t="shared" si="115"/>
        <v>0</v>
      </c>
      <c r="O1502" t="str">
        <f t="shared" si="119"/>
        <v/>
      </c>
      <c r="P1502" t="str">
        <f>IF(O1502=1,COUNTIF($O$2:O1502,1),"")</f>
        <v/>
      </c>
      <c r="Q1502" t="str">
        <f>IFERROR(INDEX($M$2:$M$2388,MATCH(ROWS($P$2:P1502),$P$2:$P$2388,0)),"")</f>
        <v/>
      </c>
    </row>
    <row r="1503" spans="1:17" ht="15" x14ac:dyDescent="0.25">
      <c r="A1503" s="10">
        <v>1483</v>
      </c>
      <c r="B1503" s="10" t="s">
        <v>5095</v>
      </c>
      <c r="C1503" s="880">
        <f t="shared" si="116"/>
        <v>19.2636</v>
      </c>
      <c r="D1503" s="880">
        <f t="shared" si="117"/>
        <v>42.441099999999999</v>
      </c>
      <c r="E1503" s="10">
        <v>19.263611000000001</v>
      </c>
      <c r="F1503" s="10">
        <v>42.441113000000001</v>
      </c>
      <c r="G1503" s="10">
        <v>1</v>
      </c>
      <c r="H1503" s="10" t="s">
        <v>1670</v>
      </c>
      <c r="I1503" s="10" t="s">
        <v>5096</v>
      </c>
      <c r="J1503" s="10" t="s">
        <v>5097</v>
      </c>
      <c r="K1503" s="10" t="s">
        <v>5098</v>
      </c>
      <c r="L1503" s="65" t="str">
        <f t="shared" si="118"/>
        <v>Podgorica|Montenegro|19,263611|42,441113|+1:00 Europe</v>
      </c>
      <c r="M1503" s="10" t="s">
        <v>5099</v>
      </c>
      <c r="N1503" s="10">
        <f t="shared" si="115"/>
        <v>0</v>
      </c>
      <c r="O1503" t="str">
        <f t="shared" si="119"/>
        <v/>
      </c>
      <c r="P1503" t="str">
        <f>IF(O1503=1,COUNTIF($O$2:O1503,1),"")</f>
        <v/>
      </c>
      <c r="Q1503" t="str">
        <f>IFERROR(INDEX($M$2:$M$2388,MATCH(ROWS($P$2:P1503),$P$2:$P$2388,0)),"")</f>
        <v/>
      </c>
    </row>
    <row r="1504" spans="1:17" ht="15" x14ac:dyDescent="0.25">
      <c r="A1504" s="10">
        <v>1482</v>
      </c>
      <c r="B1504" s="10" t="s">
        <v>5100</v>
      </c>
      <c r="C1504" s="880">
        <f t="shared" si="116"/>
        <v>18.696100000000001</v>
      </c>
      <c r="D1504" s="880">
        <f t="shared" si="117"/>
        <v>42.436300000000003</v>
      </c>
      <c r="E1504" s="10">
        <v>18.696111999999999</v>
      </c>
      <c r="F1504" s="10">
        <v>42.436390000000003</v>
      </c>
      <c r="G1504" s="10">
        <v>1</v>
      </c>
      <c r="H1504" s="10" t="s">
        <v>1670</v>
      </c>
      <c r="I1504" s="10" t="s">
        <v>5096</v>
      </c>
      <c r="J1504" s="10" t="s">
        <v>5097</v>
      </c>
      <c r="K1504" s="10" t="s">
        <v>5098</v>
      </c>
      <c r="L1504" s="65" t="str">
        <f t="shared" si="118"/>
        <v>Tivat|Montenegro|18,696112|42,436390|+1:00 Europe</v>
      </c>
      <c r="M1504" s="10" t="s">
        <v>5101</v>
      </c>
      <c r="N1504" s="10">
        <f t="shared" si="115"/>
        <v>0</v>
      </c>
      <c r="O1504" t="str">
        <f t="shared" si="119"/>
        <v/>
      </c>
      <c r="P1504" t="str">
        <f>IF(O1504=1,COUNTIF($O$2:O1504,1),"")</f>
        <v/>
      </c>
      <c r="Q1504" t="str">
        <f>IFERROR(INDEX($M$2:$M$2388,MATCH(ROWS($P$2:P1504),$P$2:$P$2388,0)),"")</f>
        <v/>
      </c>
    </row>
    <row r="1505" spans="1:17" ht="15" x14ac:dyDescent="0.25">
      <c r="A1505" s="10">
        <v>1481</v>
      </c>
      <c r="B1505" s="10" t="s">
        <v>5102</v>
      </c>
      <c r="C1505" s="880">
        <f t="shared" si="116"/>
        <v>19.206299999999999</v>
      </c>
      <c r="D1505" s="880">
        <f t="shared" si="117"/>
        <v>41.9283</v>
      </c>
      <c r="E1505" s="10">
        <v>19.206388</v>
      </c>
      <c r="F1505" s="10">
        <v>41.928333000000002</v>
      </c>
      <c r="G1505" s="10">
        <v>1</v>
      </c>
      <c r="H1505" s="10" t="s">
        <v>1670</v>
      </c>
      <c r="I1505" s="10" t="s">
        <v>5096</v>
      </c>
      <c r="J1505" s="10" t="s">
        <v>5097</v>
      </c>
      <c r="K1505" s="10" t="s">
        <v>5098</v>
      </c>
      <c r="L1505" s="65" t="str">
        <f t="shared" si="118"/>
        <v>Ulcinj|Montenegro|19,206388|41,928333|+1:00 Europe</v>
      </c>
      <c r="M1505" s="10" t="s">
        <v>5103</v>
      </c>
      <c r="N1505" s="10">
        <f t="shared" si="115"/>
        <v>0</v>
      </c>
      <c r="O1505" t="str">
        <f t="shared" si="119"/>
        <v/>
      </c>
      <c r="P1505" t="str">
        <f>IF(O1505=1,COUNTIF($O$2:O1505,1),"")</f>
        <v/>
      </c>
      <c r="Q1505" t="str">
        <f>IFERROR(INDEX($M$2:$M$2388,MATCH(ROWS($P$2:P1505),$P$2:$P$2388,0)),"")</f>
        <v/>
      </c>
    </row>
    <row r="1506" spans="1:17" ht="15" x14ac:dyDescent="0.25">
      <c r="A1506" s="10">
        <v>1474</v>
      </c>
      <c r="B1506" s="10" t="s">
        <v>5104</v>
      </c>
      <c r="C1506" s="880">
        <f t="shared" si="116"/>
        <v>-9.6</v>
      </c>
      <c r="D1506" s="880">
        <f t="shared" si="117"/>
        <v>30.4</v>
      </c>
      <c r="E1506" s="10">
        <v>-9.6</v>
      </c>
      <c r="F1506" s="10">
        <v>30.4</v>
      </c>
      <c r="G1506" s="10">
        <v>0</v>
      </c>
      <c r="H1506" s="10" t="s">
        <v>2318</v>
      </c>
      <c r="I1506" s="10" t="s">
        <v>5105</v>
      </c>
      <c r="J1506" s="10" t="s">
        <v>5106</v>
      </c>
      <c r="K1506" s="10" t="s">
        <v>5107</v>
      </c>
      <c r="L1506" s="65" t="str">
        <f t="shared" si="118"/>
        <v>Agadir|Morocco|-9,600000|30,400000|+0:00 Africa</v>
      </c>
      <c r="M1506" s="10" t="s">
        <v>5108</v>
      </c>
      <c r="N1506" s="10">
        <f t="shared" si="115"/>
        <v>0</v>
      </c>
      <c r="O1506" t="str">
        <f t="shared" si="119"/>
        <v/>
      </c>
      <c r="P1506" t="str">
        <f>IF(O1506=1,COUNTIF($O$2:O1506,1),"")</f>
        <v/>
      </c>
      <c r="Q1506" t="str">
        <f>IFERROR(INDEX($M$2:$M$2388,MATCH(ROWS($P$2:P1506),$P$2:$P$2388,0)),"")</f>
        <v/>
      </c>
    </row>
    <row r="1507" spans="1:17" ht="15" x14ac:dyDescent="0.25">
      <c r="A1507" s="10">
        <v>1473</v>
      </c>
      <c r="B1507" s="10" t="s">
        <v>5109</v>
      </c>
      <c r="C1507" s="880">
        <f t="shared" si="116"/>
        <v>-7.61</v>
      </c>
      <c r="D1507" s="880">
        <f t="shared" si="117"/>
        <v>33.590000000000003</v>
      </c>
      <c r="E1507" s="10">
        <v>-7.61</v>
      </c>
      <c r="F1507" s="10">
        <v>33.590000000000003</v>
      </c>
      <c r="G1507" s="10">
        <v>0</v>
      </c>
      <c r="H1507" s="10" t="s">
        <v>2318</v>
      </c>
      <c r="I1507" s="10" t="s">
        <v>5105</v>
      </c>
      <c r="J1507" s="10" t="s">
        <v>5106</v>
      </c>
      <c r="K1507" s="10" t="s">
        <v>5107</v>
      </c>
      <c r="L1507" s="65" t="str">
        <f t="shared" si="118"/>
        <v>Casablanca|Morocco|-7,610000|33,590000|+0:00 Africa</v>
      </c>
      <c r="M1507" s="10" t="s">
        <v>5110</v>
      </c>
      <c r="N1507" s="10">
        <f t="shared" si="115"/>
        <v>0</v>
      </c>
      <c r="O1507" t="str">
        <f t="shared" si="119"/>
        <v/>
      </c>
      <c r="P1507" t="str">
        <f>IF(O1507=1,COUNTIF($O$2:O1507,1),"")</f>
        <v/>
      </c>
      <c r="Q1507" t="str">
        <f>IFERROR(INDEX($M$2:$M$2388,MATCH(ROWS($P$2:P1507),$P$2:$P$2388,0)),"")</f>
        <v/>
      </c>
    </row>
    <row r="1508" spans="1:17" ht="15" x14ac:dyDescent="0.25">
      <c r="A1508" s="10">
        <v>1472</v>
      </c>
      <c r="B1508" s="10" t="s">
        <v>5111</v>
      </c>
      <c r="C1508" s="880">
        <f t="shared" si="116"/>
        <v>-4.9800000000000004</v>
      </c>
      <c r="D1508" s="880">
        <f t="shared" si="117"/>
        <v>34.049900000000001</v>
      </c>
      <c r="E1508" s="10">
        <v>-4.9800000000000004</v>
      </c>
      <c r="F1508" s="10">
        <v>34.049999</v>
      </c>
      <c r="G1508" s="10">
        <v>0</v>
      </c>
      <c r="H1508" s="10" t="s">
        <v>2318</v>
      </c>
      <c r="I1508" s="10" t="s">
        <v>5105</v>
      </c>
      <c r="J1508" s="10" t="s">
        <v>5106</v>
      </c>
      <c r="K1508" s="10" t="s">
        <v>5107</v>
      </c>
      <c r="L1508" s="65" t="str">
        <f t="shared" si="118"/>
        <v>Fes|Morocco|-4,980000|34,049999|+0:00 Africa</v>
      </c>
      <c r="M1508" s="10" t="s">
        <v>5112</v>
      </c>
      <c r="N1508" s="10">
        <f t="shared" si="115"/>
        <v>0</v>
      </c>
      <c r="O1508" t="str">
        <f t="shared" si="119"/>
        <v/>
      </c>
      <c r="P1508" t="str">
        <f>IF(O1508=1,COUNTIF($O$2:O1508,1),"")</f>
        <v/>
      </c>
      <c r="Q1508" t="str">
        <f>IFERROR(INDEX($M$2:$M$2388,MATCH(ROWS($P$2:P1508),$P$2:$P$2388,0)),"")</f>
        <v/>
      </c>
    </row>
    <row r="1509" spans="1:17" ht="15" x14ac:dyDescent="0.25">
      <c r="A1509" s="10">
        <v>1471</v>
      </c>
      <c r="B1509" s="10" t="s">
        <v>5113</v>
      </c>
      <c r="C1509" s="880">
        <f t="shared" si="116"/>
        <v>-6.57</v>
      </c>
      <c r="D1509" s="880">
        <f t="shared" si="117"/>
        <v>34.259900000000002</v>
      </c>
      <c r="E1509" s="10">
        <v>-6.57</v>
      </c>
      <c r="F1509" s="10">
        <v>34.259998000000003</v>
      </c>
      <c r="G1509" s="10">
        <v>0</v>
      </c>
      <c r="H1509" s="10" t="s">
        <v>2318</v>
      </c>
      <c r="I1509" s="10" t="s">
        <v>5105</v>
      </c>
      <c r="J1509" s="10" t="s">
        <v>5106</v>
      </c>
      <c r="K1509" s="10" t="s">
        <v>5107</v>
      </c>
      <c r="L1509" s="65" t="str">
        <f t="shared" si="118"/>
        <v>Kenitra-GHARB|Morocco|-6,570000|34,259998|+0:00 Africa</v>
      </c>
      <c r="M1509" s="10" t="s">
        <v>5114</v>
      </c>
      <c r="N1509" s="10">
        <f t="shared" si="115"/>
        <v>0</v>
      </c>
      <c r="O1509" t="str">
        <f t="shared" si="119"/>
        <v/>
      </c>
      <c r="P1509" t="str">
        <f>IF(O1509=1,COUNTIF($O$2:O1509,1),"")</f>
        <v/>
      </c>
      <c r="Q1509" t="str">
        <f>IFERROR(INDEX($M$2:$M$2388,MATCH(ROWS($P$2:P1509),$P$2:$P$2388,0)),"")</f>
        <v/>
      </c>
    </row>
    <row r="1510" spans="1:17" ht="15" x14ac:dyDescent="0.25">
      <c r="A1510" s="10">
        <v>1470</v>
      </c>
      <c r="B1510" s="10" t="s">
        <v>5115</v>
      </c>
      <c r="C1510" s="880">
        <f t="shared" si="116"/>
        <v>-8</v>
      </c>
      <c r="D1510" s="880">
        <f t="shared" si="117"/>
        <v>31.629899999999999</v>
      </c>
      <c r="E1510" s="10">
        <v>-8</v>
      </c>
      <c r="F1510" s="10">
        <v>31.629999000000002</v>
      </c>
      <c r="G1510" s="10">
        <v>0</v>
      </c>
      <c r="H1510" s="10" t="s">
        <v>2318</v>
      </c>
      <c r="I1510" s="10" t="s">
        <v>5105</v>
      </c>
      <c r="J1510" s="10" t="s">
        <v>5106</v>
      </c>
      <c r="K1510" s="10" t="s">
        <v>5107</v>
      </c>
      <c r="L1510" s="65" t="str">
        <f t="shared" si="118"/>
        <v>Marrakech|Morocco|-8,000000|31,629999|+0:00 Africa</v>
      </c>
      <c r="M1510" s="10" t="s">
        <v>5116</v>
      </c>
      <c r="N1510" s="10">
        <f t="shared" si="115"/>
        <v>0</v>
      </c>
      <c r="O1510" t="str">
        <f t="shared" si="119"/>
        <v/>
      </c>
      <c r="P1510" t="str">
        <f>IF(O1510=1,COUNTIF($O$2:O1510,1),"")</f>
        <v/>
      </c>
      <c r="Q1510" t="str">
        <f>IFERROR(INDEX($M$2:$M$2388,MATCH(ROWS($P$2:P1510),$P$2:$P$2388,0)),"")</f>
        <v/>
      </c>
    </row>
    <row r="1511" spans="1:17" ht="15" x14ac:dyDescent="0.25">
      <c r="A1511" s="10">
        <v>1469</v>
      </c>
      <c r="B1511" s="10" t="s">
        <v>5117</v>
      </c>
      <c r="C1511" s="880">
        <f t="shared" si="116"/>
        <v>-5.55</v>
      </c>
      <c r="D1511" s="880">
        <f t="shared" si="117"/>
        <v>33.9</v>
      </c>
      <c r="E1511" s="10">
        <v>-5.55</v>
      </c>
      <c r="F1511" s="10">
        <v>33.900002000000001</v>
      </c>
      <c r="G1511" s="10">
        <v>0</v>
      </c>
      <c r="H1511" s="10" t="s">
        <v>2318</v>
      </c>
      <c r="I1511" s="10" t="s">
        <v>5105</v>
      </c>
      <c r="J1511" s="10" t="s">
        <v>5106</v>
      </c>
      <c r="K1511" s="10" t="s">
        <v>5107</v>
      </c>
      <c r="L1511" s="65" t="str">
        <f t="shared" si="118"/>
        <v>Meknes|Morocco|-5,550000|33,900002|+0:00 Africa</v>
      </c>
      <c r="M1511" s="10" t="s">
        <v>5118</v>
      </c>
      <c r="N1511" s="10">
        <f t="shared" si="115"/>
        <v>0</v>
      </c>
      <c r="O1511" t="str">
        <f t="shared" si="119"/>
        <v/>
      </c>
      <c r="P1511" t="str">
        <f>IF(O1511=1,COUNTIF($O$2:O1511,1),"")</f>
        <v/>
      </c>
      <c r="Q1511" t="str">
        <f>IFERROR(INDEX($M$2:$M$2388,MATCH(ROWS($P$2:P1511),$P$2:$P$2388,0)),"")</f>
        <v/>
      </c>
    </row>
    <row r="1512" spans="1:17" ht="15" x14ac:dyDescent="0.25">
      <c r="A1512" s="10">
        <v>1468</v>
      </c>
      <c r="B1512" s="10" t="s">
        <v>5119</v>
      </c>
      <c r="C1512" s="880">
        <f t="shared" si="116"/>
        <v>-1.91</v>
      </c>
      <c r="D1512" s="880">
        <f t="shared" si="117"/>
        <v>34.68</v>
      </c>
      <c r="E1512" s="10">
        <v>-1.91</v>
      </c>
      <c r="F1512" s="10">
        <v>34.68</v>
      </c>
      <c r="G1512" s="10">
        <v>0</v>
      </c>
      <c r="H1512" s="10" t="s">
        <v>2318</v>
      </c>
      <c r="I1512" s="10" t="s">
        <v>5105</v>
      </c>
      <c r="J1512" s="10" t="s">
        <v>5106</v>
      </c>
      <c r="K1512" s="10" t="s">
        <v>5107</v>
      </c>
      <c r="L1512" s="65" t="str">
        <f t="shared" si="118"/>
        <v>Oujda|Morocco|-1,910000|34,680000|+0:00 Africa</v>
      </c>
      <c r="M1512" s="10" t="s">
        <v>5120</v>
      </c>
      <c r="N1512" s="10">
        <f t="shared" si="115"/>
        <v>0</v>
      </c>
      <c r="O1512" t="str">
        <f t="shared" si="119"/>
        <v/>
      </c>
      <c r="P1512" t="str">
        <f>IF(O1512=1,COUNTIF($O$2:O1512,1),"")</f>
        <v/>
      </c>
      <c r="Q1512" t="str">
        <f>IFERROR(INDEX($M$2:$M$2388,MATCH(ROWS($P$2:P1512),$P$2:$P$2388,0)),"")</f>
        <v/>
      </c>
    </row>
    <row r="1513" spans="1:17" ht="15" x14ac:dyDescent="0.25">
      <c r="A1513" s="10">
        <v>1467</v>
      </c>
      <c r="B1513" s="10" t="s">
        <v>5121</v>
      </c>
      <c r="C1513" s="880">
        <f t="shared" si="116"/>
        <v>-6.83</v>
      </c>
      <c r="D1513" s="880">
        <f t="shared" si="117"/>
        <v>34.020000000000003</v>
      </c>
      <c r="E1513" s="10">
        <v>-6.83</v>
      </c>
      <c r="F1513" s="10">
        <v>34.020000000000003</v>
      </c>
      <c r="G1513" s="10">
        <v>0</v>
      </c>
      <c r="H1513" s="10" t="s">
        <v>2318</v>
      </c>
      <c r="I1513" s="10" t="s">
        <v>5105</v>
      </c>
      <c r="J1513" s="10" t="s">
        <v>5106</v>
      </c>
      <c r="K1513" s="10" t="s">
        <v>5107</v>
      </c>
      <c r="L1513" s="65" t="str">
        <f t="shared" si="118"/>
        <v>Rabat|Morocco|-6,830000|34,020000|+0:00 Africa</v>
      </c>
      <c r="M1513" s="10" t="s">
        <v>5122</v>
      </c>
      <c r="N1513" s="10">
        <f t="shared" si="115"/>
        <v>0</v>
      </c>
      <c r="O1513" t="str">
        <f t="shared" si="119"/>
        <v/>
      </c>
      <c r="P1513" t="str">
        <f>IF(O1513=1,COUNTIF($O$2:O1513,1),"")</f>
        <v/>
      </c>
      <c r="Q1513" t="str">
        <f>IFERROR(INDEX($M$2:$M$2388,MATCH(ROWS($P$2:P1513),$P$2:$P$2388,0)),"")</f>
        <v/>
      </c>
    </row>
    <row r="1514" spans="1:17" ht="15" x14ac:dyDescent="0.25">
      <c r="A1514" s="10">
        <v>1466</v>
      </c>
      <c r="B1514" s="10" t="s">
        <v>5123</v>
      </c>
      <c r="C1514" s="880">
        <f t="shared" si="116"/>
        <v>-9.23</v>
      </c>
      <c r="D1514" s="880">
        <f t="shared" si="117"/>
        <v>32.299900000000001</v>
      </c>
      <c r="E1514" s="10">
        <v>-9.23</v>
      </c>
      <c r="F1514" s="10">
        <v>32.299999</v>
      </c>
      <c r="G1514" s="10">
        <v>0</v>
      </c>
      <c r="H1514" s="10" t="s">
        <v>2318</v>
      </c>
      <c r="I1514" s="10" t="s">
        <v>5105</v>
      </c>
      <c r="J1514" s="10" t="s">
        <v>5106</v>
      </c>
      <c r="K1514" s="10" t="s">
        <v>5107</v>
      </c>
      <c r="L1514" s="65" t="str">
        <f t="shared" si="118"/>
        <v>Safi|Morocco|-9,230000|32,299999|+0:00 Africa</v>
      </c>
      <c r="M1514" s="10" t="s">
        <v>5124</v>
      </c>
      <c r="N1514" s="10">
        <f t="shared" si="115"/>
        <v>0</v>
      </c>
      <c r="O1514" t="str">
        <f t="shared" si="119"/>
        <v/>
      </c>
      <c r="P1514" t="str">
        <f>IF(O1514=1,COUNTIF($O$2:O1514,1),"")</f>
        <v/>
      </c>
      <c r="Q1514" t="str">
        <f>IFERROR(INDEX($M$2:$M$2388,MATCH(ROWS($P$2:P1514),$P$2:$P$2388,0)),"")</f>
        <v/>
      </c>
    </row>
    <row r="1515" spans="1:17" ht="15" x14ac:dyDescent="0.25">
      <c r="A1515" s="10">
        <v>1465</v>
      </c>
      <c r="B1515" s="10" t="s">
        <v>5125</v>
      </c>
      <c r="C1515" s="880">
        <f t="shared" si="116"/>
        <v>-5.81</v>
      </c>
      <c r="D1515" s="880">
        <f t="shared" si="117"/>
        <v>35.779899999999998</v>
      </c>
      <c r="E1515" s="10">
        <v>-5.81</v>
      </c>
      <c r="F1515" s="10">
        <v>35.779998999999997</v>
      </c>
      <c r="G1515" s="10">
        <v>0</v>
      </c>
      <c r="H1515" s="10" t="s">
        <v>2318</v>
      </c>
      <c r="I1515" s="10" t="s">
        <v>5105</v>
      </c>
      <c r="J1515" s="10" t="s">
        <v>5106</v>
      </c>
      <c r="K1515" s="10" t="s">
        <v>5107</v>
      </c>
      <c r="L1515" s="65" t="str">
        <f t="shared" si="118"/>
        <v>Tangier|Morocco|-5,810000|35,779999|+0:00 Africa</v>
      </c>
      <c r="M1515" s="10" t="s">
        <v>5126</v>
      </c>
      <c r="N1515" s="10">
        <f t="shared" si="115"/>
        <v>0</v>
      </c>
      <c r="O1515" t="str">
        <f t="shared" si="119"/>
        <v/>
      </c>
      <c r="P1515" t="str">
        <f>IF(O1515=1,COUNTIF($O$2:O1515,1),"")</f>
        <v/>
      </c>
      <c r="Q1515" t="str">
        <f>IFERROR(INDEX($M$2:$M$2388,MATCH(ROWS($P$2:P1515),$P$2:$P$2388,0)),"")</f>
        <v/>
      </c>
    </row>
    <row r="1516" spans="1:17" ht="15" x14ac:dyDescent="0.25">
      <c r="A1516" s="10">
        <v>1464</v>
      </c>
      <c r="B1516" s="10" t="s">
        <v>5127</v>
      </c>
      <c r="C1516" s="880">
        <f t="shared" si="116"/>
        <v>-5.37</v>
      </c>
      <c r="D1516" s="880">
        <f t="shared" si="117"/>
        <v>35.57</v>
      </c>
      <c r="E1516" s="10">
        <v>-5.37</v>
      </c>
      <c r="F1516" s="10">
        <v>35.57</v>
      </c>
      <c r="G1516" s="10">
        <v>0</v>
      </c>
      <c r="H1516" s="10" t="s">
        <v>2318</v>
      </c>
      <c r="I1516" s="10" t="s">
        <v>5105</v>
      </c>
      <c r="J1516" s="10" t="s">
        <v>5106</v>
      </c>
      <c r="K1516" s="10" t="s">
        <v>5107</v>
      </c>
      <c r="L1516" s="65" t="str">
        <f t="shared" si="118"/>
        <v>Tetouan|Morocco|-5,370000|35,570000|+0:00 Africa</v>
      </c>
      <c r="M1516" s="10" t="s">
        <v>5128</v>
      </c>
      <c r="N1516" s="10">
        <f t="shared" si="115"/>
        <v>0</v>
      </c>
      <c r="O1516" t="str">
        <f t="shared" si="119"/>
        <v/>
      </c>
      <c r="P1516" t="str">
        <f>IF(O1516=1,COUNTIF($O$2:O1516,1),"")</f>
        <v/>
      </c>
      <c r="Q1516" t="str">
        <f>IFERROR(INDEX($M$2:$M$2388,MATCH(ROWS($P$2:P1516),$P$2:$P$2388,0)),"")</f>
        <v/>
      </c>
    </row>
    <row r="1517" spans="1:17" ht="15" x14ac:dyDescent="0.25">
      <c r="A1517" s="10">
        <v>1463</v>
      </c>
      <c r="B1517" s="10" t="s">
        <v>5129</v>
      </c>
      <c r="C1517" s="880">
        <f t="shared" si="116"/>
        <v>-8.5299999999999994</v>
      </c>
      <c r="D1517" s="880">
        <f t="shared" si="117"/>
        <v>32.25</v>
      </c>
      <c r="E1517" s="10">
        <v>-8.5299999999999994</v>
      </c>
      <c r="F1517" s="10">
        <v>32.25</v>
      </c>
      <c r="G1517" s="10">
        <v>0</v>
      </c>
      <c r="H1517" s="10" t="s">
        <v>2318</v>
      </c>
      <c r="I1517" s="10" t="s">
        <v>5105</v>
      </c>
      <c r="J1517" s="10" t="s">
        <v>5106</v>
      </c>
      <c r="K1517" s="10" t="s">
        <v>5107</v>
      </c>
      <c r="L1517" s="65" t="str">
        <f t="shared" si="118"/>
        <v>Youssoufia|Morocco|-8,530000|32,250000|+0:00 Africa</v>
      </c>
      <c r="M1517" s="10" t="s">
        <v>5130</v>
      </c>
      <c r="N1517" s="10">
        <f t="shared" si="115"/>
        <v>0</v>
      </c>
      <c r="O1517" t="str">
        <f t="shared" si="119"/>
        <v/>
      </c>
      <c r="P1517" t="str">
        <f>IF(O1517=1,COUNTIF($O$2:O1517,1),"")</f>
        <v/>
      </c>
      <c r="Q1517" t="str">
        <f>IFERROR(INDEX($M$2:$M$2388,MATCH(ROWS($P$2:P1517),$P$2:$P$2388,0)),"")</f>
        <v/>
      </c>
    </row>
    <row r="1518" spans="1:17" ht="15" x14ac:dyDescent="0.25">
      <c r="A1518" s="10">
        <v>1462</v>
      </c>
      <c r="B1518" s="10" t="s">
        <v>5131</v>
      </c>
      <c r="C1518" s="880">
        <f t="shared" si="116"/>
        <v>-5.83</v>
      </c>
      <c r="D1518" s="880">
        <f t="shared" si="117"/>
        <v>30.309899999999999</v>
      </c>
      <c r="E1518" s="10">
        <v>-5.83</v>
      </c>
      <c r="F1518" s="10">
        <v>30.309999000000001</v>
      </c>
      <c r="G1518" s="10">
        <v>0</v>
      </c>
      <c r="H1518" s="10" t="s">
        <v>2318</v>
      </c>
      <c r="I1518" s="10" t="s">
        <v>5105</v>
      </c>
      <c r="J1518" s="10" t="s">
        <v>5106</v>
      </c>
      <c r="K1518" s="10" t="s">
        <v>5107</v>
      </c>
      <c r="L1518" s="65" t="str">
        <f t="shared" si="118"/>
        <v>Zagora|Morocco|-5,830000|30,309999|+0:00 Africa</v>
      </c>
      <c r="M1518" s="10" t="s">
        <v>5132</v>
      </c>
      <c r="N1518" s="10">
        <f t="shared" si="115"/>
        <v>0</v>
      </c>
      <c r="O1518" t="str">
        <f t="shared" si="119"/>
        <v/>
      </c>
      <c r="P1518" t="str">
        <f>IF(O1518=1,COUNTIF($O$2:O1518,1),"")</f>
        <v/>
      </c>
      <c r="Q1518" t="str">
        <f>IFERROR(INDEX($M$2:$M$2388,MATCH(ROWS($P$2:P1518),$P$2:$P$2388,0)),"")</f>
        <v/>
      </c>
    </row>
    <row r="1519" spans="1:17" ht="15" x14ac:dyDescent="0.25">
      <c r="A1519" s="10">
        <v>1461</v>
      </c>
      <c r="B1519" s="10" t="s">
        <v>5133</v>
      </c>
      <c r="C1519" s="880">
        <f t="shared" si="116"/>
        <v>-2.73</v>
      </c>
      <c r="D1519" s="880">
        <f t="shared" si="117"/>
        <v>34.93</v>
      </c>
      <c r="E1519" s="10">
        <v>-2.73</v>
      </c>
      <c r="F1519" s="10">
        <v>34.93</v>
      </c>
      <c r="G1519" s="10">
        <v>0</v>
      </c>
      <c r="H1519" s="10" t="s">
        <v>2318</v>
      </c>
      <c r="I1519" s="10" t="s">
        <v>5105</v>
      </c>
      <c r="J1519" s="10" t="s">
        <v>5106</v>
      </c>
      <c r="K1519" s="10" t="s">
        <v>5107</v>
      </c>
      <c r="L1519" s="65" t="str">
        <f t="shared" si="118"/>
        <v>Zaio|Morocco|-2,730000|34,930000|+0:00 Africa</v>
      </c>
      <c r="M1519" s="10" t="s">
        <v>5134</v>
      </c>
      <c r="N1519" s="10">
        <f t="shared" si="115"/>
        <v>0</v>
      </c>
      <c r="O1519" t="str">
        <f t="shared" si="119"/>
        <v/>
      </c>
      <c r="P1519" t="str">
        <f>IF(O1519=1,COUNTIF($O$2:O1519,1),"")</f>
        <v/>
      </c>
      <c r="Q1519" t="str">
        <f>IFERROR(INDEX($M$2:$M$2388,MATCH(ROWS($P$2:P1519),$P$2:$P$2388,0)),"")</f>
        <v/>
      </c>
    </row>
    <row r="1520" spans="1:17" ht="15" x14ac:dyDescent="0.25">
      <c r="A1520" s="10">
        <v>1626</v>
      </c>
      <c r="B1520" s="10" t="s">
        <v>5135</v>
      </c>
      <c r="C1520" s="880">
        <f t="shared" si="116"/>
        <v>34.838799999999999</v>
      </c>
      <c r="D1520" s="880">
        <f t="shared" si="117"/>
        <v>-19.843599999999999</v>
      </c>
      <c r="E1520" s="10">
        <v>34.838889999999999</v>
      </c>
      <c r="F1520" s="10">
        <v>-19.843610999999999</v>
      </c>
      <c r="G1520" s="10">
        <v>2</v>
      </c>
      <c r="H1520" s="10" t="s">
        <v>1938</v>
      </c>
      <c r="I1520" s="10" t="s">
        <v>5136</v>
      </c>
      <c r="J1520" s="10" t="s">
        <v>5137</v>
      </c>
      <c r="K1520" s="10" t="s">
        <v>5138</v>
      </c>
      <c r="L1520" s="65" t="str">
        <f t="shared" si="118"/>
        <v>Beira|Mozambique|34,838890|-19,843611|+2:00 Africa</v>
      </c>
      <c r="M1520" s="10" t="s">
        <v>5139</v>
      </c>
      <c r="N1520" s="10">
        <f t="shared" si="115"/>
        <v>0</v>
      </c>
      <c r="O1520" t="str">
        <f t="shared" si="119"/>
        <v/>
      </c>
      <c r="P1520" t="str">
        <f>IF(O1520=1,COUNTIF($O$2:O1520,1),"")</f>
        <v/>
      </c>
      <c r="Q1520" t="str">
        <f>IFERROR(INDEX($M$2:$M$2388,MATCH(ROWS($P$2:P1520),$P$2:$P$2388,0)),"")</f>
        <v/>
      </c>
    </row>
    <row r="1521" spans="1:17" ht="15" x14ac:dyDescent="0.25">
      <c r="A1521" s="10">
        <v>1625</v>
      </c>
      <c r="B1521" s="10" t="s">
        <v>5140</v>
      </c>
      <c r="C1521" s="880">
        <f t="shared" si="116"/>
        <v>33.4833</v>
      </c>
      <c r="D1521" s="880">
        <f t="shared" si="117"/>
        <v>-19.116299999999999</v>
      </c>
      <c r="E1521" s="10">
        <v>33.483333999999999</v>
      </c>
      <c r="F1521" s="10">
        <v>-19.116388000000001</v>
      </c>
      <c r="G1521" s="10">
        <v>2</v>
      </c>
      <c r="H1521" s="10" t="s">
        <v>1938</v>
      </c>
      <c r="I1521" s="10" t="s">
        <v>5136</v>
      </c>
      <c r="J1521" s="10" t="s">
        <v>5137</v>
      </c>
      <c r="K1521" s="10" t="s">
        <v>5138</v>
      </c>
      <c r="L1521" s="65" t="str">
        <f t="shared" si="118"/>
        <v>Chimoio|Mozambique|33,483334|-19,116388|+2:00 Africa</v>
      </c>
      <c r="M1521" s="10" t="s">
        <v>5141</v>
      </c>
      <c r="N1521" s="10">
        <f t="shared" si="115"/>
        <v>0</v>
      </c>
      <c r="O1521" t="str">
        <f t="shared" si="119"/>
        <v/>
      </c>
      <c r="P1521" t="str">
        <f>IF(O1521=1,COUNTIF($O$2:O1521,1),"")</f>
        <v/>
      </c>
      <c r="Q1521" t="str">
        <f>IFERROR(INDEX($M$2:$M$2388,MATCH(ROWS($P$2:P1521),$P$2:$P$2388,0)),"")</f>
        <v/>
      </c>
    </row>
    <row r="1522" spans="1:17" ht="15" x14ac:dyDescent="0.25">
      <c r="A1522" s="10">
        <v>1622</v>
      </c>
      <c r="B1522" s="10" t="s">
        <v>5142</v>
      </c>
      <c r="C1522" s="880">
        <f t="shared" si="116"/>
        <v>40.672699999999999</v>
      </c>
      <c r="D1522" s="880">
        <f t="shared" si="117"/>
        <v>-14.5427</v>
      </c>
      <c r="E1522" s="10">
        <v>40.672778999999998</v>
      </c>
      <c r="F1522" s="10">
        <v>-14.542778</v>
      </c>
      <c r="G1522" s="10">
        <v>2</v>
      </c>
      <c r="H1522" s="10" t="s">
        <v>1938</v>
      </c>
      <c r="I1522" s="10" t="s">
        <v>5136</v>
      </c>
      <c r="J1522" s="10" t="s">
        <v>5137</v>
      </c>
      <c r="K1522" s="10" t="s">
        <v>5138</v>
      </c>
      <c r="L1522" s="65" t="str">
        <f t="shared" si="118"/>
        <v>Cidade de Nacala|Mozambique|40,672779|-14,542778|+2:00 Africa</v>
      </c>
      <c r="M1522" s="10" t="s">
        <v>5143</v>
      </c>
      <c r="N1522" s="10">
        <f t="shared" si="115"/>
        <v>0</v>
      </c>
      <c r="O1522" t="str">
        <f t="shared" si="119"/>
        <v/>
      </c>
      <c r="P1522" t="str">
        <f>IF(O1522=1,COUNTIF($O$2:O1522,1),"")</f>
        <v/>
      </c>
      <c r="Q1522" t="str">
        <f>IFERROR(INDEX($M$2:$M$2388,MATCH(ROWS($P$2:P1522),$P$2:$P$2388,0)),"")</f>
        <v/>
      </c>
    </row>
    <row r="1523" spans="1:17" ht="15" x14ac:dyDescent="0.25">
      <c r="A1523" s="10">
        <v>1619</v>
      </c>
      <c r="B1523" s="10" t="s">
        <v>5144</v>
      </c>
      <c r="C1523" s="880">
        <f t="shared" si="116"/>
        <v>34.743000000000002</v>
      </c>
      <c r="D1523" s="880">
        <f t="shared" si="117"/>
        <v>-19.609400000000001</v>
      </c>
      <c r="E1523" s="10">
        <v>34.743057</v>
      </c>
      <c r="F1523" s="10">
        <v>-19.609444</v>
      </c>
      <c r="G1523" s="10">
        <v>2</v>
      </c>
      <c r="H1523" s="10" t="s">
        <v>1938</v>
      </c>
      <c r="I1523" s="10" t="s">
        <v>5136</v>
      </c>
      <c r="J1523" s="10" t="s">
        <v>5137</v>
      </c>
      <c r="K1523" s="10" t="s">
        <v>5138</v>
      </c>
      <c r="L1523" s="65" t="str">
        <f t="shared" si="118"/>
        <v>Dondo|Mozambique|34,743057|-19,609444|+2:00 Africa</v>
      </c>
      <c r="M1523" s="10" t="s">
        <v>5145</v>
      </c>
      <c r="N1523" s="10">
        <f t="shared" si="115"/>
        <v>0</v>
      </c>
      <c r="O1523" t="str">
        <f t="shared" si="119"/>
        <v/>
      </c>
      <c r="P1523" t="str">
        <f>IF(O1523=1,COUNTIF($O$2:O1523,1),"")</f>
        <v/>
      </c>
      <c r="Q1523" t="str">
        <f>IFERROR(INDEX($M$2:$M$2388,MATCH(ROWS($P$2:P1523),$P$2:$P$2388,0)),"")</f>
        <v/>
      </c>
    </row>
    <row r="1524" spans="1:17" ht="15" x14ac:dyDescent="0.25">
      <c r="A1524" s="10">
        <v>1620</v>
      </c>
      <c r="B1524" s="10" t="s">
        <v>5146</v>
      </c>
      <c r="C1524" s="880">
        <f t="shared" si="116"/>
        <v>33.098799999999997</v>
      </c>
      <c r="D1524" s="880">
        <f t="shared" si="117"/>
        <v>-25.026900000000001</v>
      </c>
      <c r="E1524" s="10">
        <v>33.098888000000002</v>
      </c>
      <c r="F1524" s="10">
        <v>-25.026945000000001</v>
      </c>
      <c r="G1524" s="10">
        <v>2</v>
      </c>
      <c r="H1524" s="10" t="s">
        <v>1938</v>
      </c>
      <c r="I1524" s="10" t="s">
        <v>5136</v>
      </c>
      <c r="J1524" s="10" t="s">
        <v>5137</v>
      </c>
      <c r="K1524" s="10" t="s">
        <v>5138</v>
      </c>
      <c r="L1524" s="65" t="str">
        <f t="shared" si="118"/>
        <v>Macia|Mozambique|33,098888|-25,026945|+2:00 Africa</v>
      </c>
      <c r="M1524" s="10" t="s">
        <v>5147</v>
      </c>
      <c r="N1524" s="10">
        <f t="shared" si="115"/>
        <v>0</v>
      </c>
      <c r="O1524" t="str">
        <f t="shared" si="119"/>
        <v/>
      </c>
      <c r="P1524" t="str">
        <f>IF(O1524=1,COUNTIF($O$2:O1524,1),"")</f>
        <v/>
      </c>
      <c r="Q1524" t="str">
        <f>IFERROR(INDEX($M$2:$M$2388,MATCH(ROWS($P$2:P1524),$P$2:$P$2388,0)),"")</f>
        <v/>
      </c>
    </row>
    <row r="1525" spans="1:17" ht="15" x14ac:dyDescent="0.25">
      <c r="A1525" s="10">
        <v>1624</v>
      </c>
      <c r="B1525" s="10" t="s">
        <v>5148</v>
      </c>
      <c r="C1525" s="880">
        <f t="shared" si="116"/>
        <v>32.589100000000002</v>
      </c>
      <c r="D1525" s="880">
        <f t="shared" si="117"/>
        <v>-25.965199999999999</v>
      </c>
      <c r="E1525" s="10">
        <v>32.589168999999998</v>
      </c>
      <c r="F1525" s="10">
        <v>-25.965278999999999</v>
      </c>
      <c r="G1525" s="10">
        <v>2</v>
      </c>
      <c r="H1525" s="10" t="s">
        <v>1938</v>
      </c>
      <c r="I1525" s="10" t="s">
        <v>5136</v>
      </c>
      <c r="J1525" s="10" t="s">
        <v>5137</v>
      </c>
      <c r="K1525" s="10" t="s">
        <v>5138</v>
      </c>
      <c r="L1525" s="65" t="str">
        <f t="shared" si="118"/>
        <v>Maputo|Mozambique|32,589169|-25,965279|+2:00 Africa</v>
      </c>
      <c r="M1525" s="10" t="s">
        <v>5149</v>
      </c>
      <c r="N1525" s="10">
        <f t="shared" si="115"/>
        <v>0</v>
      </c>
      <c r="O1525" t="str">
        <f t="shared" si="119"/>
        <v/>
      </c>
      <c r="P1525" t="str">
        <f>IF(O1525=1,COUNTIF($O$2:O1525,1),"")</f>
        <v/>
      </c>
      <c r="Q1525" t="str">
        <f>IFERROR(INDEX($M$2:$M$2388,MATCH(ROWS($P$2:P1525),$P$2:$P$2388,0)),"")</f>
        <v/>
      </c>
    </row>
    <row r="1526" spans="1:17" ht="15" x14ac:dyDescent="0.25">
      <c r="A1526" s="10">
        <v>1623</v>
      </c>
      <c r="B1526" s="10" t="s">
        <v>5150</v>
      </c>
      <c r="C1526" s="880">
        <f t="shared" si="116"/>
        <v>32.458799999999997</v>
      </c>
      <c r="D1526" s="880">
        <f t="shared" si="117"/>
        <v>-25.962199999999999</v>
      </c>
      <c r="E1526" s="10">
        <v>32.458888999999999</v>
      </c>
      <c r="F1526" s="10">
        <v>-25.962223000000002</v>
      </c>
      <c r="G1526" s="10">
        <v>2</v>
      </c>
      <c r="H1526" s="10" t="s">
        <v>1938</v>
      </c>
      <c r="I1526" s="10" t="s">
        <v>5136</v>
      </c>
      <c r="J1526" s="10" t="s">
        <v>5137</v>
      </c>
      <c r="K1526" s="10" t="s">
        <v>5138</v>
      </c>
      <c r="L1526" s="65" t="str">
        <f t="shared" si="118"/>
        <v>Matola|Mozambique|32,458889|-25,962223|+2:00 Africa</v>
      </c>
      <c r="M1526" s="10" t="s">
        <v>5151</v>
      </c>
      <c r="N1526" s="10">
        <f t="shared" si="115"/>
        <v>0</v>
      </c>
      <c r="O1526" t="str">
        <f t="shared" si="119"/>
        <v/>
      </c>
      <c r="P1526" t="str">
        <f>IF(O1526=1,COUNTIF($O$2:O1526,1),"")</f>
        <v/>
      </c>
      <c r="Q1526" t="str">
        <f>IFERROR(INDEX($M$2:$M$2388,MATCH(ROWS($P$2:P1526),$P$2:$P$2388,0)),"")</f>
        <v/>
      </c>
    </row>
    <row r="1527" spans="1:17" ht="15" x14ac:dyDescent="0.25">
      <c r="A1527" s="10">
        <v>1621</v>
      </c>
      <c r="B1527" s="10" t="s">
        <v>5152</v>
      </c>
      <c r="C1527" s="880">
        <f t="shared" si="116"/>
        <v>39.264699999999998</v>
      </c>
      <c r="D1527" s="880">
        <f t="shared" si="117"/>
        <v>-15.1197</v>
      </c>
      <c r="E1527" s="10">
        <v>39.264721000000002</v>
      </c>
      <c r="F1527" s="10">
        <v>-15.119721999999999</v>
      </c>
      <c r="G1527" s="10">
        <v>2</v>
      </c>
      <c r="H1527" s="10" t="s">
        <v>1938</v>
      </c>
      <c r="I1527" s="10" t="s">
        <v>5136</v>
      </c>
      <c r="J1527" s="10" t="s">
        <v>5137</v>
      </c>
      <c r="K1527" s="10" t="s">
        <v>5138</v>
      </c>
      <c r="L1527" s="65" t="str">
        <f t="shared" si="118"/>
        <v>Nampula|Mozambique|39,264721|-15,119722|+2:00 Africa</v>
      </c>
      <c r="M1527" s="10" t="s">
        <v>5153</v>
      </c>
      <c r="N1527" s="10">
        <f t="shared" si="115"/>
        <v>0</v>
      </c>
      <c r="O1527" t="str">
        <f t="shared" si="119"/>
        <v/>
      </c>
      <c r="P1527" t="str">
        <f>IF(O1527=1,COUNTIF($O$2:O1527,1),"")</f>
        <v/>
      </c>
      <c r="Q1527" t="str">
        <f>IFERROR(INDEX($M$2:$M$2388,MATCH(ROWS($P$2:P1527),$P$2:$P$2388,0)),"")</f>
        <v/>
      </c>
    </row>
    <row r="1528" spans="1:17" ht="15" x14ac:dyDescent="0.25">
      <c r="A1528" s="10">
        <v>1618</v>
      </c>
      <c r="B1528" s="10" t="s">
        <v>5154</v>
      </c>
      <c r="C1528" s="880">
        <f t="shared" si="116"/>
        <v>33.644100000000002</v>
      </c>
      <c r="D1528" s="880">
        <f t="shared" si="117"/>
        <v>-25.0519</v>
      </c>
      <c r="E1528" s="10">
        <v>33.644165000000001</v>
      </c>
      <c r="F1528" s="10">
        <v>-25.051945</v>
      </c>
      <c r="G1528" s="10">
        <v>2</v>
      </c>
      <c r="H1528" s="10" t="s">
        <v>1938</v>
      </c>
      <c r="I1528" s="10" t="s">
        <v>5136</v>
      </c>
      <c r="J1528" s="10" t="s">
        <v>5137</v>
      </c>
      <c r="K1528" s="10" t="s">
        <v>5138</v>
      </c>
      <c r="L1528" s="65" t="str">
        <f t="shared" si="118"/>
        <v>Xai-Xai|Mozambique|33,644165|-25,051945|+2:00 Africa</v>
      </c>
      <c r="M1528" s="10" t="s">
        <v>5155</v>
      </c>
      <c r="N1528" s="10">
        <f t="shared" si="115"/>
        <v>0</v>
      </c>
      <c r="O1528" t="str">
        <f t="shared" si="119"/>
        <v/>
      </c>
      <c r="P1528" t="str">
        <f>IF(O1528=1,COUNTIF($O$2:O1528,1),"")</f>
        <v/>
      </c>
      <c r="Q1528" t="str">
        <f>IFERROR(INDEX($M$2:$M$2388,MATCH(ROWS($P$2:P1528),$P$2:$P$2388,0)),"")</f>
        <v/>
      </c>
    </row>
    <row r="1529" spans="1:17" ht="15" x14ac:dyDescent="0.25">
      <c r="A1529" s="10">
        <v>1627</v>
      </c>
      <c r="B1529" s="10" t="s">
        <v>5156</v>
      </c>
      <c r="C1529" s="880">
        <f t="shared" si="116"/>
        <v>24.2666</v>
      </c>
      <c r="D1529" s="880">
        <f t="shared" si="117"/>
        <v>-17.5</v>
      </c>
      <c r="E1529" s="10">
        <v>24.266666000000001</v>
      </c>
      <c r="F1529" s="10">
        <v>-17.5</v>
      </c>
      <c r="G1529" s="10">
        <v>2</v>
      </c>
      <c r="H1529" s="10" t="s">
        <v>1938</v>
      </c>
      <c r="I1529" s="10" t="s">
        <v>5157</v>
      </c>
      <c r="J1529" s="10" t="s">
        <v>4622</v>
      </c>
      <c r="K1529" s="10" t="s">
        <v>5158</v>
      </c>
      <c r="L1529" s="65" t="str">
        <f t="shared" si="118"/>
        <v>Katima Mulilo|Nairobi|24,266666|-17,500000|+2:00 Africa</v>
      </c>
      <c r="M1529" s="10" t="s">
        <v>5159</v>
      </c>
      <c r="N1529" s="10">
        <f t="shared" si="115"/>
        <v>0</v>
      </c>
      <c r="O1529" t="str">
        <f t="shared" si="119"/>
        <v/>
      </c>
      <c r="P1529" t="str">
        <f>IF(O1529=1,COUNTIF($O$2:O1529,1),"")</f>
        <v/>
      </c>
      <c r="Q1529" t="str">
        <f>IFERROR(INDEX($M$2:$M$2388,MATCH(ROWS($P$2:P1529),$P$2:$P$2388,0)),"")</f>
        <v/>
      </c>
    </row>
    <row r="1530" spans="1:17" ht="15" x14ac:dyDescent="0.25">
      <c r="A1530" s="10">
        <v>1629</v>
      </c>
      <c r="B1530" s="10" t="s">
        <v>5160</v>
      </c>
      <c r="C1530" s="880">
        <f t="shared" si="116"/>
        <v>18.7333</v>
      </c>
      <c r="D1530" s="880">
        <f t="shared" si="117"/>
        <v>-28.45</v>
      </c>
      <c r="E1530" s="10">
        <v>18.733333999999999</v>
      </c>
      <c r="F1530" s="10">
        <v>-28.450001</v>
      </c>
      <c r="G1530" s="10">
        <v>2</v>
      </c>
      <c r="H1530" s="10" t="s">
        <v>1938</v>
      </c>
      <c r="I1530" s="10" t="s">
        <v>5157</v>
      </c>
      <c r="J1530" s="10" t="s">
        <v>4622</v>
      </c>
      <c r="K1530" s="10" t="s">
        <v>5158</v>
      </c>
      <c r="L1530" s="65" t="str">
        <f t="shared" si="118"/>
        <v>Warmbad|Nairobi|18,733334|-28,450001|+2:00 Africa</v>
      </c>
      <c r="M1530" s="10" t="s">
        <v>5161</v>
      </c>
      <c r="N1530" s="10">
        <f t="shared" si="115"/>
        <v>0</v>
      </c>
      <c r="O1530" t="str">
        <f t="shared" si="119"/>
        <v/>
      </c>
      <c r="P1530" t="str">
        <f>IF(O1530=1,COUNTIF($O$2:O1530,1),"")</f>
        <v/>
      </c>
      <c r="Q1530" t="str">
        <f>IFERROR(INDEX($M$2:$M$2388,MATCH(ROWS($P$2:P1530),$P$2:$P$2388,0)),"")</f>
        <v/>
      </c>
    </row>
    <row r="1531" spans="1:17" ht="15" x14ac:dyDescent="0.25">
      <c r="A1531" s="10">
        <v>1628</v>
      </c>
      <c r="B1531" s="10" t="s">
        <v>5162</v>
      </c>
      <c r="C1531" s="880">
        <f t="shared" si="116"/>
        <v>17.083600000000001</v>
      </c>
      <c r="D1531" s="880">
        <f t="shared" si="117"/>
        <v>-22.57</v>
      </c>
      <c r="E1531" s="10">
        <v>17.083611000000001</v>
      </c>
      <c r="F1531" s="10">
        <v>-22.57</v>
      </c>
      <c r="G1531" s="10">
        <v>2</v>
      </c>
      <c r="H1531" s="10" t="s">
        <v>1938</v>
      </c>
      <c r="I1531" s="10" t="s">
        <v>5157</v>
      </c>
      <c r="J1531" s="10" t="s">
        <v>4622</v>
      </c>
      <c r="K1531" s="10" t="s">
        <v>5158</v>
      </c>
      <c r="L1531" s="65" t="str">
        <f t="shared" si="118"/>
        <v>Windhoek|Nairobi|17,083611|-22,570000|+2:00 Africa</v>
      </c>
      <c r="M1531" s="10" t="s">
        <v>5163</v>
      </c>
      <c r="N1531" s="10">
        <f t="shared" si="115"/>
        <v>0</v>
      </c>
      <c r="O1531" t="str">
        <f t="shared" si="119"/>
        <v/>
      </c>
      <c r="P1531" t="str">
        <f>IF(O1531=1,COUNTIF($O$2:O1531,1),"")</f>
        <v/>
      </c>
      <c r="Q1531" t="str">
        <f>IFERROR(INDEX($M$2:$M$2388,MATCH(ROWS($P$2:P1531),$P$2:$P$2388,0)),"")</f>
        <v/>
      </c>
    </row>
    <row r="1532" spans="1:17" ht="15" x14ac:dyDescent="0.25">
      <c r="A1532" s="10">
        <v>1702</v>
      </c>
      <c r="B1532" s="10" t="s">
        <v>5164</v>
      </c>
      <c r="C1532" s="880">
        <f t="shared" si="116"/>
        <v>85.316599999999994</v>
      </c>
      <c r="D1532" s="880">
        <f t="shared" si="117"/>
        <v>27.7166</v>
      </c>
      <c r="E1532" s="10">
        <v>85.316665999999998</v>
      </c>
      <c r="F1532" s="10">
        <v>27.716667000000001</v>
      </c>
      <c r="G1532" s="10">
        <v>5.75</v>
      </c>
      <c r="H1532" s="10" t="s">
        <v>5165</v>
      </c>
      <c r="I1532" s="10" t="s">
        <v>5166</v>
      </c>
      <c r="J1532" s="10" t="s">
        <v>5167</v>
      </c>
      <c r="K1532" s="10" t="s">
        <v>5168</v>
      </c>
      <c r="L1532" s="65" t="str">
        <f t="shared" si="118"/>
        <v>Kathmandu|Nepal|85,316666|27,716667|+5:45 Asia</v>
      </c>
      <c r="M1532" s="10" t="s">
        <v>5169</v>
      </c>
      <c r="N1532" s="10">
        <f t="shared" si="115"/>
        <v>0</v>
      </c>
      <c r="O1532" t="str">
        <f t="shared" si="119"/>
        <v/>
      </c>
      <c r="P1532" t="str">
        <f>IF(O1532=1,COUNTIF($O$2:O1532,1),"")</f>
        <v/>
      </c>
      <c r="Q1532" t="str">
        <f>IFERROR(INDEX($M$2:$M$2388,MATCH(ROWS($P$2:P1532),$P$2:$P$2388,0)),"")</f>
        <v/>
      </c>
    </row>
    <row r="1533" spans="1:17" ht="15" x14ac:dyDescent="0.25">
      <c r="A1533" s="10">
        <v>1701</v>
      </c>
      <c r="B1533" s="10" t="s">
        <v>5170</v>
      </c>
      <c r="C1533" s="880">
        <f t="shared" si="116"/>
        <v>81.133300000000006</v>
      </c>
      <c r="D1533" s="880">
        <f t="shared" si="117"/>
        <v>28.5</v>
      </c>
      <c r="E1533" s="10">
        <v>81.133330999999998</v>
      </c>
      <c r="F1533" s="10">
        <v>28.5</v>
      </c>
      <c r="G1533" s="10">
        <v>5.75</v>
      </c>
      <c r="H1533" s="10" t="s">
        <v>5165</v>
      </c>
      <c r="I1533" s="10" t="s">
        <v>5166</v>
      </c>
      <c r="J1533" s="10" t="s">
        <v>5167</v>
      </c>
      <c r="K1533" s="10" t="s">
        <v>5168</v>
      </c>
      <c r="L1533" s="65" t="str">
        <f t="shared" si="118"/>
        <v>Tikapur|Nepal|81,133331|28,500000|+5:45 Asia</v>
      </c>
      <c r="M1533" s="10" t="s">
        <v>5171</v>
      </c>
      <c r="N1533" s="10">
        <f t="shared" si="115"/>
        <v>0</v>
      </c>
      <c r="O1533" t="str">
        <f t="shared" si="119"/>
        <v/>
      </c>
      <c r="P1533" t="str">
        <f>IF(O1533=1,COUNTIF($O$2:O1533,1),"")</f>
        <v/>
      </c>
      <c r="Q1533" t="str">
        <f>IFERROR(INDEX($M$2:$M$2388,MATCH(ROWS($P$2:P1533),$P$2:$P$2388,0)),"")</f>
        <v/>
      </c>
    </row>
    <row r="1534" spans="1:17" ht="15" x14ac:dyDescent="0.25">
      <c r="A1534" s="10">
        <v>1700</v>
      </c>
      <c r="B1534" s="10" t="s">
        <v>5172</v>
      </c>
      <c r="C1534" s="880">
        <f t="shared" si="116"/>
        <v>82.3</v>
      </c>
      <c r="D1534" s="880">
        <f t="shared" si="117"/>
        <v>28.133299999999998</v>
      </c>
      <c r="E1534" s="10">
        <v>82.300003000000004</v>
      </c>
      <c r="F1534" s="10">
        <v>28.133333</v>
      </c>
      <c r="G1534" s="10">
        <v>5.75</v>
      </c>
      <c r="H1534" s="10" t="s">
        <v>5165</v>
      </c>
      <c r="I1534" s="10" t="s">
        <v>5166</v>
      </c>
      <c r="J1534" s="10" t="s">
        <v>5167</v>
      </c>
      <c r="K1534" s="10" t="s">
        <v>5168</v>
      </c>
      <c r="L1534" s="65" t="str">
        <f t="shared" si="118"/>
        <v>Tulsipur|Nepal|82,300003|28,133333|+5:45 Asia</v>
      </c>
      <c r="M1534" s="10" t="s">
        <v>5173</v>
      </c>
      <c r="N1534" s="10">
        <f t="shared" si="115"/>
        <v>0</v>
      </c>
      <c r="O1534" t="str">
        <f t="shared" si="119"/>
        <v/>
      </c>
      <c r="P1534" t="str">
        <f>IF(O1534=1,COUNTIF($O$2:O1534,1),"")</f>
        <v/>
      </c>
      <c r="Q1534" t="str">
        <f>IFERROR(INDEX($M$2:$M$2388,MATCH(ROWS($P$2:P1534),$P$2:$P$2388,0)),"")</f>
        <v/>
      </c>
    </row>
    <row r="1535" spans="1:17" ht="15" x14ac:dyDescent="0.25">
      <c r="A1535" s="10">
        <v>1699</v>
      </c>
      <c r="B1535" s="10" t="s">
        <v>5174</v>
      </c>
      <c r="C1535" s="880">
        <f t="shared" si="116"/>
        <v>83.766599999999997</v>
      </c>
      <c r="D1535" s="880">
        <f t="shared" si="117"/>
        <v>27.9833</v>
      </c>
      <c r="E1535" s="10">
        <v>83.766670000000005</v>
      </c>
      <c r="F1535" s="10">
        <v>27.983333999999999</v>
      </c>
      <c r="G1535" s="10">
        <v>5.75</v>
      </c>
      <c r="H1535" s="10" t="s">
        <v>5165</v>
      </c>
      <c r="I1535" s="10" t="s">
        <v>5166</v>
      </c>
      <c r="J1535" s="10" t="s">
        <v>5167</v>
      </c>
      <c r="K1535" s="10" t="s">
        <v>5168</v>
      </c>
      <c r="L1535" s="65" t="str">
        <f t="shared" si="118"/>
        <v>Waling|Nepal|83,766670|27,983334|+5:45 Asia</v>
      </c>
      <c r="M1535" s="10" t="s">
        <v>5175</v>
      </c>
      <c r="N1535" s="10">
        <f t="shared" si="115"/>
        <v>0</v>
      </c>
      <c r="O1535" t="str">
        <f t="shared" si="119"/>
        <v/>
      </c>
      <c r="P1535" t="str">
        <f>IF(O1535=1,COUNTIF($O$2:O1535,1),"")</f>
        <v/>
      </c>
      <c r="Q1535" t="str">
        <f>IFERROR(INDEX($M$2:$M$2388,MATCH(ROWS($P$2:P1535),$P$2:$P$2388,0)),"")</f>
        <v/>
      </c>
    </row>
    <row r="1536" spans="1:17" ht="15" x14ac:dyDescent="0.25">
      <c r="A1536" s="10">
        <v>1693</v>
      </c>
      <c r="B1536" s="10" t="s">
        <v>5176</v>
      </c>
      <c r="C1536" s="880">
        <f t="shared" si="116"/>
        <v>4.8998999999999997</v>
      </c>
      <c r="D1536" s="880">
        <f t="shared" si="117"/>
        <v>52.372999999999998</v>
      </c>
      <c r="E1536" s="10">
        <v>4.899902</v>
      </c>
      <c r="F1536" s="10">
        <v>52.373085000000003</v>
      </c>
      <c r="G1536" s="10">
        <v>1</v>
      </c>
      <c r="H1536" s="10" t="s">
        <v>1670</v>
      </c>
      <c r="I1536" s="10" t="s">
        <v>5177</v>
      </c>
      <c r="J1536" s="10" t="s">
        <v>5178</v>
      </c>
      <c r="K1536" s="10" t="s">
        <v>5179</v>
      </c>
      <c r="L1536" s="65" t="str">
        <f t="shared" si="118"/>
        <v>Amsterdam|Netherlands|4,899902|52,373085|+1:00 Europe</v>
      </c>
      <c r="M1536" s="10" t="s">
        <v>5180</v>
      </c>
      <c r="N1536" s="10">
        <f t="shared" si="115"/>
        <v>0</v>
      </c>
      <c r="O1536" t="str">
        <f t="shared" si="119"/>
        <v/>
      </c>
      <c r="P1536" t="str">
        <f>IF(O1536=1,COUNTIF($O$2:O1536,1),"")</f>
        <v/>
      </c>
      <c r="Q1536" t="str">
        <f>IFERROR(INDEX($M$2:$M$2388,MATCH(ROWS($P$2:P1536),$P$2:$P$2388,0)),"")</f>
        <v/>
      </c>
    </row>
    <row r="1537" spans="1:17" ht="15" x14ac:dyDescent="0.25">
      <c r="A1537" s="10">
        <v>1692</v>
      </c>
      <c r="B1537" s="10" t="s">
        <v>5181</v>
      </c>
      <c r="C1537" s="880">
        <f t="shared" si="116"/>
        <v>5.4776999999999996</v>
      </c>
      <c r="D1537" s="880">
        <f t="shared" si="117"/>
        <v>51.440800000000003</v>
      </c>
      <c r="E1537" s="10">
        <v>5.4777779999999998</v>
      </c>
      <c r="F1537" s="10">
        <v>51.440834000000002</v>
      </c>
      <c r="G1537" s="10">
        <v>1</v>
      </c>
      <c r="H1537" s="10" t="s">
        <v>1670</v>
      </c>
      <c r="I1537" s="10" t="s">
        <v>5177</v>
      </c>
      <c r="J1537" s="10" t="s">
        <v>5178</v>
      </c>
      <c r="K1537" s="10" t="s">
        <v>5179</v>
      </c>
      <c r="L1537" s="65" t="str">
        <f t="shared" si="118"/>
        <v>Eindhoven|Netherlands|5,477778|51,440834|+1:00 Europe</v>
      </c>
      <c r="M1537" s="10" t="s">
        <v>5182</v>
      </c>
      <c r="N1537" s="10">
        <f t="shared" si="115"/>
        <v>0</v>
      </c>
      <c r="O1537" t="str">
        <f t="shared" si="119"/>
        <v/>
      </c>
      <c r="P1537" t="str">
        <f>IF(O1537=1,COUNTIF($O$2:O1537,1),"")</f>
        <v/>
      </c>
      <c r="Q1537" t="str">
        <f>IFERROR(INDEX($M$2:$M$2388,MATCH(ROWS($P$2:P1537),$P$2:$P$2388,0)),"")</f>
        <v/>
      </c>
    </row>
    <row r="1538" spans="1:17" ht="15" x14ac:dyDescent="0.25">
      <c r="A1538" s="10">
        <v>1691</v>
      </c>
      <c r="B1538" s="10" t="s">
        <v>5183</v>
      </c>
      <c r="C1538" s="880">
        <f t="shared" si="116"/>
        <v>4.4790999999999999</v>
      </c>
      <c r="D1538" s="880">
        <f t="shared" si="117"/>
        <v>51.922499999999999</v>
      </c>
      <c r="E1538" s="10">
        <v>4.4791670000000003</v>
      </c>
      <c r="F1538" s="10">
        <v>51.922500999999997</v>
      </c>
      <c r="G1538" s="10">
        <v>1</v>
      </c>
      <c r="H1538" s="10" t="s">
        <v>1670</v>
      </c>
      <c r="I1538" s="10" t="s">
        <v>5177</v>
      </c>
      <c r="J1538" s="10" t="s">
        <v>5178</v>
      </c>
      <c r="K1538" s="10" t="s">
        <v>5179</v>
      </c>
      <c r="L1538" s="65" t="str">
        <f t="shared" si="118"/>
        <v>Rotterdam|Netherlands|4,479167|51,922501|+1:00 Europe</v>
      </c>
      <c r="M1538" s="10" t="s">
        <v>5184</v>
      </c>
      <c r="N1538" s="10">
        <f t="shared" ref="N1538:N1601" si="120">--ISNUMBER(IFERROR(SEARCH($R$2,J1538,1),""))</f>
        <v>0</v>
      </c>
      <c r="O1538" t="str">
        <f t="shared" si="119"/>
        <v/>
      </c>
      <c r="P1538" t="str">
        <f>IF(O1538=1,COUNTIF($O$2:O1538,1),"")</f>
        <v/>
      </c>
      <c r="Q1538" t="str">
        <f>IFERROR(INDEX($M$2:$M$2388,MATCH(ROWS($P$2:P1538),$P$2:$P$2388,0)),"")</f>
        <v/>
      </c>
    </row>
    <row r="1539" spans="1:17" ht="15" x14ac:dyDescent="0.25">
      <c r="A1539" s="10">
        <v>1690</v>
      </c>
      <c r="B1539" s="10" t="s">
        <v>5185</v>
      </c>
      <c r="C1539" s="880">
        <f t="shared" ref="C1539:C1602" si="121">TRUNC(E1539,4)</f>
        <v>4.2986000000000004</v>
      </c>
      <c r="D1539" s="880">
        <f t="shared" ref="D1539:D1602" si="122">TRUNC(F1539,4)</f>
        <v>52.076599999999999</v>
      </c>
      <c r="E1539" s="10">
        <v>4.2986110000000002</v>
      </c>
      <c r="F1539" s="10">
        <v>52.076667999999998</v>
      </c>
      <c r="G1539" s="10">
        <v>1</v>
      </c>
      <c r="H1539" s="10" t="s">
        <v>1670</v>
      </c>
      <c r="I1539" s="10" t="s">
        <v>5177</v>
      </c>
      <c r="J1539" s="10" t="s">
        <v>5178</v>
      </c>
      <c r="K1539" s="10" t="s">
        <v>5179</v>
      </c>
      <c r="L1539" s="65" t="str">
        <f t="shared" ref="L1539:L1602" si="123">MID(M1539,1,LEN(M1539)-(LEN(K1539)-SEARCH("/",K1539)+1))</f>
        <v>The Hague|Netherlands|4,298611|52,076668|+1:00 Europe</v>
      </c>
      <c r="M1539" s="10" t="s">
        <v>5186</v>
      </c>
      <c r="N1539" s="10">
        <f t="shared" si="120"/>
        <v>0</v>
      </c>
      <c r="O1539" t="str">
        <f t="shared" ref="O1539:O1602" si="124">IF(N1539=0,"",--ISNUMBER(IFERROR(SEARCH($U$2,L1539,1),"")))</f>
        <v/>
      </c>
      <c r="P1539" t="str">
        <f>IF(O1539=1,COUNTIF($O$2:O1539,1),"")</f>
        <v/>
      </c>
      <c r="Q1539" t="str">
        <f>IFERROR(INDEX($M$2:$M$2388,MATCH(ROWS($P$2:P1539),$P$2:$P$2388,0)),"")</f>
        <v/>
      </c>
    </row>
    <row r="1540" spans="1:17" ht="15" x14ac:dyDescent="0.25">
      <c r="A1540" s="10">
        <v>1689</v>
      </c>
      <c r="B1540" s="10" t="s">
        <v>5187</v>
      </c>
      <c r="C1540" s="880">
        <f t="shared" si="121"/>
        <v>5.1222000000000003</v>
      </c>
      <c r="D1540" s="880">
        <f t="shared" si="122"/>
        <v>52.090800000000002</v>
      </c>
      <c r="E1540" s="10">
        <v>5.1222219999999998</v>
      </c>
      <c r="F1540" s="10">
        <v>52.090831999999999</v>
      </c>
      <c r="G1540" s="10">
        <v>1</v>
      </c>
      <c r="H1540" s="10" t="s">
        <v>1670</v>
      </c>
      <c r="I1540" s="10" t="s">
        <v>5177</v>
      </c>
      <c r="J1540" s="10" t="s">
        <v>5178</v>
      </c>
      <c r="K1540" s="10" t="s">
        <v>5179</v>
      </c>
      <c r="L1540" s="65" t="str">
        <f t="shared" si="123"/>
        <v>Utrecht|Netherlands|5,122222|52,090832|+1:00 Europe</v>
      </c>
      <c r="M1540" s="10" t="s">
        <v>5188</v>
      </c>
      <c r="N1540" s="10">
        <f t="shared" si="120"/>
        <v>0</v>
      </c>
      <c r="O1540" t="str">
        <f t="shared" si="124"/>
        <v/>
      </c>
      <c r="P1540" t="str">
        <f>IF(O1540=1,COUNTIF($O$2:O1540,1),"")</f>
        <v/>
      </c>
      <c r="Q1540" t="str">
        <f>IFERROR(INDEX($M$2:$M$2388,MATCH(ROWS($P$2:P1540),$P$2:$P$2388,0)),"")</f>
        <v/>
      </c>
    </row>
    <row r="1541" spans="1:17" ht="15" x14ac:dyDescent="0.25">
      <c r="A1541" s="10">
        <v>1688</v>
      </c>
      <c r="B1541" s="10" t="s">
        <v>5189</v>
      </c>
      <c r="C1541" s="880">
        <f t="shared" si="121"/>
        <v>6.0362999999999998</v>
      </c>
      <c r="D1541" s="880">
        <f t="shared" si="122"/>
        <v>53.257300000000001</v>
      </c>
      <c r="E1541" s="10">
        <v>6.0363009999999999</v>
      </c>
      <c r="F1541" s="10">
        <v>53.257305000000002</v>
      </c>
      <c r="G1541" s="10">
        <v>1</v>
      </c>
      <c r="H1541" s="10" t="s">
        <v>1670</v>
      </c>
      <c r="I1541" s="10" t="s">
        <v>5177</v>
      </c>
      <c r="J1541" s="10" t="s">
        <v>5178</v>
      </c>
      <c r="K1541" s="10" t="s">
        <v>5179</v>
      </c>
      <c r="L1541" s="65" t="str">
        <f t="shared" si="123"/>
        <v>Zwaagwesteinde|Netherlands|6,036301|53,257305|+1:00 Europe</v>
      </c>
      <c r="M1541" s="10" t="s">
        <v>5190</v>
      </c>
      <c r="N1541" s="10">
        <f t="shared" si="120"/>
        <v>0</v>
      </c>
      <c r="O1541" t="str">
        <f t="shared" si="124"/>
        <v/>
      </c>
      <c r="P1541" t="str">
        <f>IF(O1541=1,COUNTIF($O$2:O1541,1),"")</f>
        <v/>
      </c>
      <c r="Q1541" t="str">
        <f>IFERROR(INDEX($M$2:$M$2388,MATCH(ROWS($P$2:P1541),$P$2:$P$2388,0)),"")</f>
        <v/>
      </c>
    </row>
    <row r="1542" spans="1:17" ht="15" x14ac:dyDescent="0.25">
      <c r="A1542" s="10">
        <v>1687</v>
      </c>
      <c r="B1542" s="10" t="s">
        <v>1972</v>
      </c>
      <c r="C1542" s="880">
        <f t="shared" si="121"/>
        <v>4.6333000000000002</v>
      </c>
      <c r="D1542" s="880">
        <f t="shared" si="122"/>
        <v>51.817500000000003</v>
      </c>
      <c r="E1542" s="10">
        <v>4.6333330000000004</v>
      </c>
      <c r="F1542" s="10">
        <v>51.817501</v>
      </c>
      <c r="G1542" s="10">
        <v>1</v>
      </c>
      <c r="H1542" s="10" t="s">
        <v>1670</v>
      </c>
      <c r="I1542" s="10" t="s">
        <v>5177</v>
      </c>
      <c r="J1542" s="10" t="s">
        <v>5178</v>
      </c>
      <c r="K1542" s="10" t="s">
        <v>1960</v>
      </c>
      <c r="L1542" s="65" t="str">
        <f t="shared" si="123"/>
        <v>Zwijndrecht|Netherlands|4,633333|51,817501|+1:00 Europe</v>
      </c>
      <c r="M1542" s="10" t="s">
        <v>5191</v>
      </c>
      <c r="N1542" s="10">
        <f t="shared" si="120"/>
        <v>0</v>
      </c>
      <c r="O1542" t="str">
        <f t="shared" si="124"/>
        <v/>
      </c>
      <c r="P1542" t="str">
        <f>IF(O1542=1,COUNTIF($O$2:O1542,1),"")</f>
        <v/>
      </c>
      <c r="Q1542" t="str">
        <f>IFERROR(INDEX($M$2:$M$2388,MATCH(ROWS($P$2:P1542),$P$2:$P$2388,0)),"")</f>
        <v/>
      </c>
    </row>
    <row r="1543" spans="1:17" ht="15" x14ac:dyDescent="0.25">
      <c r="A1543" s="10">
        <v>1686</v>
      </c>
      <c r="B1543" s="10" t="s">
        <v>5192</v>
      </c>
      <c r="C1543" s="880">
        <f t="shared" si="121"/>
        <v>6.0944000000000003</v>
      </c>
      <c r="D1543" s="880">
        <f t="shared" si="122"/>
        <v>52.512500000000003</v>
      </c>
      <c r="E1543" s="10">
        <v>6.0944440000000002</v>
      </c>
      <c r="F1543" s="10">
        <v>52.512501</v>
      </c>
      <c r="G1543" s="10">
        <v>1</v>
      </c>
      <c r="H1543" s="10" t="s">
        <v>1670</v>
      </c>
      <c r="I1543" s="10" t="s">
        <v>5177</v>
      </c>
      <c r="J1543" s="10" t="s">
        <v>5178</v>
      </c>
      <c r="K1543" s="10" t="s">
        <v>5179</v>
      </c>
      <c r="L1543" s="65" t="str">
        <f t="shared" si="123"/>
        <v>Zwolle|Netherlands|6,094444|52,512501|+1:00 Europe</v>
      </c>
      <c r="M1543" s="10" t="s">
        <v>5193</v>
      </c>
      <c r="N1543" s="10">
        <f t="shared" si="120"/>
        <v>0</v>
      </c>
      <c r="O1543" t="str">
        <f t="shared" si="124"/>
        <v/>
      </c>
      <c r="P1543" t="str">
        <f>IF(O1543=1,COUNTIF($O$2:O1543,1),"")</f>
        <v/>
      </c>
      <c r="Q1543" t="str">
        <f>IFERROR(INDEX($M$2:$M$2388,MATCH(ROWS($P$2:P1543),$P$2:$P$2388,0)),"")</f>
        <v/>
      </c>
    </row>
    <row r="1544" spans="1:17" ht="15" x14ac:dyDescent="0.25">
      <c r="A1544" s="10">
        <v>1632</v>
      </c>
      <c r="B1544" s="10" t="s">
        <v>5194</v>
      </c>
      <c r="C1544" s="880">
        <f t="shared" si="121"/>
        <v>166.36660000000001</v>
      </c>
      <c r="D1544" s="880">
        <f t="shared" si="122"/>
        <v>-22.133299999999998</v>
      </c>
      <c r="E1544" s="10">
        <v>166.366669</v>
      </c>
      <c r="F1544" s="10">
        <v>-22.133333</v>
      </c>
      <c r="G1544" s="10">
        <v>11</v>
      </c>
      <c r="H1544" s="10" t="s">
        <v>5195</v>
      </c>
      <c r="I1544" s="10" t="s">
        <v>5196</v>
      </c>
      <c r="J1544" s="10" t="s">
        <v>5197</v>
      </c>
      <c r="K1544" s="10" t="s">
        <v>5198</v>
      </c>
      <c r="L1544" s="65" t="str">
        <f t="shared" si="123"/>
        <v>Paita|New Caledonia|166,366669|-22,133333|+11:00 Pacific</v>
      </c>
      <c r="M1544" s="10" t="s">
        <v>5199</v>
      </c>
      <c r="N1544" s="10">
        <f t="shared" si="120"/>
        <v>0</v>
      </c>
      <c r="O1544" t="str">
        <f t="shared" si="124"/>
        <v/>
      </c>
      <c r="P1544" t="str">
        <f>IF(O1544=1,COUNTIF($O$2:O1544,1),"")</f>
        <v/>
      </c>
      <c r="Q1544" t="str">
        <f>IFERROR(INDEX($M$2:$M$2388,MATCH(ROWS($P$2:P1544),$P$2:$P$2388,0)),"")</f>
        <v/>
      </c>
    </row>
    <row r="1545" spans="1:17" ht="15" x14ac:dyDescent="0.25">
      <c r="A1545" s="10">
        <v>1631</v>
      </c>
      <c r="B1545" s="10" t="s">
        <v>5200</v>
      </c>
      <c r="C1545" s="880">
        <f t="shared" si="121"/>
        <v>167.88329999999999</v>
      </c>
      <c r="D1545" s="880">
        <f t="shared" si="122"/>
        <v>-21.549900000000001</v>
      </c>
      <c r="E1545" s="10">
        <v>167.883331</v>
      </c>
      <c r="F1545" s="10">
        <v>-21.549999</v>
      </c>
      <c r="G1545" s="10">
        <v>11</v>
      </c>
      <c r="H1545" s="10" t="s">
        <v>5195</v>
      </c>
      <c r="I1545" s="10" t="s">
        <v>5196</v>
      </c>
      <c r="J1545" s="10" t="s">
        <v>5197</v>
      </c>
      <c r="K1545" s="10" t="s">
        <v>5198</v>
      </c>
      <c r="L1545" s="65" t="str">
        <f t="shared" si="123"/>
        <v>Tadine|New Caledonia|167,883331|-21,549999|+11:00 Pacific</v>
      </c>
      <c r="M1545" s="10" t="s">
        <v>5201</v>
      </c>
      <c r="N1545" s="10">
        <f t="shared" si="120"/>
        <v>0</v>
      </c>
      <c r="O1545" t="str">
        <f t="shared" si="124"/>
        <v/>
      </c>
      <c r="P1545" t="str">
        <f>IF(O1545=1,COUNTIF($O$2:O1545,1),"")</f>
        <v/>
      </c>
      <c r="Q1545" t="str">
        <f>IFERROR(INDEX($M$2:$M$2388,MATCH(ROWS($P$2:P1545),$P$2:$P$2388,0)),"")</f>
        <v/>
      </c>
    </row>
    <row r="1546" spans="1:17" ht="15" x14ac:dyDescent="0.25">
      <c r="A1546" s="10">
        <v>1630</v>
      </c>
      <c r="B1546" s="10" t="s">
        <v>6</v>
      </c>
      <c r="C1546" s="880">
        <f t="shared" si="121"/>
        <v>167.26660000000001</v>
      </c>
      <c r="D1546" s="880">
        <f t="shared" si="122"/>
        <v>-20.9</v>
      </c>
      <c r="E1546" s="10">
        <v>167.26666299999999</v>
      </c>
      <c r="F1546" s="10">
        <v>-20.9</v>
      </c>
      <c r="G1546" s="10">
        <v>11</v>
      </c>
      <c r="H1546" s="10" t="s">
        <v>5195</v>
      </c>
      <c r="I1546" s="10" t="s">
        <v>5196</v>
      </c>
      <c r="J1546" s="10" t="s">
        <v>5197</v>
      </c>
      <c r="K1546" s="10" t="s">
        <v>5198</v>
      </c>
      <c r="L1546" s="65" t="str">
        <f t="shared" si="123"/>
        <v>We|New Caledonia|167,266663|-20,900000|+11:00 Pacific</v>
      </c>
      <c r="M1546" s="10" t="s">
        <v>5202</v>
      </c>
      <c r="N1546" s="10">
        <f t="shared" si="120"/>
        <v>0</v>
      </c>
      <c r="O1546" t="str">
        <f t="shared" si="124"/>
        <v/>
      </c>
      <c r="P1546" t="str">
        <f>IF(O1546=1,COUNTIF($O$2:O1546,1),"")</f>
        <v/>
      </c>
      <c r="Q1546" t="str">
        <f>IFERROR(INDEX($M$2:$M$2388,MATCH(ROWS($P$2:P1546),$P$2:$P$2388,0)),"")</f>
        <v/>
      </c>
    </row>
    <row r="1547" spans="1:17" ht="15" x14ac:dyDescent="0.25">
      <c r="A1547" s="10">
        <v>1708</v>
      </c>
      <c r="B1547" s="10" t="s">
        <v>5203</v>
      </c>
      <c r="C1547" s="880">
        <f t="shared" si="121"/>
        <v>174.76660000000001</v>
      </c>
      <c r="D1547" s="880">
        <f t="shared" si="122"/>
        <v>-36.866599999999998</v>
      </c>
      <c r="E1547" s="10">
        <v>174.76666299999999</v>
      </c>
      <c r="F1547" s="10">
        <v>-36.866664999999998</v>
      </c>
      <c r="G1547" s="10">
        <v>12</v>
      </c>
      <c r="H1547" s="10" t="s">
        <v>3301</v>
      </c>
      <c r="I1547" s="10" t="s">
        <v>5204</v>
      </c>
      <c r="J1547" s="10" t="s">
        <v>5205</v>
      </c>
      <c r="K1547" s="10" t="s">
        <v>5206</v>
      </c>
      <c r="L1547" s="65" t="str">
        <f t="shared" si="123"/>
        <v>Auckland|New Zealand|174,766663|-36,866665|+12:00 Pacific</v>
      </c>
      <c r="M1547" s="10" t="s">
        <v>5207</v>
      </c>
      <c r="N1547" s="10">
        <f t="shared" si="120"/>
        <v>0</v>
      </c>
      <c r="O1547" t="str">
        <f t="shared" si="124"/>
        <v/>
      </c>
      <c r="P1547" t="str">
        <f>IF(O1547=1,COUNTIF($O$2:O1547,1),"")</f>
        <v/>
      </c>
      <c r="Q1547" t="str">
        <f>IFERROR(INDEX($M$2:$M$2388,MATCH(ROWS($P$2:P1547),$P$2:$P$2388,0)),"")</f>
        <v/>
      </c>
    </row>
    <row r="1548" spans="1:17" ht="15" x14ac:dyDescent="0.25">
      <c r="A1548" s="10">
        <v>1707</v>
      </c>
      <c r="B1548" s="10" t="s">
        <v>5208</v>
      </c>
      <c r="C1548" s="880">
        <f t="shared" si="121"/>
        <v>172.63329999999999</v>
      </c>
      <c r="D1548" s="880">
        <f t="shared" si="122"/>
        <v>-43.533299999999997</v>
      </c>
      <c r="E1548" s="10">
        <v>172.633331</v>
      </c>
      <c r="F1548" s="10">
        <v>-43.533332999999999</v>
      </c>
      <c r="G1548" s="10">
        <v>12</v>
      </c>
      <c r="H1548" s="10" t="s">
        <v>3301</v>
      </c>
      <c r="I1548" s="10" t="s">
        <v>5204</v>
      </c>
      <c r="J1548" s="10" t="s">
        <v>5205</v>
      </c>
      <c r="K1548" s="10" t="s">
        <v>5206</v>
      </c>
      <c r="L1548" s="65" t="str">
        <f t="shared" si="123"/>
        <v>Christchurch|New Zealand|172,633331|-43,533333|+12:00 Pacific</v>
      </c>
      <c r="M1548" s="10" t="s">
        <v>5209</v>
      </c>
      <c r="N1548" s="10">
        <f t="shared" si="120"/>
        <v>0</v>
      </c>
      <c r="O1548" t="str">
        <f t="shared" si="124"/>
        <v/>
      </c>
      <c r="P1548" t="str">
        <f>IF(O1548=1,COUNTIF($O$2:O1548,1),"")</f>
        <v/>
      </c>
      <c r="Q1548" t="str">
        <f>IFERROR(INDEX($M$2:$M$2388,MATCH(ROWS($P$2:P1548),$P$2:$P$2388,0)),"")</f>
        <v/>
      </c>
    </row>
    <row r="1549" spans="1:17" ht="15" x14ac:dyDescent="0.25">
      <c r="A1549" s="10">
        <v>1706</v>
      </c>
      <c r="B1549" s="10" t="s">
        <v>5210</v>
      </c>
      <c r="C1549" s="880">
        <f t="shared" si="121"/>
        <v>174.75</v>
      </c>
      <c r="D1549" s="880">
        <f t="shared" si="122"/>
        <v>-36.799900000000001</v>
      </c>
      <c r="E1549" s="10">
        <v>174.75</v>
      </c>
      <c r="F1549" s="10">
        <v>-36.799999</v>
      </c>
      <c r="G1549" s="10">
        <v>12</v>
      </c>
      <c r="H1549" s="10" t="s">
        <v>3301</v>
      </c>
      <c r="I1549" s="10" t="s">
        <v>5204</v>
      </c>
      <c r="J1549" s="10" t="s">
        <v>5205</v>
      </c>
      <c r="K1549" s="10" t="s">
        <v>5206</v>
      </c>
      <c r="L1549" s="65" t="str">
        <f t="shared" si="123"/>
        <v>North Shore|New Zealand|174,750000|-36,799999|+12:00 Pacific</v>
      </c>
      <c r="M1549" s="10" t="s">
        <v>5211</v>
      </c>
      <c r="N1549" s="10">
        <f t="shared" si="120"/>
        <v>0</v>
      </c>
      <c r="O1549" t="str">
        <f t="shared" si="124"/>
        <v/>
      </c>
      <c r="P1549" t="str">
        <f>IF(O1549=1,COUNTIF($O$2:O1549,1),"")</f>
        <v/>
      </c>
      <c r="Q1549" t="str">
        <f>IFERROR(INDEX($M$2:$M$2388,MATCH(ROWS($P$2:P1549),$P$2:$P$2388,0)),"")</f>
        <v/>
      </c>
    </row>
    <row r="1550" spans="1:17" ht="15" x14ac:dyDescent="0.25">
      <c r="A1550" s="10">
        <v>1705</v>
      </c>
      <c r="B1550" s="10" t="s">
        <v>5212</v>
      </c>
      <c r="C1550" s="880">
        <f t="shared" si="121"/>
        <v>174.75</v>
      </c>
      <c r="D1550" s="880">
        <f t="shared" si="122"/>
        <v>-37.25</v>
      </c>
      <c r="E1550" s="10">
        <v>174.75</v>
      </c>
      <c r="F1550" s="10">
        <v>-37.25</v>
      </c>
      <c r="G1550" s="10">
        <v>12</v>
      </c>
      <c r="H1550" s="10" t="s">
        <v>3301</v>
      </c>
      <c r="I1550" s="10" t="s">
        <v>5204</v>
      </c>
      <c r="J1550" s="10" t="s">
        <v>5205</v>
      </c>
      <c r="K1550" s="10" t="s">
        <v>5206</v>
      </c>
      <c r="L1550" s="65" t="str">
        <f t="shared" si="123"/>
        <v>Waiuku|New Zealand|174,750000|-37,250000|+12:00 Pacific</v>
      </c>
      <c r="M1550" s="10" t="s">
        <v>5213</v>
      </c>
      <c r="N1550" s="10">
        <f t="shared" si="120"/>
        <v>0</v>
      </c>
      <c r="O1550" t="str">
        <f t="shared" si="124"/>
        <v/>
      </c>
      <c r="P1550" t="str">
        <f>IF(O1550=1,COUNTIF($O$2:O1550,1),"")</f>
        <v/>
      </c>
      <c r="Q1550" t="str">
        <f>IFERROR(INDEX($M$2:$M$2388,MATCH(ROWS($P$2:P1550),$P$2:$P$2388,0)),"")</f>
        <v/>
      </c>
    </row>
    <row r="1551" spans="1:17" ht="15" x14ac:dyDescent="0.25">
      <c r="A1551" s="10">
        <v>1704</v>
      </c>
      <c r="B1551" s="10" t="s">
        <v>5214</v>
      </c>
      <c r="C1551" s="880">
        <f t="shared" si="121"/>
        <v>175.05</v>
      </c>
      <c r="D1551" s="880">
        <f t="shared" si="122"/>
        <v>-39.933300000000003</v>
      </c>
      <c r="E1551" s="10">
        <v>175.050003</v>
      </c>
      <c r="F1551" s="10">
        <v>-39.933334000000002</v>
      </c>
      <c r="G1551" s="10">
        <v>12</v>
      </c>
      <c r="H1551" s="10" t="s">
        <v>3301</v>
      </c>
      <c r="I1551" s="10" t="s">
        <v>5204</v>
      </c>
      <c r="J1551" s="10" t="s">
        <v>5205</v>
      </c>
      <c r="K1551" s="10" t="s">
        <v>5206</v>
      </c>
      <c r="L1551" s="65" t="str">
        <f t="shared" si="123"/>
        <v>Wanganui|New Zealand|175,050003|-39,933334|+12:00 Pacific</v>
      </c>
      <c r="M1551" s="10" t="s">
        <v>5215</v>
      </c>
      <c r="N1551" s="10">
        <f t="shared" si="120"/>
        <v>0</v>
      </c>
      <c r="O1551" t="str">
        <f t="shared" si="124"/>
        <v/>
      </c>
      <c r="P1551" t="str">
        <f>IF(O1551=1,COUNTIF($O$2:O1551,1),"")</f>
        <v/>
      </c>
      <c r="Q1551" t="str">
        <f>IFERROR(INDEX($M$2:$M$2388,MATCH(ROWS($P$2:P1551),$P$2:$P$2388,0)),"")</f>
        <v/>
      </c>
    </row>
    <row r="1552" spans="1:17" ht="15" x14ac:dyDescent="0.25">
      <c r="A1552" s="10">
        <v>1703</v>
      </c>
      <c r="B1552" s="10" t="s">
        <v>5216</v>
      </c>
      <c r="C1552" s="880">
        <f t="shared" si="121"/>
        <v>174.7833</v>
      </c>
      <c r="D1552" s="880">
        <f t="shared" si="122"/>
        <v>-41.299900000000001</v>
      </c>
      <c r="E1552" s="10">
        <v>174.78334000000001</v>
      </c>
      <c r="F1552" s="10">
        <v>-41.299999</v>
      </c>
      <c r="G1552" s="10">
        <v>12</v>
      </c>
      <c r="H1552" s="10" t="s">
        <v>3301</v>
      </c>
      <c r="I1552" s="10" t="s">
        <v>5204</v>
      </c>
      <c r="J1552" s="10" t="s">
        <v>5205</v>
      </c>
      <c r="K1552" s="10" t="s">
        <v>5206</v>
      </c>
      <c r="L1552" s="65" t="str">
        <f t="shared" si="123"/>
        <v>Wellington|New Zealand|174,783340|-41,299999|+12:00 Pacific</v>
      </c>
      <c r="M1552" s="10" t="s">
        <v>5217</v>
      </c>
      <c r="N1552" s="10">
        <f t="shared" si="120"/>
        <v>0</v>
      </c>
      <c r="O1552" t="str">
        <f t="shared" si="124"/>
        <v/>
      </c>
      <c r="P1552" t="str">
        <f>IF(O1552=1,COUNTIF($O$2:O1552,1),"")</f>
        <v/>
      </c>
      <c r="Q1552" t="str">
        <f>IFERROR(INDEX($M$2:$M$2388,MATCH(ROWS($P$2:P1552),$P$2:$P$2388,0)),"")</f>
        <v/>
      </c>
    </row>
    <row r="1553" spans="1:17" ht="15" x14ac:dyDescent="0.25">
      <c r="A1553" s="10">
        <v>1685</v>
      </c>
      <c r="B1553" s="10" t="s">
        <v>5218</v>
      </c>
      <c r="C1553" s="880">
        <f t="shared" si="121"/>
        <v>-86.268299999999996</v>
      </c>
      <c r="D1553" s="880">
        <f t="shared" si="122"/>
        <v>12.1508</v>
      </c>
      <c r="E1553" s="10">
        <v>-86.268332999999998</v>
      </c>
      <c r="F1553" s="10">
        <v>12.150833</v>
      </c>
      <c r="G1553" s="10">
        <v>-6</v>
      </c>
      <c r="H1553" s="10" t="s">
        <v>1975</v>
      </c>
      <c r="I1553" s="10" t="s">
        <v>5219</v>
      </c>
      <c r="J1553" s="10" t="s">
        <v>5220</v>
      </c>
      <c r="K1553" s="10" t="s">
        <v>5221</v>
      </c>
      <c r="L1553" s="65" t="str">
        <f t="shared" si="123"/>
        <v>Managua|Nicaragua|-86,268333|12,150833|-6:00 America</v>
      </c>
      <c r="M1553" s="10" t="s">
        <v>5222</v>
      </c>
      <c r="N1553" s="10">
        <f t="shared" si="120"/>
        <v>0</v>
      </c>
      <c r="O1553" t="str">
        <f t="shared" si="124"/>
        <v/>
      </c>
      <c r="P1553" t="str">
        <f>IF(O1553=1,COUNTIF($O$2:O1553,1),"")</f>
        <v/>
      </c>
      <c r="Q1553" t="str">
        <f>IFERROR(INDEX($M$2:$M$2388,MATCH(ROWS($P$2:P1553),$P$2:$P$2388,0)),"")</f>
        <v/>
      </c>
    </row>
    <row r="1554" spans="1:17" ht="15" x14ac:dyDescent="0.25">
      <c r="A1554" s="10">
        <v>1684</v>
      </c>
      <c r="B1554" s="10" t="s">
        <v>5223</v>
      </c>
      <c r="C1554" s="880">
        <f t="shared" si="121"/>
        <v>-85.383300000000006</v>
      </c>
      <c r="D1554" s="880">
        <f t="shared" si="122"/>
        <v>13.2333</v>
      </c>
      <c r="E1554" s="10">
        <v>-85.383330999999998</v>
      </c>
      <c r="F1554" s="10">
        <v>13.233333999999999</v>
      </c>
      <c r="G1554" s="10">
        <v>-6</v>
      </c>
      <c r="H1554" s="10" t="s">
        <v>1975</v>
      </c>
      <c r="I1554" s="10" t="s">
        <v>5219</v>
      </c>
      <c r="J1554" s="10" t="s">
        <v>5220</v>
      </c>
      <c r="K1554" s="10" t="s">
        <v>5221</v>
      </c>
      <c r="L1554" s="65" t="str">
        <f t="shared" si="123"/>
        <v>Waslala|Nicaragua|-85,383331|13,233334|-6:00 America</v>
      </c>
      <c r="M1554" s="10" t="s">
        <v>5224</v>
      </c>
      <c r="N1554" s="10">
        <f t="shared" si="120"/>
        <v>0</v>
      </c>
      <c r="O1554" t="str">
        <f t="shared" si="124"/>
        <v/>
      </c>
      <c r="P1554" t="str">
        <f>IF(O1554=1,COUNTIF($O$2:O1554,1),"")</f>
        <v/>
      </c>
      <c r="Q1554" t="str">
        <f>IFERROR(INDEX($M$2:$M$2388,MATCH(ROWS($P$2:P1554),$P$2:$P$2388,0)),"")</f>
        <v/>
      </c>
    </row>
    <row r="1555" spans="1:17" ht="15" x14ac:dyDescent="0.25">
      <c r="A1555" s="10">
        <v>1683</v>
      </c>
      <c r="B1555" s="10" t="s">
        <v>5225</v>
      </c>
      <c r="C1555" s="880">
        <f t="shared" si="121"/>
        <v>-83.9666</v>
      </c>
      <c r="D1555" s="880">
        <f t="shared" si="122"/>
        <v>14.7333</v>
      </c>
      <c r="E1555" s="10">
        <v>-83.966667000000001</v>
      </c>
      <c r="F1555" s="10">
        <v>14.733333999999999</v>
      </c>
      <c r="G1555" s="10">
        <v>-6</v>
      </c>
      <c r="H1555" s="10" t="s">
        <v>1975</v>
      </c>
      <c r="I1555" s="10" t="s">
        <v>5219</v>
      </c>
      <c r="J1555" s="10" t="s">
        <v>5220</v>
      </c>
      <c r="K1555" s="10" t="s">
        <v>5221</v>
      </c>
      <c r="L1555" s="65" t="str">
        <f t="shared" si="123"/>
        <v>Waspam|Nicaragua|-83,966667|14,733334|-6:00 America</v>
      </c>
      <c r="M1555" s="10" t="s">
        <v>5226</v>
      </c>
      <c r="N1555" s="10">
        <f t="shared" si="120"/>
        <v>0</v>
      </c>
      <c r="O1555" t="str">
        <f t="shared" si="124"/>
        <v/>
      </c>
      <c r="P1555" t="str">
        <f>IF(O1555=1,COUNTIF($O$2:O1555,1),"")</f>
        <v/>
      </c>
      <c r="Q1555" t="str">
        <f>IFERROR(INDEX($M$2:$M$2388,MATCH(ROWS($P$2:P1555),$P$2:$P$2388,0)),"")</f>
        <v/>
      </c>
    </row>
    <row r="1556" spans="1:17" ht="15" x14ac:dyDescent="0.25">
      <c r="A1556" s="10">
        <v>1682</v>
      </c>
      <c r="B1556" s="10" t="s">
        <v>5227</v>
      </c>
      <c r="C1556" s="880">
        <f t="shared" si="121"/>
        <v>-85.833299999999994</v>
      </c>
      <c r="D1556" s="880">
        <f t="shared" si="122"/>
        <v>13.6166</v>
      </c>
      <c r="E1556" s="10">
        <v>-85.833336000000003</v>
      </c>
      <c r="F1556" s="10">
        <v>13.616667</v>
      </c>
      <c r="G1556" s="10">
        <v>-6</v>
      </c>
      <c r="H1556" s="10" t="s">
        <v>1975</v>
      </c>
      <c r="I1556" s="10" t="s">
        <v>5219</v>
      </c>
      <c r="J1556" s="10" t="s">
        <v>5220</v>
      </c>
      <c r="K1556" s="10" t="s">
        <v>5221</v>
      </c>
      <c r="L1556" s="65" t="str">
        <f t="shared" si="123"/>
        <v>Wiwili|Nicaragua|-85,833336|13,616667|-6:00 America</v>
      </c>
      <c r="M1556" s="10" t="s">
        <v>5228</v>
      </c>
      <c r="N1556" s="10">
        <f t="shared" si="120"/>
        <v>0</v>
      </c>
      <c r="O1556" t="str">
        <f t="shared" si="124"/>
        <v/>
      </c>
      <c r="P1556" t="str">
        <f>IF(O1556=1,COUNTIF($O$2:O1556,1),"")</f>
        <v/>
      </c>
      <c r="Q1556" t="str">
        <f>IFERROR(INDEX($M$2:$M$2388,MATCH(ROWS($P$2:P1556),$P$2:$P$2388,0)),"")</f>
        <v/>
      </c>
    </row>
    <row r="1557" spans="1:17" ht="15" x14ac:dyDescent="0.25">
      <c r="A1557" s="10">
        <v>1633</v>
      </c>
      <c r="B1557" s="10" t="s">
        <v>5229</v>
      </c>
      <c r="C1557" s="880">
        <f t="shared" si="121"/>
        <v>5.25</v>
      </c>
      <c r="D1557" s="880">
        <f t="shared" si="122"/>
        <v>13.8</v>
      </c>
      <c r="E1557" s="10">
        <v>5.25</v>
      </c>
      <c r="F1557" s="10">
        <v>13.8</v>
      </c>
      <c r="G1557" s="10">
        <v>1</v>
      </c>
      <c r="H1557" s="10" t="s">
        <v>1670</v>
      </c>
      <c r="I1557" s="10" t="s">
        <v>5230</v>
      </c>
      <c r="J1557" s="10" t="s">
        <v>5231</v>
      </c>
      <c r="K1557" s="10" t="s">
        <v>5232</v>
      </c>
      <c r="L1557" s="65" t="str">
        <f t="shared" si="123"/>
        <v>Birnin Konni|Niger|5,250000|13,800000|+1:00 Africa</v>
      </c>
      <c r="M1557" s="10" t="s">
        <v>5233</v>
      </c>
      <c r="N1557" s="10">
        <f t="shared" si="120"/>
        <v>0</v>
      </c>
      <c r="O1557" t="str">
        <f t="shared" si="124"/>
        <v/>
      </c>
      <c r="P1557" t="str">
        <f>IF(O1557=1,COUNTIF($O$2:O1557,1),"")</f>
        <v/>
      </c>
      <c r="Q1557" t="str">
        <f>IFERROR(INDEX($M$2:$M$2388,MATCH(ROWS($P$2:P1557),$P$2:$P$2388,0)),"")</f>
        <v/>
      </c>
    </row>
    <row r="1558" spans="1:17" ht="15" x14ac:dyDescent="0.25">
      <c r="A1558" s="10">
        <v>1636</v>
      </c>
      <c r="B1558" s="10" t="s">
        <v>5234</v>
      </c>
      <c r="C1558" s="880">
        <f t="shared" si="121"/>
        <v>2.1166</v>
      </c>
      <c r="D1558" s="880">
        <f t="shared" si="122"/>
        <v>13.5166</v>
      </c>
      <c r="E1558" s="10">
        <v>2.1166670000000001</v>
      </c>
      <c r="F1558" s="10">
        <v>13.516666000000001</v>
      </c>
      <c r="G1558" s="10">
        <v>1</v>
      </c>
      <c r="H1558" s="10" t="s">
        <v>1670</v>
      </c>
      <c r="I1558" s="10" t="s">
        <v>5230</v>
      </c>
      <c r="J1558" s="10" t="s">
        <v>5231</v>
      </c>
      <c r="K1558" s="10" t="s">
        <v>5232</v>
      </c>
      <c r="L1558" s="65" t="str">
        <f t="shared" si="123"/>
        <v>Niamey|Niger|2,116667|13,516666|+1:00 Africa</v>
      </c>
      <c r="M1558" s="10" t="s">
        <v>5235</v>
      </c>
      <c r="N1558" s="10">
        <f t="shared" si="120"/>
        <v>0</v>
      </c>
      <c r="O1558" t="str">
        <f t="shared" si="124"/>
        <v/>
      </c>
      <c r="P1558" t="str">
        <f>IF(O1558=1,COUNTIF($O$2:O1558,1),"")</f>
        <v/>
      </c>
      <c r="Q1558" t="str">
        <f>IFERROR(INDEX($M$2:$M$2388,MATCH(ROWS($P$2:P1558),$P$2:$P$2388,0)),"")</f>
        <v/>
      </c>
    </row>
    <row r="1559" spans="1:17" ht="15" x14ac:dyDescent="0.25">
      <c r="A1559" s="10">
        <v>1635</v>
      </c>
      <c r="B1559" s="10" t="s">
        <v>5236</v>
      </c>
      <c r="C1559" s="880">
        <f t="shared" si="121"/>
        <v>1.4530000000000001</v>
      </c>
      <c r="D1559" s="880">
        <f t="shared" si="122"/>
        <v>14.211600000000001</v>
      </c>
      <c r="E1559" s="10">
        <v>1.4530559999999999</v>
      </c>
      <c r="F1559" s="10">
        <v>14.211667</v>
      </c>
      <c r="G1559" s="10">
        <v>1</v>
      </c>
      <c r="H1559" s="10" t="s">
        <v>1670</v>
      </c>
      <c r="I1559" s="10" t="s">
        <v>5230</v>
      </c>
      <c r="J1559" s="10" t="s">
        <v>5231</v>
      </c>
      <c r="K1559" s="10" t="s">
        <v>5232</v>
      </c>
      <c r="L1559" s="65" t="str">
        <f t="shared" si="123"/>
        <v>Tillaberi|Niger|1,453056|14,211667|+1:00 Africa</v>
      </c>
      <c r="M1559" s="10" t="s">
        <v>5237</v>
      </c>
      <c r="N1559" s="10">
        <f t="shared" si="120"/>
        <v>0</v>
      </c>
      <c r="O1559" t="str">
        <f t="shared" si="124"/>
        <v/>
      </c>
      <c r="P1559" t="str">
        <f>IF(O1559=1,COUNTIF($O$2:O1559,1),"")</f>
        <v/>
      </c>
      <c r="Q1559" t="str">
        <f>IFERROR(INDEX($M$2:$M$2388,MATCH(ROWS($P$2:P1559),$P$2:$P$2388,0)),"")</f>
        <v/>
      </c>
    </row>
    <row r="1560" spans="1:17" ht="15" x14ac:dyDescent="0.25">
      <c r="A1560" s="10">
        <v>1634</v>
      </c>
      <c r="B1560" s="10" t="s">
        <v>5238</v>
      </c>
      <c r="C1560" s="880">
        <f t="shared" si="121"/>
        <v>8.9832999999999998</v>
      </c>
      <c r="D1560" s="880">
        <f t="shared" si="122"/>
        <v>13.8</v>
      </c>
      <c r="E1560" s="10">
        <v>8.9833339999999993</v>
      </c>
      <c r="F1560" s="10">
        <v>13.8</v>
      </c>
      <c r="G1560" s="10">
        <v>1</v>
      </c>
      <c r="H1560" s="10" t="s">
        <v>1670</v>
      </c>
      <c r="I1560" s="10" t="s">
        <v>5230</v>
      </c>
      <c r="J1560" s="10" t="s">
        <v>5231</v>
      </c>
      <c r="K1560" s="10" t="s">
        <v>5232</v>
      </c>
      <c r="L1560" s="65" t="str">
        <f t="shared" si="123"/>
        <v>Zinder|Niger|8,983334|13,800000|+1:00 Africa</v>
      </c>
      <c r="M1560" s="10" t="s">
        <v>5239</v>
      </c>
      <c r="N1560" s="10">
        <f t="shared" si="120"/>
        <v>0</v>
      </c>
      <c r="O1560" t="str">
        <f t="shared" si="124"/>
        <v/>
      </c>
      <c r="P1560" t="str">
        <f>IF(O1560=1,COUNTIF($O$2:O1560,1),"")</f>
        <v/>
      </c>
      <c r="Q1560" t="str">
        <f>IFERROR(INDEX($M$2:$M$2388,MATCH(ROWS($P$2:P1560),$P$2:$P$2388,0)),"")</f>
        <v/>
      </c>
    </row>
    <row r="1561" spans="1:17" ht="15" x14ac:dyDescent="0.25">
      <c r="A1561" s="10">
        <v>1681</v>
      </c>
      <c r="B1561" s="10" t="s">
        <v>5240</v>
      </c>
      <c r="C1561" s="880">
        <f t="shared" si="121"/>
        <v>7.3666</v>
      </c>
      <c r="D1561" s="880">
        <f t="shared" si="122"/>
        <v>5.1166</v>
      </c>
      <c r="E1561" s="10">
        <v>7.3666669999999996</v>
      </c>
      <c r="F1561" s="10">
        <v>5.1166669999999996</v>
      </c>
      <c r="G1561" s="10">
        <v>1</v>
      </c>
      <c r="H1561" s="10" t="s">
        <v>1670</v>
      </c>
      <c r="I1561" s="10" t="s">
        <v>5241</v>
      </c>
      <c r="J1561" s="10" t="s">
        <v>5242</v>
      </c>
      <c r="K1561" s="10" t="s">
        <v>5243</v>
      </c>
      <c r="L1561" s="65" t="str">
        <f t="shared" si="123"/>
        <v>Aba|Nigeria|7,366667|5,116667|+1:00 Africa</v>
      </c>
      <c r="M1561" s="10" t="s">
        <v>5244</v>
      </c>
      <c r="N1561" s="10">
        <f t="shared" si="120"/>
        <v>0</v>
      </c>
      <c r="O1561" t="str">
        <f t="shared" si="124"/>
        <v/>
      </c>
      <c r="P1561" t="str">
        <f>IF(O1561=1,COUNTIF($O$2:O1561,1),"")</f>
        <v/>
      </c>
      <c r="Q1561" t="str">
        <f>IFERROR(INDEX($M$2:$M$2388,MATCH(ROWS($P$2:P1561),$P$2:$P$2388,0)),"")</f>
        <v/>
      </c>
    </row>
    <row r="1562" spans="1:17" ht="15" x14ac:dyDescent="0.25">
      <c r="A1562" s="10">
        <v>1680</v>
      </c>
      <c r="B1562" s="10" t="s">
        <v>5245</v>
      </c>
      <c r="C1562" s="880">
        <f t="shared" si="121"/>
        <v>3.35</v>
      </c>
      <c r="D1562" s="880">
        <f t="shared" si="122"/>
        <v>7.15</v>
      </c>
      <c r="E1562" s="10">
        <v>3.35</v>
      </c>
      <c r="F1562" s="10">
        <v>7.15</v>
      </c>
      <c r="G1562" s="10">
        <v>1</v>
      </c>
      <c r="H1562" s="10" t="s">
        <v>1670</v>
      </c>
      <c r="I1562" s="10" t="s">
        <v>5241</v>
      </c>
      <c r="J1562" s="10" t="s">
        <v>5242</v>
      </c>
      <c r="K1562" s="10" t="s">
        <v>5243</v>
      </c>
      <c r="L1562" s="65" t="str">
        <f t="shared" si="123"/>
        <v>Abeokuta|Nigeria|3,350000|7,150000|+1:00 Africa</v>
      </c>
      <c r="M1562" s="10" t="s">
        <v>5246</v>
      </c>
      <c r="N1562" s="10">
        <f t="shared" si="120"/>
        <v>0</v>
      </c>
      <c r="O1562" t="str">
        <f t="shared" si="124"/>
        <v/>
      </c>
      <c r="P1562" t="str">
        <f>IF(O1562=1,COUNTIF($O$2:O1562,1),"")</f>
        <v/>
      </c>
      <c r="Q1562" t="str">
        <f>IFERROR(INDEX($M$2:$M$2388,MATCH(ROWS($P$2:P1562),$P$2:$P$2388,0)),"")</f>
        <v/>
      </c>
    </row>
    <row r="1563" spans="1:17" ht="15" x14ac:dyDescent="0.25">
      <c r="A1563" s="10">
        <v>1679</v>
      </c>
      <c r="B1563" s="10" t="s">
        <v>5247</v>
      </c>
      <c r="C1563" s="880">
        <f t="shared" si="121"/>
        <v>7.5332999999999997</v>
      </c>
      <c r="D1563" s="880">
        <f t="shared" si="122"/>
        <v>9.0832999999999995</v>
      </c>
      <c r="E1563" s="10">
        <v>7.5333329999999998</v>
      </c>
      <c r="F1563" s="10">
        <v>9.0833329999999997</v>
      </c>
      <c r="G1563" s="10">
        <v>1</v>
      </c>
      <c r="H1563" s="10" t="s">
        <v>1670</v>
      </c>
      <c r="I1563" s="10" t="s">
        <v>5241</v>
      </c>
      <c r="J1563" s="10" t="s">
        <v>5242</v>
      </c>
      <c r="K1563" s="10" t="s">
        <v>5243</v>
      </c>
      <c r="L1563" s="65" t="str">
        <f t="shared" si="123"/>
        <v>Abuja|Nigeria|7,533333|9,083333|+1:00 Africa</v>
      </c>
      <c r="M1563" s="10" t="s">
        <v>5248</v>
      </c>
      <c r="N1563" s="10">
        <f t="shared" si="120"/>
        <v>0</v>
      </c>
      <c r="O1563" t="str">
        <f t="shared" si="124"/>
        <v/>
      </c>
      <c r="P1563" t="str">
        <f>IF(O1563=1,COUNTIF($O$2:O1563,1),"")</f>
        <v/>
      </c>
      <c r="Q1563" t="str">
        <f>IFERROR(INDEX($M$2:$M$2388,MATCH(ROWS($P$2:P1563),$P$2:$P$2388,0)),"")</f>
        <v/>
      </c>
    </row>
    <row r="1564" spans="1:17" ht="15" x14ac:dyDescent="0.25">
      <c r="A1564" s="10">
        <v>1678</v>
      </c>
      <c r="B1564" s="10" t="s">
        <v>5249</v>
      </c>
      <c r="C1564" s="880">
        <f t="shared" si="121"/>
        <v>5.2</v>
      </c>
      <c r="D1564" s="880">
        <f t="shared" si="122"/>
        <v>7.25</v>
      </c>
      <c r="E1564" s="10">
        <v>5.2</v>
      </c>
      <c r="F1564" s="10">
        <v>7.25</v>
      </c>
      <c r="G1564" s="10">
        <v>1</v>
      </c>
      <c r="H1564" s="10" t="s">
        <v>1670</v>
      </c>
      <c r="I1564" s="10" t="s">
        <v>5241</v>
      </c>
      <c r="J1564" s="10" t="s">
        <v>5242</v>
      </c>
      <c r="K1564" s="10" t="s">
        <v>5243</v>
      </c>
      <c r="L1564" s="65" t="str">
        <f t="shared" si="123"/>
        <v>Akure|Nigeria|5,200000|7,250000|+1:00 Africa</v>
      </c>
      <c r="M1564" s="10" t="s">
        <v>5250</v>
      </c>
      <c r="N1564" s="10">
        <f t="shared" si="120"/>
        <v>0</v>
      </c>
      <c r="O1564" t="str">
        <f t="shared" si="124"/>
        <v/>
      </c>
      <c r="P1564" t="str">
        <f>IF(O1564=1,COUNTIF($O$2:O1564,1),"")</f>
        <v/>
      </c>
      <c r="Q1564" t="str">
        <f>IFERROR(INDEX($M$2:$M$2388,MATCH(ROWS($P$2:P1564),$P$2:$P$2388,0)),"")</f>
        <v/>
      </c>
    </row>
    <row r="1565" spans="1:17" ht="15" x14ac:dyDescent="0.25">
      <c r="A1565" s="10">
        <v>1677</v>
      </c>
      <c r="B1565" s="10" t="s">
        <v>5251</v>
      </c>
      <c r="C1565" s="880">
        <f t="shared" si="121"/>
        <v>9.8440999999999992</v>
      </c>
      <c r="D1565" s="880">
        <f t="shared" si="122"/>
        <v>10.315799999999999</v>
      </c>
      <c r="E1565" s="10">
        <v>9.8441670000000006</v>
      </c>
      <c r="F1565" s="10">
        <v>10.315833</v>
      </c>
      <c r="G1565" s="10">
        <v>1</v>
      </c>
      <c r="H1565" s="10" t="s">
        <v>1670</v>
      </c>
      <c r="I1565" s="10" t="s">
        <v>5241</v>
      </c>
      <c r="J1565" s="10" t="s">
        <v>5242</v>
      </c>
      <c r="K1565" s="10" t="s">
        <v>5243</v>
      </c>
      <c r="L1565" s="65" t="str">
        <f t="shared" si="123"/>
        <v>Bauchi|Nigeria|9,844167|10,315833|+1:00 Africa</v>
      </c>
      <c r="M1565" s="10" t="s">
        <v>5252</v>
      </c>
      <c r="N1565" s="10">
        <f t="shared" si="120"/>
        <v>0</v>
      </c>
      <c r="O1565" t="str">
        <f t="shared" si="124"/>
        <v/>
      </c>
      <c r="P1565" t="str">
        <f>IF(O1565=1,COUNTIF($O$2:O1565,1),"")</f>
        <v/>
      </c>
      <c r="Q1565" t="str">
        <f>IFERROR(INDEX($M$2:$M$2388,MATCH(ROWS($P$2:P1565),$P$2:$P$2388,0)),"")</f>
        <v/>
      </c>
    </row>
    <row r="1566" spans="1:17" ht="15" x14ac:dyDescent="0.25">
      <c r="A1566" s="10">
        <v>1676</v>
      </c>
      <c r="B1566" s="10" t="s">
        <v>5253</v>
      </c>
      <c r="C1566" s="880">
        <f t="shared" si="121"/>
        <v>5.6333000000000002</v>
      </c>
      <c r="D1566" s="880">
        <f t="shared" si="122"/>
        <v>6.3333000000000004</v>
      </c>
      <c r="E1566" s="10">
        <v>5.6333330000000004</v>
      </c>
      <c r="F1566" s="10">
        <v>6.3333329999999997</v>
      </c>
      <c r="G1566" s="10">
        <v>1</v>
      </c>
      <c r="H1566" s="10" t="s">
        <v>1670</v>
      </c>
      <c r="I1566" s="10" t="s">
        <v>5241</v>
      </c>
      <c r="J1566" s="10" t="s">
        <v>5242</v>
      </c>
      <c r="K1566" s="10" t="s">
        <v>5243</v>
      </c>
      <c r="L1566" s="65" t="str">
        <f t="shared" si="123"/>
        <v>Benin-City|Nigeria|5,633333|6,333333|+1:00 Africa</v>
      </c>
      <c r="M1566" s="10" t="s">
        <v>5254</v>
      </c>
      <c r="N1566" s="10">
        <f t="shared" si="120"/>
        <v>0</v>
      </c>
      <c r="O1566" t="str">
        <f t="shared" si="124"/>
        <v/>
      </c>
      <c r="P1566" t="str">
        <f>IF(O1566=1,COUNTIF($O$2:O1566,1),"")</f>
        <v/>
      </c>
      <c r="Q1566" t="str">
        <f>IFERROR(INDEX($M$2:$M$2388,MATCH(ROWS($P$2:P1566),$P$2:$P$2388,0)),"")</f>
        <v/>
      </c>
    </row>
    <row r="1567" spans="1:17" ht="15" x14ac:dyDescent="0.25">
      <c r="A1567" s="10">
        <v>1675</v>
      </c>
      <c r="B1567" s="10" t="s">
        <v>5255</v>
      </c>
      <c r="C1567" s="880">
        <f t="shared" si="121"/>
        <v>8.3165999999999993</v>
      </c>
      <c r="D1567" s="880">
        <f t="shared" si="122"/>
        <v>4.95</v>
      </c>
      <c r="E1567" s="10">
        <v>8.3166670000000007</v>
      </c>
      <c r="F1567" s="10">
        <v>4.95</v>
      </c>
      <c r="G1567" s="10">
        <v>1</v>
      </c>
      <c r="H1567" s="10" t="s">
        <v>1670</v>
      </c>
      <c r="I1567" s="10" t="s">
        <v>5241</v>
      </c>
      <c r="J1567" s="10" t="s">
        <v>5242</v>
      </c>
      <c r="K1567" s="10" t="s">
        <v>5243</v>
      </c>
      <c r="L1567" s="65" t="str">
        <f t="shared" si="123"/>
        <v>Calabar|Nigeria|8,316667|4,950000|+1:00 Africa</v>
      </c>
      <c r="M1567" s="10" t="s">
        <v>5256</v>
      </c>
      <c r="N1567" s="10">
        <f t="shared" si="120"/>
        <v>0</v>
      </c>
      <c r="O1567" t="str">
        <f t="shared" si="124"/>
        <v/>
      </c>
      <c r="P1567" t="str">
        <f>IF(O1567=1,COUNTIF($O$2:O1567,1),"")</f>
        <v/>
      </c>
      <c r="Q1567" t="str">
        <f>IFERROR(INDEX($M$2:$M$2388,MATCH(ROWS($P$2:P1567),$P$2:$P$2388,0)),"")</f>
        <v/>
      </c>
    </row>
    <row r="1568" spans="1:17" ht="15" x14ac:dyDescent="0.25">
      <c r="A1568" s="10">
        <v>1674</v>
      </c>
      <c r="B1568" s="10" t="s">
        <v>5257</v>
      </c>
      <c r="C1568" s="880">
        <f t="shared" si="121"/>
        <v>11.963800000000001</v>
      </c>
      <c r="D1568" s="880">
        <f t="shared" si="122"/>
        <v>11.7486</v>
      </c>
      <c r="E1568" s="10">
        <v>11.963889</v>
      </c>
      <c r="F1568" s="10">
        <v>11.748611</v>
      </c>
      <c r="G1568" s="10">
        <v>1</v>
      </c>
      <c r="H1568" s="10" t="s">
        <v>1670</v>
      </c>
      <c r="I1568" s="10" t="s">
        <v>5241</v>
      </c>
      <c r="J1568" s="10" t="s">
        <v>5242</v>
      </c>
      <c r="K1568" s="10" t="s">
        <v>5243</v>
      </c>
      <c r="L1568" s="65" t="str">
        <f t="shared" si="123"/>
        <v>Damaturu|Nigeria|11,963889|11,748611|+1:00 Africa</v>
      </c>
      <c r="M1568" s="10" t="s">
        <v>5258</v>
      </c>
      <c r="N1568" s="10">
        <f t="shared" si="120"/>
        <v>0</v>
      </c>
      <c r="O1568" t="str">
        <f t="shared" si="124"/>
        <v/>
      </c>
      <c r="P1568" t="str">
        <f>IF(O1568=1,COUNTIF($O$2:O1568,1),"")</f>
        <v/>
      </c>
      <c r="Q1568" t="str">
        <f>IFERROR(INDEX($M$2:$M$2388,MATCH(ROWS($P$2:P1568),$P$2:$P$2388,0)),"")</f>
        <v/>
      </c>
    </row>
    <row r="1569" spans="1:17" ht="15" x14ac:dyDescent="0.25">
      <c r="A1569" s="10">
        <v>1673</v>
      </c>
      <c r="B1569" s="10" t="s">
        <v>5259</v>
      </c>
      <c r="C1569" s="880">
        <f t="shared" si="121"/>
        <v>3.4910999999999999</v>
      </c>
      <c r="D1569" s="880">
        <f t="shared" si="122"/>
        <v>6.6026999999999996</v>
      </c>
      <c r="E1569" s="10">
        <v>3.4911110000000001</v>
      </c>
      <c r="F1569" s="10">
        <v>6.6027779999999998</v>
      </c>
      <c r="G1569" s="10">
        <v>1</v>
      </c>
      <c r="H1569" s="10" t="s">
        <v>1670</v>
      </c>
      <c r="I1569" s="10" t="s">
        <v>5241</v>
      </c>
      <c r="J1569" s="10" t="s">
        <v>5242</v>
      </c>
      <c r="K1569" s="10" t="s">
        <v>5243</v>
      </c>
      <c r="L1569" s="65" t="str">
        <f t="shared" si="123"/>
        <v>Ebute Ikorodu|Nigeria|3,491111|6,602778|+1:00 Africa</v>
      </c>
      <c r="M1569" s="10" t="s">
        <v>5260</v>
      </c>
      <c r="N1569" s="10">
        <f t="shared" si="120"/>
        <v>0</v>
      </c>
      <c r="O1569" t="str">
        <f t="shared" si="124"/>
        <v/>
      </c>
      <c r="P1569" t="str">
        <f>IF(O1569=1,COUNTIF($O$2:O1569,1),"")</f>
        <v/>
      </c>
      <c r="Q1569" t="str">
        <f>IFERROR(INDEX($M$2:$M$2388,MATCH(ROWS($P$2:P1569),$P$2:$P$2388,0)),"")</f>
        <v/>
      </c>
    </row>
    <row r="1570" spans="1:17" ht="15" x14ac:dyDescent="0.25">
      <c r="A1570" s="10">
        <v>1672</v>
      </c>
      <c r="B1570" s="10" t="s">
        <v>5261</v>
      </c>
      <c r="C1570" s="880">
        <f t="shared" si="121"/>
        <v>4.9165999999999999</v>
      </c>
      <c r="D1570" s="880">
        <f t="shared" si="122"/>
        <v>7.65</v>
      </c>
      <c r="E1570" s="10">
        <v>4.9166670000000003</v>
      </c>
      <c r="F1570" s="10">
        <v>7.65</v>
      </c>
      <c r="G1570" s="10">
        <v>1</v>
      </c>
      <c r="H1570" s="10" t="s">
        <v>1670</v>
      </c>
      <c r="I1570" s="10" t="s">
        <v>5241</v>
      </c>
      <c r="J1570" s="10" t="s">
        <v>5242</v>
      </c>
      <c r="K1570" s="10" t="s">
        <v>5243</v>
      </c>
      <c r="L1570" s="65" t="str">
        <f t="shared" si="123"/>
        <v>Effon Alaiye|Nigeria|4,916667|7,650000|+1:00 Africa</v>
      </c>
      <c r="M1570" s="10" t="s">
        <v>5262</v>
      </c>
      <c r="N1570" s="10">
        <f t="shared" si="120"/>
        <v>0</v>
      </c>
      <c r="O1570" t="str">
        <f t="shared" si="124"/>
        <v/>
      </c>
      <c r="P1570" t="str">
        <f>IF(O1570=1,COUNTIF($O$2:O1570,1),"")</f>
        <v/>
      </c>
      <c r="Q1570" t="str">
        <f>IFERROR(INDEX($M$2:$M$2388,MATCH(ROWS($P$2:P1570),$P$2:$P$2388,0)),"")</f>
        <v/>
      </c>
    </row>
    <row r="1571" spans="1:17" ht="15" x14ac:dyDescent="0.25">
      <c r="A1571" s="10">
        <v>1671</v>
      </c>
      <c r="B1571" s="10" t="s">
        <v>5263</v>
      </c>
      <c r="C1571" s="880">
        <f t="shared" si="121"/>
        <v>7.4832999999999998</v>
      </c>
      <c r="D1571" s="880">
        <f t="shared" si="122"/>
        <v>6.4333</v>
      </c>
      <c r="E1571" s="10">
        <v>7.483333</v>
      </c>
      <c r="F1571" s="10">
        <v>6.4333330000000002</v>
      </c>
      <c r="G1571" s="10">
        <v>1</v>
      </c>
      <c r="H1571" s="10" t="s">
        <v>1670</v>
      </c>
      <c r="I1571" s="10" t="s">
        <v>5241</v>
      </c>
      <c r="J1571" s="10" t="s">
        <v>5242</v>
      </c>
      <c r="K1571" s="10" t="s">
        <v>5243</v>
      </c>
      <c r="L1571" s="65" t="str">
        <f t="shared" si="123"/>
        <v>Enugu|Nigeria|7,483333|6,433333|+1:00 Africa</v>
      </c>
      <c r="M1571" s="10" t="s">
        <v>5264</v>
      </c>
      <c r="N1571" s="10">
        <f t="shared" si="120"/>
        <v>0</v>
      </c>
      <c r="O1571" t="str">
        <f t="shared" si="124"/>
        <v/>
      </c>
      <c r="P1571" t="str">
        <f>IF(O1571=1,COUNTIF($O$2:O1571,1),"")</f>
        <v/>
      </c>
      <c r="Q1571" t="str">
        <f>IFERROR(INDEX($M$2:$M$2388,MATCH(ROWS($P$2:P1571),$P$2:$P$2388,0)),"")</f>
        <v/>
      </c>
    </row>
    <row r="1572" spans="1:17" ht="15" x14ac:dyDescent="0.25">
      <c r="A1572" s="10">
        <v>1670</v>
      </c>
      <c r="B1572" s="10" t="s">
        <v>5265</v>
      </c>
      <c r="C1572" s="880">
        <f t="shared" si="121"/>
        <v>11.1716</v>
      </c>
      <c r="D1572" s="880">
        <f t="shared" si="122"/>
        <v>10.289400000000001</v>
      </c>
      <c r="E1572" s="10">
        <v>11.171666999999999</v>
      </c>
      <c r="F1572" s="10">
        <v>10.289444</v>
      </c>
      <c r="G1572" s="10">
        <v>1</v>
      </c>
      <c r="H1572" s="10" t="s">
        <v>1670</v>
      </c>
      <c r="I1572" s="10" t="s">
        <v>5241</v>
      </c>
      <c r="J1572" s="10" t="s">
        <v>5242</v>
      </c>
      <c r="K1572" s="10" t="s">
        <v>5243</v>
      </c>
      <c r="L1572" s="65" t="str">
        <f t="shared" si="123"/>
        <v>Gombe|Nigeria|11,171667|10,289444|+1:00 Africa</v>
      </c>
      <c r="M1572" s="10" t="s">
        <v>5266</v>
      </c>
      <c r="N1572" s="10">
        <f t="shared" si="120"/>
        <v>0</v>
      </c>
      <c r="O1572" t="str">
        <f t="shared" si="124"/>
        <v/>
      </c>
      <c r="P1572" t="str">
        <f>IF(O1572=1,COUNTIF($O$2:O1572,1),"")</f>
        <v/>
      </c>
      <c r="Q1572" t="str">
        <f>IFERROR(INDEX($M$2:$M$2388,MATCH(ROWS($P$2:P1572),$P$2:$P$2388,0)),"")</f>
        <v/>
      </c>
    </row>
    <row r="1573" spans="1:17" ht="15" x14ac:dyDescent="0.25">
      <c r="A1573" s="10">
        <v>1669</v>
      </c>
      <c r="B1573" s="10" t="s">
        <v>5267</v>
      </c>
      <c r="C1573" s="880">
        <f t="shared" si="121"/>
        <v>6.6665999999999999</v>
      </c>
      <c r="D1573" s="880">
        <f t="shared" si="122"/>
        <v>12.164099999999999</v>
      </c>
      <c r="E1573" s="10">
        <v>6.6666670000000003</v>
      </c>
      <c r="F1573" s="10">
        <v>12.164166</v>
      </c>
      <c r="G1573" s="10">
        <v>1</v>
      </c>
      <c r="H1573" s="10" t="s">
        <v>1670</v>
      </c>
      <c r="I1573" s="10" t="s">
        <v>5241</v>
      </c>
      <c r="J1573" s="10" t="s">
        <v>5242</v>
      </c>
      <c r="K1573" s="10" t="s">
        <v>5243</v>
      </c>
      <c r="L1573" s="65" t="str">
        <f t="shared" si="123"/>
        <v>Gusau|Nigeria|6,666667|12,164166|+1:00 Africa</v>
      </c>
      <c r="M1573" s="10" t="s">
        <v>5268</v>
      </c>
      <c r="N1573" s="10">
        <f t="shared" si="120"/>
        <v>0</v>
      </c>
      <c r="O1573" t="str">
        <f t="shared" si="124"/>
        <v/>
      </c>
      <c r="P1573" t="str">
        <f>IF(O1573=1,COUNTIF($O$2:O1573,1),"")</f>
        <v/>
      </c>
      <c r="Q1573" t="str">
        <f>IFERROR(INDEX($M$2:$M$2388,MATCH(ROWS($P$2:P1573),$P$2:$P$2388,0)),"")</f>
        <v/>
      </c>
    </row>
    <row r="1574" spans="1:17" ht="15" x14ac:dyDescent="0.25">
      <c r="A1574" s="10">
        <v>1668</v>
      </c>
      <c r="B1574" s="10" t="s">
        <v>5269</v>
      </c>
      <c r="C1574" s="880">
        <f t="shared" si="121"/>
        <v>3.8963000000000001</v>
      </c>
      <c r="D1574" s="880">
        <f t="shared" si="122"/>
        <v>7.3876999999999997</v>
      </c>
      <c r="E1574" s="10">
        <v>3.8963890000000001</v>
      </c>
      <c r="F1574" s="10">
        <v>7.387778</v>
      </c>
      <c r="G1574" s="10">
        <v>1</v>
      </c>
      <c r="H1574" s="10" t="s">
        <v>1670</v>
      </c>
      <c r="I1574" s="10" t="s">
        <v>5241</v>
      </c>
      <c r="J1574" s="10" t="s">
        <v>5242</v>
      </c>
      <c r="K1574" s="10" t="s">
        <v>5243</v>
      </c>
      <c r="L1574" s="65" t="str">
        <f t="shared" si="123"/>
        <v>Ibadan|Nigeria|3,896389|7,387778|+1:00 Africa</v>
      </c>
      <c r="M1574" s="10" t="s">
        <v>5270</v>
      </c>
      <c r="N1574" s="10">
        <f t="shared" si="120"/>
        <v>0</v>
      </c>
      <c r="O1574" t="str">
        <f t="shared" si="124"/>
        <v/>
      </c>
      <c r="P1574" t="str">
        <f>IF(O1574=1,COUNTIF($O$2:O1574,1),"")</f>
        <v/>
      </c>
      <c r="Q1574" t="str">
        <f>IFERROR(INDEX($M$2:$M$2388,MATCH(ROWS($P$2:P1574),$P$2:$P$2388,0)),"")</f>
        <v/>
      </c>
    </row>
    <row r="1575" spans="1:17" ht="15" x14ac:dyDescent="0.25">
      <c r="A1575" s="10">
        <v>1667</v>
      </c>
      <c r="B1575" s="10" t="s">
        <v>5271</v>
      </c>
      <c r="C1575" s="880">
        <f t="shared" si="121"/>
        <v>3.9333</v>
      </c>
      <c r="D1575" s="880">
        <f t="shared" si="122"/>
        <v>6.8166000000000002</v>
      </c>
      <c r="E1575" s="10">
        <v>3.9333330000000002</v>
      </c>
      <c r="F1575" s="10">
        <v>6.8166669999999998</v>
      </c>
      <c r="G1575" s="10">
        <v>1</v>
      </c>
      <c r="H1575" s="10" t="s">
        <v>1670</v>
      </c>
      <c r="I1575" s="10" t="s">
        <v>5241</v>
      </c>
      <c r="J1575" s="10" t="s">
        <v>5242</v>
      </c>
      <c r="K1575" s="10" t="s">
        <v>5243</v>
      </c>
      <c r="L1575" s="65" t="str">
        <f t="shared" si="123"/>
        <v>Ijebu Ode|Nigeria|3,933333|6,816667|+1:00 Africa</v>
      </c>
      <c r="M1575" s="10" t="s">
        <v>5272</v>
      </c>
      <c r="N1575" s="10">
        <f t="shared" si="120"/>
        <v>0</v>
      </c>
      <c r="O1575" t="str">
        <f t="shared" si="124"/>
        <v/>
      </c>
      <c r="P1575" t="str">
        <f>IF(O1575=1,COUNTIF($O$2:O1575,1),"")</f>
        <v/>
      </c>
      <c r="Q1575" t="str">
        <f>IFERROR(INDEX($M$2:$M$2388,MATCH(ROWS($P$2:P1575),$P$2:$P$2388,0)),"")</f>
        <v/>
      </c>
    </row>
    <row r="1576" spans="1:17" ht="15" x14ac:dyDescent="0.25">
      <c r="A1576" s="10">
        <v>1666</v>
      </c>
      <c r="B1576" s="10" t="s">
        <v>5273</v>
      </c>
      <c r="C1576" s="880">
        <f t="shared" si="121"/>
        <v>4.1833</v>
      </c>
      <c r="D1576" s="880">
        <f t="shared" si="122"/>
        <v>7.35</v>
      </c>
      <c r="E1576" s="10">
        <v>4.1833330000000002</v>
      </c>
      <c r="F1576" s="10">
        <v>7.35</v>
      </c>
      <c r="G1576" s="10">
        <v>1</v>
      </c>
      <c r="H1576" s="10" t="s">
        <v>1670</v>
      </c>
      <c r="I1576" s="10" t="s">
        <v>5241</v>
      </c>
      <c r="J1576" s="10" t="s">
        <v>5242</v>
      </c>
      <c r="K1576" s="10" t="s">
        <v>5243</v>
      </c>
      <c r="L1576" s="65" t="str">
        <f t="shared" si="123"/>
        <v>Ikire|Nigeria|4,183333|7,350000|+1:00 Africa</v>
      </c>
      <c r="M1576" s="10" t="s">
        <v>5274</v>
      </c>
      <c r="N1576" s="10">
        <f t="shared" si="120"/>
        <v>0</v>
      </c>
      <c r="O1576" t="str">
        <f t="shared" si="124"/>
        <v/>
      </c>
      <c r="P1576" t="str">
        <f>IF(O1576=1,COUNTIF($O$2:O1576,1),"")</f>
        <v/>
      </c>
      <c r="Q1576" t="str">
        <f>IFERROR(INDEX($M$2:$M$2388,MATCH(ROWS($P$2:P1576),$P$2:$P$2388,0)),"")</f>
        <v/>
      </c>
    </row>
    <row r="1577" spans="1:17" ht="15" x14ac:dyDescent="0.25">
      <c r="A1577" s="10">
        <v>1665</v>
      </c>
      <c r="B1577" s="10" t="s">
        <v>5275</v>
      </c>
      <c r="C1577" s="880">
        <f t="shared" si="121"/>
        <v>7.7165999999999997</v>
      </c>
      <c r="D1577" s="880">
        <f t="shared" si="122"/>
        <v>5.1665999999999999</v>
      </c>
      <c r="E1577" s="10">
        <v>7.7166670000000002</v>
      </c>
      <c r="F1577" s="10">
        <v>5.1666670000000003</v>
      </c>
      <c r="G1577" s="10">
        <v>1</v>
      </c>
      <c r="H1577" s="10" t="s">
        <v>1670</v>
      </c>
      <c r="I1577" s="10" t="s">
        <v>5241</v>
      </c>
      <c r="J1577" s="10" t="s">
        <v>5242</v>
      </c>
      <c r="K1577" s="10" t="s">
        <v>5243</v>
      </c>
      <c r="L1577" s="65" t="str">
        <f t="shared" si="123"/>
        <v>Ikot Ekpene|Nigeria|7,716667|5,166667|+1:00 Africa</v>
      </c>
      <c r="M1577" s="10" t="s">
        <v>5276</v>
      </c>
      <c r="N1577" s="10">
        <f t="shared" si="120"/>
        <v>0</v>
      </c>
      <c r="O1577" t="str">
        <f t="shared" si="124"/>
        <v/>
      </c>
      <c r="P1577" t="str">
        <f>IF(O1577=1,COUNTIF($O$2:O1577,1),"")</f>
        <v/>
      </c>
      <c r="Q1577" t="str">
        <f>IFERROR(INDEX($M$2:$M$2388,MATCH(ROWS($P$2:P1577),$P$2:$P$2388,0)),"")</f>
        <v/>
      </c>
    </row>
    <row r="1578" spans="1:17" ht="15" x14ac:dyDescent="0.25">
      <c r="A1578" s="10">
        <v>1664</v>
      </c>
      <c r="B1578" s="10" t="s">
        <v>5277</v>
      </c>
      <c r="C1578" s="880">
        <f t="shared" si="121"/>
        <v>4.7332999999999998</v>
      </c>
      <c r="D1578" s="880">
        <f t="shared" si="122"/>
        <v>7.6166</v>
      </c>
      <c r="E1578" s="10">
        <v>4.733333</v>
      </c>
      <c r="F1578" s="10">
        <v>7.6166669999999996</v>
      </c>
      <c r="G1578" s="10">
        <v>1</v>
      </c>
      <c r="H1578" s="10" t="s">
        <v>1670</v>
      </c>
      <c r="I1578" s="10" t="s">
        <v>5241</v>
      </c>
      <c r="J1578" s="10" t="s">
        <v>5242</v>
      </c>
      <c r="K1578" s="10" t="s">
        <v>5243</v>
      </c>
      <c r="L1578" s="65" t="str">
        <f t="shared" si="123"/>
        <v>Ilesa|Nigeria|4,733333|7,616667|+1:00 Africa</v>
      </c>
      <c r="M1578" s="10" t="s">
        <v>5278</v>
      </c>
      <c r="N1578" s="10">
        <f t="shared" si="120"/>
        <v>0</v>
      </c>
      <c r="O1578" t="str">
        <f t="shared" si="124"/>
        <v/>
      </c>
      <c r="P1578" t="str">
        <f>IF(O1578=1,COUNTIF($O$2:O1578,1),"")</f>
        <v/>
      </c>
      <c r="Q1578" t="str">
        <f>IFERROR(INDEX($M$2:$M$2388,MATCH(ROWS($P$2:P1578),$P$2:$P$2388,0)),"")</f>
        <v/>
      </c>
    </row>
    <row r="1579" spans="1:17" ht="15" x14ac:dyDescent="0.25">
      <c r="A1579" s="10">
        <v>1663</v>
      </c>
      <c r="B1579" s="10" t="s">
        <v>5279</v>
      </c>
      <c r="C1579" s="880">
        <f t="shared" si="121"/>
        <v>4.55</v>
      </c>
      <c r="D1579" s="880">
        <f t="shared" si="122"/>
        <v>8.5</v>
      </c>
      <c r="E1579" s="10">
        <v>4.55</v>
      </c>
      <c r="F1579" s="10">
        <v>8.5</v>
      </c>
      <c r="G1579" s="10">
        <v>1</v>
      </c>
      <c r="H1579" s="10" t="s">
        <v>1670</v>
      </c>
      <c r="I1579" s="10" t="s">
        <v>5241</v>
      </c>
      <c r="J1579" s="10" t="s">
        <v>5242</v>
      </c>
      <c r="K1579" s="10" t="s">
        <v>5243</v>
      </c>
      <c r="L1579" s="65" t="str">
        <f t="shared" si="123"/>
        <v>Ilorin|Nigeria|4,550000|8,500000|+1:00 Africa</v>
      </c>
      <c r="M1579" s="10" t="s">
        <v>5280</v>
      </c>
      <c r="N1579" s="10">
        <f t="shared" si="120"/>
        <v>0</v>
      </c>
      <c r="O1579" t="str">
        <f t="shared" si="124"/>
        <v/>
      </c>
      <c r="P1579" t="str">
        <f>IF(O1579=1,COUNTIF($O$2:O1579,1),"")</f>
        <v/>
      </c>
      <c r="Q1579" t="str">
        <f>IFERROR(INDEX($M$2:$M$2388,MATCH(ROWS($P$2:P1579),$P$2:$P$2388,0)),"")</f>
        <v/>
      </c>
    </row>
    <row r="1580" spans="1:17" ht="15" x14ac:dyDescent="0.25">
      <c r="A1580" s="10">
        <v>1662</v>
      </c>
      <c r="B1580" s="10" t="s">
        <v>5281</v>
      </c>
      <c r="C1580" s="880">
        <f t="shared" si="121"/>
        <v>4.1833</v>
      </c>
      <c r="D1580" s="880">
        <f t="shared" si="122"/>
        <v>7.6333000000000002</v>
      </c>
      <c r="E1580" s="10">
        <v>4.1833330000000002</v>
      </c>
      <c r="F1580" s="10">
        <v>7.6333330000000004</v>
      </c>
      <c r="G1580" s="10">
        <v>1</v>
      </c>
      <c r="H1580" s="10" t="s">
        <v>1670</v>
      </c>
      <c r="I1580" s="10" t="s">
        <v>5241</v>
      </c>
      <c r="J1580" s="10" t="s">
        <v>5242</v>
      </c>
      <c r="K1580" s="10" t="s">
        <v>5243</v>
      </c>
      <c r="L1580" s="65" t="str">
        <f t="shared" si="123"/>
        <v>Iwo|Nigeria|4,183333|7,633333|+1:00 Africa</v>
      </c>
      <c r="M1580" s="10" t="s">
        <v>5282</v>
      </c>
      <c r="N1580" s="10">
        <f t="shared" si="120"/>
        <v>0</v>
      </c>
      <c r="O1580" t="str">
        <f t="shared" si="124"/>
        <v/>
      </c>
      <c r="P1580" t="str">
        <f>IF(O1580=1,COUNTIF($O$2:O1580,1),"")</f>
        <v/>
      </c>
      <c r="Q1580" t="str">
        <f>IFERROR(INDEX($M$2:$M$2388,MATCH(ROWS($P$2:P1580),$P$2:$P$2388,0)),"")</f>
        <v/>
      </c>
    </row>
    <row r="1581" spans="1:17" ht="15" x14ac:dyDescent="0.25">
      <c r="A1581" s="10">
        <v>1661</v>
      </c>
      <c r="B1581" s="10" t="s">
        <v>5283</v>
      </c>
      <c r="C1581" s="880">
        <f t="shared" si="121"/>
        <v>12.4666</v>
      </c>
      <c r="D1581" s="880">
        <f t="shared" si="122"/>
        <v>9.2833000000000006</v>
      </c>
      <c r="E1581" s="10">
        <v>12.466666999999999</v>
      </c>
      <c r="F1581" s="10">
        <v>9.2833330000000007</v>
      </c>
      <c r="G1581" s="10">
        <v>1</v>
      </c>
      <c r="H1581" s="10" t="s">
        <v>1670</v>
      </c>
      <c r="I1581" s="10" t="s">
        <v>5241</v>
      </c>
      <c r="J1581" s="10" t="s">
        <v>5242</v>
      </c>
      <c r="K1581" s="10" t="s">
        <v>5243</v>
      </c>
      <c r="L1581" s="65" t="str">
        <f t="shared" si="123"/>
        <v>Jimeta|Nigeria|12,466667|9,283333|+1:00 Africa</v>
      </c>
      <c r="M1581" s="10" t="s">
        <v>5284</v>
      </c>
      <c r="N1581" s="10">
        <f t="shared" si="120"/>
        <v>0</v>
      </c>
      <c r="O1581" t="str">
        <f t="shared" si="124"/>
        <v/>
      </c>
      <c r="P1581" t="str">
        <f>IF(O1581=1,COUNTIF($O$2:O1581,1),"")</f>
        <v/>
      </c>
      <c r="Q1581" t="str">
        <f>IFERROR(INDEX($M$2:$M$2388,MATCH(ROWS($P$2:P1581),$P$2:$P$2388,0)),"")</f>
        <v/>
      </c>
    </row>
    <row r="1582" spans="1:17" ht="15" x14ac:dyDescent="0.25">
      <c r="A1582" s="10">
        <v>1660</v>
      </c>
      <c r="B1582" s="10" t="s">
        <v>5285</v>
      </c>
      <c r="C1582" s="880">
        <f t="shared" si="121"/>
        <v>8.9</v>
      </c>
      <c r="D1582" s="880">
        <f t="shared" si="122"/>
        <v>9.9166000000000007</v>
      </c>
      <c r="E1582" s="10">
        <v>8.9</v>
      </c>
      <c r="F1582" s="10">
        <v>9.9166670000000003</v>
      </c>
      <c r="G1582" s="10">
        <v>1</v>
      </c>
      <c r="H1582" s="10" t="s">
        <v>1670</v>
      </c>
      <c r="I1582" s="10" t="s">
        <v>5241</v>
      </c>
      <c r="J1582" s="10" t="s">
        <v>5242</v>
      </c>
      <c r="K1582" s="10" t="s">
        <v>5243</v>
      </c>
      <c r="L1582" s="65" t="str">
        <f t="shared" si="123"/>
        <v>Jos|Nigeria|8,900000|9,916667|+1:00 Africa</v>
      </c>
      <c r="M1582" s="10" t="s">
        <v>5286</v>
      </c>
      <c r="N1582" s="10">
        <f t="shared" si="120"/>
        <v>0</v>
      </c>
      <c r="O1582" t="str">
        <f t="shared" si="124"/>
        <v/>
      </c>
      <c r="P1582" t="str">
        <f>IF(O1582=1,COUNTIF($O$2:O1582,1),"")</f>
        <v/>
      </c>
      <c r="Q1582" t="str">
        <f>IFERROR(INDEX($M$2:$M$2388,MATCH(ROWS($P$2:P1582),$P$2:$P$2388,0)),"")</f>
        <v/>
      </c>
    </row>
    <row r="1583" spans="1:17" ht="15" x14ac:dyDescent="0.25">
      <c r="A1583" s="10">
        <v>1659</v>
      </c>
      <c r="B1583" s="10" t="s">
        <v>5287</v>
      </c>
      <c r="C1583" s="880">
        <f t="shared" si="121"/>
        <v>7.4401999999999999</v>
      </c>
      <c r="D1583" s="880">
        <f t="shared" si="122"/>
        <v>10.523</v>
      </c>
      <c r="E1583" s="10">
        <v>7.4402780000000002</v>
      </c>
      <c r="F1583" s="10">
        <v>10.523056</v>
      </c>
      <c r="G1583" s="10">
        <v>1</v>
      </c>
      <c r="H1583" s="10" t="s">
        <v>1670</v>
      </c>
      <c r="I1583" s="10" t="s">
        <v>5241</v>
      </c>
      <c r="J1583" s="10" t="s">
        <v>5242</v>
      </c>
      <c r="K1583" s="10" t="s">
        <v>5243</v>
      </c>
      <c r="L1583" s="65" t="str">
        <f t="shared" si="123"/>
        <v>Kaduna|Nigeria|7,440278|10,523056|+1:00 Africa</v>
      </c>
      <c r="M1583" s="10" t="s">
        <v>5288</v>
      </c>
      <c r="N1583" s="10">
        <f t="shared" si="120"/>
        <v>0</v>
      </c>
      <c r="O1583" t="str">
        <f t="shared" si="124"/>
        <v/>
      </c>
      <c r="P1583" t="str">
        <f>IF(O1583=1,COUNTIF($O$2:O1583,1),"")</f>
        <v/>
      </c>
      <c r="Q1583" t="str">
        <f>IFERROR(INDEX($M$2:$M$2388,MATCH(ROWS($P$2:P1583),$P$2:$P$2388,0)),"")</f>
        <v/>
      </c>
    </row>
    <row r="1584" spans="1:17" ht="15" x14ac:dyDescent="0.25">
      <c r="A1584" s="10">
        <v>1658</v>
      </c>
      <c r="B1584" s="10" t="s">
        <v>5289</v>
      </c>
      <c r="C1584" s="880">
        <f t="shared" si="121"/>
        <v>8.5166000000000004</v>
      </c>
      <c r="D1584" s="880">
        <f t="shared" si="122"/>
        <v>11.9963</v>
      </c>
      <c r="E1584" s="10">
        <v>8.5166660000000007</v>
      </c>
      <c r="F1584" s="10">
        <v>11.996388</v>
      </c>
      <c r="G1584" s="10">
        <v>1</v>
      </c>
      <c r="H1584" s="10" t="s">
        <v>1670</v>
      </c>
      <c r="I1584" s="10" t="s">
        <v>5241</v>
      </c>
      <c r="J1584" s="10" t="s">
        <v>5242</v>
      </c>
      <c r="K1584" s="10" t="s">
        <v>5243</v>
      </c>
      <c r="L1584" s="65" t="str">
        <f t="shared" si="123"/>
        <v>Kano|Nigeria|8,516666|11,996388|+1:00 Africa</v>
      </c>
      <c r="M1584" s="10" t="s">
        <v>5290</v>
      </c>
      <c r="N1584" s="10">
        <f t="shared" si="120"/>
        <v>0</v>
      </c>
      <c r="O1584" t="str">
        <f t="shared" si="124"/>
        <v/>
      </c>
      <c r="P1584" t="str">
        <f>IF(O1584=1,COUNTIF($O$2:O1584,1),"")</f>
        <v/>
      </c>
      <c r="Q1584" t="str">
        <f>IFERROR(INDEX($M$2:$M$2388,MATCH(ROWS($P$2:P1584),$P$2:$P$2388,0)),"")</f>
        <v/>
      </c>
    </row>
    <row r="1585" spans="1:17" ht="15" x14ac:dyDescent="0.25">
      <c r="A1585" s="10">
        <v>1657</v>
      </c>
      <c r="B1585" s="10" t="s">
        <v>5291</v>
      </c>
      <c r="C1585" s="880">
        <f t="shared" si="121"/>
        <v>7.5994000000000002</v>
      </c>
      <c r="D1585" s="880">
        <f t="shared" si="122"/>
        <v>12.9977</v>
      </c>
      <c r="E1585" s="10">
        <v>7.5994440000000001</v>
      </c>
      <c r="F1585" s="10">
        <v>12.997778</v>
      </c>
      <c r="G1585" s="10">
        <v>1</v>
      </c>
      <c r="H1585" s="10" t="s">
        <v>1670</v>
      </c>
      <c r="I1585" s="10" t="s">
        <v>5241</v>
      </c>
      <c r="J1585" s="10" t="s">
        <v>5242</v>
      </c>
      <c r="K1585" s="10" t="s">
        <v>5243</v>
      </c>
      <c r="L1585" s="65" t="str">
        <f t="shared" si="123"/>
        <v>Katsina|Nigeria|7,599444|12,997778|+1:00 Africa</v>
      </c>
      <c r="M1585" s="10" t="s">
        <v>5292</v>
      </c>
      <c r="N1585" s="10">
        <f t="shared" si="120"/>
        <v>0</v>
      </c>
      <c r="O1585" t="str">
        <f t="shared" si="124"/>
        <v/>
      </c>
      <c r="P1585" t="str">
        <f>IF(O1585=1,COUNTIF($O$2:O1585,1),"")</f>
        <v/>
      </c>
      <c r="Q1585" t="str">
        <f>IFERROR(INDEX($M$2:$M$2388,MATCH(ROWS($P$2:P1585),$P$2:$P$2388,0)),"")</f>
        <v/>
      </c>
    </row>
    <row r="1586" spans="1:17" ht="15" x14ac:dyDescent="0.25">
      <c r="A1586" s="10">
        <v>1656</v>
      </c>
      <c r="B1586" s="10" t="s">
        <v>5293</v>
      </c>
      <c r="C1586" s="880">
        <f t="shared" si="121"/>
        <v>3.3957999999999999</v>
      </c>
      <c r="D1586" s="880">
        <f t="shared" si="122"/>
        <v>6.4530000000000003</v>
      </c>
      <c r="E1586" s="10">
        <v>3.3958330000000001</v>
      </c>
      <c r="F1586" s="10">
        <v>6.453055</v>
      </c>
      <c r="G1586" s="10">
        <v>1</v>
      </c>
      <c r="H1586" s="10" t="s">
        <v>1670</v>
      </c>
      <c r="I1586" s="10" t="s">
        <v>5241</v>
      </c>
      <c r="J1586" s="10" t="s">
        <v>5242</v>
      </c>
      <c r="K1586" s="10" t="s">
        <v>5243</v>
      </c>
      <c r="L1586" s="65" t="str">
        <f t="shared" si="123"/>
        <v>Lagos|Nigeria|3,395833|6,453055|+1:00 Africa</v>
      </c>
      <c r="M1586" s="10" t="s">
        <v>5294</v>
      </c>
      <c r="N1586" s="10">
        <f t="shared" si="120"/>
        <v>0</v>
      </c>
      <c r="O1586" t="str">
        <f t="shared" si="124"/>
        <v/>
      </c>
      <c r="P1586" t="str">
        <f>IF(O1586=1,COUNTIF($O$2:O1586,1),"")</f>
        <v/>
      </c>
      <c r="Q1586" t="str">
        <f>IFERROR(INDEX($M$2:$M$2388,MATCH(ROWS($P$2:P1586),$P$2:$P$2388,0)),"")</f>
        <v/>
      </c>
    </row>
    <row r="1587" spans="1:17" ht="15" x14ac:dyDescent="0.25">
      <c r="A1587" s="10">
        <v>1655</v>
      </c>
      <c r="B1587" s="10" t="s">
        <v>5295</v>
      </c>
      <c r="C1587" s="880">
        <f t="shared" si="121"/>
        <v>13.16</v>
      </c>
      <c r="D1587" s="880">
        <f t="shared" si="122"/>
        <v>11.845000000000001</v>
      </c>
      <c r="E1587" s="10">
        <v>13.16</v>
      </c>
      <c r="F1587" s="10">
        <v>11.845000000000001</v>
      </c>
      <c r="G1587" s="10">
        <v>1</v>
      </c>
      <c r="H1587" s="10" t="s">
        <v>1670</v>
      </c>
      <c r="I1587" s="10" t="s">
        <v>5241</v>
      </c>
      <c r="J1587" s="10" t="s">
        <v>5242</v>
      </c>
      <c r="K1587" s="10" t="s">
        <v>5243</v>
      </c>
      <c r="L1587" s="65" t="str">
        <f t="shared" si="123"/>
        <v>Maiduguri|Nigeria|13,160000|11,845000|+1:00 Africa</v>
      </c>
      <c r="M1587" s="10" t="s">
        <v>5296</v>
      </c>
      <c r="N1587" s="10">
        <f t="shared" si="120"/>
        <v>0</v>
      </c>
      <c r="O1587" t="str">
        <f t="shared" si="124"/>
        <v/>
      </c>
      <c r="P1587" t="str">
        <f>IF(O1587=1,COUNTIF($O$2:O1587,1),"")</f>
        <v/>
      </c>
      <c r="Q1587" t="str">
        <f>IFERROR(INDEX($M$2:$M$2388,MATCH(ROWS($P$2:P1587),$P$2:$P$2388,0)),"")</f>
        <v/>
      </c>
    </row>
    <row r="1588" spans="1:17" ht="15" x14ac:dyDescent="0.25">
      <c r="A1588" s="10">
        <v>1654</v>
      </c>
      <c r="B1588" s="10" t="s">
        <v>5297</v>
      </c>
      <c r="C1588" s="880">
        <f t="shared" si="121"/>
        <v>8.5333000000000006</v>
      </c>
      <c r="D1588" s="880">
        <f t="shared" si="122"/>
        <v>7.7332999999999998</v>
      </c>
      <c r="E1588" s="10">
        <v>8.5333330000000007</v>
      </c>
      <c r="F1588" s="10">
        <v>7.733333</v>
      </c>
      <c r="G1588" s="10">
        <v>1</v>
      </c>
      <c r="H1588" s="10" t="s">
        <v>1670</v>
      </c>
      <c r="I1588" s="10" t="s">
        <v>5241</v>
      </c>
      <c r="J1588" s="10" t="s">
        <v>5242</v>
      </c>
      <c r="K1588" s="10" t="s">
        <v>5243</v>
      </c>
      <c r="L1588" s="65" t="str">
        <f t="shared" si="123"/>
        <v>Makurdi|Nigeria|8,533333|7,733333|+1:00 Africa</v>
      </c>
      <c r="M1588" s="10" t="s">
        <v>5298</v>
      </c>
      <c r="N1588" s="10">
        <f t="shared" si="120"/>
        <v>0</v>
      </c>
      <c r="O1588" t="str">
        <f t="shared" si="124"/>
        <v/>
      </c>
      <c r="P1588" t="str">
        <f>IF(O1588=1,COUNTIF($O$2:O1588,1),"")</f>
        <v/>
      </c>
      <c r="Q1588" t="str">
        <f>IFERROR(INDEX($M$2:$M$2388,MATCH(ROWS($P$2:P1588),$P$2:$P$2388,0)),"")</f>
        <v/>
      </c>
    </row>
    <row r="1589" spans="1:17" ht="15" x14ac:dyDescent="0.25">
      <c r="A1589" s="10">
        <v>1653</v>
      </c>
      <c r="B1589" s="10" t="s">
        <v>5299</v>
      </c>
      <c r="C1589" s="880">
        <f t="shared" si="121"/>
        <v>6.5568999999999997</v>
      </c>
      <c r="D1589" s="880">
        <f t="shared" si="122"/>
        <v>9.6137999999999995</v>
      </c>
      <c r="E1589" s="10">
        <v>6.5569439999999997</v>
      </c>
      <c r="F1589" s="10">
        <v>9.6138890000000004</v>
      </c>
      <c r="G1589" s="10">
        <v>1</v>
      </c>
      <c r="H1589" s="10" t="s">
        <v>1670</v>
      </c>
      <c r="I1589" s="10" t="s">
        <v>5241</v>
      </c>
      <c r="J1589" s="10" t="s">
        <v>5242</v>
      </c>
      <c r="K1589" s="10" t="s">
        <v>5243</v>
      </c>
      <c r="L1589" s="65" t="str">
        <f t="shared" si="123"/>
        <v>Minna|Nigeria|6,556944|9,613889|+1:00 Africa</v>
      </c>
      <c r="M1589" s="10" t="s">
        <v>5300</v>
      </c>
      <c r="N1589" s="10">
        <f t="shared" si="120"/>
        <v>0</v>
      </c>
      <c r="O1589" t="str">
        <f t="shared" si="124"/>
        <v/>
      </c>
      <c r="P1589" t="str">
        <f>IF(O1589=1,COUNTIF($O$2:O1589,1),"")</f>
        <v/>
      </c>
      <c r="Q1589" t="str">
        <f>IFERROR(INDEX($M$2:$M$2388,MATCH(ROWS($P$2:P1589),$P$2:$P$2388,0)),"")</f>
        <v/>
      </c>
    </row>
    <row r="1590" spans="1:17" ht="15" x14ac:dyDescent="0.25">
      <c r="A1590" s="10">
        <v>1652</v>
      </c>
      <c r="B1590" s="10" t="s">
        <v>5301</v>
      </c>
      <c r="C1590" s="880">
        <f t="shared" si="121"/>
        <v>13.2705</v>
      </c>
      <c r="D1590" s="880">
        <f t="shared" si="122"/>
        <v>10.268800000000001</v>
      </c>
      <c r="E1590" s="10">
        <v>13.270555</v>
      </c>
      <c r="F1590" s="10">
        <v>10.268888</v>
      </c>
      <c r="G1590" s="10">
        <v>1</v>
      </c>
      <c r="H1590" s="10" t="s">
        <v>1670</v>
      </c>
      <c r="I1590" s="10" t="s">
        <v>5241</v>
      </c>
      <c r="J1590" s="10" t="s">
        <v>5242</v>
      </c>
      <c r="K1590" s="10" t="s">
        <v>5243</v>
      </c>
      <c r="L1590" s="65" t="str">
        <f t="shared" si="123"/>
        <v>Mubi|Nigeria|13,270555|10,268888|+1:00 Africa</v>
      </c>
      <c r="M1590" s="10" t="s">
        <v>5302</v>
      </c>
      <c r="N1590" s="10">
        <f t="shared" si="120"/>
        <v>0</v>
      </c>
      <c r="O1590" t="str">
        <f t="shared" si="124"/>
        <v/>
      </c>
      <c r="P1590" t="str">
        <f>IF(O1590=1,COUNTIF($O$2:O1590,1),"")</f>
        <v/>
      </c>
      <c r="Q1590" t="str">
        <f>IFERROR(INDEX($M$2:$M$2388,MATCH(ROWS($P$2:P1590),$P$2:$P$2388,0)),"")</f>
        <v/>
      </c>
    </row>
    <row r="1591" spans="1:17" ht="15" x14ac:dyDescent="0.25">
      <c r="A1591" s="10">
        <v>1651</v>
      </c>
      <c r="B1591" s="10" t="s">
        <v>5303</v>
      </c>
      <c r="C1591" s="880">
        <f t="shared" si="121"/>
        <v>6.2332999999999998</v>
      </c>
      <c r="D1591" s="880">
        <f t="shared" si="122"/>
        <v>7.55</v>
      </c>
      <c r="E1591" s="10">
        <v>6.233333</v>
      </c>
      <c r="F1591" s="10">
        <v>7.55</v>
      </c>
      <c r="G1591" s="10">
        <v>1</v>
      </c>
      <c r="H1591" s="10" t="s">
        <v>1670</v>
      </c>
      <c r="I1591" s="10" t="s">
        <v>5241</v>
      </c>
      <c r="J1591" s="10" t="s">
        <v>5242</v>
      </c>
      <c r="K1591" s="10" t="s">
        <v>5243</v>
      </c>
      <c r="L1591" s="65" t="str">
        <f t="shared" si="123"/>
        <v>Okene|Nigeria|6,233333|7,550000|+1:00 Africa</v>
      </c>
      <c r="M1591" s="10" t="s">
        <v>5304</v>
      </c>
      <c r="N1591" s="10">
        <f t="shared" si="120"/>
        <v>0</v>
      </c>
      <c r="O1591" t="str">
        <f t="shared" si="124"/>
        <v/>
      </c>
      <c r="P1591" t="str">
        <f>IF(O1591=1,COUNTIF($O$2:O1591,1),"")</f>
        <v/>
      </c>
      <c r="Q1591" t="str">
        <f>IFERROR(INDEX($M$2:$M$2388,MATCH(ROWS($P$2:P1591),$P$2:$P$2388,0)),"")</f>
        <v/>
      </c>
    </row>
    <row r="1592" spans="1:17" ht="15" x14ac:dyDescent="0.25">
      <c r="A1592" s="10">
        <v>1650</v>
      </c>
      <c r="B1592" s="10" t="s">
        <v>5305</v>
      </c>
      <c r="C1592" s="880">
        <f t="shared" si="121"/>
        <v>4.8333000000000004</v>
      </c>
      <c r="D1592" s="880">
        <f t="shared" si="122"/>
        <v>7.1</v>
      </c>
      <c r="E1592" s="10">
        <v>4.8333329999999997</v>
      </c>
      <c r="F1592" s="10">
        <v>7.1</v>
      </c>
      <c r="G1592" s="10">
        <v>1</v>
      </c>
      <c r="H1592" s="10" t="s">
        <v>1670</v>
      </c>
      <c r="I1592" s="10" t="s">
        <v>5241</v>
      </c>
      <c r="J1592" s="10" t="s">
        <v>5242</v>
      </c>
      <c r="K1592" s="10" t="s">
        <v>5243</v>
      </c>
      <c r="L1592" s="65" t="str">
        <f t="shared" si="123"/>
        <v>Ondo|Nigeria|4,833333|7,100000|+1:00 Africa</v>
      </c>
      <c r="M1592" s="10" t="s">
        <v>5306</v>
      </c>
      <c r="N1592" s="10">
        <f t="shared" si="120"/>
        <v>0</v>
      </c>
      <c r="O1592" t="str">
        <f t="shared" si="124"/>
        <v/>
      </c>
      <c r="P1592" t="str">
        <f>IF(O1592=1,COUNTIF($O$2:O1592,1),"")</f>
        <v/>
      </c>
      <c r="Q1592" t="str">
        <f>IFERROR(INDEX($M$2:$M$2388,MATCH(ROWS($P$2:P1592),$P$2:$P$2388,0)),"")</f>
        <v/>
      </c>
    </row>
    <row r="1593" spans="1:17" ht="15" x14ac:dyDescent="0.25">
      <c r="A1593" s="10">
        <v>1649</v>
      </c>
      <c r="B1593" s="10" t="s">
        <v>5307</v>
      </c>
      <c r="C1593" s="880">
        <f t="shared" si="121"/>
        <v>6.7832999999999997</v>
      </c>
      <c r="D1593" s="880">
        <f t="shared" si="122"/>
        <v>6.1665999999999999</v>
      </c>
      <c r="E1593" s="10">
        <v>6.7833329999999998</v>
      </c>
      <c r="F1593" s="10">
        <v>6.1666670000000003</v>
      </c>
      <c r="G1593" s="10">
        <v>1</v>
      </c>
      <c r="H1593" s="10" t="s">
        <v>1670</v>
      </c>
      <c r="I1593" s="10" t="s">
        <v>5241</v>
      </c>
      <c r="J1593" s="10" t="s">
        <v>5242</v>
      </c>
      <c r="K1593" s="10" t="s">
        <v>5243</v>
      </c>
      <c r="L1593" s="65" t="str">
        <f t="shared" si="123"/>
        <v>Onitsha|Nigeria|6,783333|6,166667|+1:00 Africa</v>
      </c>
      <c r="M1593" s="10" t="s">
        <v>5308</v>
      </c>
      <c r="N1593" s="10">
        <f t="shared" si="120"/>
        <v>0</v>
      </c>
      <c r="O1593" t="str">
        <f t="shared" si="124"/>
        <v/>
      </c>
      <c r="P1593" t="str">
        <f>IF(O1593=1,COUNTIF($O$2:O1593,1),"")</f>
        <v/>
      </c>
      <c r="Q1593" t="str">
        <f>IFERROR(INDEX($M$2:$M$2388,MATCH(ROWS($P$2:P1593),$P$2:$P$2388,0)),"")</f>
        <v/>
      </c>
    </row>
    <row r="1594" spans="1:17" ht="15" x14ac:dyDescent="0.25">
      <c r="A1594" s="10">
        <v>1648</v>
      </c>
      <c r="B1594" s="10" t="s">
        <v>5309</v>
      </c>
      <c r="C1594" s="880">
        <f t="shared" si="121"/>
        <v>7.0332999999999997</v>
      </c>
      <c r="D1594" s="880">
        <f t="shared" si="122"/>
        <v>5.4832999999999998</v>
      </c>
      <c r="E1594" s="10">
        <v>7.0333329999999998</v>
      </c>
      <c r="F1594" s="10">
        <v>5.483333</v>
      </c>
      <c r="G1594" s="10">
        <v>1</v>
      </c>
      <c r="H1594" s="10" t="s">
        <v>1670</v>
      </c>
      <c r="I1594" s="10" t="s">
        <v>5241</v>
      </c>
      <c r="J1594" s="10" t="s">
        <v>5242</v>
      </c>
      <c r="K1594" s="10" t="s">
        <v>5243</v>
      </c>
      <c r="L1594" s="65" t="str">
        <f t="shared" si="123"/>
        <v>Owerri|Nigeria|7,033333|5,483333|+1:00 Africa</v>
      </c>
      <c r="M1594" s="10" t="s">
        <v>5310</v>
      </c>
      <c r="N1594" s="10">
        <f t="shared" si="120"/>
        <v>0</v>
      </c>
      <c r="O1594" t="str">
        <f t="shared" si="124"/>
        <v/>
      </c>
      <c r="P1594" t="str">
        <f>IF(O1594=1,COUNTIF($O$2:O1594,1),"")</f>
        <v/>
      </c>
      <c r="Q1594" t="str">
        <f>IFERROR(INDEX($M$2:$M$2388,MATCH(ROWS($P$2:P1594),$P$2:$P$2388,0)),"")</f>
        <v/>
      </c>
    </row>
    <row r="1595" spans="1:17" ht="15" x14ac:dyDescent="0.25">
      <c r="A1595" s="10">
        <v>1647</v>
      </c>
      <c r="B1595" s="10" t="s">
        <v>5311</v>
      </c>
      <c r="C1595" s="880">
        <f t="shared" si="121"/>
        <v>5.5833000000000004</v>
      </c>
      <c r="D1595" s="880">
        <f t="shared" si="122"/>
        <v>7.1833</v>
      </c>
      <c r="E1595" s="10">
        <v>5.5833329999999997</v>
      </c>
      <c r="F1595" s="10">
        <v>7.1833330000000002</v>
      </c>
      <c r="G1595" s="10">
        <v>1</v>
      </c>
      <c r="H1595" s="10" t="s">
        <v>1670</v>
      </c>
      <c r="I1595" s="10" t="s">
        <v>5241</v>
      </c>
      <c r="J1595" s="10" t="s">
        <v>5242</v>
      </c>
      <c r="K1595" s="10" t="s">
        <v>5243</v>
      </c>
      <c r="L1595" s="65" t="str">
        <f t="shared" si="123"/>
        <v>Owo|Nigeria|5,583333|7,183333|+1:00 Africa</v>
      </c>
      <c r="M1595" s="10" t="s">
        <v>5312</v>
      </c>
      <c r="N1595" s="10">
        <f t="shared" si="120"/>
        <v>0</v>
      </c>
      <c r="O1595" t="str">
        <f t="shared" si="124"/>
        <v/>
      </c>
      <c r="P1595" t="str">
        <f>IF(O1595=1,COUNTIF($O$2:O1595,1),"")</f>
        <v/>
      </c>
      <c r="Q1595" t="str">
        <f>IFERROR(INDEX($M$2:$M$2388,MATCH(ROWS($P$2:P1595),$P$2:$P$2388,0)),"")</f>
        <v/>
      </c>
    </row>
    <row r="1596" spans="1:17" ht="15" x14ac:dyDescent="0.25">
      <c r="A1596" s="10">
        <v>1646</v>
      </c>
      <c r="B1596" s="10" t="s">
        <v>5313</v>
      </c>
      <c r="C1596" s="880">
        <f t="shared" si="121"/>
        <v>3.9333</v>
      </c>
      <c r="D1596" s="880">
        <f t="shared" si="122"/>
        <v>7.85</v>
      </c>
      <c r="E1596" s="10">
        <v>3.9333330000000002</v>
      </c>
      <c r="F1596" s="10">
        <v>7.85</v>
      </c>
      <c r="G1596" s="10">
        <v>1</v>
      </c>
      <c r="H1596" s="10" t="s">
        <v>1670</v>
      </c>
      <c r="I1596" s="10" t="s">
        <v>5241</v>
      </c>
      <c r="J1596" s="10" t="s">
        <v>5242</v>
      </c>
      <c r="K1596" s="10" t="s">
        <v>5243</v>
      </c>
      <c r="L1596" s="65" t="str">
        <f t="shared" si="123"/>
        <v>Oyo|Nigeria|3,933333|7,850000|+1:00 Africa</v>
      </c>
      <c r="M1596" s="10" t="s">
        <v>5314</v>
      </c>
      <c r="N1596" s="10">
        <f t="shared" si="120"/>
        <v>0</v>
      </c>
      <c r="O1596" t="str">
        <f t="shared" si="124"/>
        <v/>
      </c>
      <c r="P1596" t="str">
        <f>IF(O1596=1,COUNTIF($O$2:O1596,1),"")</f>
        <v/>
      </c>
      <c r="Q1596" t="str">
        <f>IFERROR(INDEX($M$2:$M$2388,MATCH(ROWS($P$2:P1596),$P$2:$P$2388,0)),"")</f>
        <v/>
      </c>
    </row>
    <row r="1597" spans="1:17" ht="15" x14ac:dyDescent="0.25">
      <c r="A1597" s="10">
        <v>1645</v>
      </c>
      <c r="B1597" s="10" t="s">
        <v>5315</v>
      </c>
      <c r="C1597" s="880">
        <f t="shared" si="121"/>
        <v>6.9985999999999997</v>
      </c>
      <c r="D1597" s="880">
        <f t="shared" si="122"/>
        <v>4.7891000000000004</v>
      </c>
      <c r="E1597" s="10">
        <v>6.9986110000000004</v>
      </c>
      <c r="F1597" s="10">
        <v>4.789167</v>
      </c>
      <c r="G1597" s="10">
        <v>1</v>
      </c>
      <c r="H1597" s="10" t="s">
        <v>1670</v>
      </c>
      <c r="I1597" s="10" t="s">
        <v>5241</v>
      </c>
      <c r="J1597" s="10" t="s">
        <v>5242</v>
      </c>
      <c r="K1597" s="10" t="s">
        <v>5243</v>
      </c>
      <c r="L1597" s="65" t="str">
        <f t="shared" si="123"/>
        <v>Port Harcourt|Nigeria|6,998611|4,789167|+1:00 Africa</v>
      </c>
      <c r="M1597" s="10" t="s">
        <v>5316</v>
      </c>
      <c r="N1597" s="10">
        <f t="shared" si="120"/>
        <v>0</v>
      </c>
      <c r="O1597" t="str">
        <f t="shared" si="124"/>
        <v/>
      </c>
      <c r="P1597" t="str">
        <f>IF(O1597=1,COUNTIF($O$2:O1597,1),"")</f>
        <v/>
      </c>
      <c r="Q1597" t="str">
        <f>IFERROR(INDEX($M$2:$M$2388,MATCH(ROWS($P$2:P1597),$P$2:$P$2388,0)),"")</f>
        <v/>
      </c>
    </row>
    <row r="1598" spans="1:17" ht="15" x14ac:dyDescent="0.25">
      <c r="A1598" s="10">
        <v>1644</v>
      </c>
      <c r="B1598" s="10" t="s">
        <v>5317</v>
      </c>
      <c r="C1598" s="880">
        <f t="shared" si="121"/>
        <v>3.65</v>
      </c>
      <c r="D1598" s="880">
        <f t="shared" si="122"/>
        <v>6.85</v>
      </c>
      <c r="E1598" s="10">
        <v>3.65</v>
      </c>
      <c r="F1598" s="10">
        <v>6.85</v>
      </c>
      <c r="G1598" s="10">
        <v>1</v>
      </c>
      <c r="H1598" s="10" t="s">
        <v>1670</v>
      </c>
      <c r="I1598" s="10" t="s">
        <v>5241</v>
      </c>
      <c r="J1598" s="10" t="s">
        <v>5242</v>
      </c>
      <c r="K1598" s="10" t="s">
        <v>5243</v>
      </c>
      <c r="L1598" s="65" t="str">
        <f t="shared" si="123"/>
        <v>Sagamu|Nigeria|3,650000|6,850000|+1:00 Africa</v>
      </c>
      <c r="M1598" s="10" t="s">
        <v>5318</v>
      </c>
      <c r="N1598" s="10">
        <f t="shared" si="120"/>
        <v>0</v>
      </c>
      <c r="O1598" t="str">
        <f t="shared" si="124"/>
        <v/>
      </c>
      <c r="P1598" t="str">
        <f>IF(O1598=1,COUNTIF($O$2:O1598,1),"")</f>
        <v/>
      </c>
      <c r="Q1598" t="str">
        <f>IFERROR(INDEX($M$2:$M$2388,MATCH(ROWS($P$2:P1598),$P$2:$P$2388,0)),"")</f>
        <v/>
      </c>
    </row>
    <row r="1599" spans="1:17" ht="15" x14ac:dyDescent="0.25">
      <c r="A1599" s="10">
        <v>1643</v>
      </c>
      <c r="B1599" s="10" t="s">
        <v>5319</v>
      </c>
      <c r="C1599" s="880">
        <f t="shared" si="121"/>
        <v>5.2313000000000001</v>
      </c>
      <c r="D1599" s="880">
        <f t="shared" si="122"/>
        <v>13.051299999999999</v>
      </c>
      <c r="E1599" s="10">
        <v>5.2313890000000001</v>
      </c>
      <c r="F1599" s="10">
        <v>13.051389</v>
      </c>
      <c r="G1599" s="10">
        <v>1</v>
      </c>
      <c r="H1599" s="10" t="s">
        <v>1670</v>
      </c>
      <c r="I1599" s="10" t="s">
        <v>5241</v>
      </c>
      <c r="J1599" s="10" t="s">
        <v>5242</v>
      </c>
      <c r="K1599" s="10" t="s">
        <v>5243</v>
      </c>
      <c r="L1599" s="65" t="str">
        <f t="shared" si="123"/>
        <v>Sokoto|Nigeria|5,231389|13,051389|+1:00 Africa</v>
      </c>
      <c r="M1599" s="10" t="s">
        <v>5320</v>
      </c>
      <c r="N1599" s="10">
        <f t="shared" si="120"/>
        <v>0</v>
      </c>
      <c r="O1599" t="str">
        <f t="shared" si="124"/>
        <v/>
      </c>
      <c r="P1599" t="str">
        <f>IF(O1599=1,COUNTIF($O$2:O1599,1),"")</f>
        <v/>
      </c>
      <c r="Q1599" t="str">
        <f>IFERROR(INDEX($M$2:$M$2388,MATCH(ROWS($P$2:P1599),$P$2:$P$2388,0)),"")</f>
        <v/>
      </c>
    </row>
    <row r="1600" spans="1:17" ht="15" x14ac:dyDescent="0.25">
      <c r="A1600" s="10">
        <v>1642</v>
      </c>
      <c r="B1600" s="10" t="s">
        <v>5321</v>
      </c>
      <c r="C1600" s="880">
        <f t="shared" si="121"/>
        <v>8.0832999999999995</v>
      </c>
      <c r="D1600" s="880">
        <f t="shared" si="122"/>
        <v>5.8</v>
      </c>
      <c r="E1600" s="10">
        <v>8.0833329999999997</v>
      </c>
      <c r="F1600" s="10">
        <v>5.8</v>
      </c>
      <c r="G1600" s="10">
        <v>1</v>
      </c>
      <c r="H1600" s="10" t="s">
        <v>1670</v>
      </c>
      <c r="I1600" s="10" t="s">
        <v>5241</v>
      </c>
      <c r="J1600" s="10" t="s">
        <v>5242</v>
      </c>
      <c r="K1600" s="10" t="s">
        <v>5243</v>
      </c>
      <c r="L1600" s="65" t="str">
        <f t="shared" si="123"/>
        <v>Ugep|Nigeria|8,083333|5,800000|+1:00 Africa</v>
      </c>
      <c r="M1600" s="10" t="s">
        <v>5322</v>
      </c>
      <c r="N1600" s="10">
        <f t="shared" si="120"/>
        <v>0</v>
      </c>
      <c r="O1600" t="str">
        <f t="shared" si="124"/>
        <v/>
      </c>
      <c r="P1600" t="str">
        <f>IF(O1600=1,COUNTIF($O$2:O1600,1),"")</f>
        <v/>
      </c>
      <c r="Q1600" t="str">
        <f>IFERROR(INDEX($M$2:$M$2388,MATCH(ROWS($P$2:P1600),$P$2:$P$2388,0)),"")</f>
        <v/>
      </c>
    </row>
    <row r="1601" spans="1:17" ht="15" x14ac:dyDescent="0.25">
      <c r="A1601" s="10">
        <v>1641</v>
      </c>
      <c r="B1601" s="10" t="s">
        <v>5323</v>
      </c>
      <c r="C1601" s="880">
        <f t="shared" si="121"/>
        <v>7.4832999999999998</v>
      </c>
      <c r="D1601" s="880">
        <f t="shared" si="122"/>
        <v>5.5332999999999997</v>
      </c>
      <c r="E1601" s="10">
        <v>7.483333</v>
      </c>
      <c r="F1601" s="10">
        <v>5.5333329999999998</v>
      </c>
      <c r="G1601" s="10">
        <v>1</v>
      </c>
      <c r="H1601" s="10" t="s">
        <v>1670</v>
      </c>
      <c r="I1601" s="10" t="s">
        <v>5241</v>
      </c>
      <c r="J1601" s="10" t="s">
        <v>5242</v>
      </c>
      <c r="K1601" s="10" t="s">
        <v>5243</v>
      </c>
      <c r="L1601" s="65" t="str">
        <f t="shared" si="123"/>
        <v>Umuahia|Nigeria|7,483333|5,533333|+1:00 Africa</v>
      </c>
      <c r="M1601" s="10" t="s">
        <v>5324</v>
      </c>
      <c r="N1601" s="10">
        <f t="shared" si="120"/>
        <v>0</v>
      </c>
      <c r="O1601" t="str">
        <f t="shared" si="124"/>
        <v/>
      </c>
      <c r="P1601" t="str">
        <f>IF(O1601=1,COUNTIF($O$2:O1601,1),"")</f>
        <v/>
      </c>
      <c r="Q1601" t="str">
        <f>IFERROR(INDEX($M$2:$M$2388,MATCH(ROWS($P$2:P1601),$P$2:$P$2388,0)),"")</f>
        <v/>
      </c>
    </row>
    <row r="1602" spans="1:17" ht="15" x14ac:dyDescent="0.25">
      <c r="A1602" s="10">
        <v>1640</v>
      </c>
      <c r="B1602" s="10" t="s">
        <v>5325</v>
      </c>
      <c r="C1602" s="880">
        <f t="shared" si="121"/>
        <v>5.75</v>
      </c>
      <c r="D1602" s="880">
        <f t="shared" si="122"/>
        <v>5.5166000000000004</v>
      </c>
      <c r="E1602" s="10">
        <v>5.75</v>
      </c>
      <c r="F1602" s="10">
        <v>5.516667</v>
      </c>
      <c r="G1602" s="10">
        <v>1</v>
      </c>
      <c r="H1602" s="10" t="s">
        <v>1670</v>
      </c>
      <c r="I1602" s="10" t="s">
        <v>5241</v>
      </c>
      <c r="J1602" s="10" t="s">
        <v>5242</v>
      </c>
      <c r="K1602" s="10" t="s">
        <v>5243</v>
      </c>
      <c r="L1602" s="65" t="str">
        <f t="shared" si="123"/>
        <v>Warri|Nigeria|5,750000|5,516667|+1:00 Africa</v>
      </c>
      <c r="M1602" s="10" t="s">
        <v>5326</v>
      </c>
      <c r="N1602" s="10">
        <f t="shared" ref="N1602:N1665" si="125">--ISNUMBER(IFERROR(SEARCH($R$2,J1602,1),""))</f>
        <v>0</v>
      </c>
      <c r="O1602" t="str">
        <f t="shared" si="124"/>
        <v/>
      </c>
      <c r="P1602" t="str">
        <f>IF(O1602=1,COUNTIF($O$2:O1602,1),"")</f>
        <v/>
      </c>
      <c r="Q1602" t="str">
        <f>IFERROR(INDEX($M$2:$M$2388,MATCH(ROWS($P$2:P1602),$P$2:$P$2388,0)),"")</f>
        <v/>
      </c>
    </row>
    <row r="1603" spans="1:17" ht="15" x14ac:dyDescent="0.25">
      <c r="A1603" s="10">
        <v>1639</v>
      </c>
      <c r="B1603" s="10" t="s">
        <v>5327</v>
      </c>
      <c r="C1603" s="880">
        <f t="shared" ref="C1603:C1666" si="126">TRUNC(E1603,4)</f>
        <v>7.7</v>
      </c>
      <c r="D1603" s="880">
        <f t="shared" ref="D1603:D1666" si="127">TRUNC(F1603,4)</f>
        <v>11.066599999999999</v>
      </c>
      <c r="E1603" s="10">
        <v>7.7</v>
      </c>
      <c r="F1603" s="10">
        <v>11.066667000000001</v>
      </c>
      <c r="G1603" s="10">
        <v>1</v>
      </c>
      <c r="H1603" s="10" t="s">
        <v>1670</v>
      </c>
      <c r="I1603" s="10" t="s">
        <v>5241</v>
      </c>
      <c r="J1603" s="10" t="s">
        <v>5242</v>
      </c>
      <c r="K1603" s="10" t="s">
        <v>5243</v>
      </c>
      <c r="L1603" s="65" t="str">
        <f t="shared" ref="L1603:L1666" si="128">MID(M1603,1,LEN(M1603)-(LEN(K1603)-SEARCH("/",K1603)+1))</f>
        <v>Zaria|Nigeria|7,700000|11,066667|+1:00 Africa</v>
      </c>
      <c r="M1603" s="10" t="s">
        <v>5328</v>
      </c>
      <c r="N1603" s="10">
        <f t="shared" si="125"/>
        <v>0</v>
      </c>
      <c r="O1603" t="str">
        <f t="shared" ref="O1603:O1666" si="129">IF(N1603=0,"",--ISNUMBER(IFERROR(SEARCH($U$2,L1603,1),"")))</f>
        <v/>
      </c>
      <c r="P1603" t="str">
        <f>IF(O1603=1,COUNTIF($O$2:O1603,1),"")</f>
        <v/>
      </c>
      <c r="Q1603" t="str">
        <f>IFERROR(INDEX($M$2:$M$2388,MATCH(ROWS($P$2:P1603),$P$2:$P$2388,0)),"")</f>
        <v/>
      </c>
    </row>
    <row r="1604" spans="1:17" ht="15" x14ac:dyDescent="0.25">
      <c r="A1604" s="10">
        <v>1638</v>
      </c>
      <c r="B1604" s="10" t="s">
        <v>5329</v>
      </c>
      <c r="C1604" s="880">
        <f t="shared" si="126"/>
        <v>6.1558000000000002</v>
      </c>
      <c r="D1604" s="880">
        <f t="shared" si="127"/>
        <v>9.8126999999999995</v>
      </c>
      <c r="E1604" s="10">
        <v>6.1558330000000003</v>
      </c>
      <c r="F1604" s="10">
        <v>9.8127779999999998</v>
      </c>
      <c r="G1604" s="10">
        <v>1</v>
      </c>
      <c r="H1604" s="10" t="s">
        <v>1670</v>
      </c>
      <c r="I1604" s="10" t="s">
        <v>5241</v>
      </c>
      <c r="J1604" s="10" t="s">
        <v>5242</v>
      </c>
      <c r="K1604" s="10" t="s">
        <v>5243</v>
      </c>
      <c r="L1604" s="65" t="str">
        <f t="shared" si="128"/>
        <v>Zungeru|Nigeria|6,155833|9,812778|+1:00 Africa</v>
      </c>
      <c r="M1604" s="10" t="s">
        <v>5330</v>
      </c>
      <c r="N1604" s="10">
        <f t="shared" si="125"/>
        <v>0</v>
      </c>
      <c r="O1604" t="str">
        <f t="shared" si="129"/>
        <v/>
      </c>
      <c r="P1604" t="str">
        <f>IF(O1604=1,COUNTIF($O$2:O1604,1),"")</f>
        <v/>
      </c>
      <c r="Q1604" t="str">
        <f>IFERROR(INDEX($M$2:$M$2388,MATCH(ROWS($P$2:P1604),$P$2:$P$2388,0)),"")</f>
        <v/>
      </c>
    </row>
    <row r="1605" spans="1:17" ht="15" x14ac:dyDescent="0.25">
      <c r="A1605" s="10">
        <v>1637</v>
      </c>
      <c r="B1605" s="10" t="s">
        <v>5331</v>
      </c>
      <c r="C1605" s="880">
        <f t="shared" si="126"/>
        <v>5.2374999999999998</v>
      </c>
      <c r="D1605" s="880">
        <f t="shared" si="127"/>
        <v>11.430199999999999</v>
      </c>
      <c r="E1605" s="10">
        <v>5.2374999999999998</v>
      </c>
      <c r="F1605" s="10">
        <v>11.430277999999999</v>
      </c>
      <c r="G1605" s="10">
        <v>1</v>
      </c>
      <c r="H1605" s="10" t="s">
        <v>1670</v>
      </c>
      <c r="I1605" s="10" t="s">
        <v>5241</v>
      </c>
      <c r="J1605" s="10" t="s">
        <v>5242</v>
      </c>
      <c r="K1605" s="10" t="s">
        <v>5243</v>
      </c>
      <c r="L1605" s="65" t="str">
        <f t="shared" si="128"/>
        <v>Zuru|Nigeria|5,237500|11,430278|+1:00 Africa</v>
      </c>
      <c r="M1605" s="10" t="s">
        <v>5332</v>
      </c>
      <c r="N1605" s="10">
        <f t="shared" si="125"/>
        <v>0</v>
      </c>
      <c r="O1605" t="str">
        <f t="shared" si="129"/>
        <v/>
      </c>
      <c r="P1605" t="str">
        <f>IF(O1605=1,COUNTIF($O$2:O1605,1),"")</f>
        <v/>
      </c>
      <c r="Q1605" t="str">
        <f>IFERROR(INDEX($M$2:$M$2388,MATCH(ROWS($P$2:P1605),$P$2:$P$2388,0)),"")</f>
        <v/>
      </c>
    </row>
    <row r="1606" spans="1:17" ht="15" x14ac:dyDescent="0.25">
      <c r="A1606" s="10">
        <v>1366</v>
      </c>
      <c r="B1606" s="10" t="s">
        <v>5333</v>
      </c>
      <c r="C1606" s="880">
        <f t="shared" si="126"/>
        <v>129.7758</v>
      </c>
      <c r="D1606" s="880">
        <f t="shared" si="127"/>
        <v>41.795499999999997</v>
      </c>
      <c r="E1606" s="10">
        <v>129.77583300000001</v>
      </c>
      <c r="F1606" s="10">
        <v>41.795555</v>
      </c>
      <c r="G1606" s="10">
        <v>9</v>
      </c>
      <c r="H1606" s="10" t="s">
        <v>4033</v>
      </c>
      <c r="I1606" s="10" t="s">
        <v>5334</v>
      </c>
      <c r="J1606" s="10" t="s">
        <v>5335</v>
      </c>
      <c r="K1606" s="10" t="s">
        <v>5336</v>
      </c>
      <c r="L1606" s="65" t="str">
        <f t="shared" si="128"/>
        <v>Chongjin|North Korea|129,775833|41,795555|+9:00 Asia</v>
      </c>
      <c r="M1606" s="10" t="s">
        <v>5337</v>
      </c>
      <c r="N1606" s="10">
        <f t="shared" si="125"/>
        <v>0</v>
      </c>
      <c r="O1606" t="str">
        <f t="shared" si="129"/>
        <v/>
      </c>
      <c r="P1606" t="str">
        <f>IF(O1606=1,COUNTIF($O$2:O1606,1),"")</f>
        <v/>
      </c>
      <c r="Q1606" t="str">
        <f>IFERROR(INDEX($M$2:$M$2388,MATCH(ROWS($P$2:P1606),$P$2:$P$2388,0)),"")</f>
        <v/>
      </c>
    </row>
    <row r="1607" spans="1:17" ht="15" x14ac:dyDescent="0.25">
      <c r="A1607" s="10">
        <v>1363</v>
      </c>
      <c r="B1607" s="10" t="s">
        <v>5338</v>
      </c>
      <c r="C1607" s="880">
        <f t="shared" si="126"/>
        <v>125.71469999999999</v>
      </c>
      <c r="D1607" s="880">
        <f t="shared" si="127"/>
        <v>38.040500000000002</v>
      </c>
      <c r="E1607" s="10">
        <v>125.71472199999999</v>
      </c>
      <c r="F1607" s="10">
        <v>38.040554</v>
      </c>
      <c r="G1607" s="10">
        <v>9</v>
      </c>
      <c r="H1607" s="10" t="s">
        <v>4033</v>
      </c>
      <c r="I1607" s="10" t="s">
        <v>5334</v>
      </c>
      <c r="J1607" s="10" t="s">
        <v>5335</v>
      </c>
      <c r="K1607" s="10" t="s">
        <v>5336</v>
      </c>
      <c r="L1607" s="65" t="str">
        <f t="shared" si="128"/>
        <v>Haeju|North Korea|125,714722|38,040554|+9:00 Asia</v>
      </c>
      <c r="M1607" s="10" t="s">
        <v>5339</v>
      </c>
      <c r="N1607" s="10">
        <f t="shared" si="125"/>
        <v>0</v>
      </c>
      <c r="O1607" t="str">
        <f t="shared" si="129"/>
        <v/>
      </c>
      <c r="P1607" t="str">
        <f>IF(O1607=1,COUNTIF($O$2:O1607,1),"")</f>
        <v/>
      </c>
      <c r="Q1607" t="str">
        <f>IFERROR(INDEX($M$2:$M$2388,MATCH(ROWS($P$2:P1607),$P$2:$P$2388,0)),"")</f>
        <v/>
      </c>
    </row>
    <row r="1608" spans="1:17" ht="15" x14ac:dyDescent="0.25">
      <c r="A1608" s="10">
        <v>1362</v>
      </c>
      <c r="B1608" s="10" t="s">
        <v>5340</v>
      </c>
      <c r="C1608" s="880">
        <f t="shared" si="126"/>
        <v>127.5363</v>
      </c>
      <c r="D1608" s="880">
        <f t="shared" si="127"/>
        <v>39.918300000000002</v>
      </c>
      <c r="E1608" s="10">
        <v>127.53639200000001</v>
      </c>
      <c r="F1608" s="10">
        <v>39.918334999999999</v>
      </c>
      <c r="G1608" s="10">
        <v>9</v>
      </c>
      <c r="H1608" s="10" t="s">
        <v>4033</v>
      </c>
      <c r="I1608" s="10" t="s">
        <v>5334</v>
      </c>
      <c r="J1608" s="10" t="s">
        <v>5335</v>
      </c>
      <c r="K1608" s="10" t="s">
        <v>5336</v>
      </c>
      <c r="L1608" s="65" t="str">
        <f t="shared" si="128"/>
        <v>Hamhung|North Korea|127,536392|39,918335|+9:00 Asia</v>
      </c>
      <c r="M1608" s="10" t="s">
        <v>5341</v>
      </c>
      <c r="N1608" s="10">
        <f t="shared" si="125"/>
        <v>0</v>
      </c>
      <c r="O1608" t="str">
        <f t="shared" si="129"/>
        <v/>
      </c>
      <c r="P1608" t="str">
        <f>IF(O1608=1,COUNTIF($O$2:O1608,1),"")</f>
        <v/>
      </c>
      <c r="Q1608" t="str">
        <f>IFERROR(INDEX($M$2:$M$2388,MATCH(ROWS($P$2:P1608),$P$2:$P$2388,0)),"")</f>
        <v/>
      </c>
    </row>
    <row r="1609" spans="1:17" ht="15" x14ac:dyDescent="0.25">
      <c r="A1609" s="10">
        <v>1361</v>
      </c>
      <c r="B1609" s="10" t="s">
        <v>5342</v>
      </c>
      <c r="C1609" s="880">
        <f t="shared" si="126"/>
        <v>127.6186</v>
      </c>
      <c r="D1609" s="880">
        <f t="shared" si="127"/>
        <v>39.831600000000002</v>
      </c>
      <c r="E1609" s="10">
        <v>127.61861399999999</v>
      </c>
      <c r="F1609" s="10">
        <v>39.831665000000001</v>
      </c>
      <c r="G1609" s="10">
        <v>9</v>
      </c>
      <c r="H1609" s="10" t="s">
        <v>4033</v>
      </c>
      <c r="I1609" s="10" t="s">
        <v>5334</v>
      </c>
      <c r="J1609" s="10" t="s">
        <v>5335</v>
      </c>
      <c r="K1609" s="10" t="s">
        <v>5336</v>
      </c>
      <c r="L1609" s="65" t="str">
        <f t="shared" si="128"/>
        <v>Hungnam|North Korea|127,618614|39,831665|+9:00 Asia</v>
      </c>
      <c r="M1609" s="10" t="s">
        <v>5343</v>
      </c>
      <c r="N1609" s="10">
        <f t="shared" si="125"/>
        <v>0</v>
      </c>
      <c r="O1609" t="str">
        <f t="shared" si="129"/>
        <v/>
      </c>
      <c r="P1609" t="str">
        <f>IF(O1609=1,COUNTIF($O$2:O1609,1),"")</f>
        <v/>
      </c>
      <c r="Q1609" t="str">
        <f>IFERROR(INDEX($M$2:$M$2388,MATCH(ROWS($P$2:P1609),$P$2:$P$2388,0)),"")</f>
        <v/>
      </c>
    </row>
    <row r="1610" spans="1:17" ht="15" x14ac:dyDescent="0.25">
      <c r="A1610" s="10">
        <v>1360</v>
      </c>
      <c r="B1610" s="10" t="s">
        <v>5344</v>
      </c>
      <c r="C1610" s="880">
        <f t="shared" si="126"/>
        <v>126.5544</v>
      </c>
      <c r="D1610" s="880">
        <f t="shared" si="127"/>
        <v>37.970799999999997</v>
      </c>
      <c r="E1610" s="10">
        <v>126.55444300000001</v>
      </c>
      <c r="F1610" s="10">
        <v>37.970832999999999</v>
      </c>
      <c r="G1610" s="10">
        <v>9</v>
      </c>
      <c r="H1610" s="10" t="s">
        <v>4033</v>
      </c>
      <c r="I1610" s="10" t="s">
        <v>5334</v>
      </c>
      <c r="J1610" s="10" t="s">
        <v>5335</v>
      </c>
      <c r="K1610" s="10" t="s">
        <v>5336</v>
      </c>
      <c r="L1610" s="65" t="str">
        <f t="shared" si="128"/>
        <v>Kaesong|North Korea|126,554443|37,970833|+9:00 Asia</v>
      </c>
      <c r="M1610" s="10" t="s">
        <v>5345</v>
      </c>
      <c r="N1610" s="10">
        <f t="shared" si="125"/>
        <v>0</v>
      </c>
      <c r="O1610" t="str">
        <f t="shared" si="129"/>
        <v/>
      </c>
      <c r="P1610" t="str">
        <f>IF(O1610=1,COUNTIF($O$2:O1610,1),"")</f>
        <v/>
      </c>
      <c r="Q1610" t="str">
        <f>IFERROR(INDEX($M$2:$M$2388,MATCH(ROWS($P$2:P1610),$P$2:$P$2388,0)),"")</f>
        <v/>
      </c>
    </row>
    <row r="1611" spans="1:17" ht="15" x14ac:dyDescent="0.25">
      <c r="A1611" s="10">
        <v>1365</v>
      </c>
      <c r="B1611" s="10" t="s">
        <v>5346</v>
      </c>
      <c r="C1611" s="880">
        <f t="shared" si="126"/>
        <v>126.6113</v>
      </c>
      <c r="D1611" s="880">
        <f t="shared" si="127"/>
        <v>40.987200000000001</v>
      </c>
      <c r="E1611" s="10">
        <v>126.611389</v>
      </c>
      <c r="F1611" s="10">
        <v>40.987220999999998</v>
      </c>
      <c r="G1611" s="10">
        <v>9</v>
      </c>
      <c r="H1611" s="10" t="s">
        <v>4033</v>
      </c>
      <c r="I1611" s="10" t="s">
        <v>5334</v>
      </c>
      <c r="J1611" s="10" t="s">
        <v>5335</v>
      </c>
      <c r="K1611" s="10" t="s">
        <v>5336</v>
      </c>
      <c r="L1611" s="65" t="str">
        <f t="shared" si="128"/>
        <v>Kanggye|North Korea|126,611389|40,987221|+9:00 Asia</v>
      </c>
      <c r="M1611" s="10" t="s">
        <v>5347</v>
      </c>
      <c r="N1611" s="10">
        <f t="shared" si="125"/>
        <v>0</v>
      </c>
      <c r="O1611" t="str">
        <f t="shared" si="129"/>
        <v/>
      </c>
      <c r="P1611" t="str">
        <f>IF(O1611=1,COUNTIF($O$2:O1611,1),"")</f>
        <v/>
      </c>
      <c r="Q1611" t="str">
        <f>IFERROR(INDEX($M$2:$M$2388,MATCH(ROWS($P$2:P1611),$P$2:$P$2388,0)),"")</f>
        <v/>
      </c>
    </row>
    <row r="1612" spans="1:17" ht="15" x14ac:dyDescent="0.25">
      <c r="A1612" s="10">
        <v>1359</v>
      </c>
      <c r="B1612" s="10" t="s">
        <v>5348</v>
      </c>
      <c r="C1612" s="880">
        <f t="shared" si="126"/>
        <v>125.7547</v>
      </c>
      <c r="D1612" s="880">
        <f t="shared" si="127"/>
        <v>39.019399999999997</v>
      </c>
      <c r="E1612" s="10">
        <v>125.754723</v>
      </c>
      <c r="F1612" s="10">
        <v>39.019444</v>
      </c>
      <c r="G1612" s="10">
        <v>9</v>
      </c>
      <c r="H1612" s="10" t="s">
        <v>4033</v>
      </c>
      <c r="I1612" s="10" t="s">
        <v>5334</v>
      </c>
      <c r="J1612" s="10" t="s">
        <v>5335</v>
      </c>
      <c r="K1612" s="10" t="s">
        <v>5336</v>
      </c>
      <c r="L1612" s="65" t="str">
        <f t="shared" si="128"/>
        <v>Pyongyang|North Korea|125,754723|39,019444|+9:00 Asia</v>
      </c>
      <c r="M1612" s="10" t="s">
        <v>5349</v>
      </c>
      <c r="N1612" s="10">
        <f t="shared" si="125"/>
        <v>0</v>
      </c>
      <c r="O1612" t="str">
        <f t="shared" si="129"/>
        <v/>
      </c>
      <c r="P1612" t="str">
        <f>IF(O1612=1,COUNTIF($O$2:O1612,1),"")</f>
        <v/>
      </c>
      <c r="Q1612" t="str">
        <f>IFERROR(INDEX($M$2:$M$2388,MATCH(ROWS($P$2:P1612),$P$2:$P$2388,0)),"")</f>
        <v/>
      </c>
    </row>
    <row r="1613" spans="1:17" ht="15" x14ac:dyDescent="0.25">
      <c r="A1613" s="10">
        <v>1364</v>
      </c>
      <c r="B1613" s="10" t="s">
        <v>5350</v>
      </c>
      <c r="C1613" s="880">
        <f t="shared" si="126"/>
        <v>124.398</v>
      </c>
      <c r="D1613" s="880">
        <f t="shared" si="127"/>
        <v>40.100499999999997</v>
      </c>
      <c r="E1613" s="10">
        <v>124.398056</v>
      </c>
      <c r="F1613" s="10">
        <v>40.100555</v>
      </c>
      <c r="G1613" s="10">
        <v>9</v>
      </c>
      <c r="H1613" s="10" t="s">
        <v>4033</v>
      </c>
      <c r="I1613" s="10" t="s">
        <v>5334</v>
      </c>
      <c r="J1613" s="10" t="s">
        <v>5335</v>
      </c>
      <c r="K1613" s="10" t="s">
        <v>5336</v>
      </c>
      <c r="L1613" s="65" t="str">
        <f t="shared" si="128"/>
        <v>Sinuiju|North Korea|124,398056|40,100555|+9:00 Asia</v>
      </c>
      <c r="M1613" s="10" t="s">
        <v>5351</v>
      </c>
      <c r="N1613" s="10">
        <f t="shared" si="125"/>
        <v>0</v>
      </c>
      <c r="O1613" t="str">
        <f t="shared" si="129"/>
        <v/>
      </c>
      <c r="P1613" t="str">
        <f>IF(O1613=1,COUNTIF($O$2:O1613,1),"")</f>
        <v/>
      </c>
      <c r="Q1613" t="str">
        <f>IFERROR(INDEX($M$2:$M$2388,MATCH(ROWS($P$2:P1613),$P$2:$P$2388,0)),"")</f>
        <v/>
      </c>
    </row>
    <row r="1614" spans="1:17" ht="15" x14ac:dyDescent="0.25">
      <c r="A1614" s="10">
        <v>1358</v>
      </c>
      <c r="B1614" s="10" t="s">
        <v>5352</v>
      </c>
      <c r="C1614" s="880">
        <f t="shared" si="126"/>
        <v>127.4436</v>
      </c>
      <c r="D1614" s="880">
        <f t="shared" si="127"/>
        <v>39.152700000000003</v>
      </c>
      <c r="E1614" s="10">
        <v>127.443611</v>
      </c>
      <c r="F1614" s="10">
        <v>39.152779000000002</v>
      </c>
      <c r="G1614" s="10">
        <v>9</v>
      </c>
      <c r="H1614" s="10" t="s">
        <v>4033</v>
      </c>
      <c r="I1614" s="10" t="s">
        <v>5334</v>
      </c>
      <c r="J1614" s="10" t="s">
        <v>5335</v>
      </c>
      <c r="K1614" s="10" t="s">
        <v>5336</v>
      </c>
      <c r="L1614" s="65" t="str">
        <f t="shared" si="128"/>
        <v>Wonsan|North Korea|127,443611|39,152779|+9:00 Asia</v>
      </c>
      <c r="M1614" s="10" t="s">
        <v>5353</v>
      </c>
      <c r="N1614" s="10">
        <f t="shared" si="125"/>
        <v>0</v>
      </c>
      <c r="O1614" t="str">
        <f t="shared" si="129"/>
        <v/>
      </c>
      <c r="P1614" t="str">
        <f>IF(O1614=1,COUNTIF($O$2:O1614,1),"")</f>
        <v/>
      </c>
      <c r="Q1614" t="str">
        <f>IFERROR(INDEX($M$2:$M$2388,MATCH(ROWS($P$2:P1614),$P$2:$P$2388,0)),"")</f>
        <v/>
      </c>
    </row>
    <row r="1615" spans="1:17" ht="15" x14ac:dyDescent="0.25">
      <c r="A1615" s="10">
        <v>1357</v>
      </c>
      <c r="B1615" s="10" t="s">
        <v>5354</v>
      </c>
      <c r="C1615" s="880">
        <f t="shared" si="126"/>
        <v>126.1611</v>
      </c>
      <c r="D1615" s="880">
        <f t="shared" si="127"/>
        <v>37.908799999999999</v>
      </c>
      <c r="E1615" s="10">
        <v>126.16110999999999</v>
      </c>
      <c r="F1615" s="10">
        <v>37.90889</v>
      </c>
      <c r="G1615" s="10">
        <v>9</v>
      </c>
      <c r="H1615" s="10" t="s">
        <v>4033</v>
      </c>
      <c r="I1615" s="10" t="s">
        <v>5334</v>
      </c>
      <c r="J1615" s="10" t="s">
        <v>5335</v>
      </c>
      <c r="K1615" s="10" t="s">
        <v>5336</v>
      </c>
      <c r="L1615" s="65" t="str">
        <f t="shared" si="128"/>
        <v>Yonan-up|North Korea|126,161110|37,908890|+9:00 Asia</v>
      </c>
      <c r="M1615" s="10" t="s">
        <v>5355</v>
      </c>
      <c r="N1615" s="10">
        <f t="shared" si="125"/>
        <v>0</v>
      </c>
      <c r="O1615" t="str">
        <f t="shared" si="129"/>
        <v/>
      </c>
      <c r="P1615" t="str">
        <f>IF(O1615=1,COUNTIF($O$2:O1615,1),"")</f>
        <v/>
      </c>
      <c r="Q1615" t="str">
        <f>IFERROR(INDEX($M$2:$M$2388,MATCH(ROWS($P$2:P1615),$P$2:$P$2388,0)),"")</f>
        <v/>
      </c>
    </row>
    <row r="1616" spans="1:17" ht="15" x14ac:dyDescent="0.25">
      <c r="A1616" s="10">
        <v>1356</v>
      </c>
      <c r="B1616" s="10" t="s">
        <v>5356</v>
      </c>
      <c r="C1616" s="880">
        <f t="shared" si="126"/>
        <v>125.80410000000001</v>
      </c>
      <c r="D1616" s="880">
        <f t="shared" si="127"/>
        <v>39.813299999999998</v>
      </c>
      <c r="E1616" s="10">
        <v>125.804169</v>
      </c>
      <c r="F1616" s="10">
        <v>39.813332000000003</v>
      </c>
      <c r="G1616" s="10">
        <v>9</v>
      </c>
      <c r="H1616" s="10" t="s">
        <v>4033</v>
      </c>
      <c r="I1616" s="10" t="s">
        <v>5334</v>
      </c>
      <c r="J1616" s="10" t="s">
        <v>5335</v>
      </c>
      <c r="K1616" s="10" t="s">
        <v>5336</v>
      </c>
      <c r="L1616" s="65" t="str">
        <f t="shared" si="128"/>
        <v>Yongbyon|North Korea|125,804169|39,813332|+9:00 Asia</v>
      </c>
      <c r="M1616" s="10" t="s">
        <v>5357</v>
      </c>
      <c r="N1616" s="10">
        <f t="shared" si="125"/>
        <v>0</v>
      </c>
      <c r="O1616" t="str">
        <f t="shared" si="129"/>
        <v/>
      </c>
      <c r="P1616" t="str">
        <f>IF(O1616=1,COUNTIF($O$2:O1616,1),"")</f>
        <v/>
      </c>
      <c r="Q1616" t="str">
        <f>IFERROR(INDEX($M$2:$M$2388,MATCH(ROWS($P$2:P1616),$P$2:$P$2388,0)),"")</f>
        <v/>
      </c>
    </row>
    <row r="1617" spans="1:17" ht="15" x14ac:dyDescent="0.25">
      <c r="A1617" s="10">
        <v>1355</v>
      </c>
      <c r="B1617" s="10" t="s">
        <v>5358</v>
      </c>
      <c r="C1617" s="880">
        <f t="shared" si="126"/>
        <v>125.42440000000001</v>
      </c>
      <c r="D1617" s="880">
        <f t="shared" si="127"/>
        <v>38.856099999999998</v>
      </c>
      <c r="E1617" s="10">
        <v>125.424446</v>
      </c>
      <c r="F1617" s="10">
        <v>38.856110000000001</v>
      </c>
      <c r="G1617" s="10">
        <v>9</v>
      </c>
      <c r="H1617" s="10" t="s">
        <v>4033</v>
      </c>
      <c r="I1617" s="10" t="s">
        <v>5334</v>
      </c>
      <c r="J1617" s="10" t="s">
        <v>5335</v>
      </c>
      <c r="K1617" s="10" t="s">
        <v>5336</v>
      </c>
      <c r="L1617" s="65" t="str">
        <f t="shared" si="128"/>
        <v>Yonggang-up|North Korea|125,424446|38,856110|+9:00 Asia</v>
      </c>
      <c r="M1617" s="10" t="s">
        <v>5359</v>
      </c>
      <c r="N1617" s="10">
        <f t="shared" si="125"/>
        <v>0</v>
      </c>
      <c r="O1617" t="str">
        <f t="shared" si="129"/>
        <v/>
      </c>
      <c r="P1617" t="str">
        <f>IF(O1617=1,COUNTIF($O$2:O1617,1),"")</f>
        <v/>
      </c>
      <c r="Q1617" t="str">
        <f>IFERROR(INDEX($M$2:$M$2388,MATCH(ROWS($P$2:P1617),$P$2:$P$2388,0)),"")</f>
        <v/>
      </c>
    </row>
    <row r="1618" spans="1:17" ht="15" x14ac:dyDescent="0.25">
      <c r="A1618" s="10">
        <v>1508</v>
      </c>
      <c r="B1618" s="10" t="s">
        <v>5360</v>
      </c>
      <c r="C1618" s="880">
        <f t="shared" si="126"/>
        <v>145.6936</v>
      </c>
      <c r="D1618" s="880">
        <f t="shared" si="127"/>
        <v>15.1325</v>
      </c>
      <c r="E1618" s="10">
        <v>145.69360399999999</v>
      </c>
      <c r="F1618" s="10">
        <v>15.1325</v>
      </c>
      <c r="G1618" s="10">
        <v>10</v>
      </c>
      <c r="H1618" s="10" t="s">
        <v>1817</v>
      </c>
      <c r="I1618" s="10" t="s">
        <v>5361</v>
      </c>
      <c r="J1618" s="10" t="s">
        <v>5362</v>
      </c>
      <c r="K1618" s="10" t="s">
        <v>5363</v>
      </c>
      <c r="L1618" s="65" t="str">
        <f t="shared" si="128"/>
        <v>San Antonio|Northern Mariana Islands|145,693604|15,132500|+10:00 Pacific</v>
      </c>
      <c r="M1618" s="10" t="s">
        <v>5364</v>
      </c>
      <c r="N1618" s="10">
        <f t="shared" si="125"/>
        <v>0</v>
      </c>
      <c r="O1618" t="str">
        <f t="shared" si="129"/>
        <v/>
      </c>
      <c r="P1618" t="str">
        <f>IF(O1618=1,COUNTIF($O$2:O1618,1),"")</f>
        <v/>
      </c>
      <c r="Q1618" t="str">
        <f>IFERROR(INDEX($M$2:$M$2388,MATCH(ROWS($P$2:P1618),$P$2:$P$2388,0)),"")</f>
        <v/>
      </c>
    </row>
    <row r="1619" spans="1:17" ht="15" x14ac:dyDescent="0.25">
      <c r="A1619" s="10">
        <v>1696</v>
      </c>
      <c r="B1619" s="10" t="s">
        <v>5365</v>
      </c>
      <c r="C1619" s="880">
        <f t="shared" si="126"/>
        <v>23.241599999999998</v>
      </c>
      <c r="D1619" s="880">
        <f t="shared" si="127"/>
        <v>69.9666</v>
      </c>
      <c r="E1619" s="10">
        <v>23.241667</v>
      </c>
      <c r="F1619" s="10">
        <v>69.966667000000001</v>
      </c>
      <c r="G1619" s="10">
        <v>1</v>
      </c>
      <c r="H1619" s="10" t="s">
        <v>1670</v>
      </c>
      <c r="I1619" s="10" t="s">
        <v>5366</v>
      </c>
      <c r="J1619" s="10" t="s">
        <v>5367</v>
      </c>
      <c r="K1619" s="10" t="s">
        <v>5368</v>
      </c>
      <c r="L1619" s="65" t="str">
        <f t="shared" si="128"/>
        <v>Alta|Norway|23,241667|69,966667|+1:00 Europe</v>
      </c>
      <c r="M1619" s="10" t="s">
        <v>5369</v>
      </c>
      <c r="N1619" s="10">
        <f t="shared" si="125"/>
        <v>0</v>
      </c>
      <c r="O1619" t="str">
        <f t="shared" si="129"/>
        <v/>
      </c>
      <c r="P1619" t="str">
        <f>IF(O1619=1,COUNTIF($O$2:O1619,1),"")</f>
        <v/>
      </c>
      <c r="Q1619" t="str">
        <f>IFERROR(INDEX($M$2:$M$2388,MATCH(ROWS($P$2:P1619),$P$2:$P$2388,0)),"")</f>
        <v/>
      </c>
    </row>
    <row r="1620" spans="1:17" ht="15" x14ac:dyDescent="0.25">
      <c r="A1620" s="10">
        <v>1698</v>
      </c>
      <c r="B1620" s="10" t="s">
        <v>5370</v>
      </c>
      <c r="C1620" s="880">
        <f t="shared" si="126"/>
        <v>5.3247</v>
      </c>
      <c r="D1620" s="880">
        <f t="shared" si="127"/>
        <v>60.391100000000002</v>
      </c>
      <c r="E1620" s="10">
        <v>5.3247220000000004</v>
      </c>
      <c r="F1620" s="10">
        <v>60.391109</v>
      </c>
      <c r="G1620" s="10">
        <v>1</v>
      </c>
      <c r="H1620" s="10" t="s">
        <v>1670</v>
      </c>
      <c r="I1620" s="10" t="s">
        <v>5366</v>
      </c>
      <c r="J1620" s="10" t="s">
        <v>5367</v>
      </c>
      <c r="K1620" s="10" t="s">
        <v>5368</v>
      </c>
      <c r="L1620" s="65" t="str">
        <f t="shared" si="128"/>
        <v>Bergen|Norway|5,324722|60,391109|+1:00 Europe</v>
      </c>
      <c r="M1620" s="10" t="s">
        <v>5371</v>
      </c>
      <c r="N1620" s="10">
        <f t="shared" si="125"/>
        <v>0</v>
      </c>
      <c r="O1620" t="str">
        <f t="shared" si="129"/>
        <v/>
      </c>
      <c r="P1620" t="str">
        <f>IF(O1620=1,COUNTIF($O$2:O1620,1),"")</f>
        <v/>
      </c>
      <c r="Q1620" t="str">
        <f>IFERROR(INDEX($M$2:$M$2388,MATCH(ROWS($P$2:P1620),$P$2:$P$2388,0)),"")</f>
        <v/>
      </c>
    </row>
    <row r="1621" spans="1:17" ht="15" x14ac:dyDescent="0.25">
      <c r="A1621" s="10">
        <v>1695</v>
      </c>
      <c r="B1621" s="10" t="s">
        <v>5372</v>
      </c>
      <c r="C1621" s="880">
        <f t="shared" si="126"/>
        <v>23.688300000000002</v>
      </c>
      <c r="D1621" s="880">
        <f t="shared" si="127"/>
        <v>70.661600000000007</v>
      </c>
      <c r="E1621" s="10">
        <v>23.688334000000001</v>
      </c>
      <c r="F1621" s="10">
        <v>70.661666999999994</v>
      </c>
      <c r="G1621" s="10">
        <v>1</v>
      </c>
      <c r="H1621" s="10" t="s">
        <v>1670</v>
      </c>
      <c r="I1621" s="10" t="s">
        <v>5366</v>
      </c>
      <c r="J1621" s="10" t="s">
        <v>5367</v>
      </c>
      <c r="K1621" s="10" t="s">
        <v>5368</v>
      </c>
      <c r="L1621" s="65" t="str">
        <f t="shared" si="128"/>
        <v>Hammerfest|Norway|23,688334|70,661667|+1:00 Europe</v>
      </c>
      <c r="M1621" s="10" t="s">
        <v>5373</v>
      </c>
      <c r="N1621" s="10">
        <f t="shared" si="125"/>
        <v>0</v>
      </c>
      <c r="O1621" t="str">
        <f t="shared" si="129"/>
        <v/>
      </c>
      <c r="P1621" t="str">
        <f>IF(O1621=1,COUNTIF($O$2:O1621,1),"")</f>
        <v/>
      </c>
      <c r="Q1621" t="str">
        <f>IFERROR(INDEX($M$2:$M$2388,MATCH(ROWS($P$2:P1621),$P$2:$P$2388,0)),"")</f>
        <v/>
      </c>
    </row>
    <row r="1622" spans="1:17" ht="15" x14ac:dyDescent="0.25">
      <c r="A1622" s="10">
        <v>1697</v>
      </c>
      <c r="B1622" s="10" t="s">
        <v>5374</v>
      </c>
      <c r="C1622" s="880">
        <f t="shared" si="126"/>
        <v>10.738899999999999</v>
      </c>
      <c r="D1622" s="880">
        <f t="shared" si="127"/>
        <v>59.913200000000003</v>
      </c>
      <c r="E1622" s="10">
        <v>10.738920999999999</v>
      </c>
      <c r="F1622" s="10">
        <v>59.913246000000001</v>
      </c>
      <c r="G1622" s="10">
        <v>1</v>
      </c>
      <c r="H1622" s="10" t="s">
        <v>1670</v>
      </c>
      <c r="I1622" s="10" t="s">
        <v>5366</v>
      </c>
      <c r="J1622" s="10" t="s">
        <v>5367</v>
      </c>
      <c r="K1622" s="10" t="s">
        <v>5368</v>
      </c>
      <c r="L1622" s="65" t="str">
        <f t="shared" si="128"/>
        <v>Oslo|Norway|10,738921|59,913246|+1:00 Europe</v>
      </c>
      <c r="M1622" s="10" t="s">
        <v>5375</v>
      </c>
      <c r="N1622" s="10">
        <f t="shared" si="125"/>
        <v>0</v>
      </c>
      <c r="O1622" t="str">
        <f t="shared" si="129"/>
        <v/>
      </c>
      <c r="P1622" t="str">
        <f>IF(O1622=1,COUNTIF($O$2:O1622,1),"")</f>
        <v/>
      </c>
      <c r="Q1622" t="str">
        <f>IFERROR(INDEX($M$2:$M$2388,MATCH(ROWS($P$2:P1622),$P$2:$P$2388,0)),"")</f>
        <v/>
      </c>
    </row>
    <row r="1623" spans="1:17" ht="15" x14ac:dyDescent="0.25">
      <c r="A1623" s="10">
        <v>1694</v>
      </c>
      <c r="B1623" s="10" t="s">
        <v>5376</v>
      </c>
      <c r="C1623" s="880">
        <f t="shared" si="126"/>
        <v>29.7697</v>
      </c>
      <c r="D1623" s="880">
        <f t="shared" si="127"/>
        <v>70.072999999999993</v>
      </c>
      <c r="E1623" s="10">
        <v>29.769722000000002</v>
      </c>
      <c r="F1623" s="10">
        <v>70.073059000000001</v>
      </c>
      <c r="G1623" s="10">
        <v>1</v>
      </c>
      <c r="H1623" s="10" t="s">
        <v>1670</v>
      </c>
      <c r="I1623" s="10" t="s">
        <v>5366</v>
      </c>
      <c r="J1623" s="10" t="s">
        <v>5367</v>
      </c>
      <c r="K1623" s="10" t="s">
        <v>5368</v>
      </c>
      <c r="L1623" s="65" t="str">
        <f t="shared" si="128"/>
        <v>Vadso|Norway|29,769722|70,073059|+1:00 Europe</v>
      </c>
      <c r="M1623" s="10" t="s">
        <v>5377</v>
      </c>
      <c r="N1623" s="10">
        <f t="shared" si="125"/>
        <v>0</v>
      </c>
      <c r="O1623" t="str">
        <f t="shared" si="129"/>
        <v/>
      </c>
      <c r="P1623" t="str">
        <f>IF(O1623=1,COUNTIF($O$2:O1623,1),"")</f>
        <v/>
      </c>
      <c r="Q1623" t="str">
        <f>IFERROR(INDEX($M$2:$M$2388,MATCH(ROWS($P$2:P1623),$P$2:$P$2388,0)),"")</f>
        <v/>
      </c>
    </row>
    <row r="1624" spans="1:17" ht="15" x14ac:dyDescent="0.25">
      <c r="A1624" s="10">
        <v>1713</v>
      </c>
      <c r="B1624" s="10" t="s">
        <v>5378</v>
      </c>
      <c r="C1624" s="880">
        <f t="shared" si="126"/>
        <v>58.182400000000001</v>
      </c>
      <c r="D1624" s="880">
        <f t="shared" si="127"/>
        <v>23.680199999999999</v>
      </c>
      <c r="E1624" s="10">
        <v>58.182499</v>
      </c>
      <c r="F1624" s="10">
        <v>23.680277</v>
      </c>
      <c r="G1624" s="10">
        <v>4</v>
      </c>
      <c r="H1624" s="10" t="s">
        <v>1794</v>
      </c>
      <c r="I1624" s="10" t="s">
        <v>5379</v>
      </c>
      <c r="J1624" s="10" t="s">
        <v>5380</v>
      </c>
      <c r="K1624" s="10" t="s">
        <v>5381</v>
      </c>
      <c r="L1624" s="65" t="str">
        <f t="shared" si="128"/>
        <v>As Sib|Oman|58,182499|23,680277|+4:00 Asia</v>
      </c>
      <c r="M1624" s="10" t="s">
        <v>5382</v>
      </c>
      <c r="N1624" s="10">
        <f t="shared" si="125"/>
        <v>0</v>
      </c>
      <c r="O1624" t="str">
        <f t="shared" si="129"/>
        <v/>
      </c>
      <c r="P1624" t="str">
        <f>IF(O1624=1,COUNTIF($O$2:O1624,1),"")</f>
        <v/>
      </c>
      <c r="Q1624" t="str">
        <f>IFERROR(INDEX($M$2:$M$2388,MATCH(ROWS($P$2:P1624),$P$2:$P$2388,0)),"")</f>
        <v/>
      </c>
    </row>
    <row r="1625" spans="1:17" ht="15" x14ac:dyDescent="0.25">
      <c r="A1625" s="10">
        <v>1712</v>
      </c>
      <c r="B1625" s="10" t="s">
        <v>5383</v>
      </c>
      <c r="C1625" s="880">
        <f t="shared" si="126"/>
        <v>58.593299999999999</v>
      </c>
      <c r="D1625" s="880">
        <f t="shared" si="127"/>
        <v>23.613299999999999</v>
      </c>
      <c r="E1625" s="10">
        <v>58.593333999999999</v>
      </c>
      <c r="F1625" s="10">
        <v>23.613333000000001</v>
      </c>
      <c r="G1625" s="10">
        <v>4</v>
      </c>
      <c r="H1625" s="10" t="s">
        <v>1794</v>
      </c>
      <c r="I1625" s="10" t="s">
        <v>5379</v>
      </c>
      <c r="J1625" s="10" t="s">
        <v>5380</v>
      </c>
      <c r="K1625" s="10" t="s">
        <v>5381</v>
      </c>
      <c r="L1625" s="65" t="str">
        <f t="shared" si="128"/>
        <v>Muscat|Oman|58,593334|23,613333|+4:00 Asia</v>
      </c>
      <c r="M1625" s="10" t="s">
        <v>5384</v>
      </c>
      <c r="N1625" s="10">
        <f t="shared" si="125"/>
        <v>0</v>
      </c>
      <c r="O1625" t="str">
        <f t="shared" si="129"/>
        <v/>
      </c>
      <c r="P1625" t="str">
        <f>IF(O1625=1,COUNTIF($O$2:O1625,1),"")</f>
        <v/>
      </c>
      <c r="Q1625" t="str">
        <f>IFERROR(INDEX($M$2:$M$2388,MATCH(ROWS($P$2:P1625),$P$2:$P$2388,0)),"")</f>
        <v/>
      </c>
    </row>
    <row r="1626" spans="1:17" ht="15" x14ac:dyDescent="0.25">
      <c r="A1626" s="10">
        <v>1711</v>
      </c>
      <c r="B1626" s="10" t="s">
        <v>5385</v>
      </c>
      <c r="C1626" s="880">
        <f t="shared" si="126"/>
        <v>58.016599999999997</v>
      </c>
      <c r="D1626" s="880">
        <f t="shared" si="127"/>
        <v>23.316600000000001</v>
      </c>
      <c r="E1626" s="10">
        <v>58.016666000000001</v>
      </c>
      <c r="F1626" s="10">
        <v>23.316668</v>
      </c>
      <c r="G1626" s="10">
        <v>4</v>
      </c>
      <c r="H1626" s="10" t="s">
        <v>1794</v>
      </c>
      <c r="I1626" s="10" t="s">
        <v>5379</v>
      </c>
      <c r="J1626" s="10" t="s">
        <v>5380</v>
      </c>
      <c r="K1626" s="10" t="s">
        <v>5381</v>
      </c>
      <c r="L1626" s="65" t="str">
        <f t="shared" si="128"/>
        <v>Sufalat Sama'il|Oman|58,016666|23,316668|+4:00 Asia</v>
      </c>
      <c r="M1626" s="10" t="s">
        <v>5386</v>
      </c>
      <c r="N1626" s="10">
        <f t="shared" si="125"/>
        <v>0</v>
      </c>
      <c r="O1626" t="str">
        <f t="shared" si="129"/>
        <v/>
      </c>
      <c r="P1626" t="str">
        <f>IF(O1626=1,COUNTIF($O$2:O1626,1),"")</f>
        <v/>
      </c>
      <c r="Q1626" t="str">
        <f>IFERROR(INDEX($M$2:$M$2388,MATCH(ROWS($P$2:P1626),$P$2:$P$2388,0)),"")</f>
        <v/>
      </c>
    </row>
    <row r="1627" spans="1:17" ht="15" x14ac:dyDescent="0.25">
      <c r="A1627" s="10">
        <v>1710</v>
      </c>
      <c r="B1627" s="10" t="s">
        <v>5387</v>
      </c>
      <c r="C1627" s="880">
        <f t="shared" si="126"/>
        <v>56.7438</v>
      </c>
      <c r="D1627" s="880">
        <f t="shared" si="127"/>
        <v>24.3688</v>
      </c>
      <c r="E1627" s="10">
        <v>56.743889000000003</v>
      </c>
      <c r="F1627" s="10">
        <v>24.368888999999999</v>
      </c>
      <c r="G1627" s="10">
        <v>4</v>
      </c>
      <c r="H1627" s="10" t="s">
        <v>1794</v>
      </c>
      <c r="I1627" s="10" t="s">
        <v>5379</v>
      </c>
      <c r="J1627" s="10" t="s">
        <v>5380</v>
      </c>
      <c r="K1627" s="10" t="s">
        <v>5381</v>
      </c>
      <c r="L1627" s="65" t="str">
        <f t="shared" si="128"/>
        <v>Suhar|Oman|56,743889|24,368889|+4:00 Asia</v>
      </c>
      <c r="M1627" s="10" t="s">
        <v>5388</v>
      </c>
      <c r="N1627" s="10">
        <f t="shared" si="125"/>
        <v>0</v>
      </c>
      <c r="O1627" t="str">
        <f t="shared" si="129"/>
        <v/>
      </c>
      <c r="P1627" t="str">
        <f>IF(O1627=1,COUNTIF($O$2:O1627,1),"")</f>
        <v/>
      </c>
      <c r="Q1627" t="str">
        <f>IFERROR(INDEX($M$2:$M$2388,MATCH(ROWS($P$2:P1627),$P$2:$P$2388,0)),"")</f>
        <v/>
      </c>
    </row>
    <row r="1628" spans="1:17" ht="15" x14ac:dyDescent="0.25">
      <c r="A1628" s="10">
        <v>1709</v>
      </c>
      <c r="B1628" s="10" t="s">
        <v>5389</v>
      </c>
      <c r="C1628" s="880">
        <f t="shared" si="126"/>
        <v>59.528799999999997</v>
      </c>
      <c r="D1628" s="880">
        <f t="shared" si="127"/>
        <v>22.566600000000001</v>
      </c>
      <c r="E1628" s="10">
        <v>59.528888999999999</v>
      </c>
      <c r="F1628" s="10">
        <v>22.566668</v>
      </c>
      <c r="G1628" s="10">
        <v>4</v>
      </c>
      <c r="H1628" s="10" t="s">
        <v>1794</v>
      </c>
      <c r="I1628" s="10" t="s">
        <v>5379</v>
      </c>
      <c r="J1628" s="10" t="s">
        <v>5380</v>
      </c>
      <c r="K1628" s="10" t="s">
        <v>5381</v>
      </c>
      <c r="L1628" s="65" t="str">
        <f t="shared" si="128"/>
        <v>Sur|Oman|59,528889|22,566668|+4:00 Asia</v>
      </c>
      <c r="M1628" s="10" t="s">
        <v>5390</v>
      </c>
      <c r="N1628" s="10">
        <f t="shared" si="125"/>
        <v>0</v>
      </c>
      <c r="O1628" t="str">
        <f t="shared" si="129"/>
        <v/>
      </c>
      <c r="P1628" t="str">
        <f>IF(O1628=1,COUNTIF($O$2:O1628,1),"")</f>
        <v/>
      </c>
      <c r="Q1628" t="str">
        <f>IFERROR(INDEX($M$2:$M$2388,MATCH(ROWS($P$2:P1628),$P$2:$P$2388,0)),"")</f>
        <v/>
      </c>
    </row>
    <row r="1629" spans="1:17" ht="15" x14ac:dyDescent="0.25">
      <c r="A1629" s="10">
        <v>1805</v>
      </c>
      <c r="B1629" s="10" t="s">
        <v>5391</v>
      </c>
      <c r="C1629" s="880">
        <f t="shared" si="126"/>
        <v>71.683300000000003</v>
      </c>
      <c r="D1629" s="880">
        <f t="shared" si="127"/>
        <v>29.4</v>
      </c>
      <c r="E1629" s="10">
        <v>71.683334000000002</v>
      </c>
      <c r="F1629" s="10">
        <v>29.4</v>
      </c>
      <c r="G1629" s="10">
        <v>5</v>
      </c>
      <c r="H1629" s="10" t="s">
        <v>4585</v>
      </c>
      <c r="I1629" s="10" t="s">
        <v>5392</v>
      </c>
      <c r="J1629" s="10" t="s">
        <v>5393</v>
      </c>
      <c r="K1629" s="10" t="s">
        <v>5394</v>
      </c>
      <c r="L1629" s="65" t="str">
        <f t="shared" si="128"/>
        <v>Bahawalpur|Pakistan|71,683334|29,400000|+5:00 Asia</v>
      </c>
      <c r="M1629" s="10" t="s">
        <v>5395</v>
      </c>
      <c r="N1629" s="10">
        <f t="shared" si="125"/>
        <v>0</v>
      </c>
      <c r="O1629" t="str">
        <f t="shared" si="129"/>
        <v/>
      </c>
      <c r="P1629" t="str">
        <f>IF(O1629=1,COUNTIF($O$2:O1629,1),"")</f>
        <v/>
      </c>
      <c r="Q1629" t="str">
        <f>IFERROR(INDEX($M$2:$M$2388,MATCH(ROWS($P$2:P1629),$P$2:$P$2388,0)),"")</f>
        <v/>
      </c>
    </row>
    <row r="1630" spans="1:17" ht="15" x14ac:dyDescent="0.25">
      <c r="A1630" s="10">
        <v>1804</v>
      </c>
      <c r="B1630" s="10" t="s">
        <v>5396</v>
      </c>
      <c r="C1630" s="880">
        <f t="shared" si="126"/>
        <v>72.978800000000007</v>
      </c>
      <c r="D1630" s="880">
        <f t="shared" si="127"/>
        <v>31.719899999999999</v>
      </c>
      <c r="E1630" s="10">
        <v>72.978888999999995</v>
      </c>
      <c r="F1630" s="10">
        <v>31.719999000000001</v>
      </c>
      <c r="G1630" s="10">
        <v>5</v>
      </c>
      <c r="H1630" s="10" t="s">
        <v>4585</v>
      </c>
      <c r="I1630" s="10" t="s">
        <v>5392</v>
      </c>
      <c r="J1630" s="10" t="s">
        <v>5393</v>
      </c>
      <c r="K1630" s="10" t="s">
        <v>5394</v>
      </c>
      <c r="L1630" s="65" t="str">
        <f t="shared" si="128"/>
        <v>Chiniot|Pakistan|72,978889|31,719999|+5:00 Asia</v>
      </c>
      <c r="M1630" s="10" t="s">
        <v>5397</v>
      </c>
      <c r="N1630" s="10">
        <f t="shared" si="125"/>
        <v>0</v>
      </c>
      <c r="O1630" t="str">
        <f t="shared" si="129"/>
        <v/>
      </c>
      <c r="P1630" t="str">
        <f>IF(O1630=1,COUNTIF($O$2:O1630,1),"")</f>
        <v/>
      </c>
      <c r="Q1630" t="str">
        <f>IFERROR(INDEX($M$2:$M$2388,MATCH(ROWS($P$2:P1630),$P$2:$P$2388,0)),"")</f>
        <v/>
      </c>
    </row>
    <row r="1631" spans="1:17" ht="15" x14ac:dyDescent="0.25">
      <c r="A1631" s="10">
        <v>1776</v>
      </c>
      <c r="B1631" s="10" t="s">
        <v>5398</v>
      </c>
      <c r="C1631" s="880">
        <f t="shared" si="126"/>
        <v>67.992999999999995</v>
      </c>
      <c r="D1631" s="880">
        <f t="shared" si="127"/>
        <v>24.3888</v>
      </c>
      <c r="E1631" s="10">
        <v>67.993056999999993</v>
      </c>
      <c r="F1631" s="10">
        <v>24.388888999999999</v>
      </c>
      <c r="G1631" s="10">
        <v>5</v>
      </c>
      <c r="H1631" s="10" t="s">
        <v>4585</v>
      </c>
      <c r="I1631" s="10" t="s">
        <v>5392</v>
      </c>
      <c r="J1631" s="10" t="s">
        <v>5393</v>
      </c>
      <c r="K1631" s="10" t="s">
        <v>5394</v>
      </c>
      <c r="L1631" s="65" t="str">
        <f t="shared" si="128"/>
        <v>Chuhar Jamali|Pakistan|67,993057|24,388889|+5:00 Asia</v>
      </c>
      <c r="M1631" s="10" t="s">
        <v>5399</v>
      </c>
      <c r="N1631" s="10">
        <f t="shared" si="125"/>
        <v>0</v>
      </c>
      <c r="O1631" t="str">
        <f t="shared" si="129"/>
        <v/>
      </c>
      <c r="P1631" t="str">
        <f>IF(O1631=1,COUNTIF($O$2:O1631,1),"")</f>
        <v/>
      </c>
      <c r="Q1631" t="str">
        <f>IFERROR(INDEX($M$2:$M$2388,MATCH(ROWS($P$2:P1631),$P$2:$P$2388,0)),"")</f>
        <v/>
      </c>
    </row>
    <row r="1632" spans="1:17" ht="15" x14ac:dyDescent="0.25">
      <c r="A1632" s="10">
        <v>1803</v>
      </c>
      <c r="B1632" s="10" t="s">
        <v>5400</v>
      </c>
      <c r="C1632" s="880">
        <f t="shared" si="126"/>
        <v>70.634399999999999</v>
      </c>
      <c r="D1632" s="880">
        <f t="shared" si="127"/>
        <v>30.056100000000001</v>
      </c>
      <c r="E1632" s="10">
        <v>70.634444999999999</v>
      </c>
      <c r="F1632" s="10">
        <v>30.05611</v>
      </c>
      <c r="G1632" s="10">
        <v>5</v>
      </c>
      <c r="H1632" s="10" t="s">
        <v>4585</v>
      </c>
      <c r="I1632" s="10" t="s">
        <v>5392</v>
      </c>
      <c r="J1632" s="10" t="s">
        <v>5393</v>
      </c>
      <c r="K1632" s="10" t="s">
        <v>5394</v>
      </c>
      <c r="L1632" s="65" t="str">
        <f t="shared" si="128"/>
        <v>Dera Ghazi Khan|Pakistan|70,634445|30,056110|+5:00 Asia</v>
      </c>
      <c r="M1632" s="10" t="s">
        <v>5401</v>
      </c>
      <c r="N1632" s="10">
        <f t="shared" si="125"/>
        <v>0</v>
      </c>
      <c r="O1632" t="str">
        <f t="shared" si="129"/>
        <v/>
      </c>
      <c r="P1632" t="str">
        <f>IF(O1632=1,COUNTIF($O$2:O1632,1),"")</f>
        <v/>
      </c>
      <c r="Q1632" t="str">
        <f>IFERROR(INDEX($M$2:$M$2388,MATCH(ROWS($P$2:P1632),$P$2:$P$2388,0)),"")</f>
        <v/>
      </c>
    </row>
    <row r="1633" spans="1:17" ht="15" x14ac:dyDescent="0.25">
      <c r="A1633" s="10">
        <v>1802</v>
      </c>
      <c r="B1633" s="10" t="s">
        <v>5402</v>
      </c>
      <c r="C1633" s="880">
        <f t="shared" si="126"/>
        <v>73.083299999999994</v>
      </c>
      <c r="D1633" s="880">
        <f t="shared" si="127"/>
        <v>31.416599999999999</v>
      </c>
      <c r="E1633" s="10">
        <v>73.083336000000003</v>
      </c>
      <c r="F1633" s="10">
        <v>31.416665999999999</v>
      </c>
      <c r="G1633" s="10">
        <v>5</v>
      </c>
      <c r="H1633" s="10" t="s">
        <v>4585</v>
      </c>
      <c r="I1633" s="10" t="s">
        <v>5392</v>
      </c>
      <c r="J1633" s="10" t="s">
        <v>5393</v>
      </c>
      <c r="K1633" s="10" t="s">
        <v>5394</v>
      </c>
      <c r="L1633" s="65" t="str">
        <f t="shared" si="128"/>
        <v>Faisalabad|Pakistan|73,083336|31,416666|+5:00 Asia</v>
      </c>
      <c r="M1633" s="10" t="s">
        <v>5403</v>
      </c>
      <c r="N1633" s="10">
        <f t="shared" si="125"/>
        <v>0</v>
      </c>
      <c r="O1633" t="str">
        <f t="shared" si="129"/>
        <v/>
      </c>
      <c r="P1633" t="str">
        <f>IF(O1633=1,COUNTIF($O$2:O1633,1),"")</f>
        <v/>
      </c>
      <c r="Q1633" t="str">
        <f>IFERROR(INDEX($M$2:$M$2388,MATCH(ROWS($P$2:P1633),$P$2:$P$2388,0)),"")</f>
        <v/>
      </c>
    </row>
    <row r="1634" spans="1:17" ht="15" x14ac:dyDescent="0.25">
      <c r="A1634" s="10">
        <v>1801</v>
      </c>
      <c r="B1634" s="10" t="s">
        <v>5404</v>
      </c>
      <c r="C1634" s="880">
        <f t="shared" si="126"/>
        <v>74.183300000000003</v>
      </c>
      <c r="D1634" s="880">
        <f t="shared" si="127"/>
        <v>32.15</v>
      </c>
      <c r="E1634" s="10">
        <v>74.183334000000002</v>
      </c>
      <c r="F1634" s="10">
        <v>32.150002000000001</v>
      </c>
      <c r="G1634" s="10">
        <v>5</v>
      </c>
      <c r="H1634" s="10" t="s">
        <v>4585</v>
      </c>
      <c r="I1634" s="10" t="s">
        <v>5392</v>
      </c>
      <c r="J1634" s="10" t="s">
        <v>5393</v>
      </c>
      <c r="K1634" s="10" t="s">
        <v>5394</v>
      </c>
      <c r="L1634" s="65" t="str">
        <f t="shared" si="128"/>
        <v>Gujranwala|Pakistan|74,183334|32,150002|+5:00 Asia</v>
      </c>
      <c r="M1634" s="10" t="s">
        <v>5405</v>
      </c>
      <c r="N1634" s="10">
        <f t="shared" si="125"/>
        <v>0</v>
      </c>
      <c r="O1634" t="str">
        <f t="shared" si="129"/>
        <v/>
      </c>
      <c r="P1634" t="str">
        <f>IF(O1634=1,COUNTIF($O$2:O1634,1),"")</f>
        <v/>
      </c>
      <c r="Q1634" t="str">
        <f>IFERROR(INDEX($M$2:$M$2388,MATCH(ROWS($P$2:P1634),$P$2:$P$2388,0)),"")</f>
        <v/>
      </c>
    </row>
    <row r="1635" spans="1:17" ht="15" x14ac:dyDescent="0.25">
      <c r="A1635" s="10">
        <v>1800</v>
      </c>
      <c r="B1635" s="10" t="s">
        <v>5406</v>
      </c>
      <c r="C1635" s="880">
        <f t="shared" si="126"/>
        <v>74.083299999999994</v>
      </c>
      <c r="D1635" s="880">
        <f t="shared" si="127"/>
        <v>32.566600000000001</v>
      </c>
      <c r="E1635" s="10">
        <v>74.083336000000003</v>
      </c>
      <c r="F1635" s="10">
        <v>32.566665999999998</v>
      </c>
      <c r="G1635" s="10">
        <v>5</v>
      </c>
      <c r="H1635" s="10" t="s">
        <v>4585</v>
      </c>
      <c r="I1635" s="10" t="s">
        <v>5392</v>
      </c>
      <c r="J1635" s="10" t="s">
        <v>5393</v>
      </c>
      <c r="K1635" s="10" t="s">
        <v>5394</v>
      </c>
      <c r="L1635" s="65" t="str">
        <f t="shared" si="128"/>
        <v>Gujrat|Pakistan|74,083336|32,566666|+5:00 Asia</v>
      </c>
      <c r="M1635" s="10" t="s">
        <v>5407</v>
      </c>
      <c r="N1635" s="10">
        <f t="shared" si="125"/>
        <v>0</v>
      </c>
      <c r="O1635" t="str">
        <f t="shared" si="129"/>
        <v/>
      </c>
      <c r="P1635" t="str">
        <f>IF(O1635=1,COUNTIF($O$2:O1635,1),"")</f>
        <v/>
      </c>
      <c r="Q1635" t="str">
        <f>IFERROR(INDEX($M$2:$M$2388,MATCH(ROWS($P$2:P1635),$P$2:$P$2388,0)),"")</f>
        <v/>
      </c>
    </row>
    <row r="1636" spans="1:17" ht="15" x14ac:dyDescent="0.25">
      <c r="A1636" s="10">
        <v>1799</v>
      </c>
      <c r="B1636" s="10" t="s">
        <v>3820</v>
      </c>
      <c r="C1636" s="880">
        <f t="shared" si="126"/>
        <v>68.366600000000005</v>
      </c>
      <c r="D1636" s="880">
        <f t="shared" si="127"/>
        <v>25.366599999999998</v>
      </c>
      <c r="E1636" s="10">
        <v>68.366669000000002</v>
      </c>
      <c r="F1636" s="10">
        <v>25.366667</v>
      </c>
      <c r="G1636" s="10">
        <v>5</v>
      </c>
      <c r="H1636" s="10" t="s">
        <v>3657</v>
      </c>
      <c r="I1636" s="10" t="s">
        <v>5392</v>
      </c>
      <c r="J1636" s="10" t="s">
        <v>5393</v>
      </c>
      <c r="K1636" s="10" t="s">
        <v>3660</v>
      </c>
      <c r="L1636" s="65" t="str">
        <f t="shared" si="128"/>
        <v>Hyderabad|Pakistan|68,366669|25,366667|+5:30 Asia</v>
      </c>
      <c r="M1636" s="10" t="s">
        <v>5408</v>
      </c>
      <c r="N1636" s="10">
        <f t="shared" si="125"/>
        <v>0</v>
      </c>
      <c r="O1636" t="str">
        <f t="shared" si="129"/>
        <v/>
      </c>
      <c r="P1636" t="str">
        <f>IF(O1636=1,COUNTIF($O$2:O1636,1),"")</f>
        <v/>
      </c>
      <c r="Q1636" t="str">
        <f>IFERROR(INDEX($M$2:$M$2388,MATCH(ROWS($P$2:P1636),$P$2:$P$2388,0)),"")</f>
        <v/>
      </c>
    </row>
    <row r="1637" spans="1:17" ht="15" x14ac:dyDescent="0.25">
      <c r="A1637" s="10">
        <v>1798</v>
      </c>
      <c r="B1637" s="10" t="s">
        <v>5409</v>
      </c>
      <c r="C1637" s="880">
        <f t="shared" si="126"/>
        <v>73.058999999999997</v>
      </c>
      <c r="D1637" s="880">
        <f t="shared" si="127"/>
        <v>33.61</v>
      </c>
      <c r="E1637" s="10">
        <v>73.059082000000004</v>
      </c>
      <c r="F1637" s="10">
        <v>33.610045999999997</v>
      </c>
      <c r="G1637" s="10">
        <v>5</v>
      </c>
      <c r="H1637" s="10" t="s">
        <v>4585</v>
      </c>
      <c r="I1637" s="10" t="s">
        <v>5392</v>
      </c>
      <c r="J1637" s="10" t="s">
        <v>5393</v>
      </c>
      <c r="K1637" s="10" t="s">
        <v>5394</v>
      </c>
      <c r="L1637" s="65" t="str">
        <f t="shared" si="128"/>
        <v>Islamabad|Pakistan|73,059082|33,610046|+5:00 Asia</v>
      </c>
      <c r="M1637" s="10" t="s">
        <v>5410</v>
      </c>
      <c r="N1637" s="10">
        <f t="shared" si="125"/>
        <v>0</v>
      </c>
      <c r="O1637" t="str">
        <f t="shared" si="129"/>
        <v/>
      </c>
      <c r="P1637" t="str">
        <f>IF(O1637=1,COUNTIF($O$2:O1637,1),"")</f>
        <v/>
      </c>
      <c r="Q1637" t="str">
        <f>IFERROR(INDEX($M$2:$M$2388,MATCH(ROWS($P$2:P1637),$P$2:$P$2388,0)),"")</f>
        <v/>
      </c>
    </row>
    <row r="1638" spans="1:17" ht="15" x14ac:dyDescent="0.25">
      <c r="A1638" s="10">
        <v>1797</v>
      </c>
      <c r="B1638" s="10" t="s">
        <v>5411</v>
      </c>
      <c r="C1638" s="880">
        <f t="shared" si="126"/>
        <v>72.311899999999994</v>
      </c>
      <c r="D1638" s="880">
        <f t="shared" si="127"/>
        <v>31.274100000000001</v>
      </c>
      <c r="E1638" s="10">
        <v>72.311942999999999</v>
      </c>
      <c r="F1638" s="10">
        <v>31.274166000000001</v>
      </c>
      <c r="G1638" s="10">
        <v>5</v>
      </c>
      <c r="H1638" s="10" t="s">
        <v>4585</v>
      </c>
      <c r="I1638" s="10" t="s">
        <v>5392</v>
      </c>
      <c r="J1638" s="10" t="s">
        <v>5393</v>
      </c>
      <c r="K1638" s="10" t="s">
        <v>5394</v>
      </c>
      <c r="L1638" s="65" t="str">
        <f t="shared" si="128"/>
        <v>Jhang Sadr|Pakistan|72,311943|31,274166|+5:00 Asia</v>
      </c>
      <c r="M1638" s="10" t="s">
        <v>5412</v>
      </c>
      <c r="N1638" s="10">
        <f t="shared" si="125"/>
        <v>0</v>
      </c>
      <c r="O1638" t="str">
        <f t="shared" si="129"/>
        <v/>
      </c>
      <c r="P1638" t="str">
        <f>IF(O1638=1,COUNTIF($O$2:O1638,1),"")</f>
        <v/>
      </c>
      <c r="Q1638" t="str">
        <f>IFERROR(INDEX($M$2:$M$2388,MATCH(ROWS($P$2:P1638),$P$2:$P$2388,0)),"")</f>
        <v/>
      </c>
    </row>
    <row r="1639" spans="1:17" ht="15" x14ac:dyDescent="0.25">
      <c r="A1639" s="10">
        <v>1796</v>
      </c>
      <c r="B1639" s="10" t="s">
        <v>5413</v>
      </c>
      <c r="C1639" s="880">
        <f t="shared" si="126"/>
        <v>67.05</v>
      </c>
      <c r="D1639" s="880">
        <f t="shared" si="127"/>
        <v>24.866599999999998</v>
      </c>
      <c r="E1639" s="10">
        <v>67.050003000000004</v>
      </c>
      <c r="F1639" s="10">
        <v>24.866667</v>
      </c>
      <c r="G1639" s="10">
        <v>5</v>
      </c>
      <c r="H1639" s="10" t="s">
        <v>4585</v>
      </c>
      <c r="I1639" s="10" t="s">
        <v>5392</v>
      </c>
      <c r="J1639" s="10" t="s">
        <v>5393</v>
      </c>
      <c r="K1639" s="10" t="s">
        <v>5394</v>
      </c>
      <c r="L1639" s="65" t="str">
        <f t="shared" si="128"/>
        <v>Karachi|Pakistan|67,050003|24,866667|+5:00 Asia</v>
      </c>
      <c r="M1639" s="10" t="s">
        <v>5414</v>
      </c>
      <c r="N1639" s="10">
        <f t="shared" si="125"/>
        <v>0</v>
      </c>
      <c r="O1639" t="str">
        <f t="shared" si="129"/>
        <v/>
      </c>
      <c r="P1639" t="str">
        <f>IF(O1639=1,COUNTIF($O$2:O1639,1),"")</f>
        <v/>
      </c>
      <c r="Q1639" t="str">
        <f>IFERROR(INDEX($M$2:$M$2388,MATCH(ROWS($P$2:P1639),$P$2:$P$2388,0)),"")</f>
        <v/>
      </c>
    </row>
    <row r="1640" spans="1:17" ht="15" x14ac:dyDescent="0.25">
      <c r="A1640" s="10">
        <v>1795</v>
      </c>
      <c r="B1640" s="10" t="s">
        <v>5415</v>
      </c>
      <c r="C1640" s="880">
        <f t="shared" si="126"/>
        <v>74.446600000000004</v>
      </c>
      <c r="D1640" s="880">
        <f t="shared" si="127"/>
        <v>31.115500000000001</v>
      </c>
      <c r="E1640" s="10">
        <v>74.446663000000001</v>
      </c>
      <c r="F1640" s="10">
        <v>31.115555000000001</v>
      </c>
      <c r="G1640" s="10">
        <v>5</v>
      </c>
      <c r="H1640" s="10" t="s">
        <v>4585</v>
      </c>
      <c r="I1640" s="10" t="s">
        <v>5392</v>
      </c>
      <c r="J1640" s="10" t="s">
        <v>5393</v>
      </c>
      <c r="K1640" s="10" t="s">
        <v>5394</v>
      </c>
      <c r="L1640" s="65" t="str">
        <f t="shared" si="128"/>
        <v>Kasur|Pakistan|74,446663|31,115555|+5:00 Asia</v>
      </c>
      <c r="M1640" s="10" t="s">
        <v>5416</v>
      </c>
      <c r="N1640" s="10">
        <f t="shared" si="125"/>
        <v>0</v>
      </c>
      <c r="O1640" t="str">
        <f t="shared" si="129"/>
        <v/>
      </c>
      <c r="P1640" t="str">
        <f>IF(O1640=1,COUNTIF($O$2:O1640,1),"")</f>
        <v/>
      </c>
      <c r="Q1640" t="str">
        <f>IFERROR(INDEX($M$2:$M$2388,MATCH(ROWS($P$2:P1640),$P$2:$P$2388,0)),"")</f>
        <v/>
      </c>
    </row>
    <row r="1641" spans="1:17" ht="15" x14ac:dyDescent="0.25">
      <c r="A1641" s="10">
        <v>1778</v>
      </c>
      <c r="B1641" s="10" t="s">
        <v>5417</v>
      </c>
      <c r="C1641" s="880">
        <f t="shared" si="126"/>
        <v>68.766599999999997</v>
      </c>
      <c r="D1641" s="880">
        <f t="shared" si="127"/>
        <v>27.533300000000001</v>
      </c>
      <c r="E1641" s="10">
        <v>68.766670000000005</v>
      </c>
      <c r="F1641" s="10">
        <v>27.533332999999999</v>
      </c>
      <c r="G1641" s="10">
        <v>5</v>
      </c>
      <c r="H1641" s="10" t="s">
        <v>4585</v>
      </c>
      <c r="I1641" s="10" t="s">
        <v>5392</v>
      </c>
      <c r="J1641" s="10" t="s">
        <v>5393</v>
      </c>
      <c r="K1641" s="10" t="s">
        <v>5394</v>
      </c>
      <c r="L1641" s="65" t="str">
        <f t="shared" si="128"/>
        <v>Khairpur|Pakistan|68,766670|27,533333|+5:00 Asia</v>
      </c>
      <c r="M1641" s="10" t="s">
        <v>5418</v>
      </c>
      <c r="N1641" s="10">
        <f t="shared" si="125"/>
        <v>0</v>
      </c>
      <c r="O1641" t="str">
        <f t="shared" si="129"/>
        <v/>
      </c>
      <c r="P1641" t="str">
        <f>IF(O1641=1,COUNTIF($O$2:O1641,1),"")</f>
        <v/>
      </c>
      <c r="Q1641" t="str">
        <f>IFERROR(INDEX($M$2:$M$2388,MATCH(ROWS($P$2:P1641),$P$2:$P$2388,0)),"")</f>
        <v/>
      </c>
    </row>
    <row r="1642" spans="1:17" ht="15" x14ac:dyDescent="0.25">
      <c r="A1642" s="10">
        <v>1794</v>
      </c>
      <c r="B1642" s="10" t="s">
        <v>5419</v>
      </c>
      <c r="C1642" s="880">
        <f t="shared" si="126"/>
        <v>74.343599999999995</v>
      </c>
      <c r="D1642" s="880">
        <f t="shared" si="127"/>
        <v>31.549700000000001</v>
      </c>
      <c r="E1642" s="10">
        <v>74.343613000000005</v>
      </c>
      <c r="F1642" s="10">
        <v>31.549723</v>
      </c>
      <c r="G1642" s="10">
        <v>5</v>
      </c>
      <c r="H1642" s="10" t="s">
        <v>4585</v>
      </c>
      <c r="I1642" s="10" t="s">
        <v>5392</v>
      </c>
      <c r="J1642" s="10" t="s">
        <v>5393</v>
      </c>
      <c r="K1642" s="10" t="s">
        <v>5394</v>
      </c>
      <c r="L1642" s="65" t="str">
        <f t="shared" si="128"/>
        <v>Lahore|Pakistan|74,343613|31,549723|+5:00 Asia</v>
      </c>
      <c r="M1642" s="10" t="s">
        <v>5420</v>
      </c>
      <c r="N1642" s="10">
        <f t="shared" si="125"/>
        <v>0</v>
      </c>
      <c r="O1642" t="str">
        <f t="shared" si="129"/>
        <v/>
      </c>
      <c r="P1642" t="str">
        <f>IF(O1642=1,COUNTIF($O$2:O1642,1),"")</f>
        <v/>
      </c>
      <c r="Q1642" t="str">
        <f>IFERROR(INDEX($M$2:$M$2388,MATCH(ROWS($P$2:P1642),$P$2:$P$2388,0)),"")</f>
        <v/>
      </c>
    </row>
    <row r="1643" spans="1:17" ht="15" x14ac:dyDescent="0.25">
      <c r="A1643" s="10">
        <v>1793</v>
      </c>
      <c r="B1643" s="10" t="s">
        <v>5421</v>
      </c>
      <c r="C1643" s="880">
        <f t="shared" si="126"/>
        <v>68.2166</v>
      </c>
      <c r="D1643" s="880">
        <f t="shared" si="127"/>
        <v>27.549900000000001</v>
      </c>
      <c r="E1643" s="10">
        <v>68.216667000000001</v>
      </c>
      <c r="F1643" s="10">
        <v>27.549999</v>
      </c>
      <c r="G1643" s="10">
        <v>5</v>
      </c>
      <c r="H1643" s="10" t="s">
        <v>4585</v>
      </c>
      <c r="I1643" s="10" t="s">
        <v>5392</v>
      </c>
      <c r="J1643" s="10" t="s">
        <v>5393</v>
      </c>
      <c r="K1643" s="10" t="s">
        <v>5394</v>
      </c>
      <c r="L1643" s="65" t="str">
        <f t="shared" si="128"/>
        <v>Larkana|Pakistan|68,216667|27,549999|+5:00 Asia</v>
      </c>
      <c r="M1643" s="10" t="s">
        <v>5422</v>
      </c>
      <c r="N1643" s="10">
        <f t="shared" si="125"/>
        <v>0</v>
      </c>
      <c r="O1643" t="str">
        <f t="shared" si="129"/>
        <v/>
      </c>
      <c r="P1643" t="str">
        <f>IF(O1643=1,COUNTIF($O$2:O1643,1),"")</f>
        <v/>
      </c>
      <c r="Q1643" t="str">
        <f>IFERROR(INDEX($M$2:$M$2388,MATCH(ROWS($P$2:P1643),$P$2:$P$2388,0)),"")</f>
        <v/>
      </c>
    </row>
    <row r="1644" spans="1:17" ht="15" x14ac:dyDescent="0.25">
      <c r="A1644" s="10">
        <v>1792</v>
      </c>
      <c r="B1644" s="10" t="s">
        <v>5423</v>
      </c>
      <c r="C1644" s="880">
        <f t="shared" si="126"/>
        <v>72.0458</v>
      </c>
      <c r="D1644" s="880">
        <f t="shared" si="127"/>
        <v>34.198300000000003</v>
      </c>
      <c r="E1644" s="10">
        <v>72.045829999999995</v>
      </c>
      <c r="F1644" s="10">
        <v>34.198334000000003</v>
      </c>
      <c r="G1644" s="10">
        <v>5</v>
      </c>
      <c r="H1644" s="10" t="s">
        <v>4585</v>
      </c>
      <c r="I1644" s="10" t="s">
        <v>5392</v>
      </c>
      <c r="J1644" s="10" t="s">
        <v>5393</v>
      </c>
      <c r="K1644" s="10" t="s">
        <v>5394</v>
      </c>
      <c r="L1644" s="65" t="str">
        <f t="shared" si="128"/>
        <v>Mardan|Pakistan|72,045830|34,198334|+5:00 Asia</v>
      </c>
      <c r="M1644" s="10" t="s">
        <v>5424</v>
      </c>
      <c r="N1644" s="10">
        <f t="shared" si="125"/>
        <v>0</v>
      </c>
      <c r="O1644" t="str">
        <f t="shared" si="129"/>
        <v/>
      </c>
      <c r="P1644" t="str">
        <f>IF(O1644=1,COUNTIF($O$2:O1644,1),"")</f>
        <v/>
      </c>
      <c r="Q1644" t="str">
        <f>IFERROR(INDEX($M$2:$M$2388,MATCH(ROWS($P$2:P1644),$P$2:$P$2388,0)),"")</f>
        <v/>
      </c>
    </row>
    <row r="1645" spans="1:17" ht="15" x14ac:dyDescent="0.25">
      <c r="A1645" s="10">
        <v>1791</v>
      </c>
      <c r="B1645" s="10" t="s">
        <v>5425</v>
      </c>
      <c r="C1645" s="880">
        <f t="shared" si="126"/>
        <v>72.361099999999993</v>
      </c>
      <c r="D1645" s="880">
        <f t="shared" si="127"/>
        <v>34.7761</v>
      </c>
      <c r="E1645" s="10">
        <v>72.361114999999998</v>
      </c>
      <c r="F1645" s="10">
        <v>34.776111999999998</v>
      </c>
      <c r="G1645" s="10">
        <v>5</v>
      </c>
      <c r="H1645" s="10" t="s">
        <v>4585</v>
      </c>
      <c r="I1645" s="10" t="s">
        <v>5392</v>
      </c>
      <c r="J1645" s="10" t="s">
        <v>5393</v>
      </c>
      <c r="K1645" s="10" t="s">
        <v>5394</v>
      </c>
      <c r="L1645" s="65" t="str">
        <f t="shared" si="128"/>
        <v>Mingaora|Pakistan|72,361115|34,776112|+5:00 Asia</v>
      </c>
      <c r="M1645" s="10" t="s">
        <v>5426</v>
      </c>
      <c r="N1645" s="10">
        <f t="shared" si="125"/>
        <v>0</v>
      </c>
      <c r="O1645" t="str">
        <f t="shared" si="129"/>
        <v/>
      </c>
      <c r="P1645" t="str">
        <f>IF(O1645=1,COUNTIF($O$2:O1645,1),"")</f>
        <v/>
      </c>
      <c r="Q1645" t="str">
        <f>IFERROR(INDEX($M$2:$M$2388,MATCH(ROWS($P$2:P1645),$P$2:$P$2388,0)),"")</f>
        <v/>
      </c>
    </row>
    <row r="1646" spans="1:17" ht="15" x14ac:dyDescent="0.25">
      <c r="A1646" s="10">
        <v>1790</v>
      </c>
      <c r="B1646" s="10" t="s">
        <v>5427</v>
      </c>
      <c r="C1646" s="880">
        <f t="shared" si="126"/>
        <v>69</v>
      </c>
      <c r="D1646" s="880">
        <f t="shared" si="127"/>
        <v>25.533300000000001</v>
      </c>
      <c r="E1646" s="10">
        <v>69</v>
      </c>
      <c r="F1646" s="10">
        <v>25.533332999999999</v>
      </c>
      <c r="G1646" s="10">
        <v>5</v>
      </c>
      <c r="H1646" s="10" t="s">
        <v>4585</v>
      </c>
      <c r="I1646" s="10" t="s">
        <v>5392</v>
      </c>
      <c r="J1646" s="10" t="s">
        <v>5393</v>
      </c>
      <c r="K1646" s="10" t="s">
        <v>5394</v>
      </c>
      <c r="L1646" s="65" t="str">
        <f t="shared" si="128"/>
        <v>Mirpur Khas|Pakistan|69,000000|25,533333|+5:00 Asia</v>
      </c>
      <c r="M1646" s="10" t="s">
        <v>5428</v>
      </c>
      <c r="N1646" s="10">
        <f t="shared" si="125"/>
        <v>0</v>
      </c>
      <c r="O1646" t="str">
        <f t="shared" si="129"/>
        <v/>
      </c>
      <c r="P1646" t="str">
        <f>IF(O1646=1,COUNTIF($O$2:O1646,1),"")</f>
        <v/>
      </c>
      <c r="Q1646" t="str">
        <f>IFERROR(INDEX($M$2:$M$2388,MATCH(ROWS($P$2:P1646),$P$2:$P$2388,0)),"")</f>
        <v/>
      </c>
    </row>
    <row r="1647" spans="1:17" ht="15" x14ac:dyDescent="0.25">
      <c r="A1647" s="10">
        <v>1789</v>
      </c>
      <c r="B1647" s="10" t="s">
        <v>5429</v>
      </c>
      <c r="C1647" s="880">
        <f t="shared" si="126"/>
        <v>71.475200000000001</v>
      </c>
      <c r="D1647" s="880">
        <f t="shared" si="127"/>
        <v>30.195499999999999</v>
      </c>
      <c r="E1647" s="10">
        <v>71.475280999999995</v>
      </c>
      <c r="F1647" s="10">
        <v>30.195554999999999</v>
      </c>
      <c r="G1647" s="10">
        <v>5</v>
      </c>
      <c r="H1647" s="10" t="s">
        <v>4585</v>
      </c>
      <c r="I1647" s="10" t="s">
        <v>5392</v>
      </c>
      <c r="J1647" s="10" t="s">
        <v>5393</v>
      </c>
      <c r="K1647" s="10" t="s">
        <v>5394</v>
      </c>
      <c r="L1647" s="65" t="str">
        <f t="shared" si="128"/>
        <v>Multan|Pakistan|71,475281|30,195555|+5:00 Asia</v>
      </c>
      <c r="M1647" s="10" t="s">
        <v>5430</v>
      </c>
      <c r="N1647" s="10">
        <f t="shared" si="125"/>
        <v>0</v>
      </c>
      <c r="O1647" t="str">
        <f t="shared" si="129"/>
        <v/>
      </c>
      <c r="P1647" t="str">
        <f>IF(O1647=1,COUNTIF($O$2:O1647,1),"")</f>
        <v/>
      </c>
      <c r="Q1647" t="str">
        <f>IFERROR(INDEX($M$2:$M$2388,MATCH(ROWS($P$2:P1647),$P$2:$P$2388,0)),"")</f>
        <v/>
      </c>
    </row>
    <row r="1648" spans="1:17" ht="15" x14ac:dyDescent="0.25">
      <c r="A1648" s="10">
        <v>1788</v>
      </c>
      <c r="B1648" s="10" t="s">
        <v>5431</v>
      </c>
      <c r="C1648" s="880">
        <f t="shared" si="126"/>
        <v>68.416600000000003</v>
      </c>
      <c r="D1648" s="880">
        <f t="shared" si="127"/>
        <v>26.25</v>
      </c>
      <c r="E1648" s="10">
        <v>68.416663999999997</v>
      </c>
      <c r="F1648" s="10">
        <v>26.25</v>
      </c>
      <c r="G1648" s="10">
        <v>5</v>
      </c>
      <c r="H1648" s="10" t="s">
        <v>4585</v>
      </c>
      <c r="I1648" s="10" t="s">
        <v>5392</v>
      </c>
      <c r="J1648" s="10" t="s">
        <v>5393</v>
      </c>
      <c r="K1648" s="10" t="s">
        <v>5394</v>
      </c>
      <c r="L1648" s="65" t="str">
        <f t="shared" si="128"/>
        <v>Nawabshah|Pakistan|68,416664|26,250000|+5:00 Asia</v>
      </c>
      <c r="M1648" s="10" t="s">
        <v>5432</v>
      </c>
      <c r="N1648" s="10">
        <f t="shared" si="125"/>
        <v>0</v>
      </c>
      <c r="O1648" t="str">
        <f t="shared" si="129"/>
        <v/>
      </c>
      <c r="P1648" t="str">
        <f>IF(O1648=1,COUNTIF($O$2:O1648,1),"")</f>
        <v/>
      </c>
      <c r="Q1648" t="str">
        <f>IFERROR(INDEX($M$2:$M$2388,MATCH(ROWS($P$2:P1648),$P$2:$P$2388,0)),"")</f>
        <v/>
      </c>
    </row>
    <row r="1649" spans="1:17" ht="15" x14ac:dyDescent="0.25">
      <c r="A1649" s="10">
        <v>1787</v>
      </c>
      <c r="B1649" s="10" t="s">
        <v>5433</v>
      </c>
      <c r="C1649" s="880">
        <f t="shared" si="126"/>
        <v>73.445800000000006</v>
      </c>
      <c r="D1649" s="880">
        <f t="shared" si="127"/>
        <v>30.808</v>
      </c>
      <c r="E1649" s="10">
        <v>73.445830999999998</v>
      </c>
      <c r="F1649" s="10">
        <v>30.808056000000001</v>
      </c>
      <c r="G1649" s="10">
        <v>5</v>
      </c>
      <c r="H1649" s="10" t="s">
        <v>4585</v>
      </c>
      <c r="I1649" s="10" t="s">
        <v>5392</v>
      </c>
      <c r="J1649" s="10" t="s">
        <v>5393</v>
      </c>
      <c r="K1649" s="10" t="s">
        <v>5394</v>
      </c>
      <c r="L1649" s="65" t="str">
        <f t="shared" si="128"/>
        <v>Okara|Pakistan|73,445831|30,808056|+5:00 Asia</v>
      </c>
      <c r="M1649" s="10" t="s">
        <v>5434</v>
      </c>
      <c r="N1649" s="10">
        <f t="shared" si="125"/>
        <v>0</v>
      </c>
      <c r="O1649" t="str">
        <f t="shared" si="129"/>
        <v/>
      </c>
      <c r="P1649" t="str">
        <f>IF(O1649=1,COUNTIF($O$2:O1649,1),"")</f>
        <v/>
      </c>
      <c r="Q1649" t="str">
        <f>IFERROR(INDEX($M$2:$M$2388,MATCH(ROWS($P$2:P1649),$P$2:$P$2388,0)),"")</f>
        <v/>
      </c>
    </row>
    <row r="1650" spans="1:17" ht="15" x14ac:dyDescent="0.25">
      <c r="A1650" s="10">
        <v>1786</v>
      </c>
      <c r="B1650" s="10" t="s">
        <v>5435</v>
      </c>
      <c r="C1650" s="880">
        <f t="shared" si="126"/>
        <v>71.573300000000003</v>
      </c>
      <c r="D1650" s="880">
        <f t="shared" si="127"/>
        <v>34.0077</v>
      </c>
      <c r="E1650" s="10">
        <v>71.573334000000003</v>
      </c>
      <c r="F1650" s="10">
        <v>34.007778000000002</v>
      </c>
      <c r="G1650" s="10">
        <v>5</v>
      </c>
      <c r="H1650" s="10" t="s">
        <v>4585</v>
      </c>
      <c r="I1650" s="10" t="s">
        <v>5392</v>
      </c>
      <c r="J1650" s="10" t="s">
        <v>5393</v>
      </c>
      <c r="K1650" s="10" t="s">
        <v>5394</v>
      </c>
      <c r="L1650" s="65" t="str">
        <f t="shared" si="128"/>
        <v>Peshawar|Pakistan|71,573334|34,007778|+5:00 Asia</v>
      </c>
      <c r="M1650" s="10" t="s">
        <v>5436</v>
      </c>
      <c r="N1650" s="10">
        <f t="shared" si="125"/>
        <v>0</v>
      </c>
      <c r="O1650" t="str">
        <f t="shared" si="129"/>
        <v/>
      </c>
      <c r="P1650" t="str">
        <f>IF(O1650=1,COUNTIF($O$2:O1650,1),"")</f>
        <v/>
      </c>
      <c r="Q1650" t="str">
        <f>IFERROR(INDEX($M$2:$M$2388,MATCH(ROWS($P$2:P1650),$P$2:$P$2388,0)),"")</f>
        <v/>
      </c>
    </row>
    <row r="1651" spans="1:17" ht="15" x14ac:dyDescent="0.25">
      <c r="A1651" s="10">
        <v>1777</v>
      </c>
      <c r="B1651" s="10" t="s">
        <v>5437</v>
      </c>
      <c r="C1651" s="880">
        <f t="shared" si="126"/>
        <v>68.616600000000005</v>
      </c>
      <c r="D1651" s="880">
        <f t="shared" si="127"/>
        <v>27.6</v>
      </c>
      <c r="E1651" s="10">
        <v>68.616669000000002</v>
      </c>
      <c r="F1651" s="10">
        <v>27.6</v>
      </c>
      <c r="G1651" s="10">
        <v>5</v>
      </c>
      <c r="H1651" s="10" t="s">
        <v>4585</v>
      </c>
      <c r="I1651" s="10" t="s">
        <v>5392</v>
      </c>
      <c r="J1651" s="10" t="s">
        <v>5393</v>
      </c>
      <c r="K1651" s="10" t="s">
        <v>5394</v>
      </c>
      <c r="L1651" s="65" t="str">
        <f t="shared" si="128"/>
        <v>Pir jo Goth|Pakistan|68,616669|27,600000|+5:00 Asia</v>
      </c>
      <c r="M1651" s="10" t="s">
        <v>5438</v>
      </c>
      <c r="N1651" s="10">
        <f t="shared" si="125"/>
        <v>0</v>
      </c>
      <c r="O1651" t="str">
        <f t="shared" si="129"/>
        <v/>
      </c>
      <c r="P1651" t="str">
        <f>IF(O1651=1,COUNTIF($O$2:O1651,1),"")</f>
        <v/>
      </c>
      <c r="Q1651" t="str">
        <f>IFERROR(INDEX($M$2:$M$2388,MATCH(ROWS($P$2:P1651),$P$2:$P$2388,0)),"")</f>
        <v/>
      </c>
    </row>
    <row r="1652" spans="1:17" ht="15" x14ac:dyDescent="0.25">
      <c r="A1652" s="10">
        <v>1785</v>
      </c>
      <c r="B1652" s="10" t="s">
        <v>5439</v>
      </c>
      <c r="C1652" s="880">
        <f t="shared" si="126"/>
        <v>67.0124</v>
      </c>
      <c r="D1652" s="880">
        <f t="shared" si="127"/>
        <v>30.187200000000001</v>
      </c>
      <c r="E1652" s="10">
        <v>67.012496999999996</v>
      </c>
      <c r="F1652" s="10">
        <v>30.187221999999998</v>
      </c>
      <c r="G1652" s="10">
        <v>5</v>
      </c>
      <c r="H1652" s="10" t="s">
        <v>4585</v>
      </c>
      <c r="I1652" s="10" t="s">
        <v>5392</v>
      </c>
      <c r="J1652" s="10" t="s">
        <v>5393</v>
      </c>
      <c r="K1652" s="10" t="s">
        <v>5394</v>
      </c>
      <c r="L1652" s="65" t="str">
        <f t="shared" si="128"/>
        <v>Quetta|Pakistan|67,012497|30,187222|+5:00 Asia</v>
      </c>
      <c r="M1652" s="10" t="s">
        <v>5440</v>
      </c>
      <c r="N1652" s="10">
        <f t="shared" si="125"/>
        <v>0</v>
      </c>
      <c r="O1652" t="str">
        <f t="shared" si="129"/>
        <v/>
      </c>
      <c r="P1652" t="str">
        <f>IF(O1652=1,COUNTIF($O$2:O1652,1),"")</f>
        <v/>
      </c>
      <c r="Q1652" t="str">
        <f>IFERROR(INDEX($M$2:$M$2388,MATCH(ROWS($P$2:P1652),$P$2:$P$2388,0)),"")</f>
        <v/>
      </c>
    </row>
    <row r="1653" spans="1:17" ht="15" x14ac:dyDescent="0.25">
      <c r="A1653" s="10">
        <v>1784</v>
      </c>
      <c r="B1653" s="10" t="s">
        <v>5441</v>
      </c>
      <c r="C1653" s="880">
        <f t="shared" si="126"/>
        <v>73.066599999999994</v>
      </c>
      <c r="D1653" s="880">
        <f t="shared" si="127"/>
        <v>33.599899999999998</v>
      </c>
      <c r="E1653" s="10">
        <v>73.066665999999998</v>
      </c>
      <c r="F1653" s="10">
        <v>33.599997999999999</v>
      </c>
      <c r="G1653" s="10">
        <v>5</v>
      </c>
      <c r="H1653" s="10" t="s">
        <v>4585</v>
      </c>
      <c r="I1653" s="10" t="s">
        <v>5392</v>
      </c>
      <c r="J1653" s="10" t="s">
        <v>5393</v>
      </c>
      <c r="K1653" s="10" t="s">
        <v>5394</v>
      </c>
      <c r="L1653" s="65" t="str">
        <f t="shared" si="128"/>
        <v>Rawalpindi|Pakistan|73,066666|33,599998|+5:00 Asia</v>
      </c>
      <c r="M1653" s="10" t="s">
        <v>5442</v>
      </c>
      <c r="N1653" s="10">
        <f t="shared" si="125"/>
        <v>0</v>
      </c>
      <c r="O1653" t="str">
        <f t="shared" si="129"/>
        <v/>
      </c>
      <c r="P1653" t="str">
        <f>IF(O1653=1,COUNTIF($O$2:O1653,1),"")</f>
        <v/>
      </c>
      <c r="Q1653" t="str">
        <f>IFERROR(INDEX($M$2:$M$2388,MATCH(ROWS($P$2:P1653),$P$2:$P$2388,0)),"")</f>
        <v/>
      </c>
    </row>
    <row r="1654" spans="1:17" ht="15" x14ac:dyDescent="0.25">
      <c r="A1654" s="10">
        <v>1783</v>
      </c>
      <c r="B1654" s="10" t="s">
        <v>5443</v>
      </c>
      <c r="C1654" s="880">
        <f t="shared" si="126"/>
        <v>73.099900000000005</v>
      </c>
      <c r="D1654" s="880">
        <f t="shared" si="127"/>
        <v>30.666599999999999</v>
      </c>
      <c r="E1654" s="10">
        <v>73.099997999999999</v>
      </c>
      <c r="F1654" s="10">
        <v>30.666665999999999</v>
      </c>
      <c r="G1654" s="10">
        <v>5</v>
      </c>
      <c r="H1654" s="10" t="s">
        <v>4585</v>
      </c>
      <c r="I1654" s="10" t="s">
        <v>5392</v>
      </c>
      <c r="J1654" s="10" t="s">
        <v>5393</v>
      </c>
      <c r="K1654" s="10" t="s">
        <v>5394</v>
      </c>
      <c r="L1654" s="65" t="str">
        <f t="shared" si="128"/>
        <v>Sahiwal|Pakistan|73,099998|30,666666|+5:00 Asia</v>
      </c>
      <c r="M1654" s="10" t="s">
        <v>5444</v>
      </c>
      <c r="N1654" s="10">
        <f t="shared" si="125"/>
        <v>0</v>
      </c>
      <c r="O1654" t="str">
        <f t="shared" si="129"/>
        <v/>
      </c>
      <c r="P1654" t="str">
        <f>IF(O1654=1,COUNTIF($O$2:O1654,1),"")</f>
        <v/>
      </c>
      <c r="Q1654" t="str">
        <f>IFERROR(INDEX($M$2:$M$2388,MATCH(ROWS($P$2:P1654),$P$2:$P$2388,0)),"")</f>
        <v/>
      </c>
    </row>
    <row r="1655" spans="1:17" ht="15" x14ac:dyDescent="0.25">
      <c r="A1655" s="10">
        <v>1782</v>
      </c>
      <c r="B1655" s="10" t="s">
        <v>5445</v>
      </c>
      <c r="C1655" s="880">
        <f t="shared" si="126"/>
        <v>72.671099999999996</v>
      </c>
      <c r="D1655" s="880">
        <f t="shared" si="127"/>
        <v>32.083599999999997</v>
      </c>
      <c r="E1655" s="10">
        <v>72.671111999999994</v>
      </c>
      <c r="F1655" s="10">
        <v>32.083610999999998</v>
      </c>
      <c r="G1655" s="10">
        <v>5</v>
      </c>
      <c r="H1655" s="10" t="s">
        <v>4585</v>
      </c>
      <c r="I1655" s="10" t="s">
        <v>5392</v>
      </c>
      <c r="J1655" s="10" t="s">
        <v>5393</v>
      </c>
      <c r="K1655" s="10" t="s">
        <v>5394</v>
      </c>
      <c r="L1655" s="65" t="str">
        <f t="shared" si="128"/>
        <v>Sargodha|Pakistan|72,671112|32,083611|+5:00 Asia</v>
      </c>
      <c r="M1655" s="10" t="s">
        <v>5446</v>
      </c>
      <c r="N1655" s="10">
        <f t="shared" si="125"/>
        <v>0</v>
      </c>
      <c r="O1655" t="str">
        <f t="shared" si="129"/>
        <v/>
      </c>
      <c r="P1655" t="str">
        <f>IF(O1655=1,COUNTIF($O$2:O1655,1),"")</f>
        <v/>
      </c>
      <c r="Q1655" t="str">
        <f>IFERROR(INDEX($M$2:$M$2388,MATCH(ROWS($P$2:P1655),$P$2:$P$2388,0)),"")</f>
        <v/>
      </c>
    </row>
    <row r="1656" spans="1:17" ht="15" x14ac:dyDescent="0.25">
      <c r="A1656" s="10">
        <v>1781</v>
      </c>
      <c r="B1656" s="10" t="s">
        <v>5447</v>
      </c>
      <c r="C1656" s="880">
        <f t="shared" si="126"/>
        <v>73.978300000000004</v>
      </c>
      <c r="D1656" s="880">
        <f t="shared" si="127"/>
        <v>31.713000000000001</v>
      </c>
      <c r="E1656" s="10">
        <v>73.978333000000006</v>
      </c>
      <c r="F1656" s="10">
        <v>31.713055000000001</v>
      </c>
      <c r="G1656" s="10">
        <v>5</v>
      </c>
      <c r="H1656" s="10" t="s">
        <v>4585</v>
      </c>
      <c r="I1656" s="10" t="s">
        <v>5392</v>
      </c>
      <c r="J1656" s="10" t="s">
        <v>5393</v>
      </c>
      <c r="K1656" s="10" t="s">
        <v>5394</v>
      </c>
      <c r="L1656" s="65" t="str">
        <f t="shared" si="128"/>
        <v>Shekhupura|Pakistan|73,978333|31,713055|+5:00 Asia</v>
      </c>
      <c r="M1656" s="10" t="s">
        <v>5448</v>
      </c>
      <c r="N1656" s="10">
        <f t="shared" si="125"/>
        <v>0</v>
      </c>
      <c r="O1656" t="str">
        <f t="shared" si="129"/>
        <v/>
      </c>
      <c r="P1656" t="str">
        <f>IF(O1656=1,COUNTIF($O$2:O1656,1),"")</f>
        <v/>
      </c>
      <c r="Q1656" t="str">
        <f>IFERROR(INDEX($M$2:$M$2388,MATCH(ROWS($P$2:P1656),$P$2:$P$2388,0)),"")</f>
        <v/>
      </c>
    </row>
    <row r="1657" spans="1:17" ht="15" x14ac:dyDescent="0.25">
      <c r="A1657" s="10">
        <v>1780</v>
      </c>
      <c r="B1657" s="10" t="s">
        <v>5449</v>
      </c>
      <c r="C1657" s="880">
        <f t="shared" si="126"/>
        <v>74.516599999999997</v>
      </c>
      <c r="D1657" s="880">
        <f t="shared" si="127"/>
        <v>32.5</v>
      </c>
      <c r="E1657" s="10">
        <v>74.516670000000005</v>
      </c>
      <c r="F1657" s="10">
        <v>32.5</v>
      </c>
      <c r="G1657" s="10">
        <v>5</v>
      </c>
      <c r="H1657" s="10" t="s">
        <v>4585</v>
      </c>
      <c r="I1657" s="10" t="s">
        <v>5392</v>
      </c>
      <c r="J1657" s="10" t="s">
        <v>5393</v>
      </c>
      <c r="K1657" s="10" t="s">
        <v>5394</v>
      </c>
      <c r="L1657" s="65" t="str">
        <f t="shared" si="128"/>
        <v>Sialkot|Pakistan|74,516670|32,500000|+5:00 Asia</v>
      </c>
      <c r="M1657" s="10" t="s">
        <v>5450</v>
      </c>
      <c r="N1657" s="10">
        <f t="shared" si="125"/>
        <v>0</v>
      </c>
      <c r="O1657" t="str">
        <f t="shared" si="129"/>
        <v/>
      </c>
      <c r="P1657" t="str">
        <f>IF(O1657=1,COUNTIF($O$2:O1657,1),"")</f>
        <v/>
      </c>
      <c r="Q1657" t="str">
        <f>IFERROR(INDEX($M$2:$M$2388,MATCH(ROWS($P$2:P1657),$P$2:$P$2388,0)),"")</f>
        <v/>
      </c>
    </row>
    <row r="1658" spans="1:17" ht="15" x14ac:dyDescent="0.25">
      <c r="A1658" s="10">
        <v>1779</v>
      </c>
      <c r="B1658" s="10" t="s">
        <v>5451</v>
      </c>
      <c r="C1658" s="880">
        <f t="shared" si="126"/>
        <v>68.866600000000005</v>
      </c>
      <c r="D1658" s="880">
        <f t="shared" si="127"/>
        <v>27.7</v>
      </c>
      <c r="E1658" s="10">
        <v>68.866669000000002</v>
      </c>
      <c r="F1658" s="10">
        <v>27.700001</v>
      </c>
      <c r="G1658" s="10">
        <v>5</v>
      </c>
      <c r="H1658" s="10" t="s">
        <v>4585</v>
      </c>
      <c r="I1658" s="10" t="s">
        <v>5392</v>
      </c>
      <c r="J1658" s="10" t="s">
        <v>5393</v>
      </c>
      <c r="K1658" s="10" t="s">
        <v>5394</v>
      </c>
      <c r="L1658" s="65" t="str">
        <f t="shared" si="128"/>
        <v>Sukkur|Pakistan|68,866669|27,700001|+5:00 Asia</v>
      </c>
      <c r="M1658" s="10" t="s">
        <v>5452</v>
      </c>
      <c r="N1658" s="10">
        <f t="shared" si="125"/>
        <v>0</v>
      </c>
      <c r="O1658" t="str">
        <f t="shared" si="129"/>
        <v/>
      </c>
      <c r="P1658" t="str">
        <f>IF(O1658=1,COUNTIF($O$2:O1658,1),"")</f>
        <v/>
      </c>
      <c r="Q1658" t="str">
        <f>IFERROR(INDEX($M$2:$M$2388,MATCH(ROWS($P$2:P1658),$P$2:$P$2388,0)),"")</f>
        <v/>
      </c>
    </row>
    <row r="1659" spans="1:17" ht="15" x14ac:dyDescent="0.25">
      <c r="A1659" s="10">
        <v>1718</v>
      </c>
      <c r="B1659" s="10" t="s">
        <v>5453</v>
      </c>
      <c r="C1659" s="880">
        <f t="shared" si="126"/>
        <v>-79.533299999999997</v>
      </c>
      <c r="D1659" s="880">
        <f t="shared" si="127"/>
        <v>8.9665999999999997</v>
      </c>
      <c r="E1659" s="10">
        <v>-79.533332999999999</v>
      </c>
      <c r="F1659" s="10">
        <v>8.9666669999999993</v>
      </c>
      <c r="G1659" s="10">
        <v>-5</v>
      </c>
      <c r="H1659" s="10" t="s">
        <v>1873</v>
      </c>
      <c r="I1659" s="10" t="s">
        <v>5454</v>
      </c>
      <c r="J1659" s="10" t="s">
        <v>5453</v>
      </c>
      <c r="K1659" s="10" t="s">
        <v>5455</v>
      </c>
      <c r="L1659" s="65" t="str">
        <f t="shared" si="128"/>
        <v>Panama|Panama|-79,533333|8,966667|-5:00 America</v>
      </c>
      <c r="M1659" s="10" t="s">
        <v>5456</v>
      </c>
      <c r="N1659" s="10">
        <f t="shared" si="125"/>
        <v>0</v>
      </c>
      <c r="O1659" t="str">
        <f t="shared" si="129"/>
        <v/>
      </c>
      <c r="P1659" t="str">
        <f>IF(O1659=1,COUNTIF($O$2:O1659,1),"")</f>
        <v/>
      </c>
      <c r="Q1659" t="str">
        <f>IFERROR(INDEX($M$2:$M$2388,MATCH(ROWS($P$2:P1659),$P$2:$P$2388,0)),"")</f>
        <v/>
      </c>
    </row>
    <row r="1660" spans="1:17" ht="15" x14ac:dyDescent="0.25">
      <c r="A1660" s="10">
        <v>1717</v>
      </c>
      <c r="B1660" s="10" t="s">
        <v>5457</v>
      </c>
      <c r="C1660" s="880">
        <f t="shared" si="126"/>
        <v>-79.5</v>
      </c>
      <c r="D1660" s="880">
        <f t="shared" si="127"/>
        <v>9.0333000000000006</v>
      </c>
      <c r="E1660" s="10">
        <v>-79.5</v>
      </c>
      <c r="F1660" s="10">
        <v>9.0333330000000007</v>
      </c>
      <c r="G1660" s="10">
        <v>-5</v>
      </c>
      <c r="H1660" s="10" t="s">
        <v>1873</v>
      </c>
      <c r="I1660" s="10" t="s">
        <v>5454</v>
      </c>
      <c r="J1660" s="10" t="s">
        <v>5453</v>
      </c>
      <c r="K1660" s="10" t="s">
        <v>5455</v>
      </c>
      <c r="L1660" s="65" t="str">
        <f t="shared" si="128"/>
        <v>San Miguelito|Panama|-79,500000|9,033333|-5:00 America</v>
      </c>
      <c r="M1660" s="10" t="s">
        <v>5458</v>
      </c>
      <c r="N1660" s="10">
        <f t="shared" si="125"/>
        <v>0</v>
      </c>
      <c r="O1660" t="str">
        <f t="shared" si="129"/>
        <v/>
      </c>
      <c r="P1660" t="str">
        <f>IF(O1660=1,COUNTIF($O$2:O1660,1),"")</f>
        <v/>
      </c>
      <c r="Q1660" t="str">
        <f>IFERROR(INDEX($M$2:$M$2388,MATCH(ROWS($P$2:P1660),$P$2:$P$2388,0)),"")</f>
        <v/>
      </c>
    </row>
    <row r="1661" spans="1:17" ht="15" x14ac:dyDescent="0.25">
      <c r="A1661" s="10">
        <v>1716</v>
      </c>
      <c r="B1661" s="10" t="s">
        <v>5053</v>
      </c>
      <c r="C1661" s="880">
        <f t="shared" si="126"/>
        <v>-79.633300000000006</v>
      </c>
      <c r="D1661" s="880">
        <f t="shared" si="127"/>
        <v>8.8833000000000002</v>
      </c>
      <c r="E1661" s="10">
        <v>-79.633330999999998</v>
      </c>
      <c r="F1661" s="10">
        <v>8.8833330000000004</v>
      </c>
      <c r="G1661" s="10">
        <v>-5</v>
      </c>
      <c r="H1661" s="10" t="s">
        <v>1975</v>
      </c>
      <c r="I1661" s="10" t="s">
        <v>5454</v>
      </c>
      <c r="J1661" s="10" t="s">
        <v>5453</v>
      </c>
      <c r="K1661" s="10" t="s">
        <v>4921</v>
      </c>
      <c r="L1661" s="65" t="str">
        <f t="shared" si="128"/>
        <v>Veracruz|Panama|-79,633331|8,883333|-6:00 America</v>
      </c>
      <c r="M1661" s="10" t="s">
        <v>5459</v>
      </c>
      <c r="N1661" s="10">
        <f t="shared" si="125"/>
        <v>0</v>
      </c>
      <c r="O1661" t="str">
        <f t="shared" si="129"/>
        <v/>
      </c>
      <c r="P1661" t="str">
        <f>IF(O1661=1,COUNTIF($O$2:O1661,1),"")</f>
        <v/>
      </c>
      <c r="Q1661" t="str">
        <f>IFERROR(INDEX($M$2:$M$2388,MATCH(ROWS($P$2:P1661),$P$2:$P$2388,0)),"")</f>
        <v/>
      </c>
    </row>
    <row r="1662" spans="1:17" ht="15" x14ac:dyDescent="0.25">
      <c r="A1662" s="10">
        <v>1715</v>
      </c>
      <c r="B1662" s="10" t="s">
        <v>5460</v>
      </c>
      <c r="C1662" s="880">
        <f t="shared" si="126"/>
        <v>-79.6999</v>
      </c>
      <c r="D1662" s="880">
        <f t="shared" si="127"/>
        <v>8.9332999999999991</v>
      </c>
      <c r="E1662" s="10">
        <v>-79.699996999999996</v>
      </c>
      <c r="F1662" s="10">
        <v>8.9333329999999993</v>
      </c>
      <c r="G1662" s="10">
        <v>-5</v>
      </c>
      <c r="H1662" s="10" t="s">
        <v>1873</v>
      </c>
      <c r="I1662" s="10" t="s">
        <v>5454</v>
      </c>
      <c r="J1662" s="10" t="s">
        <v>5453</v>
      </c>
      <c r="K1662" s="10" t="s">
        <v>5455</v>
      </c>
      <c r="L1662" s="65" t="str">
        <f t="shared" si="128"/>
        <v>Vista Alegre|Panama|-79,699997|8,933333|-5:00 America</v>
      </c>
      <c r="M1662" s="10" t="s">
        <v>5461</v>
      </c>
      <c r="N1662" s="10">
        <f t="shared" si="125"/>
        <v>0</v>
      </c>
      <c r="O1662" t="str">
        <f t="shared" si="129"/>
        <v/>
      </c>
      <c r="P1662" t="str">
        <f>IF(O1662=1,COUNTIF($O$2:O1662,1),"")</f>
        <v/>
      </c>
      <c r="Q1662" t="str">
        <f>IFERROR(INDEX($M$2:$M$2388,MATCH(ROWS($P$2:P1662),$P$2:$P$2388,0)),"")</f>
        <v/>
      </c>
    </row>
    <row r="1663" spans="1:17" ht="15" x14ac:dyDescent="0.25">
      <c r="A1663" s="10">
        <v>1714</v>
      </c>
      <c r="B1663" s="10" t="s">
        <v>5462</v>
      </c>
      <c r="C1663" s="880">
        <f t="shared" si="126"/>
        <v>-82.633300000000006</v>
      </c>
      <c r="D1663" s="880">
        <f t="shared" si="127"/>
        <v>8.7666000000000004</v>
      </c>
      <c r="E1663" s="10">
        <v>-82.633330999999998</v>
      </c>
      <c r="F1663" s="10">
        <v>8.7666660000000007</v>
      </c>
      <c r="G1663" s="10">
        <v>-5</v>
      </c>
      <c r="H1663" s="10" t="s">
        <v>1873</v>
      </c>
      <c r="I1663" s="10" t="s">
        <v>5454</v>
      </c>
      <c r="J1663" s="10" t="s">
        <v>5453</v>
      </c>
      <c r="K1663" s="10" t="s">
        <v>5455</v>
      </c>
      <c r="L1663" s="65" t="str">
        <f t="shared" si="128"/>
        <v>Volcan|Panama|-82,633331|8,766666|-5:00 America</v>
      </c>
      <c r="M1663" s="10" t="s">
        <v>5463</v>
      </c>
      <c r="N1663" s="10">
        <f t="shared" si="125"/>
        <v>0</v>
      </c>
      <c r="O1663" t="str">
        <f t="shared" si="129"/>
        <v/>
      </c>
      <c r="P1663" t="str">
        <f>IF(O1663=1,COUNTIF($O$2:O1663,1),"")</f>
        <v/>
      </c>
      <c r="Q1663" t="str">
        <f>IFERROR(INDEX($M$2:$M$2388,MATCH(ROWS($P$2:P1663),$P$2:$P$2388,0)),"")</f>
        <v/>
      </c>
    </row>
    <row r="1664" spans="1:17" ht="15" x14ac:dyDescent="0.25">
      <c r="A1664" s="10">
        <v>1742</v>
      </c>
      <c r="B1664" s="10" t="s">
        <v>5464</v>
      </c>
      <c r="C1664" s="880">
        <f t="shared" si="126"/>
        <v>147.1925</v>
      </c>
      <c r="D1664" s="880">
        <f t="shared" si="127"/>
        <v>-9.4647000000000006</v>
      </c>
      <c r="E1664" s="10">
        <v>147.19250500000001</v>
      </c>
      <c r="F1664" s="10">
        <v>-9.4647229999999993</v>
      </c>
      <c r="G1664" s="10">
        <v>10</v>
      </c>
      <c r="H1664" s="10" t="s">
        <v>1817</v>
      </c>
      <c r="I1664" s="10" t="s">
        <v>5465</v>
      </c>
      <c r="J1664" s="10" t="s">
        <v>5466</v>
      </c>
      <c r="K1664" s="10" t="s">
        <v>5467</v>
      </c>
      <c r="L1664" s="65" t="str">
        <f t="shared" si="128"/>
        <v>Port Moresby|Papua New Guinea|147,192505|-9,464723|+10:00 Pacific</v>
      </c>
      <c r="M1664" s="10" t="s">
        <v>5468</v>
      </c>
      <c r="N1664" s="10">
        <f t="shared" si="125"/>
        <v>0</v>
      </c>
      <c r="O1664" t="str">
        <f t="shared" si="129"/>
        <v/>
      </c>
      <c r="P1664" t="str">
        <f>IF(O1664=1,COUNTIF($O$2:O1664,1),"")</f>
        <v/>
      </c>
      <c r="Q1664" t="str">
        <f>IFERROR(INDEX($M$2:$M$2388,MATCH(ROWS($P$2:P1664),$P$2:$P$2388,0)),"")</f>
        <v/>
      </c>
    </row>
    <row r="1665" spans="1:17" ht="15" x14ac:dyDescent="0.25">
      <c r="A1665" s="10">
        <v>1741</v>
      </c>
      <c r="B1665" s="10" t="s">
        <v>5469</v>
      </c>
      <c r="C1665" s="880">
        <f t="shared" si="126"/>
        <v>141.30000000000001</v>
      </c>
      <c r="D1665" s="880">
        <f t="shared" si="127"/>
        <v>-2.6833</v>
      </c>
      <c r="E1665" s="10">
        <v>141.300003</v>
      </c>
      <c r="F1665" s="10">
        <v>-2.6833330000000002</v>
      </c>
      <c r="G1665" s="10">
        <v>10</v>
      </c>
      <c r="H1665" s="10" t="s">
        <v>1817</v>
      </c>
      <c r="I1665" s="10" t="s">
        <v>5465</v>
      </c>
      <c r="J1665" s="10" t="s">
        <v>5466</v>
      </c>
      <c r="K1665" s="10" t="s">
        <v>5467</v>
      </c>
      <c r="L1665" s="65" t="str">
        <f t="shared" si="128"/>
        <v>Vanimo|Papua New Guinea|141,300003|-2,683333|+10:00 Pacific</v>
      </c>
      <c r="M1665" s="10" t="s">
        <v>5470</v>
      </c>
      <c r="N1665" s="10">
        <f t="shared" si="125"/>
        <v>0</v>
      </c>
      <c r="O1665" t="str">
        <f t="shared" si="129"/>
        <v/>
      </c>
      <c r="P1665" t="str">
        <f>IF(O1665=1,COUNTIF($O$2:O1665,1),"")</f>
        <v/>
      </c>
      <c r="Q1665" t="str">
        <f>IFERROR(INDEX($M$2:$M$2388,MATCH(ROWS($P$2:P1665),$P$2:$P$2388,0)),"")</f>
        <v/>
      </c>
    </row>
    <row r="1666" spans="1:17" ht="15" x14ac:dyDescent="0.25">
      <c r="A1666" s="10">
        <v>1740</v>
      </c>
      <c r="B1666" s="10" t="s">
        <v>5471</v>
      </c>
      <c r="C1666" s="880">
        <f t="shared" si="126"/>
        <v>146.7166</v>
      </c>
      <c r="D1666" s="880">
        <f t="shared" si="127"/>
        <v>-7.3333000000000004</v>
      </c>
      <c r="E1666" s="10">
        <v>146.71665999999999</v>
      </c>
      <c r="F1666" s="10">
        <v>-7.3333329999999997</v>
      </c>
      <c r="G1666" s="10">
        <v>10</v>
      </c>
      <c r="H1666" s="10" t="s">
        <v>1817</v>
      </c>
      <c r="I1666" s="10" t="s">
        <v>5465</v>
      </c>
      <c r="J1666" s="10" t="s">
        <v>5466</v>
      </c>
      <c r="K1666" s="10" t="s">
        <v>5467</v>
      </c>
      <c r="L1666" s="65" t="str">
        <f t="shared" si="128"/>
        <v>Wau|Papua New Guinea|146,716660|-7,333333|+10:00 Pacific</v>
      </c>
      <c r="M1666" s="10" t="s">
        <v>5472</v>
      </c>
      <c r="N1666" s="10">
        <f t="shared" ref="N1666:N1729" si="130">--ISNUMBER(IFERROR(SEARCH($R$2,J1666,1),""))</f>
        <v>0</v>
      </c>
      <c r="O1666" t="str">
        <f t="shared" si="129"/>
        <v/>
      </c>
      <c r="P1666" t="str">
        <f>IF(O1666=1,COUNTIF($O$2:O1666,1),"")</f>
        <v/>
      </c>
      <c r="Q1666" t="str">
        <f>IFERROR(INDEX($M$2:$M$2388,MATCH(ROWS($P$2:P1666),$P$2:$P$2388,0)),"")</f>
        <v/>
      </c>
    </row>
    <row r="1667" spans="1:17" ht="15" x14ac:dyDescent="0.25">
      <c r="A1667" s="10">
        <v>1739</v>
      </c>
      <c r="B1667" s="10" t="s">
        <v>5473</v>
      </c>
      <c r="C1667" s="880">
        <f t="shared" ref="C1667:C1730" si="131">TRUNC(E1667,4)</f>
        <v>143.63329999999999</v>
      </c>
      <c r="D1667" s="880">
        <f t="shared" ref="D1667:D1730" si="132">TRUNC(F1667,4)</f>
        <v>-3.55</v>
      </c>
      <c r="E1667" s="10">
        <v>143.633331</v>
      </c>
      <c r="F1667" s="10">
        <v>-3.55</v>
      </c>
      <c r="G1667" s="10">
        <v>10</v>
      </c>
      <c r="H1667" s="10" t="s">
        <v>1817</v>
      </c>
      <c r="I1667" s="10" t="s">
        <v>5465</v>
      </c>
      <c r="J1667" s="10" t="s">
        <v>5466</v>
      </c>
      <c r="K1667" s="10" t="s">
        <v>5467</v>
      </c>
      <c r="L1667" s="65" t="str">
        <f t="shared" ref="L1667:L1730" si="133">MID(M1667,1,LEN(M1667)-(LEN(K1667)-SEARCH("/",K1667)+1))</f>
        <v>Wewak|Papua New Guinea|143,633331|-3,550000|+10:00 Pacific</v>
      </c>
      <c r="M1667" s="10" t="s">
        <v>5474</v>
      </c>
      <c r="N1667" s="10">
        <f t="shared" si="130"/>
        <v>0</v>
      </c>
      <c r="O1667" t="str">
        <f t="shared" ref="O1667:O1730" si="134">IF(N1667=0,"",--ISNUMBER(IFERROR(SEARCH($U$2,L1667,1),"")))</f>
        <v/>
      </c>
      <c r="P1667" t="str">
        <f>IF(O1667=1,COUNTIF($O$2:O1667,1),"")</f>
        <v/>
      </c>
      <c r="Q1667" t="str">
        <f>IFERROR(INDEX($M$2:$M$2388,MATCH(ROWS($P$2:P1667),$P$2:$P$2388,0)),"")</f>
        <v/>
      </c>
    </row>
    <row r="1668" spans="1:17" ht="15" x14ac:dyDescent="0.25">
      <c r="A1668" s="10">
        <v>1845</v>
      </c>
      <c r="B1668" s="10" t="s">
        <v>5475</v>
      </c>
      <c r="C1668" s="880">
        <f t="shared" si="131"/>
        <v>-57.666600000000003</v>
      </c>
      <c r="D1668" s="880">
        <f t="shared" si="132"/>
        <v>-25.2666</v>
      </c>
      <c r="E1668" s="10">
        <v>-57.666668000000001</v>
      </c>
      <c r="F1668" s="10">
        <v>-25.266666000000001</v>
      </c>
      <c r="G1668" s="10">
        <v>-3</v>
      </c>
      <c r="H1668" s="10" t="s">
        <v>1739</v>
      </c>
      <c r="I1668" s="10" t="s">
        <v>5476</v>
      </c>
      <c r="J1668" s="10" t="s">
        <v>5477</v>
      </c>
      <c r="K1668" s="10" t="s">
        <v>5478</v>
      </c>
      <c r="L1668" s="65" t="str">
        <f t="shared" si="133"/>
        <v>Asuncion|Paraguay|-57,666668|-25,266666|-3:00 America</v>
      </c>
      <c r="M1668" s="10" t="s">
        <v>5479</v>
      </c>
      <c r="N1668" s="10">
        <f t="shared" si="130"/>
        <v>0</v>
      </c>
      <c r="O1668" t="str">
        <f t="shared" si="134"/>
        <v/>
      </c>
      <c r="P1668" t="str">
        <f>IF(O1668=1,COUNTIF($O$2:O1668,1),"")</f>
        <v/>
      </c>
      <c r="Q1668" t="str">
        <f>IFERROR(INDEX($M$2:$M$2388,MATCH(ROWS($P$2:P1668),$P$2:$P$2388,0)),"")</f>
        <v/>
      </c>
    </row>
    <row r="1669" spans="1:17" ht="15" x14ac:dyDescent="0.25">
      <c r="A1669" s="10">
        <v>1844</v>
      </c>
      <c r="B1669" s="10" t="s">
        <v>1779</v>
      </c>
      <c r="C1669" s="880">
        <f t="shared" si="131"/>
        <v>-57.533299999999997</v>
      </c>
      <c r="D1669" s="880">
        <f t="shared" si="132"/>
        <v>-25.333300000000001</v>
      </c>
      <c r="E1669" s="10">
        <v>-57.533332999999999</v>
      </c>
      <c r="F1669" s="10">
        <v>-25.333334000000001</v>
      </c>
      <c r="G1669" s="10">
        <v>-3</v>
      </c>
      <c r="H1669" s="10" t="s">
        <v>1739</v>
      </c>
      <c r="I1669" s="10" t="s">
        <v>5476</v>
      </c>
      <c r="J1669" s="10" t="s">
        <v>5477</v>
      </c>
      <c r="K1669" s="10" t="s">
        <v>1747</v>
      </c>
      <c r="L1669" s="65" t="str">
        <f t="shared" si="133"/>
        <v>San Lorenzo|Paraguay|-57,533333|-25,333334|-3:00 America</v>
      </c>
      <c r="M1669" s="10" t="s">
        <v>5480</v>
      </c>
      <c r="N1669" s="10">
        <f t="shared" si="130"/>
        <v>0</v>
      </c>
      <c r="O1669" t="str">
        <f t="shared" si="134"/>
        <v/>
      </c>
      <c r="P1669" t="str">
        <f>IF(O1669=1,COUNTIF($O$2:O1669,1),"")</f>
        <v/>
      </c>
      <c r="Q1669" t="str">
        <f>IFERROR(INDEX($M$2:$M$2388,MATCH(ROWS($P$2:P1669),$P$2:$P$2388,0)),"")</f>
        <v/>
      </c>
    </row>
    <row r="1670" spans="1:17" ht="15" x14ac:dyDescent="0.25">
      <c r="A1670" s="10">
        <v>1843</v>
      </c>
      <c r="B1670" s="10" t="s">
        <v>2509</v>
      </c>
      <c r="C1670" s="880">
        <f t="shared" si="131"/>
        <v>-56.433300000000003</v>
      </c>
      <c r="D1670" s="880">
        <f t="shared" si="132"/>
        <v>-25.75</v>
      </c>
      <c r="E1670" s="10">
        <v>-56.433334000000002</v>
      </c>
      <c r="F1670" s="10">
        <v>-25.75</v>
      </c>
      <c r="G1670" s="10">
        <v>-3</v>
      </c>
      <c r="H1670" s="10" t="s">
        <v>1733</v>
      </c>
      <c r="I1670" s="10" t="s">
        <v>5476</v>
      </c>
      <c r="J1670" s="10" t="s">
        <v>5477</v>
      </c>
      <c r="K1670" s="10" t="s">
        <v>2491</v>
      </c>
      <c r="L1670" s="65" t="str">
        <f t="shared" si="133"/>
        <v>Villarrica|Paraguay|-56,433334|-25,750000|-4:00 America</v>
      </c>
      <c r="M1670" s="10" t="s">
        <v>5481</v>
      </c>
      <c r="N1670" s="10">
        <f t="shared" si="130"/>
        <v>0</v>
      </c>
      <c r="O1670" t="str">
        <f t="shared" si="134"/>
        <v/>
      </c>
      <c r="P1670" t="str">
        <f>IF(O1670=1,COUNTIF($O$2:O1670,1),"")</f>
        <v/>
      </c>
      <c r="Q1670" t="str">
        <f>IFERROR(INDEX($M$2:$M$2388,MATCH(ROWS($P$2:P1670),$P$2:$P$2388,0)),"")</f>
        <v/>
      </c>
    </row>
    <row r="1671" spans="1:17" ht="15" x14ac:dyDescent="0.25">
      <c r="A1671" s="10">
        <v>1842</v>
      </c>
      <c r="B1671" s="10" t="s">
        <v>5482</v>
      </c>
      <c r="C1671" s="880">
        <f t="shared" si="131"/>
        <v>-57.299900000000001</v>
      </c>
      <c r="D1671" s="880">
        <f t="shared" si="132"/>
        <v>-25.6</v>
      </c>
      <c r="E1671" s="10">
        <v>-57.299999</v>
      </c>
      <c r="F1671" s="10">
        <v>-25.6</v>
      </c>
      <c r="G1671" s="10">
        <v>-3</v>
      </c>
      <c r="H1671" s="10" t="s">
        <v>1739</v>
      </c>
      <c r="I1671" s="10" t="s">
        <v>5476</v>
      </c>
      <c r="J1671" s="10" t="s">
        <v>5477</v>
      </c>
      <c r="K1671" s="10" t="s">
        <v>5478</v>
      </c>
      <c r="L1671" s="65" t="str">
        <f t="shared" si="133"/>
        <v>Yaguaron|Paraguay|-57,299999|-25,600000|-3:00 America</v>
      </c>
      <c r="M1671" s="10" t="s">
        <v>5483</v>
      </c>
      <c r="N1671" s="10">
        <f t="shared" si="130"/>
        <v>0</v>
      </c>
      <c r="O1671" t="str">
        <f t="shared" si="134"/>
        <v/>
      </c>
      <c r="P1671" t="str">
        <f>IF(O1671=1,COUNTIF($O$2:O1671,1),"")</f>
        <v/>
      </c>
      <c r="Q1671" t="str">
        <f>IFERROR(INDEX($M$2:$M$2388,MATCH(ROWS($P$2:P1671),$P$2:$P$2388,0)),"")</f>
        <v/>
      </c>
    </row>
    <row r="1672" spans="1:17" ht="15" x14ac:dyDescent="0.25">
      <c r="A1672" s="10">
        <v>1841</v>
      </c>
      <c r="B1672" s="10" t="s">
        <v>5484</v>
      </c>
      <c r="C1672" s="880">
        <f t="shared" si="131"/>
        <v>-57.266599999999997</v>
      </c>
      <c r="D1672" s="880">
        <f t="shared" si="132"/>
        <v>-25.383299999999998</v>
      </c>
      <c r="E1672" s="10">
        <v>-57.266666000000001</v>
      </c>
      <c r="F1672" s="10">
        <v>-25.383333</v>
      </c>
      <c r="G1672" s="10">
        <v>-3</v>
      </c>
      <c r="H1672" s="10" t="s">
        <v>1739</v>
      </c>
      <c r="I1672" s="10" t="s">
        <v>5476</v>
      </c>
      <c r="J1672" s="10" t="s">
        <v>5477</v>
      </c>
      <c r="K1672" s="10" t="s">
        <v>5478</v>
      </c>
      <c r="L1672" s="65" t="str">
        <f t="shared" si="133"/>
        <v>Ypacarai|Paraguay|-57,266666|-25,383333|-3:00 America</v>
      </c>
      <c r="M1672" s="10" t="s">
        <v>5485</v>
      </c>
      <c r="N1672" s="10">
        <f t="shared" si="130"/>
        <v>0</v>
      </c>
      <c r="O1672" t="str">
        <f t="shared" si="134"/>
        <v/>
      </c>
      <c r="P1672" t="str">
        <f>IF(O1672=1,COUNTIF($O$2:O1672,1),"")</f>
        <v/>
      </c>
      <c r="Q1672" t="str">
        <f>IFERROR(INDEX($M$2:$M$2388,MATCH(ROWS($P$2:P1672),$P$2:$P$2388,0)),"")</f>
        <v/>
      </c>
    </row>
    <row r="1673" spans="1:17" ht="15" x14ac:dyDescent="0.25">
      <c r="A1673" s="10">
        <v>1735</v>
      </c>
      <c r="B1673" s="10" t="s">
        <v>5486</v>
      </c>
      <c r="C1673" s="880">
        <f t="shared" si="131"/>
        <v>-71.534999999999997</v>
      </c>
      <c r="D1673" s="880">
        <f t="shared" si="132"/>
        <v>-16.398800000000001</v>
      </c>
      <c r="E1673" s="10">
        <v>-71.535004000000001</v>
      </c>
      <c r="F1673" s="10">
        <v>-16.398890000000002</v>
      </c>
      <c r="G1673" s="10">
        <v>-5</v>
      </c>
      <c r="H1673" s="10" t="s">
        <v>1873</v>
      </c>
      <c r="I1673" s="10" t="s">
        <v>5487</v>
      </c>
      <c r="J1673" s="10" t="s">
        <v>5488</v>
      </c>
      <c r="K1673" s="10" t="s">
        <v>5489</v>
      </c>
      <c r="L1673" s="65" t="str">
        <f t="shared" si="133"/>
        <v>Arequipa|Peru|-71,535004|-16,398890|-5:00 America</v>
      </c>
      <c r="M1673" s="10" t="s">
        <v>5490</v>
      </c>
      <c r="N1673" s="10">
        <f t="shared" si="130"/>
        <v>0</v>
      </c>
      <c r="O1673" t="str">
        <f t="shared" si="134"/>
        <v/>
      </c>
      <c r="P1673" t="str">
        <f>IF(O1673=1,COUNTIF($O$2:O1673,1),"")</f>
        <v/>
      </c>
      <c r="Q1673" t="str">
        <f>IFERROR(INDEX($M$2:$M$2388,MATCH(ROWS($P$2:P1673),$P$2:$P$2388,0)),"")</f>
        <v/>
      </c>
    </row>
    <row r="1674" spans="1:17" ht="15" x14ac:dyDescent="0.25">
      <c r="A1674" s="10">
        <v>1734</v>
      </c>
      <c r="B1674" s="10" t="s">
        <v>5491</v>
      </c>
      <c r="C1674" s="880">
        <f t="shared" si="131"/>
        <v>-77.150000000000006</v>
      </c>
      <c r="D1674" s="880">
        <f t="shared" si="132"/>
        <v>-12.066599999999999</v>
      </c>
      <c r="E1674" s="10">
        <v>-77.150002000000001</v>
      </c>
      <c r="F1674" s="10">
        <v>-12.066667000000001</v>
      </c>
      <c r="G1674" s="10">
        <v>-5</v>
      </c>
      <c r="H1674" s="10" t="s">
        <v>1873</v>
      </c>
      <c r="I1674" s="10" t="s">
        <v>5487</v>
      </c>
      <c r="J1674" s="10" t="s">
        <v>5488</v>
      </c>
      <c r="K1674" s="10" t="s">
        <v>5489</v>
      </c>
      <c r="L1674" s="65" t="str">
        <f t="shared" si="133"/>
        <v>Callao|Peru|-77,150002|-12,066667|-5:00 America</v>
      </c>
      <c r="M1674" s="10" t="s">
        <v>5492</v>
      </c>
      <c r="N1674" s="10">
        <f t="shared" si="130"/>
        <v>0</v>
      </c>
      <c r="O1674" t="str">
        <f t="shared" si="134"/>
        <v/>
      </c>
      <c r="P1674" t="str">
        <f>IF(O1674=1,COUNTIF($O$2:O1674,1),"")</f>
        <v/>
      </c>
      <c r="Q1674" t="str">
        <f>IFERROR(INDEX($M$2:$M$2388,MATCH(ROWS($P$2:P1674),$P$2:$P$2388,0)),"")</f>
        <v/>
      </c>
    </row>
    <row r="1675" spans="1:17" ht="15" x14ac:dyDescent="0.25">
      <c r="A1675" s="10">
        <v>1727</v>
      </c>
      <c r="B1675" s="10" t="s">
        <v>5493</v>
      </c>
      <c r="C1675" s="880">
        <f t="shared" si="131"/>
        <v>-79.8416</v>
      </c>
      <c r="D1675" s="880">
        <f t="shared" si="132"/>
        <v>-6.7736000000000001</v>
      </c>
      <c r="E1675" s="10">
        <v>-79.841667000000001</v>
      </c>
      <c r="F1675" s="10">
        <v>-6.7736109999999998</v>
      </c>
      <c r="G1675" s="10">
        <v>-5</v>
      </c>
      <c r="H1675" s="10" t="s">
        <v>1873</v>
      </c>
      <c r="I1675" s="10" t="s">
        <v>5487</v>
      </c>
      <c r="J1675" s="10" t="s">
        <v>5488</v>
      </c>
      <c r="K1675" s="10" t="s">
        <v>5489</v>
      </c>
      <c r="L1675" s="65" t="str">
        <f t="shared" si="133"/>
        <v>Chiclayo|Peru|-79,841667|-6,773611|-5:00 America</v>
      </c>
      <c r="M1675" s="10" t="s">
        <v>5494</v>
      </c>
      <c r="N1675" s="10">
        <f t="shared" si="130"/>
        <v>0</v>
      </c>
      <c r="O1675" t="str">
        <f t="shared" si="134"/>
        <v/>
      </c>
      <c r="P1675" t="str">
        <f>IF(O1675=1,COUNTIF($O$2:O1675,1),"")</f>
        <v/>
      </c>
      <c r="Q1675" t="str">
        <f>IFERROR(INDEX($M$2:$M$2388,MATCH(ROWS($P$2:P1675),$P$2:$P$2388,0)),"")</f>
        <v/>
      </c>
    </row>
    <row r="1676" spans="1:17" ht="15" x14ac:dyDescent="0.25">
      <c r="A1676" s="10">
        <v>1726</v>
      </c>
      <c r="B1676" s="10" t="s">
        <v>5495</v>
      </c>
      <c r="C1676" s="880">
        <f t="shared" si="131"/>
        <v>-78.578299999999999</v>
      </c>
      <c r="D1676" s="880">
        <f t="shared" si="132"/>
        <v>-9.0852000000000004</v>
      </c>
      <c r="E1676" s="10">
        <v>-78.578331000000006</v>
      </c>
      <c r="F1676" s="10">
        <v>-9.0852780000000006</v>
      </c>
      <c r="G1676" s="10">
        <v>-5</v>
      </c>
      <c r="H1676" s="10" t="s">
        <v>1873</v>
      </c>
      <c r="I1676" s="10" t="s">
        <v>5487</v>
      </c>
      <c r="J1676" s="10" t="s">
        <v>5488</v>
      </c>
      <c r="K1676" s="10" t="s">
        <v>5489</v>
      </c>
      <c r="L1676" s="65" t="str">
        <f t="shared" si="133"/>
        <v>Chimbote|Peru|-78,578331|-9,085278|-5:00 America</v>
      </c>
      <c r="M1676" s="10" t="s">
        <v>5496</v>
      </c>
      <c r="N1676" s="10">
        <f t="shared" si="130"/>
        <v>0</v>
      </c>
      <c r="O1676" t="str">
        <f t="shared" si="134"/>
        <v/>
      </c>
      <c r="P1676" t="str">
        <f>IF(O1676=1,COUNTIF($O$2:O1676,1),"")</f>
        <v/>
      </c>
      <c r="Q1676" t="str">
        <f>IFERROR(INDEX($M$2:$M$2388,MATCH(ROWS($P$2:P1676),$P$2:$P$2388,0)),"")</f>
        <v/>
      </c>
    </row>
    <row r="1677" spans="1:17" ht="15" x14ac:dyDescent="0.25">
      <c r="A1677" s="10">
        <v>1733</v>
      </c>
      <c r="B1677" s="10" t="s">
        <v>5497</v>
      </c>
      <c r="C1677" s="880">
        <f t="shared" si="131"/>
        <v>-71.977999999999994</v>
      </c>
      <c r="D1677" s="880">
        <f t="shared" si="132"/>
        <v>-13.5183</v>
      </c>
      <c r="E1677" s="10">
        <v>-71.978058000000004</v>
      </c>
      <c r="F1677" s="10">
        <v>-13.518333</v>
      </c>
      <c r="G1677" s="10">
        <v>-5</v>
      </c>
      <c r="H1677" s="10" t="s">
        <v>1873</v>
      </c>
      <c r="I1677" s="10" t="s">
        <v>5487</v>
      </c>
      <c r="J1677" s="10" t="s">
        <v>5488</v>
      </c>
      <c r="K1677" s="10" t="s">
        <v>5489</v>
      </c>
      <c r="L1677" s="65" t="str">
        <f t="shared" si="133"/>
        <v>Cusco|Peru|-71,978058|-13,518333|-5:00 America</v>
      </c>
      <c r="M1677" s="10" t="s">
        <v>5498</v>
      </c>
      <c r="N1677" s="10">
        <f t="shared" si="130"/>
        <v>0</v>
      </c>
      <c r="O1677" t="str">
        <f t="shared" si="134"/>
        <v/>
      </c>
      <c r="P1677" t="str">
        <f>IF(O1677=1,COUNTIF($O$2:O1677,1),"")</f>
        <v/>
      </c>
      <c r="Q1677" t="str">
        <f>IFERROR(INDEX($M$2:$M$2388,MATCH(ROWS($P$2:P1677),$P$2:$P$2388,0)),"")</f>
        <v/>
      </c>
    </row>
    <row r="1678" spans="1:17" ht="15" x14ac:dyDescent="0.25">
      <c r="A1678" s="10">
        <v>1732</v>
      </c>
      <c r="B1678" s="10" t="s">
        <v>5499</v>
      </c>
      <c r="C1678" s="880">
        <f t="shared" si="131"/>
        <v>-75.2333</v>
      </c>
      <c r="D1678" s="880">
        <f t="shared" si="132"/>
        <v>-12.066599999999999</v>
      </c>
      <c r="E1678" s="10">
        <v>-75.233329999999995</v>
      </c>
      <c r="F1678" s="10">
        <v>-12.066667000000001</v>
      </c>
      <c r="G1678" s="10">
        <v>-5</v>
      </c>
      <c r="H1678" s="10" t="s">
        <v>1873</v>
      </c>
      <c r="I1678" s="10" t="s">
        <v>5487</v>
      </c>
      <c r="J1678" s="10" t="s">
        <v>5488</v>
      </c>
      <c r="K1678" s="10" t="s">
        <v>5489</v>
      </c>
      <c r="L1678" s="65" t="str">
        <f t="shared" si="133"/>
        <v>Huancayo|Peru|-75,233330|-12,066667|-5:00 America</v>
      </c>
      <c r="M1678" s="10" t="s">
        <v>5500</v>
      </c>
      <c r="N1678" s="10">
        <f t="shared" si="130"/>
        <v>0</v>
      </c>
      <c r="O1678" t="str">
        <f t="shared" si="134"/>
        <v/>
      </c>
      <c r="P1678" t="str">
        <f>IF(O1678=1,COUNTIF($O$2:O1678,1),"")</f>
        <v/>
      </c>
      <c r="Q1678" t="str">
        <f>IFERROR(INDEX($M$2:$M$2388,MATCH(ROWS($P$2:P1678),$P$2:$P$2388,0)),"")</f>
        <v/>
      </c>
    </row>
    <row r="1679" spans="1:17" ht="15" x14ac:dyDescent="0.25">
      <c r="A1679" s="10">
        <v>1731</v>
      </c>
      <c r="B1679" s="10" t="s">
        <v>5501</v>
      </c>
      <c r="C1679" s="880">
        <f t="shared" si="131"/>
        <v>-75.725499999999997</v>
      </c>
      <c r="D1679" s="880">
        <f t="shared" si="132"/>
        <v>-14.068</v>
      </c>
      <c r="E1679" s="10">
        <v>-75.725555</v>
      </c>
      <c r="F1679" s="10">
        <v>-14.068054999999999</v>
      </c>
      <c r="G1679" s="10">
        <v>-5</v>
      </c>
      <c r="H1679" s="10" t="s">
        <v>1873</v>
      </c>
      <c r="I1679" s="10" t="s">
        <v>5487</v>
      </c>
      <c r="J1679" s="10" t="s">
        <v>5488</v>
      </c>
      <c r="K1679" s="10" t="s">
        <v>5489</v>
      </c>
      <c r="L1679" s="65" t="str">
        <f t="shared" si="133"/>
        <v>Ica|Peru|-75,725555|-14,068055|-5:00 America</v>
      </c>
      <c r="M1679" s="10" t="s">
        <v>5502</v>
      </c>
      <c r="N1679" s="10">
        <f t="shared" si="130"/>
        <v>0</v>
      </c>
      <c r="O1679" t="str">
        <f t="shared" si="134"/>
        <v/>
      </c>
      <c r="P1679" t="str">
        <f>IF(O1679=1,COUNTIF($O$2:O1679,1),"")</f>
        <v/>
      </c>
      <c r="Q1679" t="str">
        <f>IFERROR(INDEX($M$2:$M$2388,MATCH(ROWS($P$2:P1679),$P$2:$P$2388,0)),"")</f>
        <v/>
      </c>
    </row>
    <row r="1680" spans="1:17" ht="15" x14ac:dyDescent="0.25">
      <c r="A1680" s="10">
        <v>1725</v>
      </c>
      <c r="B1680" s="10" t="s">
        <v>5503</v>
      </c>
      <c r="C1680" s="880">
        <f t="shared" si="131"/>
        <v>-73.247200000000007</v>
      </c>
      <c r="D1680" s="880">
        <f t="shared" si="132"/>
        <v>-3.7480000000000002</v>
      </c>
      <c r="E1680" s="10">
        <v>-73.247223000000005</v>
      </c>
      <c r="F1680" s="10">
        <v>-3.7480560000000001</v>
      </c>
      <c r="G1680" s="10">
        <v>-5</v>
      </c>
      <c r="H1680" s="10" t="s">
        <v>1873</v>
      </c>
      <c r="I1680" s="10" t="s">
        <v>5487</v>
      </c>
      <c r="J1680" s="10" t="s">
        <v>5488</v>
      </c>
      <c r="K1680" s="10" t="s">
        <v>5489</v>
      </c>
      <c r="L1680" s="65" t="str">
        <f t="shared" si="133"/>
        <v>Iquitos|Peru|-73,247223|-3,748056|-5:00 America</v>
      </c>
      <c r="M1680" s="10" t="s">
        <v>5504</v>
      </c>
      <c r="N1680" s="10">
        <f t="shared" si="130"/>
        <v>0</v>
      </c>
      <c r="O1680" t="str">
        <f t="shared" si="134"/>
        <v/>
      </c>
      <c r="P1680" t="str">
        <f>IF(O1680=1,COUNTIF($O$2:O1680,1),"")</f>
        <v/>
      </c>
      <c r="Q1680" t="str">
        <f>IFERROR(INDEX($M$2:$M$2388,MATCH(ROWS($P$2:P1680),$P$2:$P$2388,0)),"")</f>
        <v/>
      </c>
    </row>
    <row r="1681" spans="1:17" ht="15" x14ac:dyDescent="0.25">
      <c r="A1681" s="10">
        <v>1730</v>
      </c>
      <c r="B1681" s="10" t="s">
        <v>5505</v>
      </c>
      <c r="C1681" s="880">
        <f t="shared" si="131"/>
        <v>-70.133300000000006</v>
      </c>
      <c r="D1681" s="880">
        <f t="shared" si="132"/>
        <v>-15.5</v>
      </c>
      <c r="E1681" s="10">
        <v>-70.133330999999998</v>
      </c>
      <c r="F1681" s="10">
        <v>-15.5</v>
      </c>
      <c r="G1681" s="10">
        <v>-5</v>
      </c>
      <c r="H1681" s="10" t="s">
        <v>1873</v>
      </c>
      <c r="I1681" s="10" t="s">
        <v>5487</v>
      </c>
      <c r="J1681" s="10" t="s">
        <v>5488</v>
      </c>
      <c r="K1681" s="10" t="s">
        <v>5489</v>
      </c>
      <c r="L1681" s="65" t="str">
        <f t="shared" si="133"/>
        <v>Juliaca|Peru|-70,133331|-15,500000|-5:00 America</v>
      </c>
      <c r="M1681" s="10" t="s">
        <v>5506</v>
      </c>
      <c r="N1681" s="10">
        <f t="shared" si="130"/>
        <v>0</v>
      </c>
      <c r="O1681" t="str">
        <f t="shared" si="134"/>
        <v/>
      </c>
      <c r="P1681" t="str">
        <f>IF(O1681=1,COUNTIF($O$2:O1681,1),"")</f>
        <v/>
      </c>
      <c r="Q1681" t="str">
        <f>IFERROR(INDEX($M$2:$M$2388,MATCH(ROWS($P$2:P1681),$P$2:$P$2388,0)),"")</f>
        <v/>
      </c>
    </row>
    <row r="1682" spans="1:17" ht="15" x14ac:dyDescent="0.25">
      <c r="A1682" s="10">
        <v>1729</v>
      </c>
      <c r="B1682" s="10" t="s">
        <v>5507</v>
      </c>
      <c r="C1682" s="880">
        <f t="shared" si="131"/>
        <v>-77.05</v>
      </c>
      <c r="D1682" s="880">
        <f t="shared" si="132"/>
        <v>-12.05</v>
      </c>
      <c r="E1682" s="10">
        <v>-77.050003000000004</v>
      </c>
      <c r="F1682" s="10">
        <v>-12.05</v>
      </c>
      <c r="G1682" s="10">
        <v>-5</v>
      </c>
      <c r="H1682" s="10" t="s">
        <v>1873</v>
      </c>
      <c r="I1682" s="10" t="s">
        <v>5487</v>
      </c>
      <c r="J1682" s="10" t="s">
        <v>5488</v>
      </c>
      <c r="K1682" s="10" t="s">
        <v>5489</v>
      </c>
      <c r="L1682" s="65" t="str">
        <f t="shared" si="133"/>
        <v>Lima|Peru|-77,050003|-12,050000|-5:00 America</v>
      </c>
      <c r="M1682" s="10" t="s">
        <v>5508</v>
      </c>
      <c r="N1682" s="10">
        <f t="shared" si="130"/>
        <v>0</v>
      </c>
      <c r="O1682" t="str">
        <f t="shared" si="134"/>
        <v/>
      </c>
      <c r="P1682" t="str">
        <f>IF(O1682=1,COUNTIF($O$2:O1682,1),"")</f>
        <v/>
      </c>
      <c r="Q1682" t="str">
        <f>IFERROR(INDEX($M$2:$M$2388,MATCH(ROWS($P$2:P1682),$P$2:$P$2388,0)),"")</f>
        <v/>
      </c>
    </row>
    <row r="1683" spans="1:17" ht="15" x14ac:dyDescent="0.25">
      <c r="A1683" s="10">
        <v>1724</v>
      </c>
      <c r="B1683" s="10" t="s">
        <v>5509</v>
      </c>
      <c r="C1683" s="880">
        <f t="shared" si="131"/>
        <v>-80.633300000000006</v>
      </c>
      <c r="D1683" s="880">
        <f t="shared" si="132"/>
        <v>-5.2</v>
      </c>
      <c r="E1683" s="10">
        <v>-80.633330999999998</v>
      </c>
      <c r="F1683" s="10">
        <v>-5.2</v>
      </c>
      <c r="G1683" s="10">
        <v>-5</v>
      </c>
      <c r="H1683" s="10" t="s">
        <v>1873</v>
      </c>
      <c r="I1683" s="10" t="s">
        <v>5487</v>
      </c>
      <c r="J1683" s="10" t="s">
        <v>5488</v>
      </c>
      <c r="K1683" s="10" t="s">
        <v>5489</v>
      </c>
      <c r="L1683" s="65" t="str">
        <f t="shared" si="133"/>
        <v>Piura|Peru|-80,633331|-5,200000|-5:00 America</v>
      </c>
      <c r="M1683" s="10" t="s">
        <v>5510</v>
      </c>
      <c r="N1683" s="10">
        <f t="shared" si="130"/>
        <v>0</v>
      </c>
      <c r="O1683" t="str">
        <f t="shared" si="134"/>
        <v/>
      </c>
      <c r="P1683" t="str">
        <f>IF(O1683=1,COUNTIF($O$2:O1683,1),"")</f>
        <v/>
      </c>
      <c r="Q1683" t="str">
        <f>IFERROR(INDEX($M$2:$M$2388,MATCH(ROWS($P$2:P1683),$P$2:$P$2388,0)),"")</f>
        <v/>
      </c>
    </row>
    <row r="1684" spans="1:17" ht="15" x14ac:dyDescent="0.25">
      <c r="A1684" s="10">
        <v>1723</v>
      </c>
      <c r="B1684" s="10" t="s">
        <v>5511</v>
      </c>
      <c r="C1684" s="880">
        <f t="shared" si="131"/>
        <v>-74.553799999999995</v>
      </c>
      <c r="D1684" s="880">
        <f t="shared" si="132"/>
        <v>-8.3790999999999993</v>
      </c>
      <c r="E1684" s="10">
        <v>-74.553864000000004</v>
      </c>
      <c r="F1684" s="10">
        <v>-8.3791480000000007</v>
      </c>
      <c r="G1684" s="10">
        <v>-5</v>
      </c>
      <c r="H1684" s="10" t="s">
        <v>1873</v>
      </c>
      <c r="I1684" s="10" t="s">
        <v>5487</v>
      </c>
      <c r="J1684" s="10" t="s">
        <v>5488</v>
      </c>
      <c r="K1684" s="10" t="s">
        <v>5489</v>
      </c>
      <c r="L1684" s="65" t="str">
        <f t="shared" si="133"/>
        <v>Pucallpa|Peru|-74,553864|-8,379148|-5:00 America</v>
      </c>
      <c r="M1684" s="10" t="s">
        <v>5512</v>
      </c>
      <c r="N1684" s="10">
        <f t="shared" si="130"/>
        <v>0</v>
      </c>
      <c r="O1684" t="str">
        <f t="shared" si="134"/>
        <v/>
      </c>
      <c r="P1684" t="str">
        <f>IF(O1684=1,COUNTIF($O$2:O1684,1),"")</f>
        <v/>
      </c>
      <c r="Q1684" t="str">
        <f>IFERROR(INDEX($M$2:$M$2388,MATCH(ROWS($P$2:P1684),$P$2:$P$2388,0)),"")</f>
        <v/>
      </c>
    </row>
    <row r="1685" spans="1:17" ht="15" x14ac:dyDescent="0.25">
      <c r="A1685" s="10">
        <v>1728</v>
      </c>
      <c r="B1685" s="10" t="s">
        <v>5513</v>
      </c>
      <c r="C1685" s="880">
        <f t="shared" si="131"/>
        <v>-70.2483</v>
      </c>
      <c r="D1685" s="880">
        <f t="shared" si="132"/>
        <v>-18.005500000000001</v>
      </c>
      <c r="E1685" s="10">
        <v>-70.248337000000006</v>
      </c>
      <c r="F1685" s="10">
        <v>-18.005555999999999</v>
      </c>
      <c r="G1685" s="10">
        <v>-5</v>
      </c>
      <c r="H1685" s="10" t="s">
        <v>1873</v>
      </c>
      <c r="I1685" s="10" t="s">
        <v>5487</v>
      </c>
      <c r="J1685" s="10" t="s">
        <v>5488</v>
      </c>
      <c r="K1685" s="10" t="s">
        <v>5489</v>
      </c>
      <c r="L1685" s="65" t="str">
        <f t="shared" si="133"/>
        <v>Tacna|Peru|-70,248337|-18,005556|-5:00 America</v>
      </c>
      <c r="M1685" s="10" t="s">
        <v>5514</v>
      </c>
      <c r="N1685" s="10">
        <f t="shared" si="130"/>
        <v>0</v>
      </c>
      <c r="O1685" t="str">
        <f t="shared" si="134"/>
        <v/>
      </c>
      <c r="P1685" t="str">
        <f>IF(O1685=1,COUNTIF($O$2:O1685,1),"")</f>
        <v/>
      </c>
      <c r="Q1685" t="str">
        <f>IFERROR(INDEX($M$2:$M$2388,MATCH(ROWS($P$2:P1685),$P$2:$P$2388,0)),"")</f>
        <v/>
      </c>
    </row>
    <row r="1686" spans="1:17" ht="15" x14ac:dyDescent="0.25">
      <c r="A1686" s="10">
        <v>1722</v>
      </c>
      <c r="B1686" s="10" t="s">
        <v>5515</v>
      </c>
      <c r="C1686" s="880">
        <f t="shared" si="131"/>
        <v>-79.029899999999998</v>
      </c>
      <c r="D1686" s="880">
        <f t="shared" si="132"/>
        <v>-8.1158999999999999</v>
      </c>
      <c r="E1686" s="10">
        <v>-79.029976000000005</v>
      </c>
      <c r="F1686" s="10">
        <v>-8.1159940000000006</v>
      </c>
      <c r="G1686" s="10">
        <v>-5</v>
      </c>
      <c r="H1686" s="10" t="s">
        <v>1873</v>
      </c>
      <c r="I1686" s="10" t="s">
        <v>5487</v>
      </c>
      <c r="J1686" s="10" t="s">
        <v>5488</v>
      </c>
      <c r="K1686" s="10" t="s">
        <v>5489</v>
      </c>
      <c r="L1686" s="65" t="str">
        <f t="shared" si="133"/>
        <v>Trujillo|Peru|-79,029976|-8,115994|-5:00 America</v>
      </c>
      <c r="M1686" s="10" t="s">
        <v>5516</v>
      </c>
      <c r="N1686" s="10">
        <f t="shared" si="130"/>
        <v>0</v>
      </c>
      <c r="O1686" t="str">
        <f t="shared" si="134"/>
        <v/>
      </c>
      <c r="P1686" t="str">
        <f>IF(O1686=1,COUNTIF($O$2:O1686,1),"")</f>
        <v/>
      </c>
      <c r="Q1686" t="str">
        <f>IFERROR(INDEX($M$2:$M$2388,MATCH(ROWS($P$2:P1686),$P$2:$P$2388,0)),"")</f>
        <v/>
      </c>
    </row>
    <row r="1687" spans="1:17" ht="15" x14ac:dyDescent="0.25">
      <c r="A1687" s="10">
        <v>1721</v>
      </c>
      <c r="B1687" s="10" t="s">
        <v>5517</v>
      </c>
      <c r="C1687" s="880">
        <f t="shared" si="131"/>
        <v>-77.743600000000001</v>
      </c>
      <c r="D1687" s="880">
        <f t="shared" si="132"/>
        <v>-9.1382999999999992</v>
      </c>
      <c r="E1687" s="10">
        <v>-77.743613999999994</v>
      </c>
      <c r="F1687" s="10">
        <v>-9.1383329999999994</v>
      </c>
      <c r="G1687" s="10">
        <v>-5</v>
      </c>
      <c r="H1687" s="10" t="s">
        <v>1873</v>
      </c>
      <c r="I1687" s="10" t="s">
        <v>5487</v>
      </c>
      <c r="J1687" s="10" t="s">
        <v>5488</v>
      </c>
      <c r="K1687" s="10" t="s">
        <v>5489</v>
      </c>
      <c r="L1687" s="65" t="str">
        <f t="shared" si="133"/>
        <v>Yungay|Peru|-77,743614|-9,138333|-5:00 America</v>
      </c>
      <c r="M1687" s="10" t="s">
        <v>5518</v>
      </c>
      <c r="N1687" s="10">
        <f t="shared" si="130"/>
        <v>0</v>
      </c>
      <c r="O1687" t="str">
        <f t="shared" si="134"/>
        <v/>
      </c>
      <c r="P1687" t="str">
        <f>IF(O1687=1,COUNTIF($O$2:O1687,1),"")</f>
        <v/>
      </c>
      <c r="Q1687" t="str">
        <f>IFERROR(INDEX($M$2:$M$2388,MATCH(ROWS($P$2:P1687),$P$2:$P$2388,0)),"")</f>
        <v/>
      </c>
    </row>
    <row r="1688" spans="1:17" ht="15" x14ac:dyDescent="0.25">
      <c r="A1688" s="10">
        <v>1720</v>
      </c>
      <c r="B1688" s="10" t="s">
        <v>5519</v>
      </c>
      <c r="C1688" s="880">
        <f t="shared" si="131"/>
        <v>-76.083299999999994</v>
      </c>
      <c r="D1688" s="880">
        <f t="shared" si="132"/>
        <v>-5.9</v>
      </c>
      <c r="E1688" s="10">
        <v>-76.083336000000003</v>
      </c>
      <c r="F1688" s="10">
        <v>-5.9</v>
      </c>
      <c r="G1688" s="10">
        <v>-5</v>
      </c>
      <c r="H1688" s="10" t="s">
        <v>1873</v>
      </c>
      <c r="I1688" s="10" t="s">
        <v>5487</v>
      </c>
      <c r="J1688" s="10" t="s">
        <v>5488</v>
      </c>
      <c r="K1688" s="10" t="s">
        <v>5489</v>
      </c>
      <c r="L1688" s="65" t="str">
        <f t="shared" si="133"/>
        <v>Yurimaguas|Peru|-76,083336|-5,900000|-5:00 America</v>
      </c>
      <c r="M1688" s="10" t="s">
        <v>5520</v>
      </c>
      <c r="N1688" s="10">
        <f t="shared" si="130"/>
        <v>0</v>
      </c>
      <c r="O1688" t="str">
        <f t="shared" si="134"/>
        <v/>
      </c>
      <c r="P1688" t="str">
        <f>IF(O1688=1,COUNTIF($O$2:O1688,1),"")</f>
        <v/>
      </c>
      <c r="Q1688" t="str">
        <f>IFERROR(INDEX($M$2:$M$2388,MATCH(ROWS($P$2:P1688),$P$2:$P$2388,0)),"")</f>
        <v/>
      </c>
    </row>
    <row r="1689" spans="1:17" ht="15" x14ac:dyDescent="0.25">
      <c r="A1689" s="10">
        <v>1719</v>
      </c>
      <c r="B1689" s="10" t="s">
        <v>5521</v>
      </c>
      <c r="C1689" s="880">
        <f t="shared" si="131"/>
        <v>-80.666600000000003</v>
      </c>
      <c r="D1689" s="880">
        <f t="shared" si="132"/>
        <v>-3.6665999999999999</v>
      </c>
      <c r="E1689" s="10">
        <v>-80.666663999999997</v>
      </c>
      <c r="F1689" s="10">
        <v>-3.6666669999999999</v>
      </c>
      <c r="G1689" s="10">
        <v>-5</v>
      </c>
      <c r="H1689" s="10" t="s">
        <v>1873</v>
      </c>
      <c r="I1689" s="10" t="s">
        <v>5487</v>
      </c>
      <c r="J1689" s="10" t="s">
        <v>5488</v>
      </c>
      <c r="K1689" s="10" t="s">
        <v>5489</v>
      </c>
      <c r="L1689" s="65" t="str">
        <f t="shared" si="133"/>
        <v>Zorritos|Peru|-80,666664|-3,666667|-5:00 America</v>
      </c>
      <c r="M1689" s="10" t="s">
        <v>5522</v>
      </c>
      <c r="N1689" s="10">
        <f t="shared" si="130"/>
        <v>0</v>
      </c>
      <c r="O1689" t="str">
        <f t="shared" si="134"/>
        <v/>
      </c>
      <c r="P1689" t="str">
        <f>IF(O1689=1,COUNTIF($O$2:O1689,1),"")</f>
        <v/>
      </c>
      <c r="Q1689" t="str">
        <f>IFERROR(INDEX($M$2:$M$2388,MATCH(ROWS($P$2:P1689),$P$2:$P$2388,0)),"")</f>
        <v/>
      </c>
    </row>
    <row r="1690" spans="1:17" ht="15" x14ac:dyDescent="0.25">
      <c r="A1690" s="10">
        <v>1775</v>
      </c>
      <c r="B1690" s="10" t="s">
        <v>5523</v>
      </c>
      <c r="C1690" s="880">
        <f t="shared" si="131"/>
        <v>121.1752</v>
      </c>
      <c r="D1690" s="880">
        <f t="shared" si="132"/>
        <v>14.5863</v>
      </c>
      <c r="E1690" s="10">
        <v>121.17527800000001</v>
      </c>
      <c r="F1690" s="10">
        <v>14.586389</v>
      </c>
      <c r="G1690" s="10">
        <v>8</v>
      </c>
      <c r="H1690" s="10" t="s">
        <v>1831</v>
      </c>
      <c r="I1690" s="10" t="s">
        <v>5524</v>
      </c>
      <c r="J1690" s="10" t="s">
        <v>5525</v>
      </c>
      <c r="K1690" s="10" t="s">
        <v>5526</v>
      </c>
      <c r="L1690" s="65" t="str">
        <f t="shared" si="133"/>
        <v>Antipolo|Philippines|121,175278|14,586389|+8:00 Asia</v>
      </c>
      <c r="M1690" s="10" t="s">
        <v>5527</v>
      </c>
      <c r="N1690" s="10">
        <f t="shared" si="130"/>
        <v>0</v>
      </c>
      <c r="O1690" t="str">
        <f t="shared" si="134"/>
        <v/>
      </c>
      <c r="P1690" t="str">
        <f>IF(O1690=1,COUNTIF($O$2:O1690,1),"")</f>
        <v/>
      </c>
      <c r="Q1690" t="str">
        <f>IFERROR(INDEX($M$2:$M$2388,MATCH(ROWS($P$2:P1690),$P$2:$P$2388,0)),"")</f>
        <v/>
      </c>
    </row>
    <row r="1691" spans="1:17" ht="15" x14ac:dyDescent="0.25">
      <c r="A1691" s="10">
        <v>1774</v>
      </c>
      <c r="B1691" s="10" t="s">
        <v>5528</v>
      </c>
      <c r="C1691" s="880">
        <f t="shared" si="131"/>
        <v>120.94240000000001</v>
      </c>
      <c r="D1691" s="880">
        <f t="shared" si="132"/>
        <v>14.457700000000001</v>
      </c>
      <c r="E1691" s="10">
        <v>120.942497</v>
      </c>
      <c r="F1691" s="10">
        <v>14.457777999999999</v>
      </c>
      <c r="G1691" s="10">
        <v>8</v>
      </c>
      <c r="H1691" s="10" t="s">
        <v>1831</v>
      </c>
      <c r="I1691" s="10" t="s">
        <v>5524</v>
      </c>
      <c r="J1691" s="10" t="s">
        <v>5525</v>
      </c>
      <c r="K1691" s="10" t="s">
        <v>5526</v>
      </c>
      <c r="L1691" s="65" t="str">
        <f t="shared" si="133"/>
        <v>Bacoor|Philippines|120,942497|14,457778|+8:00 Asia</v>
      </c>
      <c r="M1691" s="10" t="s">
        <v>5529</v>
      </c>
      <c r="N1691" s="10">
        <f t="shared" si="130"/>
        <v>0</v>
      </c>
      <c r="O1691" t="str">
        <f t="shared" si="134"/>
        <v/>
      </c>
      <c r="P1691" t="str">
        <f>IF(O1691=1,COUNTIF($O$2:O1691,1),"")</f>
        <v/>
      </c>
      <c r="Q1691" t="str">
        <f>IFERROR(INDEX($M$2:$M$2388,MATCH(ROWS($P$2:P1691),$P$2:$P$2388,0)),"")</f>
        <v/>
      </c>
    </row>
    <row r="1692" spans="1:17" ht="15" x14ac:dyDescent="0.25">
      <c r="A1692" s="10">
        <v>1773</v>
      </c>
      <c r="B1692" s="10" t="s">
        <v>5530</v>
      </c>
      <c r="C1692" s="880">
        <f t="shared" si="131"/>
        <v>120.593</v>
      </c>
      <c r="D1692" s="880">
        <f t="shared" si="132"/>
        <v>16.4163</v>
      </c>
      <c r="E1692" s="10">
        <v>120.593056</v>
      </c>
      <c r="F1692" s="10">
        <v>16.416388999999999</v>
      </c>
      <c r="G1692" s="10">
        <v>8</v>
      </c>
      <c r="H1692" s="10" t="s">
        <v>1831</v>
      </c>
      <c r="I1692" s="10" t="s">
        <v>5524</v>
      </c>
      <c r="J1692" s="10" t="s">
        <v>5525</v>
      </c>
      <c r="K1692" s="10" t="s">
        <v>5526</v>
      </c>
      <c r="L1692" s="65" t="str">
        <f t="shared" si="133"/>
        <v>Baguio|Philippines|120,593056|16,416389|+8:00 Asia</v>
      </c>
      <c r="M1692" s="10" t="s">
        <v>5531</v>
      </c>
      <c r="N1692" s="10">
        <f t="shared" si="130"/>
        <v>0</v>
      </c>
      <c r="O1692" t="str">
        <f t="shared" si="134"/>
        <v/>
      </c>
      <c r="P1692" t="str">
        <f>IF(O1692=1,COUNTIF($O$2:O1692,1),"")</f>
        <v/>
      </c>
      <c r="Q1692" t="str">
        <f>IFERROR(INDEX($M$2:$M$2388,MATCH(ROWS($P$2:P1692),$P$2:$P$2388,0)),"")</f>
        <v/>
      </c>
    </row>
    <row r="1693" spans="1:17" ht="15" x14ac:dyDescent="0.25">
      <c r="A1693" s="10">
        <v>1772</v>
      </c>
      <c r="B1693" s="10" t="s">
        <v>5532</v>
      </c>
      <c r="C1693" s="880">
        <f t="shared" si="131"/>
        <v>121.0599</v>
      </c>
      <c r="D1693" s="880">
        <f t="shared" si="132"/>
        <v>13.759399999999999</v>
      </c>
      <c r="E1693" s="10">
        <v>121.05999799999999</v>
      </c>
      <c r="F1693" s="10">
        <v>13.759444</v>
      </c>
      <c r="G1693" s="10">
        <v>8</v>
      </c>
      <c r="H1693" s="10" t="s">
        <v>1831</v>
      </c>
      <c r="I1693" s="10" t="s">
        <v>5524</v>
      </c>
      <c r="J1693" s="10" t="s">
        <v>5525</v>
      </c>
      <c r="K1693" s="10" t="s">
        <v>5526</v>
      </c>
      <c r="L1693" s="65" t="str">
        <f t="shared" si="133"/>
        <v>Batangas|Philippines|121,059998|13,759444|+8:00 Asia</v>
      </c>
      <c r="M1693" s="10" t="s">
        <v>5533</v>
      </c>
      <c r="N1693" s="10">
        <f t="shared" si="130"/>
        <v>0</v>
      </c>
      <c r="O1693" t="str">
        <f t="shared" si="134"/>
        <v/>
      </c>
      <c r="P1693" t="str">
        <f>IF(O1693=1,COUNTIF($O$2:O1693,1),"")</f>
        <v/>
      </c>
      <c r="Q1693" t="str">
        <f>IFERROR(INDEX($M$2:$M$2388,MATCH(ROWS($P$2:P1693),$P$2:$P$2388,0)),"")</f>
        <v/>
      </c>
    </row>
    <row r="1694" spans="1:17" ht="15" x14ac:dyDescent="0.25">
      <c r="A1694" s="10">
        <v>1771</v>
      </c>
      <c r="B1694" s="10" t="s">
        <v>5534</v>
      </c>
      <c r="C1694" s="880">
        <f t="shared" si="131"/>
        <v>121.1919</v>
      </c>
      <c r="D1694" s="880">
        <f t="shared" si="132"/>
        <v>14.4655</v>
      </c>
      <c r="E1694" s="10">
        <v>121.191948</v>
      </c>
      <c r="F1694" s="10">
        <v>14.465555</v>
      </c>
      <c r="G1694" s="10">
        <v>8</v>
      </c>
      <c r="H1694" s="10" t="s">
        <v>1831</v>
      </c>
      <c r="I1694" s="10" t="s">
        <v>5524</v>
      </c>
      <c r="J1694" s="10" t="s">
        <v>5525</v>
      </c>
      <c r="K1694" s="10" t="s">
        <v>5526</v>
      </c>
      <c r="L1694" s="65" t="str">
        <f t="shared" si="133"/>
        <v>Binangonan|Philippines|121,191948|14,465555|+8:00 Asia</v>
      </c>
      <c r="M1694" s="10" t="s">
        <v>5535</v>
      </c>
      <c r="N1694" s="10">
        <f t="shared" si="130"/>
        <v>0</v>
      </c>
      <c r="O1694" t="str">
        <f t="shared" si="134"/>
        <v/>
      </c>
      <c r="P1694" t="str">
        <f>IF(O1694=1,COUNTIF($O$2:O1694,1),"")</f>
        <v/>
      </c>
      <c r="Q1694" t="str">
        <f>IFERROR(INDEX($M$2:$M$2388,MATCH(ROWS($P$2:P1694),$P$2:$P$2388,0)),"")</f>
        <v/>
      </c>
    </row>
    <row r="1695" spans="1:17" ht="15" x14ac:dyDescent="0.25">
      <c r="A1695" s="10">
        <v>1770</v>
      </c>
      <c r="B1695" s="10" t="s">
        <v>5536</v>
      </c>
      <c r="C1695" s="880">
        <f t="shared" si="131"/>
        <v>120.9674</v>
      </c>
      <c r="D1695" s="880">
        <f t="shared" si="132"/>
        <v>15.4869</v>
      </c>
      <c r="E1695" s="10">
        <v>120.967499</v>
      </c>
      <c r="F1695" s="10">
        <v>15.486943999999999</v>
      </c>
      <c r="G1695" s="10">
        <v>8</v>
      </c>
      <c r="H1695" s="10" t="s">
        <v>1831</v>
      </c>
      <c r="I1695" s="10" t="s">
        <v>5524</v>
      </c>
      <c r="J1695" s="10" t="s">
        <v>5525</v>
      </c>
      <c r="K1695" s="10" t="s">
        <v>5526</v>
      </c>
      <c r="L1695" s="65" t="str">
        <f t="shared" si="133"/>
        <v>Cabanatuan|Philippines|120,967499|15,486944|+8:00 Asia</v>
      </c>
      <c r="M1695" s="10" t="s">
        <v>5537</v>
      </c>
      <c r="N1695" s="10">
        <f t="shared" si="130"/>
        <v>0</v>
      </c>
      <c r="O1695" t="str">
        <f t="shared" si="134"/>
        <v/>
      </c>
      <c r="P1695" t="str">
        <f>IF(O1695=1,COUNTIF($O$2:O1695,1),"")</f>
        <v/>
      </c>
      <c r="Q1695" t="str">
        <f>IFERROR(INDEX($M$2:$M$2388,MATCH(ROWS($P$2:P1695),$P$2:$P$2388,0)),"")</f>
        <v/>
      </c>
    </row>
    <row r="1696" spans="1:17" ht="15" x14ac:dyDescent="0.25">
      <c r="A1696" s="10">
        <v>1769</v>
      </c>
      <c r="B1696" s="10" t="s">
        <v>5538</v>
      </c>
      <c r="C1696" s="880">
        <f t="shared" si="131"/>
        <v>124.6472</v>
      </c>
      <c r="D1696" s="880">
        <f t="shared" si="132"/>
        <v>8.4822000000000006</v>
      </c>
      <c r="E1696" s="10">
        <v>124.64722399999999</v>
      </c>
      <c r="F1696" s="10">
        <v>8.4822229999999994</v>
      </c>
      <c r="G1696" s="10">
        <v>8</v>
      </c>
      <c r="H1696" s="10" t="s">
        <v>1831</v>
      </c>
      <c r="I1696" s="10" t="s">
        <v>5524</v>
      </c>
      <c r="J1696" s="10" t="s">
        <v>5525</v>
      </c>
      <c r="K1696" s="10" t="s">
        <v>5526</v>
      </c>
      <c r="L1696" s="65" t="str">
        <f t="shared" si="133"/>
        <v>Cagayan de Oro|Philippines|124,647224|8,482223|+8:00 Asia</v>
      </c>
      <c r="M1696" s="10" t="s">
        <v>5539</v>
      </c>
      <c r="N1696" s="10">
        <f t="shared" si="130"/>
        <v>0</v>
      </c>
      <c r="O1696" t="str">
        <f t="shared" si="134"/>
        <v/>
      </c>
      <c r="P1696" t="str">
        <f>IF(O1696=1,COUNTIF($O$2:O1696,1),"")</f>
        <v/>
      </c>
      <c r="Q1696" t="str">
        <f>IFERROR(INDEX($M$2:$M$2388,MATCH(ROWS($P$2:P1696),$P$2:$P$2388,0)),"")</f>
        <v/>
      </c>
    </row>
    <row r="1697" spans="1:17" ht="15" x14ac:dyDescent="0.25">
      <c r="A1697" s="10">
        <v>1768</v>
      </c>
      <c r="B1697" s="10" t="s">
        <v>5540</v>
      </c>
      <c r="C1697" s="880">
        <f t="shared" si="131"/>
        <v>121.1169</v>
      </c>
      <c r="D1697" s="880">
        <f t="shared" si="132"/>
        <v>14.58</v>
      </c>
      <c r="E1697" s="10">
        <v>121.11694300000001</v>
      </c>
      <c r="F1697" s="10">
        <v>14.58</v>
      </c>
      <c r="G1697" s="10">
        <v>8</v>
      </c>
      <c r="H1697" s="10" t="s">
        <v>1831</v>
      </c>
      <c r="I1697" s="10" t="s">
        <v>5524</v>
      </c>
      <c r="J1697" s="10" t="s">
        <v>5525</v>
      </c>
      <c r="K1697" s="10" t="s">
        <v>5526</v>
      </c>
      <c r="L1697" s="65" t="str">
        <f t="shared" si="133"/>
        <v>Cainta|Philippines|121,116943|14,580000|+8:00 Asia</v>
      </c>
      <c r="M1697" s="10" t="s">
        <v>5541</v>
      </c>
      <c r="N1697" s="10">
        <f t="shared" si="130"/>
        <v>0</v>
      </c>
      <c r="O1697" t="str">
        <f t="shared" si="134"/>
        <v/>
      </c>
      <c r="P1697" t="str">
        <f>IF(O1697=1,COUNTIF($O$2:O1697,1),"")</f>
        <v/>
      </c>
      <c r="Q1697" t="str">
        <f>IFERROR(INDEX($M$2:$M$2388,MATCH(ROWS($P$2:P1697),$P$2:$P$2388,0)),"")</f>
        <v/>
      </c>
    </row>
    <row r="1698" spans="1:17" ht="15" x14ac:dyDescent="0.25">
      <c r="A1698" s="10">
        <v>1767</v>
      </c>
      <c r="B1698" s="10" t="s">
        <v>5542</v>
      </c>
      <c r="C1698" s="880">
        <f t="shared" si="131"/>
        <v>121.1652</v>
      </c>
      <c r="D1698" s="880">
        <f t="shared" si="132"/>
        <v>14.211600000000001</v>
      </c>
      <c r="E1698" s="10">
        <v>121.16527600000001</v>
      </c>
      <c r="F1698" s="10">
        <v>14.211667</v>
      </c>
      <c r="G1698" s="10">
        <v>8</v>
      </c>
      <c r="H1698" s="10" t="s">
        <v>1831</v>
      </c>
      <c r="I1698" s="10" t="s">
        <v>5524</v>
      </c>
      <c r="J1698" s="10" t="s">
        <v>5525</v>
      </c>
      <c r="K1698" s="10" t="s">
        <v>5526</v>
      </c>
      <c r="L1698" s="65" t="str">
        <f t="shared" si="133"/>
        <v>Calamba|Philippines|121,165276|14,211667|+8:00 Asia</v>
      </c>
      <c r="M1698" s="10" t="s">
        <v>5543</v>
      </c>
      <c r="N1698" s="10">
        <f t="shared" si="130"/>
        <v>0</v>
      </c>
      <c r="O1698" t="str">
        <f t="shared" si="134"/>
        <v/>
      </c>
      <c r="P1698" t="str">
        <f>IF(O1698=1,COUNTIF($O$2:O1698,1),"")</f>
        <v/>
      </c>
      <c r="Q1698" t="str">
        <f>IFERROR(INDEX($M$2:$M$2388,MATCH(ROWS($P$2:P1698),$P$2:$P$2388,0)),"")</f>
        <v/>
      </c>
    </row>
    <row r="1699" spans="1:17" ht="15" x14ac:dyDescent="0.25">
      <c r="A1699" s="10">
        <v>1766</v>
      </c>
      <c r="B1699" s="10" t="s">
        <v>5544</v>
      </c>
      <c r="C1699" s="880">
        <f t="shared" si="131"/>
        <v>123.8916</v>
      </c>
      <c r="D1699" s="880">
        <f t="shared" si="132"/>
        <v>10.3111</v>
      </c>
      <c r="E1699" s="10">
        <v>123.89167</v>
      </c>
      <c r="F1699" s="10">
        <v>10.311111</v>
      </c>
      <c r="G1699" s="10">
        <v>8</v>
      </c>
      <c r="H1699" s="10" t="s">
        <v>1831</v>
      </c>
      <c r="I1699" s="10" t="s">
        <v>5524</v>
      </c>
      <c r="J1699" s="10" t="s">
        <v>5525</v>
      </c>
      <c r="K1699" s="10" t="s">
        <v>5526</v>
      </c>
      <c r="L1699" s="65" t="str">
        <f t="shared" si="133"/>
        <v>Cebu City|Philippines|123,891670|10,311111|+8:00 Asia</v>
      </c>
      <c r="M1699" s="10" t="s">
        <v>5545</v>
      </c>
      <c r="N1699" s="10">
        <f t="shared" si="130"/>
        <v>0</v>
      </c>
      <c r="O1699" t="str">
        <f t="shared" si="134"/>
        <v/>
      </c>
      <c r="P1699" t="str">
        <f>IF(O1699=1,COUNTIF($O$2:O1699,1),"")</f>
        <v/>
      </c>
      <c r="Q1699" t="str">
        <f>IFERROR(INDEX($M$2:$M$2388,MATCH(ROWS($P$2:P1699),$P$2:$P$2388,0)),"")</f>
        <v/>
      </c>
    </row>
    <row r="1700" spans="1:17" ht="15" x14ac:dyDescent="0.25">
      <c r="A1700" s="10">
        <v>1765</v>
      </c>
      <c r="B1700" s="10" t="s">
        <v>5546</v>
      </c>
      <c r="C1700" s="880">
        <f t="shared" si="131"/>
        <v>120.9366</v>
      </c>
      <c r="D1700" s="880">
        <f t="shared" si="132"/>
        <v>14.3294</v>
      </c>
      <c r="E1700" s="10">
        <v>120.936668</v>
      </c>
      <c r="F1700" s="10">
        <v>14.329444000000001</v>
      </c>
      <c r="G1700" s="10">
        <v>8</v>
      </c>
      <c r="H1700" s="10" t="s">
        <v>1831</v>
      </c>
      <c r="I1700" s="10" t="s">
        <v>5524</v>
      </c>
      <c r="J1700" s="10" t="s">
        <v>5525</v>
      </c>
      <c r="K1700" s="10" t="s">
        <v>5526</v>
      </c>
      <c r="L1700" s="65" t="str">
        <f t="shared" si="133"/>
        <v>Dasmarinas|Philippines|120,936668|14,329444|+8:00 Asia</v>
      </c>
      <c r="M1700" s="10" t="s">
        <v>5547</v>
      </c>
      <c r="N1700" s="10">
        <f t="shared" si="130"/>
        <v>0</v>
      </c>
      <c r="O1700" t="str">
        <f t="shared" si="134"/>
        <v/>
      </c>
      <c r="P1700" t="str">
        <f>IF(O1700=1,COUNTIF($O$2:O1700,1),"")</f>
        <v/>
      </c>
      <c r="Q1700" t="str">
        <f>IFERROR(INDEX($M$2:$M$2388,MATCH(ROWS($P$2:P1700),$P$2:$P$2388,0)),"")</f>
        <v/>
      </c>
    </row>
    <row r="1701" spans="1:17" ht="15" x14ac:dyDescent="0.25">
      <c r="A1701" s="10">
        <v>1764</v>
      </c>
      <c r="B1701" s="10" t="s">
        <v>5548</v>
      </c>
      <c r="C1701" s="880">
        <f t="shared" si="131"/>
        <v>125.6127</v>
      </c>
      <c r="D1701" s="880">
        <f t="shared" si="132"/>
        <v>7.0730000000000004</v>
      </c>
      <c r="E1701" s="10">
        <v>125.61277800000001</v>
      </c>
      <c r="F1701" s="10">
        <v>7.0730560000000002</v>
      </c>
      <c r="G1701" s="10">
        <v>8</v>
      </c>
      <c r="H1701" s="10" t="s">
        <v>1831</v>
      </c>
      <c r="I1701" s="10" t="s">
        <v>5524</v>
      </c>
      <c r="J1701" s="10" t="s">
        <v>5525</v>
      </c>
      <c r="K1701" s="10" t="s">
        <v>5526</v>
      </c>
      <c r="L1701" s="65" t="str">
        <f t="shared" si="133"/>
        <v>Davao|Philippines|125,612778|7,073056|+8:00 Asia</v>
      </c>
      <c r="M1701" s="10" t="s">
        <v>5549</v>
      </c>
      <c r="N1701" s="10">
        <f t="shared" si="130"/>
        <v>0</v>
      </c>
      <c r="O1701" t="str">
        <f t="shared" si="134"/>
        <v/>
      </c>
      <c r="P1701" t="str">
        <f>IF(O1701=1,COUNTIF($O$2:O1701,1),"")</f>
        <v/>
      </c>
      <c r="Q1701" t="str">
        <f>IFERROR(INDEX($M$2:$M$2388,MATCH(ROWS($P$2:P1701),$P$2:$P$2388,0)),"")</f>
        <v/>
      </c>
    </row>
    <row r="1702" spans="1:17" ht="15" x14ac:dyDescent="0.25">
      <c r="A1702" s="10">
        <v>1763</v>
      </c>
      <c r="B1702" s="10" t="s">
        <v>5550</v>
      </c>
      <c r="C1702" s="880">
        <f t="shared" si="131"/>
        <v>122.56440000000001</v>
      </c>
      <c r="D1702" s="880">
        <f t="shared" si="132"/>
        <v>10.696899999999999</v>
      </c>
      <c r="E1702" s="10">
        <v>122.56444500000001</v>
      </c>
      <c r="F1702" s="10">
        <v>10.696944</v>
      </c>
      <c r="G1702" s="10">
        <v>8</v>
      </c>
      <c r="H1702" s="10" t="s">
        <v>1831</v>
      </c>
      <c r="I1702" s="10" t="s">
        <v>5524</v>
      </c>
      <c r="J1702" s="10" t="s">
        <v>5525</v>
      </c>
      <c r="K1702" s="10" t="s">
        <v>5526</v>
      </c>
      <c r="L1702" s="65" t="str">
        <f t="shared" si="133"/>
        <v>Iloilo|Philippines|122,564445|10,696944|+8:00 Asia</v>
      </c>
      <c r="M1702" s="10" t="s">
        <v>5551</v>
      </c>
      <c r="N1702" s="10">
        <f t="shared" si="130"/>
        <v>0</v>
      </c>
      <c r="O1702" t="str">
        <f t="shared" si="134"/>
        <v/>
      </c>
      <c r="P1702" t="str">
        <f>IF(O1702=1,COUNTIF($O$2:O1702,1),"")</f>
        <v/>
      </c>
      <c r="Q1702" t="str">
        <f>IFERROR(INDEX($M$2:$M$2388,MATCH(ROWS($P$2:P1702),$P$2:$P$2388,0)),"")</f>
        <v/>
      </c>
    </row>
    <row r="1703" spans="1:17" ht="15" x14ac:dyDescent="0.25">
      <c r="A1703" s="10">
        <v>1762</v>
      </c>
      <c r="B1703" s="10" t="s">
        <v>5552</v>
      </c>
      <c r="C1703" s="880">
        <f t="shared" si="131"/>
        <v>120.9366</v>
      </c>
      <c r="D1703" s="880">
        <f t="shared" si="132"/>
        <v>14.4297</v>
      </c>
      <c r="E1703" s="10">
        <v>120.936668</v>
      </c>
      <c r="F1703" s="10">
        <v>14.429722</v>
      </c>
      <c r="G1703" s="10">
        <v>8</v>
      </c>
      <c r="H1703" s="10" t="s">
        <v>1831</v>
      </c>
      <c r="I1703" s="10" t="s">
        <v>5524</v>
      </c>
      <c r="J1703" s="10" t="s">
        <v>5525</v>
      </c>
      <c r="K1703" s="10" t="s">
        <v>5526</v>
      </c>
      <c r="L1703" s="65" t="str">
        <f t="shared" si="133"/>
        <v>Imus|Philippines|120,936668|14,429722|+8:00 Asia</v>
      </c>
      <c r="M1703" s="10" t="s">
        <v>5553</v>
      </c>
      <c r="N1703" s="10">
        <f t="shared" si="130"/>
        <v>0</v>
      </c>
      <c r="O1703" t="str">
        <f t="shared" si="134"/>
        <v/>
      </c>
      <c r="P1703" t="str">
        <f>IF(O1703=1,COUNTIF($O$2:O1703,1),"")</f>
        <v/>
      </c>
      <c r="Q1703" t="str">
        <f>IFERROR(INDEX($M$2:$M$2388,MATCH(ROWS($P$2:P1703),$P$2:$P$2388,0)),"")</f>
        <v/>
      </c>
    </row>
    <row r="1704" spans="1:17" ht="15" x14ac:dyDescent="0.25">
      <c r="A1704" s="10">
        <v>1761</v>
      </c>
      <c r="B1704" s="10" t="s">
        <v>5554</v>
      </c>
      <c r="C1704" s="880">
        <f t="shared" si="131"/>
        <v>123.9494</v>
      </c>
      <c r="D1704" s="880">
        <f t="shared" si="132"/>
        <v>10.3102</v>
      </c>
      <c r="E1704" s="10">
        <v>123.949448</v>
      </c>
      <c r="F1704" s="10">
        <v>10.310278</v>
      </c>
      <c r="G1704" s="10">
        <v>8</v>
      </c>
      <c r="H1704" s="10" t="s">
        <v>1831</v>
      </c>
      <c r="I1704" s="10" t="s">
        <v>5524</v>
      </c>
      <c r="J1704" s="10" t="s">
        <v>5525</v>
      </c>
      <c r="K1704" s="10" t="s">
        <v>5526</v>
      </c>
      <c r="L1704" s="65" t="str">
        <f t="shared" si="133"/>
        <v>Lapu-Lapu City|Philippines|123,949448|10,310278|+8:00 Asia</v>
      </c>
      <c r="M1704" s="10" t="s">
        <v>5555</v>
      </c>
      <c r="N1704" s="10">
        <f t="shared" si="130"/>
        <v>0</v>
      </c>
      <c r="O1704" t="str">
        <f t="shared" si="134"/>
        <v/>
      </c>
      <c r="P1704" t="str">
        <f>IF(O1704=1,COUNTIF($O$2:O1704,1),"")</f>
        <v/>
      </c>
      <c r="Q1704" t="str">
        <f>IFERROR(INDEX($M$2:$M$2388,MATCH(ROWS($P$2:P1704),$P$2:$P$2388,0)),"")</f>
        <v/>
      </c>
    </row>
    <row r="1705" spans="1:17" ht="15" x14ac:dyDescent="0.25">
      <c r="A1705" s="10">
        <v>1760</v>
      </c>
      <c r="B1705" s="10" t="s">
        <v>5556</v>
      </c>
      <c r="C1705" s="880">
        <f t="shared" si="131"/>
        <v>125.50190000000001</v>
      </c>
      <c r="D1705" s="880">
        <f t="shared" si="132"/>
        <v>8.9441000000000006</v>
      </c>
      <c r="E1705" s="10">
        <v>125.50194500000001</v>
      </c>
      <c r="F1705" s="10">
        <v>8.9441670000000002</v>
      </c>
      <c r="G1705" s="10">
        <v>8</v>
      </c>
      <c r="H1705" s="10" t="s">
        <v>1831</v>
      </c>
      <c r="I1705" s="10" t="s">
        <v>5524</v>
      </c>
      <c r="J1705" s="10" t="s">
        <v>5525</v>
      </c>
      <c r="K1705" s="10" t="s">
        <v>5526</v>
      </c>
      <c r="L1705" s="65" t="str">
        <f t="shared" si="133"/>
        <v>Libertad|Philippines|125,501945|8,944167|+8:00 Asia</v>
      </c>
      <c r="M1705" s="10" t="s">
        <v>5557</v>
      </c>
      <c r="N1705" s="10">
        <f t="shared" si="130"/>
        <v>0</v>
      </c>
      <c r="O1705" t="str">
        <f t="shared" si="134"/>
        <v/>
      </c>
      <c r="P1705" t="str">
        <f>IF(O1705=1,COUNTIF($O$2:O1705,1),"")</f>
        <v/>
      </c>
      <c r="Q1705" t="str">
        <f>IFERROR(INDEX($M$2:$M$2388,MATCH(ROWS($P$2:P1705),$P$2:$P$2388,0)),"")</f>
        <v/>
      </c>
    </row>
    <row r="1706" spans="1:17" ht="15" x14ac:dyDescent="0.25">
      <c r="A1706" s="10">
        <v>1759</v>
      </c>
      <c r="B1706" s="10" t="s">
        <v>5558</v>
      </c>
      <c r="C1706" s="880">
        <f t="shared" si="131"/>
        <v>121.1738</v>
      </c>
      <c r="D1706" s="880">
        <f t="shared" si="132"/>
        <v>13.939399999999999</v>
      </c>
      <c r="E1706" s="10">
        <v>121.173889</v>
      </c>
      <c r="F1706" s="10">
        <v>13.939444999999999</v>
      </c>
      <c r="G1706" s="10">
        <v>8</v>
      </c>
      <c r="H1706" s="10" t="s">
        <v>1831</v>
      </c>
      <c r="I1706" s="10" t="s">
        <v>5524</v>
      </c>
      <c r="J1706" s="10" t="s">
        <v>5525</v>
      </c>
      <c r="K1706" s="10" t="s">
        <v>5526</v>
      </c>
      <c r="L1706" s="65" t="str">
        <f t="shared" si="133"/>
        <v>Lipa|Philippines|121,173889|13,939445|+8:00 Asia</v>
      </c>
      <c r="M1706" s="10" t="s">
        <v>5559</v>
      </c>
      <c r="N1706" s="10">
        <f t="shared" si="130"/>
        <v>0</v>
      </c>
      <c r="O1706" t="str">
        <f t="shared" si="134"/>
        <v/>
      </c>
      <c r="P1706" t="str">
        <f>IF(O1706=1,COUNTIF($O$2:O1706,1),"")</f>
        <v/>
      </c>
      <c r="Q1706" t="str">
        <f>IFERROR(INDEX($M$2:$M$2388,MATCH(ROWS($P$2:P1706),$P$2:$P$2388,0)),"")</f>
        <v/>
      </c>
    </row>
    <row r="1707" spans="1:17" ht="15" x14ac:dyDescent="0.25">
      <c r="A1707" s="10">
        <v>1758</v>
      </c>
      <c r="B1707" s="10" t="s">
        <v>5560</v>
      </c>
      <c r="C1707" s="880">
        <f t="shared" si="131"/>
        <v>121.6172</v>
      </c>
      <c r="D1707" s="880">
        <f t="shared" si="132"/>
        <v>13.9313</v>
      </c>
      <c r="E1707" s="10">
        <v>121.617226</v>
      </c>
      <c r="F1707" s="10">
        <v>13.931388999999999</v>
      </c>
      <c r="G1707" s="10">
        <v>8</v>
      </c>
      <c r="H1707" s="10" t="s">
        <v>1831</v>
      </c>
      <c r="I1707" s="10" t="s">
        <v>5524</v>
      </c>
      <c r="J1707" s="10" t="s">
        <v>5525</v>
      </c>
      <c r="K1707" s="10" t="s">
        <v>5526</v>
      </c>
      <c r="L1707" s="65" t="str">
        <f t="shared" si="133"/>
        <v>Lucena|Philippines|121,617226|13,931389|+8:00 Asia</v>
      </c>
      <c r="M1707" s="10" t="s">
        <v>5561</v>
      </c>
      <c r="N1707" s="10">
        <f t="shared" si="130"/>
        <v>0</v>
      </c>
      <c r="O1707" t="str">
        <f t="shared" si="134"/>
        <v/>
      </c>
      <c r="P1707" t="str">
        <f>IF(O1707=1,COUNTIF($O$2:O1707,1),"")</f>
        <v/>
      </c>
      <c r="Q1707" t="str">
        <f>IFERROR(INDEX($M$2:$M$2388,MATCH(ROWS($P$2:P1707),$P$2:$P$2388,0)),"")</f>
        <v/>
      </c>
    </row>
    <row r="1708" spans="1:17" ht="15" x14ac:dyDescent="0.25">
      <c r="A1708" s="10">
        <v>1757</v>
      </c>
      <c r="B1708" s="10" t="s">
        <v>5562</v>
      </c>
      <c r="C1708" s="880">
        <f t="shared" si="131"/>
        <v>123.9222</v>
      </c>
      <c r="D1708" s="880">
        <f t="shared" si="132"/>
        <v>10.323600000000001</v>
      </c>
      <c r="E1708" s="10">
        <v>123.92222599999999</v>
      </c>
      <c r="F1708" s="10">
        <v>10.323611</v>
      </c>
      <c r="G1708" s="10">
        <v>8</v>
      </c>
      <c r="H1708" s="10" t="s">
        <v>1831</v>
      </c>
      <c r="I1708" s="10" t="s">
        <v>5524</v>
      </c>
      <c r="J1708" s="10" t="s">
        <v>5525</v>
      </c>
      <c r="K1708" s="10" t="s">
        <v>5526</v>
      </c>
      <c r="L1708" s="65" t="str">
        <f t="shared" si="133"/>
        <v>Mandaue City|Philippines|123,922226|10,323611|+8:00 Asia</v>
      </c>
      <c r="M1708" s="10" t="s">
        <v>5563</v>
      </c>
      <c r="N1708" s="10">
        <f t="shared" si="130"/>
        <v>0</v>
      </c>
      <c r="O1708" t="str">
        <f t="shared" si="134"/>
        <v/>
      </c>
      <c r="P1708" t="str">
        <f>IF(O1708=1,COUNTIF($O$2:O1708,1),"")</f>
        <v/>
      </c>
      <c r="Q1708" t="str">
        <f>IFERROR(INDEX($M$2:$M$2388,MATCH(ROWS($P$2:P1708),$P$2:$P$2388,0)),"")</f>
        <v/>
      </c>
    </row>
    <row r="1709" spans="1:17" ht="15" x14ac:dyDescent="0.25">
      <c r="A1709" s="10">
        <v>1756</v>
      </c>
      <c r="B1709" s="10" t="s">
        <v>5564</v>
      </c>
      <c r="C1709" s="880">
        <f t="shared" si="131"/>
        <v>120.98220000000001</v>
      </c>
      <c r="D1709" s="880">
        <f t="shared" si="132"/>
        <v>14.604100000000001</v>
      </c>
      <c r="E1709" s="10">
        <v>120.982224</v>
      </c>
      <c r="F1709" s="10">
        <v>14.604167</v>
      </c>
      <c r="G1709" s="10">
        <v>8</v>
      </c>
      <c r="H1709" s="10" t="s">
        <v>1831</v>
      </c>
      <c r="I1709" s="10" t="s">
        <v>5524</v>
      </c>
      <c r="J1709" s="10" t="s">
        <v>5525</v>
      </c>
      <c r="K1709" s="10" t="s">
        <v>5526</v>
      </c>
      <c r="L1709" s="65" t="str">
        <f t="shared" si="133"/>
        <v>Manila|Philippines|120,982224|14,604167|+8:00 Asia</v>
      </c>
      <c r="M1709" s="10" t="s">
        <v>5565</v>
      </c>
      <c r="N1709" s="10">
        <f t="shared" si="130"/>
        <v>0</v>
      </c>
      <c r="O1709" t="str">
        <f t="shared" si="134"/>
        <v/>
      </c>
      <c r="P1709" t="str">
        <f>IF(O1709=1,COUNTIF($O$2:O1709,1),"")</f>
        <v/>
      </c>
      <c r="Q1709" t="str">
        <f>IFERROR(INDEX($M$2:$M$2388,MATCH(ROWS($P$2:P1709),$P$2:$P$2388,0)),"")</f>
        <v/>
      </c>
    </row>
    <row r="1710" spans="1:17" ht="15" x14ac:dyDescent="0.25">
      <c r="A1710" s="10">
        <v>1755</v>
      </c>
      <c r="B1710" s="10" t="s">
        <v>5566</v>
      </c>
      <c r="C1710" s="880">
        <f t="shared" si="131"/>
        <v>122.97880000000001</v>
      </c>
      <c r="D1710" s="880">
        <f t="shared" si="132"/>
        <v>10.6311</v>
      </c>
      <c r="E1710" s="10">
        <v>122.978889</v>
      </c>
      <c r="F1710" s="10">
        <v>10.631111000000001</v>
      </c>
      <c r="G1710" s="10">
        <v>8</v>
      </c>
      <c r="H1710" s="10" t="s">
        <v>1831</v>
      </c>
      <c r="I1710" s="10" t="s">
        <v>5524</v>
      </c>
      <c r="J1710" s="10" t="s">
        <v>5525</v>
      </c>
      <c r="K1710" s="10" t="s">
        <v>5526</v>
      </c>
      <c r="L1710" s="65" t="str">
        <f t="shared" si="133"/>
        <v>Mansilingan|Philippines|122,978889|10,631111|+8:00 Asia</v>
      </c>
      <c r="M1710" s="10" t="s">
        <v>5567</v>
      </c>
      <c r="N1710" s="10">
        <f t="shared" si="130"/>
        <v>0</v>
      </c>
      <c r="O1710" t="str">
        <f t="shared" si="134"/>
        <v/>
      </c>
      <c r="P1710" t="str">
        <f>IF(O1710=1,COUNTIF($O$2:O1710,1),"")</f>
        <v/>
      </c>
      <c r="Q1710" t="str">
        <f>IFERROR(INDEX($M$2:$M$2388,MATCH(ROWS($P$2:P1710),$P$2:$P$2388,0)),"")</f>
        <v/>
      </c>
    </row>
    <row r="1711" spans="1:17" ht="15" x14ac:dyDescent="0.25">
      <c r="A1711" s="10">
        <v>1754</v>
      </c>
      <c r="B1711" s="10" t="s">
        <v>5568</v>
      </c>
      <c r="C1711" s="880">
        <f t="shared" si="131"/>
        <v>124.2166</v>
      </c>
      <c r="D1711" s="880">
        <f t="shared" si="132"/>
        <v>8.1666000000000007</v>
      </c>
      <c r="E1711" s="10">
        <v>124.216667</v>
      </c>
      <c r="F1711" s="10">
        <v>8.1666670000000003</v>
      </c>
      <c r="G1711" s="10">
        <v>8</v>
      </c>
      <c r="H1711" s="10" t="s">
        <v>1831</v>
      </c>
      <c r="I1711" s="10" t="s">
        <v>5524</v>
      </c>
      <c r="J1711" s="10" t="s">
        <v>5525</v>
      </c>
      <c r="K1711" s="10" t="s">
        <v>5526</v>
      </c>
      <c r="L1711" s="65" t="str">
        <f t="shared" si="133"/>
        <v>Mantampay|Philippines|124,216667|8,166667|+8:00 Asia</v>
      </c>
      <c r="M1711" s="10" t="s">
        <v>5569</v>
      </c>
      <c r="N1711" s="10">
        <f t="shared" si="130"/>
        <v>0</v>
      </c>
      <c r="O1711" t="str">
        <f t="shared" si="134"/>
        <v/>
      </c>
      <c r="P1711" t="str">
        <f>IF(O1711=1,COUNTIF($O$2:O1711,1),"")</f>
        <v/>
      </c>
      <c r="Q1711" t="str">
        <f>IFERROR(INDEX($M$2:$M$2388,MATCH(ROWS($P$2:P1711),$P$2:$P$2388,0)),"")</f>
        <v/>
      </c>
    </row>
    <row r="1712" spans="1:17" ht="15" x14ac:dyDescent="0.25">
      <c r="A1712" s="10">
        <v>1753</v>
      </c>
      <c r="B1712" s="10" t="s">
        <v>5570</v>
      </c>
      <c r="C1712" s="880">
        <f t="shared" si="131"/>
        <v>120.28270000000001</v>
      </c>
      <c r="D1712" s="880">
        <f t="shared" si="132"/>
        <v>14.8291</v>
      </c>
      <c r="E1712" s="10">
        <v>120.282776</v>
      </c>
      <c r="F1712" s="10">
        <v>14.829166000000001</v>
      </c>
      <c r="G1712" s="10">
        <v>8</v>
      </c>
      <c r="H1712" s="10" t="s">
        <v>1831</v>
      </c>
      <c r="I1712" s="10" t="s">
        <v>5524</v>
      </c>
      <c r="J1712" s="10" t="s">
        <v>5525</v>
      </c>
      <c r="K1712" s="10" t="s">
        <v>5526</v>
      </c>
      <c r="L1712" s="65" t="str">
        <f t="shared" si="133"/>
        <v>Olongapo|Philippines|120,282776|14,829166|+8:00 Asia</v>
      </c>
      <c r="M1712" s="10" t="s">
        <v>5571</v>
      </c>
      <c r="N1712" s="10">
        <f t="shared" si="130"/>
        <v>0</v>
      </c>
      <c r="O1712" t="str">
        <f t="shared" si="134"/>
        <v/>
      </c>
      <c r="P1712" t="str">
        <f>IF(O1712=1,COUNTIF($O$2:O1712,1),"")</f>
        <v/>
      </c>
      <c r="Q1712" t="str">
        <f>IFERROR(INDEX($M$2:$M$2388,MATCH(ROWS($P$2:P1712),$P$2:$P$2388,0)),"")</f>
        <v/>
      </c>
    </row>
    <row r="1713" spans="1:17" ht="15" x14ac:dyDescent="0.25">
      <c r="A1713" s="10">
        <v>1752</v>
      </c>
      <c r="B1713" s="10" t="s">
        <v>5023</v>
      </c>
      <c r="C1713" s="880">
        <f t="shared" si="131"/>
        <v>120.6855</v>
      </c>
      <c r="D1713" s="880">
        <f t="shared" si="132"/>
        <v>15.030200000000001</v>
      </c>
      <c r="E1713" s="10">
        <v>120.68555499999999</v>
      </c>
      <c r="F1713" s="10">
        <v>15.030277999999999</v>
      </c>
      <c r="G1713" s="10">
        <v>8</v>
      </c>
      <c r="H1713" s="10" t="s">
        <v>1975</v>
      </c>
      <c r="I1713" s="10" t="s">
        <v>5524</v>
      </c>
      <c r="J1713" s="10" t="s">
        <v>5525</v>
      </c>
      <c r="K1713" s="10" t="s">
        <v>4926</v>
      </c>
      <c r="L1713" s="65" t="str">
        <f t="shared" si="133"/>
        <v>San Fernando|Philippines|120,685555|15,030278|-6:00 America</v>
      </c>
      <c r="M1713" s="10" t="s">
        <v>5572</v>
      </c>
      <c r="N1713" s="10">
        <f t="shared" si="130"/>
        <v>0</v>
      </c>
      <c r="O1713" t="str">
        <f t="shared" si="134"/>
        <v/>
      </c>
      <c r="P1713" t="str">
        <f>IF(O1713=1,COUNTIF($O$2:O1713,1),"")</f>
        <v/>
      </c>
      <c r="Q1713" t="str">
        <f>IFERROR(INDEX($M$2:$M$2388,MATCH(ROWS($P$2:P1713),$P$2:$P$2388,0)),"")</f>
        <v/>
      </c>
    </row>
    <row r="1714" spans="1:17" ht="15" x14ac:dyDescent="0.25">
      <c r="A1714" s="10">
        <v>1751</v>
      </c>
      <c r="B1714" s="10" t="s">
        <v>5573</v>
      </c>
      <c r="C1714" s="880">
        <f t="shared" si="131"/>
        <v>121.04519999999999</v>
      </c>
      <c r="D1714" s="880">
        <f t="shared" si="132"/>
        <v>14.813800000000001</v>
      </c>
      <c r="E1714" s="10">
        <v>121.04528000000001</v>
      </c>
      <c r="F1714" s="10">
        <v>14.813889</v>
      </c>
      <c r="G1714" s="10">
        <v>8</v>
      </c>
      <c r="H1714" s="10" t="s">
        <v>1831</v>
      </c>
      <c r="I1714" s="10" t="s">
        <v>5524</v>
      </c>
      <c r="J1714" s="10" t="s">
        <v>5525</v>
      </c>
      <c r="K1714" s="10" t="s">
        <v>5526</v>
      </c>
      <c r="L1714" s="65" t="str">
        <f t="shared" si="133"/>
        <v>San Jose del Monte|Philippines|121,045280|14,813889|+8:00 Asia</v>
      </c>
      <c r="M1714" s="10" t="s">
        <v>5574</v>
      </c>
      <c r="N1714" s="10">
        <f t="shared" si="130"/>
        <v>0</v>
      </c>
      <c r="O1714" t="str">
        <f t="shared" si="134"/>
        <v/>
      </c>
      <c r="P1714" t="str">
        <f>IF(O1714=1,COUNTIF($O$2:O1714,1),"")</f>
        <v/>
      </c>
      <c r="Q1714" t="str">
        <f>IFERROR(INDEX($M$2:$M$2388,MATCH(ROWS($P$2:P1714),$P$2:$P$2388,0)),"")</f>
        <v/>
      </c>
    </row>
    <row r="1715" spans="1:17" ht="15" x14ac:dyDescent="0.25">
      <c r="A1715" s="10">
        <v>1750</v>
      </c>
      <c r="B1715" s="10" t="s">
        <v>5575</v>
      </c>
      <c r="C1715" s="880">
        <f t="shared" si="131"/>
        <v>121.3258</v>
      </c>
      <c r="D1715" s="880">
        <f t="shared" si="132"/>
        <v>14.0669</v>
      </c>
      <c r="E1715" s="10">
        <v>121.325836</v>
      </c>
      <c r="F1715" s="10">
        <v>14.066943999999999</v>
      </c>
      <c r="G1715" s="10">
        <v>8</v>
      </c>
      <c r="H1715" s="10" t="s">
        <v>1831</v>
      </c>
      <c r="I1715" s="10" t="s">
        <v>5524</v>
      </c>
      <c r="J1715" s="10" t="s">
        <v>5525</v>
      </c>
      <c r="K1715" s="10" t="s">
        <v>5526</v>
      </c>
      <c r="L1715" s="65" t="str">
        <f t="shared" si="133"/>
        <v>San Pablo|Philippines|121,325836|14,066944|+8:00 Asia</v>
      </c>
      <c r="M1715" s="10" t="s">
        <v>5576</v>
      </c>
      <c r="N1715" s="10">
        <f t="shared" si="130"/>
        <v>0</v>
      </c>
      <c r="O1715" t="str">
        <f t="shared" si="134"/>
        <v/>
      </c>
      <c r="P1715" t="str">
        <f>IF(O1715=1,COUNTIF($O$2:O1715,1),"")</f>
        <v/>
      </c>
      <c r="Q1715" t="str">
        <f>IFERROR(INDEX($M$2:$M$2388,MATCH(ROWS($P$2:P1715),$P$2:$P$2388,0)),"")</f>
        <v/>
      </c>
    </row>
    <row r="1716" spans="1:17" ht="15" x14ac:dyDescent="0.25">
      <c r="A1716" s="10">
        <v>1749</v>
      </c>
      <c r="B1716" s="10" t="s">
        <v>1982</v>
      </c>
      <c r="C1716" s="880">
        <f t="shared" si="131"/>
        <v>121.05549999999999</v>
      </c>
      <c r="D1716" s="880">
        <f t="shared" si="132"/>
        <v>14.364699999999999</v>
      </c>
      <c r="E1716" s="10">
        <v>121.05555699999999</v>
      </c>
      <c r="F1716" s="10">
        <v>14.364722</v>
      </c>
      <c r="G1716" s="10">
        <v>8</v>
      </c>
      <c r="H1716" s="10" t="s">
        <v>1975</v>
      </c>
      <c r="I1716" s="10" t="s">
        <v>5524</v>
      </c>
      <c r="J1716" s="10" t="s">
        <v>5525</v>
      </c>
      <c r="K1716" s="10" t="s">
        <v>1978</v>
      </c>
      <c r="L1716" s="65" t="str">
        <f t="shared" si="133"/>
        <v>San Pedro|Philippines|121,055557|14,364722|-6:00 America</v>
      </c>
      <c r="M1716" s="10" t="s">
        <v>5577</v>
      </c>
      <c r="N1716" s="10">
        <f t="shared" si="130"/>
        <v>0</v>
      </c>
      <c r="O1716" t="str">
        <f t="shared" si="134"/>
        <v/>
      </c>
      <c r="P1716" t="str">
        <f>IF(O1716=1,COUNTIF($O$2:O1716,1),"")</f>
        <v/>
      </c>
      <c r="Q1716" t="str">
        <f>IFERROR(INDEX($M$2:$M$2388,MATCH(ROWS($P$2:P1716),$P$2:$P$2388,0)),"")</f>
        <v/>
      </c>
    </row>
    <row r="1717" spans="1:17" ht="15" x14ac:dyDescent="0.25">
      <c r="A1717" s="10">
        <v>1748</v>
      </c>
      <c r="B1717" s="10" t="s">
        <v>5578</v>
      </c>
      <c r="C1717" s="880">
        <f t="shared" si="131"/>
        <v>121.1113</v>
      </c>
      <c r="D1717" s="880">
        <f t="shared" si="132"/>
        <v>14.312200000000001</v>
      </c>
      <c r="E1717" s="10">
        <v>121.111389</v>
      </c>
      <c r="F1717" s="10">
        <v>14.312222</v>
      </c>
      <c r="G1717" s="10">
        <v>8</v>
      </c>
      <c r="H1717" s="10" t="s">
        <v>1831</v>
      </c>
      <c r="I1717" s="10" t="s">
        <v>5524</v>
      </c>
      <c r="J1717" s="10" t="s">
        <v>5525</v>
      </c>
      <c r="K1717" s="10" t="s">
        <v>5526</v>
      </c>
      <c r="L1717" s="65" t="str">
        <f t="shared" si="133"/>
        <v>Santa Rosa|Philippines|121,111389|14,312222|+8:00 Asia</v>
      </c>
      <c r="M1717" s="10" t="s">
        <v>5579</v>
      </c>
      <c r="N1717" s="10">
        <f t="shared" si="130"/>
        <v>0</v>
      </c>
      <c r="O1717" t="str">
        <f t="shared" si="134"/>
        <v/>
      </c>
      <c r="P1717" t="str">
        <f>IF(O1717=1,COUNTIF($O$2:O1717,1),"")</f>
        <v/>
      </c>
      <c r="Q1717" t="str">
        <f>IFERROR(INDEX($M$2:$M$2388,MATCH(ROWS($P$2:P1717),$P$2:$P$2388,0)),"")</f>
        <v/>
      </c>
    </row>
    <row r="1718" spans="1:17" ht="15" x14ac:dyDescent="0.25">
      <c r="A1718" s="10">
        <v>1747</v>
      </c>
      <c r="B1718" s="10" t="s">
        <v>5580</v>
      </c>
      <c r="C1718" s="880">
        <f t="shared" si="131"/>
        <v>120.56740000000001</v>
      </c>
      <c r="D1718" s="880">
        <f t="shared" si="132"/>
        <v>15.1622</v>
      </c>
      <c r="E1718" s="10">
        <v>120.567497</v>
      </c>
      <c r="F1718" s="10">
        <v>15.162222</v>
      </c>
      <c r="G1718" s="10">
        <v>8</v>
      </c>
      <c r="H1718" s="10" t="s">
        <v>1831</v>
      </c>
      <c r="I1718" s="10" t="s">
        <v>5524</v>
      </c>
      <c r="J1718" s="10" t="s">
        <v>5525</v>
      </c>
      <c r="K1718" s="10" t="s">
        <v>5526</v>
      </c>
      <c r="L1718" s="65" t="str">
        <f t="shared" si="133"/>
        <v>Santol|Philippines|120,567497|15,162222|+8:00 Asia</v>
      </c>
      <c r="M1718" s="10" t="s">
        <v>5581</v>
      </c>
      <c r="N1718" s="10">
        <f t="shared" si="130"/>
        <v>0</v>
      </c>
      <c r="O1718" t="str">
        <f t="shared" si="134"/>
        <v/>
      </c>
      <c r="P1718" t="str">
        <f>IF(O1718=1,COUNTIF($O$2:O1718,1),"")</f>
        <v/>
      </c>
      <c r="Q1718" t="str">
        <f>IFERROR(INDEX($M$2:$M$2388,MATCH(ROWS($P$2:P1718),$P$2:$P$2388,0)),"")</f>
        <v/>
      </c>
    </row>
    <row r="1719" spans="1:17" ht="15" x14ac:dyDescent="0.25">
      <c r="A1719" s="10">
        <v>1746</v>
      </c>
      <c r="B1719" s="10" t="s">
        <v>5582</v>
      </c>
      <c r="C1719" s="880">
        <f t="shared" si="131"/>
        <v>121.13249999999999</v>
      </c>
      <c r="D1719" s="880">
        <f t="shared" si="132"/>
        <v>14.569100000000001</v>
      </c>
      <c r="E1719" s="10">
        <v>121.13249999999999</v>
      </c>
      <c r="F1719" s="10">
        <v>14.569167</v>
      </c>
      <c r="G1719" s="10">
        <v>8</v>
      </c>
      <c r="H1719" s="10" t="s">
        <v>1831</v>
      </c>
      <c r="I1719" s="10" t="s">
        <v>5524</v>
      </c>
      <c r="J1719" s="10" t="s">
        <v>5525</v>
      </c>
      <c r="K1719" s="10" t="s">
        <v>5526</v>
      </c>
      <c r="L1719" s="65" t="str">
        <f t="shared" si="133"/>
        <v>Taytay|Philippines|121,132500|14,569167|+8:00 Asia</v>
      </c>
      <c r="M1719" s="10" t="s">
        <v>5583</v>
      </c>
      <c r="N1719" s="10">
        <f t="shared" si="130"/>
        <v>0</v>
      </c>
      <c r="O1719" t="str">
        <f t="shared" si="134"/>
        <v/>
      </c>
      <c r="P1719" t="str">
        <f>IF(O1719=1,COUNTIF($O$2:O1719,1),"")</f>
        <v/>
      </c>
      <c r="Q1719" t="str">
        <f>IFERROR(INDEX($M$2:$M$2388,MATCH(ROWS($P$2:P1719),$P$2:$P$2388,0)),"")</f>
        <v/>
      </c>
    </row>
    <row r="1720" spans="1:17" ht="15" x14ac:dyDescent="0.25">
      <c r="A1720" s="10">
        <v>1745</v>
      </c>
      <c r="B1720" s="10" t="s">
        <v>5584</v>
      </c>
      <c r="C1720" s="880">
        <f t="shared" si="131"/>
        <v>122.07380000000001</v>
      </c>
      <c r="D1720" s="880">
        <f t="shared" si="132"/>
        <v>6.9101999999999997</v>
      </c>
      <c r="E1720" s="10">
        <v>122.073891</v>
      </c>
      <c r="F1720" s="10">
        <v>6.9102779999999999</v>
      </c>
      <c r="G1720" s="10">
        <v>8</v>
      </c>
      <c r="H1720" s="10" t="s">
        <v>1831</v>
      </c>
      <c r="I1720" s="10" t="s">
        <v>5524</v>
      </c>
      <c r="J1720" s="10" t="s">
        <v>5525</v>
      </c>
      <c r="K1720" s="10" t="s">
        <v>5526</v>
      </c>
      <c r="L1720" s="65" t="str">
        <f t="shared" si="133"/>
        <v>Zamboanga|Philippines|122,073891|6,910278|+8:00 Asia</v>
      </c>
      <c r="M1720" s="10" t="s">
        <v>5585</v>
      </c>
      <c r="N1720" s="10">
        <f t="shared" si="130"/>
        <v>0</v>
      </c>
      <c r="O1720" t="str">
        <f t="shared" si="134"/>
        <v/>
      </c>
      <c r="P1720" t="str">
        <f>IF(O1720=1,COUNTIF($O$2:O1720,1),"")</f>
        <v/>
      </c>
      <c r="Q1720" t="str">
        <f>IFERROR(INDEX($M$2:$M$2388,MATCH(ROWS($P$2:P1720),$P$2:$P$2388,0)),"")</f>
        <v/>
      </c>
    </row>
    <row r="1721" spans="1:17" ht="15" x14ac:dyDescent="0.25">
      <c r="A1721" s="10">
        <v>1744</v>
      </c>
      <c r="B1721" s="10" t="s">
        <v>5586</v>
      </c>
      <c r="C1721" s="880">
        <f t="shared" si="131"/>
        <v>123.1991</v>
      </c>
      <c r="D1721" s="880">
        <f t="shared" si="132"/>
        <v>9.1050000000000004</v>
      </c>
      <c r="E1721" s="10">
        <v>123.19916499999999</v>
      </c>
      <c r="F1721" s="10">
        <v>9.1050000000000004</v>
      </c>
      <c r="G1721" s="10">
        <v>8</v>
      </c>
      <c r="H1721" s="10" t="s">
        <v>1831</v>
      </c>
      <c r="I1721" s="10" t="s">
        <v>5524</v>
      </c>
      <c r="J1721" s="10" t="s">
        <v>5525</v>
      </c>
      <c r="K1721" s="10" t="s">
        <v>5526</v>
      </c>
      <c r="L1721" s="65" t="str">
        <f t="shared" si="133"/>
        <v>Zamboanguita|Philippines|123,199165|9,105000|+8:00 Asia</v>
      </c>
      <c r="M1721" s="10" t="s">
        <v>5587</v>
      </c>
      <c r="N1721" s="10">
        <f t="shared" si="130"/>
        <v>0</v>
      </c>
      <c r="O1721" t="str">
        <f t="shared" si="134"/>
        <v/>
      </c>
      <c r="P1721" t="str">
        <f>IF(O1721=1,COUNTIF($O$2:O1721,1),"")</f>
        <v/>
      </c>
      <c r="Q1721" t="str">
        <f>IFERROR(INDEX($M$2:$M$2388,MATCH(ROWS($P$2:P1721),$P$2:$P$2388,0)),"")</f>
        <v/>
      </c>
    </row>
    <row r="1722" spans="1:17" ht="15" x14ac:dyDescent="0.25">
      <c r="A1722" s="10">
        <v>1743</v>
      </c>
      <c r="B1722" s="10" t="s">
        <v>2990</v>
      </c>
      <c r="C1722" s="880">
        <f t="shared" si="131"/>
        <v>119.9436</v>
      </c>
      <c r="D1722" s="880">
        <f t="shared" si="132"/>
        <v>16.388300000000001</v>
      </c>
      <c r="E1722" s="10">
        <v>119.943611</v>
      </c>
      <c r="F1722" s="10">
        <v>16.388331999999998</v>
      </c>
      <c r="G1722" s="10">
        <v>8</v>
      </c>
      <c r="H1722" s="10" t="s">
        <v>1873</v>
      </c>
      <c r="I1722" s="10" t="s">
        <v>5524</v>
      </c>
      <c r="J1722" s="10" t="s">
        <v>5525</v>
      </c>
      <c r="K1722" s="10" t="s">
        <v>2939</v>
      </c>
      <c r="L1722" s="65" t="str">
        <f t="shared" si="133"/>
        <v>Zaragoza|Philippines|119,943611|16,388332|-5:00 America</v>
      </c>
      <c r="M1722" s="10" t="s">
        <v>5588</v>
      </c>
      <c r="N1722" s="10">
        <f t="shared" si="130"/>
        <v>0</v>
      </c>
      <c r="O1722" t="str">
        <f t="shared" si="134"/>
        <v/>
      </c>
      <c r="P1722" t="str">
        <f>IF(O1722=1,COUNTIF($O$2:O1722,1),"")</f>
        <v/>
      </c>
      <c r="Q1722" t="str">
        <f>IFERROR(INDEX($M$2:$M$2388,MATCH(ROWS($P$2:P1722),$P$2:$P$2388,0)),"")</f>
        <v/>
      </c>
    </row>
    <row r="1723" spans="1:17" ht="15" x14ac:dyDescent="0.25">
      <c r="A1723" s="10">
        <v>1813</v>
      </c>
      <c r="B1723" s="10" t="s">
        <v>5589</v>
      </c>
      <c r="C1723" s="880">
        <f t="shared" si="131"/>
        <v>23.15</v>
      </c>
      <c r="D1723" s="880">
        <f t="shared" si="132"/>
        <v>53.133299999999998</v>
      </c>
      <c r="E1723" s="10">
        <v>23.15</v>
      </c>
      <c r="F1723" s="10">
        <v>53.133335000000002</v>
      </c>
      <c r="G1723" s="10">
        <v>1</v>
      </c>
      <c r="H1723" s="10" t="s">
        <v>1670</v>
      </c>
      <c r="I1723" s="10" t="s">
        <v>5590</v>
      </c>
      <c r="J1723" s="10" t="s">
        <v>5591</v>
      </c>
      <c r="K1723" s="10" t="s">
        <v>5592</v>
      </c>
      <c r="L1723" s="65" t="str">
        <f t="shared" si="133"/>
        <v>Bialystok|Poland|23,150000|53,133335|+1:00 Europe</v>
      </c>
      <c r="M1723" s="10" t="s">
        <v>5593</v>
      </c>
      <c r="N1723" s="10">
        <f t="shared" si="130"/>
        <v>0</v>
      </c>
      <c r="O1723" t="str">
        <f t="shared" si="134"/>
        <v/>
      </c>
      <c r="P1723" t="str">
        <f>IF(O1723=1,COUNTIF($O$2:O1723,1),"")</f>
        <v/>
      </c>
      <c r="Q1723" t="str">
        <f>IFERROR(INDEX($M$2:$M$2388,MATCH(ROWS($P$2:P1723),$P$2:$P$2388,0)),"")</f>
        <v/>
      </c>
    </row>
    <row r="1724" spans="1:17" ht="15" x14ac:dyDescent="0.25">
      <c r="A1724" s="10">
        <v>1825</v>
      </c>
      <c r="B1724" s="10" t="s">
        <v>5594</v>
      </c>
      <c r="C1724" s="880">
        <f t="shared" si="131"/>
        <v>18</v>
      </c>
      <c r="D1724" s="880">
        <f t="shared" si="132"/>
        <v>53.15</v>
      </c>
      <c r="E1724" s="10">
        <v>18</v>
      </c>
      <c r="F1724" s="10">
        <v>53.150002000000001</v>
      </c>
      <c r="G1724" s="10">
        <v>1</v>
      </c>
      <c r="H1724" s="10" t="s">
        <v>1670</v>
      </c>
      <c r="I1724" s="10" t="s">
        <v>5590</v>
      </c>
      <c r="J1724" s="10" t="s">
        <v>5591</v>
      </c>
      <c r="K1724" s="10" t="s">
        <v>5592</v>
      </c>
      <c r="L1724" s="65" t="str">
        <f t="shared" si="133"/>
        <v>Bydgoszcz|Poland|18,000000|53,150002|+1:00 Europe</v>
      </c>
      <c r="M1724" s="10" t="s">
        <v>5595</v>
      </c>
      <c r="N1724" s="10">
        <f t="shared" si="130"/>
        <v>0</v>
      </c>
      <c r="O1724" t="str">
        <f t="shared" si="134"/>
        <v/>
      </c>
      <c r="P1724" t="str">
        <f>IF(O1724=1,COUNTIF($O$2:O1724,1),"")</f>
        <v/>
      </c>
      <c r="Q1724" t="str">
        <f>IFERROR(INDEX($M$2:$M$2388,MATCH(ROWS($P$2:P1724),$P$2:$P$2388,0)),"")</f>
        <v/>
      </c>
    </row>
    <row r="1725" spans="1:17" ht="15" x14ac:dyDescent="0.25">
      <c r="A1725" s="10">
        <v>1824</v>
      </c>
      <c r="B1725" s="10" t="s">
        <v>5596</v>
      </c>
      <c r="C1725" s="880">
        <f t="shared" si="131"/>
        <v>19.116599999999998</v>
      </c>
      <c r="D1725" s="880">
        <f t="shared" si="132"/>
        <v>50.799900000000001</v>
      </c>
      <c r="E1725" s="10">
        <v>19.116667</v>
      </c>
      <c r="F1725" s="10">
        <v>50.799999</v>
      </c>
      <c r="G1725" s="10">
        <v>1</v>
      </c>
      <c r="H1725" s="10" t="s">
        <v>1670</v>
      </c>
      <c r="I1725" s="10" t="s">
        <v>5590</v>
      </c>
      <c r="J1725" s="10" t="s">
        <v>5591</v>
      </c>
      <c r="K1725" s="10" t="s">
        <v>5592</v>
      </c>
      <c r="L1725" s="65" t="str">
        <f t="shared" si="133"/>
        <v>Czestochowa|Poland|19,116667|50,799999|+1:00 Europe</v>
      </c>
      <c r="M1725" s="10" t="s">
        <v>5597</v>
      </c>
      <c r="N1725" s="10">
        <f t="shared" si="130"/>
        <v>0</v>
      </c>
      <c r="O1725" t="str">
        <f t="shared" si="134"/>
        <v/>
      </c>
      <c r="P1725" t="str">
        <f>IF(O1725=1,COUNTIF($O$2:O1725,1),"")</f>
        <v/>
      </c>
      <c r="Q1725" t="str">
        <f>IFERROR(INDEX($M$2:$M$2388,MATCH(ROWS($P$2:P1725),$P$2:$P$2388,0)),"")</f>
        <v/>
      </c>
    </row>
    <row r="1726" spans="1:17" ht="15" x14ac:dyDescent="0.25">
      <c r="A1726" s="10">
        <v>1823</v>
      </c>
      <c r="B1726" s="10" t="s">
        <v>5598</v>
      </c>
      <c r="C1726" s="880">
        <f t="shared" si="131"/>
        <v>18.666599999999999</v>
      </c>
      <c r="D1726" s="880">
        <f t="shared" si="132"/>
        <v>54.349899999999998</v>
      </c>
      <c r="E1726" s="10">
        <v>18.666665999999999</v>
      </c>
      <c r="F1726" s="10">
        <v>54.349997999999999</v>
      </c>
      <c r="G1726" s="10">
        <v>1</v>
      </c>
      <c r="H1726" s="10" t="s">
        <v>1670</v>
      </c>
      <c r="I1726" s="10" t="s">
        <v>5590</v>
      </c>
      <c r="J1726" s="10" t="s">
        <v>5591</v>
      </c>
      <c r="K1726" s="10" t="s">
        <v>5592</v>
      </c>
      <c r="L1726" s="65" t="str">
        <f t="shared" si="133"/>
        <v>Gdansk|Poland|18,666666|54,349998|+1:00 Europe</v>
      </c>
      <c r="M1726" s="10" t="s">
        <v>5599</v>
      </c>
      <c r="N1726" s="10">
        <f t="shared" si="130"/>
        <v>0</v>
      </c>
      <c r="O1726" t="str">
        <f t="shared" si="134"/>
        <v/>
      </c>
      <c r="P1726" t="str">
        <f>IF(O1726=1,COUNTIF($O$2:O1726,1),"")</f>
        <v/>
      </c>
      <c r="Q1726" t="str">
        <f>IFERROR(INDEX($M$2:$M$2388,MATCH(ROWS($P$2:P1726),$P$2:$P$2388,0)),"")</f>
        <v/>
      </c>
    </row>
    <row r="1727" spans="1:17" ht="15" x14ac:dyDescent="0.25">
      <c r="A1727" s="10">
        <v>1822</v>
      </c>
      <c r="B1727" s="10" t="s">
        <v>5600</v>
      </c>
      <c r="C1727" s="880">
        <f t="shared" si="131"/>
        <v>18.549900000000001</v>
      </c>
      <c r="D1727" s="880">
        <f t="shared" si="132"/>
        <v>54.5</v>
      </c>
      <c r="E1727" s="10">
        <v>18.549999</v>
      </c>
      <c r="F1727" s="10">
        <v>54.5</v>
      </c>
      <c r="G1727" s="10">
        <v>1</v>
      </c>
      <c r="H1727" s="10" t="s">
        <v>1670</v>
      </c>
      <c r="I1727" s="10" t="s">
        <v>5590</v>
      </c>
      <c r="J1727" s="10" t="s">
        <v>5591</v>
      </c>
      <c r="K1727" s="10" t="s">
        <v>5592</v>
      </c>
      <c r="L1727" s="65" t="str">
        <f t="shared" si="133"/>
        <v>Gdynia|Poland|18,549999|54,500000|+1:00 Europe</v>
      </c>
      <c r="M1727" s="10" t="s">
        <v>5601</v>
      </c>
      <c r="N1727" s="10">
        <f t="shared" si="130"/>
        <v>0</v>
      </c>
      <c r="O1727" t="str">
        <f t="shared" si="134"/>
        <v/>
      </c>
      <c r="P1727" t="str">
        <f>IF(O1727=1,COUNTIF($O$2:O1727,1),"")</f>
        <v/>
      </c>
      <c r="Q1727" t="str">
        <f>IFERROR(INDEX($M$2:$M$2388,MATCH(ROWS($P$2:P1727),$P$2:$P$2388,0)),"")</f>
        <v/>
      </c>
    </row>
    <row r="1728" spans="1:17" ht="15" x14ac:dyDescent="0.25">
      <c r="A1728" s="10">
        <v>1821</v>
      </c>
      <c r="B1728" s="10" t="s">
        <v>5602</v>
      </c>
      <c r="C1728" s="880">
        <f t="shared" si="131"/>
        <v>19.0166</v>
      </c>
      <c r="D1728" s="880">
        <f t="shared" si="132"/>
        <v>50.266599999999997</v>
      </c>
      <c r="E1728" s="10">
        <v>19.016666000000001</v>
      </c>
      <c r="F1728" s="10">
        <v>50.266666000000001</v>
      </c>
      <c r="G1728" s="10">
        <v>1</v>
      </c>
      <c r="H1728" s="10" t="s">
        <v>1670</v>
      </c>
      <c r="I1728" s="10" t="s">
        <v>5590</v>
      </c>
      <c r="J1728" s="10" t="s">
        <v>5591</v>
      </c>
      <c r="K1728" s="10" t="s">
        <v>5592</v>
      </c>
      <c r="L1728" s="65" t="str">
        <f t="shared" si="133"/>
        <v>Katowice|Poland|19,016666|50,266666|+1:00 Europe</v>
      </c>
      <c r="M1728" s="10" t="s">
        <v>5603</v>
      </c>
      <c r="N1728" s="10">
        <f t="shared" si="130"/>
        <v>0</v>
      </c>
      <c r="O1728" t="str">
        <f t="shared" si="134"/>
        <v/>
      </c>
      <c r="P1728" t="str">
        <f>IF(O1728=1,COUNTIF($O$2:O1728,1),"")</f>
        <v/>
      </c>
      <c r="Q1728" t="str">
        <f>IFERROR(INDEX($M$2:$M$2388,MATCH(ROWS($P$2:P1728),$P$2:$P$2388,0)),"")</f>
        <v/>
      </c>
    </row>
    <row r="1729" spans="1:17" ht="15" x14ac:dyDescent="0.25">
      <c r="A1729" s="10">
        <v>1812</v>
      </c>
      <c r="B1729" s="10" t="s">
        <v>5604</v>
      </c>
      <c r="C1729" s="880">
        <f t="shared" si="131"/>
        <v>20.666599999999999</v>
      </c>
      <c r="D1729" s="880">
        <f t="shared" si="132"/>
        <v>50.833300000000001</v>
      </c>
      <c r="E1729" s="10">
        <v>20.666665999999999</v>
      </c>
      <c r="F1729" s="10">
        <v>50.833331999999999</v>
      </c>
      <c r="G1729" s="10">
        <v>1</v>
      </c>
      <c r="H1729" s="10" t="s">
        <v>1670</v>
      </c>
      <c r="I1729" s="10" t="s">
        <v>5590</v>
      </c>
      <c r="J1729" s="10" t="s">
        <v>5591</v>
      </c>
      <c r="K1729" s="10" t="s">
        <v>5592</v>
      </c>
      <c r="L1729" s="65" t="str">
        <f t="shared" si="133"/>
        <v>Kielce|Poland|20,666666|50,833332|+1:00 Europe</v>
      </c>
      <c r="M1729" s="10" t="s">
        <v>5605</v>
      </c>
      <c r="N1729" s="10">
        <f t="shared" si="130"/>
        <v>0</v>
      </c>
      <c r="O1729" t="str">
        <f t="shared" si="134"/>
        <v/>
      </c>
      <c r="P1729" t="str">
        <f>IF(O1729=1,COUNTIF($O$2:O1729,1),"")</f>
        <v/>
      </c>
      <c r="Q1729" t="str">
        <f>IFERROR(INDEX($M$2:$M$2388,MATCH(ROWS($P$2:P1729),$P$2:$P$2388,0)),"")</f>
        <v/>
      </c>
    </row>
    <row r="1730" spans="1:17" ht="15" x14ac:dyDescent="0.25">
      <c r="A1730" s="10">
        <v>1820</v>
      </c>
      <c r="B1730" s="10" t="s">
        <v>5606</v>
      </c>
      <c r="C1730" s="880">
        <f t="shared" si="131"/>
        <v>19.916599999999999</v>
      </c>
      <c r="D1730" s="880">
        <f t="shared" si="132"/>
        <v>50.083300000000001</v>
      </c>
      <c r="E1730" s="10">
        <v>19.916665999999999</v>
      </c>
      <c r="F1730" s="10">
        <v>50.083331999999999</v>
      </c>
      <c r="G1730" s="10">
        <v>1</v>
      </c>
      <c r="H1730" s="10" t="s">
        <v>1670</v>
      </c>
      <c r="I1730" s="10" t="s">
        <v>5590</v>
      </c>
      <c r="J1730" s="10" t="s">
        <v>5591</v>
      </c>
      <c r="K1730" s="10" t="s">
        <v>5592</v>
      </c>
      <c r="L1730" s="65" t="str">
        <f t="shared" si="133"/>
        <v>Krakow|Poland|19,916666|50,083332|+1:00 Europe</v>
      </c>
      <c r="M1730" s="10" t="s">
        <v>5607</v>
      </c>
      <c r="N1730" s="10">
        <f t="shared" ref="N1730:N1793" si="135">--ISNUMBER(IFERROR(SEARCH($R$2,J1730,1),""))</f>
        <v>0</v>
      </c>
      <c r="O1730" t="str">
        <f t="shared" si="134"/>
        <v/>
      </c>
      <c r="P1730" t="str">
        <f>IF(O1730=1,COUNTIF($O$2:O1730,1),"")</f>
        <v/>
      </c>
      <c r="Q1730" t="str">
        <f>IFERROR(INDEX($M$2:$M$2388,MATCH(ROWS($P$2:P1730),$P$2:$P$2388,0)),"")</f>
        <v/>
      </c>
    </row>
    <row r="1731" spans="1:17" ht="15" x14ac:dyDescent="0.25">
      <c r="A1731" s="10">
        <v>1819</v>
      </c>
      <c r="B1731" s="10" t="s">
        <v>5608</v>
      </c>
      <c r="C1731" s="880">
        <f t="shared" ref="C1731:C1794" si="136">TRUNC(E1731,4)</f>
        <v>19.4666</v>
      </c>
      <c r="D1731" s="880">
        <f t="shared" ref="D1731:D1794" si="137">TRUNC(F1731,4)</f>
        <v>51.75</v>
      </c>
      <c r="E1731" s="10">
        <v>19.466667000000001</v>
      </c>
      <c r="F1731" s="10">
        <v>51.75</v>
      </c>
      <c r="G1731" s="10">
        <v>1</v>
      </c>
      <c r="H1731" s="10" t="s">
        <v>1670</v>
      </c>
      <c r="I1731" s="10" t="s">
        <v>5590</v>
      </c>
      <c r="J1731" s="10" t="s">
        <v>5591</v>
      </c>
      <c r="K1731" s="10" t="s">
        <v>5592</v>
      </c>
      <c r="L1731" s="65" t="str">
        <f t="shared" ref="L1731:L1794" si="138">MID(M1731,1,LEN(M1731)-(LEN(K1731)-SEARCH("/",K1731)+1))</f>
        <v>Lodz|Poland|19,466667|51,750000|+1:00 Europe</v>
      </c>
      <c r="M1731" s="10" t="s">
        <v>5609</v>
      </c>
      <c r="N1731" s="10">
        <f t="shared" si="135"/>
        <v>0</v>
      </c>
      <c r="O1731" t="str">
        <f t="shared" ref="O1731:O1794" si="139">IF(N1731=0,"",--ISNUMBER(IFERROR(SEARCH($U$2,L1731,1),"")))</f>
        <v/>
      </c>
      <c r="P1731" t="str">
        <f>IF(O1731=1,COUNTIF($O$2:O1731,1),"")</f>
        <v/>
      </c>
      <c r="Q1731" t="str">
        <f>IFERROR(INDEX($M$2:$M$2388,MATCH(ROWS($P$2:P1731),$P$2:$P$2388,0)),"")</f>
        <v/>
      </c>
    </row>
    <row r="1732" spans="1:17" ht="15" x14ac:dyDescent="0.25">
      <c r="A1732" s="10">
        <v>1811</v>
      </c>
      <c r="B1732" s="10" t="s">
        <v>5610</v>
      </c>
      <c r="C1732" s="880">
        <f t="shared" si="136"/>
        <v>22.566600000000001</v>
      </c>
      <c r="D1732" s="880">
        <f t="shared" si="137"/>
        <v>51.25</v>
      </c>
      <c r="E1732" s="10">
        <v>22.566668</v>
      </c>
      <c r="F1732" s="10">
        <v>51.25</v>
      </c>
      <c r="G1732" s="10">
        <v>1</v>
      </c>
      <c r="H1732" s="10" t="s">
        <v>1670</v>
      </c>
      <c r="I1732" s="10" t="s">
        <v>5590</v>
      </c>
      <c r="J1732" s="10" t="s">
        <v>5591</v>
      </c>
      <c r="K1732" s="10" t="s">
        <v>5592</v>
      </c>
      <c r="L1732" s="65" t="str">
        <f t="shared" si="138"/>
        <v>Lublin|Poland|22,566668|51,250000|+1:00 Europe</v>
      </c>
      <c r="M1732" s="10" t="s">
        <v>5611</v>
      </c>
      <c r="N1732" s="10">
        <f t="shared" si="135"/>
        <v>0</v>
      </c>
      <c r="O1732" t="str">
        <f t="shared" si="139"/>
        <v/>
      </c>
      <c r="P1732" t="str">
        <f>IF(O1732=1,COUNTIF($O$2:O1732,1),"")</f>
        <v/>
      </c>
      <c r="Q1732" t="str">
        <f>IFERROR(INDEX($M$2:$M$2388,MATCH(ROWS($P$2:P1732),$P$2:$P$2388,0)),"")</f>
        <v/>
      </c>
    </row>
    <row r="1733" spans="1:17" ht="15" x14ac:dyDescent="0.25">
      <c r="A1733" s="10">
        <v>1818</v>
      </c>
      <c r="B1733" s="10" t="s">
        <v>5612</v>
      </c>
      <c r="C1733" s="880">
        <f t="shared" si="136"/>
        <v>16.9666</v>
      </c>
      <c r="D1733" s="880">
        <f t="shared" si="137"/>
        <v>52.416600000000003</v>
      </c>
      <c r="E1733" s="10">
        <v>16.966667000000001</v>
      </c>
      <c r="F1733" s="10">
        <v>52.416668000000001</v>
      </c>
      <c r="G1733" s="10">
        <v>1</v>
      </c>
      <c r="H1733" s="10" t="s">
        <v>1670</v>
      </c>
      <c r="I1733" s="10" t="s">
        <v>5590</v>
      </c>
      <c r="J1733" s="10" t="s">
        <v>5591</v>
      </c>
      <c r="K1733" s="10" t="s">
        <v>5592</v>
      </c>
      <c r="L1733" s="65" t="str">
        <f t="shared" si="138"/>
        <v>Poznan|Poland|16,966667|52,416668|+1:00 Europe</v>
      </c>
      <c r="M1733" s="10" t="s">
        <v>5613</v>
      </c>
      <c r="N1733" s="10">
        <f t="shared" si="135"/>
        <v>0</v>
      </c>
      <c r="O1733" t="str">
        <f t="shared" si="139"/>
        <v/>
      </c>
      <c r="P1733" t="str">
        <f>IF(O1733=1,COUNTIF($O$2:O1733,1),"")</f>
        <v/>
      </c>
      <c r="Q1733" t="str">
        <f>IFERROR(INDEX($M$2:$M$2388,MATCH(ROWS($P$2:P1733),$P$2:$P$2388,0)),"")</f>
        <v/>
      </c>
    </row>
    <row r="1734" spans="1:17" ht="15" x14ac:dyDescent="0.25">
      <c r="A1734" s="10">
        <v>1810</v>
      </c>
      <c r="B1734" s="10" t="s">
        <v>5614</v>
      </c>
      <c r="C1734" s="880">
        <f t="shared" si="136"/>
        <v>21.15</v>
      </c>
      <c r="D1734" s="880">
        <f t="shared" si="137"/>
        <v>51.416600000000003</v>
      </c>
      <c r="E1734" s="10">
        <v>21.15</v>
      </c>
      <c r="F1734" s="10">
        <v>51.416668000000001</v>
      </c>
      <c r="G1734" s="10">
        <v>1</v>
      </c>
      <c r="H1734" s="10" t="s">
        <v>1670</v>
      </c>
      <c r="I1734" s="10" t="s">
        <v>5590</v>
      </c>
      <c r="J1734" s="10" t="s">
        <v>5591</v>
      </c>
      <c r="K1734" s="10" t="s">
        <v>5592</v>
      </c>
      <c r="L1734" s="65" t="str">
        <f t="shared" si="138"/>
        <v>Radom|Poland|21,150000|51,416668|+1:00 Europe</v>
      </c>
      <c r="M1734" s="10" t="s">
        <v>5615</v>
      </c>
      <c r="N1734" s="10">
        <f t="shared" si="135"/>
        <v>0</v>
      </c>
      <c r="O1734" t="str">
        <f t="shared" si="139"/>
        <v/>
      </c>
      <c r="P1734" t="str">
        <f>IF(O1734=1,COUNTIF($O$2:O1734,1),"")</f>
        <v/>
      </c>
      <c r="Q1734" t="str">
        <f>IFERROR(INDEX($M$2:$M$2388,MATCH(ROWS($P$2:P1734),$P$2:$P$2388,0)),"")</f>
        <v/>
      </c>
    </row>
    <row r="1735" spans="1:17" ht="15" x14ac:dyDescent="0.25">
      <c r="A1735" s="10">
        <v>1817</v>
      </c>
      <c r="B1735" s="10" t="s">
        <v>5616</v>
      </c>
      <c r="C1735" s="880">
        <f t="shared" si="136"/>
        <v>19.166599999999999</v>
      </c>
      <c r="D1735" s="880">
        <f t="shared" si="137"/>
        <v>50.299900000000001</v>
      </c>
      <c r="E1735" s="10">
        <v>19.166665999999999</v>
      </c>
      <c r="F1735" s="10">
        <v>50.299999</v>
      </c>
      <c r="G1735" s="10">
        <v>1</v>
      </c>
      <c r="H1735" s="10" t="s">
        <v>1670</v>
      </c>
      <c r="I1735" s="10" t="s">
        <v>5590</v>
      </c>
      <c r="J1735" s="10" t="s">
        <v>5591</v>
      </c>
      <c r="K1735" s="10" t="s">
        <v>5592</v>
      </c>
      <c r="L1735" s="65" t="str">
        <f t="shared" si="138"/>
        <v>Sosnowiec|Poland|19,166666|50,299999|+1:00 Europe</v>
      </c>
      <c r="M1735" s="10" t="s">
        <v>5617</v>
      </c>
      <c r="N1735" s="10">
        <f t="shared" si="135"/>
        <v>0</v>
      </c>
      <c r="O1735" t="str">
        <f t="shared" si="139"/>
        <v/>
      </c>
      <c r="P1735" t="str">
        <f>IF(O1735=1,COUNTIF($O$2:O1735,1),"")</f>
        <v/>
      </c>
      <c r="Q1735" t="str">
        <f>IFERROR(INDEX($M$2:$M$2388,MATCH(ROWS($P$2:P1735),$P$2:$P$2388,0)),"")</f>
        <v/>
      </c>
    </row>
    <row r="1736" spans="1:17" ht="15" x14ac:dyDescent="0.25">
      <c r="A1736" s="10">
        <v>1816</v>
      </c>
      <c r="B1736" s="10" t="s">
        <v>5618</v>
      </c>
      <c r="C1736" s="880">
        <f t="shared" si="136"/>
        <v>14.5166</v>
      </c>
      <c r="D1736" s="880">
        <f t="shared" si="137"/>
        <v>53.45</v>
      </c>
      <c r="E1736" s="10">
        <v>14.516666000000001</v>
      </c>
      <c r="F1736" s="10">
        <v>53.450001</v>
      </c>
      <c r="G1736" s="10">
        <v>1</v>
      </c>
      <c r="H1736" s="10" t="s">
        <v>1670</v>
      </c>
      <c r="I1736" s="10" t="s">
        <v>5590</v>
      </c>
      <c r="J1736" s="10" t="s">
        <v>5591</v>
      </c>
      <c r="K1736" s="10" t="s">
        <v>5592</v>
      </c>
      <c r="L1736" s="65" t="str">
        <f t="shared" si="138"/>
        <v>Szczecin Pogodno|Poland|14,516666|53,450001|+1:00 Europe</v>
      </c>
      <c r="M1736" s="10" t="s">
        <v>5619</v>
      </c>
      <c r="N1736" s="10">
        <f t="shared" si="135"/>
        <v>0</v>
      </c>
      <c r="O1736" t="str">
        <f t="shared" si="139"/>
        <v/>
      </c>
      <c r="P1736" t="str">
        <f>IF(O1736=1,COUNTIF($O$2:O1736,1),"")</f>
        <v/>
      </c>
      <c r="Q1736" t="str">
        <f>IFERROR(INDEX($M$2:$M$2388,MATCH(ROWS($P$2:P1736),$P$2:$P$2388,0)),"")</f>
        <v/>
      </c>
    </row>
    <row r="1737" spans="1:17" ht="15" x14ac:dyDescent="0.25">
      <c r="A1737" s="10">
        <v>1815</v>
      </c>
      <c r="B1737" s="10" t="s">
        <v>5620</v>
      </c>
      <c r="C1737" s="880">
        <f t="shared" si="136"/>
        <v>18.600000000000001</v>
      </c>
      <c r="D1737" s="880">
        <f t="shared" si="137"/>
        <v>53.033299999999997</v>
      </c>
      <c r="E1737" s="10">
        <v>18.600000000000001</v>
      </c>
      <c r="F1737" s="10">
        <v>53.033332999999999</v>
      </c>
      <c r="G1737" s="10">
        <v>1</v>
      </c>
      <c r="H1737" s="10" t="s">
        <v>1670</v>
      </c>
      <c r="I1737" s="10" t="s">
        <v>5590</v>
      </c>
      <c r="J1737" s="10" t="s">
        <v>5591</v>
      </c>
      <c r="K1737" s="10" t="s">
        <v>5592</v>
      </c>
      <c r="L1737" s="65" t="str">
        <f t="shared" si="138"/>
        <v>Torun|Poland|18,600000|53,033333|+1:00 Europe</v>
      </c>
      <c r="M1737" s="10" t="s">
        <v>5621</v>
      </c>
      <c r="N1737" s="10">
        <f t="shared" si="135"/>
        <v>0</v>
      </c>
      <c r="O1737" t="str">
        <f t="shared" si="139"/>
        <v/>
      </c>
      <c r="P1737" t="str">
        <f>IF(O1737=1,COUNTIF($O$2:O1737,1),"")</f>
        <v/>
      </c>
      <c r="Q1737" t="str">
        <f>IFERROR(INDEX($M$2:$M$2388,MATCH(ROWS($P$2:P1737),$P$2:$P$2388,0)),"")</f>
        <v/>
      </c>
    </row>
    <row r="1738" spans="1:17" ht="15" x14ac:dyDescent="0.25">
      <c r="A1738" s="10">
        <v>1809</v>
      </c>
      <c r="B1738" s="10" t="s">
        <v>5622</v>
      </c>
      <c r="C1738" s="880">
        <f t="shared" si="136"/>
        <v>21</v>
      </c>
      <c r="D1738" s="880">
        <f t="shared" si="137"/>
        <v>52.25</v>
      </c>
      <c r="E1738" s="10">
        <v>21</v>
      </c>
      <c r="F1738" s="10">
        <v>52.25</v>
      </c>
      <c r="G1738" s="10">
        <v>1</v>
      </c>
      <c r="H1738" s="10" t="s">
        <v>1670</v>
      </c>
      <c r="I1738" s="10" t="s">
        <v>5590</v>
      </c>
      <c r="J1738" s="10" t="s">
        <v>5591</v>
      </c>
      <c r="K1738" s="10" t="s">
        <v>5592</v>
      </c>
      <c r="L1738" s="65" t="str">
        <f t="shared" si="138"/>
        <v>Warsaw|Poland|21,000000|52,250000|+1:00 Europe</v>
      </c>
      <c r="M1738" s="10" t="s">
        <v>5623</v>
      </c>
      <c r="N1738" s="10">
        <f t="shared" si="135"/>
        <v>0</v>
      </c>
      <c r="O1738" t="str">
        <f t="shared" si="139"/>
        <v/>
      </c>
      <c r="P1738" t="str">
        <f>IF(O1738=1,COUNTIF($O$2:O1738,1),"")</f>
        <v/>
      </c>
      <c r="Q1738" t="str">
        <f>IFERROR(INDEX($M$2:$M$2388,MATCH(ROWS($P$2:P1738),$P$2:$P$2388,0)),"")</f>
        <v/>
      </c>
    </row>
    <row r="1739" spans="1:17" ht="15" x14ac:dyDescent="0.25">
      <c r="A1739" s="10">
        <v>1814</v>
      </c>
      <c r="B1739" s="10" t="s">
        <v>5624</v>
      </c>
      <c r="C1739" s="880">
        <f t="shared" si="136"/>
        <v>17.033300000000001</v>
      </c>
      <c r="D1739" s="880">
        <f t="shared" si="137"/>
        <v>51.099899999999998</v>
      </c>
      <c r="E1739" s="10">
        <v>17.033332999999999</v>
      </c>
      <c r="F1739" s="10">
        <v>51.099997999999999</v>
      </c>
      <c r="G1739" s="10">
        <v>1</v>
      </c>
      <c r="H1739" s="10" t="s">
        <v>1670</v>
      </c>
      <c r="I1739" s="10" t="s">
        <v>5590</v>
      </c>
      <c r="J1739" s="10" t="s">
        <v>5591</v>
      </c>
      <c r="K1739" s="10" t="s">
        <v>5592</v>
      </c>
      <c r="L1739" s="65" t="str">
        <f t="shared" si="138"/>
        <v>Wroclaw|Poland|17,033333|51,099998|+1:00 Europe</v>
      </c>
      <c r="M1739" s="10" t="s">
        <v>5625</v>
      </c>
      <c r="N1739" s="10">
        <f t="shared" si="135"/>
        <v>0</v>
      </c>
      <c r="O1739" t="str">
        <f t="shared" si="139"/>
        <v/>
      </c>
      <c r="P1739" t="str">
        <f>IF(O1739=1,COUNTIF($O$2:O1739,1),"")</f>
        <v/>
      </c>
      <c r="Q1739" t="str">
        <f>IFERROR(INDEX($M$2:$M$2388,MATCH(ROWS($P$2:P1739),$P$2:$P$2388,0)),"")</f>
        <v/>
      </c>
    </row>
    <row r="1740" spans="1:17" ht="15" x14ac:dyDescent="0.25">
      <c r="A1740" s="10">
        <v>1808</v>
      </c>
      <c r="B1740" s="10" t="s">
        <v>5626</v>
      </c>
      <c r="C1740" s="880">
        <f t="shared" si="136"/>
        <v>23.25</v>
      </c>
      <c r="D1740" s="880">
        <f t="shared" si="137"/>
        <v>50.7166</v>
      </c>
      <c r="E1740" s="10">
        <v>23.25</v>
      </c>
      <c r="F1740" s="10">
        <v>50.716667000000001</v>
      </c>
      <c r="G1740" s="10">
        <v>1</v>
      </c>
      <c r="H1740" s="10" t="s">
        <v>1670</v>
      </c>
      <c r="I1740" s="10" t="s">
        <v>5590</v>
      </c>
      <c r="J1740" s="10" t="s">
        <v>5591</v>
      </c>
      <c r="K1740" s="10" t="s">
        <v>5592</v>
      </c>
      <c r="L1740" s="65" t="str">
        <f t="shared" si="138"/>
        <v>Zamosc|Poland|23,250000|50,716667|+1:00 Europe</v>
      </c>
      <c r="M1740" s="10" t="s">
        <v>5627</v>
      </c>
      <c r="N1740" s="10">
        <f t="shared" si="135"/>
        <v>0</v>
      </c>
      <c r="O1740" t="str">
        <f t="shared" si="139"/>
        <v/>
      </c>
      <c r="P1740" t="str">
        <f>IF(O1740=1,COUNTIF($O$2:O1740,1),"")</f>
        <v/>
      </c>
      <c r="Q1740" t="str">
        <f>IFERROR(INDEX($M$2:$M$2388,MATCH(ROWS($P$2:P1740),$P$2:$P$2388,0)),"")</f>
        <v/>
      </c>
    </row>
    <row r="1741" spans="1:17" ht="15" x14ac:dyDescent="0.25">
      <c r="A1741" s="10">
        <v>1807</v>
      </c>
      <c r="B1741" s="10" t="s">
        <v>5628</v>
      </c>
      <c r="C1741" s="880">
        <f t="shared" si="136"/>
        <v>21.166599999999999</v>
      </c>
      <c r="D1741" s="880">
        <f t="shared" si="137"/>
        <v>52.299900000000001</v>
      </c>
      <c r="E1741" s="10">
        <v>21.166665999999999</v>
      </c>
      <c r="F1741" s="10">
        <v>52.299999</v>
      </c>
      <c r="G1741" s="10">
        <v>1</v>
      </c>
      <c r="H1741" s="10" t="s">
        <v>1670</v>
      </c>
      <c r="I1741" s="10" t="s">
        <v>5590</v>
      </c>
      <c r="J1741" s="10" t="s">
        <v>5591</v>
      </c>
      <c r="K1741" s="10" t="s">
        <v>5592</v>
      </c>
      <c r="L1741" s="65" t="str">
        <f t="shared" si="138"/>
        <v>Zielonka|Poland|21,166666|52,299999|+1:00 Europe</v>
      </c>
      <c r="M1741" s="10" t="s">
        <v>5629</v>
      </c>
      <c r="N1741" s="10">
        <f t="shared" si="135"/>
        <v>0</v>
      </c>
      <c r="O1741" t="str">
        <f t="shared" si="139"/>
        <v/>
      </c>
      <c r="P1741" t="str">
        <f>IF(O1741=1,COUNTIF($O$2:O1741,1),"")</f>
        <v/>
      </c>
      <c r="Q1741" t="str">
        <f>IFERROR(INDEX($M$2:$M$2388,MATCH(ROWS($P$2:P1741),$P$2:$P$2388,0)),"")</f>
        <v/>
      </c>
    </row>
    <row r="1742" spans="1:17" ht="15" x14ac:dyDescent="0.25">
      <c r="A1742" s="10">
        <v>1806</v>
      </c>
      <c r="B1742" s="10" t="s">
        <v>5630</v>
      </c>
      <c r="C1742" s="880">
        <f t="shared" si="136"/>
        <v>20.433299999999999</v>
      </c>
      <c r="D1742" s="880">
        <f t="shared" si="137"/>
        <v>52.066600000000001</v>
      </c>
      <c r="E1742" s="10">
        <v>20.433332</v>
      </c>
      <c r="F1742" s="10">
        <v>52.066665999999998</v>
      </c>
      <c r="G1742" s="10">
        <v>1</v>
      </c>
      <c r="H1742" s="10" t="s">
        <v>1670</v>
      </c>
      <c r="I1742" s="10" t="s">
        <v>5590</v>
      </c>
      <c r="J1742" s="10" t="s">
        <v>5591</v>
      </c>
      <c r="K1742" s="10" t="s">
        <v>5592</v>
      </c>
      <c r="L1742" s="65" t="str">
        <f t="shared" si="138"/>
        <v>Zyrardow|Poland|20,433332|52,066666|+1:00 Europe</v>
      </c>
      <c r="M1742" s="10" t="s">
        <v>5631</v>
      </c>
      <c r="N1742" s="10">
        <f t="shared" si="135"/>
        <v>0</v>
      </c>
      <c r="O1742" t="str">
        <f t="shared" si="139"/>
        <v/>
      </c>
      <c r="P1742" t="str">
        <f>IF(O1742=1,COUNTIF($O$2:O1742,1),"")</f>
        <v/>
      </c>
      <c r="Q1742" t="str">
        <f>IFERROR(INDEX($M$2:$M$2388,MATCH(ROWS($P$2:P1742),$P$2:$P$2388,0)),"")</f>
        <v/>
      </c>
    </row>
    <row r="1743" spans="1:17" ht="15" x14ac:dyDescent="0.25">
      <c r="A1743" s="10">
        <v>776</v>
      </c>
      <c r="B1743" s="10" t="s">
        <v>5632</v>
      </c>
      <c r="C1743" s="880">
        <f t="shared" si="136"/>
        <v>138.12909999999999</v>
      </c>
      <c r="D1743" s="880">
        <f t="shared" si="137"/>
        <v>9.5144000000000002</v>
      </c>
      <c r="E1743" s="10">
        <v>138.129166</v>
      </c>
      <c r="F1743" s="10">
        <v>9.5144439999999992</v>
      </c>
      <c r="G1743" s="10">
        <v>11</v>
      </c>
      <c r="H1743" s="10" t="s">
        <v>5195</v>
      </c>
      <c r="I1743" s="10" t="s">
        <v>694</v>
      </c>
      <c r="J1743" s="10" t="s">
        <v>5633</v>
      </c>
      <c r="K1743" s="10" t="s">
        <v>5634</v>
      </c>
      <c r="L1743" s="65" t="str">
        <f t="shared" si="138"/>
        <v>Colonia|Ponape|138,129166|9,514444|+11:00 Pacific</v>
      </c>
      <c r="M1743" s="10" t="s">
        <v>5635</v>
      </c>
      <c r="N1743" s="10">
        <f t="shared" si="135"/>
        <v>0</v>
      </c>
      <c r="O1743" t="str">
        <f t="shared" si="139"/>
        <v/>
      </c>
      <c r="P1743" t="str">
        <f>IF(O1743=1,COUNTIF($O$2:O1743,1),"")</f>
        <v/>
      </c>
      <c r="Q1743" t="str">
        <f>IFERROR(INDEX($M$2:$M$2388,MATCH(ROWS($P$2:P1743),$P$2:$P$2388,0)),"")</f>
        <v/>
      </c>
    </row>
    <row r="1744" spans="1:17" ht="15" x14ac:dyDescent="0.25">
      <c r="A1744" s="10">
        <v>778</v>
      </c>
      <c r="B1744" s="10" t="s">
        <v>5636</v>
      </c>
      <c r="C1744" s="880">
        <f t="shared" si="136"/>
        <v>163.00360000000001</v>
      </c>
      <c r="D1744" s="880">
        <f t="shared" si="137"/>
        <v>5.3147000000000002</v>
      </c>
      <c r="E1744" s="10">
        <v>163.00361599999999</v>
      </c>
      <c r="F1744" s="10">
        <v>5.3147219999999997</v>
      </c>
      <c r="G1744" s="10">
        <v>11</v>
      </c>
      <c r="H1744" s="10" t="s">
        <v>5195</v>
      </c>
      <c r="I1744" s="10" t="s">
        <v>694</v>
      </c>
      <c r="J1744" s="10" t="s">
        <v>5633</v>
      </c>
      <c r="K1744" s="10" t="s">
        <v>5637</v>
      </c>
      <c r="L1744" s="65" t="str">
        <f t="shared" si="138"/>
        <v>Toynim|Ponape|163,003616|5,314722|+11:00 Pacific</v>
      </c>
      <c r="M1744" s="10" t="s">
        <v>5638</v>
      </c>
      <c r="N1744" s="10">
        <f t="shared" si="135"/>
        <v>0</v>
      </c>
      <c r="O1744" t="str">
        <f t="shared" si="139"/>
        <v/>
      </c>
      <c r="P1744" t="str">
        <f>IF(O1744=1,COUNTIF($O$2:O1744,1),"")</f>
        <v/>
      </c>
      <c r="Q1744" t="str">
        <f>IFERROR(INDEX($M$2:$M$2388,MATCH(ROWS($P$2:P1744),$P$2:$P$2388,0)),"")</f>
        <v/>
      </c>
    </row>
    <row r="1745" spans="1:17" ht="15" x14ac:dyDescent="0.25">
      <c r="A1745" s="10">
        <v>777</v>
      </c>
      <c r="B1745" s="10" t="s">
        <v>5639</v>
      </c>
      <c r="C1745" s="880">
        <f t="shared" si="136"/>
        <v>151.85</v>
      </c>
      <c r="D1745" s="880">
        <f t="shared" si="137"/>
        <v>7.4458000000000002</v>
      </c>
      <c r="E1745" s="10">
        <v>151.85000600000001</v>
      </c>
      <c r="F1745" s="10">
        <v>7.4458330000000004</v>
      </c>
      <c r="G1745" s="10">
        <v>11</v>
      </c>
      <c r="H1745" s="10" t="s">
        <v>5195</v>
      </c>
      <c r="I1745" s="10" t="s">
        <v>694</v>
      </c>
      <c r="J1745" s="10" t="s">
        <v>5633</v>
      </c>
      <c r="K1745" s="10" t="s">
        <v>5634</v>
      </c>
      <c r="L1745" s="65" t="str">
        <f t="shared" si="138"/>
        <v>Weno|Ponape|151,850006|7,445833|+11:00 Pacific</v>
      </c>
      <c r="M1745" s="10" t="s">
        <v>5640</v>
      </c>
      <c r="N1745" s="10">
        <f t="shared" si="135"/>
        <v>0</v>
      </c>
      <c r="O1745" t="str">
        <f t="shared" si="139"/>
        <v/>
      </c>
      <c r="P1745" t="str">
        <f>IF(O1745=1,COUNTIF($O$2:O1745,1),"")</f>
        <v/>
      </c>
      <c r="Q1745" t="str">
        <f>IFERROR(INDEX($M$2:$M$2388,MATCH(ROWS($P$2:P1745),$P$2:$P$2388,0)),"")</f>
        <v/>
      </c>
    </row>
    <row r="1746" spans="1:17" ht="15" x14ac:dyDescent="0.25">
      <c r="A1746" s="10">
        <v>1839</v>
      </c>
      <c r="B1746" s="10" t="s">
        <v>5641</v>
      </c>
      <c r="C1746" s="880">
        <f t="shared" si="136"/>
        <v>-9.1333000000000002</v>
      </c>
      <c r="D1746" s="880">
        <f t="shared" si="137"/>
        <v>38.7166</v>
      </c>
      <c r="E1746" s="10">
        <v>-9.1333330000000004</v>
      </c>
      <c r="F1746" s="10">
        <v>38.716667000000001</v>
      </c>
      <c r="G1746" s="10">
        <v>0</v>
      </c>
      <c r="H1746" s="10" t="s">
        <v>2318</v>
      </c>
      <c r="I1746" s="10" t="s">
        <v>5642</v>
      </c>
      <c r="J1746" s="10" t="s">
        <v>5643</v>
      </c>
      <c r="K1746" s="10" t="s">
        <v>5644</v>
      </c>
      <c r="L1746" s="65" t="str">
        <f t="shared" si="138"/>
        <v>Lisbon|Portugal|-9,133333|38,716667|+0:00 Europe</v>
      </c>
      <c r="M1746" s="10" t="s">
        <v>5645</v>
      </c>
      <c r="N1746" s="10">
        <f t="shared" si="135"/>
        <v>0</v>
      </c>
      <c r="O1746" t="str">
        <f t="shared" si="139"/>
        <v/>
      </c>
      <c r="P1746" t="str">
        <f>IF(O1746=1,COUNTIF($O$2:O1746,1),"")</f>
        <v/>
      </c>
      <c r="Q1746" t="str">
        <f>IFERROR(INDEX($M$2:$M$2388,MATCH(ROWS($P$2:P1746),$P$2:$P$2388,0)),"")</f>
        <v/>
      </c>
    </row>
    <row r="1747" spans="1:17" ht="15" x14ac:dyDescent="0.25">
      <c r="A1747" s="10">
        <v>1840</v>
      </c>
      <c r="B1747" s="10" t="s">
        <v>5646</v>
      </c>
      <c r="C1747" s="880">
        <f t="shared" si="136"/>
        <v>-8.6166</v>
      </c>
      <c r="D1747" s="880">
        <f t="shared" si="137"/>
        <v>41.15</v>
      </c>
      <c r="E1747" s="10">
        <v>-8.6166669999999996</v>
      </c>
      <c r="F1747" s="10">
        <v>41.150002000000001</v>
      </c>
      <c r="G1747" s="10">
        <v>0</v>
      </c>
      <c r="H1747" s="10" t="s">
        <v>2318</v>
      </c>
      <c r="I1747" s="10" t="s">
        <v>5642</v>
      </c>
      <c r="J1747" s="10" t="s">
        <v>5643</v>
      </c>
      <c r="K1747" s="10" t="s">
        <v>5644</v>
      </c>
      <c r="L1747" s="65" t="str">
        <f t="shared" si="138"/>
        <v>Porto|Portugal|-8,616667|41,150002|+0:00 Europe</v>
      </c>
      <c r="M1747" s="10" t="s">
        <v>5647</v>
      </c>
      <c r="N1747" s="10">
        <f t="shared" si="135"/>
        <v>0</v>
      </c>
      <c r="O1747" t="str">
        <f t="shared" si="139"/>
        <v/>
      </c>
      <c r="P1747" t="str">
        <f>IF(O1747=1,COUNTIF($O$2:O1747,1),"")</f>
        <v/>
      </c>
      <c r="Q1747" t="str">
        <f>IFERROR(INDEX($M$2:$M$2388,MATCH(ROWS($P$2:P1747),$P$2:$P$2388,0)),"")</f>
        <v/>
      </c>
    </row>
    <row r="1748" spans="1:17" ht="15" x14ac:dyDescent="0.25">
      <c r="A1748" s="10">
        <v>1838</v>
      </c>
      <c r="B1748" s="10" t="s">
        <v>5648</v>
      </c>
      <c r="C1748" s="880">
        <f t="shared" si="136"/>
        <v>-8.9832999999999998</v>
      </c>
      <c r="D1748" s="880">
        <f t="shared" si="137"/>
        <v>38.950000000000003</v>
      </c>
      <c r="E1748" s="10">
        <v>-8.9833339999999993</v>
      </c>
      <c r="F1748" s="10">
        <v>38.950001</v>
      </c>
      <c r="G1748" s="10">
        <v>0</v>
      </c>
      <c r="H1748" s="10" t="s">
        <v>2318</v>
      </c>
      <c r="I1748" s="10" t="s">
        <v>5642</v>
      </c>
      <c r="J1748" s="10" t="s">
        <v>5643</v>
      </c>
      <c r="K1748" s="10" t="s">
        <v>5644</v>
      </c>
      <c r="L1748" s="65" t="str">
        <f t="shared" si="138"/>
        <v>Vila Franca de Xira|Portugal|-8,983334|38,950001|+0:00 Europe</v>
      </c>
      <c r="M1748" s="10" t="s">
        <v>5649</v>
      </c>
      <c r="N1748" s="10">
        <f t="shared" si="135"/>
        <v>0</v>
      </c>
      <c r="O1748" t="str">
        <f t="shared" si="139"/>
        <v/>
      </c>
      <c r="P1748" t="str">
        <f>IF(O1748=1,COUNTIF($O$2:O1748,1),"")</f>
        <v/>
      </c>
      <c r="Q1748" t="str">
        <f>IFERROR(INDEX($M$2:$M$2388,MATCH(ROWS($P$2:P1748),$P$2:$P$2388,0)),"")</f>
        <v/>
      </c>
    </row>
    <row r="1749" spans="1:17" ht="15" x14ac:dyDescent="0.25">
      <c r="A1749" s="10">
        <v>1837</v>
      </c>
      <c r="B1749" s="10" t="s">
        <v>5650</v>
      </c>
      <c r="C1749" s="880">
        <f t="shared" si="136"/>
        <v>-7.4165999999999999</v>
      </c>
      <c r="D1749" s="880">
        <f t="shared" si="137"/>
        <v>37.200000000000003</v>
      </c>
      <c r="E1749" s="10">
        <v>-7.4166670000000003</v>
      </c>
      <c r="F1749" s="10">
        <v>37.200001</v>
      </c>
      <c r="G1749" s="10">
        <v>0</v>
      </c>
      <c r="H1749" s="10" t="s">
        <v>2318</v>
      </c>
      <c r="I1749" s="10" t="s">
        <v>5642</v>
      </c>
      <c r="J1749" s="10" t="s">
        <v>5643</v>
      </c>
      <c r="K1749" s="10" t="s">
        <v>5644</v>
      </c>
      <c r="L1749" s="65" t="str">
        <f t="shared" si="138"/>
        <v>Vila Real de Santo Antonio|Portugal|-7,416667|37,200001|+0:00 Europe</v>
      </c>
      <c r="M1749" s="10" t="s">
        <v>5651</v>
      </c>
      <c r="N1749" s="10">
        <f t="shared" si="135"/>
        <v>0</v>
      </c>
      <c r="O1749" t="str">
        <f t="shared" si="139"/>
        <v/>
      </c>
      <c r="P1749" t="str">
        <f>IF(O1749=1,COUNTIF($O$2:O1749,1),"")</f>
        <v/>
      </c>
      <c r="Q1749" t="str">
        <f>IFERROR(INDEX($M$2:$M$2388,MATCH(ROWS($P$2:P1749),$P$2:$P$2388,0)),"")</f>
        <v/>
      </c>
    </row>
    <row r="1750" spans="1:17" ht="15" x14ac:dyDescent="0.25">
      <c r="A1750" s="10">
        <v>1836</v>
      </c>
      <c r="B1750" s="10" t="s">
        <v>5652</v>
      </c>
      <c r="C1750" s="880">
        <f t="shared" si="136"/>
        <v>-7.4165999999999999</v>
      </c>
      <c r="D1750" s="880">
        <f t="shared" si="137"/>
        <v>38.783299999999997</v>
      </c>
      <c r="E1750" s="10">
        <v>-7.4166670000000003</v>
      </c>
      <c r="F1750" s="10">
        <v>38.783332999999999</v>
      </c>
      <c r="G1750" s="10">
        <v>0</v>
      </c>
      <c r="H1750" s="10" t="s">
        <v>2318</v>
      </c>
      <c r="I1750" s="10" t="s">
        <v>5642</v>
      </c>
      <c r="J1750" s="10" t="s">
        <v>5643</v>
      </c>
      <c r="K1750" s="10" t="s">
        <v>5644</v>
      </c>
      <c r="L1750" s="65" t="str">
        <f t="shared" si="138"/>
        <v>Vila Vicosa|Portugal|-7,416667|38,783333|+0:00 Europe</v>
      </c>
      <c r="M1750" s="10" t="s">
        <v>5653</v>
      </c>
      <c r="N1750" s="10">
        <f t="shared" si="135"/>
        <v>0</v>
      </c>
      <c r="O1750" t="str">
        <f t="shared" si="139"/>
        <v/>
      </c>
      <c r="P1750" t="str">
        <f>IF(O1750=1,COUNTIF($O$2:O1750,1),"")</f>
        <v/>
      </c>
      <c r="Q1750" t="str">
        <f>IFERROR(INDEX($M$2:$M$2388,MATCH(ROWS($P$2:P1750),$P$2:$P$2388,0)),"")</f>
        <v/>
      </c>
    </row>
    <row r="1751" spans="1:17" ht="15" x14ac:dyDescent="0.25">
      <c r="A1751" s="10">
        <v>1827</v>
      </c>
      <c r="B1751" s="10" t="s">
        <v>5654</v>
      </c>
      <c r="C1751" s="880">
        <f t="shared" si="136"/>
        <v>-66.801699999999997</v>
      </c>
      <c r="D1751" s="880">
        <f t="shared" si="137"/>
        <v>18.1584</v>
      </c>
      <c r="E1751" s="10">
        <v>-66.801765000000003</v>
      </c>
      <c r="F1751" s="10">
        <v>18.158493</v>
      </c>
      <c r="G1751" s="10">
        <v>-4</v>
      </c>
      <c r="H1751" s="10" t="s">
        <v>1733</v>
      </c>
      <c r="I1751" s="10" t="s">
        <v>5655</v>
      </c>
      <c r="J1751" s="10" t="s">
        <v>5656</v>
      </c>
      <c r="K1751" s="10" t="s">
        <v>5657</v>
      </c>
      <c r="L1751" s="65" t="str">
        <f t="shared" si="138"/>
        <v>Adjuntas|Puerto Rico|-66,801765|18,158493|-4:00 America</v>
      </c>
      <c r="M1751" s="10" t="s">
        <v>5658</v>
      </c>
      <c r="N1751" s="10">
        <f t="shared" si="135"/>
        <v>0</v>
      </c>
      <c r="O1751" t="str">
        <f t="shared" si="139"/>
        <v/>
      </c>
      <c r="P1751" t="str">
        <f>IF(O1751=1,COUNTIF($O$2:O1751,1),"")</f>
        <v/>
      </c>
      <c r="Q1751" t="str">
        <f>IFERROR(INDEX($M$2:$M$2388,MATCH(ROWS($P$2:P1751),$P$2:$P$2388,0)),"")</f>
        <v/>
      </c>
    </row>
    <row r="1752" spans="1:17" ht="15" x14ac:dyDescent="0.25">
      <c r="A1752" s="10">
        <v>1828</v>
      </c>
      <c r="B1752" s="10" t="s">
        <v>5659</v>
      </c>
      <c r="C1752" s="880">
        <f t="shared" si="136"/>
        <v>-67.153999999999996</v>
      </c>
      <c r="D1752" s="880">
        <f t="shared" si="137"/>
        <v>18.427399999999999</v>
      </c>
      <c r="E1752" s="10">
        <v>-67.154067999999995</v>
      </c>
      <c r="F1752" s="10">
        <v>18.427444000000001</v>
      </c>
      <c r="G1752" s="10">
        <v>-4</v>
      </c>
      <c r="H1752" s="10" t="s">
        <v>1733</v>
      </c>
      <c r="I1752" s="10" t="s">
        <v>5655</v>
      </c>
      <c r="J1752" s="10" t="s">
        <v>5656</v>
      </c>
      <c r="K1752" s="10" t="s">
        <v>5657</v>
      </c>
      <c r="L1752" s="65" t="str">
        <f t="shared" si="138"/>
        <v>Aguadilla|Puerto Rico|-67,154068|18,427444|-4:00 America</v>
      </c>
      <c r="M1752" s="10" t="s">
        <v>5660</v>
      </c>
      <c r="N1752" s="10">
        <f t="shared" si="135"/>
        <v>0</v>
      </c>
      <c r="O1752" t="str">
        <f t="shared" si="139"/>
        <v/>
      </c>
      <c r="P1752" t="str">
        <f>IF(O1752=1,COUNTIF($O$2:O1752,1),"")</f>
        <v/>
      </c>
      <c r="Q1752" t="str">
        <f>IFERROR(INDEX($M$2:$M$2388,MATCH(ROWS($P$2:P1752),$P$2:$P$2388,0)),"")</f>
        <v/>
      </c>
    </row>
    <row r="1753" spans="1:17" ht="15" x14ac:dyDescent="0.25">
      <c r="A1753" s="10">
        <v>1829</v>
      </c>
      <c r="B1753" s="10" t="s">
        <v>5661</v>
      </c>
      <c r="C1753" s="880">
        <f t="shared" si="136"/>
        <v>-66.265900000000002</v>
      </c>
      <c r="D1753" s="880">
        <f t="shared" si="137"/>
        <v>18.139900000000001</v>
      </c>
      <c r="E1753" s="10">
        <v>-66.265998999999994</v>
      </c>
      <c r="F1753" s="10">
        <v>18.139959000000001</v>
      </c>
      <c r="G1753" s="10">
        <v>-4</v>
      </c>
      <c r="H1753" s="10" t="s">
        <v>1733</v>
      </c>
      <c r="I1753" s="10" t="s">
        <v>5655</v>
      </c>
      <c r="J1753" s="10" t="s">
        <v>5656</v>
      </c>
      <c r="K1753" s="10" t="s">
        <v>5657</v>
      </c>
      <c r="L1753" s="65" t="str">
        <f t="shared" si="138"/>
        <v>Aibonito|Puerto Rico|-66,265999|18,139959|-4:00 America</v>
      </c>
      <c r="M1753" s="10" t="s">
        <v>5662</v>
      </c>
      <c r="N1753" s="10">
        <f t="shared" si="135"/>
        <v>0</v>
      </c>
      <c r="O1753" t="str">
        <f t="shared" si="139"/>
        <v/>
      </c>
      <c r="P1753" t="str">
        <f>IF(O1753=1,COUNTIF($O$2:O1753,1),"")</f>
        <v/>
      </c>
      <c r="Q1753" t="str">
        <f>IFERROR(INDEX($M$2:$M$2388,MATCH(ROWS($P$2:P1753),$P$2:$P$2388,0)),"")</f>
        <v/>
      </c>
    </row>
    <row r="1754" spans="1:17" ht="15" x14ac:dyDescent="0.25">
      <c r="A1754" s="10">
        <v>1830</v>
      </c>
      <c r="B1754" s="10" t="s">
        <v>5663</v>
      </c>
      <c r="C1754" s="880">
        <f t="shared" si="136"/>
        <v>-66.155699999999996</v>
      </c>
      <c r="D1754" s="880">
        <f t="shared" si="137"/>
        <v>18.398499999999999</v>
      </c>
      <c r="E1754" s="10">
        <v>-66.155724000000006</v>
      </c>
      <c r="F1754" s="10">
        <v>18.39856</v>
      </c>
      <c r="G1754" s="10">
        <v>-4</v>
      </c>
      <c r="H1754" s="10" t="s">
        <v>1733</v>
      </c>
      <c r="I1754" s="10" t="s">
        <v>5655</v>
      </c>
      <c r="J1754" s="10" t="s">
        <v>5656</v>
      </c>
      <c r="K1754" s="10" t="s">
        <v>5657</v>
      </c>
      <c r="L1754" s="65" t="str">
        <f t="shared" si="138"/>
        <v>Bayamon|Puerto Rico|-66,155724|18,398560|-4:00 America</v>
      </c>
      <c r="M1754" s="10" t="s">
        <v>5664</v>
      </c>
      <c r="N1754" s="10">
        <f t="shared" si="135"/>
        <v>0</v>
      </c>
      <c r="O1754" t="str">
        <f t="shared" si="139"/>
        <v/>
      </c>
      <c r="P1754" t="str">
        <f>IF(O1754=1,COUNTIF($O$2:O1754,1),"")</f>
        <v/>
      </c>
      <c r="Q1754" t="str">
        <f>IFERROR(INDEX($M$2:$M$2388,MATCH(ROWS($P$2:P1754),$P$2:$P$2388,0)),"")</f>
        <v/>
      </c>
    </row>
    <row r="1755" spans="1:17" ht="15" x14ac:dyDescent="0.25">
      <c r="A1755" s="10">
        <v>1831</v>
      </c>
      <c r="B1755" s="10" t="s">
        <v>5665</v>
      </c>
      <c r="C1755" s="880">
        <f t="shared" si="136"/>
        <v>-66.1798</v>
      </c>
      <c r="D1755" s="880">
        <f t="shared" si="137"/>
        <v>18.377700000000001</v>
      </c>
      <c r="E1755" s="10">
        <v>-66.179885999999996</v>
      </c>
      <c r="F1755" s="10">
        <v>18.377728000000001</v>
      </c>
      <c r="G1755" s="10">
        <v>-4</v>
      </c>
      <c r="H1755" s="10" t="s">
        <v>1733</v>
      </c>
      <c r="I1755" s="10" t="s">
        <v>5655</v>
      </c>
      <c r="J1755" s="10" t="s">
        <v>5656</v>
      </c>
      <c r="K1755" s="10" t="s">
        <v>5657</v>
      </c>
      <c r="L1755" s="65" t="str">
        <f t="shared" si="138"/>
        <v>Bayamon Gardens|Puerto Rico|-66,179886|18,377728|-4:00 America</v>
      </c>
      <c r="M1755" s="10" t="s">
        <v>5666</v>
      </c>
      <c r="N1755" s="10">
        <f t="shared" si="135"/>
        <v>0</v>
      </c>
      <c r="O1755" t="str">
        <f t="shared" si="139"/>
        <v/>
      </c>
      <c r="P1755" t="str">
        <f>IF(O1755=1,COUNTIF($O$2:O1755,1),"")</f>
        <v/>
      </c>
      <c r="Q1755" t="str">
        <f>IFERROR(INDEX($M$2:$M$2388,MATCH(ROWS($P$2:P1755),$P$2:$P$2388,0)),"")</f>
        <v/>
      </c>
    </row>
    <row r="1756" spans="1:17" ht="15" x14ac:dyDescent="0.25">
      <c r="A1756" s="10">
        <v>1832</v>
      </c>
      <c r="B1756" s="10" t="s">
        <v>1776</v>
      </c>
      <c r="C1756" s="880">
        <f t="shared" si="136"/>
        <v>-66.105699999999999</v>
      </c>
      <c r="D1756" s="880">
        <f t="shared" si="137"/>
        <v>18.4663</v>
      </c>
      <c r="E1756" s="10">
        <v>-66.105721000000003</v>
      </c>
      <c r="F1756" s="10">
        <v>18.466332999999999</v>
      </c>
      <c r="G1756" s="10">
        <v>-4</v>
      </c>
      <c r="H1756" s="10" t="s">
        <v>1739</v>
      </c>
      <c r="I1756" s="10" t="s">
        <v>5655</v>
      </c>
      <c r="J1756" s="10" t="s">
        <v>5656</v>
      </c>
      <c r="K1756" s="10" t="s">
        <v>1777</v>
      </c>
      <c r="L1756" s="65" t="str">
        <f t="shared" si="138"/>
        <v>San Juan|Puerto Rico|-66,105721|18,466333|-3:00 America</v>
      </c>
      <c r="M1756" s="10" t="s">
        <v>5667</v>
      </c>
      <c r="N1756" s="10">
        <f t="shared" si="135"/>
        <v>0</v>
      </c>
      <c r="O1756" t="str">
        <f t="shared" si="139"/>
        <v/>
      </c>
      <c r="P1756" t="str">
        <f>IF(O1756=1,COUNTIF($O$2:O1756,1),"")</f>
        <v/>
      </c>
      <c r="Q1756" t="str">
        <f>IFERROR(INDEX($M$2:$M$2388,MATCH(ROWS($P$2:P1756),$P$2:$P$2388,0)),"")</f>
        <v/>
      </c>
    </row>
    <row r="1757" spans="1:17" ht="15" x14ac:dyDescent="0.25">
      <c r="A1757" s="10">
        <v>1848</v>
      </c>
      <c r="B1757" s="10" t="s">
        <v>5668</v>
      </c>
      <c r="C1757" s="880">
        <f t="shared" si="136"/>
        <v>51.424399999999999</v>
      </c>
      <c r="D1757" s="880">
        <f t="shared" si="137"/>
        <v>25.291899999999998</v>
      </c>
      <c r="E1757" s="10">
        <v>51.424446000000003</v>
      </c>
      <c r="F1757" s="10">
        <v>25.291944999999998</v>
      </c>
      <c r="G1757" s="10">
        <v>3</v>
      </c>
      <c r="H1757" s="10" t="s">
        <v>1883</v>
      </c>
      <c r="I1757" s="10" t="s">
        <v>5669</v>
      </c>
      <c r="J1757" s="10" t="s">
        <v>5670</v>
      </c>
      <c r="K1757" s="10" t="s">
        <v>5671</v>
      </c>
      <c r="L1757" s="65" t="str">
        <f t="shared" si="138"/>
        <v>Ar Rayyan|Qatar|51,424446|25,291945|+3:00 Asia</v>
      </c>
      <c r="M1757" s="10" t="s">
        <v>5672</v>
      </c>
      <c r="N1757" s="10">
        <f t="shared" si="135"/>
        <v>0</v>
      </c>
      <c r="O1757" t="str">
        <f t="shared" si="139"/>
        <v/>
      </c>
      <c r="P1757" t="str">
        <f>IF(O1757=1,COUNTIF($O$2:O1757,1),"")</f>
        <v/>
      </c>
      <c r="Q1757" t="str">
        <f>IFERROR(INDEX($M$2:$M$2388,MATCH(ROWS($P$2:P1757),$P$2:$P$2388,0)),"")</f>
        <v/>
      </c>
    </row>
    <row r="1758" spans="1:17" ht="15" x14ac:dyDescent="0.25">
      <c r="A1758" s="10">
        <v>1849</v>
      </c>
      <c r="B1758" s="10" t="s">
        <v>5673</v>
      </c>
      <c r="C1758" s="880">
        <f t="shared" si="136"/>
        <v>51.533299999999997</v>
      </c>
      <c r="D1758" s="880">
        <f t="shared" si="137"/>
        <v>25.2866</v>
      </c>
      <c r="E1758" s="10">
        <v>51.533332999999999</v>
      </c>
      <c r="F1758" s="10">
        <v>25.286667000000001</v>
      </c>
      <c r="G1758" s="10">
        <v>3</v>
      </c>
      <c r="H1758" s="10" t="s">
        <v>1883</v>
      </c>
      <c r="I1758" s="10" t="s">
        <v>5669</v>
      </c>
      <c r="J1758" s="10" t="s">
        <v>5670</v>
      </c>
      <c r="K1758" s="10" t="s">
        <v>5671</v>
      </c>
      <c r="L1758" s="65" t="str">
        <f t="shared" si="138"/>
        <v>Doha|Qatar|51,533333|25,286667|+3:00 Asia</v>
      </c>
      <c r="M1758" s="10" t="s">
        <v>5674</v>
      </c>
      <c r="N1758" s="10">
        <f t="shared" si="135"/>
        <v>0</v>
      </c>
      <c r="O1758" t="str">
        <f t="shared" si="139"/>
        <v/>
      </c>
      <c r="P1758" t="str">
        <f>IF(O1758=1,COUNTIF($O$2:O1758,1),"")</f>
        <v/>
      </c>
      <c r="Q1758" t="str">
        <f>IFERROR(INDEX($M$2:$M$2388,MATCH(ROWS($P$2:P1758),$P$2:$P$2388,0)),"")</f>
        <v/>
      </c>
    </row>
    <row r="1759" spans="1:17" ht="15" x14ac:dyDescent="0.25">
      <c r="A1759" s="10">
        <v>1847</v>
      </c>
      <c r="B1759" s="10" t="s">
        <v>5675</v>
      </c>
      <c r="C1759" s="880">
        <f t="shared" si="136"/>
        <v>50.785800000000002</v>
      </c>
      <c r="D1759" s="880">
        <f t="shared" si="137"/>
        <v>25.4297</v>
      </c>
      <c r="E1759" s="10">
        <v>50.785831000000002</v>
      </c>
      <c r="F1759" s="10">
        <v>25.429722000000002</v>
      </c>
      <c r="G1759" s="10">
        <v>3</v>
      </c>
      <c r="H1759" s="10" t="s">
        <v>1883</v>
      </c>
      <c r="I1759" s="10" t="s">
        <v>5669</v>
      </c>
      <c r="J1759" s="10" t="s">
        <v>5670</v>
      </c>
      <c r="K1759" s="10" t="s">
        <v>5671</v>
      </c>
      <c r="L1759" s="65" t="str">
        <f t="shared" si="138"/>
        <v>Dukhan|Qatar|50,785831|25,429722|+3:00 Asia</v>
      </c>
      <c r="M1759" s="10" t="s">
        <v>5676</v>
      </c>
      <c r="N1759" s="10">
        <f t="shared" si="135"/>
        <v>0</v>
      </c>
      <c r="O1759" t="str">
        <f t="shared" si="139"/>
        <v/>
      </c>
      <c r="P1759" t="str">
        <f>IF(O1759=1,COUNTIF($O$2:O1759,1),"")</f>
        <v/>
      </c>
      <c r="Q1759" t="str">
        <f>IFERROR(INDEX($M$2:$M$2388,MATCH(ROWS($P$2:P1759),$P$2:$P$2388,0)),"")</f>
        <v/>
      </c>
    </row>
    <row r="1760" spans="1:17" ht="15" x14ac:dyDescent="0.25">
      <c r="A1760" s="10">
        <v>1846</v>
      </c>
      <c r="B1760" s="10" t="s">
        <v>5677</v>
      </c>
      <c r="C1760" s="880">
        <f t="shared" si="136"/>
        <v>51.403799999999997</v>
      </c>
      <c r="D1760" s="880">
        <f t="shared" si="137"/>
        <v>25.416899999999998</v>
      </c>
      <c r="E1760" s="10">
        <v>51.403888999999999</v>
      </c>
      <c r="F1760" s="10">
        <v>25.416944999999998</v>
      </c>
      <c r="G1760" s="10">
        <v>3</v>
      </c>
      <c r="H1760" s="10" t="s">
        <v>1883</v>
      </c>
      <c r="I1760" s="10" t="s">
        <v>5669</v>
      </c>
      <c r="J1760" s="10" t="s">
        <v>5670</v>
      </c>
      <c r="K1760" s="10" t="s">
        <v>5671</v>
      </c>
      <c r="L1760" s="65" t="str">
        <f t="shared" si="138"/>
        <v>Umm Salal Muhammad|Qatar|51,403889|25,416945|+3:00 Asia</v>
      </c>
      <c r="M1760" s="10" t="s">
        <v>5678</v>
      </c>
      <c r="N1760" s="10">
        <f t="shared" si="135"/>
        <v>0</v>
      </c>
      <c r="O1760" t="str">
        <f t="shared" si="139"/>
        <v/>
      </c>
      <c r="P1760" t="str">
        <f>IF(O1760=1,COUNTIF($O$2:O1760,1),"")</f>
        <v/>
      </c>
      <c r="Q1760" t="str">
        <f>IFERROR(INDEX($M$2:$M$2388,MATCH(ROWS($P$2:P1760),$P$2:$P$2388,0)),"")</f>
        <v/>
      </c>
    </row>
    <row r="1761" spans="1:17" ht="15" x14ac:dyDescent="0.25">
      <c r="A1761" s="10">
        <v>1852</v>
      </c>
      <c r="B1761" s="10" t="s">
        <v>5063</v>
      </c>
      <c r="C1761" s="880">
        <f t="shared" si="136"/>
        <v>55.4833</v>
      </c>
      <c r="D1761" s="880">
        <f t="shared" si="137"/>
        <v>-21.316600000000001</v>
      </c>
      <c r="E1761" s="10">
        <v>55.483333999999999</v>
      </c>
      <c r="F1761" s="10">
        <v>-21.316668</v>
      </c>
      <c r="G1761" s="10">
        <v>4</v>
      </c>
      <c r="H1761" s="10" t="s">
        <v>1739</v>
      </c>
      <c r="I1761" s="10" t="s">
        <v>5679</v>
      </c>
      <c r="J1761" s="10" t="s">
        <v>5680</v>
      </c>
      <c r="K1761" s="10" t="s">
        <v>5066</v>
      </c>
      <c r="L1761" s="65" t="str">
        <f t="shared" si="138"/>
        <v>Saint-Pierre|Reunion|55,483334|-21,316668|-3:00 America</v>
      </c>
      <c r="M1761" s="10" t="s">
        <v>5681</v>
      </c>
      <c r="N1761" s="10">
        <f t="shared" si="135"/>
        <v>0</v>
      </c>
      <c r="O1761" t="str">
        <f t="shared" si="139"/>
        <v/>
      </c>
      <c r="P1761" t="str">
        <f>IF(O1761=1,COUNTIF($O$2:O1761,1),"")</f>
        <v/>
      </c>
      <c r="Q1761" t="str">
        <f>IFERROR(INDEX($M$2:$M$2388,MATCH(ROWS($P$2:P1761),$P$2:$P$2388,0)),"")</f>
        <v/>
      </c>
    </row>
    <row r="1762" spans="1:17" ht="15" x14ac:dyDescent="0.25">
      <c r="A1762" s="10">
        <v>1851</v>
      </c>
      <c r="B1762" s="10" t="s">
        <v>5682</v>
      </c>
      <c r="C1762" s="880">
        <f t="shared" si="136"/>
        <v>55.549900000000001</v>
      </c>
      <c r="D1762" s="880">
        <f t="shared" si="137"/>
        <v>-21.0166</v>
      </c>
      <c r="E1762" s="10">
        <v>55.549999</v>
      </c>
      <c r="F1762" s="10">
        <v>-21.016666000000001</v>
      </c>
      <c r="G1762" s="10">
        <v>4</v>
      </c>
      <c r="H1762" s="10" t="s">
        <v>1794</v>
      </c>
      <c r="I1762" s="10" t="s">
        <v>5679</v>
      </c>
      <c r="J1762" s="10" t="s">
        <v>5680</v>
      </c>
      <c r="K1762" s="10" t="s">
        <v>5683</v>
      </c>
      <c r="L1762" s="65" t="str">
        <f t="shared" si="138"/>
        <v>Salazie|Reunion|55,549999|-21,016666|+4:00 Indian</v>
      </c>
      <c r="M1762" s="10" t="s">
        <v>5684</v>
      </c>
      <c r="N1762" s="10">
        <f t="shared" si="135"/>
        <v>0</v>
      </c>
      <c r="O1762" t="str">
        <f t="shared" si="139"/>
        <v/>
      </c>
      <c r="P1762" t="str">
        <f>IF(O1762=1,COUNTIF($O$2:O1762,1),"")</f>
        <v/>
      </c>
      <c r="Q1762" t="str">
        <f>IFERROR(INDEX($M$2:$M$2388,MATCH(ROWS($P$2:P1762),$P$2:$P$2388,0)),"")</f>
        <v/>
      </c>
    </row>
    <row r="1763" spans="1:17" ht="15" x14ac:dyDescent="0.25">
      <c r="A1763" s="10">
        <v>1850</v>
      </c>
      <c r="B1763" s="10" t="s">
        <v>5685</v>
      </c>
      <c r="C1763" s="880">
        <f t="shared" si="136"/>
        <v>55.299900000000001</v>
      </c>
      <c r="D1763" s="880">
        <f t="shared" si="137"/>
        <v>-21.1</v>
      </c>
      <c r="E1763" s="10">
        <v>55.299999</v>
      </c>
      <c r="F1763" s="10">
        <v>-21.1</v>
      </c>
      <c r="G1763" s="10">
        <v>4</v>
      </c>
      <c r="H1763" s="10" t="s">
        <v>1794</v>
      </c>
      <c r="I1763" s="10" t="s">
        <v>5679</v>
      </c>
      <c r="J1763" s="10" t="s">
        <v>5680</v>
      </c>
      <c r="K1763" s="10" t="s">
        <v>5683</v>
      </c>
      <c r="L1763" s="65" t="str">
        <f t="shared" si="138"/>
        <v>Trois-Bassins|Reunion|55,299999|-21,100000|+4:00 Indian</v>
      </c>
      <c r="M1763" s="10" t="s">
        <v>5686</v>
      </c>
      <c r="N1763" s="10">
        <f t="shared" si="135"/>
        <v>0</v>
      </c>
      <c r="O1763" t="str">
        <f t="shared" si="139"/>
        <v/>
      </c>
      <c r="P1763" t="str">
        <f>IF(O1763=1,COUNTIF($O$2:O1763,1),"")</f>
        <v/>
      </c>
      <c r="Q1763" t="str">
        <f>IFERROR(INDEX($M$2:$M$2388,MATCH(ROWS($P$2:P1763),$P$2:$P$2388,0)),"")</f>
        <v/>
      </c>
    </row>
    <row r="1764" spans="1:17" ht="15" x14ac:dyDescent="0.25">
      <c r="A1764" s="10">
        <v>1866</v>
      </c>
      <c r="B1764" s="10" t="s">
        <v>5687</v>
      </c>
      <c r="C1764" s="880">
        <f t="shared" si="136"/>
        <v>27.9833</v>
      </c>
      <c r="D1764" s="880">
        <f t="shared" si="137"/>
        <v>45.266599999999997</v>
      </c>
      <c r="E1764" s="10">
        <v>27.983333999999999</v>
      </c>
      <c r="F1764" s="10">
        <v>45.266666000000001</v>
      </c>
      <c r="G1764" s="10">
        <v>2</v>
      </c>
      <c r="H1764" s="10" t="s">
        <v>1938</v>
      </c>
      <c r="I1764" s="10" t="s">
        <v>5688</v>
      </c>
      <c r="J1764" s="10" t="s">
        <v>5689</v>
      </c>
      <c r="K1764" s="10" t="s">
        <v>5690</v>
      </c>
      <c r="L1764" s="65" t="str">
        <f t="shared" si="138"/>
        <v>Braila|Romania|27,983334|45,266666|+2:00 Europe</v>
      </c>
      <c r="M1764" s="10" t="s">
        <v>5691</v>
      </c>
      <c r="N1764" s="10">
        <f t="shared" si="135"/>
        <v>0</v>
      </c>
      <c r="O1764" t="str">
        <f t="shared" si="139"/>
        <v/>
      </c>
      <c r="P1764" t="str">
        <f>IF(O1764=1,COUNTIF($O$2:O1764,1),"")</f>
        <v/>
      </c>
      <c r="Q1764" t="str">
        <f>IFERROR(INDEX($M$2:$M$2388,MATCH(ROWS($P$2:P1764),$P$2:$P$2388,0)),"")</f>
        <v/>
      </c>
    </row>
    <row r="1765" spans="1:17" ht="15" x14ac:dyDescent="0.25">
      <c r="A1765" s="10">
        <v>1865</v>
      </c>
      <c r="B1765" s="10" t="s">
        <v>5692</v>
      </c>
      <c r="C1765" s="880">
        <f t="shared" si="136"/>
        <v>25.583300000000001</v>
      </c>
      <c r="D1765" s="880">
        <f t="shared" si="137"/>
        <v>45.633299999999998</v>
      </c>
      <c r="E1765" s="10">
        <v>25.583334000000001</v>
      </c>
      <c r="F1765" s="10">
        <v>45.633335000000002</v>
      </c>
      <c r="G1765" s="10">
        <v>2</v>
      </c>
      <c r="H1765" s="10" t="s">
        <v>1938</v>
      </c>
      <c r="I1765" s="10" t="s">
        <v>5688</v>
      </c>
      <c r="J1765" s="10" t="s">
        <v>5689</v>
      </c>
      <c r="K1765" s="10" t="s">
        <v>5690</v>
      </c>
      <c r="L1765" s="65" t="str">
        <f t="shared" si="138"/>
        <v>Brasov|Romania|25,583334|45,633335|+2:00 Europe</v>
      </c>
      <c r="M1765" s="10" t="s">
        <v>5693</v>
      </c>
      <c r="N1765" s="10">
        <f t="shared" si="135"/>
        <v>0</v>
      </c>
      <c r="O1765" t="str">
        <f t="shared" si="139"/>
        <v/>
      </c>
      <c r="P1765" t="str">
        <f>IF(O1765=1,COUNTIF($O$2:O1765,1),"")</f>
        <v/>
      </c>
      <c r="Q1765" t="str">
        <f>IFERROR(INDEX($M$2:$M$2388,MATCH(ROWS($P$2:P1765),$P$2:$P$2388,0)),"")</f>
        <v/>
      </c>
    </row>
    <row r="1766" spans="1:17" ht="15" x14ac:dyDescent="0.25">
      <c r="A1766" s="10">
        <v>1864</v>
      </c>
      <c r="B1766" s="10" t="s">
        <v>5694</v>
      </c>
      <c r="C1766" s="880">
        <f t="shared" si="136"/>
        <v>26.1</v>
      </c>
      <c r="D1766" s="880">
        <f t="shared" si="137"/>
        <v>44.433300000000003</v>
      </c>
      <c r="E1766" s="10">
        <v>26.1</v>
      </c>
      <c r="F1766" s="10">
        <v>44.433334000000002</v>
      </c>
      <c r="G1766" s="10">
        <v>2</v>
      </c>
      <c r="H1766" s="10" t="s">
        <v>1938</v>
      </c>
      <c r="I1766" s="10" t="s">
        <v>5688</v>
      </c>
      <c r="J1766" s="10" t="s">
        <v>5689</v>
      </c>
      <c r="K1766" s="10" t="s">
        <v>5690</v>
      </c>
      <c r="L1766" s="65" t="str">
        <f t="shared" si="138"/>
        <v>Bucharest|Romania|26,100000|44,433334|+2:00 Europe</v>
      </c>
      <c r="M1766" s="10" t="s">
        <v>5695</v>
      </c>
      <c r="N1766" s="10">
        <f t="shared" si="135"/>
        <v>0</v>
      </c>
      <c r="O1766" t="str">
        <f t="shared" si="139"/>
        <v/>
      </c>
      <c r="P1766" t="str">
        <f>IF(O1766=1,COUNTIF($O$2:O1766,1),"")</f>
        <v/>
      </c>
      <c r="Q1766" t="str">
        <f>IFERROR(INDEX($M$2:$M$2388,MATCH(ROWS($P$2:P1766),$P$2:$P$2388,0)),"")</f>
        <v/>
      </c>
    </row>
    <row r="1767" spans="1:17" ht="15" x14ac:dyDescent="0.25">
      <c r="A1767" s="10">
        <v>1863</v>
      </c>
      <c r="B1767" s="10" t="s">
        <v>5696</v>
      </c>
      <c r="C1767" s="880">
        <f t="shared" si="136"/>
        <v>23.6</v>
      </c>
      <c r="D1767" s="880">
        <f t="shared" si="137"/>
        <v>46.766599999999997</v>
      </c>
      <c r="E1767" s="10">
        <v>23.6</v>
      </c>
      <c r="F1767" s="10">
        <v>46.766666000000001</v>
      </c>
      <c r="G1767" s="10">
        <v>2</v>
      </c>
      <c r="H1767" s="10" t="s">
        <v>1938</v>
      </c>
      <c r="I1767" s="10" t="s">
        <v>5688</v>
      </c>
      <c r="J1767" s="10" t="s">
        <v>5689</v>
      </c>
      <c r="K1767" s="10" t="s">
        <v>5690</v>
      </c>
      <c r="L1767" s="65" t="str">
        <f t="shared" si="138"/>
        <v>Cluj-Napoca|Romania|23,600000|46,766666|+2:00 Europe</v>
      </c>
      <c r="M1767" s="10" t="s">
        <v>5697</v>
      </c>
      <c r="N1767" s="10">
        <f t="shared" si="135"/>
        <v>0</v>
      </c>
      <c r="O1767" t="str">
        <f t="shared" si="139"/>
        <v/>
      </c>
      <c r="P1767" t="str">
        <f>IF(O1767=1,COUNTIF($O$2:O1767,1),"")</f>
        <v/>
      </c>
      <c r="Q1767" t="str">
        <f>IFERROR(INDEX($M$2:$M$2388,MATCH(ROWS($P$2:P1767),$P$2:$P$2388,0)),"")</f>
        <v/>
      </c>
    </row>
    <row r="1768" spans="1:17" ht="15" x14ac:dyDescent="0.25">
      <c r="A1768" s="10">
        <v>1862</v>
      </c>
      <c r="B1768" s="10" t="s">
        <v>5698</v>
      </c>
      <c r="C1768" s="880">
        <f t="shared" si="136"/>
        <v>28.65</v>
      </c>
      <c r="D1768" s="880">
        <f t="shared" si="137"/>
        <v>44.183300000000003</v>
      </c>
      <c r="E1768" s="10">
        <v>28.65</v>
      </c>
      <c r="F1768" s="10">
        <v>44.183334000000002</v>
      </c>
      <c r="G1768" s="10">
        <v>2</v>
      </c>
      <c r="H1768" s="10" t="s">
        <v>1938</v>
      </c>
      <c r="I1768" s="10" t="s">
        <v>5688</v>
      </c>
      <c r="J1768" s="10" t="s">
        <v>5689</v>
      </c>
      <c r="K1768" s="10" t="s">
        <v>5690</v>
      </c>
      <c r="L1768" s="65" t="str">
        <f t="shared" si="138"/>
        <v>Constanta|Romania|28,650000|44,183334|+2:00 Europe</v>
      </c>
      <c r="M1768" s="10" t="s">
        <v>5699</v>
      </c>
      <c r="N1768" s="10">
        <f t="shared" si="135"/>
        <v>0</v>
      </c>
      <c r="O1768" t="str">
        <f t="shared" si="139"/>
        <v/>
      </c>
      <c r="P1768" t="str">
        <f>IF(O1768=1,COUNTIF($O$2:O1768,1),"")</f>
        <v/>
      </c>
      <c r="Q1768" t="str">
        <f>IFERROR(INDEX($M$2:$M$2388,MATCH(ROWS($P$2:P1768),$P$2:$P$2388,0)),"")</f>
        <v/>
      </c>
    </row>
    <row r="1769" spans="1:17" ht="15" x14ac:dyDescent="0.25">
      <c r="A1769" s="10">
        <v>1867</v>
      </c>
      <c r="B1769" s="10" t="s">
        <v>5698</v>
      </c>
      <c r="C1769" s="880">
        <f t="shared" si="136"/>
        <v>28.6371</v>
      </c>
      <c r="D1769" s="880">
        <f t="shared" si="137"/>
        <v>44.1873</v>
      </c>
      <c r="E1769" s="10">
        <v>28.637152</v>
      </c>
      <c r="F1769" s="10">
        <v>44.187373999999998</v>
      </c>
      <c r="G1769" s="10">
        <v>2</v>
      </c>
      <c r="H1769" s="10" t="s">
        <v>1938</v>
      </c>
      <c r="I1769" s="10" t="s">
        <v>5688</v>
      </c>
      <c r="J1769" s="10" t="s">
        <v>5689</v>
      </c>
      <c r="K1769" s="10" t="s">
        <v>5690</v>
      </c>
      <c r="L1769" s="65" t="str">
        <f t="shared" si="138"/>
        <v>Constanta|Romania|28,637152|44,187374|+2:00 Europe</v>
      </c>
      <c r="M1769" s="10" t="s">
        <v>5700</v>
      </c>
      <c r="N1769" s="10">
        <f t="shared" si="135"/>
        <v>0</v>
      </c>
      <c r="O1769" t="str">
        <f t="shared" si="139"/>
        <v/>
      </c>
      <c r="P1769" t="str">
        <f>IF(O1769=1,COUNTIF($O$2:O1769,1),"")</f>
        <v/>
      </c>
      <c r="Q1769" t="str">
        <f>IFERROR(INDEX($M$2:$M$2388,MATCH(ROWS($P$2:P1769),$P$2:$P$2388,0)),"")</f>
        <v/>
      </c>
    </row>
    <row r="1770" spans="1:17" ht="15" x14ac:dyDescent="0.25">
      <c r="A1770" s="10">
        <v>1861</v>
      </c>
      <c r="B1770" s="10" t="s">
        <v>5701</v>
      </c>
      <c r="C1770" s="880">
        <f t="shared" si="136"/>
        <v>23.799900000000001</v>
      </c>
      <c r="D1770" s="880">
        <f t="shared" si="137"/>
        <v>44.316600000000001</v>
      </c>
      <c r="E1770" s="10">
        <v>23.799999</v>
      </c>
      <c r="F1770" s="10">
        <v>44.316665999999998</v>
      </c>
      <c r="G1770" s="10">
        <v>2</v>
      </c>
      <c r="H1770" s="10" t="s">
        <v>1938</v>
      </c>
      <c r="I1770" s="10" t="s">
        <v>5688</v>
      </c>
      <c r="J1770" s="10" t="s">
        <v>5689</v>
      </c>
      <c r="K1770" s="10" t="s">
        <v>5690</v>
      </c>
      <c r="L1770" s="65" t="str">
        <f t="shared" si="138"/>
        <v>Craiova|Romania|23,799999|44,316666|+2:00 Europe</v>
      </c>
      <c r="M1770" s="10" t="s">
        <v>5702</v>
      </c>
      <c r="N1770" s="10">
        <f t="shared" si="135"/>
        <v>0</v>
      </c>
      <c r="O1770" t="str">
        <f t="shared" si="139"/>
        <v/>
      </c>
      <c r="P1770" t="str">
        <f>IF(O1770=1,COUNTIF($O$2:O1770,1),"")</f>
        <v/>
      </c>
      <c r="Q1770" t="str">
        <f>IFERROR(INDEX($M$2:$M$2388,MATCH(ROWS($P$2:P1770),$P$2:$P$2388,0)),"")</f>
        <v/>
      </c>
    </row>
    <row r="1771" spans="1:17" ht="15" x14ac:dyDescent="0.25">
      <c r="A1771" s="10">
        <v>1860</v>
      </c>
      <c r="B1771" s="10" t="s">
        <v>5703</v>
      </c>
      <c r="C1771" s="880">
        <f t="shared" si="136"/>
        <v>28.049900000000001</v>
      </c>
      <c r="D1771" s="880">
        <f t="shared" si="137"/>
        <v>45.45</v>
      </c>
      <c r="E1771" s="10">
        <v>28.049999</v>
      </c>
      <c r="F1771" s="10">
        <v>45.450001</v>
      </c>
      <c r="G1771" s="10">
        <v>2</v>
      </c>
      <c r="H1771" s="10" t="s">
        <v>1938</v>
      </c>
      <c r="I1771" s="10" t="s">
        <v>5688</v>
      </c>
      <c r="J1771" s="10" t="s">
        <v>5689</v>
      </c>
      <c r="K1771" s="10" t="s">
        <v>5690</v>
      </c>
      <c r="L1771" s="65" t="str">
        <f t="shared" si="138"/>
        <v>Galati|Romania|28,049999|45,450001|+2:00 Europe</v>
      </c>
      <c r="M1771" s="10" t="s">
        <v>5704</v>
      </c>
      <c r="N1771" s="10">
        <f t="shared" si="135"/>
        <v>0</v>
      </c>
      <c r="O1771" t="str">
        <f t="shared" si="139"/>
        <v/>
      </c>
      <c r="P1771" t="str">
        <f>IF(O1771=1,COUNTIF($O$2:O1771,1),"")</f>
        <v/>
      </c>
      <c r="Q1771" t="str">
        <f>IFERROR(INDEX($M$2:$M$2388,MATCH(ROWS($P$2:P1771),$P$2:$P$2388,0)),"")</f>
        <v/>
      </c>
    </row>
    <row r="1772" spans="1:17" ht="15" x14ac:dyDescent="0.25">
      <c r="A1772" s="10">
        <v>1859</v>
      </c>
      <c r="B1772" s="10" t="s">
        <v>5705</v>
      </c>
      <c r="C1772" s="880">
        <f t="shared" si="136"/>
        <v>27.6</v>
      </c>
      <c r="D1772" s="880">
        <f t="shared" si="137"/>
        <v>47.166600000000003</v>
      </c>
      <c r="E1772" s="10">
        <v>27.6</v>
      </c>
      <c r="F1772" s="10">
        <v>47.166668000000001</v>
      </c>
      <c r="G1772" s="10">
        <v>2</v>
      </c>
      <c r="H1772" s="10" t="s">
        <v>1938</v>
      </c>
      <c r="I1772" s="10" t="s">
        <v>5688</v>
      </c>
      <c r="J1772" s="10" t="s">
        <v>5689</v>
      </c>
      <c r="K1772" s="10" t="s">
        <v>5690</v>
      </c>
      <c r="L1772" s="65" t="str">
        <f t="shared" si="138"/>
        <v>Iasi|Romania|27,600000|47,166668|+2:00 Europe</v>
      </c>
      <c r="M1772" s="10" t="s">
        <v>5706</v>
      </c>
      <c r="N1772" s="10">
        <f t="shared" si="135"/>
        <v>0</v>
      </c>
      <c r="O1772" t="str">
        <f t="shared" si="139"/>
        <v/>
      </c>
      <c r="P1772" t="str">
        <f>IF(O1772=1,COUNTIF($O$2:O1772,1),"")</f>
        <v/>
      </c>
      <c r="Q1772" t="str">
        <f>IFERROR(INDEX($M$2:$M$2388,MATCH(ROWS($P$2:P1772),$P$2:$P$2388,0)),"")</f>
        <v/>
      </c>
    </row>
    <row r="1773" spans="1:17" ht="15" x14ac:dyDescent="0.25">
      <c r="A1773" s="10">
        <v>1858</v>
      </c>
      <c r="B1773" s="10" t="s">
        <v>5707</v>
      </c>
      <c r="C1773" s="880">
        <f t="shared" si="136"/>
        <v>21.933299999999999</v>
      </c>
      <c r="D1773" s="880">
        <f t="shared" si="137"/>
        <v>47.066600000000001</v>
      </c>
      <c r="E1773" s="10">
        <v>21.933332</v>
      </c>
      <c r="F1773" s="10">
        <v>47.066665999999998</v>
      </c>
      <c r="G1773" s="10">
        <v>2</v>
      </c>
      <c r="H1773" s="10" t="s">
        <v>1938</v>
      </c>
      <c r="I1773" s="10" t="s">
        <v>5688</v>
      </c>
      <c r="J1773" s="10" t="s">
        <v>5689</v>
      </c>
      <c r="K1773" s="10" t="s">
        <v>5690</v>
      </c>
      <c r="L1773" s="65" t="str">
        <f t="shared" si="138"/>
        <v>nagyvarad|Romania|21,933332|47,066666|+2:00 Europe</v>
      </c>
      <c r="M1773" s="10" t="s">
        <v>5708</v>
      </c>
      <c r="N1773" s="10">
        <f t="shared" si="135"/>
        <v>0</v>
      </c>
      <c r="O1773" t="str">
        <f t="shared" si="139"/>
        <v/>
      </c>
      <c r="P1773" t="str">
        <f>IF(O1773=1,COUNTIF($O$2:O1773,1),"")</f>
        <v/>
      </c>
      <c r="Q1773" t="str">
        <f>IFERROR(INDEX($M$2:$M$2388,MATCH(ROWS($P$2:P1773),$P$2:$P$2388,0)),"")</f>
        <v/>
      </c>
    </row>
    <row r="1774" spans="1:17" ht="15" x14ac:dyDescent="0.25">
      <c r="A1774" s="10">
        <v>1857</v>
      </c>
      <c r="B1774" s="10" t="s">
        <v>5709</v>
      </c>
      <c r="C1774" s="880">
        <f t="shared" si="136"/>
        <v>26.0166</v>
      </c>
      <c r="D1774" s="880">
        <f t="shared" si="137"/>
        <v>44.95</v>
      </c>
      <c r="E1774" s="10">
        <v>26.016666000000001</v>
      </c>
      <c r="F1774" s="10">
        <v>44.950001</v>
      </c>
      <c r="G1774" s="10">
        <v>2</v>
      </c>
      <c r="H1774" s="10" t="s">
        <v>1938</v>
      </c>
      <c r="I1774" s="10" t="s">
        <v>5688</v>
      </c>
      <c r="J1774" s="10" t="s">
        <v>5689</v>
      </c>
      <c r="K1774" s="10" t="s">
        <v>5690</v>
      </c>
      <c r="L1774" s="65" t="str">
        <f t="shared" si="138"/>
        <v>Ploiesti|Romania|26,016666|44,950001|+2:00 Europe</v>
      </c>
      <c r="M1774" s="10" t="s">
        <v>5710</v>
      </c>
      <c r="N1774" s="10">
        <f t="shared" si="135"/>
        <v>0</v>
      </c>
      <c r="O1774" t="str">
        <f t="shared" si="139"/>
        <v/>
      </c>
      <c r="P1774" t="str">
        <f>IF(O1774=1,COUNTIF($O$2:O1774,1),"")</f>
        <v/>
      </c>
      <c r="Q1774" t="str">
        <f>IFERROR(INDEX($M$2:$M$2388,MATCH(ROWS($P$2:P1774),$P$2:$P$2388,0)),"")</f>
        <v/>
      </c>
    </row>
    <row r="1775" spans="1:17" ht="15" x14ac:dyDescent="0.25">
      <c r="A1775" s="10">
        <v>1856</v>
      </c>
      <c r="B1775" s="10" t="s">
        <v>5711</v>
      </c>
      <c r="C1775" s="880">
        <f t="shared" si="136"/>
        <v>21.2272</v>
      </c>
      <c r="D1775" s="880">
        <f t="shared" si="137"/>
        <v>45.749400000000001</v>
      </c>
      <c r="E1775" s="10">
        <v>21.227222000000001</v>
      </c>
      <c r="F1775" s="10">
        <v>45.749442999999999</v>
      </c>
      <c r="G1775" s="10">
        <v>2</v>
      </c>
      <c r="H1775" s="10" t="s">
        <v>1938</v>
      </c>
      <c r="I1775" s="10" t="s">
        <v>5688</v>
      </c>
      <c r="J1775" s="10" t="s">
        <v>5689</v>
      </c>
      <c r="K1775" s="10" t="s">
        <v>5690</v>
      </c>
      <c r="L1775" s="65" t="str">
        <f t="shared" si="138"/>
        <v>Timisoara|Romania|21,227222|45,749443|+2:00 Europe</v>
      </c>
      <c r="M1775" s="10" t="s">
        <v>5712</v>
      </c>
      <c r="N1775" s="10">
        <f t="shared" si="135"/>
        <v>0</v>
      </c>
      <c r="O1775" t="str">
        <f t="shared" si="139"/>
        <v/>
      </c>
      <c r="P1775" t="str">
        <f>IF(O1775=1,COUNTIF($O$2:O1775,1),"")</f>
        <v/>
      </c>
      <c r="Q1775" t="str">
        <f>IFERROR(INDEX($M$2:$M$2388,MATCH(ROWS($P$2:P1775),$P$2:$P$2388,0)),"")</f>
        <v/>
      </c>
    </row>
    <row r="1776" spans="1:17" ht="15" x14ac:dyDescent="0.25">
      <c r="A1776" s="10">
        <v>1855</v>
      </c>
      <c r="B1776" s="10" t="s">
        <v>5713</v>
      </c>
      <c r="C1776" s="880">
        <f t="shared" si="136"/>
        <v>23.2166</v>
      </c>
      <c r="D1776" s="880">
        <f t="shared" si="137"/>
        <v>46.116599999999998</v>
      </c>
      <c r="E1776" s="10">
        <v>23.216667000000001</v>
      </c>
      <c r="F1776" s="10">
        <v>46.116664999999998</v>
      </c>
      <c r="G1776" s="10">
        <v>2</v>
      </c>
      <c r="H1776" s="10" t="s">
        <v>1938</v>
      </c>
      <c r="I1776" s="10" t="s">
        <v>5688</v>
      </c>
      <c r="J1776" s="10" t="s">
        <v>5689</v>
      </c>
      <c r="K1776" s="10" t="s">
        <v>5690</v>
      </c>
      <c r="L1776" s="65" t="str">
        <f t="shared" si="138"/>
        <v>Zlatna|Romania|23,216667|46,116665|+2:00 Europe</v>
      </c>
      <c r="M1776" s="10" t="s">
        <v>5714</v>
      </c>
      <c r="N1776" s="10">
        <f t="shared" si="135"/>
        <v>0</v>
      </c>
      <c r="O1776" t="str">
        <f t="shared" si="139"/>
        <v/>
      </c>
      <c r="P1776" t="str">
        <f>IF(O1776=1,COUNTIF($O$2:O1776,1),"")</f>
        <v/>
      </c>
      <c r="Q1776" t="str">
        <f>IFERROR(INDEX($M$2:$M$2388,MATCH(ROWS($P$2:P1776),$P$2:$P$2388,0)),"")</f>
        <v/>
      </c>
    </row>
    <row r="1777" spans="1:17" ht="15" x14ac:dyDescent="0.25">
      <c r="A1777" s="10">
        <v>1854</v>
      </c>
      <c r="B1777" s="10" t="s">
        <v>5715</v>
      </c>
      <c r="C1777" s="880">
        <f t="shared" si="136"/>
        <v>27.7166</v>
      </c>
      <c r="D1777" s="880">
        <f t="shared" si="137"/>
        <v>46.266599999999997</v>
      </c>
      <c r="E1777" s="10">
        <v>27.716667000000001</v>
      </c>
      <c r="F1777" s="10">
        <v>46.266666000000001</v>
      </c>
      <c r="G1777" s="10">
        <v>2</v>
      </c>
      <c r="H1777" s="10" t="s">
        <v>1938</v>
      </c>
      <c r="I1777" s="10" t="s">
        <v>5688</v>
      </c>
      <c r="J1777" s="10" t="s">
        <v>5689</v>
      </c>
      <c r="K1777" s="10" t="s">
        <v>5690</v>
      </c>
      <c r="L1777" s="65" t="str">
        <f t="shared" si="138"/>
        <v>Zorleni|Romania|27,716667|46,266666|+2:00 Europe</v>
      </c>
      <c r="M1777" s="10" t="s">
        <v>5716</v>
      </c>
      <c r="N1777" s="10">
        <f t="shared" si="135"/>
        <v>0</v>
      </c>
      <c r="O1777" t="str">
        <f t="shared" si="139"/>
        <v/>
      </c>
      <c r="P1777" t="str">
        <f>IF(O1777=1,COUNTIF($O$2:O1777,1),"")</f>
        <v/>
      </c>
      <c r="Q1777" t="str">
        <f>IFERROR(INDEX($M$2:$M$2388,MATCH(ROWS($P$2:P1777),$P$2:$P$2388,0)),"")</f>
        <v/>
      </c>
    </row>
    <row r="1778" spans="1:17" ht="15" x14ac:dyDescent="0.25">
      <c r="A1778" s="10">
        <v>1853</v>
      </c>
      <c r="B1778" s="10" t="s">
        <v>5717</v>
      </c>
      <c r="C1778" s="880">
        <f t="shared" si="136"/>
        <v>26.283300000000001</v>
      </c>
      <c r="D1778" s="880">
        <f t="shared" si="137"/>
        <v>47.833300000000001</v>
      </c>
      <c r="E1778" s="10">
        <v>26.283332999999999</v>
      </c>
      <c r="F1778" s="10">
        <v>47.833331999999999</v>
      </c>
      <c r="G1778" s="10">
        <v>2</v>
      </c>
      <c r="H1778" s="10" t="s">
        <v>1938</v>
      </c>
      <c r="I1778" s="10" t="s">
        <v>5688</v>
      </c>
      <c r="J1778" s="10" t="s">
        <v>5689</v>
      </c>
      <c r="K1778" s="10" t="s">
        <v>5690</v>
      </c>
      <c r="L1778" s="65" t="str">
        <f t="shared" si="138"/>
        <v>Zvoristea|Romania|26,283333|47,833332|+2:00 Europe</v>
      </c>
      <c r="M1778" s="10" t="s">
        <v>5718</v>
      </c>
      <c r="N1778" s="10">
        <f t="shared" si="135"/>
        <v>0</v>
      </c>
      <c r="O1778" t="str">
        <f t="shared" si="139"/>
        <v/>
      </c>
      <c r="P1778" t="str">
        <f>IF(O1778=1,COUNTIF($O$2:O1778,1),"")</f>
        <v/>
      </c>
      <c r="Q1778" t="str">
        <f>IFERROR(INDEX($M$2:$M$2388,MATCH(ROWS($P$2:P1778),$P$2:$P$2388,0)),"")</f>
        <v/>
      </c>
    </row>
    <row r="1779" spans="1:17" ht="15" x14ac:dyDescent="0.25">
      <c r="A1779" s="10">
        <v>1961</v>
      </c>
      <c r="B1779" s="10" t="s">
        <v>5719</v>
      </c>
      <c r="C1779" s="880">
        <f t="shared" si="136"/>
        <v>103.87990000000001</v>
      </c>
      <c r="D1779" s="880">
        <f t="shared" si="137"/>
        <v>52.529899999999998</v>
      </c>
      <c r="E1779" s="10">
        <v>103.879997</v>
      </c>
      <c r="F1779" s="10">
        <v>52.529998999999997</v>
      </c>
      <c r="G1779" s="10">
        <v>8</v>
      </c>
      <c r="H1779" s="10" t="s">
        <v>1831</v>
      </c>
      <c r="I1779" s="10" t="s">
        <v>5720</v>
      </c>
      <c r="J1779" s="10" t="s">
        <v>5721</v>
      </c>
      <c r="K1779" s="10" t="s">
        <v>5722</v>
      </c>
      <c r="L1779" s="65" t="str">
        <f t="shared" si="138"/>
        <v>Angarsk|Russia|103,879997|52,529999|+8:00 Asia</v>
      </c>
      <c r="M1779" s="10" t="s">
        <v>5723</v>
      </c>
      <c r="N1779" s="10">
        <f t="shared" si="135"/>
        <v>0</v>
      </c>
      <c r="O1779" t="str">
        <f t="shared" si="139"/>
        <v/>
      </c>
      <c r="P1779" t="str">
        <f>IF(O1779=1,COUNTIF($O$2:O1779,1),"")</f>
        <v/>
      </c>
      <c r="Q1779" t="str">
        <f>IFERROR(INDEX($M$2:$M$2388,MATCH(ROWS($P$2:P1779),$P$2:$P$2388,0)),"")</f>
        <v/>
      </c>
    </row>
    <row r="1780" spans="1:17" ht="15" x14ac:dyDescent="0.25">
      <c r="A1780" s="10">
        <v>1940</v>
      </c>
      <c r="B1780" s="10" t="s">
        <v>5724</v>
      </c>
      <c r="C1780" s="880">
        <f t="shared" si="136"/>
        <v>40.54</v>
      </c>
      <c r="D1780" s="880">
        <f t="shared" si="137"/>
        <v>64.540000000000006</v>
      </c>
      <c r="E1780" s="10">
        <v>40.540000999999997</v>
      </c>
      <c r="F1780" s="10">
        <v>64.540001000000004</v>
      </c>
      <c r="G1780" s="10">
        <v>3</v>
      </c>
      <c r="H1780" s="10" t="s">
        <v>1883</v>
      </c>
      <c r="I1780" s="10" t="s">
        <v>5720</v>
      </c>
      <c r="J1780" s="10" t="s">
        <v>5721</v>
      </c>
      <c r="K1780" s="10" t="s">
        <v>5725</v>
      </c>
      <c r="L1780" s="65" t="str">
        <f t="shared" si="138"/>
        <v>Arkhangel'sk|Russia|40,540001|64,540001|+3:00 Europe</v>
      </c>
      <c r="M1780" s="10" t="s">
        <v>5726</v>
      </c>
      <c r="N1780" s="10">
        <f t="shared" si="135"/>
        <v>0</v>
      </c>
      <c r="O1780" t="str">
        <f t="shared" si="139"/>
        <v/>
      </c>
      <c r="P1780" t="str">
        <f>IF(O1780=1,COUNTIF($O$2:O1780,1),"")</f>
        <v/>
      </c>
      <c r="Q1780" t="str">
        <f>IFERROR(INDEX($M$2:$M$2388,MATCH(ROWS($P$2:P1780),$P$2:$P$2388,0)),"")</f>
        <v/>
      </c>
    </row>
    <row r="1781" spans="1:17" ht="15" x14ac:dyDescent="0.25">
      <c r="A1781" s="10">
        <v>1939</v>
      </c>
      <c r="B1781" s="10" t="s">
        <v>5727</v>
      </c>
      <c r="C1781" s="880">
        <f t="shared" si="136"/>
        <v>48.04</v>
      </c>
      <c r="D1781" s="880">
        <f t="shared" si="137"/>
        <v>46.34</v>
      </c>
      <c r="E1781" s="10">
        <v>48.040000999999997</v>
      </c>
      <c r="F1781" s="10">
        <v>46.34</v>
      </c>
      <c r="G1781" s="10">
        <v>4</v>
      </c>
      <c r="H1781" s="10" t="s">
        <v>1794</v>
      </c>
      <c r="I1781" s="10" t="s">
        <v>5720</v>
      </c>
      <c r="J1781" s="10" t="s">
        <v>5721</v>
      </c>
      <c r="K1781" s="10" t="s">
        <v>5728</v>
      </c>
      <c r="L1781" s="65" t="str">
        <f t="shared" si="138"/>
        <v>Astrakhan'|Russia|48,040001|46,340000|+4:00 Europe</v>
      </c>
      <c r="M1781" s="10" t="s">
        <v>5729</v>
      </c>
      <c r="N1781" s="10">
        <f t="shared" si="135"/>
        <v>0</v>
      </c>
      <c r="O1781" t="str">
        <f t="shared" si="139"/>
        <v/>
      </c>
      <c r="P1781" t="str">
        <f>IF(O1781=1,COUNTIF($O$2:O1781,1),"")</f>
        <v/>
      </c>
      <c r="Q1781" t="str">
        <f>IFERROR(INDEX($M$2:$M$2388,MATCH(ROWS($P$2:P1781),$P$2:$P$2388,0)),"")</f>
        <v/>
      </c>
    </row>
    <row r="1782" spans="1:17" ht="15" x14ac:dyDescent="0.25">
      <c r="A1782" s="10">
        <v>1938</v>
      </c>
      <c r="B1782" s="10" t="s">
        <v>5730</v>
      </c>
      <c r="C1782" s="880">
        <f t="shared" si="136"/>
        <v>47.779899999999998</v>
      </c>
      <c r="D1782" s="880">
        <f t="shared" si="137"/>
        <v>52.029899999999998</v>
      </c>
      <c r="E1782" s="10">
        <v>47.779998999999997</v>
      </c>
      <c r="F1782" s="10">
        <v>52.029998999999997</v>
      </c>
      <c r="G1782" s="10">
        <v>4</v>
      </c>
      <c r="H1782" s="10" t="s">
        <v>1794</v>
      </c>
      <c r="I1782" s="10" t="s">
        <v>5720</v>
      </c>
      <c r="J1782" s="10" t="s">
        <v>5721</v>
      </c>
      <c r="K1782" s="10" t="s">
        <v>5728</v>
      </c>
      <c r="L1782" s="65" t="str">
        <f t="shared" si="138"/>
        <v>Balakovo|Russia|47,779999|52,029999|+4:00 Europe</v>
      </c>
      <c r="M1782" s="10" t="s">
        <v>5731</v>
      </c>
      <c r="N1782" s="10">
        <f t="shared" si="135"/>
        <v>0</v>
      </c>
      <c r="O1782" t="str">
        <f t="shared" si="139"/>
        <v/>
      </c>
      <c r="P1782" t="str">
        <f>IF(O1782=1,COUNTIF($O$2:O1782,1),"")</f>
        <v/>
      </c>
      <c r="Q1782" t="str">
        <f>IFERROR(INDEX($M$2:$M$2388,MATCH(ROWS($P$2:P1782),$P$2:$P$2388,0)),"")</f>
        <v/>
      </c>
    </row>
    <row r="1783" spans="1:17" ht="15" x14ac:dyDescent="0.25">
      <c r="A1783" s="10">
        <v>1954</v>
      </c>
      <c r="B1783" s="10" t="s">
        <v>5732</v>
      </c>
      <c r="C1783" s="880">
        <f t="shared" si="136"/>
        <v>83.76</v>
      </c>
      <c r="D1783" s="880">
        <f t="shared" si="137"/>
        <v>53.36</v>
      </c>
      <c r="E1783" s="10">
        <v>83.760002</v>
      </c>
      <c r="F1783" s="10">
        <v>53.360000999999997</v>
      </c>
      <c r="G1783" s="10">
        <v>7</v>
      </c>
      <c r="H1783" s="10" t="s">
        <v>2363</v>
      </c>
      <c r="I1783" s="10" t="s">
        <v>5720</v>
      </c>
      <c r="J1783" s="10" t="s">
        <v>5721</v>
      </c>
      <c r="K1783" s="10" t="s">
        <v>5733</v>
      </c>
      <c r="L1783" s="65" t="str">
        <f t="shared" si="138"/>
        <v>Barnaul|Russia|83,760002|53,360001|+7:00 Asia</v>
      </c>
      <c r="M1783" s="10" t="s">
        <v>5734</v>
      </c>
      <c r="N1783" s="10">
        <f t="shared" si="135"/>
        <v>0</v>
      </c>
      <c r="O1783" t="str">
        <f t="shared" si="139"/>
        <v/>
      </c>
      <c r="P1783" t="str">
        <f>IF(O1783=1,COUNTIF($O$2:O1783,1),"")</f>
        <v/>
      </c>
      <c r="Q1783" t="str">
        <f>IFERROR(INDEX($M$2:$M$2388,MATCH(ROWS($P$2:P1783),$P$2:$P$2388,0)),"")</f>
        <v/>
      </c>
    </row>
    <row r="1784" spans="1:17" ht="15" x14ac:dyDescent="0.25">
      <c r="A1784" s="10">
        <v>1937</v>
      </c>
      <c r="B1784" s="10" t="s">
        <v>5735</v>
      </c>
      <c r="C1784" s="880">
        <f t="shared" si="136"/>
        <v>36.58</v>
      </c>
      <c r="D1784" s="880">
        <f t="shared" si="137"/>
        <v>50.61</v>
      </c>
      <c r="E1784" s="10">
        <v>36.580002</v>
      </c>
      <c r="F1784" s="10">
        <v>50.610000999999997</v>
      </c>
      <c r="G1784" s="10">
        <v>3</v>
      </c>
      <c r="H1784" s="10" t="s">
        <v>1883</v>
      </c>
      <c r="I1784" s="10" t="s">
        <v>5720</v>
      </c>
      <c r="J1784" s="10" t="s">
        <v>5721</v>
      </c>
      <c r="K1784" s="10" t="s">
        <v>5725</v>
      </c>
      <c r="L1784" s="65" t="str">
        <f t="shared" si="138"/>
        <v>Belgorod|Russia|36,580002|50,610001|+3:00 Europe</v>
      </c>
      <c r="M1784" s="10" t="s">
        <v>5736</v>
      </c>
      <c r="N1784" s="10">
        <f t="shared" si="135"/>
        <v>0</v>
      </c>
      <c r="O1784" t="str">
        <f t="shared" si="139"/>
        <v/>
      </c>
      <c r="P1784" t="str">
        <f>IF(O1784=1,COUNTIF($O$2:O1784,1),"")</f>
        <v/>
      </c>
      <c r="Q1784" t="str">
        <f>IFERROR(INDEX($M$2:$M$2388,MATCH(ROWS($P$2:P1784),$P$2:$P$2388,0)),"")</f>
        <v/>
      </c>
    </row>
    <row r="1785" spans="1:17" ht="15" x14ac:dyDescent="0.25">
      <c r="A1785" s="10">
        <v>1953</v>
      </c>
      <c r="B1785" s="10" t="s">
        <v>5737</v>
      </c>
      <c r="C1785" s="880">
        <f t="shared" si="136"/>
        <v>85.25</v>
      </c>
      <c r="D1785" s="880">
        <f t="shared" si="137"/>
        <v>52.566600000000001</v>
      </c>
      <c r="E1785" s="10">
        <v>85.25</v>
      </c>
      <c r="F1785" s="10">
        <v>52.566665999999998</v>
      </c>
      <c r="G1785" s="10">
        <v>7</v>
      </c>
      <c r="H1785" s="10" t="s">
        <v>2363</v>
      </c>
      <c r="I1785" s="10" t="s">
        <v>5720</v>
      </c>
      <c r="J1785" s="10" t="s">
        <v>5721</v>
      </c>
      <c r="K1785" s="10" t="s">
        <v>5733</v>
      </c>
      <c r="L1785" s="65" t="str">
        <f t="shared" si="138"/>
        <v>Biysk|Russia|85,250000|52,566666|+7:00 Asia</v>
      </c>
      <c r="M1785" s="10" t="s">
        <v>5738</v>
      </c>
      <c r="N1785" s="10">
        <f t="shared" si="135"/>
        <v>0</v>
      </c>
      <c r="O1785" t="str">
        <f t="shared" si="139"/>
        <v/>
      </c>
      <c r="P1785" t="str">
        <f>IF(O1785=1,COUNTIF($O$2:O1785,1),"")</f>
        <v/>
      </c>
      <c r="Q1785" t="str">
        <f>IFERROR(INDEX($M$2:$M$2388,MATCH(ROWS($P$2:P1785),$P$2:$P$2388,0)),"")</f>
        <v/>
      </c>
    </row>
    <row r="1786" spans="1:17" ht="15" x14ac:dyDescent="0.25">
      <c r="A1786" s="10">
        <v>1960</v>
      </c>
      <c r="B1786" s="10" t="s">
        <v>5739</v>
      </c>
      <c r="C1786" s="880">
        <f t="shared" si="136"/>
        <v>127.5333</v>
      </c>
      <c r="D1786" s="880">
        <f t="shared" si="137"/>
        <v>50.266599999999997</v>
      </c>
      <c r="E1786" s="10">
        <v>127.533333</v>
      </c>
      <c r="F1786" s="10">
        <v>50.266666000000001</v>
      </c>
      <c r="G1786" s="10">
        <v>9</v>
      </c>
      <c r="H1786" s="10" t="s">
        <v>4033</v>
      </c>
      <c r="I1786" s="10" t="s">
        <v>5720</v>
      </c>
      <c r="J1786" s="10" t="s">
        <v>5721</v>
      </c>
      <c r="K1786" s="10" t="s">
        <v>5740</v>
      </c>
      <c r="L1786" s="65" t="str">
        <f t="shared" si="138"/>
        <v>Blagoveshchensk|Russia|127,533333|50,266666|+9:00 Asia</v>
      </c>
      <c r="M1786" s="10" t="s">
        <v>5741</v>
      </c>
      <c r="N1786" s="10">
        <f t="shared" si="135"/>
        <v>0</v>
      </c>
      <c r="O1786" t="str">
        <f t="shared" si="139"/>
        <v/>
      </c>
      <c r="P1786" t="str">
        <f>IF(O1786=1,COUNTIF($O$2:O1786,1),"")</f>
        <v/>
      </c>
      <c r="Q1786" t="str">
        <f>IFERROR(INDEX($M$2:$M$2388,MATCH(ROWS($P$2:P1786),$P$2:$P$2388,0)),"")</f>
        <v/>
      </c>
    </row>
    <row r="1787" spans="1:17" ht="15" x14ac:dyDescent="0.25">
      <c r="A1787" s="10">
        <v>1962</v>
      </c>
      <c r="B1787" s="10" t="s">
        <v>5742</v>
      </c>
      <c r="C1787" s="880">
        <f t="shared" si="136"/>
        <v>101.61409999999999</v>
      </c>
      <c r="D1787" s="880">
        <f t="shared" si="137"/>
        <v>56.1325</v>
      </c>
      <c r="E1787" s="10">
        <v>101.614166</v>
      </c>
      <c r="F1787" s="10">
        <v>56.1325</v>
      </c>
      <c r="G1787" s="10">
        <v>8</v>
      </c>
      <c r="H1787" s="10" t="s">
        <v>1831</v>
      </c>
      <c r="I1787" s="10" t="s">
        <v>5720</v>
      </c>
      <c r="J1787" s="10" t="s">
        <v>5721</v>
      </c>
      <c r="K1787" s="10" t="s">
        <v>5722</v>
      </c>
      <c r="L1787" s="65" t="str">
        <f t="shared" si="138"/>
        <v>Bratsk|Russia|101,614166|56,132500|+8:00 Asia</v>
      </c>
      <c r="M1787" s="10" t="s">
        <v>5743</v>
      </c>
      <c r="N1787" s="10">
        <f t="shared" si="135"/>
        <v>0</v>
      </c>
      <c r="O1787" t="str">
        <f t="shared" si="139"/>
        <v/>
      </c>
      <c r="P1787" t="str">
        <f>IF(O1787=1,COUNTIF($O$2:O1787,1),"")</f>
        <v/>
      </c>
      <c r="Q1787" t="str">
        <f>IFERROR(INDEX($M$2:$M$2388,MATCH(ROWS($P$2:P1787),$P$2:$P$2388,0)),"")</f>
        <v/>
      </c>
    </row>
    <row r="1788" spans="1:17" ht="15" x14ac:dyDescent="0.25">
      <c r="A1788" s="10">
        <v>1936</v>
      </c>
      <c r="B1788" s="10" t="s">
        <v>5744</v>
      </c>
      <c r="C1788" s="880">
        <f t="shared" si="136"/>
        <v>34.380499999999998</v>
      </c>
      <c r="D1788" s="880">
        <f t="shared" si="137"/>
        <v>53.287399999999998</v>
      </c>
      <c r="E1788" s="10">
        <v>34.380553999999997</v>
      </c>
      <c r="F1788" s="10">
        <v>53.287497999999999</v>
      </c>
      <c r="G1788" s="10">
        <v>3</v>
      </c>
      <c r="H1788" s="10" t="s">
        <v>1883</v>
      </c>
      <c r="I1788" s="10" t="s">
        <v>5720</v>
      </c>
      <c r="J1788" s="10" t="s">
        <v>5721</v>
      </c>
      <c r="K1788" s="10" t="s">
        <v>5725</v>
      </c>
      <c r="L1788" s="65" t="str">
        <f t="shared" si="138"/>
        <v>Bryansk|Russia|34,380554|53,287498|+3:00 Europe</v>
      </c>
      <c r="M1788" s="10" t="s">
        <v>5745</v>
      </c>
      <c r="N1788" s="10">
        <f t="shared" si="135"/>
        <v>0</v>
      </c>
      <c r="O1788" t="str">
        <f t="shared" si="139"/>
        <v/>
      </c>
      <c r="P1788" t="str">
        <f>IF(O1788=1,COUNTIF($O$2:O1788,1),"")</f>
        <v/>
      </c>
      <c r="Q1788" t="str">
        <f>IFERROR(INDEX($M$2:$M$2388,MATCH(ROWS($P$2:P1788),$P$2:$P$2388,0)),"")</f>
        <v/>
      </c>
    </row>
    <row r="1789" spans="1:17" ht="15" x14ac:dyDescent="0.25">
      <c r="A1789" s="10">
        <v>1935</v>
      </c>
      <c r="B1789" s="10" t="s">
        <v>5746</v>
      </c>
      <c r="C1789" s="880">
        <f t="shared" si="136"/>
        <v>47.251899999999999</v>
      </c>
      <c r="D1789" s="880">
        <f t="shared" si="137"/>
        <v>56.132199999999997</v>
      </c>
      <c r="E1789" s="10">
        <v>47.251944999999999</v>
      </c>
      <c r="F1789" s="10">
        <v>56.132221000000001</v>
      </c>
      <c r="G1789" s="10">
        <v>3</v>
      </c>
      <c r="H1789" s="10" t="s">
        <v>1883</v>
      </c>
      <c r="I1789" s="10" t="s">
        <v>5720</v>
      </c>
      <c r="J1789" s="10" t="s">
        <v>5721</v>
      </c>
      <c r="K1789" s="10" t="s">
        <v>5725</v>
      </c>
      <c r="L1789" s="65" t="str">
        <f t="shared" si="138"/>
        <v>Cheboksary|Russia|47,251945|56,132221|+3:00 Europe</v>
      </c>
      <c r="M1789" s="10" t="s">
        <v>5747</v>
      </c>
      <c r="N1789" s="10">
        <f t="shared" si="135"/>
        <v>0</v>
      </c>
      <c r="O1789" t="str">
        <f t="shared" si="139"/>
        <v/>
      </c>
      <c r="P1789" t="str">
        <f>IF(O1789=1,COUNTIF($O$2:O1789,1),"")</f>
        <v/>
      </c>
      <c r="Q1789" t="str">
        <f>IFERROR(INDEX($M$2:$M$2388,MATCH(ROWS($P$2:P1789),$P$2:$P$2388,0)),"")</f>
        <v/>
      </c>
    </row>
    <row r="1790" spans="1:17" ht="15" x14ac:dyDescent="0.25">
      <c r="A1790" s="10">
        <v>1952</v>
      </c>
      <c r="B1790" s="10" t="s">
        <v>5748</v>
      </c>
      <c r="C1790" s="880">
        <f t="shared" si="136"/>
        <v>61.429699999999997</v>
      </c>
      <c r="D1790" s="880">
        <f t="shared" si="137"/>
        <v>55.154400000000003</v>
      </c>
      <c r="E1790" s="10">
        <v>61.429721999999998</v>
      </c>
      <c r="F1790" s="10">
        <v>55.154446</v>
      </c>
      <c r="G1790" s="10">
        <v>5</v>
      </c>
      <c r="H1790" s="10" t="s">
        <v>4585</v>
      </c>
      <c r="I1790" s="10" t="s">
        <v>5720</v>
      </c>
      <c r="J1790" s="10" t="s">
        <v>5721</v>
      </c>
      <c r="K1790" s="10" t="s">
        <v>5749</v>
      </c>
      <c r="L1790" s="65" t="str">
        <f t="shared" si="138"/>
        <v>Chelyabinsk|Russia|61,429722|55,154446|+5:00 Asia</v>
      </c>
      <c r="M1790" s="10" t="s">
        <v>5750</v>
      </c>
      <c r="N1790" s="10">
        <f t="shared" si="135"/>
        <v>0</v>
      </c>
      <c r="O1790" t="str">
        <f t="shared" si="139"/>
        <v/>
      </c>
      <c r="P1790" t="str">
        <f>IF(O1790=1,COUNTIF($O$2:O1790,1),"")</f>
        <v/>
      </c>
      <c r="Q1790" t="str">
        <f>IFERROR(INDEX($M$2:$M$2388,MATCH(ROWS($P$2:P1790),$P$2:$P$2388,0)),"")</f>
        <v/>
      </c>
    </row>
    <row r="1791" spans="1:17" ht="15" x14ac:dyDescent="0.25">
      <c r="A1791" s="10">
        <v>1934</v>
      </c>
      <c r="B1791" s="10" t="s">
        <v>5751</v>
      </c>
      <c r="C1791" s="880">
        <f t="shared" si="136"/>
        <v>37.9</v>
      </c>
      <c r="D1791" s="880">
        <f t="shared" si="137"/>
        <v>59.133299999999998</v>
      </c>
      <c r="E1791" s="10">
        <v>37.900002000000001</v>
      </c>
      <c r="F1791" s="10">
        <v>59.133335000000002</v>
      </c>
      <c r="G1791" s="10">
        <v>3</v>
      </c>
      <c r="H1791" s="10" t="s">
        <v>1883</v>
      </c>
      <c r="I1791" s="10" t="s">
        <v>5720</v>
      </c>
      <c r="J1791" s="10" t="s">
        <v>5721</v>
      </c>
      <c r="K1791" s="10" t="s">
        <v>5725</v>
      </c>
      <c r="L1791" s="65" t="str">
        <f t="shared" si="138"/>
        <v>Cherepovets|Russia|37,900002|59,133335|+3:00 Europe</v>
      </c>
      <c r="M1791" s="10" t="s">
        <v>5752</v>
      </c>
      <c r="N1791" s="10">
        <f t="shared" si="135"/>
        <v>0</v>
      </c>
      <c r="O1791" t="str">
        <f t="shared" si="139"/>
        <v/>
      </c>
      <c r="P1791" t="str">
        <f>IF(O1791=1,COUNTIF($O$2:O1791,1),"")</f>
        <v/>
      </c>
      <c r="Q1791" t="str">
        <f>IFERROR(INDEX($M$2:$M$2388,MATCH(ROWS($P$2:P1791),$P$2:$P$2388,0)),"")</f>
        <v/>
      </c>
    </row>
    <row r="1792" spans="1:17" ht="15" x14ac:dyDescent="0.25">
      <c r="A1792" s="10">
        <v>1933</v>
      </c>
      <c r="B1792" s="10" t="s">
        <v>5753</v>
      </c>
      <c r="C1792" s="880">
        <f t="shared" si="136"/>
        <v>43.463000000000001</v>
      </c>
      <c r="D1792" s="880">
        <f t="shared" si="137"/>
        <v>56.238799999999998</v>
      </c>
      <c r="E1792" s="10">
        <v>43.463054999999997</v>
      </c>
      <c r="F1792" s="10">
        <v>56.238888000000003</v>
      </c>
      <c r="G1792" s="10">
        <v>3</v>
      </c>
      <c r="H1792" s="10" t="s">
        <v>1883</v>
      </c>
      <c r="I1792" s="10" t="s">
        <v>5720</v>
      </c>
      <c r="J1792" s="10" t="s">
        <v>5721</v>
      </c>
      <c r="K1792" s="10" t="s">
        <v>5725</v>
      </c>
      <c r="L1792" s="65" t="str">
        <f t="shared" si="138"/>
        <v>Dzerzhinsk|Russia|43,463055|56,238888|+3:00 Europe</v>
      </c>
      <c r="M1792" s="10" t="s">
        <v>5754</v>
      </c>
      <c r="N1792" s="10">
        <f t="shared" si="135"/>
        <v>0</v>
      </c>
      <c r="O1792" t="str">
        <f t="shared" si="139"/>
        <v/>
      </c>
      <c r="P1792" t="str">
        <f>IF(O1792=1,COUNTIF($O$2:O1792,1),"")</f>
        <v/>
      </c>
      <c r="Q1792" t="str">
        <f>IFERROR(INDEX($M$2:$M$2388,MATCH(ROWS($P$2:P1792),$P$2:$P$2388,0)),"")</f>
        <v/>
      </c>
    </row>
    <row r="1793" spans="1:17" ht="15" x14ac:dyDescent="0.25">
      <c r="A1793" s="10">
        <v>1959</v>
      </c>
      <c r="B1793" s="10" t="s">
        <v>5755</v>
      </c>
      <c r="C1793" s="880">
        <f t="shared" si="136"/>
        <v>104.2963</v>
      </c>
      <c r="D1793" s="880">
        <f t="shared" si="137"/>
        <v>52.297699999999999</v>
      </c>
      <c r="E1793" s="10">
        <v>104.296387</v>
      </c>
      <c r="F1793" s="10">
        <v>52.297778999999998</v>
      </c>
      <c r="G1793" s="10">
        <v>8</v>
      </c>
      <c r="H1793" s="10" t="s">
        <v>1831</v>
      </c>
      <c r="I1793" s="10" t="s">
        <v>5720</v>
      </c>
      <c r="J1793" s="10" t="s">
        <v>5721</v>
      </c>
      <c r="K1793" s="10" t="s">
        <v>5722</v>
      </c>
      <c r="L1793" s="65" t="str">
        <f t="shared" si="138"/>
        <v>Irkutsk|Russia|104,296387|52,297779|+8:00 Asia</v>
      </c>
      <c r="M1793" s="10" t="s">
        <v>5756</v>
      </c>
      <c r="N1793" s="10">
        <f t="shared" si="135"/>
        <v>0</v>
      </c>
      <c r="O1793" t="str">
        <f t="shared" si="139"/>
        <v/>
      </c>
      <c r="P1793" t="str">
        <f>IF(O1793=1,COUNTIF($O$2:O1793,1),"")</f>
        <v/>
      </c>
      <c r="Q1793" t="str">
        <f>IFERROR(INDEX($M$2:$M$2388,MATCH(ROWS($P$2:P1793),$P$2:$P$2388,0)),"")</f>
        <v/>
      </c>
    </row>
    <row r="1794" spans="1:17" ht="15" x14ac:dyDescent="0.25">
      <c r="A1794" s="10">
        <v>1932</v>
      </c>
      <c r="B1794" s="10" t="s">
        <v>5757</v>
      </c>
      <c r="C1794" s="880">
        <f t="shared" si="136"/>
        <v>40.985799999999998</v>
      </c>
      <c r="D1794" s="880">
        <f t="shared" si="137"/>
        <v>56.994100000000003</v>
      </c>
      <c r="E1794" s="10">
        <v>40.985832000000002</v>
      </c>
      <c r="F1794" s="10">
        <v>56.994166999999997</v>
      </c>
      <c r="G1794" s="10">
        <v>3</v>
      </c>
      <c r="H1794" s="10" t="s">
        <v>1883</v>
      </c>
      <c r="I1794" s="10" t="s">
        <v>5720</v>
      </c>
      <c r="J1794" s="10" t="s">
        <v>5721</v>
      </c>
      <c r="K1794" s="10" t="s">
        <v>5725</v>
      </c>
      <c r="L1794" s="65" t="str">
        <f t="shared" si="138"/>
        <v>Ivanovo|Russia|40,985832|56,994167|+3:00 Europe</v>
      </c>
      <c r="M1794" s="10" t="s">
        <v>5758</v>
      </c>
      <c r="N1794" s="10">
        <f t="shared" ref="N1794:N1857" si="140">--ISNUMBER(IFERROR(SEARCH($R$2,J1794,1),""))</f>
        <v>0</v>
      </c>
      <c r="O1794" t="str">
        <f t="shared" si="139"/>
        <v/>
      </c>
      <c r="P1794" t="str">
        <f>IF(O1794=1,COUNTIF($O$2:O1794,1),"")</f>
        <v/>
      </c>
      <c r="Q1794" t="str">
        <f>IFERROR(INDEX($M$2:$M$2388,MATCH(ROWS($P$2:P1794),$P$2:$P$2388,0)),"")</f>
        <v/>
      </c>
    </row>
    <row r="1795" spans="1:17" ht="15" x14ac:dyDescent="0.25">
      <c r="A1795" s="10">
        <v>1931</v>
      </c>
      <c r="B1795" s="10" t="s">
        <v>5759</v>
      </c>
      <c r="C1795" s="880">
        <f t="shared" ref="C1795:C1858" si="141">TRUNC(E1795,4)</f>
        <v>53.2333</v>
      </c>
      <c r="D1795" s="880">
        <f t="shared" ref="D1795:D1858" si="142">TRUNC(F1795,4)</f>
        <v>56.849899999999998</v>
      </c>
      <c r="E1795" s="10">
        <v>53.233333999999999</v>
      </c>
      <c r="F1795" s="10">
        <v>56.849997999999999</v>
      </c>
      <c r="G1795" s="10">
        <v>4</v>
      </c>
      <c r="H1795" s="10" t="s">
        <v>1794</v>
      </c>
      <c r="I1795" s="10" t="s">
        <v>5720</v>
      </c>
      <c r="J1795" s="10" t="s">
        <v>5721</v>
      </c>
      <c r="K1795" s="10" t="s">
        <v>5728</v>
      </c>
      <c r="L1795" s="65" t="str">
        <f t="shared" ref="L1795:L1858" si="143">MID(M1795,1,LEN(M1795)-(LEN(K1795)-SEARCH("/",K1795)+1))</f>
        <v>Izhevsk|Russia|53,233334|56,849998|+4:00 Europe</v>
      </c>
      <c r="M1795" s="10" t="s">
        <v>5760</v>
      </c>
      <c r="N1795" s="10">
        <f t="shared" si="140"/>
        <v>0</v>
      </c>
      <c r="O1795" t="str">
        <f t="shared" ref="O1795:O1858" si="144">IF(N1795=0,"",--ISNUMBER(IFERROR(SEARCH($U$2,L1795,1),"")))</f>
        <v/>
      </c>
      <c r="P1795" t="str">
        <f>IF(O1795=1,COUNTIF($O$2:O1795,1),"")</f>
        <v/>
      </c>
      <c r="Q1795" t="str">
        <f>IFERROR(INDEX($M$2:$M$2388,MATCH(ROWS($P$2:P1795),$P$2:$P$2388,0)),"")</f>
        <v/>
      </c>
    </row>
    <row r="1796" spans="1:17" ht="15" x14ac:dyDescent="0.25">
      <c r="A1796" s="10">
        <v>1930</v>
      </c>
      <c r="B1796" s="10" t="s">
        <v>5761</v>
      </c>
      <c r="C1796" s="880">
        <f t="shared" si="141"/>
        <v>20.5</v>
      </c>
      <c r="D1796" s="880">
        <f t="shared" si="142"/>
        <v>54.709899999999998</v>
      </c>
      <c r="E1796" s="10">
        <v>20.5</v>
      </c>
      <c r="F1796" s="10">
        <v>54.709999000000003</v>
      </c>
      <c r="G1796" s="10">
        <v>2</v>
      </c>
      <c r="H1796" s="10" t="s">
        <v>1938</v>
      </c>
      <c r="I1796" s="10" t="s">
        <v>5720</v>
      </c>
      <c r="J1796" s="10" t="s">
        <v>5721</v>
      </c>
      <c r="K1796" s="10" t="s">
        <v>5762</v>
      </c>
      <c r="L1796" s="65" t="str">
        <f t="shared" si="143"/>
        <v>Kaliningrad|Russia|20,500000|54,709999|+2:00 Europe</v>
      </c>
      <c r="M1796" s="10" t="s">
        <v>5763</v>
      </c>
      <c r="N1796" s="10">
        <f t="shared" si="140"/>
        <v>0</v>
      </c>
      <c r="O1796" t="str">
        <f t="shared" si="144"/>
        <v/>
      </c>
      <c r="P1796" t="str">
        <f>IF(O1796=1,COUNTIF($O$2:O1796,1),"")</f>
        <v/>
      </c>
      <c r="Q1796" t="str">
        <f>IFERROR(INDEX($M$2:$M$2388,MATCH(ROWS($P$2:P1796),$P$2:$P$2388,0)),"")</f>
        <v/>
      </c>
    </row>
    <row r="1797" spans="1:17" ht="15" x14ac:dyDescent="0.25">
      <c r="A1797" s="10">
        <v>1929</v>
      </c>
      <c r="B1797" s="10" t="s">
        <v>5764</v>
      </c>
      <c r="C1797" s="880">
        <f t="shared" si="141"/>
        <v>36.270499999999998</v>
      </c>
      <c r="D1797" s="880">
        <f t="shared" si="142"/>
        <v>54.535800000000002</v>
      </c>
      <c r="E1797" s="10">
        <v>36.270556999999997</v>
      </c>
      <c r="F1797" s="10">
        <v>54.535831000000002</v>
      </c>
      <c r="G1797" s="10">
        <v>3</v>
      </c>
      <c r="H1797" s="10" t="s">
        <v>1883</v>
      </c>
      <c r="I1797" s="10" t="s">
        <v>5720</v>
      </c>
      <c r="J1797" s="10" t="s">
        <v>5721</v>
      </c>
      <c r="K1797" s="10" t="s">
        <v>5725</v>
      </c>
      <c r="L1797" s="65" t="str">
        <f t="shared" si="143"/>
        <v>Kaluga|Russia|36,270557|54,535831|+3:00 Europe</v>
      </c>
      <c r="M1797" s="10" t="s">
        <v>5765</v>
      </c>
      <c r="N1797" s="10">
        <f t="shared" si="140"/>
        <v>0</v>
      </c>
      <c r="O1797" t="str">
        <f t="shared" si="144"/>
        <v/>
      </c>
      <c r="P1797" t="str">
        <f>IF(O1797=1,COUNTIF($O$2:O1797,1),"")</f>
        <v/>
      </c>
      <c r="Q1797" t="str">
        <f>IFERROR(INDEX($M$2:$M$2388,MATCH(ROWS($P$2:P1797),$P$2:$P$2388,0)),"")</f>
        <v/>
      </c>
    </row>
    <row r="1798" spans="1:17" ht="15" x14ac:dyDescent="0.25">
      <c r="A1798" s="10">
        <v>1928</v>
      </c>
      <c r="B1798" s="10" t="s">
        <v>5766</v>
      </c>
      <c r="C1798" s="880">
        <f t="shared" si="141"/>
        <v>49.133299999999998</v>
      </c>
      <c r="D1798" s="880">
        <f t="shared" si="142"/>
        <v>55.75</v>
      </c>
      <c r="E1798" s="10">
        <v>49.133335000000002</v>
      </c>
      <c r="F1798" s="10">
        <v>55.75</v>
      </c>
      <c r="G1798" s="10">
        <v>3</v>
      </c>
      <c r="H1798" s="10" t="s">
        <v>1883</v>
      </c>
      <c r="I1798" s="10" t="s">
        <v>5720</v>
      </c>
      <c r="J1798" s="10" t="s">
        <v>5721</v>
      </c>
      <c r="K1798" s="10" t="s">
        <v>5725</v>
      </c>
      <c r="L1798" s="65" t="str">
        <f t="shared" si="143"/>
        <v>Kazan'|Russia|49,133335|55,750000|+3:00 Europe</v>
      </c>
      <c r="M1798" s="10" t="s">
        <v>5767</v>
      </c>
      <c r="N1798" s="10">
        <f t="shared" si="140"/>
        <v>0</v>
      </c>
      <c r="O1798" t="str">
        <f t="shared" si="144"/>
        <v/>
      </c>
      <c r="P1798" t="str">
        <f>IF(O1798=1,COUNTIF($O$2:O1798,1),"")</f>
        <v/>
      </c>
      <c r="Q1798" t="str">
        <f>IFERROR(INDEX($M$2:$M$2388,MATCH(ROWS($P$2:P1798),$P$2:$P$2388,0)),"")</f>
        <v/>
      </c>
    </row>
    <row r="1799" spans="1:17" ht="15" x14ac:dyDescent="0.25">
      <c r="A1799" s="10">
        <v>1951</v>
      </c>
      <c r="B1799" s="10" t="s">
        <v>5768</v>
      </c>
      <c r="C1799" s="880">
        <f t="shared" si="141"/>
        <v>86.083299999999994</v>
      </c>
      <c r="D1799" s="880">
        <f t="shared" si="142"/>
        <v>55.333300000000001</v>
      </c>
      <c r="E1799" s="10">
        <v>86.083336000000003</v>
      </c>
      <c r="F1799" s="10">
        <v>55.333331999999999</v>
      </c>
      <c r="G1799" s="10">
        <v>7</v>
      </c>
      <c r="H1799" s="10" t="s">
        <v>2363</v>
      </c>
      <c r="I1799" s="10" t="s">
        <v>5720</v>
      </c>
      <c r="J1799" s="10" t="s">
        <v>5721</v>
      </c>
      <c r="K1799" s="10" t="s">
        <v>5733</v>
      </c>
      <c r="L1799" s="65" t="str">
        <f t="shared" si="143"/>
        <v>Kemerovo|Russia|86,083336|55,333332|+7:00 Asia</v>
      </c>
      <c r="M1799" s="10" t="s">
        <v>5769</v>
      </c>
      <c r="N1799" s="10">
        <f t="shared" si="140"/>
        <v>0</v>
      </c>
      <c r="O1799" t="str">
        <f t="shared" si="144"/>
        <v/>
      </c>
      <c r="P1799" t="str">
        <f>IF(O1799=1,COUNTIF($O$2:O1799,1),"")</f>
        <v/>
      </c>
      <c r="Q1799" t="str">
        <f>IFERROR(INDEX($M$2:$M$2388,MATCH(ROWS($P$2:P1799),$P$2:$P$2388,0)),"")</f>
        <v/>
      </c>
    </row>
    <row r="1800" spans="1:17" ht="15" x14ac:dyDescent="0.25">
      <c r="A1800" s="10">
        <v>1958</v>
      </c>
      <c r="B1800" s="10" t="s">
        <v>5770</v>
      </c>
      <c r="C1800" s="880">
        <f t="shared" si="141"/>
        <v>135.09270000000001</v>
      </c>
      <c r="D1800" s="880">
        <f t="shared" si="142"/>
        <v>48.480800000000002</v>
      </c>
      <c r="E1800" s="10">
        <v>135.09277299999999</v>
      </c>
      <c r="F1800" s="10">
        <v>48.480834999999999</v>
      </c>
      <c r="G1800" s="10">
        <v>10</v>
      </c>
      <c r="H1800" s="10" t="s">
        <v>1817</v>
      </c>
      <c r="I1800" s="10" t="s">
        <v>5720</v>
      </c>
      <c r="J1800" s="10" t="s">
        <v>5721</v>
      </c>
      <c r="K1800" s="10" t="s">
        <v>5771</v>
      </c>
      <c r="L1800" s="65" t="str">
        <f t="shared" si="143"/>
        <v>Khabarovsk|Russia|135,092773|48,480835|+10:00 Asia</v>
      </c>
      <c r="M1800" s="10" t="s">
        <v>5772</v>
      </c>
      <c r="N1800" s="10">
        <f t="shared" si="140"/>
        <v>0</v>
      </c>
      <c r="O1800" t="str">
        <f t="shared" si="144"/>
        <v/>
      </c>
      <c r="P1800" t="str">
        <f>IF(O1800=1,COUNTIF($O$2:O1800,1),"")</f>
        <v/>
      </c>
      <c r="Q1800" t="str">
        <f>IFERROR(INDEX($M$2:$M$2388,MATCH(ROWS($P$2:P1800),$P$2:$P$2388,0)),"")</f>
        <v/>
      </c>
    </row>
    <row r="1801" spans="1:17" ht="15" x14ac:dyDescent="0.25">
      <c r="A1801" s="10">
        <v>1963</v>
      </c>
      <c r="B1801" s="10" t="s">
        <v>5773</v>
      </c>
      <c r="C1801" s="880">
        <f t="shared" si="141"/>
        <v>135.13550000000001</v>
      </c>
      <c r="D1801" s="880">
        <f t="shared" si="142"/>
        <v>48.442999999999998</v>
      </c>
      <c r="E1801" s="10">
        <v>135.135559</v>
      </c>
      <c r="F1801" s="10">
        <v>48.443053999999997</v>
      </c>
      <c r="G1801" s="10">
        <v>10</v>
      </c>
      <c r="H1801" s="10" t="s">
        <v>1817</v>
      </c>
      <c r="I1801" s="10" t="s">
        <v>5720</v>
      </c>
      <c r="J1801" s="10" t="s">
        <v>5721</v>
      </c>
      <c r="K1801" s="10" t="s">
        <v>5771</v>
      </c>
      <c r="L1801" s="65" t="str">
        <f t="shared" si="143"/>
        <v>Khabarovsk Vtoroy|Russia|135,135559|48,443054|+10:00 Asia</v>
      </c>
      <c r="M1801" s="10" t="s">
        <v>5774</v>
      </c>
      <c r="N1801" s="10">
        <f t="shared" si="140"/>
        <v>0</v>
      </c>
      <c r="O1801" t="str">
        <f t="shared" si="144"/>
        <v/>
      </c>
      <c r="P1801" t="str">
        <f>IF(O1801=1,COUNTIF($O$2:O1801,1),"")</f>
        <v/>
      </c>
      <c r="Q1801" t="str">
        <f>IFERROR(INDEX($M$2:$M$2388,MATCH(ROWS($P$2:P1801),$P$2:$P$2388,0)),"")</f>
        <v/>
      </c>
    </row>
    <row r="1802" spans="1:17" ht="15" x14ac:dyDescent="0.25">
      <c r="A1802" s="10">
        <v>1927</v>
      </c>
      <c r="B1802" s="10" t="s">
        <v>5775</v>
      </c>
      <c r="C1802" s="880">
        <f t="shared" si="141"/>
        <v>49.658299999999997</v>
      </c>
      <c r="D1802" s="880">
        <f t="shared" si="142"/>
        <v>58.596899999999998</v>
      </c>
      <c r="E1802" s="10">
        <v>49.658332999999999</v>
      </c>
      <c r="F1802" s="10">
        <v>58.596943000000003</v>
      </c>
      <c r="G1802" s="10">
        <v>4</v>
      </c>
      <c r="H1802" s="10" t="s">
        <v>1794</v>
      </c>
      <c r="I1802" s="10" t="s">
        <v>5720</v>
      </c>
      <c r="J1802" s="10" t="s">
        <v>5721</v>
      </c>
      <c r="K1802" s="10" t="s">
        <v>5728</v>
      </c>
      <c r="L1802" s="65" t="str">
        <f t="shared" si="143"/>
        <v>Kirov|Russia|49,658333|58,596943|+4:00 Europe</v>
      </c>
      <c r="M1802" s="10" t="s">
        <v>5776</v>
      </c>
      <c r="N1802" s="10">
        <f t="shared" si="140"/>
        <v>0</v>
      </c>
      <c r="O1802" t="str">
        <f t="shared" si="144"/>
        <v/>
      </c>
      <c r="P1802" t="str">
        <f>IF(O1802=1,COUNTIF($O$2:O1802,1),"")</f>
        <v/>
      </c>
      <c r="Q1802" t="str">
        <f>IFERROR(INDEX($M$2:$M$2388,MATCH(ROWS($P$2:P1802),$P$2:$P$2388,0)),"")</f>
        <v/>
      </c>
    </row>
    <row r="1803" spans="1:17" ht="15" x14ac:dyDescent="0.25">
      <c r="A1803" s="10">
        <v>1957</v>
      </c>
      <c r="B1803" s="10" t="s">
        <v>5777</v>
      </c>
      <c r="C1803" s="880">
        <f t="shared" si="141"/>
        <v>137.01519999999999</v>
      </c>
      <c r="D1803" s="880">
        <f t="shared" si="142"/>
        <v>50.551900000000003</v>
      </c>
      <c r="E1803" s="10">
        <v>137.015244</v>
      </c>
      <c r="F1803" s="10">
        <v>50.551986999999997</v>
      </c>
      <c r="G1803" s="10">
        <v>10</v>
      </c>
      <c r="H1803" s="10" t="s">
        <v>1817</v>
      </c>
      <c r="I1803" s="10" t="s">
        <v>5720</v>
      </c>
      <c r="J1803" s="10" t="s">
        <v>5721</v>
      </c>
      <c r="K1803" s="10" t="s">
        <v>5771</v>
      </c>
      <c r="L1803" s="65" t="str">
        <f t="shared" si="143"/>
        <v>Komsomol'sk-na-Amure|Russia|137,015244|50,551987|+10:00 Asia</v>
      </c>
      <c r="M1803" s="10" t="s">
        <v>5778</v>
      </c>
      <c r="N1803" s="10">
        <f t="shared" si="140"/>
        <v>0</v>
      </c>
      <c r="O1803" t="str">
        <f t="shared" si="144"/>
        <v/>
      </c>
      <c r="P1803" t="str">
        <f>IF(O1803=1,COUNTIF($O$2:O1803,1),"")</f>
        <v/>
      </c>
      <c r="Q1803" t="str">
        <f>IFERROR(INDEX($M$2:$M$2388,MATCH(ROWS($P$2:P1803),$P$2:$P$2388,0)),"")</f>
        <v/>
      </c>
    </row>
    <row r="1804" spans="1:17" ht="15" x14ac:dyDescent="0.25">
      <c r="A1804" s="10">
        <v>1926</v>
      </c>
      <c r="B1804" s="10" t="s">
        <v>5779</v>
      </c>
      <c r="C1804" s="880">
        <f t="shared" si="141"/>
        <v>40.934399999999997</v>
      </c>
      <c r="D1804" s="880">
        <f t="shared" si="142"/>
        <v>57.770800000000001</v>
      </c>
      <c r="E1804" s="10">
        <v>40.934443999999999</v>
      </c>
      <c r="F1804" s="10">
        <v>57.770831999999999</v>
      </c>
      <c r="G1804" s="10">
        <v>3</v>
      </c>
      <c r="H1804" s="10" t="s">
        <v>1883</v>
      </c>
      <c r="I1804" s="10" t="s">
        <v>5720</v>
      </c>
      <c r="J1804" s="10" t="s">
        <v>5721</v>
      </c>
      <c r="K1804" s="10" t="s">
        <v>5725</v>
      </c>
      <c r="L1804" s="65" t="str">
        <f t="shared" si="143"/>
        <v>Kostroma|Russia|40,934444|57,770832|+3:00 Europe</v>
      </c>
      <c r="M1804" s="10" t="s">
        <v>5780</v>
      </c>
      <c r="N1804" s="10">
        <f t="shared" si="140"/>
        <v>0</v>
      </c>
      <c r="O1804" t="str">
        <f t="shared" si="144"/>
        <v/>
      </c>
      <c r="P1804" t="str">
        <f>IF(O1804=1,COUNTIF($O$2:O1804,1),"")</f>
        <v/>
      </c>
      <c r="Q1804" t="str">
        <f>IFERROR(INDEX($M$2:$M$2388,MATCH(ROWS($P$2:P1804),$P$2:$P$2388,0)),"")</f>
        <v/>
      </c>
    </row>
    <row r="1805" spans="1:17" ht="15" x14ac:dyDescent="0.25">
      <c r="A1805" s="10">
        <v>1925</v>
      </c>
      <c r="B1805" s="10" t="s">
        <v>5781</v>
      </c>
      <c r="C1805" s="880">
        <f t="shared" si="141"/>
        <v>38.976900000000001</v>
      </c>
      <c r="D1805" s="880">
        <f t="shared" si="142"/>
        <v>45.032699999999998</v>
      </c>
      <c r="E1805" s="10">
        <v>38.976944000000003</v>
      </c>
      <c r="F1805" s="10">
        <v>45.032780000000002</v>
      </c>
      <c r="G1805" s="10">
        <v>3</v>
      </c>
      <c r="H1805" s="10" t="s">
        <v>1883</v>
      </c>
      <c r="I1805" s="10" t="s">
        <v>5720</v>
      </c>
      <c r="J1805" s="10" t="s">
        <v>5721</v>
      </c>
      <c r="K1805" s="10" t="s">
        <v>5782</v>
      </c>
      <c r="L1805" s="65" t="str">
        <f t="shared" si="143"/>
        <v>Krasnodar|Russia|38,976944|45,032780|+3:00 Europe</v>
      </c>
      <c r="M1805" s="10" t="s">
        <v>5783</v>
      </c>
      <c r="N1805" s="10">
        <f t="shared" si="140"/>
        <v>0</v>
      </c>
      <c r="O1805" t="str">
        <f t="shared" si="144"/>
        <v/>
      </c>
      <c r="P1805" t="str">
        <f>IF(O1805=1,COUNTIF($O$2:O1805,1),"")</f>
        <v/>
      </c>
      <c r="Q1805" t="str">
        <f>IFERROR(INDEX($M$2:$M$2388,MATCH(ROWS($P$2:P1805),$P$2:$P$2388,0)),"")</f>
        <v/>
      </c>
    </row>
    <row r="1806" spans="1:17" ht="15" x14ac:dyDescent="0.25">
      <c r="A1806" s="10">
        <v>1950</v>
      </c>
      <c r="B1806" s="10" t="s">
        <v>5784</v>
      </c>
      <c r="C1806" s="880">
        <f t="shared" si="141"/>
        <v>92.791600000000003</v>
      </c>
      <c r="D1806" s="880">
        <f t="shared" si="142"/>
        <v>56.009700000000002</v>
      </c>
      <c r="E1806" s="10">
        <v>92.791663999999997</v>
      </c>
      <c r="F1806" s="10">
        <v>56.009723999999999</v>
      </c>
      <c r="G1806" s="10">
        <v>7</v>
      </c>
      <c r="H1806" s="10" t="s">
        <v>2363</v>
      </c>
      <c r="I1806" s="10" t="s">
        <v>5720</v>
      </c>
      <c r="J1806" s="10" t="s">
        <v>5721</v>
      </c>
      <c r="K1806" s="10" t="s">
        <v>5733</v>
      </c>
      <c r="L1806" s="65" t="str">
        <f t="shared" si="143"/>
        <v>Krasnoyarsk|Russia|92,791664|56,009724|+7:00 Asia</v>
      </c>
      <c r="M1806" s="10" t="s">
        <v>5785</v>
      </c>
      <c r="N1806" s="10">
        <f t="shared" si="140"/>
        <v>0</v>
      </c>
      <c r="O1806" t="str">
        <f t="shared" si="144"/>
        <v/>
      </c>
      <c r="P1806" t="str">
        <f>IF(O1806=1,COUNTIF($O$2:O1806,1),"")</f>
        <v/>
      </c>
      <c r="Q1806" t="str">
        <f>IFERROR(INDEX($M$2:$M$2388,MATCH(ROWS($P$2:P1806),$P$2:$P$2388,0)),"")</f>
        <v/>
      </c>
    </row>
    <row r="1807" spans="1:17" ht="15" x14ac:dyDescent="0.25">
      <c r="A1807" s="10">
        <v>1949</v>
      </c>
      <c r="B1807" s="10" t="s">
        <v>5786</v>
      </c>
      <c r="C1807" s="880">
        <f t="shared" si="141"/>
        <v>65.333299999999994</v>
      </c>
      <c r="D1807" s="880">
        <f t="shared" si="142"/>
        <v>55.45</v>
      </c>
      <c r="E1807" s="10">
        <v>65.333336000000003</v>
      </c>
      <c r="F1807" s="10">
        <v>55.450001</v>
      </c>
      <c r="G1807" s="10">
        <v>5</v>
      </c>
      <c r="H1807" s="10" t="s">
        <v>4585</v>
      </c>
      <c r="I1807" s="10" t="s">
        <v>5720</v>
      </c>
      <c r="J1807" s="10" t="s">
        <v>5721</v>
      </c>
      <c r="K1807" s="10" t="s">
        <v>5749</v>
      </c>
      <c r="L1807" s="65" t="str">
        <f t="shared" si="143"/>
        <v>Kurgan|Russia|65,333336|55,450001|+5:00 Asia</v>
      </c>
      <c r="M1807" s="10" t="s">
        <v>5787</v>
      </c>
      <c r="N1807" s="10">
        <f t="shared" si="140"/>
        <v>0</v>
      </c>
      <c r="O1807" t="str">
        <f t="shared" si="144"/>
        <v/>
      </c>
      <c r="P1807" t="str">
        <f>IF(O1807=1,COUNTIF($O$2:O1807,1),"")</f>
        <v/>
      </c>
      <c r="Q1807" t="str">
        <f>IFERROR(INDEX($M$2:$M$2388,MATCH(ROWS($P$2:P1807),$P$2:$P$2388,0)),"")</f>
        <v/>
      </c>
    </row>
    <row r="1808" spans="1:17" ht="15" x14ac:dyDescent="0.25">
      <c r="A1808" s="10">
        <v>1924</v>
      </c>
      <c r="B1808" s="10" t="s">
        <v>5788</v>
      </c>
      <c r="C1808" s="880">
        <f t="shared" si="141"/>
        <v>36.193800000000003</v>
      </c>
      <c r="D1808" s="880">
        <f t="shared" si="142"/>
        <v>51.730200000000004</v>
      </c>
      <c r="E1808" s="10">
        <v>36.193890000000003</v>
      </c>
      <c r="F1808" s="10">
        <v>51.730277999999998</v>
      </c>
      <c r="G1808" s="10">
        <v>3</v>
      </c>
      <c r="H1808" s="10" t="s">
        <v>1883</v>
      </c>
      <c r="I1808" s="10" t="s">
        <v>5720</v>
      </c>
      <c r="J1808" s="10" t="s">
        <v>5721</v>
      </c>
      <c r="K1808" s="10" t="s">
        <v>5725</v>
      </c>
      <c r="L1808" s="65" t="str">
        <f t="shared" si="143"/>
        <v>Kursk|Russia|36,193890|51,730278|+3:00 Europe</v>
      </c>
      <c r="M1808" s="10" t="s">
        <v>5789</v>
      </c>
      <c r="N1808" s="10">
        <f t="shared" si="140"/>
        <v>0</v>
      </c>
      <c r="O1808" t="str">
        <f t="shared" si="144"/>
        <v/>
      </c>
      <c r="P1808" t="str">
        <f>IF(O1808=1,COUNTIF($O$2:O1808,1),"")</f>
        <v/>
      </c>
      <c r="Q1808" t="str">
        <f>IFERROR(INDEX($M$2:$M$2388,MATCH(ROWS($P$2:P1808),$P$2:$P$2388,0)),"")</f>
        <v/>
      </c>
    </row>
    <row r="1809" spans="1:17" ht="15" x14ac:dyDescent="0.25">
      <c r="A1809" s="10">
        <v>1923</v>
      </c>
      <c r="B1809" s="10" t="s">
        <v>5790</v>
      </c>
      <c r="C1809" s="880">
        <f t="shared" si="141"/>
        <v>39.568800000000003</v>
      </c>
      <c r="D1809" s="880">
        <f t="shared" si="142"/>
        <v>52.618600000000001</v>
      </c>
      <c r="E1809" s="10">
        <v>39.568890000000003</v>
      </c>
      <c r="F1809" s="10">
        <v>52.618609999999997</v>
      </c>
      <c r="G1809" s="10">
        <v>3</v>
      </c>
      <c r="H1809" s="10" t="s">
        <v>1883</v>
      </c>
      <c r="I1809" s="10" t="s">
        <v>5720</v>
      </c>
      <c r="J1809" s="10" t="s">
        <v>5721</v>
      </c>
      <c r="K1809" s="10" t="s">
        <v>5725</v>
      </c>
      <c r="L1809" s="65" t="str">
        <f t="shared" si="143"/>
        <v>Lipetsk|Russia|39,568890|52,618610|+3:00 Europe</v>
      </c>
      <c r="M1809" s="10" t="s">
        <v>5791</v>
      </c>
      <c r="N1809" s="10">
        <f t="shared" si="140"/>
        <v>0</v>
      </c>
      <c r="O1809" t="str">
        <f t="shared" si="144"/>
        <v/>
      </c>
      <c r="P1809" t="str">
        <f>IF(O1809=1,COUNTIF($O$2:O1809,1),"")</f>
        <v/>
      </c>
      <c r="Q1809" t="str">
        <f>IFERROR(INDEX($M$2:$M$2388,MATCH(ROWS($P$2:P1809),$P$2:$P$2388,0)),"")</f>
        <v/>
      </c>
    </row>
    <row r="1810" spans="1:17" ht="15" x14ac:dyDescent="0.25">
      <c r="A1810" s="10">
        <v>1922</v>
      </c>
      <c r="B1810" s="10" t="s">
        <v>5792</v>
      </c>
      <c r="C1810" s="880">
        <f t="shared" si="141"/>
        <v>59.047199999999997</v>
      </c>
      <c r="D1810" s="880">
        <f t="shared" si="142"/>
        <v>53.418599999999998</v>
      </c>
      <c r="E1810" s="10">
        <v>59.047221999999998</v>
      </c>
      <c r="F1810" s="10">
        <v>53.418610000000001</v>
      </c>
      <c r="G1810" s="10">
        <v>5</v>
      </c>
      <c r="H1810" s="10" t="s">
        <v>4585</v>
      </c>
      <c r="I1810" s="10" t="s">
        <v>5720</v>
      </c>
      <c r="J1810" s="10" t="s">
        <v>5721</v>
      </c>
      <c r="K1810" s="10" t="s">
        <v>5749</v>
      </c>
      <c r="L1810" s="65" t="str">
        <f t="shared" si="143"/>
        <v>Magnitogorsk|Russia|59,047222|53,418610|+5:00 Asia</v>
      </c>
      <c r="M1810" s="10" t="s">
        <v>5793</v>
      </c>
      <c r="N1810" s="10">
        <f t="shared" si="140"/>
        <v>0</v>
      </c>
      <c r="O1810" t="str">
        <f t="shared" si="144"/>
        <v/>
      </c>
      <c r="P1810" t="str">
        <f>IF(O1810=1,COUNTIF($O$2:O1810,1),"")</f>
        <v/>
      </c>
      <c r="Q1810" t="str">
        <f>IFERROR(INDEX($M$2:$M$2388,MATCH(ROWS($P$2:P1810),$P$2:$P$2388,0)),"")</f>
        <v/>
      </c>
    </row>
    <row r="1811" spans="1:17" ht="15" x14ac:dyDescent="0.25">
      <c r="A1811" s="10">
        <v>1921</v>
      </c>
      <c r="B1811" s="10" t="s">
        <v>5794</v>
      </c>
      <c r="C1811" s="880">
        <f t="shared" si="141"/>
        <v>47.502200000000002</v>
      </c>
      <c r="D1811" s="880">
        <f t="shared" si="142"/>
        <v>42.975200000000001</v>
      </c>
      <c r="E1811" s="10">
        <v>47.502223999999998</v>
      </c>
      <c r="F1811" s="10">
        <v>42.975276999999998</v>
      </c>
      <c r="G1811" s="10">
        <v>3</v>
      </c>
      <c r="H1811" s="10" t="s">
        <v>1883</v>
      </c>
      <c r="I1811" s="10" t="s">
        <v>5720</v>
      </c>
      <c r="J1811" s="10" t="s">
        <v>5721</v>
      </c>
      <c r="K1811" s="10" t="s">
        <v>5782</v>
      </c>
      <c r="L1811" s="65" t="str">
        <f t="shared" si="143"/>
        <v>Makhachkala|Russia|47,502224|42,975277|+3:00 Europe</v>
      </c>
      <c r="M1811" s="10" t="s">
        <v>5795</v>
      </c>
      <c r="N1811" s="10">
        <f t="shared" si="140"/>
        <v>0</v>
      </c>
      <c r="O1811" t="str">
        <f t="shared" si="144"/>
        <v/>
      </c>
      <c r="P1811" t="str">
        <f>IF(O1811=1,COUNTIF($O$2:O1811,1),"")</f>
        <v/>
      </c>
      <c r="Q1811" t="str">
        <f>IFERROR(INDEX($M$2:$M$2388,MATCH(ROWS($P$2:P1811),$P$2:$P$2388,0)),"")</f>
        <v/>
      </c>
    </row>
    <row r="1812" spans="1:17" ht="15" x14ac:dyDescent="0.25">
      <c r="A1812" s="10">
        <v>1920</v>
      </c>
      <c r="B1812" s="10" t="s">
        <v>5796</v>
      </c>
      <c r="C1812" s="880">
        <f t="shared" si="141"/>
        <v>37.615499999999997</v>
      </c>
      <c r="D1812" s="880">
        <f t="shared" si="142"/>
        <v>55.752200000000002</v>
      </c>
      <c r="E1812" s="10">
        <v>37.615555000000001</v>
      </c>
      <c r="F1812" s="10">
        <v>55.752223999999998</v>
      </c>
      <c r="G1812" s="10">
        <v>3</v>
      </c>
      <c r="H1812" s="10" t="s">
        <v>1883</v>
      </c>
      <c r="I1812" s="10" t="s">
        <v>5720</v>
      </c>
      <c r="J1812" s="10" t="s">
        <v>5721</v>
      </c>
      <c r="K1812" s="10" t="s">
        <v>5725</v>
      </c>
      <c r="L1812" s="65" t="str">
        <f t="shared" si="143"/>
        <v>Moskva|Russia|37,615555|55,752224|+3:00 Europe</v>
      </c>
      <c r="M1812" s="10" t="s">
        <v>5797</v>
      </c>
      <c r="N1812" s="10">
        <f t="shared" si="140"/>
        <v>0</v>
      </c>
      <c r="O1812" t="str">
        <f t="shared" si="144"/>
        <v/>
      </c>
      <c r="P1812" t="str">
        <f>IF(O1812=1,COUNTIF($O$2:O1812,1),"")</f>
        <v/>
      </c>
      <c r="Q1812" t="str">
        <f>IFERROR(INDEX($M$2:$M$2388,MATCH(ROWS($P$2:P1812),$P$2:$P$2388,0)),"")</f>
        <v/>
      </c>
    </row>
    <row r="1813" spans="1:17" ht="15" x14ac:dyDescent="0.25">
      <c r="A1813" s="10">
        <v>1919</v>
      </c>
      <c r="B1813" s="10" t="s">
        <v>5798</v>
      </c>
      <c r="C1813" s="880">
        <f t="shared" si="141"/>
        <v>33.081899999999997</v>
      </c>
      <c r="D1813" s="880">
        <f t="shared" si="142"/>
        <v>68.971599999999995</v>
      </c>
      <c r="E1813" s="10">
        <v>33.081944</v>
      </c>
      <c r="F1813" s="10">
        <v>68.971664000000004</v>
      </c>
      <c r="G1813" s="10">
        <v>3</v>
      </c>
      <c r="H1813" s="10" t="s">
        <v>1883</v>
      </c>
      <c r="I1813" s="10" t="s">
        <v>5720</v>
      </c>
      <c r="J1813" s="10" t="s">
        <v>5721</v>
      </c>
      <c r="K1813" s="10" t="s">
        <v>5725</v>
      </c>
      <c r="L1813" s="65" t="str">
        <f t="shared" si="143"/>
        <v>Murmansk|Russia|33,081944|68,971664|+3:00 Europe</v>
      </c>
      <c r="M1813" s="10" t="s">
        <v>5799</v>
      </c>
      <c r="N1813" s="10">
        <f t="shared" si="140"/>
        <v>0</v>
      </c>
      <c r="O1813" t="str">
        <f t="shared" si="144"/>
        <v/>
      </c>
      <c r="P1813" t="str">
        <f>IF(O1813=1,COUNTIF($O$2:O1813,1),"")</f>
        <v/>
      </c>
      <c r="Q1813" t="str">
        <f>IFERROR(INDEX($M$2:$M$2388,MATCH(ROWS($P$2:P1813),$P$2:$P$2388,0)),"")</f>
        <v/>
      </c>
    </row>
    <row r="1814" spans="1:17" ht="15" x14ac:dyDescent="0.25">
      <c r="A1814" s="10">
        <v>1918</v>
      </c>
      <c r="B1814" s="10" t="s">
        <v>5800</v>
      </c>
      <c r="C1814" s="880">
        <f t="shared" si="141"/>
        <v>52.428800000000003</v>
      </c>
      <c r="D1814" s="880">
        <f t="shared" si="142"/>
        <v>55.756100000000004</v>
      </c>
      <c r="E1814" s="10">
        <v>52.428890000000003</v>
      </c>
      <c r="F1814" s="10">
        <v>55.756110999999997</v>
      </c>
      <c r="G1814" s="10">
        <v>3</v>
      </c>
      <c r="H1814" s="10" t="s">
        <v>1883</v>
      </c>
      <c r="I1814" s="10" t="s">
        <v>5720</v>
      </c>
      <c r="J1814" s="10" t="s">
        <v>5721</v>
      </c>
      <c r="K1814" s="10" t="s">
        <v>5725</v>
      </c>
      <c r="L1814" s="65" t="str">
        <f t="shared" si="143"/>
        <v>Naberezhnyye Chelny|Russia|52,428890|55,756111|+3:00 Europe</v>
      </c>
      <c r="M1814" s="10" t="s">
        <v>5801</v>
      </c>
      <c r="N1814" s="10">
        <f t="shared" si="140"/>
        <v>0</v>
      </c>
      <c r="O1814" t="str">
        <f t="shared" si="144"/>
        <v/>
      </c>
      <c r="P1814" t="str">
        <f>IF(O1814=1,COUNTIF($O$2:O1814,1),"")</f>
        <v/>
      </c>
      <c r="Q1814" t="str">
        <f>IFERROR(INDEX($M$2:$M$2388,MATCH(ROWS($P$2:P1814),$P$2:$P$2388,0)),"")</f>
        <v/>
      </c>
    </row>
    <row r="1815" spans="1:17" ht="15" x14ac:dyDescent="0.25">
      <c r="A1815" s="10">
        <v>1917</v>
      </c>
      <c r="B1815" s="10" t="s">
        <v>5802</v>
      </c>
      <c r="C1815" s="880">
        <f t="shared" si="141"/>
        <v>51.816899999999997</v>
      </c>
      <c r="D1815" s="880">
        <f t="shared" si="142"/>
        <v>55.638300000000001</v>
      </c>
      <c r="E1815" s="10">
        <v>51.816943999999999</v>
      </c>
      <c r="F1815" s="10">
        <v>55.638331999999998</v>
      </c>
      <c r="G1815" s="10">
        <v>3</v>
      </c>
      <c r="H1815" s="10" t="s">
        <v>1883</v>
      </c>
      <c r="I1815" s="10" t="s">
        <v>5720</v>
      </c>
      <c r="J1815" s="10" t="s">
        <v>5721</v>
      </c>
      <c r="K1815" s="10" t="s">
        <v>5725</v>
      </c>
      <c r="L1815" s="65" t="str">
        <f t="shared" si="143"/>
        <v>Nizhnekamsk|Russia|51,816944|55,638332|+3:00 Europe</v>
      </c>
      <c r="M1815" s="10" t="s">
        <v>5803</v>
      </c>
      <c r="N1815" s="10">
        <f t="shared" si="140"/>
        <v>0</v>
      </c>
      <c r="O1815" t="str">
        <f t="shared" si="144"/>
        <v/>
      </c>
      <c r="P1815" t="str">
        <f>IF(O1815=1,COUNTIF($O$2:O1815,1),"")</f>
        <v/>
      </c>
      <c r="Q1815" t="str">
        <f>IFERROR(INDEX($M$2:$M$2388,MATCH(ROWS($P$2:P1815),$P$2:$P$2388,0)),"")</f>
        <v/>
      </c>
    </row>
    <row r="1816" spans="1:17" ht="15" x14ac:dyDescent="0.25">
      <c r="A1816" s="10">
        <v>1948</v>
      </c>
      <c r="B1816" s="10" t="s">
        <v>5804</v>
      </c>
      <c r="C1816" s="880">
        <f t="shared" si="141"/>
        <v>76.566599999999994</v>
      </c>
      <c r="D1816" s="880">
        <f t="shared" si="142"/>
        <v>60.933300000000003</v>
      </c>
      <c r="E1816" s="10">
        <v>76.566665999999998</v>
      </c>
      <c r="F1816" s="10">
        <v>60.933334000000002</v>
      </c>
      <c r="G1816" s="10">
        <v>5</v>
      </c>
      <c r="H1816" s="10" t="s">
        <v>4585</v>
      </c>
      <c r="I1816" s="10" t="s">
        <v>5720</v>
      </c>
      <c r="J1816" s="10" t="s">
        <v>5721</v>
      </c>
      <c r="K1816" s="10" t="s">
        <v>5749</v>
      </c>
      <c r="L1816" s="65" t="str">
        <f t="shared" si="143"/>
        <v>Nizhnevartovsk|Russia|76,566666|60,933334|+5:00 Asia</v>
      </c>
      <c r="M1816" s="10" t="s">
        <v>5805</v>
      </c>
      <c r="N1816" s="10">
        <f t="shared" si="140"/>
        <v>0</v>
      </c>
      <c r="O1816" t="str">
        <f t="shared" si="144"/>
        <v/>
      </c>
      <c r="P1816" t="str">
        <f>IF(O1816=1,COUNTIF($O$2:O1816,1),"")</f>
        <v/>
      </c>
      <c r="Q1816" t="str">
        <f>IFERROR(INDEX($M$2:$M$2388,MATCH(ROWS($P$2:P1816),$P$2:$P$2388,0)),"")</f>
        <v/>
      </c>
    </row>
    <row r="1817" spans="1:17" ht="15" x14ac:dyDescent="0.25">
      <c r="A1817" s="10">
        <v>1916</v>
      </c>
      <c r="B1817" s="10" t="s">
        <v>5806</v>
      </c>
      <c r="C1817" s="880">
        <f t="shared" si="141"/>
        <v>44.002000000000002</v>
      </c>
      <c r="D1817" s="880">
        <f t="shared" si="142"/>
        <v>56.328600000000002</v>
      </c>
      <c r="E1817" s="10">
        <v>44.002045000000003</v>
      </c>
      <c r="F1817" s="10">
        <v>56.328673999999999</v>
      </c>
      <c r="G1817" s="10">
        <v>3</v>
      </c>
      <c r="H1817" s="10" t="s">
        <v>1883</v>
      </c>
      <c r="I1817" s="10" t="s">
        <v>5720</v>
      </c>
      <c r="J1817" s="10" t="s">
        <v>5721</v>
      </c>
      <c r="K1817" s="10" t="s">
        <v>5725</v>
      </c>
      <c r="L1817" s="65" t="str">
        <f t="shared" si="143"/>
        <v>Nizhniy Novgorod|Russia|44,002045|56,328674|+3:00 Europe</v>
      </c>
      <c r="M1817" s="10" t="s">
        <v>5807</v>
      </c>
      <c r="N1817" s="10">
        <f t="shared" si="140"/>
        <v>0</v>
      </c>
      <c r="O1817" t="str">
        <f t="shared" si="144"/>
        <v/>
      </c>
      <c r="P1817" t="str">
        <f>IF(O1817=1,COUNTIF($O$2:O1817,1),"")</f>
        <v/>
      </c>
      <c r="Q1817" t="str">
        <f>IFERROR(INDEX($M$2:$M$2388,MATCH(ROWS($P$2:P1817),$P$2:$P$2388,0)),"")</f>
        <v/>
      </c>
    </row>
    <row r="1818" spans="1:17" ht="15" x14ac:dyDescent="0.25">
      <c r="A1818" s="10">
        <v>1915</v>
      </c>
      <c r="B1818" s="10" t="s">
        <v>5808</v>
      </c>
      <c r="C1818" s="880">
        <f t="shared" si="141"/>
        <v>59.965000000000003</v>
      </c>
      <c r="D1818" s="880">
        <f t="shared" si="142"/>
        <v>57.919400000000003</v>
      </c>
      <c r="E1818" s="10">
        <v>59.965000000000003</v>
      </c>
      <c r="F1818" s="10">
        <v>57.919445000000003</v>
      </c>
      <c r="G1818" s="10">
        <v>5</v>
      </c>
      <c r="H1818" s="10" t="s">
        <v>4585</v>
      </c>
      <c r="I1818" s="10" t="s">
        <v>5720</v>
      </c>
      <c r="J1818" s="10" t="s">
        <v>5721</v>
      </c>
      <c r="K1818" s="10" t="s">
        <v>5749</v>
      </c>
      <c r="L1818" s="65" t="str">
        <f t="shared" si="143"/>
        <v>Nizhniy Tagil|Russia|59,965000|57,919445|+5:00 Asia</v>
      </c>
      <c r="M1818" s="10" t="s">
        <v>5809</v>
      </c>
      <c r="N1818" s="10">
        <f t="shared" si="140"/>
        <v>0</v>
      </c>
      <c r="O1818" t="str">
        <f t="shared" si="144"/>
        <v/>
      </c>
      <c r="P1818" t="str">
        <f>IF(O1818=1,COUNTIF($O$2:O1818,1),"")</f>
        <v/>
      </c>
      <c r="Q1818" t="str">
        <f>IFERROR(INDEX($M$2:$M$2388,MATCH(ROWS($P$2:P1818),$P$2:$P$2388,0)),"")</f>
        <v/>
      </c>
    </row>
    <row r="1819" spans="1:17" ht="15" x14ac:dyDescent="0.25">
      <c r="A1819" s="10">
        <v>1947</v>
      </c>
      <c r="B1819" s="10" t="s">
        <v>5810</v>
      </c>
      <c r="C1819" s="880">
        <f t="shared" si="141"/>
        <v>87.099900000000005</v>
      </c>
      <c r="D1819" s="880">
        <f t="shared" si="142"/>
        <v>53.75</v>
      </c>
      <c r="E1819" s="10">
        <v>87.099997999999999</v>
      </c>
      <c r="F1819" s="10">
        <v>53.75</v>
      </c>
      <c r="G1819" s="10">
        <v>7</v>
      </c>
      <c r="H1819" s="10" t="s">
        <v>2363</v>
      </c>
      <c r="I1819" s="10" t="s">
        <v>5720</v>
      </c>
      <c r="J1819" s="10" t="s">
        <v>5721</v>
      </c>
      <c r="K1819" s="10" t="s">
        <v>5733</v>
      </c>
      <c r="L1819" s="65" t="str">
        <f t="shared" si="143"/>
        <v>Novokuznetsk|Russia|87,099998|53,750000|+7:00 Asia</v>
      </c>
      <c r="M1819" s="10" t="s">
        <v>5811</v>
      </c>
      <c r="N1819" s="10">
        <f t="shared" si="140"/>
        <v>0</v>
      </c>
      <c r="O1819" t="str">
        <f t="shared" si="144"/>
        <v/>
      </c>
      <c r="P1819" t="str">
        <f>IF(O1819=1,COUNTIF($O$2:O1819,1),"")</f>
        <v/>
      </c>
      <c r="Q1819" t="str">
        <f>IFERROR(INDEX($M$2:$M$2388,MATCH(ROWS($P$2:P1819),$P$2:$P$2388,0)),"")</f>
        <v/>
      </c>
    </row>
    <row r="1820" spans="1:17" ht="15" x14ac:dyDescent="0.25">
      <c r="A1820" s="10">
        <v>1913</v>
      </c>
      <c r="B1820" s="10" t="s">
        <v>5812</v>
      </c>
      <c r="C1820" s="880">
        <f t="shared" si="141"/>
        <v>37.770800000000001</v>
      </c>
      <c r="D1820" s="880">
        <f t="shared" si="142"/>
        <v>44.723799999999997</v>
      </c>
      <c r="E1820" s="10">
        <v>37.770831999999999</v>
      </c>
      <c r="F1820" s="10">
        <v>44.723888000000002</v>
      </c>
      <c r="G1820" s="10">
        <v>3</v>
      </c>
      <c r="H1820" s="10" t="s">
        <v>1883</v>
      </c>
      <c r="I1820" s="10" t="s">
        <v>5720</v>
      </c>
      <c r="J1820" s="10" t="s">
        <v>5721</v>
      </c>
      <c r="K1820" s="10" t="s">
        <v>5782</v>
      </c>
      <c r="L1820" s="65" t="str">
        <f t="shared" si="143"/>
        <v>Novorossiysk|Russia|37,770832|44,723888|+3:00 Europe</v>
      </c>
      <c r="M1820" s="10" t="s">
        <v>5813</v>
      </c>
      <c r="N1820" s="10">
        <f t="shared" si="140"/>
        <v>0</v>
      </c>
      <c r="O1820" t="str">
        <f t="shared" si="144"/>
        <v/>
      </c>
      <c r="P1820" t="str">
        <f>IF(O1820=1,COUNTIF($O$2:O1820,1),"")</f>
        <v/>
      </c>
      <c r="Q1820" t="str">
        <f>IFERROR(INDEX($M$2:$M$2388,MATCH(ROWS($P$2:P1820),$P$2:$P$2388,0)),"")</f>
        <v/>
      </c>
    </row>
    <row r="1821" spans="1:17" ht="15" x14ac:dyDescent="0.25">
      <c r="A1821" s="10">
        <v>1946</v>
      </c>
      <c r="B1821" s="10" t="s">
        <v>5814</v>
      </c>
      <c r="C1821" s="880">
        <f t="shared" si="141"/>
        <v>82.934399999999997</v>
      </c>
      <c r="D1821" s="880">
        <f t="shared" si="142"/>
        <v>55.0411</v>
      </c>
      <c r="E1821" s="10">
        <v>82.934441000000007</v>
      </c>
      <c r="F1821" s="10">
        <v>55.041111000000001</v>
      </c>
      <c r="G1821" s="10">
        <v>7</v>
      </c>
      <c r="H1821" s="10" t="s">
        <v>2363</v>
      </c>
      <c r="I1821" s="10" t="s">
        <v>5720</v>
      </c>
      <c r="J1821" s="10" t="s">
        <v>5721</v>
      </c>
      <c r="K1821" s="10" t="s">
        <v>5733</v>
      </c>
      <c r="L1821" s="65" t="str">
        <f t="shared" si="143"/>
        <v>Novosibirsk|Russia|82,934441|55,041111|+7:00 Asia</v>
      </c>
      <c r="M1821" s="10" t="s">
        <v>5815</v>
      </c>
      <c r="N1821" s="10">
        <f t="shared" si="140"/>
        <v>0</v>
      </c>
      <c r="O1821" t="str">
        <f t="shared" si="144"/>
        <v/>
      </c>
      <c r="P1821" t="str">
        <f>IF(O1821=1,COUNTIF($O$2:O1821,1),"")</f>
        <v/>
      </c>
      <c r="Q1821" t="str">
        <f>IFERROR(INDEX($M$2:$M$2388,MATCH(ROWS($P$2:P1821),$P$2:$P$2388,0)),"")</f>
        <v/>
      </c>
    </row>
    <row r="1822" spans="1:17" ht="15" x14ac:dyDescent="0.25">
      <c r="A1822" s="10">
        <v>1875</v>
      </c>
      <c r="B1822" s="10" t="s">
        <v>5816</v>
      </c>
      <c r="C1822" s="880">
        <f t="shared" si="141"/>
        <v>36.433300000000003</v>
      </c>
      <c r="D1822" s="880">
        <f t="shared" si="142"/>
        <v>56.549900000000001</v>
      </c>
      <c r="E1822" s="10">
        <v>36.433334000000002</v>
      </c>
      <c r="F1822" s="10">
        <v>56.549999</v>
      </c>
      <c r="G1822" s="10">
        <v>3</v>
      </c>
      <c r="H1822" s="10" t="s">
        <v>1883</v>
      </c>
      <c r="I1822" s="10" t="s">
        <v>5720</v>
      </c>
      <c r="J1822" s="10" t="s">
        <v>5721</v>
      </c>
      <c r="K1822" s="10" t="s">
        <v>5725</v>
      </c>
      <c r="L1822" s="65" t="str">
        <f t="shared" si="143"/>
        <v>Novozavidovskiy|Russia|36,433334|56,549999|+3:00 Europe</v>
      </c>
      <c r="M1822" s="10" t="s">
        <v>5817</v>
      </c>
      <c r="N1822" s="10">
        <f t="shared" si="140"/>
        <v>0</v>
      </c>
      <c r="O1822" t="str">
        <f t="shared" si="144"/>
        <v/>
      </c>
      <c r="P1822" t="str">
        <f>IF(O1822=1,COUNTIF($O$2:O1822,1),"")</f>
        <v/>
      </c>
      <c r="Q1822" t="str">
        <f>IFERROR(INDEX($M$2:$M$2388,MATCH(ROWS($P$2:P1822),$P$2:$P$2388,0)),"")</f>
        <v/>
      </c>
    </row>
    <row r="1823" spans="1:17" ht="15" x14ac:dyDescent="0.25">
      <c r="A1823" s="10">
        <v>1945</v>
      </c>
      <c r="B1823" s="10" t="s">
        <v>5818</v>
      </c>
      <c r="C1823" s="880">
        <f t="shared" si="141"/>
        <v>73.400000000000006</v>
      </c>
      <c r="D1823" s="880">
        <f t="shared" si="142"/>
        <v>55</v>
      </c>
      <c r="E1823" s="10">
        <v>73.400002000000001</v>
      </c>
      <c r="F1823" s="10">
        <v>55</v>
      </c>
      <c r="G1823" s="10">
        <v>6</v>
      </c>
      <c r="H1823" s="10" t="s">
        <v>1895</v>
      </c>
      <c r="I1823" s="10" t="s">
        <v>5720</v>
      </c>
      <c r="J1823" s="10" t="s">
        <v>5721</v>
      </c>
      <c r="K1823" s="10" t="s">
        <v>5819</v>
      </c>
      <c r="L1823" s="65" t="str">
        <f t="shared" si="143"/>
        <v>Omsk|Russia|73,400002|55,000000|+6:00 Asia</v>
      </c>
      <c r="M1823" s="10" t="s">
        <v>5820</v>
      </c>
      <c r="N1823" s="10">
        <f t="shared" si="140"/>
        <v>0</v>
      </c>
      <c r="O1823" t="str">
        <f t="shared" si="144"/>
        <v/>
      </c>
      <c r="P1823" t="str">
        <f>IF(O1823=1,COUNTIF($O$2:O1823,1),"")</f>
        <v/>
      </c>
      <c r="Q1823" t="str">
        <f>IFERROR(INDEX($M$2:$M$2388,MATCH(ROWS($P$2:P1823),$P$2:$P$2388,0)),"")</f>
        <v/>
      </c>
    </row>
    <row r="1824" spans="1:17" ht="15" x14ac:dyDescent="0.25">
      <c r="A1824" s="10">
        <v>1912</v>
      </c>
      <c r="B1824" s="10" t="s">
        <v>5821</v>
      </c>
      <c r="C1824" s="880">
        <f t="shared" si="141"/>
        <v>36.080199999999998</v>
      </c>
      <c r="D1824" s="880">
        <f t="shared" si="142"/>
        <v>52.965800000000002</v>
      </c>
      <c r="E1824" s="10">
        <v>36.080275999999998</v>
      </c>
      <c r="F1824" s="10">
        <v>52.965831999999999</v>
      </c>
      <c r="G1824" s="10">
        <v>3</v>
      </c>
      <c r="H1824" s="10" t="s">
        <v>1883</v>
      </c>
      <c r="I1824" s="10" t="s">
        <v>5720</v>
      </c>
      <c r="J1824" s="10" t="s">
        <v>5721</v>
      </c>
      <c r="K1824" s="10" t="s">
        <v>5725</v>
      </c>
      <c r="L1824" s="65" t="str">
        <f t="shared" si="143"/>
        <v>Orel|Russia|36,080276|52,965832|+3:00 Europe</v>
      </c>
      <c r="M1824" s="10" t="s">
        <v>5822</v>
      </c>
      <c r="N1824" s="10">
        <f t="shared" si="140"/>
        <v>0</v>
      </c>
      <c r="O1824" t="str">
        <f t="shared" si="144"/>
        <v/>
      </c>
      <c r="P1824" t="str">
        <f>IF(O1824=1,COUNTIF($O$2:O1824,1),"")</f>
        <v/>
      </c>
      <c r="Q1824" t="str">
        <f>IFERROR(INDEX($M$2:$M$2388,MATCH(ROWS($P$2:P1824),$P$2:$P$2388,0)),"")</f>
        <v/>
      </c>
    </row>
    <row r="1825" spans="1:17" ht="15" x14ac:dyDescent="0.25">
      <c r="A1825" s="10">
        <v>1911</v>
      </c>
      <c r="B1825" s="10" t="s">
        <v>5823</v>
      </c>
      <c r="C1825" s="880">
        <f t="shared" si="141"/>
        <v>55.098599999999998</v>
      </c>
      <c r="D1825" s="880">
        <f t="shared" si="142"/>
        <v>51.784700000000001</v>
      </c>
      <c r="E1825" s="10">
        <v>55.098610000000001</v>
      </c>
      <c r="F1825" s="10">
        <v>51.784720999999998</v>
      </c>
      <c r="G1825" s="10">
        <v>5</v>
      </c>
      <c r="H1825" s="10" t="s">
        <v>4585</v>
      </c>
      <c r="I1825" s="10" t="s">
        <v>5720</v>
      </c>
      <c r="J1825" s="10" t="s">
        <v>5721</v>
      </c>
      <c r="K1825" s="10" t="s">
        <v>5749</v>
      </c>
      <c r="L1825" s="65" t="str">
        <f t="shared" si="143"/>
        <v>Orenburg|Russia|55,098610|51,784721|+5:00 Asia</v>
      </c>
      <c r="M1825" s="10" t="s">
        <v>5824</v>
      </c>
      <c r="N1825" s="10">
        <f t="shared" si="140"/>
        <v>0</v>
      </c>
      <c r="O1825" t="str">
        <f t="shared" si="144"/>
        <v/>
      </c>
      <c r="P1825" t="str">
        <f>IF(O1825=1,COUNTIF($O$2:O1825,1),"")</f>
        <v/>
      </c>
      <c r="Q1825" t="str">
        <f>IFERROR(INDEX($M$2:$M$2388,MATCH(ROWS($P$2:P1825),$P$2:$P$2388,0)),"")</f>
        <v/>
      </c>
    </row>
    <row r="1826" spans="1:17" ht="15" x14ac:dyDescent="0.25">
      <c r="A1826" s="10">
        <v>1910</v>
      </c>
      <c r="B1826" s="10" t="s">
        <v>5825</v>
      </c>
      <c r="C1826" s="880">
        <f t="shared" si="141"/>
        <v>58.57</v>
      </c>
      <c r="D1826" s="880">
        <f t="shared" si="142"/>
        <v>51.225200000000001</v>
      </c>
      <c r="E1826" s="10">
        <v>58.57</v>
      </c>
      <c r="F1826" s="10">
        <v>51.225276999999998</v>
      </c>
      <c r="G1826" s="10">
        <v>5</v>
      </c>
      <c r="H1826" s="10" t="s">
        <v>4585</v>
      </c>
      <c r="I1826" s="10" t="s">
        <v>5720</v>
      </c>
      <c r="J1826" s="10" t="s">
        <v>5721</v>
      </c>
      <c r="K1826" s="10" t="s">
        <v>5749</v>
      </c>
      <c r="L1826" s="65" t="str">
        <f t="shared" si="143"/>
        <v>Orsk|Russia|58,570000|51,225277|+5:00 Asia</v>
      </c>
      <c r="M1826" s="10" t="s">
        <v>5826</v>
      </c>
      <c r="N1826" s="10">
        <f t="shared" si="140"/>
        <v>0</v>
      </c>
      <c r="O1826" t="str">
        <f t="shared" si="144"/>
        <v/>
      </c>
      <c r="P1826" t="str">
        <f>IF(O1826=1,COUNTIF($O$2:O1826,1),"")</f>
        <v/>
      </c>
      <c r="Q1826" t="str">
        <f>IFERROR(INDEX($M$2:$M$2388,MATCH(ROWS($P$2:P1826),$P$2:$P$2388,0)),"")</f>
        <v/>
      </c>
    </row>
    <row r="1827" spans="1:17" ht="15" x14ac:dyDescent="0.25">
      <c r="A1827" s="10">
        <v>1909</v>
      </c>
      <c r="B1827" s="10" t="s">
        <v>5827</v>
      </c>
      <c r="C1827" s="880">
        <f t="shared" si="141"/>
        <v>45</v>
      </c>
      <c r="D1827" s="880">
        <f t="shared" si="142"/>
        <v>53.195799999999998</v>
      </c>
      <c r="E1827" s="10">
        <v>45</v>
      </c>
      <c r="F1827" s="10">
        <v>53.195835000000002</v>
      </c>
      <c r="G1827" s="10">
        <v>3</v>
      </c>
      <c r="H1827" s="10" t="s">
        <v>1883</v>
      </c>
      <c r="I1827" s="10" t="s">
        <v>5720</v>
      </c>
      <c r="J1827" s="10" t="s">
        <v>5721</v>
      </c>
      <c r="K1827" s="10" t="s">
        <v>5782</v>
      </c>
      <c r="L1827" s="65" t="str">
        <f t="shared" si="143"/>
        <v>Penza|Russia|45,000000|53,195835|+3:00 Europe</v>
      </c>
      <c r="M1827" s="10" t="s">
        <v>5828</v>
      </c>
      <c r="N1827" s="10">
        <f t="shared" si="140"/>
        <v>0</v>
      </c>
      <c r="O1827" t="str">
        <f t="shared" si="144"/>
        <v/>
      </c>
      <c r="P1827" t="str">
        <f>IF(O1827=1,COUNTIF($O$2:O1827,1),"")</f>
        <v/>
      </c>
      <c r="Q1827" t="str">
        <f>IFERROR(INDEX($M$2:$M$2388,MATCH(ROWS($P$2:P1827),$P$2:$P$2388,0)),"")</f>
        <v/>
      </c>
    </row>
    <row r="1828" spans="1:17" ht="15" x14ac:dyDescent="0.25">
      <c r="A1828" s="10">
        <v>1908</v>
      </c>
      <c r="B1828" s="10" t="s">
        <v>5829</v>
      </c>
      <c r="C1828" s="880">
        <f t="shared" si="141"/>
        <v>56.25</v>
      </c>
      <c r="D1828" s="880">
        <f t="shared" si="142"/>
        <v>58</v>
      </c>
      <c r="E1828" s="10">
        <v>56.25</v>
      </c>
      <c r="F1828" s="10">
        <v>58</v>
      </c>
      <c r="G1828" s="10">
        <v>5</v>
      </c>
      <c r="H1828" s="10" t="s">
        <v>4585</v>
      </c>
      <c r="I1828" s="10" t="s">
        <v>5720</v>
      </c>
      <c r="J1828" s="10" t="s">
        <v>5721</v>
      </c>
      <c r="K1828" s="10" t="s">
        <v>5749</v>
      </c>
      <c r="L1828" s="65" t="str">
        <f t="shared" si="143"/>
        <v>Perm'|Russia|56,250000|58,000000|+5:00 Asia</v>
      </c>
      <c r="M1828" s="10" t="s">
        <v>5830</v>
      </c>
      <c r="N1828" s="10">
        <f t="shared" si="140"/>
        <v>0</v>
      </c>
      <c r="O1828" t="str">
        <f t="shared" si="144"/>
        <v/>
      </c>
      <c r="P1828" t="str">
        <f>IF(O1828=1,COUNTIF($O$2:O1828,1),"")</f>
        <v/>
      </c>
      <c r="Q1828" t="str">
        <f>IFERROR(INDEX($M$2:$M$2388,MATCH(ROWS($P$2:P1828),$P$2:$P$2388,0)),"")</f>
        <v/>
      </c>
    </row>
    <row r="1829" spans="1:17" ht="15" x14ac:dyDescent="0.25">
      <c r="A1829" s="10">
        <v>1907</v>
      </c>
      <c r="B1829" s="10" t="s">
        <v>5831</v>
      </c>
      <c r="C1829" s="880">
        <f t="shared" si="141"/>
        <v>34.333300000000001</v>
      </c>
      <c r="D1829" s="880">
        <f t="shared" si="142"/>
        <v>61.816600000000001</v>
      </c>
      <c r="E1829" s="10">
        <v>34.333331999999999</v>
      </c>
      <c r="F1829" s="10">
        <v>61.816665999999998</v>
      </c>
      <c r="G1829" s="10">
        <v>3</v>
      </c>
      <c r="H1829" s="10" t="s">
        <v>1883</v>
      </c>
      <c r="I1829" s="10" t="s">
        <v>5720</v>
      </c>
      <c r="J1829" s="10" t="s">
        <v>5721</v>
      </c>
      <c r="K1829" s="10" t="s">
        <v>5725</v>
      </c>
      <c r="L1829" s="65" t="str">
        <f t="shared" si="143"/>
        <v>Petrozavodsk|Russia|34,333332|61,816666|+3:00 Europe</v>
      </c>
      <c r="M1829" s="10" t="s">
        <v>5832</v>
      </c>
      <c r="N1829" s="10">
        <f t="shared" si="140"/>
        <v>0</v>
      </c>
      <c r="O1829" t="str">
        <f t="shared" si="144"/>
        <v/>
      </c>
      <c r="P1829" t="str">
        <f>IF(O1829=1,COUNTIF($O$2:O1829,1),"")</f>
        <v/>
      </c>
      <c r="Q1829" t="str">
        <f>IFERROR(INDEX($M$2:$M$2388,MATCH(ROWS($P$2:P1829),$P$2:$P$2388,0)),"")</f>
        <v/>
      </c>
    </row>
    <row r="1830" spans="1:17" ht="15" x14ac:dyDescent="0.25">
      <c r="A1830" s="10">
        <v>1906</v>
      </c>
      <c r="B1830" s="10" t="s">
        <v>5833</v>
      </c>
      <c r="C1830" s="880">
        <f t="shared" si="141"/>
        <v>28.333300000000001</v>
      </c>
      <c r="D1830" s="880">
        <f t="shared" si="142"/>
        <v>57.833300000000001</v>
      </c>
      <c r="E1830" s="10">
        <v>28.333334000000001</v>
      </c>
      <c r="F1830" s="10">
        <v>57.833331999999999</v>
      </c>
      <c r="G1830" s="10">
        <v>3</v>
      </c>
      <c r="H1830" s="10" t="s">
        <v>1883</v>
      </c>
      <c r="I1830" s="10" t="s">
        <v>5720</v>
      </c>
      <c r="J1830" s="10" t="s">
        <v>5721</v>
      </c>
      <c r="K1830" s="10" t="s">
        <v>5725</v>
      </c>
      <c r="L1830" s="65" t="str">
        <f t="shared" si="143"/>
        <v>Pskov|Russia|28,333334|57,833332|+3:00 Europe</v>
      </c>
      <c r="M1830" s="10" t="s">
        <v>5834</v>
      </c>
      <c r="N1830" s="10">
        <f t="shared" si="140"/>
        <v>0</v>
      </c>
      <c r="O1830" t="str">
        <f t="shared" si="144"/>
        <v/>
      </c>
      <c r="P1830" t="str">
        <f>IF(O1830=1,COUNTIF($O$2:O1830,1),"")</f>
        <v/>
      </c>
      <c r="Q1830" t="str">
        <f>IFERROR(INDEX($M$2:$M$2388,MATCH(ROWS($P$2:P1830),$P$2:$P$2388,0)),"")</f>
        <v/>
      </c>
    </row>
    <row r="1831" spans="1:17" ht="15" x14ac:dyDescent="0.25">
      <c r="A1831" s="10">
        <v>1905</v>
      </c>
      <c r="B1831" s="10" t="s">
        <v>5835</v>
      </c>
      <c r="C1831" s="880">
        <f t="shared" si="141"/>
        <v>39.713799999999999</v>
      </c>
      <c r="D1831" s="880">
        <f t="shared" si="142"/>
        <v>47.2363</v>
      </c>
      <c r="E1831" s="10">
        <v>39.713889999999999</v>
      </c>
      <c r="F1831" s="10">
        <v>47.236389000000003</v>
      </c>
      <c r="G1831" s="10">
        <v>3</v>
      </c>
      <c r="H1831" s="10" t="s">
        <v>1883</v>
      </c>
      <c r="I1831" s="10" t="s">
        <v>5720</v>
      </c>
      <c r="J1831" s="10" t="s">
        <v>5721</v>
      </c>
      <c r="K1831" s="10" t="s">
        <v>5782</v>
      </c>
      <c r="L1831" s="65" t="str">
        <f t="shared" si="143"/>
        <v>Rostov-na-Donu|Russia|39,713890|47,236389|+3:00 Europe</v>
      </c>
      <c r="M1831" s="10" t="s">
        <v>5836</v>
      </c>
      <c r="N1831" s="10">
        <f t="shared" si="140"/>
        <v>0</v>
      </c>
      <c r="O1831" t="str">
        <f t="shared" si="144"/>
        <v/>
      </c>
      <c r="P1831" t="str">
        <f>IF(O1831=1,COUNTIF($O$2:O1831,1),"")</f>
        <v/>
      </c>
      <c r="Q1831" t="str">
        <f>IFERROR(INDEX($M$2:$M$2388,MATCH(ROWS($P$2:P1831),$P$2:$P$2388,0)),"")</f>
        <v/>
      </c>
    </row>
    <row r="1832" spans="1:17" ht="15" x14ac:dyDescent="0.25">
      <c r="A1832" s="10">
        <v>1904</v>
      </c>
      <c r="B1832" s="10" t="s">
        <v>5837</v>
      </c>
      <c r="C1832" s="880">
        <f t="shared" si="141"/>
        <v>39.74</v>
      </c>
      <c r="D1832" s="880">
        <f t="shared" si="142"/>
        <v>54.619700000000002</v>
      </c>
      <c r="E1832" s="10">
        <v>39.740001999999997</v>
      </c>
      <c r="F1832" s="10">
        <v>54.619720000000001</v>
      </c>
      <c r="G1832" s="10">
        <v>3</v>
      </c>
      <c r="H1832" s="10" t="s">
        <v>1883</v>
      </c>
      <c r="I1832" s="10" t="s">
        <v>5720</v>
      </c>
      <c r="J1832" s="10" t="s">
        <v>5721</v>
      </c>
      <c r="K1832" s="10" t="s">
        <v>5725</v>
      </c>
      <c r="L1832" s="65" t="str">
        <f t="shared" si="143"/>
        <v>Ryazan'|Russia|39,740002|54,619720|+3:00 Europe</v>
      </c>
      <c r="M1832" s="10" t="s">
        <v>5838</v>
      </c>
      <c r="N1832" s="10">
        <f t="shared" si="140"/>
        <v>0</v>
      </c>
      <c r="O1832" t="str">
        <f t="shared" si="144"/>
        <v/>
      </c>
      <c r="P1832" t="str">
        <f>IF(O1832=1,COUNTIF($O$2:O1832,1),"")</f>
        <v/>
      </c>
      <c r="Q1832" t="str">
        <f>IFERROR(INDEX($M$2:$M$2388,MATCH(ROWS($P$2:P1832),$P$2:$P$2388,0)),"")</f>
        <v/>
      </c>
    </row>
    <row r="1833" spans="1:17" ht="15" x14ac:dyDescent="0.25">
      <c r="A1833" s="10">
        <v>1903</v>
      </c>
      <c r="B1833" s="10" t="s">
        <v>5839</v>
      </c>
      <c r="C1833" s="880">
        <f t="shared" si="141"/>
        <v>38.833300000000001</v>
      </c>
      <c r="D1833" s="880">
        <f t="shared" si="142"/>
        <v>58.049900000000001</v>
      </c>
      <c r="E1833" s="10">
        <v>38.833331999999999</v>
      </c>
      <c r="F1833" s="10">
        <v>58.049999</v>
      </c>
      <c r="G1833" s="10">
        <v>3</v>
      </c>
      <c r="H1833" s="10" t="s">
        <v>1883</v>
      </c>
      <c r="I1833" s="10" t="s">
        <v>5720</v>
      </c>
      <c r="J1833" s="10" t="s">
        <v>5721</v>
      </c>
      <c r="K1833" s="10" t="s">
        <v>5725</v>
      </c>
      <c r="L1833" s="65" t="str">
        <f t="shared" si="143"/>
        <v>Rybinsk|Russia|38,833332|58,049999|+3:00 Europe</v>
      </c>
      <c r="M1833" s="10" t="s">
        <v>5840</v>
      </c>
      <c r="N1833" s="10">
        <f t="shared" si="140"/>
        <v>0</v>
      </c>
      <c r="O1833" t="str">
        <f t="shared" si="144"/>
        <v/>
      </c>
      <c r="P1833" t="str">
        <f>IF(O1833=1,COUNTIF($O$2:O1833,1),"")</f>
        <v/>
      </c>
      <c r="Q1833" t="str">
        <f>IFERROR(INDEX($M$2:$M$2388,MATCH(ROWS($P$2:P1833),$P$2:$P$2388,0)),"")</f>
        <v/>
      </c>
    </row>
    <row r="1834" spans="1:17" ht="15" x14ac:dyDescent="0.25">
      <c r="A1834" s="10">
        <v>1901</v>
      </c>
      <c r="B1834" s="10" t="s">
        <v>5841</v>
      </c>
      <c r="C1834" s="880">
        <f t="shared" si="141"/>
        <v>30.264099999999999</v>
      </c>
      <c r="D1834" s="880">
        <f t="shared" si="142"/>
        <v>59.894399999999997</v>
      </c>
      <c r="E1834" s="10">
        <v>30.264165999999999</v>
      </c>
      <c r="F1834" s="10">
        <v>59.894444</v>
      </c>
      <c r="G1834" s="10">
        <v>3</v>
      </c>
      <c r="H1834" s="10" t="s">
        <v>1883</v>
      </c>
      <c r="I1834" s="10" t="s">
        <v>5720</v>
      </c>
      <c r="J1834" s="10" t="s">
        <v>5721</v>
      </c>
      <c r="K1834" s="10" t="s">
        <v>5725</v>
      </c>
      <c r="L1834" s="65" t="str">
        <f t="shared" si="143"/>
        <v>Saint Petersburg|Russia|30,264166|59,894444|+3:00 Europe</v>
      </c>
      <c r="M1834" s="10" t="s">
        <v>5842</v>
      </c>
      <c r="N1834" s="10">
        <f t="shared" si="140"/>
        <v>0</v>
      </c>
      <c r="O1834" t="str">
        <f t="shared" si="144"/>
        <v/>
      </c>
      <c r="P1834" t="str">
        <f>IF(O1834=1,COUNTIF($O$2:O1834,1),"")</f>
        <v/>
      </c>
      <c r="Q1834" t="str">
        <f>IFERROR(INDEX($M$2:$M$2388,MATCH(ROWS($P$2:P1834),$P$2:$P$2388,0)),"")</f>
        <v/>
      </c>
    </row>
    <row r="1835" spans="1:17" ht="15" x14ac:dyDescent="0.25">
      <c r="A1835" s="10">
        <v>1902</v>
      </c>
      <c r="B1835" s="10" t="s">
        <v>5843</v>
      </c>
      <c r="C1835" s="880">
        <f t="shared" si="141"/>
        <v>50.15</v>
      </c>
      <c r="D1835" s="880">
        <f t="shared" si="142"/>
        <v>53.2</v>
      </c>
      <c r="E1835" s="10">
        <v>50.150002000000001</v>
      </c>
      <c r="F1835" s="10">
        <v>53.200001</v>
      </c>
      <c r="G1835" s="10">
        <v>4</v>
      </c>
      <c r="H1835" s="10" t="s">
        <v>1794</v>
      </c>
      <c r="I1835" s="10" t="s">
        <v>5720</v>
      </c>
      <c r="J1835" s="10" t="s">
        <v>5721</v>
      </c>
      <c r="K1835" s="10" t="s">
        <v>5728</v>
      </c>
      <c r="L1835" s="65" t="str">
        <f t="shared" si="143"/>
        <v>Samara|Russia|50,150002|53,200001|+4:00 Europe</v>
      </c>
      <c r="M1835" s="10" t="s">
        <v>5844</v>
      </c>
      <c r="N1835" s="10">
        <f t="shared" si="140"/>
        <v>0</v>
      </c>
      <c r="O1835" t="str">
        <f t="shared" si="144"/>
        <v/>
      </c>
      <c r="P1835" t="str">
        <f>IF(O1835=1,COUNTIF($O$2:O1835,1),"")</f>
        <v/>
      </c>
      <c r="Q1835" t="str">
        <f>IFERROR(INDEX($M$2:$M$2388,MATCH(ROWS($P$2:P1835),$P$2:$P$2388,0)),"")</f>
        <v/>
      </c>
    </row>
    <row r="1836" spans="1:17" ht="15" x14ac:dyDescent="0.25">
      <c r="A1836" s="10">
        <v>1900</v>
      </c>
      <c r="B1836" s="10" t="s">
        <v>5845</v>
      </c>
      <c r="C1836" s="880">
        <f t="shared" si="141"/>
        <v>45.183300000000003</v>
      </c>
      <c r="D1836" s="880">
        <f t="shared" si="142"/>
        <v>54.183300000000003</v>
      </c>
      <c r="E1836" s="10">
        <v>45.183334000000002</v>
      </c>
      <c r="F1836" s="10">
        <v>54.183334000000002</v>
      </c>
      <c r="G1836" s="10">
        <v>3</v>
      </c>
      <c r="H1836" s="10" t="s">
        <v>1883</v>
      </c>
      <c r="I1836" s="10" t="s">
        <v>5720</v>
      </c>
      <c r="J1836" s="10" t="s">
        <v>5721</v>
      </c>
      <c r="K1836" s="10" t="s">
        <v>5725</v>
      </c>
      <c r="L1836" s="65" t="str">
        <f t="shared" si="143"/>
        <v>Saransk|Russia|45,183334|54,183334|+3:00 Europe</v>
      </c>
      <c r="M1836" s="10" t="s">
        <v>5846</v>
      </c>
      <c r="N1836" s="10">
        <f t="shared" si="140"/>
        <v>0</v>
      </c>
      <c r="O1836" t="str">
        <f t="shared" si="144"/>
        <v/>
      </c>
      <c r="P1836" t="str">
        <f>IF(O1836=1,COUNTIF($O$2:O1836,1),"")</f>
        <v/>
      </c>
      <c r="Q1836" t="str">
        <f>IFERROR(INDEX($M$2:$M$2388,MATCH(ROWS($P$2:P1836),$P$2:$P$2388,0)),"")</f>
        <v/>
      </c>
    </row>
    <row r="1837" spans="1:17" ht="15" x14ac:dyDescent="0.25">
      <c r="A1837" s="10">
        <v>1899</v>
      </c>
      <c r="B1837" s="10" t="s">
        <v>5847</v>
      </c>
      <c r="C1837" s="880">
        <f t="shared" si="141"/>
        <v>46.033299999999997</v>
      </c>
      <c r="D1837" s="880">
        <f t="shared" si="142"/>
        <v>51.566600000000001</v>
      </c>
      <c r="E1837" s="10">
        <v>46.033332999999999</v>
      </c>
      <c r="F1837" s="10">
        <v>51.566665999999998</v>
      </c>
      <c r="G1837" s="10">
        <v>4</v>
      </c>
      <c r="H1837" s="10" t="s">
        <v>1794</v>
      </c>
      <c r="I1837" s="10" t="s">
        <v>5720</v>
      </c>
      <c r="J1837" s="10" t="s">
        <v>5721</v>
      </c>
      <c r="K1837" s="10" t="s">
        <v>5728</v>
      </c>
      <c r="L1837" s="65" t="str">
        <f t="shared" si="143"/>
        <v>Saratov|Russia|46,033333|51,566666|+4:00 Europe</v>
      </c>
      <c r="M1837" s="10" t="s">
        <v>5848</v>
      </c>
      <c r="N1837" s="10">
        <f t="shared" si="140"/>
        <v>0</v>
      </c>
      <c r="O1837" t="str">
        <f t="shared" si="144"/>
        <v/>
      </c>
      <c r="P1837" t="str">
        <f>IF(O1837=1,COUNTIF($O$2:O1837,1),"")</f>
        <v/>
      </c>
      <c r="Q1837" t="str">
        <f>IFERROR(INDEX($M$2:$M$2388,MATCH(ROWS($P$2:P1837),$P$2:$P$2388,0)),"")</f>
        <v/>
      </c>
    </row>
    <row r="1838" spans="1:17" ht="15" x14ac:dyDescent="0.25">
      <c r="A1838" s="10">
        <v>1874</v>
      </c>
      <c r="B1838" s="10" t="s">
        <v>5849</v>
      </c>
      <c r="C1838" s="880">
        <f t="shared" si="141"/>
        <v>41.912700000000001</v>
      </c>
      <c r="D1838" s="880">
        <f t="shared" si="142"/>
        <v>54.348300000000002</v>
      </c>
      <c r="E1838" s="10">
        <v>41.912776999999998</v>
      </c>
      <c r="F1838" s="10">
        <v>54.348331000000002</v>
      </c>
      <c r="G1838" s="10">
        <v>3</v>
      </c>
      <c r="H1838" s="10" t="s">
        <v>1883</v>
      </c>
      <c r="I1838" s="10" t="s">
        <v>5720</v>
      </c>
      <c r="J1838" s="10" t="s">
        <v>5721</v>
      </c>
      <c r="K1838" s="10" t="s">
        <v>5725</v>
      </c>
      <c r="L1838" s="65" t="str">
        <f t="shared" si="143"/>
        <v>Sasovo|Russia|41,912777|54,348331|+3:00 Europe</v>
      </c>
      <c r="M1838" s="10" t="s">
        <v>5850</v>
      </c>
      <c r="N1838" s="10">
        <f t="shared" si="140"/>
        <v>0</v>
      </c>
      <c r="O1838" t="str">
        <f t="shared" si="144"/>
        <v/>
      </c>
      <c r="P1838" t="str">
        <f>IF(O1838=1,COUNTIF($O$2:O1838,1),"")</f>
        <v/>
      </c>
      <c r="Q1838" t="str">
        <f>IFERROR(INDEX($M$2:$M$2388,MATCH(ROWS($P$2:P1838),$P$2:$P$2388,0)),"")</f>
        <v/>
      </c>
    </row>
    <row r="1839" spans="1:17" ht="15" x14ac:dyDescent="0.25">
      <c r="A1839" s="10">
        <v>1898</v>
      </c>
      <c r="B1839" s="10" t="s">
        <v>5851</v>
      </c>
      <c r="C1839" s="880">
        <f t="shared" si="141"/>
        <v>40.205800000000004</v>
      </c>
      <c r="D1839" s="880">
        <f t="shared" si="142"/>
        <v>47.712200000000003</v>
      </c>
      <c r="E1839" s="10">
        <v>40.205832999999998</v>
      </c>
      <c r="F1839" s="10">
        <v>47.712223000000002</v>
      </c>
      <c r="G1839" s="10">
        <v>3</v>
      </c>
      <c r="H1839" s="10" t="s">
        <v>1883</v>
      </c>
      <c r="I1839" s="10" t="s">
        <v>5720</v>
      </c>
      <c r="J1839" s="10" t="s">
        <v>5721</v>
      </c>
      <c r="K1839" s="10" t="s">
        <v>5782</v>
      </c>
      <c r="L1839" s="65" t="str">
        <f t="shared" si="143"/>
        <v>Shakhty|Russia|40,205833|47,712223|+3:00 Europe</v>
      </c>
      <c r="M1839" s="10" t="s">
        <v>5852</v>
      </c>
      <c r="N1839" s="10">
        <f t="shared" si="140"/>
        <v>0</v>
      </c>
      <c r="O1839" t="str">
        <f t="shared" si="144"/>
        <v/>
      </c>
      <c r="P1839" t="str">
        <f>IF(O1839=1,COUNTIF($O$2:O1839,1),"")</f>
        <v/>
      </c>
      <c r="Q1839" t="str">
        <f>IFERROR(INDEX($M$2:$M$2388,MATCH(ROWS($P$2:P1839),$P$2:$P$2388,0)),"")</f>
        <v/>
      </c>
    </row>
    <row r="1840" spans="1:17" ht="15" x14ac:dyDescent="0.25">
      <c r="A1840" s="10">
        <v>1897</v>
      </c>
      <c r="B1840" s="10" t="s">
        <v>5853</v>
      </c>
      <c r="C1840" s="880">
        <f t="shared" si="141"/>
        <v>32.04</v>
      </c>
      <c r="D1840" s="880">
        <f t="shared" si="142"/>
        <v>54.781599999999997</v>
      </c>
      <c r="E1840" s="10">
        <v>32.040000999999997</v>
      </c>
      <c r="F1840" s="10">
        <v>54.781666000000001</v>
      </c>
      <c r="G1840" s="10">
        <v>3</v>
      </c>
      <c r="H1840" s="10" t="s">
        <v>1883</v>
      </c>
      <c r="I1840" s="10" t="s">
        <v>5720</v>
      </c>
      <c r="J1840" s="10" t="s">
        <v>5721</v>
      </c>
      <c r="K1840" s="10" t="s">
        <v>5725</v>
      </c>
      <c r="L1840" s="65" t="str">
        <f t="shared" si="143"/>
        <v>Smolensk|Russia|32,040001|54,781666|+3:00 Europe</v>
      </c>
      <c r="M1840" s="10" t="s">
        <v>5854</v>
      </c>
      <c r="N1840" s="10">
        <f t="shared" si="140"/>
        <v>0</v>
      </c>
      <c r="O1840" t="str">
        <f t="shared" si="144"/>
        <v/>
      </c>
      <c r="P1840" t="str">
        <f>IF(O1840=1,COUNTIF($O$2:O1840,1),"")</f>
        <v/>
      </c>
      <c r="Q1840" t="str">
        <f>IFERROR(INDEX($M$2:$M$2388,MATCH(ROWS($P$2:P1840),$P$2:$P$2388,0)),"")</f>
        <v/>
      </c>
    </row>
    <row r="1841" spans="1:17" ht="15" x14ac:dyDescent="0.25">
      <c r="A1841" s="10">
        <v>1896</v>
      </c>
      <c r="B1841" s="10" t="s">
        <v>5855</v>
      </c>
      <c r="C1841" s="880">
        <f t="shared" si="141"/>
        <v>39.730200000000004</v>
      </c>
      <c r="D1841" s="880">
        <f t="shared" si="142"/>
        <v>43.599899999999998</v>
      </c>
      <c r="E1841" s="10">
        <v>39.730277999999998</v>
      </c>
      <c r="F1841" s="10">
        <v>43.599997999999999</v>
      </c>
      <c r="G1841" s="10">
        <v>3</v>
      </c>
      <c r="H1841" s="10" t="s">
        <v>1883</v>
      </c>
      <c r="I1841" s="10" t="s">
        <v>5720</v>
      </c>
      <c r="J1841" s="10" t="s">
        <v>5721</v>
      </c>
      <c r="K1841" s="10" t="s">
        <v>5782</v>
      </c>
      <c r="L1841" s="65" t="str">
        <f t="shared" si="143"/>
        <v>Sochi|Russia|39,730278|43,599998|+3:00 Europe</v>
      </c>
      <c r="M1841" s="10" t="s">
        <v>5856</v>
      </c>
      <c r="N1841" s="10">
        <f t="shared" si="140"/>
        <v>0</v>
      </c>
      <c r="O1841" t="str">
        <f t="shared" si="144"/>
        <v/>
      </c>
      <c r="P1841" t="str">
        <f>IF(O1841=1,COUNTIF($O$2:O1841,1),"")</f>
        <v/>
      </c>
      <c r="Q1841" t="str">
        <f>IFERROR(INDEX($M$2:$M$2388,MATCH(ROWS($P$2:P1841),$P$2:$P$2388,0)),"")</f>
        <v/>
      </c>
    </row>
    <row r="1842" spans="1:17" ht="15" x14ac:dyDescent="0.25">
      <c r="A1842" s="10">
        <v>1895</v>
      </c>
      <c r="B1842" s="10" t="s">
        <v>5857</v>
      </c>
      <c r="C1842" s="880">
        <f t="shared" si="141"/>
        <v>37.8416</v>
      </c>
      <c r="D1842" s="880">
        <f t="shared" si="142"/>
        <v>51.296599999999998</v>
      </c>
      <c r="E1842" s="10">
        <v>37.841667000000001</v>
      </c>
      <c r="F1842" s="10">
        <v>51.296664999999997</v>
      </c>
      <c r="G1842" s="10">
        <v>3</v>
      </c>
      <c r="H1842" s="10" t="s">
        <v>1883</v>
      </c>
      <c r="I1842" s="10" t="s">
        <v>5720</v>
      </c>
      <c r="J1842" s="10" t="s">
        <v>5721</v>
      </c>
      <c r="K1842" s="10" t="s">
        <v>5725</v>
      </c>
      <c r="L1842" s="65" t="str">
        <f t="shared" si="143"/>
        <v>Staryy Oskol|Russia|37,841667|51,296665|+3:00 Europe</v>
      </c>
      <c r="M1842" s="10" t="s">
        <v>5858</v>
      </c>
      <c r="N1842" s="10">
        <f t="shared" si="140"/>
        <v>0</v>
      </c>
      <c r="O1842" t="str">
        <f t="shared" si="144"/>
        <v/>
      </c>
      <c r="P1842" t="str">
        <f>IF(O1842=1,COUNTIF($O$2:O1842,1),"")</f>
        <v/>
      </c>
      <c r="Q1842" t="str">
        <f>IFERROR(INDEX($M$2:$M$2388,MATCH(ROWS($P$2:P1842),$P$2:$P$2388,0)),"")</f>
        <v/>
      </c>
    </row>
    <row r="1843" spans="1:17" ht="15" x14ac:dyDescent="0.25">
      <c r="A1843" s="10">
        <v>1894</v>
      </c>
      <c r="B1843" s="10" t="s">
        <v>5859</v>
      </c>
      <c r="C1843" s="880">
        <f t="shared" si="141"/>
        <v>41.973300000000002</v>
      </c>
      <c r="D1843" s="880">
        <f t="shared" si="142"/>
        <v>45.042700000000004</v>
      </c>
      <c r="E1843" s="10">
        <v>41.973331000000002</v>
      </c>
      <c r="F1843" s="10">
        <v>45.042777999999998</v>
      </c>
      <c r="G1843" s="10">
        <v>3</v>
      </c>
      <c r="H1843" s="10" t="s">
        <v>1883</v>
      </c>
      <c r="I1843" s="10" t="s">
        <v>5720</v>
      </c>
      <c r="J1843" s="10" t="s">
        <v>5721</v>
      </c>
      <c r="K1843" s="10" t="s">
        <v>5782</v>
      </c>
      <c r="L1843" s="65" t="str">
        <f t="shared" si="143"/>
        <v>Stavropol'|Russia|41,973331|45,042778|+3:00 Europe</v>
      </c>
      <c r="M1843" s="10" t="s">
        <v>5860</v>
      </c>
      <c r="N1843" s="10">
        <f t="shared" si="140"/>
        <v>0</v>
      </c>
      <c r="O1843" t="str">
        <f t="shared" si="144"/>
        <v/>
      </c>
      <c r="P1843" t="str">
        <f>IF(O1843=1,COUNTIF($O$2:O1843,1),"")</f>
        <v/>
      </c>
      <c r="Q1843" t="str">
        <f>IFERROR(INDEX($M$2:$M$2388,MATCH(ROWS($P$2:P1843),$P$2:$P$2388,0)),"")</f>
        <v/>
      </c>
    </row>
    <row r="1844" spans="1:17" ht="15" x14ac:dyDescent="0.25">
      <c r="A1844" s="10">
        <v>1893</v>
      </c>
      <c r="B1844" s="10" t="s">
        <v>5861</v>
      </c>
      <c r="C1844" s="880">
        <f t="shared" si="141"/>
        <v>55.946300000000001</v>
      </c>
      <c r="D1844" s="880">
        <f t="shared" si="142"/>
        <v>53.633000000000003</v>
      </c>
      <c r="E1844" s="10">
        <v>55.946387999999999</v>
      </c>
      <c r="F1844" s="10">
        <v>53.633057000000001</v>
      </c>
      <c r="G1844" s="10">
        <v>5</v>
      </c>
      <c r="H1844" s="10" t="s">
        <v>4585</v>
      </c>
      <c r="I1844" s="10" t="s">
        <v>5720</v>
      </c>
      <c r="J1844" s="10" t="s">
        <v>5721</v>
      </c>
      <c r="K1844" s="10" t="s">
        <v>5749</v>
      </c>
      <c r="L1844" s="65" t="str">
        <f t="shared" si="143"/>
        <v>Sterlitamak|Russia|55,946388|53,633057|+5:00 Asia</v>
      </c>
      <c r="M1844" s="10" t="s">
        <v>5862</v>
      </c>
      <c r="N1844" s="10">
        <f t="shared" si="140"/>
        <v>0</v>
      </c>
      <c r="O1844" t="str">
        <f t="shared" si="144"/>
        <v/>
      </c>
      <c r="P1844" t="str">
        <f>IF(O1844=1,COUNTIF($O$2:O1844,1),"")</f>
        <v/>
      </c>
      <c r="Q1844" t="str">
        <f>IFERROR(INDEX($M$2:$M$2388,MATCH(ROWS($P$2:P1844),$P$2:$P$2388,0)),"")</f>
        <v/>
      </c>
    </row>
    <row r="1845" spans="1:17" ht="15" x14ac:dyDescent="0.25">
      <c r="A1845" s="10">
        <v>1944</v>
      </c>
      <c r="B1845" s="10" t="s">
        <v>5863</v>
      </c>
      <c r="C1845" s="880">
        <f t="shared" si="141"/>
        <v>73.416600000000003</v>
      </c>
      <c r="D1845" s="880">
        <f t="shared" si="142"/>
        <v>61.25</v>
      </c>
      <c r="E1845" s="10">
        <v>73.416663999999997</v>
      </c>
      <c r="F1845" s="10">
        <v>61.25</v>
      </c>
      <c r="G1845" s="10">
        <v>5</v>
      </c>
      <c r="H1845" s="10" t="s">
        <v>4585</v>
      </c>
      <c r="I1845" s="10" t="s">
        <v>5720</v>
      </c>
      <c r="J1845" s="10" t="s">
        <v>5721</v>
      </c>
      <c r="K1845" s="10" t="s">
        <v>5749</v>
      </c>
      <c r="L1845" s="65" t="str">
        <f t="shared" si="143"/>
        <v>Surgut|Russia|73,416664|61,250000|+5:00 Asia</v>
      </c>
      <c r="M1845" s="10" t="s">
        <v>5864</v>
      </c>
      <c r="N1845" s="10">
        <f t="shared" si="140"/>
        <v>0</v>
      </c>
      <c r="O1845" t="str">
        <f t="shared" si="144"/>
        <v/>
      </c>
      <c r="P1845" t="str">
        <f>IF(O1845=1,COUNTIF($O$2:O1845,1),"")</f>
        <v/>
      </c>
      <c r="Q1845" t="str">
        <f>IFERROR(INDEX($M$2:$M$2388,MATCH(ROWS($P$2:P1845),$P$2:$P$2388,0)),"")</f>
        <v/>
      </c>
    </row>
    <row r="1846" spans="1:17" ht="15" x14ac:dyDescent="0.25">
      <c r="A1846" s="10">
        <v>1892</v>
      </c>
      <c r="B1846" s="10" t="s">
        <v>5865</v>
      </c>
      <c r="C1846" s="880">
        <f t="shared" si="141"/>
        <v>50.812199999999997</v>
      </c>
      <c r="D1846" s="880">
        <f t="shared" si="142"/>
        <v>61.666600000000003</v>
      </c>
      <c r="E1846" s="10">
        <v>50.812221999999998</v>
      </c>
      <c r="F1846" s="10">
        <v>61.666668000000001</v>
      </c>
      <c r="G1846" s="10">
        <v>3</v>
      </c>
      <c r="H1846" s="10" t="s">
        <v>1883</v>
      </c>
      <c r="I1846" s="10" t="s">
        <v>5720</v>
      </c>
      <c r="J1846" s="10" t="s">
        <v>5721</v>
      </c>
      <c r="K1846" s="10" t="s">
        <v>5725</v>
      </c>
      <c r="L1846" s="65" t="str">
        <f t="shared" si="143"/>
        <v>Syktyvkar|Russia|50,812222|61,666668|+3:00 Europe</v>
      </c>
      <c r="M1846" s="10" t="s">
        <v>5866</v>
      </c>
      <c r="N1846" s="10">
        <f t="shared" si="140"/>
        <v>0</v>
      </c>
      <c r="O1846" t="str">
        <f t="shared" si="144"/>
        <v/>
      </c>
      <c r="P1846" t="str">
        <f>IF(O1846=1,COUNTIF($O$2:O1846,1),"")</f>
        <v/>
      </c>
      <c r="Q1846" t="str">
        <f>IFERROR(INDEX($M$2:$M$2388,MATCH(ROWS($P$2:P1846),$P$2:$P$2388,0)),"")</f>
        <v/>
      </c>
    </row>
    <row r="1847" spans="1:17" ht="15" x14ac:dyDescent="0.25">
      <c r="A1847" s="10">
        <v>1891</v>
      </c>
      <c r="B1847" s="10" t="s">
        <v>5867</v>
      </c>
      <c r="C1847" s="880">
        <f t="shared" si="141"/>
        <v>38.909399999999998</v>
      </c>
      <c r="D1847" s="880">
        <f t="shared" si="142"/>
        <v>47.221299999999999</v>
      </c>
      <c r="E1847" s="10">
        <v>38.909443000000003</v>
      </c>
      <c r="F1847" s="10">
        <v>47.22139</v>
      </c>
      <c r="G1847" s="10">
        <v>3</v>
      </c>
      <c r="H1847" s="10" t="s">
        <v>1883</v>
      </c>
      <c r="I1847" s="10" t="s">
        <v>5720</v>
      </c>
      <c r="J1847" s="10" t="s">
        <v>5721</v>
      </c>
      <c r="K1847" s="10" t="s">
        <v>5782</v>
      </c>
      <c r="L1847" s="65" t="str">
        <f t="shared" si="143"/>
        <v>Taganrog|Russia|38,909443|47,221390|+3:00 Europe</v>
      </c>
      <c r="M1847" s="10" t="s">
        <v>5868</v>
      </c>
      <c r="N1847" s="10">
        <f t="shared" si="140"/>
        <v>0</v>
      </c>
      <c r="O1847" t="str">
        <f t="shared" si="144"/>
        <v/>
      </c>
      <c r="P1847" t="str">
        <f>IF(O1847=1,COUNTIF($O$2:O1847,1),"")</f>
        <v/>
      </c>
      <c r="Q1847" t="str">
        <f>IFERROR(INDEX($M$2:$M$2388,MATCH(ROWS($P$2:P1847),$P$2:$P$2388,0)),"")</f>
        <v/>
      </c>
    </row>
    <row r="1848" spans="1:17" ht="15" x14ac:dyDescent="0.25">
      <c r="A1848" s="10">
        <v>1890</v>
      </c>
      <c r="B1848" s="10" t="s">
        <v>5869</v>
      </c>
      <c r="C1848" s="880">
        <f t="shared" si="141"/>
        <v>41.433799999999998</v>
      </c>
      <c r="D1848" s="880">
        <f t="shared" si="142"/>
        <v>52.7316</v>
      </c>
      <c r="E1848" s="10">
        <v>41.433886999999999</v>
      </c>
      <c r="F1848" s="10">
        <v>52.731667000000002</v>
      </c>
      <c r="G1848" s="10">
        <v>3</v>
      </c>
      <c r="H1848" s="10" t="s">
        <v>1883</v>
      </c>
      <c r="I1848" s="10" t="s">
        <v>5720</v>
      </c>
      <c r="J1848" s="10" t="s">
        <v>5721</v>
      </c>
      <c r="K1848" s="10" t="s">
        <v>5725</v>
      </c>
      <c r="L1848" s="65" t="str">
        <f t="shared" si="143"/>
        <v>Tambov|Russia|41,433887|52,731667|+3:00 Europe</v>
      </c>
      <c r="M1848" s="10" t="s">
        <v>5870</v>
      </c>
      <c r="N1848" s="10">
        <f t="shared" si="140"/>
        <v>0</v>
      </c>
      <c r="O1848" t="str">
        <f t="shared" si="144"/>
        <v/>
      </c>
      <c r="P1848" t="str">
        <f>IF(O1848=1,COUNTIF($O$2:O1848,1),"")</f>
        <v/>
      </c>
      <c r="Q1848" t="str">
        <f>IFERROR(INDEX($M$2:$M$2388,MATCH(ROWS($P$2:P1848),$P$2:$P$2388,0)),"")</f>
        <v/>
      </c>
    </row>
    <row r="1849" spans="1:17" ht="15" x14ac:dyDescent="0.25">
      <c r="A1849" s="10">
        <v>1889</v>
      </c>
      <c r="B1849" s="10" t="s">
        <v>5871</v>
      </c>
      <c r="C1849" s="880">
        <f t="shared" si="141"/>
        <v>49.412399999999998</v>
      </c>
      <c r="D1849" s="880">
        <f t="shared" si="142"/>
        <v>53.523299999999999</v>
      </c>
      <c r="E1849" s="10">
        <v>49.412497999999999</v>
      </c>
      <c r="F1849" s="10">
        <v>53.523335000000003</v>
      </c>
      <c r="G1849" s="10">
        <v>4</v>
      </c>
      <c r="H1849" s="10" t="s">
        <v>1794</v>
      </c>
      <c r="I1849" s="10" t="s">
        <v>5720</v>
      </c>
      <c r="J1849" s="10" t="s">
        <v>5721</v>
      </c>
      <c r="K1849" s="10" t="s">
        <v>5728</v>
      </c>
      <c r="L1849" s="65" t="str">
        <f t="shared" si="143"/>
        <v>Tol'yatti|Russia|49,412498|53,523335|+4:00 Europe</v>
      </c>
      <c r="M1849" s="10" t="s">
        <v>5872</v>
      </c>
      <c r="N1849" s="10">
        <f t="shared" si="140"/>
        <v>0</v>
      </c>
      <c r="O1849" t="str">
        <f t="shared" si="144"/>
        <v/>
      </c>
      <c r="P1849" t="str">
        <f>IF(O1849=1,COUNTIF($O$2:O1849,1),"")</f>
        <v/>
      </c>
      <c r="Q1849" t="str">
        <f>IFERROR(INDEX($M$2:$M$2388,MATCH(ROWS($P$2:P1849),$P$2:$P$2388,0)),"")</f>
        <v/>
      </c>
    </row>
    <row r="1850" spans="1:17" ht="15" x14ac:dyDescent="0.25">
      <c r="A1850" s="10">
        <v>1943</v>
      </c>
      <c r="B1850" s="10" t="s">
        <v>5873</v>
      </c>
      <c r="C1850" s="880">
        <f t="shared" si="141"/>
        <v>84.9666</v>
      </c>
      <c r="D1850" s="880">
        <f t="shared" si="142"/>
        <v>56.5</v>
      </c>
      <c r="E1850" s="10">
        <v>84.966667000000001</v>
      </c>
      <c r="F1850" s="10">
        <v>56.5</v>
      </c>
      <c r="G1850" s="10">
        <v>7</v>
      </c>
      <c r="H1850" s="10" t="s">
        <v>2363</v>
      </c>
      <c r="I1850" s="10" t="s">
        <v>5720</v>
      </c>
      <c r="J1850" s="10" t="s">
        <v>5721</v>
      </c>
      <c r="K1850" s="10" t="s">
        <v>5733</v>
      </c>
      <c r="L1850" s="65" t="str">
        <f t="shared" si="143"/>
        <v>Tomsk|Russia|84,966667|56,500000|+7:00 Asia</v>
      </c>
      <c r="M1850" s="10" t="s">
        <v>5874</v>
      </c>
      <c r="N1850" s="10">
        <f t="shared" si="140"/>
        <v>0</v>
      </c>
      <c r="O1850" t="str">
        <f t="shared" si="144"/>
        <v/>
      </c>
      <c r="P1850" t="str">
        <f>IF(O1850=1,COUNTIF($O$2:O1850,1),"")</f>
        <v/>
      </c>
      <c r="Q1850" t="str">
        <f>IFERROR(INDEX($M$2:$M$2388,MATCH(ROWS($P$2:P1850),$P$2:$P$2388,0)),"")</f>
        <v/>
      </c>
    </row>
    <row r="1851" spans="1:17" ht="15" x14ac:dyDescent="0.25">
      <c r="A1851" s="10">
        <v>1888</v>
      </c>
      <c r="B1851" s="10" t="s">
        <v>83</v>
      </c>
      <c r="C1851" s="880">
        <f t="shared" si="141"/>
        <v>37.6111</v>
      </c>
      <c r="D1851" s="880">
        <f t="shared" si="142"/>
        <v>54.2044</v>
      </c>
      <c r="E1851" s="10">
        <v>37.611111000000001</v>
      </c>
      <c r="F1851" s="10">
        <v>54.204445</v>
      </c>
      <c r="G1851" s="10">
        <v>3</v>
      </c>
      <c r="H1851" s="10" t="s">
        <v>1883</v>
      </c>
      <c r="I1851" s="10" t="s">
        <v>5720</v>
      </c>
      <c r="J1851" s="10" t="s">
        <v>5721</v>
      </c>
      <c r="K1851" s="10" t="s">
        <v>5725</v>
      </c>
      <c r="L1851" s="65" t="str">
        <f t="shared" si="143"/>
        <v>Tula|Russia|37,611111|54,204445|+3:00 Europe</v>
      </c>
      <c r="M1851" s="10" t="s">
        <v>5875</v>
      </c>
      <c r="N1851" s="10">
        <f t="shared" si="140"/>
        <v>0</v>
      </c>
      <c r="O1851" t="str">
        <f t="shared" si="144"/>
        <v/>
      </c>
      <c r="P1851" t="str">
        <f>IF(O1851=1,COUNTIF($O$2:O1851,1),"")</f>
        <v/>
      </c>
      <c r="Q1851" t="str">
        <f>IFERROR(INDEX($M$2:$M$2388,MATCH(ROWS($P$2:P1851),$P$2:$P$2388,0)),"")</f>
        <v/>
      </c>
    </row>
    <row r="1852" spans="1:17" ht="15" x14ac:dyDescent="0.25">
      <c r="A1852" s="10">
        <v>1887</v>
      </c>
      <c r="B1852" s="10" t="s">
        <v>5876</v>
      </c>
      <c r="C1852" s="880">
        <f t="shared" si="141"/>
        <v>35.893000000000001</v>
      </c>
      <c r="D1852" s="880">
        <f t="shared" si="142"/>
        <v>56.861899999999999</v>
      </c>
      <c r="E1852" s="10">
        <v>35.893054999999997</v>
      </c>
      <c r="F1852" s="10">
        <v>56.861946000000003</v>
      </c>
      <c r="G1852" s="10">
        <v>3</v>
      </c>
      <c r="H1852" s="10" t="s">
        <v>1883</v>
      </c>
      <c r="I1852" s="10" t="s">
        <v>5720</v>
      </c>
      <c r="J1852" s="10" t="s">
        <v>5721</v>
      </c>
      <c r="K1852" s="10" t="s">
        <v>5725</v>
      </c>
      <c r="L1852" s="65" t="str">
        <f t="shared" si="143"/>
        <v>Tver'|Russia|35,893055|56,861946|+3:00 Europe</v>
      </c>
      <c r="M1852" s="10" t="s">
        <v>5877</v>
      </c>
      <c r="N1852" s="10">
        <f t="shared" si="140"/>
        <v>0</v>
      </c>
      <c r="O1852" t="str">
        <f t="shared" si="144"/>
        <v/>
      </c>
      <c r="P1852" t="str">
        <f>IF(O1852=1,COUNTIF($O$2:O1852,1),"")</f>
        <v/>
      </c>
      <c r="Q1852" t="str">
        <f>IFERROR(INDEX($M$2:$M$2388,MATCH(ROWS($P$2:P1852),$P$2:$P$2388,0)),"")</f>
        <v/>
      </c>
    </row>
    <row r="1853" spans="1:17" ht="15" x14ac:dyDescent="0.25">
      <c r="A1853" s="10">
        <v>1942</v>
      </c>
      <c r="B1853" s="10" t="s">
        <v>5878</v>
      </c>
      <c r="C1853" s="880">
        <f t="shared" si="141"/>
        <v>65.527199999999993</v>
      </c>
      <c r="D1853" s="880">
        <f t="shared" si="142"/>
        <v>57.152200000000001</v>
      </c>
      <c r="E1853" s="10">
        <v>65.527221999999995</v>
      </c>
      <c r="F1853" s="10">
        <v>57.152222000000002</v>
      </c>
      <c r="G1853" s="10">
        <v>5</v>
      </c>
      <c r="H1853" s="10" t="s">
        <v>4585</v>
      </c>
      <c r="I1853" s="10" t="s">
        <v>5720</v>
      </c>
      <c r="J1853" s="10" t="s">
        <v>5721</v>
      </c>
      <c r="K1853" s="10" t="s">
        <v>5749</v>
      </c>
      <c r="L1853" s="65" t="str">
        <f t="shared" si="143"/>
        <v>Tyumen'|Russia|65,527222|57,152222|+5:00 Asia</v>
      </c>
      <c r="M1853" s="10" t="s">
        <v>5879</v>
      </c>
      <c r="N1853" s="10">
        <f t="shared" si="140"/>
        <v>0</v>
      </c>
      <c r="O1853" t="str">
        <f t="shared" si="144"/>
        <v/>
      </c>
      <c r="P1853" t="str">
        <f>IF(O1853=1,COUNTIF($O$2:O1853,1),"")</f>
        <v/>
      </c>
      <c r="Q1853" t="str">
        <f>IFERROR(INDEX($M$2:$M$2388,MATCH(ROWS($P$2:P1853),$P$2:$P$2388,0)),"")</f>
        <v/>
      </c>
    </row>
    <row r="1854" spans="1:17" ht="15" x14ac:dyDescent="0.25">
      <c r="A1854" s="10">
        <v>1873</v>
      </c>
      <c r="B1854" s="10" t="s">
        <v>5880</v>
      </c>
      <c r="C1854" s="880">
        <f t="shared" si="141"/>
        <v>34.9925</v>
      </c>
      <c r="D1854" s="880">
        <f t="shared" si="142"/>
        <v>57.879399999999997</v>
      </c>
      <c r="E1854" s="10">
        <v>34.9925</v>
      </c>
      <c r="F1854" s="10">
        <v>57.879443999999999</v>
      </c>
      <c r="G1854" s="10">
        <v>3</v>
      </c>
      <c r="H1854" s="10" t="s">
        <v>1883</v>
      </c>
      <c r="I1854" s="10" t="s">
        <v>5720</v>
      </c>
      <c r="J1854" s="10" t="s">
        <v>5721</v>
      </c>
      <c r="K1854" s="10" t="s">
        <v>5725</v>
      </c>
      <c r="L1854" s="65" t="str">
        <f t="shared" si="143"/>
        <v>Udomlya|Russia|34,992500|57,879444|+3:00 Europe</v>
      </c>
      <c r="M1854" s="10" t="s">
        <v>5881</v>
      </c>
      <c r="N1854" s="10">
        <f t="shared" si="140"/>
        <v>0</v>
      </c>
      <c r="O1854" t="str">
        <f t="shared" si="144"/>
        <v/>
      </c>
      <c r="P1854" t="str">
        <f>IF(O1854=1,COUNTIF($O$2:O1854,1),"")</f>
        <v/>
      </c>
      <c r="Q1854" t="str">
        <f>IFERROR(INDEX($M$2:$M$2388,MATCH(ROWS($P$2:P1854),$P$2:$P$2388,0)),"")</f>
        <v/>
      </c>
    </row>
    <row r="1855" spans="1:17" ht="15" x14ac:dyDescent="0.25">
      <c r="A1855" s="10">
        <v>1886</v>
      </c>
      <c r="B1855" s="10" t="s">
        <v>5882</v>
      </c>
      <c r="C1855" s="880">
        <f t="shared" si="141"/>
        <v>56.037399999999998</v>
      </c>
      <c r="D1855" s="880">
        <f t="shared" si="142"/>
        <v>54.774999999999999</v>
      </c>
      <c r="E1855" s="10">
        <v>56.037497999999999</v>
      </c>
      <c r="F1855" s="10">
        <v>54.775002000000001</v>
      </c>
      <c r="G1855" s="10">
        <v>5</v>
      </c>
      <c r="H1855" s="10" t="s">
        <v>4585</v>
      </c>
      <c r="I1855" s="10" t="s">
        <v>5720</v>
      </c>
      <c r="J1855" s="10" t="s">
        <v>5721</v>
      </c>
      <c r="K1855" s="10" t="s">
        <v>5749</v>
      </c>
      <c r="L1855" s="65" t="str">
        <f t="shared" si="143"/>
        <v>Ufa|Russia|56,037498|54,775002|+5:00 Asia</v>
      </c>
      <c r="M1855" s="10" t="s">
        <v>5883</v>
      </c>
      <c r="N1855" s="10">
        <f t="shared" si="140"/>
        <v>0</v>
      </c>
      <c r="O1855" t="str">
        <f t="shared" si="144"/>
        <v/>
      </c>
      <c r="P1855" t="str">
        <f>IF(O1855=1,COUNTIF($O$2:O1855,1),"")</f>
        <v/>
      </c>
      <c r="Q1855" t="str">
        <f>IFERROR(INDEX($M$2:$M$2388,MATCH(ROWS($P$2:P1855),$P$2:$P$2388,0)),"")</f>
        <v/>
      </c>
    </row>
    <row r="1856" spans="1:17" ht="15" x14ac:dyDescent="0.25">
      <c r="A1856" s="10">
        <v>1956</v>
      </c>
      <c r="B1856" s="10" t="s">
        <v>5884</v>
      </c>
      <c r="C1856" s="880">
        <f t="shared" si="141"/>
        <v>107.61660000000001</v>
      </c>
      <c r="D1856" s="880">
        <f t="shared" si="142"/>
        <v>51.833300000000001</v>
      </c>
      <c r="E1856" s="10">
        <v>107.616669</v>
      </c>
      <c r="F1856" s="10">
        <v>51.833331999999999</v>
      </c>
      <c r="G1856" s="10">
        <v>8</v>
      </c>
      <c r="H1856" s="10" t="s">
        <v>1831</v>
      </c>
      <c r="I1856" s="10" t="s">
        <v>5720</v>
      </c>
      <c r="J1856" s="10" t="s">
        <v>5721</v>
      </c>
      <c r="K1856" s="10" t="s">
        <v>5722</v>
      </c>
      <c r="L1856" s="65" t="str">
        <f t="shared" si="143"/>
        <v>Ulan-Ude|Russia|107,616669|51,833332|+8:00 Asia</v>
      </c>
      <c r="M1856" s="10" t="s">
        <v>5885</v>
      </c>
      <c r="N1856" s="10">
        <f t="shared" si="140"/>
        <v>0</v>
      </c>
      <c r="O1856" t="str">
        <f t="shared" si="144"/>
        <v/>
      </c>
      <c r="P1856" t="str">
        <f>IF(O1856=1,COUNTIF($O$2:O1856,1),"")</f>
        <v/>
      </c>
      <c r="Q1856" t="str">
        <f>IFERROR(INDEX($M$2:$M$2388,MATCH(ROWS($P$2:P1856),$P$2:$P$2388,0)),"")</f>
        <v/>
      </c>
    </row>
    <row r="1857" spans="1:17" ht="15" x14ac:dyDescent="0.25">
      <c r="A1857" s="10">
        <v>1885</v>
      </c>
      <c r="B1857" s="10" t="s">
        <v>5886</v>
      </c>
      <c r="C1857" s="880">
        <f t="shared" si="141"/>
        <v>48.4</v>
      </c>
      <c r="D1857" s="880">
        <f t="shared" si="142"/>
        <v>54.333300000000001</v>
      </c>
      <c r="E1857" s="10">
        <v>48.400002000000001</v>
      </c>
      <c r="F1857" s="10">
        <v>54.333331999999999</v>
      </c>
      <c r="G1857" s="10">
        <v>3</v>
      </c>
      <c r="H1857" s="10" t="s">
        <v>1883</v>
      </c>
      <c r="I1857" s="10" t="s">
        <v>5720</v>
      </c>
      <c r="J1857" s="10" t="s">
        <v>5721</v>
      </c>
      <c r="K1857" s="10" t="s">
        <v>5782</v>
      </c>
      <c r="L1857" s="65" t="str">
        <f t="shared" si="143"/>
        <v>Ul'yanovsk|Russia|48,400002|54,333332|+3:00 Europe</v>
      </c>
      <c r="M1857" s="10" t="s">
        <v>5887</v>
      </c>
      <c r="N1857" s="10">
        <f t="shared" si="140"/>
        <v>0</v>
      </c>
      <c r="O1857" t="str">
        <f t="shared" si="144"/>
        <v/>
      </c>
      <c r="P1857" t="str">
        <f>IF(O1857=1,COUNTIF($O$2:O1857,1),"")</f>
        <v/>
      </c>
      <c r="Q1857" t="str">
        <f>IFERROR(INDEX($M$2:$M$2388,MATCH(ROWS($P$2:P1857),$P$2:$P$2388,0)),"")</f>
        <v/>
      </c>
    </row>
    <row r="1858" spans="1:17" ht="15" x14ac:dyDescent="0.25">
      <c r="A1858" s="10">
        <v>1914</v>
      </c>
      <c r="B1858" s="10" t="s">
        <v>5888</v>
      </c>
      <c r="C1858" s="880">
        <f t="shared" si="141"/>
        <v>31.283300000000001</v>
      </c>
      <c r="D1858" s="880">
        <f t="shared" si="142"/>
        <v>58.516599999999997</v>
      </c>
      <c r="E1858" s="10">
        <v>31.283332999999999</v>
      </c>
      <c r="F1858" s="10">
        <v>58.516666000000001</v>
      </c>
      <c r="G1858" s="10">
        <v>3</v>
      </c>
      <c r="H1858" s="10" t="s">
        <v>1883</v>
      </c>
      <c r="I1858" s="10" t="s">
        <v>5720</v>
      </c>
      <c r="J1858" s="10" t="s">
        <v>5721</v>
      </c>
      <c r="K1858" s="10" t="s">
        <v>5725</v>
      </c>
      <c r="L1858" s="65" t="str">
        <f t="shared" si="143"/>
        <v>Velikiy Novgorod|Russia|31,283333|58,516666|+3:00 Europe</v>
      </c>
      <c r="M1858" s="10" t="s">
        <v>5889</v>
      </c>
      <c r="N1858" s="10">
        <f t="shared" ref="N1858:N1921" si="145">--ISNUMBER(IFERROR(SEARCH($R$2,J1858,1),""))</f>
        <v>0</v>
      </c>
      <c r="O1858" t="str">
        <f t="shared" si="144"/>
        <v/>
      </c>
      <c r="P1858" t="str">
        <f>IF(O1858=1,COUNTIF($O$2:O1858,1),"")</f>
        <v/>
      </c>
      <c r="Q1858" t="str">
        <f>IFERROR(INDEX($M$2:$M$2388,MATCH(ROWS($P$2:P1858),$P$2:$P$2388,0)),"")</f>
        <v/>
      </c>
    </row>
    <row r="1859" spans="1:17" ht="15" x14ac:dyDescent="0.25">
      <c r="A1859" s="10">
        <v>1884</v>
      </c>
      <c r="B1859" s="10" t="s">
        <v>5890</v>
      </c>
      <c r="C1859" s="880">
        <f t="shared" ref="C1859:C1922" si="146">TRUNC(E1859,4)</f>
        <v>44.667700000000004</v>
      </c>
      <c r="D1859" s="880">
        <f t="shared" ref="D1859:D1922" si="147">TRUNC(F1859,4)</f>
        <v>43.0366</v>
      </c>
      <c r="E1859" s="10">
        <v>44.667777999999998</v>
      </c>
      <c r="F1859" s="10">
        <v>43.036667000000001</v>
      </c>
      <c r="G1859" s="10">
        <v>3</v>
      </c>
      <c r="H1859" s="10" t="s">
        <v>1883</v>
      </c>
      <c r="I1859" s="10" t="s">
        <v>5720</v>
      </c>
      <c r="J1859" s="10" t="s">
        <v>5721</v>
      </c>
      <c r="K1859" s="10" t="s">
        <v>5782</v>
      </c>
      <c r="L1859" s="65" t="str">
        <f t="shared" ref="L1859:L1922" si="148">MID(M1859,1,LEN(M1859)-(LEN(K1859)-SEARCH("/",K1859)+1))</f>
        <v>Vladikavkaz|Russia|44,667778|43,036667|+3:00 Europe</v>
      </c>
      <c r="M1859" s="10" t="s">
        <v>5891</v>
      </c>
      <c r="N1859" s="10">
        <f t="shared" si="145"/>
        <v>0</v>
      </c>
      <c r="O1859" t="str">
        <f t="shared" ref="O1859:O1922" si="149">IF(N1859=0,"",--ISNUMBER(IFERROR(SEARCH($U$2,L1859,1),"")))</f>
        <v/>
      </c>
      <c r="P1859" t="str">
        <f>IF(O1859=1,COUNTIF($O$2:O1859,1),"")</f>
        <v/>
      </c>
      <c r="Q1859" t="str">
        <f>IFERROR(INDEX($M$2:$M$2388,MATCH(ROWS($P$2:P1859),$P$2:$P$2388,0)),"")</f>
        <v/>
      </c>
    </row>
    <row r="1860" spans="1:17" ht="15" x14ac:dyDescent="0.25">
      <c r="A1860" s="10">
        <v>1883</v>
      </c>
      <c r="B1860" s="10" t="s">
        <v>5892</v>
      </c>
      <c r="C1860" s="880">
        <f t="shared" si="146"/>
        <v>40.398000000000003</v>
      </c>
      <c r="D1860" s="880">
        <f t="shared" si="147"/>
        <v>56.142699999999998</v>
      </c>
      <c r="E1860" s="10">
        <v>40.398055999999997</v>
      </c>
      <c r="F1860" s="10">
        <v>56.142775999999998</v>
      </c>
      <c r="G1860" s="10">
        <v>3</v>
      </c>
      <c r="H1860" s="10" t="s">
        <v>1883</v>
      </c>
      <c r="I1860" s="10" t="s">
        <v>5720</v>
      </c>
      <c r="J1860" s="10" t="s">
        <v>5721</v>
      </c>
      <c r="K1860" s="10" t="s">
        <v>5725</v>
      </c>
      <c r="L1860" s="65" t="str">
        <f t="shared" si="148"/>
        <v>Vladimir|Russia|40,398056|56,142776|+3:00 Europe</v>
      </c>
      <c r="M1860" s="10" t="s">
        <v>5893</v>
      </c>
      <c r="N1860" s="10">
        <f t="shared" si="145"/>
        <v>0</v>
      </c>
      <c r="O1860" t="str">
        <f t="shared" si="149"/>
        <v/>
      </c>
      <c r="P1860" t="str">
        <f>IF(O1860=1,COUNTIF($O$2:O1860,1),"")</f>
        <v/>
      </c>
      <c r="Q1860" t="str">
        <f>IFERROR(INDEX($M$2:$M$2388,MATCH(ROWS($P$2:P1860),$P$2:$P$2388,0)),"")</f>
        <v/>
      </c>
    </row>
    <row r="1861" spans="1:17" ht="15" x14ac:dyDescent="0.25">
      <c r="A1861" s="10">
        <v>1955</v>
      </c>
      <c r="B1861" s="10" t="s">
        <v>5894</v>
      </c>
      <c r="C1861" s="880">
        <f t="shared" si="146"/>
        <v>131.87350000000001</v>
      </c>
      <c r="D1861" s="880">
        <f t="shared" si="147"/>
        <v>43.105600000000003</v>
      </c>
      <c r="E1861" s="10">
        <v>131.873535</v>
      </c>
      <c r="F1861" s="10">
        <v>43.105620999999999</v>
      </c>
      <c r="G1861" s="10">
        <v>10</v>
      </c>
      <c r="H1861" s="10" t="s">
        <v>1817</v>
      </c>
      <c r="I1861" s="10" t="s">
        <v>5720</v>
      </c>
      <c r="J1861" s="10" t="s">
        <v>5721</v>
      </c>
      <c r="K1861" s="10" t="s">
        <v>5895</v>
      </c>
      <c r="L1861" s="65" t="str">
        <f t="shared" si="148"/>
        <v>Vladivostok|Russia|131,873535|43,105621|+10:00 Asia</v>
      </c>
      <c r="M1861" s="10" t="s">
        <v>5896</v>
      </c>
      <c r="N1861" s="10">
        <f t="shared" si="145"/>
        <v>0</v>
      </c>
      <c r="O1861" t="str">
        <f t="shared" si="149"/>
        <v/>
      </c>
      <c r="P1861" t="str">
        <f>IF(O1861=1,COUNTIF($O$2:O1861,1),"")</f>
        <v/>
      </c>
      <c r="Q1861" t="str">
        <f>IFERROR(INDEX($M$2:$M$2388,MATCH(ROWS($P$2:P1861),$P$2:$P$2388,0)),"")</f>
        <v/>
      </c>
    </row>
    <row r="1862" spans="1:17" ht="15" x14ac:dyDescent="0.25">
      <c r="A1862" s="10">
        <v>1882</v>
      </c>
      <c r="B1862" s="10" t="s">
        <v>5897</v>
      </c>
      <c r="C1862" s="880">
        <f t="shared" si="146"/>
        <v>44.585799999999999</v>
      </c>
      <c r="D1862" s="880">
        <f t="shared" si="147"/>
        <v>48.804699999999997</v>
      </c>
      <c r="E1862" s="10">
        <v>44.585835000000003</v>
      </c>
      <c r="F1862" s="10">
        <v>48.804721999999998</v>
      </c>
      <c r="G1862" s="10">
        <v>4</v>
      </c>
      <c r="H1862" s="10" t="s">
        <v>1794</v>
      </c>
      <c r="I1862" s="10" t="s">
        <v>5720</v>
      </c>
      <c r="J1862" s="10" t="s">
        <v>5721</v>
      </c>
      <c r="K1862" s="10" t="s">
        <v>5728</v>
      </c>
      <c r="L1862" s="65" t="str">
        <f t="shared" si="148"/>
        <v>Volgograd|Russia|44,585835|48,804722|+4:00 Europe</v>
      </c>
      <c r="M1862" s="10" t="s">
        <v>5898</v>
      </c>
      <c r="N1862" s="10">
        <f t="shared" si="145"/>
        <v>0</v>
      </c>
      <c r="O1862" t="str">
        <f t="shared" si="149"/>
        <v/>
      </c>
      <c r="P1862" t="str">
        <f>IF(O1862=1,COUNTIF($O$2:O1862,1),"")</f>
        <v/>
      </c>
      <c r="Q1862" t="str">
        <f>IFERROR(INDEX($M$2:$M$2388,MATCH(ROWS($P$2:P1862),$P$2:$P$2388,0)),"")</f>
        <v/>
      </c>
    </row>
    <row r="1863" spans="1:17" ht="15" x14ac:dyDescent="0.25">
      <c r="A1863" s="10">
        <v>1881</v>
      </c>
      <c r="B1863" s="10" t="s">
        <v>5899</v>
      </c>
      <c r="C1863" s="880">
        <f t="shared" si="146"/>
        <v>39.9</v>
      </c>
      <c r="D1863" s="880">
        <f t="shared" si="147"/>
        <v>59.2166</v>
      </c>
      <c r="E1863" s="10">
        <v>39.900002000000001</v>
      </c>
      <c r="F1863" s="10">
        <v>59.216667000000001</v>
      </c>
      <c r="G1863" s="10">
        <v>3</v>
      </c>
      <c r="H1863" s="10" t="s">
        <v>1883</v>
      </c>
      <c r="I1863" s="10" t="s">
        <v>5720</v>
      </c>
      <c r="J1863" s="10" t="s">
        <v>5721</v>
      </c>
      <c r="K1863" s="10" t="s">
        <v>5725</v>
      </c>
      <c r="L1863" s="65" t="str">
        <f t="shared" si="148"/>
        <v>Vologda|Russia|39,900002|59,216667|+3:00 Europe</v>
      </c>
      <c r="M1863" s="10" t="s">
        <v>5900</v>
      </c>
      <c r="N1863" s="10">
        <f t="shared" si="145"/>
        <v>0</v>
      </c>
      <c r="O1863" t="str">
        <f t="shared" si="149"/>
        <v/>
      </c>
      <c r="P1863" t="str">
        <f>IF(O1863=1,COUNTIF($O$2:O1863,1),"")</f>
        <v/>
      </c>
      <c r="Q1863" t="str">
        <f>IFERROR(INDEX($M$2:$M$2388,MATCH(ROWS($P$2:P1863),$P$2:$P$2388,0)),"")</f>
        <v/>
      </c>
    </row>
    <row r="1864" spans="1:17" ht="15" x14ac:dyDescent="0.25">
      <c r="A1864" s="10">
        <v>1880</v>
      </c>
      <c r="B1864" s="10" t="s">
        <v>5901</v>
      </c>
      <c r="C1864" s="880">
        <f t="shared" si="146"/>
        <v>44.771599999999999</v>
      </c>
      <c r="D1864" s="880">
        <f t="shared" si="147"/>
        <v>48.790500000000002</v>
      </c>
      <c r="E1864" s="10">
        <v>44.771667000000001</v>
      </c>
      <c r="F1864" s="10">
        <v>48.790554</v>
      </c>
      <c r="G1864" s="10">
        <v>4</v>
      </c>
      <c r="H1864" s="10" t="s">
        <v>1794</v>
      </c>
      <c r="I1864" s="10" t="s">
        <v>5720</v>
      </c>
      <c r="J1864" s="10" t="s">
        <v>5721</v>
      </c>
      <c r="K1864" s="10" t="s">
        <v>5728</v>
      </c>
      <c r="L1864" s="65" t="str">
        <f t="shared" si="148"/>
        <v>Volzhskiy|Russia|44,771667|48,790554|+4:00 Europe</v>
      </c>
      <c r="M1864" s="10" t="s">
        <v>5902</v>
      </c>
      <c r="N1864" s="10">
        <f t="shared" si="145"/>
        <v>0</v>
      </c>
      <c r="O1864" t="str">
        <f t="shared" si="149"/>
        <v/>
      </c>
      <c r="P1864" t="str">
        <f>IF(O1864=1,COUNTIF($O$2:O1864,1),"")</f>
        <v/>
      </c>
      <c r="Q1864" t="str">
        <f>IFERROR(INDEX($M$2:$M$2388,MATCH(ROWS($P$2:P1864),$P$2:$P$2388,0)),"")</f>
        <v/>
      </c>
    </row>
    <row r="1865" spans="1:17" ht="15" x14ac:dyDescent="0.25">
      <c r="A1865" s="10">
        <v>1879</v>
      </c>
      <c r="B1865" s="10" t="s">
        <v>5903</v>
      </c>
      <c r="C1865" s="880">
        <f t="shared" si="146"/>
        <v>39.169899999999998</v>
      </c>
      <c r="D1865" s="880">
        <f t="shared" si="147"/>
        <v>51.6663</v>
      </c>
      <c r="E1865" s="10">
        <v>39.169998</v>
      </c>
      <c r="F1865" s="10">
        <v>51.666389000000002</v>
      </c>
      <c r="G1865" s="10">
        <v>3</v>
      </c>
      <c r="H1865" s="10" t="s">
        <v>1883</v>
      </c>
      <c r="I1865" s="10" t="s">
        <v>5720</v>
      </c>
      <c r="J1865" s="10" t="s">
        <v>5721</v>
      </c>
      <c r="K1865" s="10" t="s">
        <v>5725</v>
      </c>
      <c r="L1865" s="65" t="str">
        <f t="shared" si="148"/>
        <v>Voronezh|Russia|39,169998|51,666389|+3:00 Europe</v>
      </c>
      <c r="M1865" s="10" t="s">
        <v>5904</v>
      </c>
      <c r="N1865" s="10">
        <f t="shared" si="145"/>
        <v>0</v>
      </c>
      <c r="O1865" t="str">
        <f t="shared" si="149"/>
        <v/>
      </c>
      <c r="P1865" t="str">
        <f>IF(O1865=1,COUNTIF($O$2:O1865,1),"")</f>
        <v/>
      </c>
      <c r="Q1865" t="str">
        <f>IFERROR(INDEX($M$2:$M$2388,MATCH(ROWS($P$2:P1865),$P$2:$P$2388,0)),"")</f>
        <v/>
      </c>
    </row>
    <row r="1866" spans="1:17" ht="15" x14ac:dyDescent="0.25">
      <c r="A1866" s="10">
        <v>1878</v>
      </c>
      <c r="B1866" s="10" t="s">
        <v>5905</v>
      </c>
      <c r="C1866" s="880">
        <f t="shared" si="146"/>
        <v>39.866599999999998</v>
      </c>
      <c r="D1866" s="880">
        <f t="shared" si="147"/>
        <v>57.616599999999998</v>
      </c>
      <c r="E1866" s="10">
        <v>39.866664999999998</v>
      </c>
      <c r="F1866" s="10">
        <v>57.616664999999998</v>
      </c>
      <c r="G1866" s="10">
        <v>3</v>
      </c>
      <c r="H1866" s="10" t="s">
        <v>1883</v>
      </c>
      <c r="I1866" s="10" t="s">
        <v>5720</v>
      </c>
      <c r="J1866" s="10" t="s">
        <v>5721</v>
      </c>
      <c r="K1866" s="10" t="s">
        <v>5725</v>
      </c>
      <c r="L1866" s="65" t="str">
        <f t="shared" si="148"/>
        <v>Yaroslavl'|Russia|39,866665|57,616665|+3:00 Europe</v>
      </c>
      <c r="M1866" s="10" t="s">
        <v>5906</v>
      </c>
      <c r="N1866" s="10">
        <f t="shared" si="145"/>
        <v>0</v>
      </c>
      <c r="O1866" t="str">
        <f t="shared" si="149"/>
        <v/>
      </c>
      <c r="P1866" t="str">
        <f>IF(O1866=1,COUNTIF($O$2:O1866,1),"")</f>
        <v/>
      </c>
      <c r="Q1866" t="str">
        <f>IFERROR(INDEX($M$2:$M$2388,MATCH(ROWS($P$2:P1866),$P$2:$P$2388,0)),"")</f>
        <v/>
      </c>
    </row>
    <row r="1867" spans="1:17" ht="15" x14ac:dyDescent="0.25">
      <c r="A1867" s="10">
        <v>1941</v>
      </c>
      <c r="B1867" s="10" t="s">
        <v>5907</v>
      </c>
      <c r="C1867" s="880">
        <f t="shared" si="146"/>
        <v>60.612400000000001</v>
      </c>
      <c r="D1867" s="880">
        <f t="shared" si="147"/>
        <v>56.857399999999998</v>
      </c>
      <c r="E1867" s="10">
        <v>60.612499</v>
      </c>
      <c r="F1867" s="10">
        <v>56.857498</v>
      </c>
      <c r="G1867" s="10">
        <v>5</v>
      </c>
      <c r="H1867" s="10" t="s">
        <v>4585</v>
      </c>
      <c r="I1867" s="10" t="s">
        <v>5720</v>
      </c>
      <c r="J1867" s="10" t="s">
        <v>5721</v>
      </c>
      <c r="K1867" s="10" t="s">
        <v>5749</v>
      </c>
      <c r="L1867" s="65" t="str">
        <f t="shared" si="148"/>
        <v>Yekaterinburg|Russia|60,612499|56,857498|+5:00 Asia</v>
      </c>
      <c r="M1867" s="10" t="s">
        <v>5908</v>
      </c>
      <c r="N1867" s="10">
        <f t="shared" si="145"/>
        <v>0</v>
      </c>
      <c r="O1867" t="str">
        <f t="shared" si="149"/>
        <v/>
      </c>
      <c r="P1867" t="str">
        <f>IF(O1867=1,COUNTIF($O$2:O1867,1),"")</f>
        <v/>
      </c>
      <c r="Q1867" t="str">
        <f>IFERROR(INDEX($M$2:$M$2388,MATCH(ROWS($P$2:P1867),$P$2:$P$2388,0)),"")</f>
        <v/>
      </c>
    </row>
    <row r="1868" spans="1:17" ht="15" x14ac:dyDescent="0.25">
      <c r="A1868" s="10">
        <v>1877</v>
      </c>
      <c r="B1868" s="10" t="s">
        <v>5909</v>
      </c>
      <c r="C1868" s="880">
        <f t="shared" si="146"/>
        <v>47.890700000000002</v>
      </c>
      <c r="D1868" s="880">
        <f t="shared" si="147"/>
        <v>56.6387</v>
      </c>
      <c r="E1868" s="10">
        <v>47.890777999999997</v>
      </c>
      <c r="F1868" s="10">
        <v>56.638767000000001</v>
      </c>
      <c r="G1868" s="10">
        <v>3</v>
      </c>
      <c r="H1868" s="10" t="s">
        <v>1883</v>
      </c>
      <c r="I1868" s="10" t="s">
        <v>5720</v>
      </c>
      <c r="J1868" s="10" t="s">
        <v>5721</v>
      </c>
      <c r="K1868" s="10" t="s">
        <v>5725</v>
      </c>
      <c r="L1868" s="65" t="str">
        <f t="shared" si="148"/>
        <v>Yoshkar-Ola|Russia|47,890778|56,638767|+3:00 Europe</v>
      </c>
      <c r="M1868" s="10" t="s">
        <v>5910</v>
      </c>
      <c r="N1868" s="10">
        <f t="shared" si="145"/>
        <v>0</v>
      </c>
      <c r="O1868" t="str">
        <f t="shared" si="149"/>
        <v/>
      </c>
      <c r="P1868" t="str">
        <f>IF(O1868=1,COUNTIF($O$2:O1868,1),"")</f>
        <v/>
      </c>
      <c r="Q1868" t="str">
        <f>IFERROR(INDEX($M$2:$M$2388,MATCH(ROWS($P$2:P1868),$P$2:$P$2388,0)),"")</f>
        <v/>
      </c>
    </row>
    <row r="1869" spans="1:17" ht="15" x14ac:dyDescent="0.25">
      <c r="A1869" s="10">
        <v>1876</v>
      </c>
      <c r="B1869" s="10" t="s">
        <v>5911</v>
      </c>
      <c r="C1869" s="880">
        <f t="shared" si="146"/>
        <v>37.1813</v>
      </c>
      <c r="D1869" s="880">
        <f t="shared" si="147"/>
        <v>55.982399999999998</v>
      </c>
      <c r="E1869" s="10">
        <v>37.181389000000003</v>
      </c>
      <c r="F1869" s="10">
        <v>55.982498</v>
      </c>
      <c r="G1869" s="10">
        <v>3</v>
      </c>
      <c r="H1869" s="10" t="s">
        <v>1883</v>
      </c>
      <c r="I1869" s="10" t="s">
        <v>5720</v>
      </c>
      <c r="J1869" s="10" t="s">
        <v>5721</v>
      </c>
      <c r="K1869" s="10" t="s">
        <v>5725</v>
      </c>
      <c r="L1869" s="65" t="str">
        <f t="shared" si="148"/>
        <v>Zelenograd|Russia|37,181389|55,982498|+3:00 Europe</v>
      </c>
      <c r="M1869" s="10" t="s">
        <v>5912</v>
      </c>
      <c r="N1869" s="10">
        <f t="shared" si="145"/>
        <v>0</v>
      </c>
      <c r="O1869" t="str">
        <f t="shared" si="149"/>
        <v/>
      </c>
      <c r="P1869" t="str">
        <f>IF(O1869=1,COUNTIF($O$2:O1869,1),"")</f>
        <v/>
      </c>
      <c r="Q1869" t="str">
        <f>IFERROR(INDEX($M$2:$M$2388,MATCH(ROWS($P$2:P1869),$P$2:$P$2388,0)),"")</f>
        <v/>
      </c>
    </row>
    <row r="1870" spans="1:17" ht="15" x14ac:dyDescent="0.25">
      <c r="A1870" s="10">
        <v>1966</v>
      </c>
      <c r="B1870" s="10" t="s">
        <v>5913</v>
      </c>
      <c r="C1870" s="880">
        <f t="shared" si="146"/>
        <v>30.060500000000001</v>
      </c>
      <c r="D1870" s="880">
        <f t="shared" si="147"/>
        <v>-1.9536</v>
      </c>
      <c r="E1870" s="10">
        <v>30.060555999999998</v>
      </c>
      <c r="F1870" s="10">
        <v>-1.953611</v>
      </c>
      <c r="G1870" s="10">
        <v>2</v>
      </c>
      <c r="H1870" s="10" t="s">
        <v>1938</v>
      </c>
      <c r="I1870" s="10" t="s">
        <v>5914</v>
      </c>
      <c r="J1870" s="10" t="s">
        <v>5915</v>
      </c>
      <c r="K1870" s="10" t="s">
        <v>5916</v>
      </c>
      <c r="L1870" s="65" t="str">
        <f t="shared" si="148"/>
        <v>Kigali|Rwanda|30,060556|-1,953611|+2:00 Africa</v>
      </c>
      <c r="M1870" s="10" t="s">
        <v>5917</v>
      </c>
      <c r="N1870" s="10">
        <f t="shared" si="145"/>
        <v>0</v>
      </c>
      <c r="O1870" t="str">
        <f t="shared" si="149"/>
        <v/>
      </c>
      <c r="P1870" t="str">
        <f>IF(O1870=1,COUNTIF($O$2:O1870,1),"")</f>
        <v/>
      </c>
      <c r="Q1870" t="str">
        <f>IFERROR(INDEX($M$2:$M$2388,MATCH(ROWS($P$2:P1870),$P$2:$P$2388,0)),"")</f>
        <v/>
      </c>
    </row>
    <row r="1871" spans="1:17" ht="15" x14ac:dyDescent="0.25">
      <c r="A1871" s="10">
        <v>1965</v>
      </c>
      <c r="B1871" s="10" t="s">
        <v>5918</v>
      </c>
      <c r="C1871" s="880">
        <f t="shared" si="146"/>
        <v>29.566600000000001</v>
      </c>
      <c r="D1871" s="880">
        <f t="shared" si="147"/>
        <v>-2.4832999999999998</v>
      </c>
      <c r="E1871" s="10">
        <v>29.566668</v>
      </c>
      <c r="F1871" s="10">
        <v>-2.483333</v>
      </c>
      <c r="G1871" s="10">
        <v>2</v>
      </c>
      <c r="H1871" s="10" t="s">
        <v>1938</v>
      </c>
      <c r="I1871" s="10" t="s">
        <v>5914</v>
      </c>
      <c r="J1871" s="10" t="s">
        <v>5915</v>
      </c>
      <c r="K1871" s="10" t="s">
        <v>5916</v>
      </c>
      <c r="L1871" s="65" t="str">
        <f t="shared" si="148"/>
        <v>Nzega|Rwanda|29,566668|-2,483333|+2:00 Africa</v>
      </c>
      <c r="M1871" s="10" t="s">
        <v>5919</v>
      </c>
      <c r="N1871" s="10">
        <f t="shared" si="145"/>
        <v>0</v>
      </c>
      <c r="O1871" t="str">
        <f t="shared" si="149"/>
        <v/>
      </c>
      <c r="P1871" t="str">
        <f>IF(O1871=1,COUNTIF($O$2:O1871,1),"")</f>
        <v/>
      </c>
      <c r="Q1871" t="str">
        <f>IFERROR(INDEX($M$2:$M$2388,MATCH(ROWS($P$2:P1871),$P$2:$P$2388,0)),"")</f>
        <v/>
      </c>
    </row>
    <row r="1872" spans="1:17" ht="15" x14ac:dyDescent="0.25">
      <c r="A1872" s="10">
        <v>1964</v>
      </c>
      <c r="B1872" s="10" t="s">
        <v>5920</v>
      </c>
      <c r="C1872" s="880">
        <f t="shared" si="146"/>
        <v>29.6358</v>
      </c>
      <c r="D1872" s="880">
        <f t="shared" si="147"/>
        <v>-1.5041</v>
      </c>
      <c r="E1872" s="10">
        <v>29.635833999999999</v>
      </c>
      <c r="F1872" s="10">
        <v>-1.504167</v>
      </c>
      <c r="G1872" s="10">
        <v>2</v>
      </c>
      <c r="H1872" s="10" t="s">
        <v>1938</v>
      </c>
      <c r="I1872" s="10" t="s">
        <v>5914</v>
      </c>
      <c r="J1872" s="10" t="s">
        <v>5915</v>
      </c>
      <c r="K1872" s="10" t="s">
        <v>5916</v>
      </c>
      <c r="L1872" s="65" t="str">
        <f t="shared" si="148"/>
        <v>Ruhengeri|Rwanda|29,635834|-1,504167|+2:00 Africa</v>
      </c>
      <c r="M1872" s="10" t="s">
        <v>5921</v>
      </c>
      <c r="N1872" s="10">
        <f t="shared" si="145"/>
        <v>0</v>
      </c>
      <c r="O1872" t="str">
        <f t="shared" si="149"/>
        <v/>
      </c>
      <c r="P1872" t="str">
        <f>IF(O1872=1,COUNTIF($O$2:O1872,1),"")</f>
        <v/>
      </c>
      <c r="Q1872" t="str">
        <f>IFERROR(INDEX($M$2:$M$2388,MATCH(ROWS($P$2:P1872),$P$2:$P$2388,0)),"")</f>
        <v/>
      </c>
    </row>
    <row r="1873" spans="1:17" ht="15" x14ac:dyDescent="0.25">
      <c r="A1873" s="10">
        <v>1354</v>
      </c>
      <c r="B1873" s="10" t="s">
        <v>5922</v>
      </c>
      <c r="C1873" s="880">
        <f t="shared" si="146"/>
        <v>-62.7166</v>
      </c>
      <c r="D1873" s="880">
        <f t="shared" si="147"/>
        <v>17.299900000000001</v>
      </c>
      <c r="E1873" s="10">
        <v>-62.716667000000001</v>
      </c>
      <c r="F1873" s="10">
        <v>17.299999</v>
      </c>
      <c r="G1873" s="10">
        <v>-4</v>
      </c>
      <c r="H1873" s="10" t="s">
        <v>1733</v>
      </c>
      <c r="I1873" s="10" t="s">
        <v>5923</v>
      </c>
      <c r="J1873" s="10" t="s">
        <v>5924</v>
      </c>
      <c r="K1873" s="10" t="s">
        <v>5925</v>
      </c>
      <c r="L1873" s="65" t="str">
        <f t="shared" si="148"/>
        <v>Basseterre|Saint Kitts and Nevis|-62,716667|17,299999|-4:00 America</v>
      </c>
      <c r="M1873" s="10" t="s">
        <v>5926</v>
      </c>
      <c r="N1873" s="10">
        <f t="shared" si="145"/>
        <v>0</v>
      </c>
      <c r="O1873" t="str">
        <f t="shared" si="149"/>
        <v/>
      </c>
      <c r="P1873" t="str">
        <f>IF(O1873=1,COUNTIF($O$2:O1873,1),"")</f>
        <v/>
      </c>
      <c r="Q1873" t="str">
        <f>IFERROR(INDEX($M$2:$M$2388,MATCH(ROWS($P$2:P1873),$P$2:$P$2388,0)),"")</f>
        <v/>
      </c>
    </row>
    <row r="1874" spans="1:17" ht="15" x14ac:dyDescent="0.25">
      <c r="A1874" s="10">
        <v>1426</v>
      </c>
      <c r="B1874" s="10" t="s">
        <v>5927</v>
      </c>
      <c r="C1874" s="880">
        <f t="shared" si="146"/>
        <v>-60.9666</v>
      </c>
      <c r="D1874" s="880">
        <f t="shared" si="147"/>
        <v>14.0166</v>
      </c>
      <c r="E1874" s="10">
        <v>-60.966667000000001</v>
      </c>
      <c r="F1874" s="10">
        <v>14.016666000000001</v>
      </c>
      <c r="G1874" s="10">
        <v>-4</v>
      </c>
      <c r="H1874" s="10" t="s">
        <v>1733</v>
      </c>
      <c r="I1874" s="10" t="s">
        <v>5928</v>
      </c>
      <c r="J1874" s="10" t="s">
        <v>5929</v>
      </c>
      <c r="K1874" s="10" t="s">
        <v>5930</v>
      </c>
      <c r="L1874" s="65" t="str">
        <f t="shared" si="148"/>
        <v>Bisee|Saint Lucia|-60,966667|14,016666|-4:00 America</v>
      </c>
      <c r="M1874" s="10" t="s">
        <v>5931</v>
      </c>
      <c r="N1874" s="10">
        <f t="shared" si="145"/>
        <v>0</v>
      </c>
      <c r="O1874" t="str">
        <f t="shared" si="149"/>
        <v/>
      </c>
      <c r="P1874" t="str">
        <f>IF(O1874=1,COUNTIF($O$2:O1874,1),"")</f>
        <v/>
      </c>
      <c r="Q1874" t="str">
        <f>IFERROR(INDEX($M$2:$M$2388,MATCH(ROWS($P$2:P1874),$P$2:$P$2388,0)),"")</f>
        <v/>
      </c>
    </row>
    <row r="1875" spans="1:17" ht="15" x14ac:dyDescent="0.25">
      <c r="A1875" s="10">
        <v>2299</v>
      </c>
      <c r="B1875" s="10" t="s">
        <v>5932</v>
      </c>
      <c r="C1875" s="880">
        <f t="shared" si="146"/>
        <v>-61.234999999999999</v>
      </c>
      <c r="D1875" s="880">
        <f t="shared" si="147"/>
        <v>13.158300000000001</v>
      </c>
      <c r="E1875" s="10">
        <v>-61.235000999999997</v>
      </c>
      <c r="F1875" s="10">
        <v>13.158333000000001</v>
      </c>
      <c r="G1875" s="10">
        <v>-4</v>
      </c>
      <c r="H1875" s="10" t="s">
        <v>1733</v>
      </c>
      <c r="I1875" s="10" t="s">
        <v>5933</v>
      </c>
      <c r="J1875" s="10" t="s">
        <v>5934</v>
      </c>
      <c r="K1875" s="10" t="s">
        <v>5935</v>
      </c>
      <c r="L1875" s="65" t="str">
        <f t="shared" si="148"/>
        <v>Kingstown Park|Saint Vincent|-61,235001|13,158333|-4:00 America</v>
      </c>
      <c r="M1875" s="10" t="s">
        <v>5936</v>
      </c>
      <c r="N1875" s="10">
        <f t="shared" si="145"/>
        <v>0</v>
      </c>
      <c r="O1875" t="str">
        <f t="shared" si="149"/>
        <v/>
      </c>
      <c r="P1875" t="str">
        <f>IF(O1875=1,COUNTIF($O$2:O1875,1),"")</f>
        <v/>
      </c>
      <c r="Q1875" t="str">
        <f>IFERROR(INDEX($M$2:$M$2388,MATCH(ROWS($P$2:P1875),$P$2:$P$2388,0)),"")</f>
        <v/>
      </c>
    </row>
    <row r="1876" spans="1:17" ht="15" x14ac:dyDescent="0.25">
      <c r="A1876" s="10">
        <v>2335</v>
      </c>
      <c r="B1876" s="10" t="s">
        <v>5937</v>
      </c>
      <c r="C1876" s="880">
        <f t="shared" si="146"/>
        <v>-171.73330000000001</v>
      </c>
      <c r="D1876" s="880">
        <f t="shared" si="147"/>
        <v>-13.833299999999999</v>
      </c>
      <c r="E1876" s="10">
        <v>-171.73333700000001</v>
      </c>
      <c r="F1876" s="10">
        <v>-13.833333</v>
      </c>
      <c r="G1876" s="10">
        <v>-11</v>
      </c>
      <c r="H1876" s="10" t="s">
        <v>1703</v>
      </c>
      <c r="I1876" s="10" t="s">
        <v>5938</v>
      </c>
      <c r="J1876" s="10" t="s">
        <v>5939</v>
      </c>
      <c r="K1876" s="10" t="s">
        <v>5940</v>
      </c>
      <c r="L1876" s="65" t="str">
        <f t="shared" si="148"/>
        <v>Apia|Samoa|-171,733337|-13,833333|-11:00 Pacific</v>
      </c>
      <c r="M1876" s="10" t="s">
        <v>5941</v>
      </c>
      <c r="N1876" s="10">
        <f t="shared" si="145"/>
        <v>0</v>
      </c>
      <c r="O1876" t="str">
        <f t="shared" si="149"/>
        <v/>
      </c>
      <c r="P1876" t="str">
        <f>IF(O1876=1,COUNTIF($O$2:O1876,1),"")</f>
        <v/>
      </c>
      <c r="Q1876" t="str">
        <f>IFERROR(INDEX($M$2:$M$2388,MATCH(ROWS($P$2:P1876),$P$2:$P$2388,0)),"")</f>
        <v/>
      </c>
    </row>
    <row r="1877" spans="1:17" ht="15" x14ac:dyDescent="0.25">
      <c r="A1877" s="10">
        <v>2334</v>
      </c>
      <c r="B1877" s="10" t="s">
        <v>5942</v>
      </c>
      <c r="C1877" s="880">
        <f t="shared" si="146"/>
        <v>-171.7833</v>
      </c>
      <c r="D1877" s="880">
        <f t="shared" si="147"/>
        <v>-13.816599999999999</v>
      </c>
      <c r="E1877" s="10">
        <v>-171.78334000000001</v>
      </c>
      <c r="F1877" s="10">
        <v>-13.816667000000001</v>
      </c>
      <c r="G1877" s="10">
        <v>-11</v>
      </c>
      <c r="H1877" s="10" t="s">
        <v>1703</v>
      </c>
      <c r="I1877" s="10" t="s">
        <v>5938</v>
      </c>
      <c r="J1877" s="10" t="s">
        <v>5939</v>
      </c>
      <c r="K1877" s="10" t="s">
        <v>5940</v>
      </c>
      <c r="L1877" s="65" t="str">
        <f t="shared" si="148"/>
        <v>Vaitele|Samoa|-171,783340|-13,816667|-11:00 Pacific</v>
      </c>
      <c r="M1877" s="10" t="s">
        <v>5943</v>
      </c>
      <c r="N1877" s="10">
        <f t="shared" si="145"/>
        <v>0</v>
      </c>
      <c r="O1877" t="str">
        <f t="shared" si="149"/>
        <v/>
      </c>
      <c r="P1877" t="str">
        <f>IF(O1877=1,COUNTIF($O$2:O1877,1),"")</f>
        <v/>
      </c>
      <c r="Q1877" t="str">
        <f>IFERROR(INDEX($M$2:$M$2388,MATCH(ROWS($P$2:P1877),$P$2:$P$2388,0)),"")</f>
        <v/>
      </c>
    </row>
    <row r="1878" spans="1:17" ht="15" x14ac:dyDescent="0.25">
      <c r="A1878" s="10">
        <v>2019</v>
      </c>
      <c r="B1878" s="10" t="s">
        <v>5944</v>
      </c>
      <c r="C1878" s="880">
        <f t="shared" si="146"/>
        <v>12.416600000000001</v>
      </c>
      <c r="D1878" s="880">
        <f t="shared" si="147"/>
        <v>43.95</v>
      </c>
      <c r="E1878" s="10">
        <v>12.416667</v>
      </c>
      <c r="F1878" s="10">
        <v>43.950001</v>
      </c>
      <c r="G1878" s="10">
        <v>1</v>
      </c>
      <c r="H1878" s="10" t="s">
        <v>1670</v>
      </c>
      <c r="I1878" s="10" t="s">
        <v>5945</v>
      </c>
      <c r="J1878" s="10" t="s">
        <v>5946</v>
      </c>
      <c r="K1878" s="10" t="s">
        <v>5947</v>
      </c>
      <c r="L1878" s="65" t="str">
        <f t="shared" si="148"/>
        <v>Acquaviva|San Marino|12,416667|43,950001|+1:00 Europe</v>
      </c>
      <c r="M1878" s="10" t="s">
        <v>5948</v>
      </c>
      <c r="N1878" s="10">
        <f t="shared" si="145"/>
        <v>0</v>
      </c>
      <c r="O1878" t="str">
        <f t="shared" si="149"/>
        <v/>
      </c>
      <c r="P1878" t="str">
        <f>IF(O1878=1,COUNTIF($O$2:O1878,1),"")</f>
        <v/>
      </c>
      <c r="Q1878" t="str">
        <f>IFERROR(INDEX($M$2:$M$2388,MATCH(ROWS($P$2:P1878),$P$2:$P$2388,0)),"")</f>
        <v/>
      </c>
    </row>
    <row r="1879" spans="1:17" ht="15" x14ac:dyDescent="0.25">
      <c r="A1879" s="10">
        <v>2018</v>
      </c>
      <c r="B1879" s="10" t="s">
        <v>5949</v>
      </c>
      <c r="C1879" s="880">
        <f t="shared" si="146"/>
        <v>12.5</v>
      </c>
      <c r="D1879" s="880">
        <f t="shared" si="147"/>
        <v>43.95</v>
      </c>
      <c r="E1879" s="10">
        <v>12.5</v>
      </c>
      <c r="F1879" s="10">
        <v>43.950001</v>
      </c>
      <c r="G1879" s="10">
        <v>1</v>
      </c>
      <c r="H1879" s="10" t="s">
        <v>1670</v>
      </c>
      <c r="I1879" s="10" t="s">
        <v>5945</v>
      </c>
      <c r="J1879" s="10" t="s">
        <v>5946</v>
      </c>
      <c r="K1879" s="10" t="s">
        <v>5947</v>
      </c>
      <c r="L1879" s="65" t="str">
        <f t="shared" si="148"/>
        <v>Serravalle|San Marino|12,500000|43,950001|+1:00 Europe</v>
      </c>
      <c r="M1879" s="10" t="s">
        <v>5950</v>
      </c>
      <c r="N1879" s="10">
        <f t="shared" si="145"/>
        <v>0</v>
      </c>
      <c r="O1879" t="str">
        <f t="shared" si="149"/>
        <v/>
      </c>
      <c r="P1879" t="str">
        <f>IF(O1879=1,COUNTIF($O$2:O1879,1),"")</f>
        <v/>
      </c>
      <c r="Q1879" t="str">
        <f>IFERROR(INDEX($M$2:$M$2388,MATCH(ROWS($P$2:P1879),$P$2:$P$2388,0)),"")</f>
        <v/>
      </c>
    </row>
    <row r="1880" spans="1:17" ht="15" x14ac:dyDescent="0.25">
      <c r="A1880" s="10">
        <v>2036</v>
      </c>
      <c r="B1880" s="10" t="s">
        <v>5951</v>
      </c>
      <c r="C1880" s="880">
        <f t="shared" si="146"/>
        <v>6.7332999999999998</v>
      </c>
      <c r="D1880" s="880">
        <f t="shared" si="147"/>
        <v>0.33329999999999999</v>
      </c>
      <c r="E1880" s="10">
        <v>6.733333</v>
      </c>
      <c r="F1880" s="10">
        <v>0.33333299999999999</v>
      </c>
      <c r="G1880" s="10">
        <v>0</v>
      </c>
      <c r="H1880" s="10" t="s">
        <v>2318</v>
      </c>
      <c r="I1880" s="10" t="s">
        <v>5952</v>
      </c>
      <c r="J1880" s="10" t="s">
        <v>5951</v>
      </c>
      <c r="K1880" s="10" t="s">
        <v>5953</v>
      </c>
      <c r="L1880" s="65" t="str">
        <f t="shared" si="148"/>
        <v>Sao Tome|Sao Tome|6,733333|0,333333|+0:00 Africa</v>
      </c>
      <c r="M1880" s="10" t="s">
        <v>5954</v>
      </c>
      <c r="N1880" s="10">
        <f t="shared" si="145"/>
        <v>0</v>
      </c>
      <c r="O1880" t="str">
        <f t="shared" si="149"/>
        <v/>
      </c>
      <c r="P1880" t="str">
        <f>IF(O1880=1,COUNTIF($O$2:O1880,1),"")</f>
        <v/>
      </c>
      <c r="Q1880" t="str">
        <f>IFERROR(INDEX($M$2:$M$2388,MATCH(ROWS($P$2:P1880),$P$2:$P$2388,0)),"")</f>
        <v/>
      </c>
    </row>
    <row r="1881" spans="1:17" ht="15" x14ac:dyDescent="0.25">
      <c r="A1881" s="10">
        <v>1984</v>
      </c>
      <c r="B1881" s="10" t="s">
        <v>5955</v>
      </c>
      <c r="C1881" s="880">
        <f t="shared" si="146"/>
        <v>42.505200000000002</v>
      </c>
      <c r="D1881" s="880">
        <f t="shared" si="147"/>
        <v>18.2163</v>
      </c>
      <c r="E1881" s="10">
        <v>42.505279999999999</v>
      </c>
      <c r="F1881" s="10">
        <v>18.216388999999999</v>
      </c>
      <c r="G1881" s="10">
        <v>3</v>
      </c>
      <c r="H1881" s="10" t="s">
        <v>1883</v>
      </c>
      <c r="I1881" s="10" t="s">
        <v>5956</v>
      </c>
      <c r="J1881" s="10" t="s">
        <v>5957</v>
      </c>
      <c r="K1881" s="10" t="s">
        <v>5958</v>
      </c>
      <c r="L1881" s="65" t="str">
        <f t="shared" si="148"/>
        <v>Abha|Saudi Arabia|42,505280|18,216389|+3:00 Asia</v>
      </c>
      <c r="M1881" s="10" t="s">
        <v>5959</v>
      </c>
      <c r="N1881" s="10">
        <f t="shared" si="145"/>
        <v>0</v>
      </c>
      <c r="O1881" t="str">
        <f t="shared" si="149"/>
        <v/>
      </c>
      <c r="P1881" t="str">
        <f>IF(O1881=1,COUNTIF($O$2:O1881,1),"")</f>
        <v/>
      </c>
      <c r="Q1881" t="str">
        <f>IFERROR(INDEX($M$2:$M$2388,MATCH(ROWS($P$2:P1881),$P$2:$P$2388,0)),"")</f>
        <v/>
      </c>
    </row>
    <row r="1882" spans="1:17" ht="15" x14ac:dyDescent="0.25">
      <c r="A1882" s="10">
        <v>1983</v>
      </c>
      <c r="B1882" s="10" t="s">
        <v>5960</v>
      </c>
      <c r="C1882" s="880">
        <f t="shared" si="146"/>
        <v>50.114100000000001</v>
      </c>
      <c r="D1882" s="880">
        <f t="shared" si="147"/>
        <v>26.425799999999999</v>
      </c>
      <c r="E1882" s="10">
        <v>50.114165999999997</v>
      </c>
      <c r="F1882" s="10">
        <v>26.425833000000001</v>
      </c>
      <c r="G1882" s="10">
        <v>3</v>
      </c>
      <c r="H1882" s="10" t="s">
        <v>1883</v>
      </c>
      <c r="I1882" s="10" t="s">
        <v>5956</v>
      </c>
      <c r="J1882" s="10" t="s">
        <v>5957</v>
      </c>
      <c r="K1882" s="10" t="s">
        <v>5958</v>
      </c>
      <c r="L1882" s="65" t="str">
        <f t="shared" si="148"/>
        <v>Ad Dammam|Saudi Arabia|50,114166|26,425833|+3:00 Asia</v>
      </c>
      <c r="M1882" s="10" t="s">
        <v>5961</v>
      </c>
      <c r="N1882" s="10">
        <f t="shared" si="145"/>
        <v>0</v>
      </c>
      <c r="O1882" t="str">
        <f t="shared" si="149"/>
        <v/>
      </c>
      <c r="P1882" t="str">
        <f>IF(O1882=1,COUNTIF($O$2:O1882,1),"")</f>
        <v/>
      </c>
      <c r="Q1882" t="str">
        <f>IFERROR(INDEX($M$2:$M$2388,MATCH(ROWS($P$2:P1882),$P$2:$P$2388,0)),"")</f>
        <v/>
      </c>
    </row>
    <row r="1883" spans="1:17" ht="15" x14ac:dyDescent="0.25">
      <c r="A1883" s="10">
        <v>1982</v>
      </c>
      <c r="B1883" s="10" t="s">
        <v>5962</v>
      </c>
      <c r="C1883" s="880">
        <f t="shared" si="146"/>
        <v>49.586599999999997</v>
      </c>
      <c r="D1883" s="880">
        <f t="shared" si="147"/>
        <v>25.378299999999999</v>
      </c>
      <c r="E1883" s="10">
        <v>49.586666000000001</v>
      </c>
      <c r="F1883" s="10">
        <v>25.378333999999999</v>
      </c>
      <c r="G1883" s="10">
        <v>3</v>
      </c>
      <c r="H1883" s="10" t="s">
        <v>1883</v>
      </c>
      <c r="I1883" s="10" t="s">
        <v>5956</v>
      </c>
      <c r="J1883" s="10" t="s">
        <v>5957</v>
      </c>
      <c r="K1883" s="10" t="s">
        <v>5958</v>
      </c>
      <c r="L1883" s="65" t="str">
        <f t="shared" si="148"/>
        <v>Al Hufuf|Saudi Arabia|49,586666|25,378334|+3:00 Asia</v>
      </c>
      <c r="M1883" s="10" t="s">
        <v>5963</v>
      </c>
      <c r="N1883" s="10">
        <f t="shared" si="145"/>
        <v>0</v>
      </c>
      <c r="O1883" t="str">
        <f t="shared" si="149"/>
        <v/>
      </c>
      <c r="P1883" t="str">
        <f>IF(O1883=1,COUNTIF($O$2:O1883,1),"")</f>
        <v/>
      </c>
      <c r="Q1883" t="str">
        <f>IFERROR(INDEX($M$2:$M$2388,MATCH(ROWS($P$2:P1883),$P$2:$P$2388,0)),"")</f>
        <v/>
      </c>
    </row>
    <row r="1884" spans="1:17" ht="15" x14ac:dyDescent="0.25">
      <c r="A1884" s="10">
        <v>1981</v>
      </c>
      <c r="B1884" s="10" t="s">
        <v>5964</v>
      </c>
      <c r="C1884" s="880">
        <f t="shared" si="146"/>
        <v>49.661299999999997</v>
      </c>
      <c r="D1884" s="880">
        <f t="shared" si="147"/>
        <v>27.0047</v>
      </c>
      <c r="E1884" s="10">
        <v>49.661388000000002</v>
      </c>
      <c r="F1884" s="10">
        <v>27.004722999999998</v>
      </c>
      <c r="G1884" s="10">
        <v>3</v>
      </c>
      <c r="H1884" s="10" t="s">
        <v>1883</v>
      </c>
      <c r="I1884" s="10" t="s">
        <v>5956</v>
      </c>
      <c r="J1884" s="10" t="s">
        <v>5957</v>
      </c>
      <c r="K1884" s="10" t="s">
        <v>5958</v>
      </c>
      <c r="L1884" s="65" t="str">
        <f t="shared" si="148"/>
        <v>Al Jubayl|Saudi Arabia|49,661388|27,004723|+3:00 Asia</v>
      </c>
      <c r="M1884" s="10" t="s">
        <v>5965</v>
      </c>
      <c r="N1884" s="10">
        <f t="shared" si="145"/>
        <v>0</v>
      </c>
      <c r="O1884" t="str">
        <f t="shared" si="149"/>
        <v/>
      </c>
      <c r="P1884" t="str">
        <f>IF(O1884=1,COUNTIF($O$2:O1884,1),"")</f>
        <v/>
      </c>
      <c r="Q1884" t="str">
        <f>IFERROR(INDEX($M$2:$M$2388,MATCH(ROWS($P$2:P1884),$P$2:$P$2388,0)),"")</f>
        <v/>
      </c>
    </row>
    <row r="1885" spans="1:17" ht="15" x14ac:dyDescent="0.25">
      <c r="A1885" s="10">
        <v>1979</v>
      </c>
      <c r="B1885" s="10" t="s">
        <v>5966</v>
      </c>
      <c r="C1885" s="880">
        <f t="shared" si="146"/>
        <v>49.580800000000004</v>
      </c>
      <c r="D1885" s="880">
        <f t="shared" si="147"/>
        <v>25.41</v>
      </c>
      <c r="E1885" s="10">
        <v>49.580832999999998</v>
      </c>
      <c r="F1885" s="10">
        <v>25.41</v>
      </c>
      <c r="G1885" s="10">
        <v>3</v>
      </c>
      <c r="H1885" s="10" t="s">
        <v>1883</v>
      </c>
      <c r="I1885" s="10" t="s">
        <v>5956</v>
      </c>
      <c r="J1885" s="10" t="s">
        <v>5957</v>
      </c>
      <c r="K1885" s="10" t="s">
        <v>5958</v>
      </c>
      <c r="L1885" s="65" t="str">
        <f t="shared" si="148"/>
        <v>Al Mubarraz|Saudi Arabia|49,580833|25,410000|+3:00 Asia</v>
      </c>
      <c r="M1885" s="10" t="s">
        <v>5967</v>
      </c>
      <c r="N1885" s="10">
        <f t="shared" si="145"/>
        <v>0</v>
      </c>
      <c r="O1885" t="str">
        <f t="shared" si="149"/>
        <v/>
      </c>
      <c r="P1885" t="str">
        <f>IF(O1885=1,COUNTIF($O$2:O1885,1),"")</f>
        <v/>
      </c>
      <c r="Q1885" t="str">
        <f>IFERROR(INDEX($M$2:$M$2388,MATCH(ROWS($P$2:P1885),$P$2:$P$2388,0)),"")</f>
        <v/>
      </c>
    </row>
    <row r="1886" spans="1:17" ht="15" x14ac:dyDescent="0.25">
      <c r="A1886" s="10">
        <v>1977</v>
      </c>
      <c r="B1886" s="10" t="s">
        <v>5968</v>
      </c>
      <c r="C1886" s="880">
        <f t="shared" si="146"/>
        <v>40.415799999999997</v>
      </c>
      <c r="D1886" s="880">
        <f t="shared" si="147"/>
        <v>21.270199999999999</v>
      </c>
      <c r="E1886" s="10">
        <v>40.415832999999999</v>
      </c>
      <c r="F1886" s="10">
        <v>21.270277</v>
      </c>
      <c r="G1886" s="10">
        <v>3</v>
      </c>
      <c r="H1886" s="10" t="s">
        <v>1883</v>
      </c>
      <c r="I1886" s="10" t="s">
        <v>5956</v>
      </c>
      <c r="J1886" s="10" t="s">
        <v>5957</v>
      </c>
      <c r="K1886" s="10" t="s">
        <v>5958</v>
      </c>
      <c r="L1886" s="65" t="str">
        <f t="shared" si="148"/>
        <v>At Ta'if|Saudi Arabia|40,415833|21,270277|+3:00 Asia</v>
      </c>
      <c r="M1886" s="10" t="s">
        <v>5969</v>
      </c>
      <c r="N1886" s="10">
        <f t="shared" si="145"/>
        <v>0</v>
      </c>
      <c r="O1886" t="str">
        <f t="shared" si="149"/>
        <v/>
      </c>
      <c r="P1886" t="str">
        <f>IF(O1886=1,COUNTIF($O$2:O1886,1),"")</f>
        <v/>
      </c>
      <c r="Q1886" t="str">
        <f>IFERROR(INDEX($M$2:$M$2388,MATCH(ROWS($P$2:P1886),$P$2:$P$2388,0)),"")</f>
        <v/>
      </c>
    </row>
    <row r="1887" spans="1:17" ht="15" x14ac:dyDescent="0.25">
      <c r="A1887" s="10">
        <v>1976</v>
      </c>
      <c r="B1887" s="10" t="s">
        <v>5970</v>
      </c>
      <c r="C1887" s="880">
        <f t="shared" si="146"/>
        <v>43.971600000000002</v>
      </c>
      <c r="D1887" s="880">
        <f t="shared" si="147"/>
        <v>26.331600000000002</v>
      </c>
      <c r="E1887" s="10">
        <v>43.971668000000001</v>
      </c>
      <c r="F1887" s="10">
        <v>26.331666999999999</v>
      </c>
      <c r="G1887" s="10">
        <v>3</v>
      </c>
      <c r="H1887" s="10" t="s">
        <v>1883</v>
      </c>
      <c r="I1887" s="10" t="s">
        <v>5956</v>
      </c>
      <c r="J1887" s="10" t="s">
        <v>5957</v>
      </c>
      <c r="K1887" s="10" t="s">
        <v>5958</v>
      </c>
      <c r="L1887" s="65" t="str">
        <f t="shared" si="148"/>
        <v>Buraydah|Saudi Arabia|43,971668|26,331667|+3:00 Asia</v>
      </c>
      <c r="M1887" s="10" t="s">
        <v>5971</v>
      </c>
      <c r="N1887" s="10">
        <f t="shared" si="145"/>
        <v>0</v>
      </c>
      <c r="O1887" t="str">
        <f t="shared" si="149"/>
        <v/>
      </c>
      <c r="P1887" t="str">
        <f>IF(O1887=1,COUNTIF($O$2:O1887,1),"")</f>
        <v/>
      </c>
      <c r="Q1887" t="str">
        <f>IFERROR(INDEX($M$2:$M$2388,MATCH(ROWS($P$2:P1887),$P$2:$P$2388,0)),"")</f>
        <v/>
      </c>
    </row>
    <row r="1888" spans="1:17" ht="15" x14ac:dyDescent="0.25">
      <c r="A1888" s="10">
        <v>1975</v>
      </c>
      <c r="B1888" s="10" t="s">
        <v>5972</v>
      </c>
      <c r="C1888" s="880">
        <f t="shared" si="146"/>
        <v>39.219099999999997</v>
      </c>
      <c r="D1888" s="880">
        <f t="shared" si="147"/>
        <v>21.5169</v>
      </c>
      <c r="E1888" s="10">
        <v>39.219166000000001</v>
      </c>
      <c r="F1888" s="10">
        <v>21.516945</v>
      </c>
      <c r="G1888" s="10">
        <v>3</v>
      </c>
      <c r="H1888" s="10" t="s">
        <v>1883</v>
      </c>
      <c r="I1888" s="10" t="s">
        <v>5956</v>
      </c>
      <c r="J1888" s="10" t="s">
        <v>5957</v>
      </c>
      <c r="K1888" s="10" t="s">
        <v>5958</v>
      </c>
      <c r="L1888" s="65" t="str">
        <f t="shared" si="148"/>
        <v>Jiddah|Saudi Arabia|39,219166|21,516945|+3:00 Asia</v>
      </c>
      <c r="M1888" s="10" t="s">
        <v>5973</v>
      </c>
      <c r="N1888" s="10">
        <f t="shared" si="145"/>
        <v>0</v>
      </c>
      <c r="O1888" t="str">
        <f t="shared" si="149"/>
        <v/>
      </c>
      <c r="P1888" t="str">
        <f>IF(O1888=1,COUNTIF($O$2:O1888,1),"")</f>
        <v/>
      </c>
      <c r="Q1888" t="str">
        <f>IFERROR(INDEX($M$2:$M$2388,MATCH(ROWS($P$2:P1888),$P$2:$P$2388,0)),"")</f>
        <v/>
      </c>
    </row>
    <row r="1889" spans="1:17" ht="15" x14ac:dyDescent="0.25">
      <c r="A1889" s="10">
        <v>1974</v>
      </c>
      <c r="B1889" s="10" t="s">
        <v>5974</v>
      </c>
      <c r="C1889" s="880">
        <f t="shared" si="146"/>
        <v>42.729100000000003</v>
      </c>
      <c r="D1889" s="880">
        <f t="shared" si="147"/>
        <v>18.3063</v>
      </c>
      <c r="E1889" s="10">
        <v>42.729168000000001</v>
      </c>
      <c r="F1889" s="10">
        <v>18.306388999999999</v>
      </c>
      <c r="G1889" s="10">
        <v>3</v>
      </c>
      <c r="H1889" s="10" t="s">
        <v>1883</v>
      </c>
      <c r="I1889" s="10" t="s">
        <v>5956</v>
      </c>
      <c r="J1889" s="10" t="s">
        <v>5957</v>
      </c>
      <c r="K1889" s="10" t="s">
        <v>5958</v>
      </c>
      <c r="L1889" s="65" t="str">
        <f t="shared" si="148"/>
        <v>Khamis Mushayt|Saudi Arabia|42,729168|18,306389|+3:00 Asia</v>
      </c>
      <c r="M1889" s="10" t="s">
        <v>5975</v>
      </c>
      <c r="N1889" s="10">
        <f t="shared" si="145"/>
        <v>0</v>
      </c>
      <c r="O1889" t="str">
        <f t="shared" si="149"/>
        <v/>
      </c>
      <c r="P1889" t="str">
        <f>IF(O1889=1,COUNTIF($O$2:O1889,1),"")</f>
        <v/>
      </c>
      <c r="Q1889" t="str">
        <f>IFERROR(INDEX($M$2:$M$2388,MATCH(ROWS($P$2:P1889),$P$2:$P$2388,0)),"")</f>
        <v/>
      </c>
    </row>
    <row r="1890" spans="1:17" ht="15" x14ac:dyDescent="0.25">
      <c r="A1890" s="10">
        <v>1973</v>
      </c>
      <c r="B1890" s="10" t="s">
        <v>5976</v>
      </c>
      <c r="C1890" s="880">
        <f t="shared" si="146"/>
        <v>39.826099999999997</v>
      </c>
      <c r="D1890" s="880">
        <f t="shared" si="147"/>
        <v>21.426600000000001</v>
      </c>
      <c r="E1890" s="10">
        <v>39.826110999999997</v>
      </c>
      <c r="F1890" s="10">
        <v>21.426666000000001</v>
      </c>
      <c r="G1890" s="10">
        <v>3</v>
      </c>
      <c r="H1890" s="10" t="s">
        <v>1883</v>
      </c>
      <c r="I1890" s="10" t="s">
        <v>5956</v>
      </c>
      <c r="J1890" s="10" t="s">
        <v>5957</v>
      </c>
      <c r="K1890" s="10" t="s">
        <v>5958</v>
      </c>
      <c r="L1890" s="65" t="str">
        <f t="shared" si="148"/>
        <v>Mecca|Saudi Arabia|39,826111|21,426666|+3:00 Asia</v>
      </c>
      <c r="M1890" s="10" t="s">
        <v>5977</v>
      </c>
      <c r="N1890" s="10">
        <f t="shared" si="145"/>
        <v>0</v>
      </c>
      <c r="O1890" t="str">
        <f t="shared" si="149"/>
        <v/>
      </c>
      <c r="P1890" t="str">
        <f>IF(O1890=1,COUNTIF($O$2:O1890,1),"")</f>
        <v/>
      </c>
      <c r="Q1890" t="str">
        <f>IFERROR(INDEX($M$2:$M$2388,MATCH(ROWS($P$2:P1890),$P$2:$P$2388,0)),"")</f>
        <v/>
      </c>
    </row>
    <row r="1891" spans="1:17" ht="15" x14ac:dyDescent="0.25">
      <c r="A1891" s="10">
        <v>1980</v>
      </c>
      <c r="B1891" s="10" t="s">
        <v>5978</v>
      </c>
      <c r="C1891" s="880">
        <f t="shared" si="146"/>
        <v>39.614100000000001</v>
      </c>
      <c r="D1891" s="880">
        <f t="shared" si="147"/>
        <v>24.468599999999999</v>
      </c>
      <c r="E1891" s="10">
        <v>39.614165999999997</v>
      </c>
      <c r="F1891" s="10">
        <v>24.468610999999999</v>
      </c>
      <c r="G1891" s="10">
        <v>3</v>
      </c>
      <c r="H1891" s="10" t="s">
        <v>1883</v>
      </c>
      <c r="I1891" s="10" t="s">
        <v>5956</v>
      </c>
      <c r="J1891" s="10" t="s">
        <v>5957</v>
      </c>
      <c r="K1891" s="10" t="s">
        <v>5958</v>
      </c>
      <c r="L1891" s="65" t="str">
        <f t="shared" si="148"/>
        <v>Medina|Saudi Arabia|39,614166|24,468611|+3:00 Asia</v>
      </c>
      <c r="M1891" s="10" t="s">
        <v>5979</v>
      </c>
      <c r="N1891" s="10">
        <f t="shared" si="145"/>
        <v>0</v>
      </c>
      <c r="O1891" t="str">
        <f t="shared" si="149"/>
        <v/>
      </c>
      <c r="P1891" t="str">
        <f>IF(O1891=1,COUNTIF($O$2:O1891,1),"")</f>
        <v/>
      </c>
      <c r="Q1891" t="str">
        <f>IFERROR(INDEX($M$2:$M$2388,MATCH(ROWS($P$2:P1891),$P$2:$P$2388,0)),"")</f>
        <v/>
      </c>
    </row>
    <row r="1892" spans="1:17" ht="15" x14ac:dyDescent="0.25">
      <c r="A1892" s="10">
        <v>1972</v>
      </c>
      <c r="B1892" s="10" t="s">
        <v>5980</v>
      </c>
      <c r="C1892" s="880">
        <f t="shared" si="146"/>
        <v>44.184100000000001</v>
      </c>
      <c r="D1892" s="880">
        <f t="shared" si="147"/>
        <v>17.505500000000001</v>
      </c>
      <c r="E1892" s="10">
        <v>44.184165999999998</v>
      </c>
      <c r="F1892" s="10">
        <v>17.505555999999999</v>
      </c>
      <c r="G1892" s="10">
        <v>3</v>
      </c>
      <c r="H1892" s="10" t="s">
        <v>1883</v>
      </c>
      <c r="I1892" s="10" t="s">
        <v>5956</v>
      </c>
      <c r="J1892" s="10" t="s">
        <v>5957</v>
      </c>
      <c r="K1892" s="10" t="s">
        <v>5958</v>
      </c>
      <c r="L1892" s="65" t="str">
        <f t="shared" si="148"/>
        <v>Najran|Saudi Arabia|44,184166|17,505556|+3:00 Asia</v>
      </c>
      <c r="M1892" s="10" t="s">
        <v>5981</v>
      </c>
      <c r="N1892" s="10">
        <f t="shared" si="145"/>
        <v>0</v>
      </c>
      <c r="O1892" t="str">
        <f t="shared" si="149"/>
        <v/>
      </c>
      <c r="P1892" t="str">
        <f>IF(O1892=1,COUNTIF($O$2:O1892,1),"")</f>
        <v/>
      </c>
      <c r="Q1892" t="str">
        <f>IFERROR(INDEX($M$2:$M$2388,MATCH(ROWS($P$2:P1892),$P$2:$P$2388,0)),"")</f>
        <v/>
      </c>
    </row>
    <row r="1893" spans="1:17" ht="15" x14ac:dyDescent="0.25">
      <c r="A1893" s="10">
        <v>1978</v>
      </c>
      <c r="B1893" s="10" t="s">
        <v>5982</v>
      </c>
      <c r="C1893" s="880">
        <f t="shared" si="146"/>
        <v>46.7727</v>
      </c>
      <c r="D1893" s="880">
        <f t="shared" si="147"/>
        <v>24.640799999999999</v>
      </c>
      <c r="E1893" s="10">
        <v>46.772778000000002</v>
      </c>
      <c r="F1893" s="10">
        <v>24.640833000000001</v>
      </c>
      <c r="G1893" s="10">
        <v>3</v>
      </c>
      <c r="H1893" s="10" t="s">
        <v>1883</v>
      </c>
      <c r="I1893" s="10" t="s">
        <v>5956</v>
      </c>
      <c r="J1893" s="10" t="s">
        <v>5957</v>
      </c>
      <c r="K1893" s="10" t="s">
        <v>5958</v>
      </c>
      <c r="L1893" s="65" t="str">
        <f t="shared" si="148"/>
        <v>Riyadh|Saudi Arabia|46,772778|24,640833|+3:00 Asia</v>
      </c>
      <c r="M1893" s="10" t="s">
        <v>5983</v>
      </c>
      <c r="N1893" s="10">
        <f t="shared" si="145"/>
        <v>0</v>
      </c>
      <c r="O1893" t="str">
        <f t="shared" si="149"/>
        <v/>
      </c>
      <c r="P1893" t="str">
        <f>IF(O1893=1,COUNTIF($O$2:O1893,1),"")</f>
        <v/>
      </c>
      <c r="Q1893" t="str">
        <f>IFERROR(INDEX($M$2:$M$2388,MATCH(ROWS($P$2:P1893),$P$2:$P$2388,0)),"")</f>
        <v/>
      </c>
    </row>
    <row r="1894" spans="1:17" ht="15" x14ac:dyDescent="0.25">
      <c r="A1894" s="10">
        <v>1971</v>
      </c>
      <c r="B1894" s="10" t="s">
        <v>5984</v>
      </c>
      <c r="C1894" s="880">
        <f t="shared" si="146"/>
        <v>39.583300000000001</v>
      </c>
      <c r="D1894" s="880">
        <f t="shared" si="147"/>
        <v>24.5</v>
      </c>
      <c r="E1894" s="10">
        <v>39.583331999999999</v>
      </c>
      <c r="F1894" s="10">
        <v>24.5</v>
      </c>
      <c r="G1894" s="10">
        <v>3</v>
      </c>
      <c r="H1894" s="10" t="s">
        <v>1883</v>
      </c>
      <c r="I1894" s="10" t="s">
        <v>5956</v>
      </c>
      <c r="J1894" s="10" t="s">
        <v>5957</v>
      </c>
      <c r="K1894" s="10" t="s">
        <v>5958</v>
      </c>
      <c r="L1894" s="65" t="str">
        <f t="shared" si="148"/>
        <v>Sultanah|Saudi Arabia|39,583332|24,500000|+3:00 Asia</v>
      </c>
      <c r="M1894" s="10" t="s">
        <v>5985</v>
      </c>
      <c r="N1894" s="10">
        <f t="shared" si="145"/>
        <v>0</v>
      </c>
      <c r="O1894" t="str">
        <f t="shared" si="149"/>
        <v/>
      </c>
      <c r="P1894" t="str">
        <f>IF(O1894=1,COUNTIF($O$2:O1894,1),"")</f>
        <v/>
      </c>
      <c r="Q1894" t="str">
        <f>IFERROR(INDEX($M$2:$M$2388,MATCH(ROWS($P$2:P1894),$P$2:$P$2388,0)),"")</f>
        <v/>
      </c>
    </row>
    <row r="1895" spans="1:17" ht="15" x14ac:dyDescent="0.25">
      <c r="A1895" s="10">
        <v>1970</v>
      </c>
      <c r="B1895" s="10" t="s">
        <v>5986</v>
      </c>
      <c r="C1895" s="880">
        <f t="shared" si="146"/>
        <v>36.583300000000001</v>
      </c>
      <c r="D1895" s="880">
        <f t="shared" si="147"/>
        <v>28.383299999999998</v>
      </c>
      <c r="E1895" s="10">
        <v>36.583331999999999</v>
      </c>
      <c r="F1895" s="10">
        <v>28.383333</v>
      </c>
      <c r="G1895" s="10">
        <v>3</v>
      </c>
      <c r="H1895" s="10" t="s">
        <v>1883</v>
      </c>
      <c r="I1895" s="10" t="s">
        <v>5956</v>
      </c>
      <c r="J1895" s="10" t="s">
        <v>5957</v>
      </c>
      <c r="K1895" s="10" t="s">
        <v>5958</v>
      </c>
      <c r="L1895" s="65" t="str">
        <f t="shared" si="148"/>
        <v>Tabuk|Saudi Arabia|36,583332|28,383333|+3:00 Asia</v>
      </c>
      <c r="M1895" s="10" t="s">
        <v>5987</v>
      </c>
      <c r="N1895" s="10">
        <f t="shared" si="145"/>
        <v>0</v>
      </c>
      <c r="O1895" t="str">
        <f t="shared" si="149"/>
        <v/>
      </c>
      <c r="P1895" t="str">
        <f>IF(O1895=1,COUNTIF($O$2:O1895,1),"")</f>
        <v/>
      </c>
      <c r="Q1895" t="str">
        <f>IFERROR(INDEX($M$2:$M$2388,MATCH(ROWS($P$2:P1895),$P$2:$P$2388,0)),"")</f>
        <v/>
      </c>
    </row>
    <row r="1896" spans="1:17" ht="15" x14ac:dyDescent="0.25">
      <c r="A1896" s="10">
        <v>1969</v>
      </c>
      <c r="B1896" s="10" t="s">
        <v>5988</v>
      </c>
      <c r="C1896" s="880">
        <f t="shared" si="146"/>
        <v>49.9163</v>
      </c>
      <c r="D1896" s="880">
        <f t="shared" si="147"/>
        <v>26.653600000000001</v>
      </c>
      <c r="E1896" s="10">
        <v>49.916389000000002</v>
      </c>
      <c r="F1896" s="10">
        <v>26.65361</v>
      </c>
      <c r="G1896" s="10">
        <v>3</v>
      </c>
      <c r="H1896" s="10" t="s">
        <v>1883</v>
      </c>
      <c r="I1896" s="10" t="s">
        <v>5956</v>
      </c>
      <c r="J1896" s="10" t="s">
        <v>5957</v>
      </c>
      <c r="K1896" s="10" t="s">
        <v>5958</v>
      </c>
      <c r="L1896" s="65" t="str">
        <f t="shared" si="148"/>
        <v>Umm as Sahik|Saudi Arabia|49,916389|26,653610|+3:00 Asia</v>
      </c>
      <c r="M1896" s="10" t="s">
        <v>5989</v>
      </c>
      <c r="N1896" s="10">
        <f t="shared" si="145"/>
        <v>0</v>
      </c>
      <c r="O1896" t="str">
        <f t="shared" si="149"/>
        <v/>
      </c>
      <c r="P1896" t="str">
        <f>IF(O1896=1,COUNTIF($O$2:O1896,1),"")</f>
        <v/>
      </c>
      <c r="Q1896" t="str">
        <f>IFERROR(INDEX($M$2:$M$2388,MATCH(ROWS($P$2:P1896),$P$2:$P$2388,0)),"")</f>
        <v/>
      </c>
    </row>
    <row r="1897" spans="1:17" ht="15" x14ac:dyDescent="0.25">
      <c r="A1897" s="10">
        <v>1968</v>
      </c>
      <c r="B1897" s="10" t="s">
        <v>5990</v>
      </c>
      <c r="C1897" s="880">
        <f t="shared" si="146"/>
        <v>37.268799999999999</v>
      </c>
      <c r="D1897" s="880">
        <f t="shared" si="147"/>
        <v>25.024100000000001</v>
      </c>
      <c r="E1897" s="10">
        <v>37.268889999999999</v>
      </c>
      <c r="F1897" s="10">
        <v>25.024166000000001</v>
      </c>
      <c r="G1897" s="10">
        <v>3</v>
      </c>
      <c r="H1897" s="10" t="s">
        <v>1883</v>
      </c>
      <c r="I1897" s="10" t="s">
        <v>5956</v>
      </c>
      <c r="J1897" s="10" t="s">
        <v>5957</v>
      </c>
      <c r="K1897" s="10" t="s">
        <v>5958</v>
      </c>
      <c r="L1897" s="65" t="str">
        <f t="shared" si="148"/>
        <v>Umm Lajj|Saudi Arabia|37,268890|25,024166|+3:00 Asia</v>
      </c>
      <c r="M1897" s="10" t="s">
        <v>5991</v>
      </c>
      <c r="N1897" s="10">
        <f t="shared" si="145"/>
        <v>0</v>
      </c>
      <c r="O1897" t="str">
        <f t="shared" si="149"/>
        <v/>
      </c>
      <c r="P1897" t="str">
        <f>IF(O1897=1,COUNTIF($O$2:O1897,1),"")</f>
        <v/>
      </c>
      <c r="Q1897" t="str">
        <f>IFERROR(INDEX($M$2:$M$2388,MATCH(ROWS($P$2:P1897),$P$2:$P$2388,0)),"")</f>
        <v/>
      </c>
    </row>
    <row r="1898" spans="1:17" ht="15" x14ac:dyDescent="0.25">
      <c r="A1898" s="10">
        <v>1967</v>
      </c>
      <c r="B1898" s="10" t="s">
        <v>5992</v>
      </c>
      <c r="C1898" s="880">
        <f t="shared" si="146"/>
        <v>38.0486</v>
      </c>
      <c r="D1898" s="880">
        <f t="shared" si="147"/>
        <v>24.0852</v>
      </c>
      <c r="E1898" s="10">
        <v>38.048611000000001</v>
      </c>
      <c r="F1898" s="10">
        <v>24.085277999999999</v>
      </c>
      <c r="G1898" s="10">
        <v>3</v>
      </c>
      <c r="H1898" s="10" t="s">
        <v>1883</v>
      </c>
      <c r="I1898" s="10" t="s">
        <v>5956</v>
      </c>
      <c r="J1898" s="10" t="s">
        <v>5957</v>
      </c>
      <c r="K1898" s="10" t="s">
        <v>5958</v>
      </c>
      <c r="L1898" s="65" t="str">
        <f t="shared" si="148"/>
        <v>Yanbu` al Bahr|Saudi Arabia|38,048611|24,085278|+3:00 Asia</v>
      </c>
      <c r="M1898" s="10" t="s">
        <v>5993</v>
      </c>
      <c r="N1898" s="10">
        <f t="shared" si="145"/>
        <v>0</v>
      </c>
      <c r="O1898" t="str">
        <f t="shared" si="149"/>
        <v/>
      </c>
      <c r="P1898" t="str">
        <f>IF(O1898=1,COUNTIF($O$2:O1898,1),"")</f>
        <v/>
      </c>
      <c r="Q1898" t="str">
        <f>IFERROR(INDEX($M$2:$M$2388,MATCH(ROWS($P$2:P1898),$P$2:$P$2388,0)),"")</f>
        <v/>
      </c>
    </row>
    <row r="1899" spans="1:17" ht="15" x14ac:dyDescent="0.25">
      <c r="A1899" s="10">
        <v>2025</v>
      </c>
      <c r="B1899" s="10" t="s">
        <v>5994</v>
      </c>
      <c r="C1899" s="880">
        <f t="shared" si="146"/>
        <v>-17.4438</v>
      </c>
      <c r="D1899" s="880">
        <f t="shared" si="147"/>
        <v>14.6951</v>
      </c>
      <c r="E1899" s="10">
        <v>-17.443885999999999</v>
      </c>
      <c r="F1899" s="10">
        <v>14.695112</v>
      </c>
      <c r="G1899" s="10">
        <v>0</v>
      </c>
      <c r="H1899" s="10" t="s">
        <v>2318</v>
      </c>
      <c r="I1899" s="10" t="s">
        <v>5995</v>
      </c>
      <c r="J1899" s="10" t="s">
        <v>5996</v>
      </c>
      <c r="K1899" s="10" t="s">
        <v>5997</v>
      </c>
      <c r="L1899" s="65" t="str">
        <f t="shared" si="148"/>
        <v>Dakar|Senegal|-17,443886|14,695112|+0:00 Africa</v>
      </c>
      <c r="M1899" s="10" t="s">
        <v>5998</v>
      </c>
      <c r="N1899" s="10">
        <f t="shared" si="145"/>
        <v>0</v>
      </c>
      <c r="O1899" t="str">
        <f t="shared" si="149"/>
        <v/>
      </c>
      <c r="P1899" t="str">
        <f>IF(O1899=1,COUNTIF($O$2:O1899,1),"")</f>
        <v/>
      </c>
      <c r="Q1899" t="str">
        <f>IFERROR(INDEX($M$2:$M$2388,MATCH(ROWS($P$2:P1899),$P$2:$P$2388,0)),"")</f>
        <v/>
      </c>
    </row>
    <row r="1900" spans="1:17" ht="15" x14ac:dyDescent="0.25">
      <c r="A1900" s="10">
        <v>2024</v>
      </c>
      <c r="B1900" s="10" t="s">
        <v>5999</v>
      </c>
      <c r="C1900" s="880">
        <f t="shared" si="146"/>
        <v>-17.455200000000001</v>
      </c>
      <c r="D1900" s="880">
        <f t="shared" si="147"/>
        <v>14.7088</v>
      </c>
      <c r="E1900" s="10">
        <v>-17.455278</v>
      </c>
      <c r="F1900" s="10">
        <v>14.708888999999999</v>
      </c>
      <c r="G1900" s="10">
        <v>0</v>
      </c>
      <c r="H1900" s="10" t="s">
        <v>2318</v>
      </c>
      <c r="I1900" s="10" t="s">
        <v>5995</v>
      </c>
      <c r="J1900" s="10" t="s">
        <v>5996</v>
      </c>
      <c r="K1900" s="10" t="s">
        <v>5997</v>
      </c>
      <c r="L1900" s="65" t="str">
        <f t="shared" si="148"/>
        <v>Grand Dakar|Senegal|-17,455278|14,708889|+0:00 Africa</v>
      </c>
      <c r="M1900" s="10" t="s">
        <v>6000</v>
      </c>
      <c r="N1900" s="10">
        <f t="shared" si="145"/>
        <v>0</v>
      </c>
      <c r="O1900" t="str">
        <f t="shared" si="149"/>
        <v/>
      </c>
      <c r="P1900" t="str">
        <f>IF(O1900=1,COUNTIF($O$2:O1900,1),"")</f>
        <v/>
      </c>
      <c r="Q1900" t="str">
        <f>IFERROR(INDEX($M$2:$M$2388,MATCH(ROWS($P$2:P1900),$P$2:$P$2388,0)),"")</f>
        <v/>
      </c>
    </row>
    <row r="1901" spans="1:17" ht="15" x14ac:dyDescent="0.25">
      <c r="A1901" s="10">
        <v>2023</v>
      </c>
      <c r="B1901" s="10" t="s">
        <v>6001</v>
      </c>
      <c r="C1901" s="880">
        <f t="shared" si="146"/>
        <v>-16.9666</v>
      </c>
      <c r="D1901" s="880">
        <f t="shared" si="147"/>
        <v>14.783300000000001</v>
      </c>
      <c r="E1901" s="10">
        <v>-16.966667000000001</v>
      </c>
      <c r="F1901" s="10">
        <v>14.783333000000001</v>
      </c>
      <c r="G1901" s="10">
        <v>0</v>
      </c>
      <c r="H1901" s="10" t="s">
        <v>2318</v>
      </c>
      <c r="I1901" s="10" t="s">
        <v>5995</v>
      </c>
      <c r="J1901" s="10" t="s">
        <v>5996</v>
      </c>
      <c r="K1901" s="10" t="s">
        <v>5997</v>
      </c>
      <c r="L1901" s="65" t="str">
        <f t="shared" si="148"/>
        <v>Thies Nones|Senegal|-16,966667|14,783333|+0:00 Africa</v>
      </c>
      <c r="M1901" s="10" t="s">
        <v>6002</v>
      </c>
      <c r="N1901" s="10">
        <f t="shared" si="145"/>
        <v>0</v>
      </c>
      <c r="O1901" t="str">
        <f t="shared" si="149"/>
        <v/>
      </c>
      <c r="P1901" t="str">
        <f>IF(O1901=1,COUNTIF($O$2:O1901,1),"")</f>
        <v/>
      </c>
      <c r="Q1901" t="str">
        <f>IFERROR(INDEX($M$2:$M$2388,MATCH(ROWS($P$2:P1901),$P$2:$P$2388,0)),"")</f>
        <v/>
      </c>
    </row>
    <row r="1902" spans="1:17" ht="15" x14ac:dyDescent="0.25">
      <c r="A1902" s="10">
        <v>2022</v>
      </c>
      <c r="B1902" s="10" t="s">
        <v>6003</v>
      </c>
      <c r="C1902" s="880">
        <f t="shared" si="146"/>
        <v>-16.521599999999999</v>
      </c>
      <c r="D1902" s="880">
        <f t="shared" si="147"/>
        <v>12.785500000000001</v>
      </c>
      <c r="E1902" s="10">
        <v>-16.521667000000001</v>
      </c>
      <c r="F1902" s="10">
        <v>12.785556</v>
      </c>
      <c r="G1902" s="10">
        <v>0</v>
      </c>
      <c r="H1902" s="10" t="s">
        <v>2318</v>
      </c>
      <c r="I1902" s="10" t="s">
        <v>5995</v>
      </c>
      <c r="J1902" s="10" t="s">
        <v>5996</v>
      </c>
      <c r="K1902" s="10" t="s">
        <v>5997</v>
      </c>
      <c r="L1902" s="65" t="str">
        <f t="shared" si="148"/>
        <v>Tionk Essil|Senegal|-16,521667|12,785556|+0:00 Africa</v>
      </c>
      <c r="M1902" s="10" t="s">
        <v>6004</v>
      </c>
      <c r="N1902" s="10">
        <f t="shared" si="145"/>
        <v>0</v>
      </c>
      <c r="O1902" t="str">
        <f t="shared" si="149"/>
        <v/>
      </c>
      <c r="P1902" t="str">
        <f>IF(O1902=1,COUNTIF($O$2:O1902,1),"")</f>
        <v/>
      </c>
      <c r="Q1902" t="str">
        <f>IFERROR(INDEX($M$2:$M$2388,MATCH(ROWS($P$2:P1902),$P$2:$P$2388,0)),"")</f>
        <v/>
      </c>
    </row>
    <row r="1903" spans="1:17" ht="15" x14ac:dyDescent="0.25">
      <c r="A1903" s="10">
        <v>2021</v>
      </c>
      <c r="B1903" s="10" t="s">
        <v>6005</v>
      </c>
      <c r="C1903" s="880">
        <f t="shared" si="146"/>
        <v>-14.1166</v>
      </c>
      <c r="D1903" s="880">
        <f t="shared" si="147"/>
        <v>13.15</v>
      </c>
      <c r="E1903" s="10">
        <v>-14.116667</v>
      </c>
      <c r="F1903" s="10">
        <v>13.15</v>
      </c>
      <c r="G1903" s="10">
        <v>0</v>
      </c>
      <c r="H1903" s="10" t="s">
        <v>2318</v>
      </c>
      <c r="I1903" s="10" t="s">
        <v>5995</v>
      </c>
      <c r="J1903" s="10" t="s">
        <v>5996</v>
      </c>
      <c r="K1903" s="10" t="s">
        <v>5997</v>
      </c>
      <c r="L1903" s="65" t="str">
        <f t="shared" si="148"/>
        <v>Velingara|Senegal|-14,116667|13,150000|+0:00 Africa</v>
      </c>
      <c r="M1903" s="10" t="s">
        <v>6006</v>
      </c>
      <c r="N1903" s="10">
        <f t="shared" si="145"/>
        <v>0</v>
      </c>
      <c r="O1903" t="str">
        <f t="shared" si="149"/>
        <v/>
      </c>
      <c r="P1903" t="str">
        <f>IF(O1903=1,COUNTIF($O$2:O1903,1),"")</f>
        <v/>
      </c>
      <c r="Q1903" t="str">
        <f>IFERROR(INDEX($M$2:$M$2388,MATCH(ROWS($P$2:P1903),$P$2:$P$2388,0)),"")</f>
        <v/>
      </c>
    </row>
    <row r="1904" spans="1:17" ht="15" x14ac:dyDescent="0.25">
      <c r="A1904" s="10">
        <v>2020</v>
      </c>
      <c r="B1904" s="10" t="s">
        <v>6007</v>
      </c>
      <c r="C1904" s="880">
        <f t="shared" si="146"/>
        <v>-16.271899999999999</v>
      </c>
      <c r="D1904" s="880">
        <f t="shared" si="147"/>
        <v>12.583299999999999</v>
      </c>
      <c r="E1904" s="10">
        <v>-16.271944000000001</v>
      </c>
      <c r="F1904" s="10">
        <v>12.583333</v>
      </c>
      <c r="G1904" s="10">
        <v>0</v>
      </c>
      <c r="H1904" s="10" t="s">
        <v>2318</v>
      </c>
      <c r="I1904" s="10" t="s">
        <v>5995</v>
      </c>
      <c r="J1904" s="10" t="s">
        <v>5996</v>
      </c>
      <c r="K1904" s="10" t="s">
        <v>5997</v>
      </c>
      <c r="L1904" s="65" t="str">
        <f t="shared" si="148"/>
        <v>Ziguinchor|Senegal|-16,271944|12,583333|+0:00 Africa</v>
      </c>
      <c r="M1904" s="10" t="s">
        <v>6008</v>
      </c>
      <c r="N1904" s="10">
        <f t="shared" si="145"/>
        <v>0</v>
      </c>
      <c r="O1904" t="str">
        <f t="shared" si="149"/>
        <v/>
      </c>
      <c r="P1904" t="str">
        <f>IF(O1904=1,COUNTIF($O$2:O1904,1),"")</f>
        <v/>
      </c>
      <c r="Q1904" t="str">
        <f>IFERROR(INDEX($M$2:$M$2388,MATCH(ROWS($P$2:P1904),$P$2:$P$2388,0)),"")</f>
        <v/>
      </c>
    </row>
    <row r="1905" spans="1:17" ht="15" x14ac:dyDescent="0.25">
      <c r="A1905" s="10">
        <v>1872</v>
      </c>
      <c r="B1905" s="10" t="s">
        <v>6009</v>
      </c>
      <c r="C1905" s="880">
        <f t="shared" si="146"/>
        <v>20.468</v>
      </c>
      <c r="D1905" s="880">
        <f t="shared" si="147"/>
        <v>44.818600000000004</v>
      </c>
      <c r="E1905" s="10">
        <v>20.468056000000001</v>
      </c>
      <c r="F1905" s="10">
        <v>44.818610999999997</v>
      </c>
      <c r="G1905" s="10">
        <v>1</v>
      </c>
      <c r="H1905" s="10" t="s">
        <v>1670</v>
      </c>
      <c r="I1905" s="10" t="s">
        <v>6010</v>
      </c>
      <c r="J1905" s="10" t="s">
        <v>6011</v>
      </c>
      <c r="K1905" s="10" t="s">
        <v>6012</v>
      </c>
      <c r="L1905" s="65" t="str">
        <f t="shared" si="148"/>
        <v>Belgrade|Serbia|20,468056|44,818611|+1:00 Europe</v>
      </c>
      <c r="M1905" s="10" t="s">
        <v>6013</v>
      </c>
      <c r="N1905" s="10">
        <f t="shared" si="145"/>
        <v>0</v>
      </c>
      <c r="O1905" t="str">
        <f t="shared" si="149"/>
        <v/>
      </c>
      <c r="P1905" t="str">
        <f>IF(O1905=1,COUNTIF($O$2:O1905,1),"")</f>
        <v/>
      </c>
      <c r="Q1905" t="str">
        <f>IFERROR(INDEX($M$2:$M$2388,MATCH(ROWS($P$2:P1905),$P$2:$P$2388,0)),"")</f>
        <v/>
      </c>
    </row>
    <row r="1906" spans="1:17" ht="15" x14ac:dyDescent="0.25">
      <c r="A1906" s="10">
        <v>1871</v>
      </c>
      <c r="B1906" s="10" t="s">
        <v>6014</v>
      </c>
      <c r="C1906" s="880">
        <f t="shared" si="146"/>
        <v>21.166599999999999</v>
      </c>
      <c r="D1906" s="880">
        <f t="shared" si="147"/>
        <v>42.666600000000003</v>
      </c>
      <c r="E1906" s="10">
        <v>21.166665999999999</v>
      </c>
      <c r="F1906" s="10">
        <v>42.666668000000001</v>
      </c>
      <c r="G1906" s="10">
        <v>1</v>
      </c>
      <c r="H1906" s="10" t="s">
        <v>1670</v>
      </c>
      <c r="I1906" s="10" t="s">
        <v>6010</v>
      </c>
      <c r="J1906" s="10" t="s">
        <v>6011</v>
      </c>
      <c r="K1906" s="10" t="s">
        <v>6012</v>
      </c>
      <c r="L1906" s="65" t="str">
        <f t="shared" si="148"/>
        <v>Pristina|Serbia|21,166666|42,666668|+1:00 Europe</v>
      </c>
      <c r="M1906" s="10" t="s">
        <v>6015</v>
      </c>
      <c r="N1906" s="10">
        <f t="shared" si="145"/>
        <v>0</v>
      </c>
      <c r="O1906" t="str">
        <f t="shared" si="149"/>
        <v/>
      </c>
      <c r="P1906" t="str">
        <f>IF(O1906=1,COUNTIF($O$2:O1906,1),"")</f>
        <v/>
      </c>
      <c r="Q1906" t="str">
        <f>IFERROR(INDEX($M$2:$M$2388,MATCH(ROWS($P$2:P1906),$P$2:$P$2388,0)),"")</f>
        <v/>
      </c>
    </row>
    <row r="1907" spans="1:17" ht="15" x14ac:dyDescent="0.25">
      <c r="A1907" s="10">
        <v>1870</v>
      </c>
      <c r="B1907" s="10" t="s">
        <v>6016</v>
      </c>
      <c r="C1907" s="880">
        <f t="shared" si="146"/>
        <v>20.063800000000001</v>
      </c>
      <c r="D1907" s="880">
        <f t="shared" si="147"/>
        <v>45.372199999999999</v>
      </c>
      <c r="E1907" s="10">
        <v>20.063889</v>
      </c>
      <c r="F1907" s="10">
        <v>45.372222999999998</v>
      </c>
      <c r="G1907" s="10">
        <v>1</v>
      </c>
      <c r="H1907" s="10" t="s">
        <v>1670</v>
      </c>
      <c r="I1907" s="10" t="s">
        <v>6010</v>
      </c>
      <c r="J1907" s="10" t="s">
        <v>6011</v>
      </c>
      <c r="K1907" s="10" t="s">
        <v>6012</v>
      </c>
      <c r="L1907" s="65" t="str">
        <f t="shared" si="148"/>
        <v>Zabalj|Serbia|20,063889|45,372223|+1:00 Europe</v>
      </c>
      <c r="M1907" s="10" t="s">
        <v>6017</v>
      </c>
      <c r="N1907" s="10">
        <f t="shared" si="145"/>
        <v>0</v>
      </c>
      <c r="O1907" t="str">
        <f t="shared" si="149"/>
        <v/>
      </c>
      <c r="P1907" t="str">
        <f>IF(O1907=1,COUNTIF($O$2:O1907,1),"")</f>
        <v/>
      </c>
      <c r="Q1907" t="str">
        <f>IFERROR(INDEX($M$2:$M$2388,MATCH(ROWS($P$2:P1907),$P$2:$P$2388,0)),"")</f>
        <v/>
      </c>
    </row>
    <row r="1908" spans="1:17" ht="15" x14ac:dyDescent="0.25">
      <c r="A1908" s="10">
        <v>1869</v>
      </c>
      <c r="B1908" s="10" t="s">
        <v>6018</v>
      </c>
      <c r="C1908" s="880">
        <f t="shared" si="146"/>
        <v>20.4011</v>
      </c>
      <c r="D1908" s="880">
        <f t="shared" si="147"/>
        <v>44.843000000000004</v>
      </c>
      <c r="E1908" s="10">
        <v>20.401112000000001</v>
      </c>
      <c r="F1908" s="10">
        <v>44.843055999999997</v>
      </c>
      <c r="G1908" s="10">
        <v>1</v>
      </c>
      <c r="H1908" s="10" t="s">
        <v>1670</v>
      </c>
      <c r="I1908" s="10" t="s">
        <v>6010</v>
      </c>
      <c r="J1908" s="10" t="s">
        <v>6011</v>
      </c>
      <c r="K1908" s="10" t="s">
        <v>6012</v>
      </c>
      <c r="L1908" s="65" t="str">
        <f t="shared" si="148"/>
        <v>Zemun|Serbia|20,401112|44,843056|+1:00 Europe</v>
      </c>
      <c r="M1908" s="10" t="s">
        <v>6019</v>
      </c>
      <c r="N1908" s="10">
        <f t="shared" si="145"/>
        <v>0</v>
      </c>
      <c r="O1908" t="str">
        <f t="shared" si="149"/>
        <v/>
      </c>
      <c r="P1908" t="str">
        <f>IF(O1908=1,COUNTIF($O$2:O1908,1),"")</f>
        <v/>
      </c>
      <c r="Q1908" t="str">
        <f>IFERROR(INDEX($M$2:$M$2388,MATCH(ROWS($P$2:P1908),$P$2:$P$2388,0)),"")</f>
        <v/>
      </c>
    </row>
    <row r="1909" spans="1:17" ht="15" x14ac:dyDescent="0.25">
      <c r="A1909" s="10">
        <v>1868</v>
      </c>
      <c r="B1909" s="10" t="s">
        <v>6020</v>
      </c>
      <c r="C1909" s="880">
        <f t="shared" si="146"/>
        <v>20.1647</v>
      </c>
      <c r="D1909" s="880">
        <f t="shared" si="147"/>
        <v>44.638800000000003</v>
      </c>
      <c r="E1909" s="10">
        <v>20.164722000000001</v>
      </c>
      <c r="F1909" s="10">
        <v>44.638888999999999</v>
      </c>
      <c r="G1909" s="10">
        <v>1</v>
      </c>
      <c r="H1909" s="10" t="s">
        <v>1670</v>
      </c>
      <c r="I1909" s="10" t="s">
        <v>6010</v>
      </c>
      <c r="J1909" s="10" t="s">
        <v>6011</v>
      </c>
      <c r="K1909" s="10" t="s">
        <v>6012</v>
      </c>
      <c r="L1909" s="65" t="str">
        <f t="shared" si="148"/>
        <v>Zvecka|Serbia|20,164722|44,638889|+1:00 Europe</v>
      </c>
      <c r="M1909" s="10" t="s">
        <v>6021</v>
      </c>
      <c r="N1909" s="10">
        <f t="shared" si="145"/>
        <v>0</v>
      </c>
      <c r="O1909" t="str">
        <f t="shared" si="149"/>
        <v/>
      </c>
      <c r="P1909" t="str">
        <f>IF(O1909=1,COUNTIF($O$2:O1909,1),"")</f>
        <v/>
      </c>
      <c r="Q1909" t="str">
        <f>IFERROR(INDEX($M$2:$M$2388,MATCH(ROWS($P$2:P1909),$P$2:$P$2388,0)),"")</f>
        <v/>
      </c>
    </row>
    <row r="1910" spans="1:17" ht="15" x14ac:dyDescent="0.25">
      <c r="A1910" s="10">
        <v>2017</v>
      </c>
      <c r="B1910" s="10" t="s">
        <v>6022</v>
      </c>
      <c r="C1910" s="880">
        <f t="shared" si="146"/>
        <v>-13.2341</v>
      </c>
      <c r="D1910" s="880">
        <f t="shared" si="147"/>
        <v>8.49</v>
      </c>
      <c r="E1910" s="10">
        <v>-13.234166999999999</v>
      </c>
      <c r="F1910" s="10">
        <v>8.49</v>
      </c>
      <c r="G1910" s="10">
        <v>0</v>
      </c>
      <c r="H1910" s="10" t="s">
        <v>2318</v>
      </c>
      <c r="I1910" s="10" t="s">
        <v>6023</v>
      </c>
      <c r="J1910" s="10" t="s">
        <v>6024</v>
      </c>
      <c r="K1910" s="10" t="s">
        <v>6025</v>
      </c>
      <c r="L1910" s="65" t="str">
        <f t="shared" si="148"/>
        <v>Freetown|Sierra Leone|-13,234167|8,490000|+0:00 Africa</v>
      </c>
      <c r="M1910" s="10" t="s">
        <v>6026</v>
      </c>
      <c r="N1910" s="10">
        <f t="shared" si="145"/>
        <v>0</v>
      </c>
      <c r="O1910" t="str">
        <f t="shared" si="149"/>
        <v/>
      </c>
      <c r="P1910" t="str">
        <f>IF(O1910=1,COUNTIF($O$2:O1910,1),"")</f>
        <v/>
      </c>
      <c r="Q1910" t="str">
        <f>IFERROR(INDEX($M$2:$M$2388,MATCH(ROWS($P$2:P1910),$P$2:$P$2388,0)),"")</f>
        <v/>
      </c>
    </row>
    <row r="1911" spans="1:17" ht="15" x14ac:dyDescent="0.25">
      <c r="A1911" s="10">
        <v>2016</v>
      </c>
      <c r="B1911" s="10" t="s">
        <v>6027</v>
      </c>
      <c r="C1911" s="880">
        <f t="shared" si="146"/>
        <v>-10.6166</v>
      </c>
      <c r="D1911" s="880">
        <f t="shared" si="147"/>
        <v>8.1333000000000002</v>
      </c>
      <c r="E1911" s="10">
        <v>-10.616667</v>
      </c>
      <c r="F1911" s="10">
        <v>8.1333330000000004</v>
      </c>
      <c r="G1911" s="10">
        <v>0</v>
      </c>
      <c r="H1911" s="10" t="s">
        <v>2318</v>
      </c>
      <c r="I1911" s="10" t="s">
        <v>6023</v>
      </c>
      <c r="J1911" s="10" t="s">
        <v>6024</v>
      </c>
      <c r="K1911" s="10" t="s">
        <v>6025</v>
      </c>
      <c r="L1911" s="65" t="str">
        <f t="shared" si="148"/>
        <v>Tombodu|Sierra Leone|-10,616667|8,133333|+0:00 Africa</v>
      </c>
      <c r="M1911" s="10" t="s">
        <v>6028</v>
      </c>
      <c r="N1911" s="10">
        <f t="shared" si="145"/>
        <v>0</v>
      </c>
      <c r="O1911" t="str">
        <f t="shared" si="149"/>
        <v/>
      </c>
      <c r="P1911" t="str">
        <f>IF(O1911=1,COUNTIF($O$2:O1911,1),"")</f>
        <v/>
      </c>
      <c r="Q1911" t="str">
        <f>IFERROR(INDEX($M$2:$M$2388,MATCH(ROWS($P$2:P1911),$P$2:$P$2388,0)),"")</f>
        <v/>
      </c>
    </row>
    <row r="1912" spans="1:17" ht="15" x14ac:dyDescent="0.25">
      <c r="A1912" s="10">
        <v>2015</v>
      </c>
      <c r="B1912" s="10" t="s">
        <v>6029</v>
      </c>
      <c r="C1912" s="880">
        <f t="shared" si="146"/>
        <v>-13.071899999999999</v>
      </c>
      <c r="D1912" s="880">
        <f t="shared" si="147"/>
        <v>8.3383000000000003</v>
      </c>
      <c r="E1912" s="10">
        <v>-13.071944</v>
      </c>
      <c r="F1912" s="10">
        <v>8.3383330000000004</v>
      </c>
      <c r="G1912" s="10">
        <v>0</v>
      </c>
      <c r="H1912" s="10" t="s">
        <v>2318</v>
      </c>
      <c r="I1912" s="10" t="s">
        <v>6023</v>
      </c>
      <c r="J1912" s="10" t="s">
        <v>6024</v>
      </c>
      <c r="K1912" s="10" t="s">
        <v>6025</v>
      </c>
      <c r="L1912" s="65" t="str">
        <f t="shared" si="148"/>
        <v>Waterloo|Sierra Leone|-13,071944|8,338333|+0:00 Africa</v>
      </c>
      <c r="M1912" s="10" t="s">
        <v>6030</v>
      </c>
      <c r="N1912" s="10">
        <f t="shared" si="145"/>
        <v>0</v>
      </c>
      <c r="O1912" t="str">
        <f t="shared" si="149"/>
        <v/>
      </c>
      <c r="P1912" t="str">
        <f>IF(O1912=1,COUNTIF($O$2:O1912,1),"")</f>
        <v/>
      </c>
      <c r="Q1912" t="str">
        <f>IFERROR(INDEX($M$2:$M$2388,MATCH(ROWS($P$2:P1912),$P$2:$P$2388,0)),"")</f>
        <v/>
      </c>
    </row>
    <row r="1913" spans="1:17" ht="15" x14ac:dyDescent="0.25">
      <c r="A1913" s="10">
        <v>2014</v>
      </c>
      <c r="B1913" s="10" t="s">
        <v>6031</v>
      </c>
      <c r="C1913" s="880">
        <f t="shared" si="146"/>
        <v>-11.166600000000001</v>
      </c>
      <c r="D1913" s="880">
        <f t="shared" si="147"/>
        <v>8.7165999999999997</v>
      </c>
      <c r="E1913" s="10">
        <v>-11.166667</v>
      </c>
      <c r="F1913" s="10">
        <v>8.7166669999999993</v>
      </c>
      <c r="G1913" s="10">
        <v>0</v>
      </c>
      <c r="H1913" s="10" t="s">
        <v>2318</v>
      </c>
      <c r="I1913" s="10" t="s">
        <v>6023</v>
      </c>
      <c r="J1913" s="10" t="s">
        <v>6024</v>
      </c>
      <c r="K1913" s="10" t="s">
        <v>6025</v>
      </c>
      <c r="L1913" s="65" t="str">
        <f t="shared" si="148"/>
        <v>Yengema|Sierra Leone|-11,166667|8,716667|+0:00 Africa</v>
      </c>
      <c r="M1913" s="10" t="s">
        <v>6032</v>
      </c>
      <c r="N1913" s="10">
        <f t="shared" si="145"/>
        <v>0</v>
      </c>
      <c r="O1913" t="str">
        <f t="shared" si="149"/>
        <v/>
      </c>
      <c r="P1913" t="str">
        <f>IF(O1913=1,COUNTIF($O$2:O1913,1),"")</f>
        <v/>
      </c>
      <c r="Q1913" t="str">
        <f>IFERROR(INDEX($M$2:$M$2388,MATCH(ROWS($P$2:P1913),$P$2:$P$2388,0)),"")</f>
        <v/>
      </c>
    </row>
    <row r="1914" spans="1:17" ht="15" x14ac:dyDescent="0.25">
      <c r="A1914" s="10">
        <v>2004</v>
      </c>
      <c r="B1914" s="10" t="s">
        <v>6033</v>
      </c>
      <c r="C1914" s="880">
        <f t="shared" si="146"/>
        <v>103.8558</v>
      </c>
      <c r="D1914" s="880">
        <f t="shared" si="147"/>
        <v>1.2929999999999999</v>
      </c>
      <c r="E1914" s="10">
        <v>103.855835</v>
      </c>
      <c r="F1914" s="10">
        <v>1.293056</v>
      </c>
      <c r="G1914" s="10">
        <v>8</v>
      </c>
      <c r="H1914" s="10" t="s">
        <v>1831</v>
      </c>
      <c r="I1914" s="10" t="s">
        <v>182</v>
      </c>
      <c r="J1914" s="10" t="s">
        <v>6033</v>
      </c>
      <c r="K1914" s="10" t="s">
        <v>6034</v>
      </c>
      <c r="L1914" s="65" t="str">
        <f t="shared" si="148"/>
        <v>Singapore|Singapore|103,855835|1,293056|+8:00 Asia</v>
      </c>
      <c r="M1914" s="10" t="s">
        <v>6035</v>
      </c>
      <c r="N1914" s="10">
        <f t="shared" si="145"/>
        <v>0</v>
      </c>
      <c r="O1914" t="str">
        <f t="shared" si="149"/>
        <v/>
      </c>
      <c r="P1914" t="str">
        <f>IF(O1914=1,COUNTIF($O$2:O1914,1),"")</f>
        <v/>
      </c>
      <c r="Q1914" t="str">
        <f>IFERROR(INDEX($M$2:$M$2388,MATCH(ROWS($P$2:P1914),$P$2:$P$2388,0)),"")</f>
        <v/>
      </c>
    </row>
    <row r="1915" spans="1:17" ht="15" x14ac:dyDescent="0.25">
      <c r="A1915" s="10">
        <v>2013</v>
      </c>
      <c r="B1915" s="10" t="s">
        <v>6036</v>
      </c>
      <c r="C1915" s="880">
        <f t="shared" si="146"/>
        <v>17.116599999999998</v>
      </c>
      <c r="D1915" s="880">
        <f t="shared" si="147"/>
        <v>48.15</v>
      </c>
      <c r="E1915" s="10">
        <v>17.116667</v>
      </c>
      <c r="F1915" s="10">
        <v>48.150002000000001</v>
      </c>
      <c r="G1915" s="10">
        <v>1</v>
      </c>
      <c r="H1915" s="10" t="s">
        <v>1670</v>
      </c>
      <c r="I1915" s="10" t="s">
        <v>6037</v>
      </c>
      <c r="J1915" s="10" t="s">
        <v>6038</v>
      </c>
      <c r="K1915" s="10" t="s">
        <v>6039</v>
      </c>
      <c r="L1915" s="65" t="str">
        <f t="shared" si="148"/>
        <v>Bratislava|Slovakia|17,116667|48,150002|+1:00 Europe</v>
      </c>
      <c r="M1915" s="10" t="s">
        <v>6040</v>
      </c>
      <c r="N1915" s="10">
        <f t="shared" si="145"/>
        <v>0</v>
      </c>
      <c r="O1915" t="str">
        <f t="shared" si="149"/>
        <v/>
      </c>
      <c r="P1915" t="str">
        <f>IF(O1915=1,COUNTIF($O$2:O1915,1),"")</f>
        <v/>
      </c>
      <c r="Q1915" t="str">
        <f>IFERROR(INDEX($M$2:$M$2388,MATCH(ROWS($P$2:P1915),$P$2:$P$2388,0)),"")</f>
        <v/>
      </c>
    </row>
    <row r="1916" spans="1:17" ht="15" x14ac:dyDescent="0.25">
      <c r="A1916" s="10">
        <v>2012</v>
      </c>
      <c r="B1916" s="10" t="s">
        <v>6041</v>
      </c>
      <c r="C1916" s="880">
        <f t="shared" si="146"/>
        <v>21.25</v>
      </c>
      <c r="D1916" s="880">
        <f t="shared" si="147"/>
        <v>48.7166</v>
      </c>
      <c r="E1916" s="10">
        <v>21.25</v>
      </c>
      <c r="F1916" s="10">
        <v>48.716667000000001</v>
      </c>
      <c r="G1916" s="10">
        <v>1</v>
      </c>
      <c r="H1916" s="10" t="s">
        <v>1670</v>
      </c>
      <c r="I1916" s="10" t="s">
        <v>6037</v>
      </c>
      <c r="J1916" s="10" t="s">
        <v>6038</v>
      </c>
      <c r="K1916" s="10" t="s">
        <v>6039</v>
      </c>
      <c r="L1916" s="65" t="str">
        <f t="shared" si="148"/>
        <v>Kosice|Slovakia|21,250000|48,716667|+1:00 Europe</v>
      </c>
      <c r="M1916" s="10" t="s">
        <v>6042</v>
      </c>
      <c r="N1916" s="10">
        <f t="shared" si="145"/>
        <v>0</v>
      </c>
      <c r="O1916" t="str">
        <f t="shared" si="149"/>
        <v/>
      </c>
      <c r="P1916" t="str">
        <f>IF(O1916=1,COUNTIF($O$2:O1916,1),"")</f>
        <v/>
      </c>
      <c r="Q1916" t="str">
        <f>IFERROR(INDEX($M$2:$M$2388,MATCH(ROWS($P$2:P1916),$P$2:$P$2388,0)),"")</f>
        <v/>
      </c>
    </row>
    <row r="1917" spans="1:17" ht="15" x14ac:dyDescent="0.25">
      <c r="A1917" s="10">
        <v>2011</v>
      </c>
      <c r="B1917" s="10" t="s">
        <v>6043</v>
      </c>
      <c r="C1917" s="880">
        <f t="shared" si="146"/>
        <v>20.2</v>
      </c>
      <c r="D1917" s="880">
        <f t="shared" si="147"/>
        <v>49.066600000000001</v>
      </c>
      <c r="E1917" s="10">
        <v>20.200001</v>
      </c>
      <c r="F1917" s="10">
        <v>49.066665999999998</v>
      </c>
      <c r="G1917" s="10">
        <v>1</v>
      </c>
      <c r="H1917" s="10" t="s">
        <v>1670</v>
      </c>
      <c r="I1917" s="10" t="s">
        <v>6037</v>
      </c>
      <c r="J1917" s="10" t="s">
        <v>6038</v>
      </c>
      <c r="K1917" s="10" t="s">
        <v>6039</v>
      </c>
      <c r="L1917" s="65" t="str">
        <f t="shared" si="148"/>
        <v>Svit|Slovakia|20,200001|49,066666|+1:00 Europe</v>
      </c>
      <c r="M1917" s="10" t="s">
        <v>6044</v>
      </c>
      <c r="N1917" s="10">
        <f t="shared" si="145"/>
        <v>0</v>
      </c>
      <c r="O1917" t="str">
        <f t="shared" si="149"/>
        <v/>
      </c>
      <c r="P1917" t="str">
        <f>IF(O1917=1,COUNTIF($O$2:O1917,1),"")</f>
        <v/>
      </c>
      <c r="Q1917" t="str">
        <f>IFERROR(INDEX($M$2:$M$2388,MATCH(ROWS($P$2:P1917),$P$2:$P$2388,0)),"")</f>
        <v/>
      </c>
    </row>
    <row r="1918" spans="1:17" ht="15" x14ac:dyDescent="0.25">
      <c r="A1918" s="10">
        <v>2010</v>
      </c>
      <c r="B1918" s="10" t="s">
        <v>6045</v>
      </c>
      <c r="C1918" s="880">
        <f t="shared" si="146"/>
        <v>21.7166</v>
      </c>
      <c r="D1918" s="880">
        <f t="shared" si="147"/>
        <v>48.633299999999998</v>
      </c>
      <c r="E1918" s="10">
        <v>21.716667000000001</v>
      </c>
      <c r="F1918" s="10">
        <v>48.633335000000002</v>
      </c>
      <c r="G1918" s="10">
        <v>1</v>
      </c>
      <c r="H1918" s="10" t="s">
        <v>1670</v>
      </c>
      <c r="I1918" s="10" t="s">
        <v>6037</v>
      </c>
      <c r="J1918" s="10" t="s">
        <v>6038</v>
      </c>
      <c r="K1918" s="10" t="s">
        <v>6039</v>
      </c>
      <c r="L1918" s="65" t="str">
        <f t="shared" si="148"/>
        <v>Trebisov|Slovakia|21,716667|48,633335|+1:00 Europe</v>
      </c>
      <c r="M1918" s="10" t="s">
        <v>6046</v>
      </c>
      <c r="N1918" s="10">
        <f t="shared" si="145"/>
        <v>0</v>
      </c>
      <c r="O1918" t="str">
        <f t="shared" si="149"/>
        <v/>
      </c>
      <c r="P1918" t="str">
        <f>IF(O1918=1,COUNTIF($O$2:O1918,1),"")</f>
        <v/>
      </c>
      <c r="Q1918" t="str">
        <f>IFERROR(INDEX($M$2:$M$2388,MATCH(ROWS($P$2:P1918),$P$2:$P$2388,0)),"")</f>
        <v/>
      </c>
    </row>
    <row r="1919" spans="1:17" ht="15" x14ac:dyDescent="0.25">
      <c r="A1919" s="10">
        <v>2009</v>
      </c>
      <c r="B1919" s="10" t="s">
        <v>6047</v>
      </c>
      <c r="C1919" s="880">
        <f t="shared" si="146"/>
        <v>21.683299999999999</v>
      </c>
      <c r="D1919" s="880">
        <f t="shared" si="147"/>
        <v>48.9</v>
      </c>
      <c r="E1919" s="10">
        <v>21.683332</v>
      </c>
      <c r="F1919" s="10">
        <v>48.900002000000001</v>
      </c>
      <c r="G1919" s="10">
        <v>1</v>
      </c>
      <c r="H1919" s="10" t="s">
        <v>1670</v>
      </c>
      <c r="I1919" s="10" t="s">
        <v>6037</v>
      </c>
      <c r="J1919" s="10" t="s">
        <v>6038</v>
      </c>
      <c r="K1919" s="10" t="s">
        <v>6039</v>
      </c>
      <c r="L1919" s="65" t="str">
        <f t="shared" si="148"/>
        <v>Vranov nad Topl'ou|Slovakia|21,683332|48,900002|+1:00 Europe</v>
      </c>
      <c r="M1919" s="10" t="s">
        <v>6048</v>
      </c>
      <c r="N1919" s="10">
        <f t="shared" si="145"/>
        <v>0</v>
      </c>
      <c r="O1919" t="str">
        <f t="shared" si="149"/>
        <v/>
      </c>
      <c r="P1919" t="str">
        <f>IF(O1919=1,COUNTIF($O$2:O1919,1),"")</f>
        <v/>
      </c>
      <c r="Q1919" t="str">
        <f>IFERROR(INDEX($M$2:$M$2388,MATCH(ROWS($P$2:P1919),$P$2:$P$2388,0)),"")</f>
        <v/>
      </c>
    </row>
    <row r="1920" spans="1:17" ht="15" x14ac:dyDescent="0.25">
      <c r="A1920" s="10">
        <v>2008</v>
      </c>
      <c r="B1920" s="10" t="s">
        <v>6049</v>
      </c>
      <c r="C1920" s="880">
        <f t="shared" si="146"/>
        <v>14.5144</v>
      </c>
      <c r="D1920" s="880">
        <f t="shared" si="147"/>
        <v>46.055199999999999</v>
      </c>
      <c r="E1920" s="10">
        <v>14.514443999999999</v>
      </c>
      <c r="F1920" s="10">
        <v>46.055278999999999</v>
      </c>
      <c r="G1920" s="10">
        <v>1</v>
      </c>
      <c r="H1920" s="10" t="s">
        <v>1670</v>
      </c>
      <c r="I1920" s="10" t="s">
        <v>6050</v>
      </c>
      <c r="J1920" s="10" t="s">
        <v>6051</v>
      </c>
      <c r="K1920" s="10" t="s">
        <v>6052</v>
      </c>
      <c r="L1920" s="65" t="str">
        <f t="shared" si="148"/>
        <v>Ljubljana|Slovenia|14,514444|46,055279|+1:00 Europe</v>
      </c>
      <c r="M1920" s="10" t="s">
        <v>6053</v>
      </c>
      <c r="N1920" s="10">
        <f t="shared" si="145"/>
        <v>0</v>
      </c>
      <c r="O1920" t="str">
        <f t="shared" si="149"/>
        <v/>
      </c>
      <c r="P1920" t="str">
        <f>IF(O1920=1,COUNTIF($O$2:O1920,1),"")</f>
        <v/>
      </c>
      <c r="Q1920" t="str">
        <f>IFERROR(INDEX($M$2:$M$2388,MATCH(ROWS($P$2:P1920),$P$2:$P$2388,0)),"")</f>
        <v/>
      </c>
    </row>
    <row r="1921" spans="1:17" ht="15" x14ac:dyDescent="0.25">
      <c r="A1921" s="10">
        <v>2007</v>
      </c>
      <c r="B1921" s="10" t="s">
        <v>6054</v>
      </c>
      <c r="C1921" s="880">
        <f t="shared" si="146"/>
        <v>15.0533</v>
      </c>
      <c r="D1921" s="880">
        <f t="shared" si="147"/>
        <v>46.154899999999998</v>
      </c>
      <c r="E1921" s="10">
        <v>15.053333</v>
      </c>
      <c r="F1921" s="10">
        <v>46.154998999999997</v>
      </c>
      <c r="G1921" s="10">
        <v>1</v>
      </c>
      <c r="H1921" s="10" t="s">
        <v>1670</v>
      </c>
      <c r="I1921" s="10" t="s">
        <v>6050</v>
      </c>
      <c r="J1921" s="10" t="s">
        <v>6051</v>
      </c>
      <c r="K1921" s="10" t="s">
        <v>6052</v>
      </c>
      <c r="L1921" s="65" t="str">
        <f t="shared" si="148"/>
        <v>Trbovlje|Slovenia|15,053333|46,154999|+1:00 Europe</v>
      </c>
      <c r="M1921" s="10" t="s">
        <v>6055</v>
      </c>
      <c r="N1921" s="10">
        <f t="shared" si="145"/>
        <v>0</v>
      </c>
      <c r="O1921" t="str">
        <f t="shared" si="149"/>
        <v/>
      </c>
      <c r="P1921" t="str">
        <f>IF(O1921=1,COUNTIF($O$2:O1921,1),"")</f>
        <v/>
      </c>
      <c r="Q1921" t="str">
        <f>IFERROR(INDEX($M$2:$M$2388,MATCH(ROWS($P$2:P1921),$P$2:$P$2388,0)),"")</f>
        <v/>
      </c>
    </row>
    <row r="1922" spans="1:17" ht="15" x14ac:dyDescent="0.25">
      <c r="A1922" s="10">
        <v>2006</v>
      </c>
      <c r="B1922" s="10" t="s">
        <v>6056</v>
      </c>
      <c r="C1922" s="880">
        <f t="shared" si="146"/>
        <v>14.295500000000001</v>
      </c>
      <c r="D1922" s="880">
        <f t="shared" si="147"/>
        <v>45.966099999999997</v>
      </c>
      <c r="E1922" s="10">
        <v>14.295555999999999</v>
      </c>
      <c r="F1922" s="10">
        <v>45.96611</v>
      </c>
      <c r="G1922" s="10">
        <v>1</v>
      </c>
      <c r="H1922" s="10" t="s">
        <v>1670</v>
      </c>
      <c r="I1922" s="10" t="s">
        <v>6050</v>
      </c>
      <c r="J1922" s="10" t="s">
        <v>6051</v>
      </c>
      <c r="K1922" s="10" t="s">
        <v>6052</v>
      </c>
      <c r="L1922" s="65" t="str">
        <f t="shared" si="148"/>
        <v>Vrhnika|Slovenia|14,295556|45,966110|+1:00 Europe</v>
      </c>
      <c r="M1922" s="10" t="s">
        <v>6057</v>
      </c>
      <c r="N1922" s="10">
        <f t="shared" ref="N1922:N1985" si="150">--ISNUMBER(IFERROR(SEARCH($R$2,J1922,1),""))</f>
        <v>0</v>
      </c>
      <c r="O1922" t="str">
        <f t="shared" si="149"/>
        <v/>
      </c>
      <c r="P1922" t="str">
        <f>IF(O1922=1,COUNTIF($O$2:O1922,1),"")</f>
        <v/>
      </c>
      <c r="Q1922" t="str">
        <f>IFERROR(INDEX($M$2:$M$2388,MATCH(ROWS($P$2:P1922),$P$2:$P$2388,0)),"")</f>
        <v/>
      </c>
    </row>
    <row r="1923" spans="1:17" ht="15" x14ac:dyDescent="0.25">
      <c r="A1923" s="10">
        <v>2005</v>
      </c>
      <c r="B1923" s="10" t="s">
        <v>6058</v>
      </c>
      <c r="C1923" s="880">
        <f t="shared" ref="C1923:C1986" si="151">TRUNC(E1923,4)</f>
        <v>15.001300000000001</v>
      </c>
      <c r="D1923" s="880">
        <f t="shared" ref="D1923:D1986" si="152">TRUNC(F1923,4)</f>
        <v>46.134099999999997</v>
      </c>
      <c r="E1923" s="10">
        <v>15.001389</v>
      </c>
      <c r="F1923" s="10">
        <v>46.134166999999998</v>
      </c>
      <c r="G1923" s="10">
        <v>1</v>
      </c>
      <c r="H1923" s="10" t="s">
        <v>1670</v>
      </c>
      <c r="I1923" s="10" t="s">
        <v>6050</v>
      </c>
      <c r="J1923" s="10" t="s">
        <v>6051</v>
      </c>
      <c r="K1923" s="10" t="s">
        <v>6052</v>
      </c>
      <c r="L1923" s="65" t="str">
        <f t="shared" ref="L1923:L1986" si="153">MID(M1923,1,LEN(M1923)-(LEN(K1923)-SEARCH("/",K1923)+1))</f>
        <v>Zagorje ob Savi|Slovenia|15,001389|46,134167|+1:00 Europe</v>
      </c>
      <c r="M1923" s="10" t="s">
        <v>6059</v>
      </c>
      <c r="N1923" s="10">
        <f t="shared" si="150"/>
        <v>0</v>
      </c>
      <c r="O1923" t="str">
        <f t="shared" ref="O1923:O1986" si="154">IF(N1923=0,"",--ISNUMBER(IFERROR(SEARCH($U$2,L1923,1),"")))</f>
        <v/>
      </c>
      <c r="P1923" t="str">
        <f>IF(O1923=1,COUNTIF($O$2:O1923,1),"")</f>
        <v/>
      </c>
      <c r="Q1923" t="str">
        <f>IFERROR(INDEX($M$2:$M$2388,MATCH(ROWS($P$2:P1923),$P$2:$P$2388,0)),"")</f>
        <v/>
      </c>
    </row>
    <row r="1924" spans="1:17" ht="15" x14ac:dyDescent="0.25">
      <c r="A1924" s="10">
        <v>1986</v>
      </c>
      <c r="B1924" s="10" t="s">
        <v>6060</v>
      </c>
      <c r="C1924" s="880">
        <f t="shared" si="151"/>
        <v>156.85</v>
      </c>
      <c r="D1924" s="880">
        <f t="shared" si="152"/>
        <v>-8.1</v>
      </c>
      <c r="E1924" s="10">
        <v>156.85000600000001</v>
      </c>
      <c r="F1924" s="10">
        <v>-8.1</v>
      </c>
      <c r="G1924" s="10">
        <v>11</v>
      </c>
      <c r="H1924" s="10" t="s">
        <v>5195</v>
      </c>
      <c r="I1924" s="10" t="s">
        <v>6061</v>
      </c>
      <c r="J1924" s="10" t="s">
        <v>6062</v>
      </c>
      <c r="K1924" s="10" t="s">
        <v>6063</v>
      </c>
      <c r="L1924" s="65" t="str">
        <f t="shared" si="153"/>
        <v>Gizo|Solomon Islands|156,850006|-8,100000|+11:00 Pacific</v>
      </c>
      <c r="M1924" s="10" t="s">
        <v>6064</v>
      </c>
      <c r="N1924" s="10">
        <f t="shared" si="150"/>
        <v>0</v>
      </c>
      <c r="O1924" t="str">
        <f t="shared" si="154"/>
        <v/>
      </c>
      <c r="P1924" t="str">
        <f>IF(O1924=1,COUNTIF($O$2:O1924,1),"")</f>
        <v/>
      </c>
      <c r="Q1924" t="str">
        <f>IFERROR(INDEX($M$2:$M$2388,MATCH(ROWS($P$2:P1924),$P$2:$P$2388,0)),"")</f>
        <v/>
      </c>
    </row>
    <row r="1925" spans="1:17" ht="15" x14ac:dyDescent="0.25">
      <c r="A1925" s="10">
        <v>1985</v>
      </c>
      <c r="B1925" s="10" t="s">
        <v>6065</v>
      </c>
      <c r="C1925" s="880">
        <f t="shared" si="151"/>
        <v>159.94990000000001</v>
      </c>
      <c r="D1925" s="880">
        <f t="shared" si="152"/>
        <v>-9.4332999999999991</v>
      </c>
      <c r="E1925" s="10">
        <v>159.949997</v>
      </c>
      <c r="F1925" s="10">
        <v>-9.4333329999999993</v>
      </c>
      <c r="G1925" s="10">
        <v>11</v>
      </c>
      <c r="H1925" s="10" t="s">
        <v>5195</v>
      </c>
      <c r="I1925" s="10" t="s">
        <v>6061</v>
      </c>
      <c r="J1925" s="10" t="s">
        <v>6062</v>
      </c>
      <c r="K1925" s="10" t="s">
        <v>6063</v>
      </c>
      <c r="L1925" s="65" t="str">
        <f t="shared" si="153"/>
        <v>Honiara|Solomon Islands|159,949997|-9,433333|+11:00 Pacific</v>
      </c>
      <c r="M1925" s="10" t="s">
        <v>6066</v>
      </c>
      <c r="N1925" s="10">
        <f t="shared" si="150"/>
        <v>0</v>
      </c>
      <c r="O1925" t="str">
        <f t="shared" si="154"/>
        <v/>
      </c>
      <c r="P1925" t="str">
        <f>IF(O1925=1,COUNTIF($O$2:O1925,1),"")</f>
        <v/>
      </c>
      <c r="Q1925" t="str">
        <f>IFERROR(INDEX($M$2:$M$2388,MATCH(ROWS($P$2:P1925),$P$2:$P$2388,0)),"")</f>
        <v/>
      </c>
    </row>
    <row r="1926" spans="1:17" ht="15" x14ac:dyDescent="0.25">
      <c r="A1926" s="10">
        <v>2032</v>
      </c>
      <c r="B1926" s="10" t="s">
        <v>6067</v>
      </c>
      <c r="C1926" s="880">
        <f t="shared" si="151"/>
        <v>45.016300000000001</v>
      </c>
      <c r="D1926" s="880">
        <f t="shared" si="152"/>
        <v>10.435499999999999</v>
      </c>
      <c r="E1926" s="10">
        <v>45.016387999999999</v>
      </c>
      <c r="F1926" s="10">
        <v>10.435555000000001</v>
      </c>
      <c r="G1926" s="10">
        <v>3</v>
      </c>
      <c r="H1926" s="10" t="s">
        <v>1883</v>
      </c>
      <c r="I1926" s="10" t="s">
        <v>6068</v>
      </c>
      <c r="J1926" s="10" t="s">
        <v>6069</v>
      </c>
      <c r="K1926" s="10" t="s">
        <v>6070</v>
      </c>
      <c r="L1926" s="65" t="str">
        <f t="shared" si="153"/>
        <v>Berbera|Somalia|45,016388|10,435555|+3:00 Africa</v>
      </c>
      <c r="M1926" s="10" t="s">
        <v>6071</v>
      </c>
      <c r="N1926" s="10">
        <f t="shared" si="150"/>
        <v>0</v>
      </c>
      <c r="O1926" t="str">
        <f t="shared" si="154"/>
        <v/>
      </c>
      <c r="P1926" t="str">
        <f>IF(O1926=1,COUNTIF($O$2:O1926,1),"")</f>
        <v/>
      </c>
      <c r="Q1926" t="str">
        <f>IFERROR(INDEX($M$2:$M$2388,MATCH(ROWS($P$2:P1926),$P$2:$P$2388,0)),"")</f>
        <v/>
      </c>
    </row>
    <row r="1927" spans="1:17" ht="15" x14ac:dyDescent="0.25">
      <c r="A1927" s="10">
        <v>2030</v>
      </c>
      <c r="B1927" s="10" t="s">
        <v>6072</v>
      </c>
      <c r="C1927" s="880">
        <f t="shared" si="151"/>
        <v>42.533299999999997</v>
      </c>
      <c r="D1927" s="880">
        <f t="shared" si="152"/>
        <v>-0.36659999999999998</v>
      </c>
      <c r="E1927" s="10">
        <v>42.533332999999999</v>
      </c>
      <c r="F1927" s="10">
        <v>-0.36666700000000002</v>
      </c>
      <c r="G1927" s="10">
        <v>3</v>
      </c>
      <c r="H1927" s="10" t="s">
        <v>1883</v>
      </c>
      <c r="I1927" s="10" t="s">
        <v>6068</v>
      </c>
      <c r="J1927" s="10" t="s">
        <v>6069</v>
      </c>
      <c r="K1927" s="10" t="s">
        <v>6070</v>
      </c>
      <c r="L1927" s="65" t="str">
        <f t="shared" si="153"/>
        <v>Chisimayu|Somalia|42,533333|-0,366667|+3:00 Africa</v>
      </c>
      <c r="M1927" s="10" t="s">
        <v>6073</v>
      </c>
      <c r="N1927" s="10">
        <f t="shared" si="150"/>
        <v>0</v>
      </c>
      <c r="O1927" t="str">
        <f t="shared" si="154"/>
        <v/>
      </c>
      <c r="P1927" t="str">
        <f>IF(O1927=1,COUNTIF($O$2:O1927,1),"")</f>
        <v/>
      </c>
      <c r="Q1927" t="str">
        <f>IFERROR(INDEX($M$2:$M$2388,MATCH(ROWS($P$2:P1927),$P$2:$P$2388,0)),"")</f>
        <v/>
      </c>
    </row>
    <row r="1928" spans="1:17" ht="15" x14ac:dyDescent="0.25">
      <c r="A1928" s="10">
        <v>2031</v>
      </c>
      <c r="B1928" s="10" t="s">
        <v>6074</v>
      </c>
      <c r="C1928" s="880">
        <f t="shared" si="151"/>
        <v>44.064900000000002</v>
      </c>
      <c r="D1928" s="880">
        <f t="shared" si="152"/>
        <v>9.56</v>
      </c>
      <c r="E1928" s="10">
        <v>44.064999</v>
      </c>
      <c r="F1928" s="10">
        <v>9.56</v>
      </c>
      <c r="G1928" s="10">
        <v>3</v>
      </c>
      <c r="H1928" s="10" t="s">
        <v>1883</v>
      </c>
      <c r="I1928" s="10" t="s">
        <v>6068</v>
      </c>
      <c r="J1928" s="10" t="s">
        <v>6069</v>
      </c>
      <c r="K1928" s="10" t="s">
        <v>6070</v>
      </c>
      <c r="L1928" s="65" t="str">
        <f t="shared" si="153"/>
        <v>Hargeysa|Somalia|44,064999|9,560000|+3:00 Africa</v>
      </c>
      <c r="M1928" s="10" t="s">
        <v>6075</v>
      </c>
      <c r="N1928" s="10">
        <f t="shared" si="150"/>
        <v>0</v>
      </c>
      <c r="O1928" t="str">
        <f t="shared" si="154"/>
        <v/>
      </c>
      <c r="P1928" t="str">
        <f>IF(O1928=1,COUNTIF($O$2:O1928,1),"")</f>
        <v/>
      </c>
      <c r="Q1928" t="str">
        <f>IFERROR(INDEX($M$2:$M$2388,MATCH(ROWS($P$2:P1928),$P$2:$P$2388,0)),"")</f>
        <v/>
      </c>
    </row>
    <row r="1929" spans="1:17" ht="15" x14ac:dyDescent="0.25">
      <c r="A1929" s="10">
        <v>2029</v>
      </c>
      <c r="B1929" s="10" t="s">
        <v>6076</v>
      </c>
      <c r="C1929" s="880">
        <f t="shared" si="151"/>
        <v>45.366599999999998</v>
      </c>
      <c r="D1929" s="880">
        <f t="shared" si="152"/>
        <v>2.0666000000000002</v>
      </c>
      <c r="E1929" s="10">
        <v>45.366664999999998</v>
      </c>
      <c r="F1929" s="10">
        <v>2.0666669999999998</v>
      </c>
      <c r="G1929" s="10">
        <v>3</v>
      </c>
      <c r="H1929" s="10" t="s">
        <v>1883</v>
      </c>
      <c r="I1929" s="10" t="s">
        <v>6068</v>
      </c>
      <c r="J1929" s="10" t="s">
        <v>6069</v>
      </c>
      <c r="K1929" s="10" t="s">
        <v>6070</v>
      </c>
      <c r="L1929" s="65" t="str">
        <f t="shared" si="153"/>
        <v>Mogadishu|Somalia|45,366665|2,066667|+3:00 Africa</v>
      </c>
      <c r="M1929" s="10" t="s">
        <v>6077</v>
      </c>
      <c r="N1929" s="10">
        <f t="shared" si="150"/>
        <v>0</v>
      </c>
      <c r="O1929" t="str">
        <f t="shared" si="154"/>
        <v/>
      </c>
      <c r="P1929" t="str">
        <f>IF(O1929=1,COUNTIF($O$2:O1929,1),"")</f>
        <v/>
      </c>
      <c r="Q1929" t="str">
        <f>IFERROR(INDEX($M$2:$M$2388,MATCH(ROWS($P$2:P1929),$P$2:$P$2388,0)),"")</f>
        <v/>
      </c>
    </row>
    <row r="1930" spans="1:17" ht="15" x14ac:dyDescent="0.25">
      <c r="A1930" s="10">
        <v>2028</v>
      </c>
      <c r="B1930" s="10" t="s">
        <v>6078</v>
      </c>
      <c r="C1930" s="880">
        <f t="shared" si="151"/>
        <v>43.25</v>
      </c>
      <c r="D1930" s="880">
        <f t="shared" si="152"/>
        <v>3.8</v>
      </c>
      <c r="E1930" s="10">
        <v>43.25</v>
      </c>
      <c r="F1930" s="10">
        <v>3.8</v>
      </c>
      <c r="G1930" s="10">
        <v>3</v>
      </c>
      <c r="H1930" s="10" t="s">
        <v>1883</v>
      </c>
      <c r="I1930" s="10" t="s">
        <v>6068</v>
      </c>
      <c r="J1930" s="10" t="s">
        <v>6069</v>
      </c>
      <c r="K1930" s="10" t="s">
        <v>6070</v>
      </c>
      <c r="L1930" s="65" t="str">
        <f t="shared" si="153"/>
        <v>Waajid|Somalia|43,250000|3,800000|+3:00 Africa</v>
      </c>
      <c r="M1930" s="10" t="s">
        <v>6079</v>
      </c>
      <c r="N1930" s="10">
        <f t="shared" si="150"/>
        <v>0</v>
      </c>
      <c r="O1930" t="str">
        <f t="shared" si="154"/>
        <v/>
      </c>
      <c r="P1930" t="str">
        <f>IF(O1930=1,COUNTIF($O$2:O1930,1),"")</f>
        <v/>
      </c>
      <c r="Q1930" t="str">
        <f>IFERROR(INDEX($M$2:$M$2388,MATCH(ROWS($P$2:P1930),$P$2:$P$2388,0)),"")</f>
        <v/>
      </c>
    </row>
    <row r="1931" spans="1:17" ht="15" x14ac:dyDescent="0.25">
      <c r="A1931" s="10">
        <v>2027</v>
      </c>
      <c r="B1931" s="10" t="s">
        <v>6080</v>
      </c>
      <c r="C1931" s="880">
        <f t="shared" si="151"/>
        <v>44.9</v>
      </c>
      <c r="D1931" s="880">
        <f t="shared" si="152"/>
        <v>2.6166</v>
      </c>
      <c r="E1931" s="10">
        <v>44.900002000000001</v>
      </c>
      <c r="F1931" s="10">
        <v>2.6166670000000001</v>
      </c>
      <c r="G1931" s="10">
        <v>3</v>
      </c>
      <c r="H1931" s="10" t="s">
        <v>1883</v>
      </c>
      <c r="I1931" s="10" t="s">
        <v>6068</v>
      </c>
      <c r="J1931" s="10" t="s">
        <v>6069</v>
      </c>
      <c r="K1931" s="10" t="s">
        <v>6070</v>
      </c>
      <c r="L1931" s="65" t="str">
        <f t="shared" si="153"/>
        <v>Wanlaweyn|Somalia|44,900002|2,616667|+3:00 Africa</v>
      </c>
      <c r="M1931" s="10" t="s">
        <v>6081</v>
      </c>
      <c r="N1931" s="10">
        <f t="shared" si="150"/>
        <v>0</v>
      </c>
      <c r="O1931" t="str">
        <f t="shared" si="154"/>
        <v/>
      </c>
      <c r="P1931" t="str">
        <f>IF(O1931=1,COUNTIF($O$2:O1931,1),"")</f>
        <v/>
      </c>
      <c r="Q1931" t="str">
        <f>IFERROR(INDEX($M$2:$M$2388,MATCH(ROWS($P$2:P1931),$P$2:$P$2388,0)),"")</f>
        <v/>
      </c>
    </row>
    <row r="1932" spans="1:17" ht="15" x14ac:dyDescent="0.25">
      <c r="A1932" s="10">
        <v>2026</v>
      </c>
      <c r="B1932" s="10" t="s">
        <v>6082</v>
      </c>
      <c r="C1932" s="880">
        <f t="shared" si="151"/>
        <v>43.033299999999997</v>
      </c>
      <c r="D1932" s="880">
        <f t="shared" si="152"/>
        <v>4.55</v>
      </c>
      <c r="E1932" s="10">
        <v>43.033332999999999</v>
      </c>
      <c r="F1932" s="10">
        <v>4.55</v>
      </c>
      <c r="G1932" s="10">
        <v>3</v>
      </c>
      <c r="H1932" s="10" t="s">
        <v>1883</v>
      </c>
      <c r="I1932" s="10" t="s">
        <v>6068</v>
      </c>
      <c r="J1932" s="10" t="s">
        <v>6069</v>
      </c>
      <c r="K1932" s="10" t="s">
        <v>6070</v>
      </c>
      <c r="L1932" s="65" t="str">
        <f t="shared" si="153"/>
        <v>Yeed|Somalia|43,033333|4,550000|+3:00 Africa</v>
      </c>
      <c r="M1932" s="10" t="s">
        <v>6083</v>
      </c>
      <c r="N1932" s="10">
        <f t="shared" si="150"/>
        <v>0</v>
      </c>
      <c r="O1932" t="str">
        <f t="shared" si="154"/>
        <v/>
      </c>
      <c r="P1932" t="str">
        <f>IF(O1932=1,COUNTIF($O$2:O1932,1),"")</f>
        <v/>
      </c>
      <c r="Q1932" t="str">
        <f>IFERROR(INDEX($M$2:$M$2388,MATCH(ROWS($P$2:P1932),$P$2:$P$2388,0)),"")</f>
        <v/>
      </c>
    </row>
    <row r="1933" spans="1:17" ht="15" x14ac:dyDescent="0.25">
      <c r="A1933" s="10">
        <v>2369</v>
      </c>
      <c r="B1933" s="10" t="s">
        <v>6084</v>
      </c>
      <c r="C1933" s="880">
        <f t="shared" si="151"/>
        <v>28.316600000000001</v>
      </c>
      <c r="D1933" s="880">
        <f t="shared" si="152"/>
        <v>-26.183299999999999</v>
      </c>
      <c r="E1933" s="10">
        <v>28.316668</v>
      </c>
      <c r="F1933" s="10">
        <v>-26.183332</v>
      </c>
      <c r="G1933" s="10">
        <v>2</v>
      </c>
      <c r="H1933" s="10" t="s">
        <v>1938</v>
      </c>
      <c r="I1933" s="10" t="s">
        <v>6085</v>
      </c>
      <c r="J1933" s="10" t="s">
        <v>6086</v>
      </c>
      <c r="K1933" s="10" t="s">
        <v>6087</v>
      </c>
      <c r="L1933" s="65" t="str">
        <f t="shared" si="153"/>
        <v>Benoni|South Africa|28,316668|-26,183332|+2:00 Africa</v>
      </c>
      <c r="M1933" s="10" t="s">
        <v>6088</v>
      </c>
      <c r="N1933" s="10">
        <f t="shared" si="150"/>
        <v>0</v>
      </c>
      <c r="O1933" t="str">
        <f t="shared" si="154"/>
        <v/>
      </c>
      <c r="P1933" t="str">
        <f>IF(O1933=1,COUNTIF($O$2:O1933,1),"")</f>
        <v/>
      </c>
      <c r="Q1933" t="str">
        <f>IFERROR(INDEX($M$2:$M$2388,MATCH(ROWS($P$2:P1933),$P$2:$P$2388,0)),"")</f>
        <v/>
      </c>
    </row>
    <row r="1934" spans="1:17" ht="15" x14ac:dyDescent="0.25">
      <c r="A1934" s="10">
        <v>2368</v>
      </c>
      <c r="B1934" s="10" t="s">
        <v>6089</v>
      </c>
      <c r="C1934" s="880">
        <f t="shared" si="151"/>
        <v>26.2</v>
      </c>
      <c r="D1934" s="880">
        <f t="shared" si="152"/>
        <v>-29.133299999999998</v>
      </c>
      <c r="E1934" s="10">
        <v>26.200001</v>
      </c>
      <c r="F1934" s="10">
        <v>-29.133333</v>
      </c>
      <c r="G1934" s="10">
        <v>2</v>
      </c>
      <c r="H1934" s="10" t="s">
        <v>1938</v>
      </c>
      <c r="I1934" s="10" t="s">
        <v>6085</v>
      </c>
      <c r="J1934" s="10" t="s">
        <v>6086</v>
      </c>
      <c r="K1934" s="10" t="s">
        <v>6087</v>
      </c>
      <c r="L1934" s="65" t="str">
        <f t="shared" si="153"/>
        <v>Bloemfontein|South Africa|26,200001|-29,133333|+2:00 Africa</v>
      </c>
      <c r="M1934" s="10" t="s">
        <v>6090</v>
      </c>
      <c r="N1934" s="10">
        <f t="shared" si="150"/>
        <v>0</v>
      </c>
      <c r="O1934" t="str">
        <f t="shared" si="154"/>
        <v/>
      </c>
      <c r="P1934" t="str">
        <f>IF(O1934=1,COUNTIF($O$2:O1934,1),"")</f>
        <v/>
      </c>
      <c r="Q1934" t="str">
        <f>IFERROR(INDEX($M$2:$M$2388,MATCH(ROWS($P$2:P1934),$P$2:$P$2388,0)),"")</f>
        <v/>
      </c>
    </row>
    <row r="1935" spans="1:17" ht="15" x14ac:dyDescent="0.25">
      <c r="A1935" s="10">
        <v>2367</v>
      </c>
      <c r="B1935" s="10" t="s">
        <v>6091</v>
      </c>
      <c r="C1935" s="880">
        <f t="shared" si="151"/>
        <v>28.25</v>
      </c>
      <c r="D1935" s="880">
        <f t="shared" si="152"/>
        <v>-26.2166</v>
      </c>
      <c r="E1935" s="10">
        <v>28.25</v>
      </c>
      <c r="F1935" s="10">
        <v>-26.216667000000001</v>
      </c>
      <c r="G1935" s="10">
        <v>2</v>
      </c>
      <c r="H1935" s="10" t="s">
        <v>1938</v>
      </c>
      <c r="I1935" s="10" t="s">
        <v>6085</v>
      </c>
      <c r="J1935" s="10" t="s">
        <v>6086</v>
      </c>
      <c r="K1935" s="10" t="s">
        <v>6087</v>
      </c>
      <c r="L1935" s="65" t="str">
        <f t="shared" si="153"/>
        <v>Boksburg|South Africa|28,250000|-26,216667|+2:00 Africa</v>
      </c>
      <c r="M1935" s="10" t="s">
        <v>6092</v>
      </c>
      <c r="N1935" s="10">
        <f t="shared" si="150"/>
        <v>0</v>
      </c>
      <c r="O1935" t="str">
        <f t="shared" si="154"/>
        <v/>
      </c>
      <c r="P1935" t="str">
        <f>IF(O1935=1,COUNTIF($O$2:O1935,1),"")</f>
        <v/>
      </c>
      <c r="Q1935" t="str">
        <f>IFERROR(INDEX($M$2:$M$2388,MATCH(ROWS($P$2:P1935),$P$2:$P$2388,0)),"")</f>
        <v/>
      </c>
    </row>
    <row r="1936" spans="1:17" ht="15" x14ac:dyDescent="0.25">
      <c r="A1936" s="10">
        <v>2366</v>
      </c>
      <c r="B1936" s="10" t="s">
        <v>6093</v>
      </c>
      <c r="C1936" s="880">
        <f t="shared" si="151"/>
        <v>26.7333</v>
      </c>
      <c r="D1936" s="880">
        <f t="shared" si="152"/>
        <v>-29.2333</v>
      </c>
      <c r="E1936" s="10">
        <v>26.733333999999999</v>
      </c>
      <c r="F1936" s="10">
        <v>-29.233333999999999</v>
      </c>
      <c r="G1936" s="10">
        <v>2</v>
      </c>
      <c r="H1936" s="10" t="s">
        <v>1938</v>
      </c>
      <c r="I1936" s="10" t="s">
        <v>6085</v>
      </c>
      <c r="J1936" s="10" t="s">
        <v>6086</v>
      </c>
      <c r="K1936" s="10" t="s">
        <v>6087</v>
      </c>
      <c r="L1936" s="65" t="str">
        <f t="shared" si="153"/>
        <v>Botshabelo|South Africa|26,733334|-29,233334|+2:00 Africa</v>
      </c>
      <c r="M1936" s="10" t="s">
        <v>6094</v>
      </c>
      <c r="N1936" s="10">
        <f t="shared" si="150"/>
        <v>0</v>
      </c>
      <c r="O1936" t="str">
        <f t="shared" si="154"/>
        <v/>
      </c>
      <c r="P1936" t="str">
        <f>IF(O1936=1,COUNTIF($O$2:O1936,1),"")</f>
        <v/>
      </c>
      <c r="Q1936" t="str">
        <f>IFERROR(INDEX($M$2:$M$2388,MATCH(ROWS($P$2:P1936),$P$2:$P$2388,0)),"")</f>
        <v/>
      </c>
    </row>
    <row r="1937" spans="1:17" ht="15" x14ac:dyDescent="0.25">
      <c r="A1937" s="10">
        <v>2365</v>
      </c>
      <c r="B1937" s="10" t="s">
        <v>6095</v>
      </c>
      <c r="C1937" s="880">
        <f t="shared" si="151"/>
        <v>28.366599999999998</v>
      </c>
      <c r="D1937" s="880">
        <f t="shared" si="152"/>
        <v>-26.2333</v>
      </c>
      <c r="E1937" s="10">
        <v>28.366667</v>
      </c>
      <c r="F1937" s="10">
        <v>-26.233333999999999</v>
      </c>
      <c r="G1937" s="10">
        <v>2</v>
      </c>
      <c r="H1937" s="10" t="s">
        <v>1938</v>
      </c>
      <c r="I1937" s="10" t="s">
        <v>6085</v>
      </c>
      <c r="J1937" s="10" t="s">
        <v>6086</v>
      </c>
      <c r="K1937" s="10" t="s">
        <v>6087</v>
      </c>
      <c r="L1937" s="65" t="str">
        <f t="shared" si="153"/>
        <v>Brakpan|South Africa|28,366667|-26,233334|+2:00 Africa</v>
      </c>
      <c r="M1937" s="10" t="s">
        <v>6096</v>
      </c>
      <c r="N1937" s="10">
        <f t="shared" si="150"/>
        <v>0</v>
      </c>
      <c r="O1937" t="str">
        <f t="shared" si="154"/>
        <v/>
      </c>
      <c r="P1937" t="str">
        <f>IF(O1937=1,COUNTIF($O$2:O1937,1),"")</f>
        <v/>
      </c>
      <c r="Q1937" t="str">
        <f>IFERROR(INDEX($M$2:$M$2388,MATCH(ROWS($P$2:P1937),$P$2:$P$2388,0)),"")</f>
        <v/>
      </c>
    </row>
    <row r="1938" spans="1:17" ht="15" x14ac:dyDescent="0.25">
      <c r="A1938" s="10">
        <v>2371</v>
      </c>
      <c r="B1938" s="10" t="s">
        <v>6097</v>
      </c>
      <c r="C1938" s="880">
        <f t="shared" si="151"/>
        <v>18.416599999999999</v>
      </c>
      <c r="D1938" s="880">
        <f t="shared" si="152"/>
        <v>-33.916600000000003</v>
      </c>
      <c r="E1938" s="10">
        <v>18.416665999999999</v>
      </c>
      <c r="F1938" s="10">
        <v>-33.916668000000001</v>
      </c>
      <c r="G1938" s="10">
        <v>2</v>
      </c>
      <c r="H1938" s="10" t="s">
        <v>1938</v>
      </c>
      <c r="I1938" s="10" t="s">
        <v>6085</v>
      </c>
      <c r="J1938" s="10" t="s">
        <v>6086</v>
      </c>
      <c r="K1938" s="10" t="s">
        <v>6087</v>
      </c>
      <c r="L1938" s="65" t="str">
        <f t="shared" si="153"/>
        <v>Cape Town|South Africa|18,416666|-33,916668|+2:00 Africa</v>
      </c>
      <c r="M1938" s="10" t="s">
        <v>6098</v>
      </c>
      <c r="N1938" s="10">
        <f t="shared" si="150"/>
        <v>0</v>
      </c>
      <c r="O1938" t="str">
        <f t="shared" si="154"/>
        <v/>
      </c>
      <c r="P1938" t="str">
        <f>IF(O1938=1,COUNTIF($O$2:O1938,1),"")</f>
        <v/>
      </c>
      <c r="Q1938" t="str">
        <f>IFERROR(INDEX($M$2:$M$2388,MATCH(ROWS($P$2:P1938),$P$2:$P$2388,0)),"")</f>
        <v/>
      </c>
    </row>
    <row r="1939" spans="1:17" ht="15" x14ac:dyDescent="0.25">
      <c r="A1939" s="10">
        <v>2370</v>
      </c>
      <c r="B1939" s="10" t="s">
        <v>6099</v>
      </c>
      <c r="C1939" s="880">
        <f t="shared" si="151"/>
        <v>28.170500000000001</v>
      </c>
      <c r="D1939" s="880">
        <f t="shared" si="152"/>
        <v>-25.874400000000001</v>
      </c>
      <c r="E1939" s="10">
        <v>28.170555</v>
      </c>
      <c r="F1939" s="10">
        <v>-25.874445000000001</v>
      </c>
      <c r="G1939" s="10">
        <v>2</v>
      </c>
      <c r="H1939" s="10" t="s">
        <v>1938</v>
      </c>
      <c r="I1939" s="10" t="s">
        <v>6085</v>
      </c>
      <c r="J1939" s="10" t="s">
        <v>6086</v>
      </c>
      <c r="K1939" s="10" t="s">
        <v>6087</v>
      </c>
      <c r="L1939" s="65" t="str">
        <f t="shared" si="153"/>
        <v>Centurion|South Africa|28,170555|-25,874445|+2:00 Africa</v>
      </c>
      <c r="M1939" s="10" t="s">
        <v>6100</v>
      </c>
      <c r="N1939" s="10">
        <f t="shared" si="150"/>
        <v>0</v>
      </c>
      <c r="O1939" t="str">
        <f t="shared" si="154"/>
        <v/>
      </c>
      <c r="P1939" t="str">
        <f>IF(O1939=1,COUNTIF($O$2:O1939,1),"")</f>
        <v/>
      </c>
      <c r="Q1939" t="str">
        <f>IFERROR(INDEX($M$2:$M$2388,MATCH(ROWS($P$2:P1939),$P$2:$P$2388,0)),"")</f>
        <v/>
      </c>
    </row>
    <row r="1940" spans="1:17" ht="15" x14ac:dyDescent="0.25">
      <c r="A1940" s="10">
        <v>2364</v>
      </c>
      <c r="B1940" s="10" t="s">
        <v>6101</v>
      </c>
      <c r="C1940" s="880">
        <f t="shared" si="151"/>
        <v>31.0166</v>
      </c>
      <c r="D1940" s="880">
        <f t="shared" si="152"/>
        <v>-29.85</v>
      </c>
      <c r="E1940" s="10">
        <v>31.016666000000001</v>
      </c>
      <c r="F1940" s="10">
        <v>-29.85</v>
      </c>
      <c r="G1940" s="10">
        <v>2</v>
      </c>
      <c r="H1940" s="10" t="s">
        <v>1938</v>
      </c>
      <c r="I1940" s="10" t="s">
        <v>6085</v>
      </c>
      <c r="J1940" s="10" t="s">
        <v>6086</v>
      </c>
      <c r="K1940" s="10" t="s">
        <v>6087</v>
      </c>
      <c r="L1940" s="65" t="str">
        <f t="shared" si="153"/>
        <v>Durban|South Africa|31,016666|-29,850000|+2:00 Africa</v>
      </c>
      <c r="M1940" s="10" t="s">
        <v>6102</v>
      </c>
      <c r="N1940" s="10">
        <f t="shared" si="150"/>
        <v>0</v>
      </c>
      <c r="O1940" t="str">
        <f t="shared" si="154"/>
        <v/>
      </c>
      <c r="P1940" t="str">
        <f>IF(O1940=1,COUNTIF($O$2:O1940,1),"")</f>
        <v/>
      </c>
      <c r="Q1940" t="str">
        <f>IFERROR(INDEX($M$2:$M$2388,MATCH(ROWS($P$2:P1940),$P$2:$P$2388,0)),"")</f>
        <v/>
      </c>
    </row>
    <row r="1941" spans="1:17" ht="15" x14ac:dyDescent="0.25">
      <c r="A1941" s="10">
        <v>2363</v>
      </c>
      <c r="B1941" s="10" t="s">
        <v>6103</v>
      </c>
      <c r="C1941" s="880">
        <f t="shared" si="151"/>
        <v>28.083300000000001</v>
      </c>
      <c r="D1941" s="880">
        <f t="shared" si="152"/>
        <v>-26.2</v>
      </c>
      <c r="E1941" s="10">
        <v>28.083334000000001</v>
      </c>
      <c r="F1941" s="10">
        <v>-26.200001</v>
      </c>
      <c r="G1941" s="10">
        <v>2</v>
      </c>
      <c r="H1941" s="10" t="s">
        <v>1938</v>
      </c>
      <c r="I1941" s="10" t="s">
        <v>6085</v>
      </c>
      <c r="J1941" s="10" t="s">
        <v>6086</v>
      </c>
      <c r="K1941" s="10" t="s">
        <v>6087</v>
      </c>
      <c r="L1941" s="65" t="str">
        <f t="shared" si="153"/>
        <v>Johannesburg|South Africa|28,083334|-26,200001|+2:00 Africa</v>
      </c>
      <c r="M1941" s="10" t="s">
        <v>6104</v>
      </c>
      <c r="N1941" s="10">
        <f t="shared" si="150"/>
        <v>0</v>
      </c>
      <c r="O1941" t="str">
        <f t="shared" si="154"/>
        <v/>
      </c>
      <c r="P1941" t="str">
        <f>IF(O1941=1,COUNTIF($O$2:O1941,1),"")</f>
        <v/>
      </c>
      <c r="Q1941" t="str">
        <f>IFERROR(INDEX($M$2:$M$2388,MATCH(ROWS($P$2:P1941),$P$2:$P$2388,0)),"")</f>
        <v/>
      </c>
    </row>
    <row r="1942" spans="1:17" ht="15" x14ac:dyDescent="0.25">
      <c r="A1942" s="10">
        <v>2362</v>
      </c>
      <c r="B1942" s="10" t="s">
        <v>6105</v>
      </c>
      <c r="C1942" s="880">
        <f t="shared" si="151"/>
        <v>27.7666</v>
      </c>
      <c r="D1942" s="880">
        <f t="shared" si="152"/>
        <v>-26.1</v>
      </c>
      <c r="E1942" s="10">
        <v>27.766666000000001</v>
      </c>
      <c r="F1942" s="10">
        <v>-26.1</v>
      </c>
      <c r="G1942" s="10">
        <v>2</v>
      </c>
      <c r="H1942" s="10" t="s">
        <v>1938</v>
      </c>
      <c r="I1942" s="10" t="s">
        <v>6085</v>
      </c>
      <c r="J1942" s="10" t="s">
        <v>6086</v>
      </c>
      <c r="K1942" s="10" t="s">
        <v>6087</v>
      </c>
      <c r="L1942" s="65" t="str">
        <f t="shared" si="153"/>
        <v>Krugersdorp|South Africa|27,766666|-26,100000|+2:00 Africa</v>
      </c>
      <c r="M1942" s="10" t="s">
        <v>6106</v>
      </c>
      <c r="N1942" s="10">
        <f t="shared" si="150"/>
        <v>0</v>
      </c>
      <c r="O1942" t="str">
        <f t="shared" si="154"/>
        <v/>
      </c>
      <c r="P1942" t="str">
        <f>IF(O1942=1,COUNTIF($O$2:O1942,1),"")</f>
        <v/>
      </c>
      <c r="Q1942" t="str">
        <f>IFERROR(INDEX($M$2:$M$2388,MATCH(ROWS($P$2:P1942),$P$2:$P$2388,0)),"")</f>
        <v/>
      </c>
    </row>
    <row r="1943" spans="1:17" ht="15" x14ac:dyDescent="0.25">
      <c r="A1943" s="10">
        <v>2361</v>
      </c>
      <c r="B1943" s="10" t="s">
        <v>1828</v>
      </c>
      <c r="C1943" s="880">
        <f t="shared" si="151"/>
        <v>29.933299999999999</v>
      </c>
      <c r="D1943" s="880">
        <f t="shared" si="152"/>
        <v>-27.75</v>
      </c>
      <c r="E1943" s="10">
        <v>29.933332</v>
      </c>
      <c r="F1943" s="10">
        <v>-27.75</v>
      </c>
      <c r="G1943" s="10">
        <v>2</v>
      </c>
      <c r="H1943" s="10" t="s">
        <v>1817</v>
      </c>
      <c r="I1943" s="10" t="s">
        <v>6085</v>
      </c>
      <c r="J1943" s="10" t="s">
        <v>6086</v>
      </c>
      <c r="K1943" s="10" t="s">
        <v>1821</v>
      </c>
      <c r="L1943" s="65" t="str">
        <f t="shared" si="153"/>
        <v>Newcastle|South Africa|29,933332|-27,750000|+10:00 Australia</v>
      </c>
      <c r="M1943" s="10" t="s">
        <v>6107</v>
      </c>
      <c r="N1943" s="10">
        <f t="shared" si="150"/>
        <v>0</v>
      </c>
      <c r="O1943" t="str">
        <f t="shared" si="154"/>
        <v/>
      </c>
      <c r="P1943" t="str">
        <f>IF(O1943=1,COUNTIF($O$2:O1943,1),"")</f>
        <v/>
      </c>
      <c r="Q1943" t="str">
        <f>IFERROR(INDEX($M$2:$M$2388,MATCH(ROWS($P$2:P1943),$P$2:$P$2388,0)),"")</f>
        <v/>
      </c>
    </row>
    <row r="1944" spans="1:17" ht="15" x14ac:dyDescent="0.25">
      <c r="A1944" s="10">
        <v>2360</v>
      </c>
      <c r="B1944" s="10" t="s">
        <v>6108</v>
      </c>
      <c r="C1944" s="880">
        <f t="shared" si="151"/>
        <v>30.383299999999998</v>
      </c>
      <c r="D1944" s="880">
        <f t="shared" si="152"/>
        <v>-29.616599999999998</v>
      </c>
      <c r="E1944" s="10">
        <v>30.383333</v>
      </c>
      <c r="F1944" s="10">
        <v>-29.616667</v>
      </c>
      <c r="G1944" s="10">
        <v>2</v>
      </c>
      <c r="H1944" s="10" t="s">
        <v>1938</v>
      </c>
      <c r="I1944" s="10" t="s">
        <v>6085</v>
      </c>
      <c r="J1944" s="10" t="s">
        <v>6086</v>
      </c>
      <c r="K1944" s="10" t="s">
        <v>6087</v>
      </c>
      <c r="L1944" s="65" t="str">
        <f t="shared" si="153"/>
        <v>Pietermaritzburg|South Africa|30,383333|-29,616667|+2:00 Africa</v>
      </c>
      <c r="M1944" s="10" t="s">
        <v>6109</v>
      </c>
      <c r="N1944" s="10">
        <f t="shared" si="150"/>
        <v>0</v>
      </c>
      <c r="O1944" t="str">
        <f t="shared" si="154"/>
        <v/>
      </c>
      <c r="P1944" t="str">
        <f>IF(O1944=1,COUNTIF($O$2:O1944,1),"")</f>
        <v/>
      </c>
      <c r="Q1944" t="str">
        <f>IFERROR(INDEX($M$2:$M$2388,MATCH(ROWS($P$2:P1944),$P$2:$P$2388,0)),"")</f>
        <v/>
      </c>
    </row>
    <row r="1945" spans="1:17" ht="15" x14ac:dyDescent="0.25">
      <c r="A1945" s="10">
        <v>2359</v>
      </c>
      <c r="B1945" s="10" t="s">
        <v>6110</v>
      </c>
      <c r="C1945" s="880">
        <f t="shared" si="151"/>
        <v>25.583300000000001</v>
      </c>
      <c r="D1945" s="880">
        <f t="shared" si="152"/>
        <v>-33.9666</v>
      </c>
      <c r="E1945" s="10">
        <v>25.583334000000001</v>
      </c>
      <c r="F1945" s="10">
        <v>-33.966667000000001</v>
      </c>
      <c r="G1945" s="10">
        <v>2</v>
      </c>
      <c r="H1945" s="10" t="s">
        <v>1938</v>
      </c>
      <c r="I1945" s="10" t="s">
        <v>6085</v>
      </c>
      <c r="J1945" s="10" t="s">
        <v>6086</v>
      </c>
      <c r="K1945" s="10" t="s">
        <v>6087</v>
      </c>
      <c r="L1945" s="65" t="str">
        <f t="shared" si="153"/>
        <v>Port Elizabeth|South Africa|25,583334|-33,966667|+2:00 Africa</v>
      </c>
      <c r="M1945" s="10" t="s">
        <v>6111</v>
      </c>
      <c r="N1945" s="10">
        <f t="shared" si="150"/>
        <v>0</v>
      </c>
      <c r="O1945" t="str">
        <f t="shared" si="154"/>
        <v/>
      </c>
      <c r="P1945" t="str">
        <f>IF(O1945=1,COUNTIF($O$2:O1945,1),"")</f>
        <v/>
      </c>
      <c r="Q1945" t="str">
        <f>IFERROR(INDEX($M$2:$M$2388,MATCH(ROWS($P$2:P1945),$P$2:$P$2388,0)),"")</f>
        <v/>
      </c>
    </row>
    <row r="1946" spans="1:17" ht="15" x14ac:dyDescent="0.25">
      <c r="A1946" s="10">
        <v>2358</v>
      </c>
      <c r="B1946" s="10" t="s">
        <v>6112</v>
      </c>
      <c r="C1946" s="880">
        <f t="shared" si="151"/>
        <v>28.229399999999998</v>
      </c>
      <c r="D1946" s="880">
        <f t="shared" si="152"/>
        <v>-25.706900000000001</v>
      </c>
      <c r="E1946" s="10">
        <v>28.229444999999998</v>
      </c>
      <c r="F1946" s="10">
        <v>-25.706944</v>
      </c>
      <c r="G1946" s="10">
        <v>2</v>
      </c>
      <c r="H1946" s="10" t="s">
        <v>1938</v>
      </c>
      <c r="I1946" s="10" t="s">
        <v>6085</v>
      </c>
      <c r="J1946" s="10" t="s">
        <v>6086</v>
      </c>
      <c r="K1946" s="10" t="s">
        <v>6087</v>
      </c>
      <c r="L1946" s="65" t="str">
        <f t="shared" si="153"/>
        <v>Pretoria|South Africa|28,229445|-25,706944|+2:00 Africa</v>
      </c>
      <c r="M1946" s="10" t="s">
        <v>6113</v>
      </c>
      <c r="N1946" s="10">
        <f t="shared" si="150"/>
        <v>0</v>
      </c>
      <c r="O1946" t="str">
        <f t="shared" si="154"/>
        <v/>
      </c>
      <c r="P1946" t="str">
        <f>IF(O1946=1,COUNTIF($O$2:O1946,1),"")</f>
        <v/>
      </c>
      <c r="Q1946" t="str">
        <f>IFERROR(INDEX($M$2:$M$2388,MATCH(ROWS($P$2:P1946),$P$2:$P$2388,0)),"")</f>
        <v/>
      </c>
    </row>
    <row r="1947" spans="1:17" ht="15" x14ac:dyDescent="0.25">
      <c r="A1947" s="10">
        <v>2357</v>
      </c>
      <c r="B1947" s="10" t="s">
        <v>6114</v>
      </c>
      <c r="C1947" s="880">
        <f t="shared" si="151"/>
        <v>32.099899999999998</v>
      </c>
      <c r="D1947" s="880">
        <f t="shared" si="152"/>
        <v>-28.799900000000001</v>
      </c>
      <c r="E1947" s="10">
        <v>32.099997999999999</v>
      </c>
      <c r="F1947" s="10">
        <v>-28.799999</v>
      </c>
      <c r="G1947" s="10">
        <v>2</v>
      </c>
      <c r="H1947" s="10" t="s">
        <v>1938</v>
      </c>
      <c r="I1947" s="10" t="s">
        <v>6085</v>
      </c>
      <c r="J1947" s="10" t="s">
        <v>6086</v>
      </c>
      <c r="K1947" s="10" t="s">
        <v>6087</v>
      </c>
      <c r="L1947" s="65" t="str">
        <f t="shared" si="153"/>
        <v>Richards Bay|South Africa|32,099998|-28,799999|+2:00 Africa</v>
      </c>
      <c r="M1947" s="10" t="s">
        <v>6115</v>
      </c>
      <c r="N1947" s="10">
        <f t="shared" si="150"/>
        <v>0</v>
      </c>
      <c r="O1947" t="str">
        <f t="shared" si="154"/>
        <v/>
      </c>
      <c r="P1947" t="str">
        <f>IF(O1947=1,COUNTIF($O$2:O1947,1),"")</f>
        <v/>
      </c>
      <c r="Q1947" t="str">
        <f>IFERROR(INDEX($M$2:$M$2388,MATCH(ROWS($P$2:P1947),$P$2:$P$2388,0)),"")</f>
        <v/>
      </c>
    </row>
    <row r="1948" spans="1:17" ht="15" x14ac:dyDescent="0.25">
      <c r="A1948" s="10">
        <v>2356</v>
      </c>
      <c r="B1948" s="10" t="s">
        <v>6116</v>
      </c>
      <c r="C1948" s="880">
        <f t="shared" si="151"/>
        <v>27.866599999999998</v>
      </c>
      <c r="D1948" s="880">
        <f t="shared" si="152"/>
        <v>-26.2666</v>
      </c>
      <c r="E1948" s="10">
        <v>27.866667</v>
      </c>
      <c r="F1948" s="10">
        <v>-26.266666000000001</v>
      </c>
      <c r="G1948" s="10">
        <v>2</v>
      </c>
      <c r="H1948" s="10" t="s">
        <v>1938</v>
      </c>
      <c r="I1948" s="10" t="s">
        <v>6085</v>
      </c>
      <c r="J1948" s="10" t="s">
        <v>6086</v>
      </c>
      <c r="K1948" s="10" t="s">
        <v>6087</v>
      </c>
      <c r="L1948" s="65" t="str">
        <f t="shared" si="153"/>
        <v>Soweto|South Africa|27,866667|-26,266666|+2:00 Africa</v>
      </c>
      <c r="M1948" s="10" t="s">
        <v>6117</v>
      </c>
      <c r="N1948" s="10">
        <f t="shared" si="150"/>
        <v>0</v>
      </c>
      <c r="O1948" t="str">
        <f t="shared" si="154"/>
        <v/>
      </c>
      <c r="P1948" t="str">
        <f>IF(O1948=1,COUNTIF($O$2:O1948,1),"")</f>
        <v/>
      </c>
      <c r="Q1948" t="str">
        <f>IFERROR(INDEX($M$2:$M$2388,MATCH(ROWS($P$2:P1948),$P$2:$P$2388,0)),"")</f>
        <v/>
      </c>
    </row>
    <row r="1949" spans="1:17" ht="15" x14ac:dyDescent="0.25">
      <c r="A1949" s="10">
        <v>2355</v>
      </c>
      <c r="B1949" s="10" t="s">
        <v>6118</v>
      </c>
      <c r="C1949" s="880">
        <f t="shared" si="151"/>
        <v>28.226900000000001</v>
      </c>
      <c r="D1949" s="880">
        <f t="shared" si="152"/>
        <v>-25.998799999999999</v>
      </c>
      <c r="E1949" s="10">
        <v>28.226944</v>
      </c>
      <c r="F1949" s="10">
        <v>-25.998888000000001</v>
      </c>
      <c r="G1949" s="10">
        <v>2</v>
      </c>
      <c r="H1949" s="10" t="s">
        <v>1938</v>
      </c>
      <c r="I1949" s="10" t="s">
        <v>6085</v>
      </c>
      <c r="J1949" s="10" t="s">
        <v>6086</v>
      </c>
      <c r="K1949" s="10" t="s">
        <v>6087</v>
      </c>
      <c r="L1949" s="65" t="str">
        <f t="shared" si="153"/>
        <v>Tembisa|South Africa|28,226944|-25,998888|+2:00 Africa</v>
      </c>
      <c r="M1949" s="10" t="s">
        <v>6119</v>
      </c>
      <c r="N1949" s="10">
        <f t="shared" si="150"/>
        <v>0</v>
      </c>
      <c r="O1949" t="str">
        <f t="shared" si="154"/>
        <v/>
      </c>
      <c r="P1949" t="str">
        <f>IF(O1949=1,COUNTIF($O$2:O1949,1),"")</f>
        <v/>
      </c>
      <c r="Q1949" t="str">
        <f>IFERROR(INDEX($M$2:$M$2388,MATCH(ROWS($P$2:P1949),$P$2:$P$2388,0)),"")</f>
        <v/>
      </c>
    </row>
    <row r="1950" spans="1:17" ht="15" x14ac:dyDescent="0.25">
      <c r="A1950" s="10">
        <v>2354</v>
      </c>
      <c r="B1950" s="10" t="s">
        <v>6120</v>
      </c>
      <c r="C1950" s="880">
        <f t="shared" si="151"/>
        <v>25.402200000000001</v>
      </c>
      <c r="D1950" s="880">
        <f t="shared" si="152"/>
        <v>-33.7652</v>
      </c>
      <c r="E1950" s="10">
        <v>25.402221999999998</v>
      </c>
      <c r="F1950" s="10">
        <v>-33.765278000000002</v>
      </c>
      <c r="G1950" s="10">
        <v>2</v>
      </c>
      <c r="H1950" s="10" t="s">
        <v>1938</v>
      </c>
      <c r="I1950" s="10" t="s">
        <v>6085</v>
      </c>
      <c r="J1950" s="10" t="s">
        <v>6086</v>
      </c>
      <c r="K1950" s="10" t="s">
        <v>6087</v>
      </c>
      <c r="L1950" s="65" t="str">
        <f t="shared" si="153"/>
        <v>Uitenhage|South Africa|25,402222|-33,765278|+2:00 Africa</v>
      </c>
      <c r="M1950" s="10" t="s">
        <v>6121</v>
      </c>
      <c r="N1950" s="10">
        <f t="shared" si="150"/>
        <v>0</v>
      </c>
      <c r="O1950" t="str">
        <f t="shared" si="154"/>
        <v/>
      </c>
      <c r="P1950" t="str">
        <f>IF(O1950=1,COUNTIF($O$2:O1950,1),"")</f>
        <v/>
      </c>
      <c r="Q1950" t="str">
        <f>IFERROR(INDEX($M$2:$M$2388,MATCH(ROWS($P$2:P1950),$P$2:$P$2388,0)),"")</f>
        <v/>
      </c>
    </row>
    <row r="1951" spans="1:17" ht="15" x14ac:dyDescent="0.25">
      <c r="A1951" s="10">
        <v>2353</v>
      </c>
      <c r="B1951" s="10" t="s">
        <v>6122</v>
      </c>
      <c r="C1951" s="880">
        <f t="shared" si="151"/>
        <v>27.816600000000001</v>
      </c>
      <c r="D1951" s="880">
        <f t="shared" si="152"/>
        <v>-26.7</v>
      </c>
      <c r="E1951" s="10">
        <v>27.816668</v>
      </c>
      <c r="F1951" s="10">
        <v>-26.700001</v>
      </c>
      <c r="G1951" s="10">
        <v>2</v>
      </c>
      <c r="H1951" s="10" t="s">
        <v>1938</v>
      </c>
      <c r="I1951" s="10" t="s">
        <v>6085</v>
      </c>
      <c r="J1951" s="10" t="s">
        <v>6086</v>
      </c>
      <c r="K1951" s="10" t="s">
        <v>6087</v>
      </c>
      <c r="L1951" s="65" t="str">
        <f t="shared" si="153"/>
        <v>Vanderbijlpark|South Africa|27,816668|-26,700001|+2:00 Africa</v>
      </c>
      <c r="M1951" s="10" t="s">
        <v>6123</v>
      </c>
      <c r="N1951" s="10">
        <f t="shared" si="150"/>
        <v>0</v>
      </c>
      <c r="O1951" t="str">
        <f t="shared" si="154"/>
        <v/>
      </c>
      <c r="P1951" t="str">
        <f>IF(O1951=1,COUNTIF($O$2:O1951,1),"")</f>
        <v/>
      </c>
      <c r="Q1951" t="str">
        <f>IFERROR(INDEX($M$2:$M$2388,MATCH(ROWS($P$2:P1951),$P$2:$P$2388,0)),"")</f>
        <v/>
      </c>
    </row>
    <row r="1952" spans="1:17" ht="15" x14ac:dyDescent="0.25">
      <c r="A1952" s="10">
        <v>2352</v>
      </c>
      <c r="B1952" s="10" t="s">
        <v>6124</v>
      </c>
      <c r="C1952" s="880">
        <f t="shared" si="151"/>
        <v>27.933299999999999</v>
      </c>
      <c r="D1952" s="880">
        <f t="shared" si="152"/>
        <v>-26.666599999999999</v>
      </c>
      <c r="E1952" s="10">
        <v>27.933332</v>
      </c>
      <c r="F1952" s="10">
        <v>-26.666665999999999</v>
      </c>
      <c r="G1952" s="10">
        <v>2</v>
      </c>
      <c r="H1952" s="10" t="s">
        <v>1938</v>
      </c>
      <c r="I1952" s="10" t="s">
        <v>6085</v>
      </c>
      <c r="J1952" s="10" t="s">
        <v>6086</v>
      </c>
      <c r="K1952" s="10" t="s">
        <v>6087</v>
      </c>
      <c r="L1952" s="65" t="str">
        <f t="shared" si="153"/>
        <v>Vereeniging|South Africa|27,933332|-26,666666|+2:00 Africa</v>
      </c>
      <c r="M1952" s="10" t="s">
        <v>6125</v>
      </c>
      <c r="N1952" s="10">
        <f t="shared" si="150"/>
        <v>0</v>
      </c>
      <c r="O1952" t="str">
        <f t="shared" si="154"/>
        <v/>
      </c>
      <c r="P1952" t="str">
        <f>IF(O1952=1,COUNTIF($O$2:O1952,1),"")</f>
        <v/>
      </c>
      <c r="Q1952" t="str">
        <f>IFERROR(INDEX($M$2:$M$2388,MATCH(ROWS($P$2:P1952),$P$2:$P$2388,0)),"")</f>
        <v/>
      </c>
    </row>
    <row r="1953" spans="1:17" ht="15" x14ac:dyDescent="0.25">
      <c r="A1953" s="10">
        <v>2351</v>
      </c>
      <c r="B1953" s="10" t="s">
        <v>6126</v>
      </c>
      <c r="C1953" s="880">
        <f t="shared" si="151"/>
        <v>26.7333</v>
      </c>
      <c r="D1953" s="880">
        <f t="shared" si="152"/>
        <v>-27.9833</v>
      </c>
      <c r="E1953" s="10">
        <v>26.733333999999999</v>
      </c>
      <c r="F1953" s="10">
        <v>-27.983333999999999</v>
      </c>
      <c r="G1953" s="10">
        <v>2</v>
      </c>
      <c r="H1953" s="10" t="s">
        <v>1938</v>
      </c>
      <c r="I1953" s="10" t="s">
        <v>6085</v>
      </c>
      <c r="J1953" s="10" t="s">
        <v>6086</v>
      </c>
      <c r="K1953" s="10" t="s">
        <v>6087</v>
      </c>
      <c r="L1953" s="65" t="str">
        <f t="shared" si="153"/>
        <v>Welkom|South Africa|26,733334|-27,983334|+2:00 Africa</v>
      </c>
      <c r="M1953" s="10" t="s">
        <v>6127</v>
      </c>
      <c r="N1953" s="10">
        <f t="shared" si="150"/>
        <v>0</v>
      </c>
      <c r="O1953" t="str">
        <f t="shared" si="154"/>
        <v/>
      </c>
      <c r="P1953" t="str">
        <f>IF(O1953=1,COUNTIF($O$2:O1953,1),"")</f>
        <v/>
      </c>
      <c r="Q1953" t="str">
        <f>IFERROR(INDEX($M$2:$M$2388,MATCH(ROWS($P$2:P1953),$P$2:$P$2388,0)),"")</f>
        <v/>
      </c>
    </row>
    <row r="1954" spans="1:17" ht="15" x14ac:dyDescent="0.25">
      <c r="A1954" s="10">
        <v>2350</v>
      </c>
      <c r="B1954" s="10" t="s">
        <v>6128</v>
      </c>
      <c r="C1954" s="880">
        <f t="shared" si="151"/>
        <v>29.2333</v>
      </c>
      <c r="D1954" s="880">
        <f t="shared" si="152"/>
        <v>-25.866599999999998</v>
      </c>
      <c r="E1954" s="10">
        <v>29.233333999999999</v>
      </c>
      <c r="F1954" s="10">
        <v>-25.866667</v>
      </c>
      <c r="G1954" s="10">
        <v>2</v>
      </c>
      <c r="H1954" s="10" t="s">
        <v>1938</v>
      </c>
      <c r="I1954" s="10" t="s">
        <v>6085</v>
      </c>
      <c r="J1954" s="10" t="s">
        <v>6086</v>
      </c>
      <c r="K1954" s="10" t="s">
        <v>6087</v>
      </c>
      <c r="L1954" s="65" t="str">
        <f t="shared" si="153"/>
        <v>Witbank|South Africa|29,233334|-25,866667|+2:00 Africa</v>
      </c>
      <c r="M1954" s="10" t="s">
        <v>6129</v>
      </c>
      <c r="N1954" s="10">
        <f t="shared" si="150"/>
        <v>0</v>
      </c>
      <c r="O1954" t="str">
        <f t="shared" si="154"/>
        <v/>
      </c>
      <c r="P1954" t="str">
        <f>IF(O1954=1,COUNTIF($O$2:O1954,1),"")</f>
        <v/>
      </c>
      <c r="Q1954" t="str">
        <f>IFERROR(INDEX($M$2:$M$2388,MATCH(ROWS($P$2:P1954),$P$2:$P$2388,0)),"")</f>
        <v/>
      </c>
    </row>
    <row r="1955" spans="1:17" ht="15" x14ac:dyDescent="0.25">
      <c r="A1955" s="10">
        <v>2349</v>
      </c>
      <c r="B1955" s="10" t="s">
        <v>6130</v>
      </c>
      <c r="C1955" s="880">
        <f t="shared" si="151"/>
        <v>25.9666</v>
      </c>
      <c r="D1955" s="880">
        <f t="shared" si="152"/>
        <v>-27.2</v>
      </c>
      <c r="E1955" s="10">
        <v>25.966667000000001</v>
      </c>
      <c r="F1955" s="10">
        <v>-27.200001</v>
      </c>
      <c r="G1955" s="10">
        <v>2</v>
      </c>
      <c r="H1955" s="10" t="s">
        <v>1938</v>
      </c>
      <c r="I1955" s="10" t="s">
        <v>6085</v>
      </c>
      <c r="J1955" s="10" t="s">
        <v>6086</v>
      </c>
      <c r="K1955" s="10" t="s">
        <v>6087</v>
      </c>
      <c r="L1955" s="65" t="str">
        <f t="shared" si="153"/>
        <v>Wolmaransstad|South Africa|25,966667|-27,200001|+2:00 Africa</v>
      </c>
      <c r="M1955" s="10" t="s">
        <v>6131</v>
      </c>
      <c r="N1955" s="10">
        <f t="shared" si="150"/>
        <v>0</v>
      </c>
      <c r="O1955" t="str">
        <f t="shared" si="154"/>
        <v/>
      </c>
      <c r="P1955" t="str">
        <f>IF(O1955=1,COUNTIF($O$2:O1955,1),"")</f>
        <v/>
      </c>
      <c r="Q1955" t="str">
        <f>IFERROR(INDEX($M$2:$M$2388,MATCH(ROWS($P$2:P1955),$P$2:$P$2388,0)),"")</f>
        <v/>
      </c>
    </row>
    <row r="1956" spans="1:17" ht="15" x14ac:dyDescent="0.25">
      <c r="A1956" s="10">
        <v>2348</v>
      </c>
      <c r="B1956" s="10" t="s">
        <v>6132</v>
      </c>
      <c r="C1956" s="880">
        <f t="shared" si="151"/>
        <v>27.083300000000001</v>
      </c>
      <c r="D1956" s="880">
        <f t="shared" si="152"/>
        <v>-30.299900000000001</v>
      </c>
      <c r="E1956" s="10">
        <v>27.083334000000001</v>
      </c>
      <c r="F1956" s="10">
        <v>-30.299999</v>
      </c>
      <c r="G1956" s="10">
        <v>2</v>
      </c>
      <c r="H1956" s="10" t="s">
        <v>1938</v>
      </c>
      <c r="I1956" s="10" t="s">
        <v>6085</v>
      </c>
      <c r="J1956" s="10" t="s">
        <v>6086</v>
      </c>
      <c r="K1956" s="10" t="s">
        <v>6087</v>
      </c>
      <c r="L1956" s="65" t="str">
        <f t="shared" si="153"/>
        <v>Zastron|South Africa|27,083334|-30,299999|+2:00 Africa</v>
      </c>
      <c r="M1956" s="10" t="s">
        <v>6133</v>
      </c>
      <c r="N1956" s="10">
        <f t="shared" si="150"/>
        <v>0</v>
      </c>
      <c r="O1956" t="str">
        <f t="shared" si="154"/>
        <v/>
      </c>
      <c r="P1956" t="str">
        <f>IF(O1956=1,COUNTIF($O$2:O1956,1),"")</f>
        <v/>
      </c>
      <c r="Q1956" t="str">
        <f>IFERROR(INDEX($M$2:$M$2388,MATCH(ROWS($P$2:P1956),$P$2:$P$2388,0)),"")</f>
        <v/>
      </c>
    </row>
    <row r="1957" spans="1:17" ht="15" x14ac:dyDescent="0.25">
      <c r="A1957" s="10">
        <v>2347</v>
      </c>
      <c r="B1957" s="10" t="s">
        <v>6134</v>
      </c>
      <c r="C1957" s="880">
        <f t="shared" si="151"/>
        <v>26.083300000000001</v>
      </c>
      <c r="D1957" s="880">
        <f t="shared" si="152"/>
        <v>-25.533300000000001</v>
      </c>
      <c r="E1957" s="10">
        <v>26.083334000000001</v>
      </c>
      <c r="F1957" s="10">
        <v>-25.533332999999999</v>
      </c>
      <c r="G1957" s="10">
        <v>2</v>
      </c>
      <c r="H1957" s="10" t="s">
        <v>1938</v>
      </c>
      <c r="I1957" s="10" t="s">
        <v>6085</v>
      </c>
      <c r="J1957" s="10" t="s">
        <v>6086</v>
      </c>
      <c r="K1957" s="10" t="s">
        <v>6087</v>
      </c>
      <c r="L1957" s="65" t="str">
        <f t="shared" si="153"/>
        <v>Zeerust|South Africa|26,083334|-25,533333|+2:00 Africa</v>
      </c>
      <c r="M1957" s="10" t="s">
        <v>6135</v>
      </c>
      <c r="N1957" s="10">
        <f t="shared" si="150"/>
        <v>0</v>
      </c>
      <c r="O1957" t="str">
        <f t="shared" si="154"/>
        <v/>
      </c>
      <c r="P1957" t="str">
        <f>IF(O1957=1,COUNTIF($O$2:O1957,1),"")</f>
        <v/>
      </c>
      <c r="Q1957" t="str">
        <f>IFERROR(INDEX($M$2:$M$2388,MATCH(ROWS($P$2:P1957),$P$2:$P$2388,0)),"")</f>
        <v/>
      </c>
    </row>
    <row r="1958" spans="1:17" ht="15" x14ac:dyDescent="0.25">
      <c r="A1958" s="10">
        <v>1395</v>
      </c>
      <c r="B1958" s="10" t="s">
        <v>6136</v>
      </c>
      <c r="C1958" s="880">
        <f t="shared" si="151"/>
        <v>126.8219</v>
      </c>
      <c r="D1958" s="880">
        <f t="shared" si="152"/>
        <v>37.323599999999999</v>
      </c>
      <c r="E1958" s="10">
        <v>126.821945</v>
      </c>
      <c r="F1958" s="10">
        <v>37.323611999999997</v>
      </c>
      <c r="G1958" s="10">
        <v>9</v>
      </c>
      <c r="H1958" s="10" t="s">
        <v>4033</v>
      </c>
      <c r="I1958" s="10" t="s">
        <v>6137</v>
      </c>
      <c r="J1958" s="10" t="s">
        <v>6138</v>
      </c>
      <c r="K1958" s="10" t="s">
        <v>6139</v>
      </c>
      <c r="L1958" s="65" t="str">
        <f t="shared" si="153"/>
        <v>Ansan|South Korea|126,821945|37,323612|+9:00 Asia</v>
      </c>
      <c r="M1958" s="10" t="s">
        <v>6140</v>
      </c>
      <c r="N1958" s="10">
        <f t="shared" si="150"/>
        <v>0</v>
      </c>
      <c r="O1958" t="str">
        <f t="shared" si="154"/>
        <v/>
      </c>
      <c r="P1958" t="str">
        <f>IF(O1958=1,COUNTIF($O$2:O1958,1),"")</f>
        <v/>
      </c>
      <c r="Q1958" t="str">
        <f>IFERROR(INDEX($M$2:$M$2388,MATCH(ROWS($P$2:P1958),$P$2:$P$2388,0)),"")</f>
        <v/>
      </c>
    </row>
    <row r="1959" spans="1:17" ht="15" x14ac:dyDescent="0.25">
      <c r="A1959" s="10">
        <v>1394</v>
      </c>
      <c r="B1959" s="10" t="s">
        <v>2531</v>
      </c>
      <c r="C1959" s="880">
        <f t="shared" si="151"/>
        <v>126.9269</v>
      </c>
      <c r="D1959" s="880">
        <f t="shared" si="152"/>
        <v>37.392499999999998</v>
      </c>
      <c r="E1959" s="10">
        <v>126.926941</v>
      </c>
      <c r="F1959" s="10">
        <v>37.392502</v>
      </c>
      <c r="G1959" s="10">
        <v>9</v>
      </c>
      <c r="H1959" s="10" t="s">
        <v>1831</v>
      </c>
      <c r="I1959" s="10" t="s">
        <v>6137</v>
      </c>
      <c r="J1959" s="10" t="s">
        <v>6138</v>
      </c>
      <c r="K1959" s="10" t="s">
        <v>2523</v>
      </c>
      <c r="L1959" s="65" t="str">
        <f t="shared" si="153"/>
        <v>Anyang|South Korea|126,926941|37,392502|+8:00 Asia</v>
      </c>
      <c r="M1959" s="10" t="s">
        <v>6141</v>
      </c>
      <c r="N1959" s="10">
        <f t="shared" si="150"/>
        <v>0</v>
      </c>
      <c r="O1959" t="str">
        <f t="shared" si="154"/>
        <v/>
      </c>
      <c r="P1959" t="str">
        <f>IF(O1959=1,COUNTIF($O$2:O1959,1),"")</f>
        <v/>
      </c>
      <c r="Q1959" t="str">
        <f>IFERROR(INDEX($M$2:$M$2388,MATCH(ROWS($P$2:P1959),$P$2:$P$2388,0)),"")</f>
        <v/>
      </c>
    </row>
    <row r="1960" spans="1:17" ht="15" x14ac:dyDescent="0.25">
      <c r="A1960" s="10">
        <v>1393</v>
      </c>
      <c r="B1960" s="10" t="s">
        <v>6142</v>
      </c>
      <c r="C1960" s="880">
        <f t="shared" si="151"/>
        <v>128.68109999999999</v>
      </c>
      <c r="D1960" s="880">
        <f t="shared" si="152"/>
        <v>35.228000000000002</v>
      </c>
      <c r="E1960" s="10">
        <v>128.681107</v>
      </c>
      <c r="F1960" s="10">
        <v>35.228054</v>
      </c>
      <c r="G1960" s="10">
        <v>9</v>
      </c>
      <c r="H1960" s="10" t="s">
        <v>4033</v>
      </c>
      <c r="I1960" s="10" t="s">
        <v>6137</v>
      </c>
      <c r="J1960" s="10" t="s">
        <v>6138</v>
      </c>
      <c r="K1960" s="10" t="s">
        <v>6139</v>
      </c>
      <c r="L1960" s="65" t="str">
        <f t="shared" si="153"/>
        <v>Ch'angwon|South Korea|128,681107|35,228054|+9:00 Asia</v>
      </c>
      <c r="M1960" s="10" t="s">
        <v>6143</v>
      </c>
      <c r="N1960" s="10">
        <f t="shared" si="150"/>
        <v>0</v>
      </c>
      <c r="O1960" t="str">
        <f t="shared" si="154"/>
        <v/>
      </c>
      <c r="P1960" t="str">
        <f>IF(O1960=1,COUNTIF($O$2:O1960,1),"")</f>
        <v/>
      </c>
      <c r="Q1960" t="str">
        <f>IFERROR(INDEX($M$2:$M$2388,MATCH(ROWS($P$2:P1960),$P$2:$P$2388,0)),"")</f>
        <v/>
      </c>
    </row>
    <row r="1961" spans="1:17" ht="15" x14ac:dyDescent="0.25">
      <c r="A1961" s="10">
        <v>1392</v>
      </c>
      <c r="B1961" s="10" t="s">
        <v>6144</v>
      </c>
      <c r="C1961" s="880">
        <f t="shared" si="151"/>
        <v>126.5219</v>
      </c>
      <c r="D1961" s="880">
        <f t="shared" si="152"/>
        <v>33.509700000000002</v>
      </c>
      <c r="E1961" s="10">
        <v>126.521942</v>
      </c>
      <c r="F1961" s="10">
        <v>33.509723999999999</v>
      </c>
      <c r="G1961" s="10">
        <v>9</v>
      </c>
      <c r="H1961" s="10" t="s">
        <v>4033</v>
      </c>
      <c r="I1961" s="10" t="s">
        <v>6137</v>
      </c>
      <c r="J1961" s="10" t="s">
        <v>6138</v>
      </c>
      <c r="K1961" s="10" t="s">
        <v>6139</v>
      </c>
      <c r="L1961" s="65" t="str">
        <f t="shared" si="153"/>
        <v>Cheju|South Korea|126,521942|33,509724|+9:00 Asia</v>
      </c>
      <c r="M1961" s="10" t="s">
        <v>6145</v>
      </c>
      <c r="N1961" s="10">
        <f t="shared" si="150"/>
        <v>0</v>
      </c>
      <c r="O1961" t="str">
        <f t="shared" si="154"/>
        <v/>
      </c>
      <c r="P1961" t="str">
        <f>IF(O1961=1,COUNTIF($O$2:O1961,1),"")</f>
        <v/>
      </c>
      <c r="Q1961" t="str">
        <f>IFERROR(INDEX($M$2:$M$2388,MATCH(ROWS($P$2:P1961),$P$2:$P$2388,0)),"")</f>
        <v/>
      </c>
    </row>
    <row r="1962" spans="1:17" ht="15" x14ac:dyDescent="0.25">
      <c r="A1962" s="10">
        <v>1391</v>
      </c>
      <c r="B1962" s="10" t="s">
        <v>6146</v>
      </c>
      <c r="C1962" s="880">
        <f t="shared" si="151"/>
        <v>128.0847</v>
      </c>
      <c r="D1962" s="880">
        <f t="shared" si="152"/>
        <v>35.192700000000002</v>
      </c>
      <c r="E1962" s="10">
        <v>128.08471700000001</v>
      </c>
      <c r="F1962" s="10">
        <v>35.192779999999999</v>
      </c>
      <c r="G1962" s="10">
        <v>9</v>
      </c>
      <c r="H1962" s="10" t="s">
        <v>4033</v>
      </c>
      <c r="I1962" s="10" t="s">
        <v>6137</v>
      </c>
      <c r="J1962" s="10" t="s">
        <v>6138</v>
      </c>
      <c r="K1962" s="10" t="s">
        <v>6139</v>
      </c>
      <c r="L1962" s="65" t="str">
        <f t="shared" si="153"/>
        <v>Chinju|South Korea|128,084717|35,192780|+9:00 Asia</v>
      </c>
      <c r="M1962" s="10" t="s">
        <v>6147</v>
      </c>
      <c r="N1962" s="10">
        <f t="shared" si="150"/>
        <v>0</v>
      </c>
      <c r="O1962" t="str">
        <f t="shared" si="154"/>
        <v/>
      </c>
      <c r="P1962" t="str">
        <f>IF(O1962=1,COUNTIF($O$2:O1962,1),"")</f>
        <v/>
      </c>
      <c r="Q1962" t="str">
        <f>IFERROR(INDEX($M$2:$M$2388,MATCH(ROWS($P$2:P1962),$P$2:$P$2388,0)),"")</f>
        <v/>
      </c>
    </row>
    <row r="1963" spans="1:17" ht="15" x14ac:dyDescent="0.25">
      <c r="A1963" s="10">
        <v>1390</v>
      </c>
      <c r="B1963" s="10" t="s">
        <v>6148</v>
      </c>
      <c r="C1963" s="880">
        <f t="shared" si="151"/>
        <v>127.15219999999999</v>
      </c>
      <c r="D1963" s="880">
        <f t="shared" si="152"/>
        <v>36.8063</v>
      </c>
      <c r="E1963" s="10">
        <v>127.15222199999999</v>
      </c>
      <c r="F1963" s="10">
        <v>36.806389000000003</v>
      </c>
      <c r="G1963" s="10">
        <v>9</v>
      </c>
      <c r="H1963" s="10" t="s">
        <v>4033</v>
      </c>
      <c r="I1963" s="10" t="s">
        <v>6137</v>
      </c>
      <c r="J1963" s="10" t="s">
        <v>6138</v>
      </c>
      <c r="K1963" s="10" t="s">
        <v>6139</v>
      </c>
      <c r="L1963" s="65" t="str">
        <f t="shared" si="153"/>
        <v>Ch'onan|South Korea|127,152222|36,806389|+9:00 Asia</v>
      </c>
      <c r="M1963" s="10" t="s">
        <v>6149</v>
      </c>
      <c r="N1963" s="10">
        <f t="shared" si="150"/>
        <v>0</v>
      </c>
      <c r="O1963" t="str">
        <f t="shared" si="154"/>
        <v/>
      </c>
      <c r="P1963" t="str">
        <f>IF(O1963=1,COUNTIF($O$2:O1963,1),"")</f>
        <v/>
      </c>
      <c r="Q1963" t="str">
        <f>IFERROR(INDEX($M$2:$M$2388,MATCH(ROWS($P$2:P1963),$P$2:$P$2388,0)),"")</f>
        <v/>
      </c>
    </row>
    <row r="1964" spans="1:17" ht="15" x14ac:dyDescent="0.25">
      <c r="A1964" s="10">
        <v>1389</v>
      </c>
      <c r="B1964" s="10" t="s">
        <v>6150</v>
      </c>
      <c r="C1964" s="880">
        <f t="shared" si="151"/>
        <v>127.4897</v>
      </c>
      <c r="D1964" s="880">
        <f t="shared" si="152"/>
        <v>36.6372</v>
      </c>
      <c r="E1964" s="10">
        <v>127.489723</v>
      </c>
      <c r="F1964" s="10">
        <v>36.637222000000001</v>
      </c>
      <c r="G1964" s="10">
        <v>9</v>
      </c>
      <c r="H1964" s="10" t="s">
        <v>4033</v>
      </c>
      <c r="I1964" s="10" t="s">
        <v>6137</v>
      </c>
      <c r="J1964" s="10" t="s">
        <v>6138</v>
      </c>
      <c r="K1964" s="10" t="s">
        <v>6139</v>
      </c>
      <c r="L1964" s="65" t="str">
        <f t="shared" si="153"/>
        <v>Ch'ongju|South Korea|127,489723|36,637222|+9:00 Asia</v>
      </c>
      <c r="M1964" s="10" t="s">
        <v>6151</v>
      </c>
      <c r="N1964" s="10">
        <f t="shared" si="150"/>
        <v>0</v>
      </c>
      <c r="O1964" t="str">
        <f t="shared" si="154"/>
        <v/>
      </c>
      <c r="P1964" t="str">
        <f>IF(O1964=1,COUNTIF($O$2:O1964,1),"")</f>
        <v/>
      </c>
      <c r="Q1964" t="str">
        <f>IFERROR(INDEX($M$2:$M$2388,MATCH(ROWS($P$2:P1964),$P$2:$P$2388,0)),"")</f>
        <v/>
      </c>
    </row>
    <row r="1965" spans="1:17" ht="15" x14ac:dyDescent="0.25">
      <c r="A1965" s="10">
        <v>1388</v>
      </c>
      <c r="B1965" s="10" t="s">
        <v>6152</v>
      </c>
      <c r="C1965" s="880">
        <f t="shared" si="151"/>
        <v>127.14879999999999</v>
      </c>
      <c r="D1965" s="880">
        <f t="shared" si="152"/>
        <v>35.821899999999999</v>
      </c>
      <c r="E1965" s="10">
        <v>127.148888</v>
      </c>
      <c r="F1965" s="10">
        <v>35.821944999999999</v>
      </c>
      <c r="G1965" s="10">
        <v>9</v>
      </c>
      <c r="H1965" s="10" t="s">
        <v>4033</v>
      </c>
      <c r="I1965" s="10" t="s">
        <v>6137</v>
      </c>
      <c r="J1965" s="10" t="s">
        <v>6138</v>
      </c>
      <c r="K1965" s="10" t="s">
        <v>6139</v>
      </c>
      <c r="L1965" s="65" t="str">
        <f t="shared" si="153"/>
        <v>Chonju|South Korea|127,148888|35,821945|+9:00 Asia</v>
      </c>
      <c r="M1965" s="10" t="s">
        <v>6153</v>
      </c>
      <c r="N1965" s="10">
        <f t="shared" si="150"/>
        <v>0</v>
      </c>
      <c r="O1965" t="str">
        <f t="shared" si="154"/>
        <v/>
      </c>
      <c r="P1965" t="str">
        <f>IF(O1965=1,COUNTIF($O$2:O1965,1),"")</f>
        <v/>
      </c>
      <c r="Q1965" t="str">
        <f>IFERROR(INDEX($M$2:$M$2388,MATCH(ROWS($P$2:P1965),$P$2:$P$2388,0)),"")</f>
        <v/>
      </c>
    </row>
    <row r="1966" spans="1:17" ht="15" x14ac:dyDescent="0.25">
      <c r="A1966" s="10">
        <v>1387</v>
      </c>
      <c r="B1966" s="10" t="s">
        <v>6154</v>
      </c>
      <c r="C1966" s="880">
        <f t="shared" si="151"/>
        <v>127.7341</v>
      </c>
      <c r="D1966" s="880">
        <f t="shared" si="152"/>
        <v>37.874699999999997</v>
      </c>
      <c r="E1966" s="10">
        <v>127.73416899999999</v>
      </c>
      <c r="F1966" s="10">
        <v>37.874721999999998</v>
      </c>
      <c r="G1966" s="10">
        <v>9</v>
      </c>
      <c r="H1966" s="10" t="s">
        <v>4033</v>
      </c>
      <c r="I1966" s="10" t="s">
        <v>6137</v>
      </c>
      <c r="J1966" s="10" t="s">
        <v>6138</v>
      </c>
      <c r="K1966" s="10" t="s">
        <v>6139</v>
      </c>
      <c r="L1966" s="65" t="str">
        <f t="shared" si="153"/>
        <v>Ch'unch'on|South Korea|127,734169|37,874722|+9:00 Asia</v>
      </c>
      <c r="M1966" s="10" t="s">
        <v>6155</v>
      </c>
      <c r="N1966" s="10">
        <f t="shared" si="150"/>
        <v>0</v>
      </c>
      <c r="O1966" t="str">
        <f t="shared" si="154"/>
        <v/>
      </c>
      <c r="P1966" t="str">
        <f>IF(O1966=1,COUNTIF($O$2:O1966,1),"")</f>
        <v/>
      </c>
      <c r="Q1966" t="str">
        <f>IFERROR(INDEX($M$2:$M$2388,MATCH(ROWS($P$2:P1966),$P$2:$P$2388,0)),"")</f>
        <v/>
      </c>
    </row>
    <row r="1967" spans="1:17" ht="15" x14ac:dyDescent="0.25">
      <c r="A1967" s="10">
        <v>1367</v>
      </c>
      <c r="B1967" s="10" t="s">
        <v>6156</v>
      </c>
      <c r="C1967" s="880">
        <f t="shared" si="151"/>
        <v>129.35220000000001</v>
      </c>
      <c r="D1967" s="880">
        <f t="shared" si="152"/>
        <v>36.112400000000001</v>
      </c>
      <c r="E1967" s="10">
        <v>129.35221899999999</v>
      </c>
      <c r="F1967" s="10">
        <v>36.112499</v>
      </c>
      <c r="G1967" s="10">
        <v>9</v>
      </c>
      <c r="H1967" s="10" t="s">
        <v>4033</v>
      </c>
      <c r="I1967" s="10" t="s">
        <v>6137</v>
      </c>
      <c r="J1967" s="10" t="s">
        <v>6138</v>
      </c>
      <c r="K1967" s="10" t="s">
        <v>6139</v>
      </c>
      <c r="L1967" s="65" t="str">
        <f t="shared" si="153"/>
        <v>Hunghae|South Korea|129,352219|36,112499|+9:00 Asia</v>
      </c>
      <c r="M1967" s="10" t="s">
        <v>6157</v>
      </c>
      <c r="N1967" s="10">
        <f t="shared" si="150"/>
        <v>0</v>
      </c>
      <c r="O1967" t="str">
        <f t="shared" si="154"/>
        <v/>
      </c>
      <c r="P1967" t="str">
        <f>IF(O1967=1,COUNTIF($O$2:O1967,1),"")</f>
        <v/>
      </c>
      <c r="Q1967" t="str">
        <f>IFERROR(INDEX($M$2:$M$2388,MATCH(ROWS($P$2:P1967),$P$2:$P$2388,0)),"")</f>
        <v/>
      </c>
    </row>
    <row r="1968" spans="1:17" ht="15" x14ac:dyDescent="0.25">
      <c r="A1968" s="10">
        <v>1386</v>
      </c>
      <c r="B1968" s="10" t="s">
        <v>6158</v>
      </c>
      <c r="C1968" s="880">
        <f t="shared" si="151"/>
        <v>126.95440000000001</v>
      </c>
      <c r="D1968" s="880">
        <f t="shared" si="152"/>
        <v>35.943800000000003</v>
      </c>
      <c r="E1968" s="10">
        <v>126.95444500000001</v>
      </c>
      <c r="F1968" s="10">
        <v>35.943890000000003</v>
      </c>
      <c r="G1968" s="10">
        <v>9</v>
      </c>
      <c r="H1968" s="10" t="s">
        <v>4033</v>
      </c>
      <c r="I1968" s="10" t="s">
        <v>6137</v>
      </c>
      <c r="J1968" s="10" t="s">
        <v>6138</v>
      </c>
      <c r="K1968" s="10" t="s">
        <v>6139</v>
      </c>
      <c r="L1968" s="65" t="str">
        <f t="shared" si="153"/>
        <v>Iksan|South Korea|126,954445|35,943890|+9:00 Asia</v>
      </c>
      <c r="M1968" s="10" t="s">
        <v>6159</v>
      </c>
      <c r="N1968" s="10">
        <f t="shared" si="150"/>
        <v>0</v>
      </c>
      <c r="O1968" t="str">
        <f t="shared" si="154"/>
        <v/>
      </c>
      <c r="P1968" t="str">
        <f>IF(O1968=1,COUNTIF($O$2:O1968,1),"")</f>
        <v/>
      </c>
      <c r="Q1968" t="str">
        <f>IFERROR(INDEX($M$2:$M$2388,MATCH(ROWS($P$2:P1968),$P$2:$P$2388,0)),"")</f>
        <v/>
      </c>
    </row>
    <row r="1969" spans="1:17" ht="15" x14ac:dyDescent="0.25">
      <c r="A1969" s="10">
        <v>1385</v>
      </c>
      <c r="B1969" s="10" t="s">
        <v>6160</v>
      </c>
      <c r="C1969" s="880">
        <f t="shared" si="151"/>
        <v>128.8811</v>
      </c>
      <c r="D1969" s="880">
        <f t="shared" si="152"/>
        <v>35.234099999999998</v>
      </c>
      <c r="E1969" s="10">
        <v>128.88110399999999</v>
      </c>
      <c r="F1969" s="10">
        <v>35.234164999999997</v>
      </c>
      <c r="G1969" s="10">
        <v>9</v>
      </c>
      <c r="H1969" s="10" t="s">
        <v>4033</v>
      </c>
      <c r="I1969" s="10" t="s">
        <v>6137</v>
      </c>
      <c r="J1969" s="10" t="s">
        <v>6138</v>
      </c>
      <c r="K1969" s="10" t="s">
        <v>6139</v>
      </c>
      <c r="L1969" s="65" t="str">
        <f t="shared" si="153"/>
        <v>Kimhae|South Korea|128,881104|35,234165|+9:00 Asia</v>
      </c>
      <c r="M1969" s="10" t="s">
        <v>6161</v>
      </c>
      <c r="N1969" s="10">
        <f t="shared" si="150"/>
        <v>0</v>
      </c>
      <c r="O1969" t="str">
        <f t="shared" si="154"/>
        <v/>
      </c>
      <c r="P1969" t="str">
        <f>IF(O1969=1,COUNTIF($O$2:O1969,1),"")</f>
        <v/>
      </c>
      <c r="Q1969" t="str">
        <f>IFERROR(INDEX($M$2:$M$2388,MATCH(ROWS($P$2:P1969),$P$2:$P$2388,0)),"")</f>
        <v/>
      </c>
    </row>
    <row r="1970" spans="1:17" ht="15" x14ac:dyDescent="0.25">
      <c r="A1970" s="10">
        <v>1384</v>
      </c>
      <c r="B1970" s="10" t="s">
        <v>6162</v>
      </c>
      <c r="C1970" s="880">
        <f t="shared" si="151"/>
        <v>128.34469999999999</v>
      </c>
      <c r="D1970" s="880">
        <f t="shared" si="152"/>
        <v>36.127200000000002</v>
      </c>
      <c r="E1970" s="10">
        <v>128.34472700000001</v>
      </c>
      <c r="F1970" s="10">
        <v>36.127223999999998</v>
      </c>
      <c r="G1970" s="10">
        <v>9</v>
      </c>
      <c r="H1970" s="10" t="s">
        <v>4033</v>
      </c>
      <c r="I1970" s="10" t="s">
        <v>6137</v>
      </c>
      <c r="J1970" s="10" t="s">
        <v>6138</v>
      </c>
      <c r="K1970" s="10" t="s">
        <v>6139</v>
      </c>
      <c r="L1970" s="65" t="str">
        <f t="shared" si="153"/>
        <v>Kumi|South Korea|128,344727|36,127224|+9:00 Asia</v>
      </c>
      <c r="M1970" s="10" t="s">
        <v>6163</v>
      </c>
      <c r="N1970" s="10">
        <f t="shared" si="150"/>
        <v>0</v>
      </c>
      <c r="O1970" t="str">
        <f t="shared" si="154"/>
        <v/>
      </c>
      <c r="P1970" t="str">
        <f>IF(O1970=1,COUNTIF($O$2:O1970,1),"")</f>
        <v/>
      </c>
      <c r="Q1970" t="str">
        <f>IFERROR(INDEX($M$2:$M$2388,MATCH(ROWS($P$2:P1970),$P$2:$P$2388,0)),"")</f>
        <v/>
      </c>
    </row>
    <row r="1971" spans="1:17" ht="15" x14ac:dyDescent="0.25">
      <c r="A1971" s="10">
        <v>1383</v>
      </c>
      <c r="B1971" s="10" t="s">
        <v>6164</v>
      </c>
      <c r="C1971" s="880">
        <f t="shared" si="151"/>
        <v>126.71129999999999</v>
      </c>
      <c r="D1971" s="880">
        <f t="shared" si="152"/>
        <v>35.9786</v>
      </c>
      <c r="E1971" s="10">
        <v>126.711388</v>
      </c>
      <c r="F1971" s="10">
        <v>35.978611000000001</v>
      </c>
      <c r="G1971" s="10">
        <v>9</v>
      </c>
      <c r="H1971" s="10" t="s">
        <v>4033</v>
      </c>
      <c r="I1971" s="10" t="s">
        <v>6137</v>
      </c>
      <c r="J1971" s="10" t="s">
        <v>6138</v>
      </c>
      <c r="K1971" s="10" t="s">
        <v>6139</v>
      </c>
      <c r="L1971" s="65" t="str">
        <f t="shared" si="153"/>
        <v>Kunsan|South Korea|126,711388|35,978611|+9:00 Asia</v>
      </c>
      <c r="M1971" s="10" t="s">
        <v>6165</v>
      </c>
      <c r="N1971" s="10">
        <f t="shared" si="150"/>
        <v>0</v>
      </c>
      <c r="O1971" t="str">
        <f t="shared" si="154"/>
        <v/>
      </c>
      <c r="P1971" t="str">
        <f>IF(O1971=1,COUNTIF($O$2:O1971,1),"")</f>
        <v/>
      </c>
      <c r="Q1971" t="str">
        <f>IFERROR(INDEX($M$2:$M$2388,MATCH(ROWS($P$2:P1971),$P$2:$P$2388,0)),"")</f>
        <v/>
      </c>
    </row>
    <row r="1972" spans="1:17" ht="15" x14ac:dyDescent="0.25">
      <c r="A1972" s="10">
        <v>1382</v>
      </c>
      <c r="B1972" s="10" t="s">
        <v>6166</v>
      </c>
      <c r="C1972" s="880">
        <f t="shared" si="151"/>
        <v>126.91549999999999</v>
      </c>
      <c r="D1972" s="880">
        <f t="shared" si="152"/>
        <v>35.154699999999998</v>
      </c>
      <c r="E1972" s="10">
        <v>126.915558</v>
      </c>
      <c r="F1972" s="10">
        <v>35.154719999999998</v>
      </c>
      <c r="G1972" s="10">
        <v>9</v>
      </c>
      <c r="H1972" s="10" t="s">
        <v>4033</v>
      </c>
      <c r="I1972" s="10" t="s">
        <v>6137</v>
      </c>
      <c r="J1972" s="10" t="s">
        <v>6138</v>
      </c>
      <c r="K1972" s="10" t="s">
        <v>6139</v>
      </c>
      <c r="L1972" s="65" t="str">
        <f t="shared" si="153"/>
        <v>Kwangju|South Korea|126,915558|35,154720|+9:00 Asia</v>
      </c>
      <c r="M1972" s="10" t="s">
        <v>6167</v>
      </c>
      <c r="N1972" s="10">
        <f t="shared" si="150"/>
        <v>0</v>
      </c>
      <c r="O1972" t="str">
        <f t="shared" si="154"/>
        <v/>
      </c>
      <c r="P1972" t="str">
        <f>IF(O1972=1,COUNTIF($O$2:O1972,1),"")</f>
        <v/>
      </c>
      <c r="Q1972" t="str">
        <f>IFERROR(INDEX($M$2:$M$2388,MATCH(ROWS($P$2:P1972),$P$2:$P$2388,0)),"")</f>
        <v/>
      </c>
    </row>
    <row r="1973" spans="1:17" ht="15" x14ac:dyDescent="0.25">
      <c r="A1973" s="10">
        <v>1397</v>
      </c>
      <c r="B1973" s="10" t="s">
        <v>6168</v>
      </c>
      <c r="C1973" s="880">
        <f t="shared" si="151"/>
        <v>126.8663</v>
      </c>
      <c r="D1973" s="880">
        <f t="shared" si="152"/>
        <v>37.477200000000003</v>
      </c>
      <c r="E1973" s="10">
        <v>126.86638600000001</v>
      </c>
      <c r="F1973" s="10">
        <v>37.477221999999998</v>
      </c>
      <c r="G1973" s="10">
        <v>9</v>
      </c>
      <c r="H1973" s="10" t="s">
        <v>4033</v>
      </c>
      <c r="I1973" s="10" t="s">
        <v>6137</v>
      </c>
      <c r="J1973" s="10" t="s">
        <v>6138</v>
      </c>
      <c r="K1973" s="10" t="s">
        <v>6139</v>
      </c>
      <c r="L1973" s="65" t="str">
        <f t="shared" si="153"/>
        <v>Kwangmyong|South Korea|126,866386|37,477222|+9:00 Asia</v>
      </c>
      <c r="M1973" s="10" t="s">
        <v>6169</v>
      </c>
      <c r="N1973" s="10">
        <f t="shared" si="150"/>
        <v>0</v>
      </c>
      <c r="O1973" t="str">
        <f t="shared" si="154"/>
        <v/>
      </c>
      <c r="P1973" t="str">
        <f>IF(O1973=1,COUNTIF($O$2:O1973,1),"")</f>
        <v/>
      </c>
      <c r="Q1973" t="str">
        <f>IFERROR(INDEX($M$2:$M$2388,MATCH(ROWS($P$2:P1973),$P$2:$P$2388,0)),"")</f>
        <v/>
      </c>
    </row>
    <row r="1974" spans="1:17" ht="15" x14ac:dyDescent="0.25">
      <c r="A1974" s="10">
        <v>1381</v>
      </c>
      <c r="B1974" s="10" t="s">
        <v>6170</v>
      </c>
      <c r="C1974" s="880">
        <f t="shared" si="151"/>
        <v>128.57239999999999</v>
      </c>
      <c r="D1974" s="880">
        <f t="shared" si="152"/>
        <v>35.207999999999998</v>
      </c>
      <c r="E1974" s="10">
        <v>128.572495</v>
      </c>
      <c r="F1974" s="10">
        <v>35.208056999999997</v>
      </c>
      <c r="G1974" s="10">
        <v>9</v>
      </c>
      <c r="H1974" s="10" t="s">
        <v>4033</v>
      </c>
      <c r="I1974" s="10" t="s">
        <v>6137</v>
      </c>
      <c r="J1974" s="10" t="s">
        <v>6138</v>
      </c>
      <c r="K1974" s="10" t="s">
        <v>6139</v>
      </c>
      <c r="L1974" s="65" t="str">
        <f t="shared" si="153"/>
        <v>Masan|South Korea|128,572495|35,208057|+9:00 Asia</v>
      </c>
      <c r="M1974" s="10" t="s">
        <v>6171</v>
      </c>
      <c r="N1974" s="10">
        <f t="shared" si="150"/>
        <v>0</v>
      </c>
      <c r="O1974" t="str">
        <f t="shared" si="154"/>
        <v/>
      </c>
      <c r="P1974" t="str">
        <f>IF(O1974=1,COUNTIF($O$2:O1974,1),"")</f>
        <v/>
      </c>
      <c r="Q1974" t="str">
        <f>IFERROR(INDEX($M$2:$M$2388,MATCH(ROWS($P$2:P1974),$P$2:$P$2388,0)),"")</f>
        <v/>
      </c>
    </row>
    <row r="1975" spans="1:17" ht="15" x14ac:dyDescent="0.25">
      <c r="A1975" s="10">
        <v>1380</v>
      </c>
      <c r="B1975" s="10" t="s">
        <v>6172</v>
      </c>
      <c r="C1975" s="880">
        <f t="shared" si="151"/>
        <v>126.3886</v>
      </c>
      <c r="D1975" s="880">
        <f t="shared" si="152"/>
        <v>34.793599999999998</v>
      </c>
      <c r="E1975" s="10">
        <v>126.388611</v>
      </c>
      <c r="F1975" s="10">
        <v>34.793610000000001</v>
      </c>
      <c r="G1975" s="10">
        <v>9</v>
      </c>
      <c r="H1975" s="10" t="s">
        <v>4033</v>
      </c>
      <c r="I1975" s="10" t="s">
        <v>6137</v>
      </c>
      <c r="J1975" s="10" t="s">
        <v>6138</v>
      </c>
      <c r="K1975" s="10" t="s">
        <v>6139</v>
      </c>
      <c r="L1975" s="65" t="str">
        <f t="shared" si="153"/>
        <v>Mokp'o|South Korea|126,388611|34,793610|+9:00 Asia</v>
      </c>
      <c r="M1975" s="10" t="s">
        <v>6173</v>
      </c>
      <c r="N1975" s="10">
        <f t="shared" si="150"/>
        <v>0</v>
      </c>
      <c r="O1975" t="str">
        <f t="shared" si="154"/>
        <v/>
      </c>
      <c r="P1975" t="str">
        <f>IF(O1975=1,COUNTIF($O$2:O1975,1),"")</f>
        <v/>
      </c>
      <c r="Q1975" t="str">
        <f>IFERROR(INDEX($M$2:$M$2388,MATCH(ROWS($P$2:P1975),$P$2:$P$2388,0)),"")</f>
        <v/>
      </c>
    </row>
    <row r="1976" spans="1:17" ht="15" x14ac:dyDescent="0.25">
      <c r="A1976" s="10">
        <v>1379</v>
      </c>
      <c r="B1976" s="10" t="s">
        <v>6174</v>
      </c>
      <c r="C1976" s="880">
        <f t="shared" si="151"/>
        <v>126.783</v>
      </c>
      <c r="D1976" s="880">
        <f t="shared" si="152"/>
        <v>37.498800000000003</v>
      </c>
      <c r="E1976" s="10">
        <v>126.783058</v>
      </c>
      <c r="F1976" s="10">
        <v>37.498890000000003</v>
      </c>
      <c r="G1976" s="10">
        <v>9</v>
      </c>
      <c r="H1976" s="10" t="s">
        <v>4033</v>
      </c>
      <c r="I1976" s="10" t="s">
        <v>6137</v>
      </c>
      <c r="J1976" s="10" t="s">
        <v>6138</v>
      </c>
      <c r="K1976" s="10" t="s">
        <v>6139</v>
      </c>
      <c r="L1976" s="65" t="str">
        <f t="shared" si="153"/>
        <v>Puch'on|South Korea|126,783058|37,498890|+9:00 Asia</v>
      </c>
      <c r="M1976" s="10" t="s">
        <v>6175</v>
      </c>
      <c r="N1976" s="10">
        <f t="shared" si="150"/>
        <v>0</v>
      </c>
      <c r="O1976" t="str">
        <f t="shared" si="154"/>
        <v/>
      </c>
      <c r="P1976" t="str">
        <f>IF(O1976=1,COUNTIF($O$2:O1976,1),"")</f>
        <v/>
      </c>
      <c r="Q1976" t="str">
        <f>IFERROR(INDEX($M$2:$M$2388,MATCH(ROWS($P$2:P1976),$P$2:$P$2388,0)),"")</f>
        <v/>
      </c>
    </row>
    <row r="1977" spans="1:17" ht="15" x14ac:dyDescent="0.25">
      <c r="A1977" s="10">
        <v>1378</v>
      </c>
      <c r="B1977" s="10" t="s">
        <v>6176</v>
      </c>
      <c r="C1977" s="880">
        <f t="shared" si="151"/>
        <v>129.0402</v>
      </c>
      <c r="D1977" s="880">
        <f t="shared" si="152"/>
        <v>35.102699999999999</v>
      </c>
      <c r="E1977" s="10">
        <v>129.04028299999999</v>
      </c>
      <c r="F1977" s="10">
        <v>35.102778999999998</v>
      </c>
      <c r="G1977" s="10">
        <v>9</v>
      </c>
      <c r="H1977" s="10" t="s">
        <v>4033</v>
      </c>
      <c r="I1977" s="10" t="s">
        <v>6137</v>
      </c>
      <c r="J1977" s="10" t="s">
        <v>6138</v>
      </c>
      <c r="K1977" s="10" t="s">
        <v>6139</v>
      </c>
      <c r="L1977" s="65" t="str">
        <f t="shared" si="153"/>
        <v>Pusan|South Korea|129,040283|35,102779|+9:00 Asia</v>
      </c>
      <c r="M1977" s="10" t="s">
        <v>6177</v>
      </c>
      <c r="N1977" s="10">
        <f t="shared" si="150"/>
        <v>0</v>
      </c>
      <c r="O1977" t="str">
        <f t="shared" si="154"/>
        <v/>
      </c>
      <c r="P1977" t="str">
        <f>IF(O1977=1,COUNTIF($O$2:O1977,1),"")</f>
        <v/>
      </c>
      <c r="Q1977" t="str">
        <f>IFERROR(INDEX($M$2:$M$2388,MATCH(ROWS($P$2:P1977),$P$2:$P$2388,0)),"")</f>
        <v/>
      </c>
    </row>
    <row r="1978" spans="1:17" ht="15" x14ac:dyDescent="0.25">
      <c r="A1978" s="10">
        <v>1377</v>
      </c>
      <c r="B1978" s="10" t="s">
        <v>6178</v>
      </c>
      <c r="C1978" s="880">
        <f t="shared" si="151"/>
        <v>126.9997</v>
      </c>
      <c r="D1978" s="880">
        <f t="shared" si="152"/>
        <v>37.566299999999998</v>
      </c>
      <c r="E1978" s="10">
        <v>126.999725</v>
      </c>
      <c r="F1978" s="10">
        <v>37.566386999999999</v>
      </c>
      <c r="G1978" s="10">
        <v>9</v>
      </c>
      <c r="H1978" s="10" t="s">
        <v>4033</v>
      </c>
      <c r="I1978" s="10" t="s">
        <v>6137</v>
      </c>
      <c r="J1978" s="10" t="s">
        <v>6138</v>
      </c>
      <c r="K1978" s="10" t="s">
        <v>6139</v>
      </c>
      <c r="L1978" s="65" t="str">
        <f t="shared" si="153"/>
        <v>Seoul|South Korea|126,999725|37,566387|+9:00 Asia</v>
      </c>
      <c r="M1978" s="10" t="s">
        <v>6179</v>
      </c>
      <c r="N1978" s="10">
        <f t="shared" si="150"/>
        <v>0</v>
      </c>
      <c r="O1978" t="str">
        <f t="shared" si="154"/>
        <v/>
      </c>
      <c r="P1978" t="str">
        <f>IF(O1978=1,COUNTIF($O$2:O1978,1),"")</f>
        <v/>
      </c>
      <c r="Q1978" t="str">
        <f>IFERROR(INDEX($M$2:$M$2388,MATCH(ROWS($P$2:P1978),$P$2:$P$2388,0)),"")</f>
        <v/>
      </c>
    </row>
    <row r="1979" spans="1:17" ht="15" x14ac:dyDescent="0.25">
      <c r="A1979" s="10">
        <v>1396</v>
      </c>
      <c r="B1979" s="10" t="s">
        <v>6180</v>
      </c>
      <c r="C1979" s="880">
        <f t="shared" si="151"/>
        <v>127.1377</v>
      </c>
      <c r="D1979" s="880">
        <f t="shared" si="152"/>
        <v>37.438600000000001</v>
      </c>
      <c r="E1979" s="10">
        <v>127.13777899999999</v>
      </c>
      <c r="F1979" s="10">
        <v>37.438609999999997</v>
      </c>
      <c r="G1979" s="10">
        <v>9</v>
      </c>
      <c r="H1979" s="10" t="s">
        <v>4033</v>
      </c>
      <c r="I1979" s="10" t="s">
        <v>6137</v>
      </c>
      <c r="J1979" s="10" t="s">
        <v>6138</v>
      </c>
      <c r="K1979" s="10" t="s">
        <v>6139</v>
      </c>
      <c r="L1979" s="65" t="str">
        <f t="shared" si="153"/>
        <v>Songnam|South Korea|127,137779|37,438610|+9:00 Asia</v>
      </c>
      <c r="M1979" s="10" t="s">
        <v>6181</v>
      </c>
      <c r="N1979" s="10">
        <f t="shared" si="150"/>
        <v>0</v>
      </c>
      <c r="O1979" t="str">
        <f t="shared" si="154"/>
        <v/>
      </c>
      <c r="P1979" t="str">
        <f>IF(O1979=1,COUNTIF($O$2:O1979,1),"")</f>
        <v/>
      </c>
      <c r="Q1979" t="str">
        <f>IFERROR(INDEX($M$2:$M$2388,MATCH(ROWS($P$2:P1979),$P$2:$P$2388,0)),"")</f>
        <v/>
      </c>
    </row>
    <row r="1980" spans="1:17" ht="15" x14ac:dyDescent="0.25">
      <c r="A1980" s="10">
        <v>1376</v>
      </c>
      <c r="B1980" s="10" t="s">
        <v>6182</v>
      </c>
      <c r="C1980" s="880">
        <f t="shared" si="151"/>
        <v>127.4883</v>
      </c>
      <c r="D1980" s="880">
        <f t="shared" si="152"/>
        <v>34.951099999999997</v>
      </c>
      <c r="E1980" s="10">
        <v>127.48833500000001</v>
      </c>
      <c r="F1980" s="10">
        <v>34.951110999999997</v>
      </c>
      <c r="G1980" s="10">
        <v>9</v>
      </c>
      <c r="H1980" s="10" t="s">
        <v>4033</v>
      </c>
      <c r="I1980" s="10" t="s">
        <v>6137</v>
      </c>
      <c r="J1980" s="10" t="s">
        <v>6138</v>
      </c>
      <c r="K1980" s="10" t="s">
        <v>6139</v>
      </c>
      <c r="L1980" s="65" t="str">
        <f t="shared" si="153"/>
        <v>Sunch'on|South Korea|127,488335|34,951111|+9:00 Asia</v>
      </c>
      <c r="M1980" s="10" t="s">
        <v>6183</v>
      </c>
      <c r="N1980" s="10">
        <f t="shared" si="150"/>
        <v>0</v>
      </c>
      <c r="O1980" t="str">
        <f t="shared" si="154"/>
        <v/>
      </c>
      <c r="P1980" t="str">
        <f>IF(O1980=1,COUNTIF($O$2:O1980,1),"")</f>
        <v/>
      </c>
      <c r="Q1980" t="str">
        <f>IFERROR(INDEX($M$2:$M$2388,MATCH(ROWS($P$2:P1980),$P$2:$P$2388,0)),"")</f>
        <v/>
      </c>
    </row>
    <row r="1981" spans="1:17" ht="15" x14ac:dyDescent="0.25">
      <c r="A1981" s="10">
        <v>1375</v>
      </c>
      <c r="B1981" s="10" t="s">
        <v>6184</v>
      </c>
      <c r="C1981" s="880">
        <f t="shared" si="151"/>
        <v>127.01909999999999</v>
      </c>
      <c r="D1981" s="880">
        <f t="shared" si="152"/>
        <v>37.284100000000002</v>
      </c>
      <c r="E1981" s="10">
        <v>127.019165</v>
      </c>
      <c r="F1981" s="10">
        <v>37.284168000000001</v>
      </c>
      <c r="G1981" s="10">
        <v>9</v>
      </c>
      <c r="H1981" s="10" t="s">
        <v>4033</v>
      </c>
      <c r="I1981" s="10" t="s">
        <v>6137</v>
      </c>
      <c r="J1981" s="10" t="s">
        <v>6138</v>
      </c>
      <c r="K1981" s="10" t="s">
        <v>6139</v>
      </c>
      <c r="L1981" s="65" t="str">
        <f t="shared" si="153"/>
        <v>Suwon|South Korea|127,019165|37,284168|+9:00 Asia</v>
      </c>
      <c r="M1981" s="10" t="s">
        <v>6185</v>
      </c>
      <c r="N1981" s="10">
        <f t="shared" si="150"/>
        <v>0</v>
      </c>
      <c r="O1981" t="str">
        <f t="shared" si="154"/>
        <v/>
      </c>
      <c r="P1981" t="str">
        <f>IF(O1981=1,COUNTIF($O$2:O1981,1),"")</f>
        <v/>
      </c>
      <c r="Q1981" t="str">
        <f>IFERROR(INDEX($M$2:$M$2388,MATCH(ROWS($P$2:P1981),$P$2:$P$2388,0)),"")</f>
        <v/>
      </c>
    </row>
    <row r="1982" spans="1:17" ht="15" x14ac:dyDescent="0.25">
      <c r="A1982" s="10">
        <v>1374</v>
      </c>
      <c r="B1982" s="10" t="s">
        <v>6186</v>
      </c>
      <c r="C1982" s="880">
        <f t="shared" si="151"/>
        <v>128.59110000000001</v>
      </c>
      <c r="D1982" s="880">
        <f t="shared" si="152"/>
        <v>35.870199999999997</v>
      </c>
      <c r="E1982" s="10">
        <v>128.59110999999999</v>
      </c>
      <c r="F1982" s="10">
        <v>35.870277000000002</v>
      </c>
      <c r="G1982" s="10">
        <v>9</v>
      </c>
      <c r="H1982" s="10" t="s">
        <v>4033</v>
      </c>
      <c r="I1982" s="10" t="s">
        <v>6137</v>
      </c>
      <c r="J1982" s="10" t="s">
        <v>6138</v>
      </c>
      <c r="K1982" s="10" t="s">
        <v>6139</v>
      </c>
      <c r="L1982" s="65" t="str">
        <f t="shared" si="153"/>
        <v>Taegu|South Korea|128,591110|35,870277|+9:00 Asia</v>
      </c>
      <c r="M1982" s="10" t="s">
        <v>6187</v>
      </c>
      <c r="N1982" s="10">
        <f t="shared" si="150"/>
        <v>0</v>
      </c>
      <c r="O1982" t="str">
        <f t="shared" si="154"/>
        <v/>
      </c>
      <c r="P1982" t="str">
        <f>IF(O1982=1,COUNTIF($O$2:O1982,1),"")</f>
        <v/>
      </c>
      <c r="Q1982" t="str">
        <f>IFERROR(INDEX($M$2:$M$2388,MATCH(ROWS($P$2:P1982),$P$2:$P$2388,0)),"")</f>
        <v/>
      </c>
    </row>
    <row r="1983" spans="1:17" ht="15" x14ac:dyDescent="0.25">
      <c r="A1983" s="10">
        <v>1373</v>
      </c>
      <c r="B1983" s="10" t="s">
        <v>6188</v>
      </c>
      <c r="C1983" s="880">
        <f t="shared" si="151"/>
        <v>127.41970000000001</v>
      </c>
      <c r="D1983" s="880">
        <f t="shared" si="152"/>
        <v>36.321300000000001</v>
      </c>
      <c r="E1983" s="10">
        <v>127.419724</v>
      </c>
      <c r="F1983" s="10">
        <v>36.321387999999999</v>
      </c>
      <c r="G1983" s="10">
        <v>9</v>
      </c>
      <c r="H1983" s="10" t="s">
        <v>4033</v>
      </c>
      <c r="I1983" s="10" t="s">
        <v>6137</v>
      </c>
      <c r="J1983" s="10" t="s">
        <v>6138</v>
      </c>
      <c r="K1983" s="10" t="s">
        <v>6139</v>
      </c>
      <c r="L1983" s="65" t="str">
        <f t="shared" si="153"/>
        <v>Taejon|South Korea|127,419724|36,321388|+9:00 Asia</v>
      </c>
      <c r="M1983" s="10" t="s">
        <v>6189</v>
      </c>
      <c r="N1983" s="10">
        <f t="shared" si="150"/>
        <v>0</v>
      </c>
      <c r="O1983" t="str">
        <f t="shared" si="154"/>
        <v/>
      </c>
      <c r="P1983" t="str">
        <f>IF(O1983=1,COUNTIF($O$2:O1983,1),"")</f>
        <v/>
      </c>
      <c r="Q1983" t="str">
        <f>IFERROR(INDEX($M$2:$M$2388,MATCH(ROWS($P$2:P1983),$P$2:$P$2388,0)),"")</f>
        <v/>
      </c>
    </row>
    <row r="1984" spans="1:17" ht="15" x14ac:dyDescent="0.25">
      <c r="A1984" s="10">
        <v>1372</v>
      </c>
      <c r="B1984" s="10" t="s">
        <v>6190</v>
      </c>
      <c r="C1984" s="880">
        <f t="shared" si="151"/>
        <v>127.03879999999999</v>
      </c>
      <c r="D1984" s="880">
        <f t="shared" si="152"/>
        <v>37.748600000000003</v>
      </c>
      <c r="E1984" s="10">
        <v>127.038887</v>
      </c>
      <c r="F1984" s="10">
        <v>37.748610999999997</v>
      </c>
      <c r="G1984" s="10">
        <v>9</v>
      </c>
      <c r="H1984" s="10" t="s">
        <v>4033</v>
      </c>
      <c r="I1984" s="10" t="s">
        <v>6137</v>
      </c>
      <c r="J1984" s="10" t="s">
        <v>6138</v>
      </c>
      <c r="K1984" s="10" t="s">
        <v>6139</v>
      </c>
      <c r="L1984" s="65" t="str">
        <f t="shared" si="153"/>
        <v>Uijongbu|South Korea|127,038887|37,748611|+9:00 Asia</v>
      </c>
      <c r="M1984" s="10" t="s">
        <v>6191</v>
      </c>
      <c r="N1984" s="10">
        <f t="shared" si="150"/>
        <v>0</v>
      </c>
      <c r="O1984" t="str">
        <f t="shared" si="154"/>
        <v/>
      </c>
      <c r="P1984" t="str">
        <f>IF(O1984=1,COUNTIF($O$2:O1984,1),"")</f>
        <v/>
      </c>
      <c r="Q1984" t="str">
        <f>IFERROR(INDEX($M$2:$M$2388,MATCH(ROWS($P$2:P1984),$P$2:$P$2388,0)),"")</f>
        <v/>
      </c>
    </row>
    <row r="1985" spans="1:17" ht="15" x14ac:dyDescent="0.25">
      <c r="A1985" s="10">
        <v>1371</v>
      </c>
      <c r="B1985" s="10" t="s">
        <v>6192</v>
      </c>
      <c r="C1985" s="880">
        <f t="shared" si="151"/>
        <v>129.31659999999999</v>
      </c>
      <c r="D1985" s="880">
        <f t="shared" si="152"/>
        <v>35.537199999999999</v>
      </c>
      <c r="E1985" s="10">
        <v>129.316666</v>
      </c>
      <c r="F1985" s="10">
        <v>35.537224000000002</v>
      </c>
      <c r="G1985" s="10">
        <v>9</v>
      </c>
      <c r="H1985" s="10" t="s">
        <v>4033</v>
      </c>
      <c r="I1985" s="10" t="s">
        <v>6137</v>
      </c>
      <c r="J1985" s="10" t="s">
        <v>6138</v>
      </c>
      <c r="K1985" s="10" t="s">
        <v>6139</v>
      </c>
      <c r="L1985" s="65" t="str">
        <f t="shared" si="153"/>
        <v>Ulsan|South Korea|129,316666|35,537224|+9:00 Asia</v>
      </c>
      <c r="M1985" s="10" t="s">
        <v>6193</v>
      </c>
      <c r="N1985" s="10">
        <f t="shared" si="150"/>
        <v>0</v>
      </c>
      <c r="O1985" t="str">
        <f t="shared" si="154"/>
        <v/>
      </c>
      <c r="P1985" t="str">
        <f>IF(O1985=1,COUNTIF($O$2:O1985,1),"")</f>
        <v/>
      </c>
      <c r="Q1985" t="str">
        <f>IFERROR(INDEX($M$2:$M$2388,MATCH(ROWS($P$2:P1985),$P$2:$P$2388,0)),"")</f>
        <v/>
      </c>
    </row>
    <row r="1986" spans="1:17" ht="15" x14ac:dyDescent="0.25">
      <c r="A1986" s="10">
        <v>1370</v>
      </c>
      <c r="B1986" s="10" t="s">
        <v>6194</v>
      </c>
      <c r="C1986" s="880">
        <f t="shared" si="151"/>
        <v>127.9452</v>
      </c>
      <c r="D1986" s="880">
        <f t="shared" si="152"/>
        <v>37.351300000000002</v>
      </c>
      <c r="E1986" s="10">
        <v>127.945274</v>
      </c>
      <c r="F1986" s="10">
        <v>37.351387000000003</v>
      </c>
      <c r="G1986" s="10">
        <v>9</v>
      </c>
      <c r="H1986" s="10" t="s">
        <v>4033</v>
      </c>
      <c r="I1986" s="10" t="s">
        <v>6137</v>
      </c>
      <c r="J1986" s="10" t="s">
        <v>6138</v>
      </c>
      <c r="K1986" s="10" t="s">
        <v>6139</v>
      </c>
      <c r="L1986" s="65" t="str">
        <f t="shared" si="153"/>
        <v>Wonju|South Korea|127,945274|37,351387|+9:00 Asia</v>
      </c>
      <c r="M1986" s="10" t="s">
        <v>6195</v>
      </c>
      <c r="N1986" s="10">
        <f t="shared" ref="N1986:N2049" si="155">--ISNUMBER(IFERROR(SEARCH($R$2,J1986,1),""))</f>
        <v>0</v>
      </c>
      <c r="O1986" t="str">
        <f t="shared" si="154"/>
        <v/>
      </c>
      <c r="P1986" t="str">
        <f>IF(O1986=1,COUNTIF($O$2:O1986,1),"")</f>
        <v/>
      </c>
      <c r="Q1986" t="str">
        <f>IFERROR(INDEX($M$2:$M$2388,MATCH(ROWS($P$2:P1986),$P$2:$P$2388,0)),"")</f>
        <v/>
      </c>
    </row>
    <row r="1987" spans="1:17" ht="15" x14ac:dyDescent="0.25">
      <c r="A1987" s="10">
        <v>1369</v>
      </c>
      <c r="B1987" s="10" t="s">
        <v>6196</v>
      </c>
      <c r="C1987" s="880">
        <f t="shared" ref="C1987:C2050" si="156">TRUNC(E1987,4)</f>
        <v>129.345</v>
      </c>
      <c r="D1987" s="880">
        <f t="shared" ref="D1987:D2050" si="157">TRUNC(F1987,4)</f>
        <v>35.994100000000003</v>
      </c>
      <c r="E1987" s="10">
        <v>129.345001</v>
      </c>
      <c r="F1987" s="10">
        <v>35.994166999999997</v>
      </c>
      <c r="G1987" s="10">
        <v>9</v>
      </c>
      <c r="H1987" s="10" t="s">
        <v>4033</v>
      </c>
      <c r="I1987" s="10" t="s">
        <v>6137</v>
      </c>
      <c r="J1987" s="10" t="s">
        <v>6138</v>
      </c>
      <c r="K1987" s="10" t="s">
        <v>6139</v>
      </c>
      <c r="L1987" s="65" t="str">
        <f t="shared" ref="L1987:L2050" si="158">MID(M1987,1,LEN(M1987)-(LEN(K1987)-SEARCH("/",K1987)+1))</f>
        <v>Yonil|South Korea|129,345001|35,994167|+9:00 Asia</v>
      </c>
      <c r="M1987" s="10" t="s">
        <v>6197</v>
      </c>
      <c r="N1987" s="10">
        <f t="shared" si="155"/>
        <v>0</v>
      </c>
      <c r="O1987" t="str">
        <f t="shared" ref="O1987:O2050" si="159">IF(N1987=0,"",--ISNUMBER(IFERROR(SEARCH($U$2,L1987,1),"")))</f>
        <v/>
      </c>
      <c r="P1987" t="str">
        <f>IF(O1987=1,COUNTIF($O$2:O1987,1),"")</f>
        <v/>
      </c>
      <c r="Q1987" t="str">
        <f>IFERROR(INDEX($M$2:$M$2388,MATCH(ROWS($P$2:P1987),$P$2:$P$2388,0)),"")</f>
        <v/>
      </c>
    </row>
    <row r="1988" spans="1:17" ht="15" x14ac:dyDescent="0.25">
      <c r="A1988" s="10">
        <v>1368</v>
      </c>
      <c r="B1988" s="10" t="s">
        <v>6198</v>
      </c>
      <c r="C1988" s="880">
        <f t="shared" si="156"/>
        <v>127.7377</v>
      </c>
      <c r="D1988" s="880">
        <f t="shared" si="157"/>
        <v>34.744100000000003</v>
      </c>
      <c r="E1988" s="10">
        <v>127.73777800000001</v>
      </c>
      <c r="F1988" s="10">
        <v>34.744166999999997</v>
      </c>
      <c r="G1988" s="10">
        <v>9</v>
      </c>
      <c r="H1988" s="10" t="s">
        <v>4033</v>
      </c>
      <c r="I1988" s="10" t="s">
        <v>6137</v>
      </c>
      <c r="J1988" s="10" t="s">
        <v>6138</v>
      </c>
      <c r="K1988" s="10" t="s">
        <v>6139</v>
      </c>
      <c r="L1988" s="65" t="str">
        <f t="shared" si="158"/>
        <v>Yosu|South Korea|127,737778|34,744167|+9:00 Asia</v>
      </c>
      <c r="M1988" s="10" t="s">
        <v>6199</v>
      </c>
      <c r="N1988" s="10">
        <f t="shared" si="155"/>
        <v>0</v>
      </c>
      <c r="O1988" t="str">
        <f t="shared" si="159"/>
        <v/>
      </c>
      <c r="P1988" t="str">
        <f>IF(O1988=1,COUNTIF($O$2:O1988,1),"")</f>
        <v/>
      </c>
      <c r="Q1988" t="str">
        <f>IFERROR(INDEX($M$2:$M$2388,MATCH(ROWS($P$2:P1988),$P$2:$P$2388,0)),"")</f>
        <v/>
      </c>
    </row>
    <row r="1989" spans="1:17" ht="15" x14ac:dyDescent="0.25">
      <c r="A1989" s="10">
        <v>755</v>
      </c>
      <c r="B1989" s="10" t="s">
        <v>6200</v>
      </c>
      <c r="C1989" s="880">
        <f t="shared" si="156"/>
        <v>-8.3960000000000008</v>
      </c>
      <c r="D1989" s="880">
        <f t="shared" si="157"/>
        <v>43.371299999999998</v>
      </c>
      <c r="E1989" s="10">
        <v>-8.396001</v>
      </c>
      <c r="F1989" s="10">
        <v>43.371349000000002</v>
      </c>
      <c r="G1989" s="10">
        <v>1</v>
      </c>
      <c r="H1989" s="10" t="s">
        <v>1670</v>
      </c>
      <c r="I1989" s="10" t="s">
        <v>6201</v>
      </c>
      <c r="J1989" s="10" t="s">
        <v>6202</v>
      </c>
      <c r="K1989" s="10" t="s">
        <v>6203</v>
      </c>
      <c r="L1989" s="65" t="str">
        <f t="shared" si="158"/>
        <v>A Coruna|Spain|-8,396001|43,371349|+1:00 Europe</v>
      </c>
      <c r="M1989" s="10" t="s">
        <v>6204</v>
      </c>
      <c r="N1989" s="10">
        <f t="shared" si="155"/>
        <v>0</v>
      </c>
      <c r="O1989" t="str">
        <f t="shared" si="159"/>
        <v/>
      </c>
      <c r="P1989" t="str">
        <f>IF(O1989=1,COUNTIF($O$2:O1989,1),"")</f>
        <v/>
      </c>
      <c r="Q1989" t="str">
        <f>IFERROR(INDEX($M$2:$M$2388,MATCH(ROWS($P$2:P1989),$P$2:$P$2388,0)),"")</f>
        <v/>
      </c>
    </row>
    <row r="1990" spans="1:17" ht="15" x14ac:dyDescent="0.25">
      <c r="A1990" s="10">
        <v>747</v>
      </c>
      <c r="B1990" s="10" t="s">
        <v>6205</v>
      </c>
      <c r="C1990" s="880">
        <f t="shared" si="156"/>
        <v>-0.48139999999999999</v>
      </c>
      <c r="D1990" s="880">
        <f t="shared" si="157"/>
        <v>38.345100000000002</v>
      </c>
      <c r="E1990" s="10">
        <v>-0.481489</v>
      </c>
      <c r="F1990" s="10">
        <v>38.345173000000003</v>
      </c>
      <c r="G1990" s="10">
        <v>1</v>
      </c>
      <c r="H1990" s="10" t="s">
        <v>1670</v>
      </c>
      <c r="I1990" s="10" t="s">
        <v>6201</v>
      </c>
      <c r="J1990" s="10" t="s">
        <v>6202</v>
      </c>
      <c r="K1990" s="10" t="s">
        <v>6203</v>
      </c>
      <c r="L1990" s="65" t="str">
        <f t="shared" si="158"/>
        <v>Alacant|Spain|-0,481489|38,345173|+1:00 Europe</v>
      </c>
      <c r="M1990" s="10" t="s">
        <v>6206</v>
      </c>
      <c r="N1990" s="10">
        <f t="shared" si="155"/>
        <v>0</v>
      </c>
      <c r="O1990" t="str">
        <f t="shared" si="159"/>
        <v/>
      </c>
      <c r="P1990" t="str">
        <f>IF(O1990=1,COUNTIF($O$2:O1990,1),"")</f>
        <v/>
      </c>
      <c r="Q1990" t="str">
        <f>IFERROR(INDEX($M$2:$M$2388,MATCH(ROWS($P$2:P1990),$P$2:$P$2388,0)),"")</f>
        <v/>
      </c>
    </row>
    <row r="1991" spans="1:17" ht="15" x14ac:dyDescent="0.25">
      <c r="A1991" s="10">
        <v>760</v>
      </c>
      <c r="B1991" s="10" t="s">
        <v>6207</v>
      </c>
      <c r="C1991" s="880">
        <f t="shared" si="156"/>
        <v>2.2473999999999998</v>
      </c>
      <c r="D1991" s="880">
        <f t="shared" si="157"/>
        <v>41.45</v>
      </c>
      <c r="E1991" s="10">
        <v>2.2474120000000002</v>
      </c>
      <c r="F1991" s="10">
        <v>41.450046999999998</v>
      </c>
      <c r="G1991" s="10">
        <v>1</v>
      </c>
      <c r="H1991" s="10" t="s">
        <v>1670</v>
      </c>
      <c r="I1991" s="10" t="s">
        <v>6201</v>
      </c>
      <c r="J1991" s="10" t="s">
        <v>6202</v>
      </c>
      <c r="K1991" s="10" t="s">
        <v>6203</v>
      </c>
      <c r="L1991" s="65" t="str">
        <f t="shared" si="158"/>
        <v>Badalona|Spain|2,247412|41,450047|+1:00 Europe</v>
      </c>
      <c r="M1991" s="10" t="s">
        <v>6208</v>
      </c>
      <c r="N1991" s="10">
        <f t="shared" si="155"/>
        <v>0</v>
      </c>
      <c r="O1991" t="str">
        <f t="shared" si="159"/>
        <v/>
      </c>
      <c r="P1991" t="str">
        <f>IF(O1991=1,COUNTIF($O$2:O1991,1),"")</f>
        <v/>
      </c>
      <c r="Q1991" t="str">
        <f>IFERROR(INDEX($M$2:$M$2388,MATCH(ROWS($P$2:P1991),$P$2:$P$2388,0)),"")</f>
        <v/>
      </c>
    </row>
    <row r="1992" spans="1:17" ht="15" x14ac:dyDescent="0.25">
      <c r="A1992" s="10">
        <v>759</v>
      </c>
      <c r="B1992" s="10" t="s">
        <v>6209</v>
      </c>
      <c r="C1992" s="880">
        <f t="shared" si="156"/>
        <v>2.1589</v>
      </c>
      <c r="D1992" s="880">
        <f t="shared" si="157"/>
        <v>41.3887</v>
      </c>
      <c r="E1992" s="10">
        <v>2.1589849999999999</v>
      </c>
      <c r="F1992" s="10">
        <v>41.388786000000003</v>
      </c>
      <c r="G1992" s="10">
        <v>1</v>
      </c>
      <c r="H1992" s="10" t="s">
        <v>1670</v>
      </c>
      <c r="I1992" s="10" t="s">
        <v>6201</v>
      </c>
      <c r="J1992" s="10" t="s">
        <v>6202</v>
      </c>
      <c r="K1992" s="10" t="s">
        <v>6203</v>
      </c>
      <c r="L1992" s="65" t="str">
        <f t="shared" si="158"/>
        <v>Barcelona|Spain|2,158985|41,388786|+1:00 Europe</v>
      </c>
      <c r="M1992" s="10" t="s">
        <v>6210</v>
      </c>
      <c r="N1992" s="10">
        <f t="shared" si="155"/>
        <v>0</v>
      </c>
      <c r="O1992" t="str">
        <f t="shared" si="159"/>
        <v/>
      </c>
      <c r="P1992" t="str">
        <f>IF(O1992=1,COUNTIF($O$2:O1992,1),"")</f>
        <v/>
      </c>
      <c r="Q1992" t="str">
        <f>IFERROR(INDEX($M$2:$M$2388,MATCH(ROWS($P$2:P1992),$P$2:$P$2388,0)),"")</f>
        <v/>
      </c>
    </row>
    <row r="1993" spans="1:17" ht="15" x14ac:dyDescent="0.25">
      <c r="A1993" s="10">
        <v>758</v>
      </c>
      <c r="B1993" s="10" t="s">
        <v>6211</v>
      </c>
      <c r="C1993" s="880">
        <f t="shared" si="156"/>
        <v>-2.9251999999999998</v>
      </c>
      <c r="D1993" s="880">
        <f t="shared" si="157"/>
        <v>43.262700000000002</v>
      </c>
      <c r="E1993" s="10">
        <v>-2.9252820000000002</v>
      </c>
      <c r="F1993" s="10">
        <v>43.262706999999999</v>
      </c>
      <c r="G1993" s="10">
        <v>1</v>
      </c>
      <c r="H1993" s="10" t="s">
        <v>1670</v>
      </c>
      <c r="I1993" s="10" t="s">
        <v>6201</v>
      </c>
      <c r="J1993" s="10" t="s">
        <v>6202</v>
      </c>
      <c r="K1993" s="10" t="s">
        <v>6203</v>
      </c>
      <c r="L1993" s="65" t="str">
        <f t="shared" si="158"/>
        <v>Bilbao|Spain|-2,925282|43,262707|+1:00 Europe</v>
      </c>
      <c r="M1993" s="10" t="s">
        <v>6212</v>
      </c>
      <c r="N1993" s="10">
        <f t="shared" si="155"/>
        <v>0</v>
      </c>
      <c r="O1993" t="str">
        <f t="shared" si="159"/>
        <v/>
      </c>
      <c r="P1993" t="str">
        <f>IF(O1993=1,COUNTIF($O$2:O1993,1),"")</f>
        <v/>
      </c>
      <c r="Q1993" t="str">
        <f>IFERROR(INDEX($M$2:$M$2388,MATCH(ROWS($P$2:P1993),$P$2:$P$2388,0)),"")</f>
        <v/>
      </c>
    </row>
    <row r="1994" spans="1:17" ht="15" x14ac:dyDescent="0.25">
      <c r="A1994" s="10">
        <v>746</v>
      </c>
      <c r="B1994" s="10" t="s">
        <v>2954</v>
      </c>
      <c r="C1994" s="880">
        <f t="shared" si="156"/>
        <v>-0.98329999999999995</v>
      </c>
      <c r="D1994" s="880">
        <f t="shared" si="157"/>
        <v>37.599899999999998</v>
      </c>
      <c r="E1994" s="10">
        <v>-0.98333300000000001</v>
      </c>
      <c r="F1994" s="10">
        <v>37.599997999999999</v>
      </c>
      <c r="G1994" s="10">
        <v>1</v>
      </c>
      <c r="H1994" s="10" t="s">
        <v>1873</v>
      </c>
      <c r="I1994" s="10" t="s">
        <v>6201</v>
      </c>
      <c r="J1994" s="10" t="s">
        <v>6202</v>
      </c>
      <c r="K1994" s="10" t="s">
        <v>2939</v>
      </c>
      <c r="L1994" s="65" t="str">
        <f t="shared" si="158"/>
        <v>Cartagena|Spain|-0,983333|37,599998|-5:00 America</v>
      </c>
      <c r="M1994" s="10" t="s">
        <v>6213</v>
      </c>
      <c r="N1994" s="10">
        <f t="shared" si="155"/>
        <v>0</v>
      </c>
      <c r="O1994" t="str">
        <f t="shared" si="159"/>
        <v/>
      </c>
      <c r="P1994" t="str">
        <f>IF(O1994=1,COUNTIF($O$2:O1994,1),"")</f>
        <v/>
      </c>
      <c r="Q1994" t="str">
        <f>IFERROR(INDEX($M$2:$M$2388,MATCH(ROWS($P$2:P1994),$P$2:$P$2388,0)),"")</f>
        <v/>
      </c>
    </row>
    <row r="1995" spans="1:17" ht="15" x14ac:dyDescent="0.25">
      <c r="A1995" s="10">
        <v>745</v>
      </c>
      <c r="B1995" s="10" t="s">
        <v>1746</v>
      </c>
      <c r="C1995" s="880">
        <f t="shared" si="156"/>
        <v>-4.7666000000000004</v>
      </c>
      <c r="D1995" s="880">
        <f t="shared" si="157"/>
        <v>37.883299999999998</v>
      </c>
      <c r="E1995" s="10">
        <v>-4.766667</v>
      </c>
      <c r="F1995" s="10">
        <v>37.883335000000002</v>
      </c>
      <c r="G1995" s="10">
        <v>1</v>
      </c>
      <c r="H1995" s="10" t="s">
        <v>1739</v>
      </c>
      <c r="I1995" s="10" t="s">
        <v>6201</v>
      </c>
      <c r="J1995" s="10" t="s">
        <v>6202</v>
      </c>
      <c r="K1995" s="10" t="s">
        <v>1747</v>
      </c>
      <c r="L1995" s="65" t="str">
        <f t="shared" si="158"/>
        <v>Cordoba|Spain|-4,766667|37,883335|-3:00 America</v>
      </c>
      <c r="M1995" s="10" t="s">
        <v>6214</v>
      </c>
      <c r="N1995" s="10">
        <f t="shared" si="155"/>
        <v>0</v>
      </c>
      <c r="O1995" t="str">
        <f t="shared" si="159"/>
        <v/>
      </c>
      <c r="P1995" t="str">
        <f>IF(O1995=1,COUNTIF($O$2:O1995,1),"")</f>
        <v/>
      </c>
      <c r="Q1995" t="str">
        <f>IFERROR(INDEX($M$2:$M$2388,MATCH(ROWS($P$2:P1995),$P$2:$P$2388,0)),"")</f>
        <v/>
      </c>
    </row>
    <row r="1996" spans="1:17" ht="15" x14ac:dyDescent="0.25">
      <c r="A1996" s="10">
        <v>761</v>
      </c>
      <c r="B1996" s="10" t="s">
        <v>6215</v>
      </c>
      <c r="C1996" s="880">
        <f t="shared" si="156"/>
        <v>2.1617000000000002</v>
      </c>
      <c r="D1996" s="880">
        <f t="shared" si="157"/>
        <v>41.3889</v>
      </c>
      <c r="E1996" s="10">
        <v>2.1617899999999999</v>
      </c>
      <c r="F1996" s="10">
        <v>41.388953999999998</v>
      </c>
      <c r="G1996" s="10">
        <v>1</v>
      </c>
      <c r="H1996" s="10" t="s">
        <v>1670</v>
      </c>
      <c r="I1996" s="10" t="s">
        <v>6201</v>
      </c>
      <c r="J1996" s="10" t="s">
        <v>6202</v>
      </c>
      <c r="K1996" s="10" t="s">
        <v>6203</v>
      </c>
      <c r="L1996" s="65" t="str">
        <f t="shared" si="158"/>
        <v>Eixample|Spain|2,161790|41,388954|+1:00 Europe</v>
      </c>
      <c r="M1996" s="10" t="s">
        <v>6216</v>
      </c>
      <c r="N1996" s="10">
        <f t="shared" si="155"/>
        <v>0</v>
      </c>
      <c r="O1996" t="str">
        <f t="shared" si="159"/>
        <v/>
      </c>
      <c r="P1996" t="str">
        <f>IF(O1996=1,COUNTIF($O$2:O1996,1),"")</f>
        <v/>
      </c>
      <c r="Q1996" t="str">
        <f>IFERROR(INDEX($M$2:$M$2388,MATCH(ROWS($P$2:P1996),$P$2:$P$2388,0)),"")</f>
        <v/>
      </c>
    </row>
    <row r="1997" spans="1:17" ht="15" x14ac:dyDescent="0.25">
      <c r="A1997" s="10">
        <v>744</v>
      </c>
      <c r="B1997" s="10" t="s">
        <v>6217</v>
      </c>
      <c r="C1997" s="880">
        <f t="shared" si="156"/>
        <v>-0.70099999999999996</v>
      </c>
      <c r="D1997" s="880">
        <f t="shared" si="157"/>
        <v>38.262099999999997</v>
      </c>
      <c r="E1997" s="10">
        <v>-0.70106500000000005</v>
      </c>
      <c r="F1997" s="10">
        <v>38.262177000000001</v>
      </c>
      <c r="G1997" s="10">
        <v>1</v>
      </c>
      <c r="H1997" s="10" t="s">
        <v>1670</v>
      </c>
      <c r="I1997" s="10" t="s">
        <v>6201</v>
      </c>
      <c r="J1997" s="10" t="s">
        <v>6202</v>
      </c>
      <c r="K1997" s="10" t="s">
        <v>6203</v>
      </c>
      <c r="L1997" s="65" t="str">
        <f t="shared" si="158"/>
        <v>Elx|Spain|-0,701065|38,262177|+1:00 Europe</v>
      </c>
      <c r="M1997" s="10" t="s">
        <v>6218</v>
      </c>
      <c r="N1997" s="10">
        <f t="shared" si="155"/>
        <v>0</v>
      </c>
      <c r="O1997" t="str">
        <f t="shared" si="159"/>
        <v/>
      </c>
      <c r="P1997" t="str">
        <f>IF(O1997=1,COUNTIF($O$2:O1997,1),"")</f>
        <v/>
      </c>
      <c r="Q1997" t="str">
        <f>IFERROR(INDEX($M$2:$M$2388,MATCH(ROWS($P$2:P1997),$P$2:$P$2388,0)),"")</f>
        <v/>
      </c>
    </row>
    <row r="1998" spans="1:17" ht="15" x14ac:dyDescent="0.25">
      <c r="A1998" s="10">
        <v>757</v>
      </c>
      <c r="B1998" s="10" t="s">
        <v>6219</v>
      </c>
      <c r="C1998" s="880">
        <f t="shared" si="156"/>
        <v>-5.6643999999999997</v>
      </c>
      <c r="D1998" s="880">
        <f t="shared" si="157"/>
        <v>43.5411</v>
      </c>
      <c r="E1998" s="10">
        <v>-5.6644439999999996</v>
      </c>
      <c r="F1998" s="10">
        <v>43.541111000000001</v>
      </c>
      <c r="G1998" s="10">
        <v>1</v>
      </c>
      <c r="H1998" s="10" t="s">
        <v>1670</v>
      </c>
      <c r="I1998" s="10" t="s">
        <v>6201</v>
      </c>
      <c r="J1998" s="10" t="s">
        <v>6202</v>
      </c>
      <c r="K1998" s="10" t="s">
        <v>6203</v>
      </c>
      <c r="L1998" s="65" t="str">
        <f t="shared" si="158"/>
        <v>Gijon|Spain|-5,664444|43,541111|+1:00 Europe</v>
      </c>
      <c r="M1998" s="10" t="s">
        <v>6220</v>
      </c>
      <c r="N1998" s="10">
        <f t="shared" si="155"/>
        <v>0</v>
      </c>
      <c r="O1998" t="str">
        <f t="shared" si="159"/>
        <v/>
      </c>
      <c r="P1998" t="str">
        <f>IF(O1998=1,COUNTIF($O$2:O1998,1),"")</f>
        <v/>
      </c>
      <c r="Q1998" t="str">
        <f>IFERROR(INDEX($M$2:$M$2388,MATCH(ROWS($P$2:P1998),$P$2:$P$2388,0)),"")</f>
        <v/>
      </c>
    </row>
    <row r="1999" spans="1:17" ht="15" x14ac:dyDescent="0.25">
      <c r="A1999" s="10">
        <v>743</v>
      </c>
      <c r="B1999" s="10" t="s">
        <v>6221</v>
      </c>
      <c r="C1999" s="880">
        <f t="shared" si="156"/>
        <v>-3.6065999999999998</v>
      </c>
      <c r="D1999" s="880">
        <f t="shared" si="157"/>
        <v>37.188099999999999</v>
      </c>
      <c r="E1999" s="10">
        <v>-3.6066699999999998</v>
      </c>
      <c r="F1999" s="10">
        <v>37.188167999999997</v>
      </c>
      <c r="G1999" s="10">
        <v>1</v>
      </c>
      <c r="H1999" s="10" t="s">
        <v>1670</v>
      </c>
      <c r="I1999" s="10" t="s">
        <v>6201</v>
      </c>
      <c r="J1999" s="10" t="s">
        <v>6202</v>
      </c>
      <c r="K1999" s="10" t="s">
        <v>6222</v>
      </c>
      <c r="L1999" s="65" t="str">
        <f t="shared" si="158"/>
        <v>Granada|Spain|-3,606670|37,188168|+1:00 Africa</v>
      </c>
      <c r="M1999" s="10" t="s">
        <v>6223</v>
      </c>
      <c r="N1999" s="10">
        <f t="shared" si="155"/>
        <v>0</v>
      </c>
      <c r="O1999" t="str">
        <f t="shared" si="159"/>
        <v/>
      </c>
      <c r="P1999" t="str">
        <f>IF(O1999=1,COUNTIF($O$2:O1999,1),"")</f>
        <v/>
      </c>
      <c r="Q1999" t="str">
        <f>IFERROR(INDEX($M$2:$M$2388,MATCH(ROWS($P$2:P1999),$P$2:$P$2388,0)),"")</f>
        <v/>
      </c>
    </row>
    <row r="2000" spans="1:17" ht="15" x14ac:dyDescent="0.25">
      <c r="A2000" s="10">
        <v>742</v>
      </c>
      <c r="B2000" s="10" t="s">
        <v>6224</v>
      </c>
      <c r="C2000" s="880">
        <f t="shared" si="156"/>
        <v>-15.416600000000001</v>
      </c>
      <c r="D2000" s="880">
        <f t="shared" si="157"/>
        <v>28.1</v>
      </c>
      <c r="E2000" s="10">
        <v>-15.416667</v>
      </c>
      <c r="F2000" s="10">
        <v>28.1</v>
      </c>
      <c r="G2000" s="10">
        <v>0</v>
      </c>
      <c r="H2000" s="10" t="s">
        <v>2318</v>
      </c>
      <c r="I2000" s="10" t="s">
        <v>6201</v>
      </c>
      <c r="J2000" s="10" t="s">
        <v>6202</v>
      </c>
      <c r="K2000" s="10" t="s">
        <v>6225</v>
      </c>
      <c r="L2000" s="65" t="str">
        <f t="shared" si="158"/>
        <v>Las Palmas de Gran Canaria|Spain|-15,416667|28,100000|+0:00 Atlantic</v>
      </c>
      <c r="M2000" s="10" t="s">
        <v>6226</v>
      </c>
      <c r="N2000" s="10">
        <f t="shared" si="155"/>
        <v>0</v>
      </c>
      <c r="O2000" t="str">
        <f t="shared" si="159"/>
        <v/>
      </c>
      <c r="P2000" t="str">
        <f>IF(O2000=1,COUNTIF($O$2:O2000,1),"")</f>
        <v/>
      </c>
      <c r="Q2000" t="str">
        <f>IFERROR(INDEX($M$2:$M$2388,MATCH(ROWS($P$2:P2000),$P$2:$P$2388,0)),"")</f>
        <v/>
      </c>
    </row>
    <row r="2001" spans="1:17" ht="15" x14ac:dyDescent="0.25">
      <c r="A2001" s="10">
        <v>756</v>
      </c>
      <c r="B2001" s="10" t="s">
        <v>6227</v>
      </c>
      <c r="C2001" s="880">
        <f t="shared" si="156"/>
        <v>2.1002000000000001</v>
      </c>
      <c r="D2001" s="880">
        <f t="shared" si="157"/>
        <v>41.3596</v>
      </c>
      <c r="E2001" s="10">
        <v>2.1002770000000002</v>
      </c>
      <c r="F2001" s="10">
        <v>41.359673000000001</v>
      </c>
      <c r="G2001" s="10">
        <v>1</v>
      </c>
      <c r="H2001" s="10" t="s">
        <v>1670</v>
      </c>
      <c r="I2001" s="10" t="s">
        <v>6201</v>
      </c>
      <c r="J2001" s="10" t="s">
        <v>6202</v>
      </c>
      <c r="K2001" s="10" t="s">
        <v>6203</v>
      </c>
      <c r="L2001" s="65" t="str">
        <f t="shared" si="158"/>
        <v>l'Hospitalet de Llobregat|Spain|2,100277|41,359673|+1:00 Europe</v>
      </c>
      <c r="M2001" s="10" t="s">
        <v>6228</v>
      </c>
      <c r="N2001" s="10">
        <f t="shared" si="155"/>
        <v>0</v>
      </c>
      <c r="O2001" t="str">
        <f t="shared" si="159"/>
        <v/>
      </c>
      <c r="P2001" t="str">
        <f>IF(O2001=1,COUNTIF($O$2:O2001,1),"")</f>
        <v/>
      </c>
      <c r="Q2001" t="str">
        <f>IFERROR(INDEX($M$2:$M$2388,MATCH(ROWS($P$2:P2001),$P$2:$P$2388,0)),"")</f>
        <v/>
      </c>
    </row>
    <row r="2002" spans="1:17" ht="15" x14ac:dyDescent="0.25">
      <c r="A2002" s="10">
        <v>754</v>
      </c>
      <c r="B2002" s="10" t="s">
        <v>6229</v>
      </c>
      <c r="C2002" s="880">
        <f t="shared" si="156"/>
        <v>-3.7025000000000001</v>
      </c>
      <c r="D2002" s="880">
        <f t="shared" si="157"/>
        <v>40.416499999999999</v>
      </c>
      <c r="E2002" s="10">
        <v>-3.7025640000000002</v>
      </c>
      <c r="F2002" s="10">
        <v>40.416504000000003</v>
      </c>
      <c r="G2002" s="10">
        <v>1</v>
      </c>
      <c r="H2002" s="10" t="s">
        <v>1670</v>
      </c>
      <c r="I2002" s="10" t="s">
        <v>6201</v>
      </c>
      <c r="J2002" s="10" t="s">
        <v>6202</v>
      </c>
      <c r="K2002" s="10" t="s">
        <v>6203</v>
      </c>
      <c r="L2002" s="65" t="str">
        <f t="shared" si="158"/>
        <v>Madrid|Spain|-3,702564|40,416504|+1:00 Europe</v>
      </c>
      <c r="M2002" s="10" t="s">
        <v>6230</v>
      </c>
      <c r="N2002" s="10">
        <f t="shared" si="155"/>
        <v>0</v>
      </c>
      <c r="O2002" t="str">
        <f t="shared" si="159"/>
        <v/>
      </c>
      <c r="P2002" t="str">
        <f>IF(O2002=1,COUNTIF($O$2:O2002,1),"")</f>
        <v/>
      </c>
      <c r="Q2002" t="str">
        <f>IFERROR(INDEX($M$2:$M$2388,MATCH(ROWS($P$2:P2002),$P$2:$P$2388,0)),"")</f>
        <v/>
      </c>
    </row>
    <row r="2003" spans="1:17" ht="15" x14ac:dyDescent="0.25">
      <c r="A2003" s="10">
        <v>741</v>
      </c>
      <c r="B2003" s="10" t="s">
        <v>6231</v>
      </c>
      <c r="C2003" s="880">
        <f t="shared" si="156"/>
        <v>-4.4203000000000001</v>
      </c>
      <c r="D2003" s="880">
        <f t="shared" si="157"/>
        <v>36.720100000000002</v>
      </c>
      <c r="E2003" s="10">
        <v>-4.4203450000000002</v>
      </c>
      <c r="F2003" s="10">
        <v>36.720157999999998</v>
      </c>
      <c r="G2003" s="10">
        <v>1</v>
      </c>
      <c r="H2003" s="10" t="s">
        <v>1670</v>
      </c>
      <c r="I2003" s="10" t="s">
        <v>6201</v>
      </c>
      <c r="J2003" s="10" t="s">
        <v>6202</v>
      </c>
      <c r="K2003" s="10" t="s">
        <v>6222</v>
      </c>
      <c r="L2003" s="65" t="str">
        <f t="shared" si="158"/>
        <v>Malaga|Spain|-4,420345|36,720158|+1:00 Africa</v>
      </c>
      <c r="M2003" s="10" t="s">
        <v>6232</v>
      </c>
      <c r="N2003" s="10">
        <f t="shared" si="155"/>
        <v>0</v>
      </c>
      <c r="O2003" t="str">
        <f t="shared" si="159"/>
        <v/>
      </c>
      <c r="P2003" t="str">
        <f>IF(O2003=1,COUNTIF($O$2:O2003,1),"")</f>
        <v/>
      </c>
      <c r="Q2003" t="str">
        <f>IFERROR(INDEX($M$2:$M$2388,MATCH(ROWS($P$2:P2003),$P$2:$P$2388,0)),"")</f>
        <v/>
      </c>
    </row>
    <row r="2004" spans="1:17" ht="15" x14ac:dyDescent="0.25">
      <c r="A2004" s="10">
        <v>753</v>
      </c>
      <c r="B2004" s="10" t="s">
        <v>6233</v>
      </c>
      <c r="C2004" s="880">
        <f t="shared" si="156"/>
        <v>-3.8649</v>
      </c>
      <c r="D2004" s="880">
        <f t="shared" si="157"/>
        <v>40.322299999999998</v>
      </c>
      <c r="E2004" s="10">
        <v>-3.8649559999999998</v>
      </c>
      <c r="F2004" s="10">
        <v>40.322333999999998</v>
      </c>
      <c r="G2004" s="10">
        <v>1</v>
      </c>
      <c r="H2004" s="10" t="s">
        <v>1670</v>
      </c>
      <c r="I2004" s="10" t="s">
        <v>6201</v>
      </c>
      <c r="J2004" s="10" t="s">
        <v>6202</v>
      </c>
      <c r="K2004" s="10" t="s">
        <v>6203</v>
      </c>
      <c r="L2004" s="65" t="str">
        <f t="shared" si="158"/>
        <v>Mostoles|Spain|-3,864956|40,322334|+1:00 Europe</v>
      </c>
      <c r="M2004" s="10" t="s">
        <v>6234</v>
      </c>
      <c r="N2004" s="10">
        <f t="shared" si="155"/>
        <v>0</v>
      </c>
      <c r="O2004" t="str">
        <f t="shared" si="159"/>
        <v/>
      </c>
      <c r="P2004" t="str">
        <f>IF(O2004=1,COUNTIF($O$2:O2004,1),"")</f>
        <v/>
      </c>
      <c r="Q2004" t="str">
        <f>IFERROR(INDEX($M$2:$M$2388,MATCH(ROWS($P$2:P2004),$P$2:$P$2388,0)),"")</f>
        <v/>
      </c>
    </row>
    <row r="2005" spans="1:17" ht="15" x14ac:dyDescent="0.25">
      <c r="A2005" s="10">
        <v>740</v>
      </c>
      <c r="B2005" s="10" t="s">
        <v>6235</v>
      </c>
      <c r="C2005" s="880">
        <f t="shared" si="156"/>
        <v>-1.1166</v>
      </c>
      <c r="D2005" s="880">
        <f t="shared" si="157"/>
        <v>37.9833</v>
      </c>
      <c r="E2005" s="10">
        <v>-1.1166670000000001</v>
      </c>
      <c r="F2005" s="10">
        <v>37.983333999999999</v>
      </c>
      <c r="G2005" s="10">
        <v>1</v>
      </c>
      <c r="H2005" s="10" t="s">
        <v>1670</v>
      </c>
      <c r="I2005" s="10" t="s">
        <v>6201</v>
      </c>
      <c r="J2005" s="10" t="s">
        <v>6202</v>
      </c>
      <c r="K2005" s="10" t="s">
        <v>6203</v>
      </c>
      <c r="L2005" s="65" t="str">
        <f t="shared" si="158"/>
        <v>Murcia|Spain|-1,116667|37,983334|+1:00 Europe</v>
      </c>
      <c r="M2005" s="10" t="s">
        <v>6236</v>
      </c>
      <c r="N2005" s="10">
        <f t="shared" si="155"/>
        <v>0</v>
      </c>
      <c r="O2005" t="str">
        <f t="shared" si="159"/>
        <v/>
      </c>
      <c r="P2005" t="str">
        <f>IF(O2005=1,COUNTIF($O$2:O2005,1),"")</f>
        <v/>
      </c>
      <c r="Q2005" t="str">
        <f>IFERROR(INDEX($M$2:$M$2388,MATCH(ROWS($P$2:P2005),$P$2:$P$2388,0)),"")</f>
        <v/>
      </c>
    </row>
    <row r="2006" spans="1:17" ht="15" x14ac:dyDescent="0.25">
      <c r="A2006" s="10">
        <v>752</v>
      </c>
      <c r="B2006" s="10" t="s">
        <v>6237</v>
      </c>
      <c r="C2006" s="880">
        <f t="shared" si="156"/>
        <v>-5.8333000000000004</v>
      </c>
      <c r="D2006" s="880">
        <f t="shared" si="157"/>
        <v>43.366599999999998</v>
      </c>
      <c r="E2006" s="10">
        <v>-5.8333329999999997</v>
      </c>
      <c r="F2006" s="10">
        <v>43.366664999999998</v>
      </c>
      <c r="G2006" s="10">
        <v>1</v>
      </c>
      <c r="H2006" s="10" t="s">
        <v>1670</v>
      </c>
      <c r="I2006" s="10" t="s">
        <v>6201</v>
      </c>
      <c r="J2006" s="10" t="s">
        <v>6202</v>
      </c>
      <c r="K2006" s="10" t="s">
        <v>6203</v>
      </c>
      <c r="L2006" s="65" t="str">
        <f t="shared" si="158"/>
        <v>Oviedo|Spain|-5,833333|43,366665|+1:00 Europe</v>
      </c>
      <c r="M2006" s="10" t="s">
        <v>6238</v>
      </c>
      <c r="N2006" s="10">
        <f t="shared" si="155"/>
        <v>0</v>
      </c>
      <c r="O2006" t="str">
        <f t="shared" si="159"/>
        <v/>
      </c>
      <c r="P2006" t="str">
        <f>IF(O2006=1,COUNTIF($O$2:O2006,1),"")</f>
        <v/>
      </c>
      <c r="Q2006" t="str">
        <f>IFERROR(INDEX($M$2:$M$2388,MATCH(ROWS($P$2:P2006),$P$2:$P$2388,0)),"")</f>
        <v/>
      </c>
    </row>
    <row r="2007" spans="1:17" ht="15" x14ac:dyDescent="0.25">
      <c r="A2007" s="10">
        <v>739</v>
      </c>
      <c r="B2007" s="10" t="s">
        <v>6239</v>
      </c>
      <c r="C2007" s="880">
        <f t="shared" si="156"/>
        <v>2.6501999999999999</v>
      </c>
      <c r="D2007" s="880">
        <f t="shared" si="157"/>
        <v>39.569299999999998</v>
      </c>
      <c r="E2007" s="10">
        <v>2.6502370000000002</v>
      </c>
      <c r="F2007" s="10">
        <v>39.569389000000001</v>
      </c>
      <c r="G2007" s="10">
        <v>1</v>
      </c>
      <c r="H2007" s="10" t="s">
        <v>1670</v>
      </c>
      <c r="I2007" s="10" t="s">
        <v>6201</v>
      </c>
      <c r="J2007" s="10" t="s">
        <v>6202</v>
      </c>
      <c r="K2007" s="10" t="s">
        <v>6203</v>
      </c>
      <c r="L2007" s="65" t="str">
        <f t="shared" si="158"/>
        <v>Palma|Spain|2,650237|39,569389|+1:00 Europe</v>
      </c>
      <c r="M2007" s="10" t="s">
        <v>6240</v>
      </c>
      <c r="N2007" s="10">
        <f t="shared" si="155"/>
        <v>0</v>
      </c>
      <c r="O2007" t="str">
        <f t="shared" si="159"/>
        <v/>
      </c>
      <c r="P2007" t="str">
        <f>IF(O2007=1,COUNTIF($O$2:O2007,1),"")</f>
        <v/>
      </c>
      <c r="Q2007" t="str">
        <f>IFERROR(INDEX($M$2:$M$2388,MATCH(ROWS($P$2:P2007),$P$2:$P$2388,0)),"")</f>
        <v/>
      </c>
    </row>
    <row r="2008" spans="1:17" ht="15" x14ac:dyDescent="0.25">
      <c r="A2008" s="10">
        <v>762</v>
      </c>
      <c r="B2008" s="10" t="s">
        <v>6241</v>
      </c>
      <c r="C2008" s="880">
        <f t="shared" si="156"/>
        <v>2.1993</v>
      </c>
      <c r="D2008" s="880">
        <f t="shared" si="157"/>
        <v>41.418100000000003</v>
      </c>
      <c r="E2008" s="10">
        <v>2.1993260000000001</v>
      </c>
      <c r="F2008" s="10">
        <v>41.418143999999998</v>
      </c>
      <c r="G2008" s="10">
        <v>1</v>
      </c>
      <c r="H2008" s="10" t="s">
        <v>1670</v>
      </c>
      <c r="I2008" s="10" t="s">
        <v>6201</v>
      </c>
      <c r="J2008" s="10" t="s">
        <v>6202</v>
      </c>
      <c r="K2008" s="10" t="s">
        <v>6203</v>
      </c>
      <c r="L2008" s="65" t="str">
        <f t="shared" si="158"/>
        <v>Sant Marti|Spain|2,199326|41,418144|+1:00 Europe</v>
      </c>
      <c r="M2008" s="10" t="s">
        <v>6242</v>
      </c>
      <c r="N2008" s="10">
        <f t="shared" si="155"/>
        <v>0</v>
      </c>
      <c r="O2008" t="str">
        <f t="shared" si="159"/>
        <v/>
      </c>
      <c r="P2008" t="str">
        <f>IF(O2008=1,COUNTIF($O$2:O2008,1),"")</f>
        <v/>
      </c>
      <c r="Q2008" t="str">
        <f>IFERROR(INDEX($M$2:$M$2388,MATCH(ROWS($P$2:P2008),$P$2:$P$2388,0)),"")</f>
        <v/>
      </c>
    </row>
    <row r="2009" spans="1:17" ht="15" x14ac:dyDescent="0.25">
      <c r="A2009" s="10">
        <v>738</v>
      </c>
      <c r="B2009" s="10" t="s">
        <v>6243</v>
      </c>
      <c r="C2009" s="880">
        <f t="shared" si="156"/>
        <v>-16.2546</v>
      </c>
      <c r="D2009" s="880">
        <f t="shared" si="157"/>
        <v>28.4682</v>
      </c>
      <c r="E2009" s="10">
        <v>-16.254615999999999</v>
      </c>
      <c r="F2009" s="10">
        <v>28.468239000000001</v>
      </c>
      <c r="G2009" s="10">
        <v>0</v>
      </c>
      <c r="H2009" s="10" t="s">
        <v>2318</v>
      </c>
      <c r="I2009" s="10" t="s">
        <v>6201</v>
      </c>
      <c r="J2009" s="10" t="s">
        <v>6202</v>
      </c>
      <c r="K2009" s="10" t="s">
        <v>6225</v>
      </c>
      <c r="L2009" s="65" t="str">
        <f t="shared" si="158"/>
        <v>Santa Cruz de Tenerife|Spain|-16,254616|28,468239|+0:00 Atlantic</v>
      </c>
      <c r="M2009" s="10" t="s">
        <v>6244</v>
      </c>
      <c r="N2009" s="10">
        <f t="shared" si="155"/>
        <v>0</v>
      </c>
      <c r="O2009" t="str">
        <f t="shared" si="159"/>
        <v/>
      </c>
      <c r="P2009" t="str">
        <f>IF(O2009=1,COUNTIF($O$2:O2009,1),"")</f>
        <v/>
      </c>
      <c r="Q2009" t="str">
        <f>IFERROR(INDEX($M$2:$M$2388,MATCH(ROWS($P$2:P2009),$P$2:$P$2388,0)),"")</f>
        <v/>
      </c>
    </row>
    <row r="2010" spans="1:17" ht="15" x14ac:dyDescent="0.25">
      <c r="A2010" s="10">
        <v>737</v>
      </c>
      <c r="B2010" s="10" t="s">
        <v>6245</v>
      </c>
      <c r="C2010" s="880">
        <f t="shared" si="156"/>
        <v>-5.9869000000000003</v>
      </c>
      <c r="D2010" s="880">
        <f t="shared" si="157"/>
        <v>37.377200000000002</v>
      </c>
      <c r="E2010" s="10">
        <v>-5.9869440000000003</v>
      </c>
      <c r="F2010" s="10">
        <v>37.377223999999998</v>
      </c>
      <c r="G2010" s="10">
        <v>1</v>
      </c>
      <c r="H2010" s="10" t="s">
        <v>1670</v>
      </c>
      <c r="I2010" s="10" t="s">
        <v>6201</v>
      </c>
      <c r="J2010" s="10" t="s">
        <v>6202</v>
      </c>
      <c r="K2010" s="10" t="s">
        <v>6222</v>
      </c>
      <c r="L2010" s="65" t="str">
        <f t="shared" si="158"/>
        <v>Sevilla|Spain|-5,986944|37,377224|+1:00 Africa</v>
      </c>
      <c r="M2010" s="10" t="s">
        <v>6246</v>
      </c>
      <c r="N2010" s="10">
        <f t="shared" si="155"/>
        <v>0</v>
      </c>
      <c r="O2010" t="str">
        <f t="shared" si="159"/>
        <v/>
      </c>
      <c r="P2010" t="str">
        <f>IF(O2010=1,COUNTIF($O$2:O2010,1),"")</f>
        <v/>
      </c>
      <c r="Q2010" t="str">
        <f>IFERROR(INDEX($M$2:$M$2388,MATCH(ROWS($P$2:P2010),$P$2:$P$2388,0)),"")</f>
        <v/>
      </c>
    </row>
    <row r="2011" spans="1:17" ht="15" x14ac:dyDescent="0.25">
      <c r="A2011" s="10">
        <v>736</v>
      </c>
      <c r="B2011" s="10" t="s">
        <v>6247</v>
      </c>
      <c r="C2011" s="880">
        <f t="shared" si="156"/>
        <v>-0.37730000000000002</v>
      </c>
      <c r="D2011" s="880">
        <f t="shared" si="157"/>
        <v>39.469700000000003</v>
      </c>
      <c r="E2011" s="10">
        <v>-0.37738699999999997</v>
      </c>
      <c r="F2011" s="10">
        <v>39.469752999999997</v>
      </c>
      <c r="G2011" s="10">
        <v>1</v>
      </c>
      <c r="H2011" s="10" t="s">
        <v>1670</v>
      </c>
      <c r="I2011" s="10" t="s">
        <v>6201</v>
      </c>
      <c r="J2011" s="10" t="s">
        <v>6202</v>
      </c>
      <c r="K2011" s="10" t="s">
        <v>6203</v>
      </c>
      <c r="L2011" s="65" t="str">
        <f t="shared" si="158"/>
        <v>Valencia|Spain|-0,377387|39,469753|+1:00 Europe</v>
      </c>
      <c r="M2011" s="10" t="s">
        <v>6248</v>
      </c>
      <c r="N2011" s="10">
        <f t="shared" si="155"/>
        <v>0</v>
      </c>
      <c r="O2011" t="str">
        <f t="shared" si="159"/>
        <v/>
      </c>
      <c r="P2011" t="str">
        <f>IF(O2011=1,COUNTIF($O$2:O2011,1),"")</f>
        <v/>
      </c>
      <c r="Q2011" t="str">
        <f>IFERROR(INDEX($M$2:$M$2388,MATCH(ROWS($P$2:P2011),$P$2:$P$2388,0)),"")</f>
        <v/>
      </c>
    </row>
    <row r="2012" spans="1:17" ht="15" x14ac:dyDescent="0.25">
      <c r="A2012" s="10">
        <v>751</v>
      </c>
      <c r="B2012" s="10" t="s">
        <v>6249</v>
      </c>
      <c r="C2012" s="880">
        <f t="shared" si="156"/>
        <v>-4.7165999999999997</v>
      </c>
      <c r="D2012" s="880">
        <f t="shared" si="157"/>
        <v>41.65</v>
      </c>
      <c r="E2012" s="10">
        <v>-4.7166670000000002</v>
      </c>
      <c r="F2012" s="10">
        <v>41.650002000000001</v>
      </c>
      <c r="G2012" s="10">
        <v>1</v>
      </c>
      <c r="H2012" s="10" t="s">
        <v>1670</v>
      </c>
      <c r="I2012" s="10" t="s">
        <v>6201</v>
      </c>
      <c r="J2012" s="10" t="s">
        <v>6202</v>
      </c>
      <c r="K2012" s="10" t="s">
        <v>6203</v>
      </c>
      <c r="L2012" s="65" t="str">
        <f t="shared" si="158"/>
        <v>Valladolid|Spain|-4,716667|41,650002|+1:00 Europe</v>
      </c>
      <c r="M2012" s="10" t="s">
        <v>6250</v>
      </c>
      <c r="N2012" s="10">
        <f t="shared" si="155"/>
        <v>0</v>
      </c>
      <c r="O2012" t="str">
        <f t="shared" si="159"/>
        <v/>
      </c>
      <c r="P2012" t="str">
        <f>IF(O2012=1,COUNTIF($O$2:O2012,1),"")</f>
        <v/>
      </c>
      <c r="Q2012" t="str">
        <f>IFERROR(INDEX($M$2:$M$2388,MATCH(ROWS($P$2:P2012),$P$2:$P$2388,0)),"")</f>
        <v/>
      </c>
    </row>
    <row r="2013" spans="1:17" ht="15" x14ac:dyDescent="0.25">
      <c r="A2013" s="10">
        <v>750</v>
      </c>
      <c r="B2013" s="10" t="s">
        <v>6251</v>
      </c>
      <c r="C2013" s="880">
        <f t="shared" si="156"/>
        <v>-8.7165999999999997</v>
      </c>
      <c r="D2013" s="880">
        <f t="shared" si="157"/>
        <v>42.2333</v>
      </c>
      <c r="E2013" s="10">
        <v>-8.7166669999999993</v>
      </c>
      <c r="F2013" s="10">
        <v>42.233333999999999</v>
      </c>
      <c r="G2013" s="10">
        <v>1</v>
      </c>
      <c r="H2013" s="10" t="s">
        <v>1670</v>
      </c>
      <c r="I2013" s="10" t="s">
        <v>6201</v>
      </c>
      <c r="J2013" s="10" t="s">
        <v>6202</v>
      </c>
      <c r="K2013" s="10" t="s">
        <v>6203</v>
      </c>
      <c r="L2013" s="65" t="str">
        <f t="shared" si="158"/>
        <v>Vigo|Spain|-8,716667|42,233334|+1:00 Europe</v>
      </c>
      <c r="M2013" s="10" t="s">
        <v>6252</v>
      </c>
      <c r="N2013" s="10">
        <f t="shared" si="155"/>
        <v>0</v>
      </c>
      <c r="O2013" t="str">
        <f t="shared" si="159"/>
        <v/>
      </c>
      <c r="P2013" t="str">
        <f>IF(O2013=1,COUNTIF($O$2:O2013,1),"")</f>
        <v/>
      </c>
      <c r="Q2013" t="str">
        <f>IFERROR(INDEX($M$2:$M$2388,MATCH(ROWS($P$2:P2013),$P$2:$P$2388,0)),"")</f>
        <v/>
      </c>
    </row>
    <row r="2014" spans="1:17" ht="15" x14ac:dyDescent="0.25">
      <c r="A2014" s="10">
        <v>749</v>
      </c>
      <c r="B2014" s="10" t="s">
        <v>6253</v>
      </c>
      <c r="C2014" s="880">
        <f t="shared" si="156"/>
        <v>-2.6665999999999999</v>
      </c>
      <c r="D2014" s="880">
        <f t="shared" si="157"/>
        <v>42.849899999999998</v>
      </c>
      <c r="E2014" s="10">
        <v>-2.6666669999999999</v>
      </c>
      <c r="F2014" s="10">
        <v>42.849997999999999</v>
      </c>
      <c r="G2014" s="10">
        <v>1</v>
      </c>
      <c r="H2014" s="10" t="s">
        <v>1670</v>
      </c>
      <c r="I2014" s="10" t="s">
        <v>6201</v>
      </c>
      <c r="J2014" s="10" t="s">
        <v>6202</v>
      </c>
      <c r="K2014" s="10" t="s">
        <v>6203</v>
      </c>
      <c r="L2014" s="65" t="str">
        <f t="shared" si="158"/>
        <v>Vitoria-Gasteiz|Spain|-2,666667|42,849998|+1:00 Europe</v>
      </c>
      <c r="M2014" s="10" t="s">
        <v>6254</v>
      </c>
      <c r="N2014" s="10">
        <f t="shared" si="155"/>
        <v>0</v>
      </c>
      <c r="O2014" t="str">
        <f t="shared" si="159"/>
        <v/>
      </c>
      <c r="P2014" t="str">
        <f>IF(O2014=1,COUNTIF($O$2:O2014,1),"")</f>
        <v/>
      </c>
      <c r="Q2014" t="str">
        <f>IFERROR(INDEX($M$2:$M$2388,MATCH(ROWS($P$2:P2014),$P$2:$P$2388,0)),"")</f>
        <v/>
      </c>
    </row>
    <row r="2015" spans="1:17" ht="15" x14ac:dyDescent="0.25">
      <c r="A2015" s="10">
        <v>735</v>
      </c>
      <c r="B2015" s="10" t="s">
        <v>6255</v>
      </c>
      <c r="C2015" s="880">
        <f t="shared" si="156"/>
        <v>-1.1166</v>
      </c>
      <c r="D2015" s="880">
        <f t="shared" si="157"/>
        <v>38.616599999999998</v>
      </c>
      <c r="E2015" s="10">
        <v>-1.1166670000000001</v>
      </c>
      <c r="F2015" s="10">
        <v>38.616664999999998</v>
      </c>
      <c r="G2015" s="10">
        <v>1</v>
      </c>
      <c r="H2015" s="10" t="s">
        <v>1670</v>
      </c>
      <c r="I2015" s="10" t="s">
        <v>6201</v>
      </c>
      <c r="J2015" s="10" t="s">
        <v>6202</v>
      </c>
      <c r="K2015" s="10" t="s">
        <v>6203</v>
      </c>
      <c r="L2015" s="65" t="str">
        <f t="shared" si="158"/>
        <v>Yecla|Spain|-1,116667|38,616665|+1:00 Europe</v>
      </c>
      <c r="M2015" s="10" t="s">
        <v>6256</v>
      </c>
      <c r="N2015" s="10">
        <f t="shared" si="155"/>
        <v>0</v>
      </c>
      <c r="O2015" t="str">
        <f t="shared" si="159"/>
        <v/>
      </c>
      <c r="P2015" t="str">
        <f>IF(O2015=1,COUNTIF($O$2:O2015,1),"")</f>
        <v/>
      </c>
      <c r="Q2015" t="str">
        <f>IFERROR(INDEX($M$2:$M$2388,MATCH(ROWS($P$2:P2015),$P$2:$P$2388,0)),"")</f>
        <v/>
      </c>
    </row>
    <row r="2016" spans="1:17" ht="15" x14ac:dyDescent="0.25">
      <c r="A2016" s="10">
        <v>734</v>
      </c>
      <c r="B2016" s="10" t="s">
        <v>6257</v>
      </c>
      <c r="C2016" s="880">
        <f t="shared" si="156"/>
        <v>-6.4165999999999999</v>
      </c>
      <c r="D2016" s="880">
        <f t="shared" si="157"/>
        <v>38.416600000000003</v>
      </c>
      <c r="E2016" s="10">
        <v>-6.4166670000000003</v>
      </c>
      <c r="F2016" s="10">
        <v>38.416668000000001</v>
      </c>
      <c r="G2016" s="10">
        <v>1</v>
      </c>
      <c r="H2016" s="10" t="s">
        <v>1670</v>
      </c>
      <c r="I2016" s="10" t="s">
        <v>6201</v>
      </c>
      <c r="J2016" s="10" t="s">
        <v>6202</v>
      </c>
      <c r="K2016" s="10" t="s">
        <v>6203</v>
      </c>
      <c r="L2016" s="65" t="str">
        <f t="shared" si="158"/>
        <v>Zafra|Spain|-6,416667|38,416668|+1:00 Europe</v>
      </c>
      <c r="M2016" s="10" t="s">
        <v>6258</v>
      </c>
      <c r="N2016" s="10">
        <f t="shared" si="155"/>
        <v>0</v>
      </c>
      <c r="O2016" t="str">
        <f t="shared" si="159"/>
        <v/>
      </c>
      <c r="P2016" t="str">
        <f>IF(O2016=1,COUNTIF($O$2:O2016,1),"")</f>
        <v/>
      </c>
      <c r="Q2016" t="str">
        <f>IFERROR(INDEX($M$2:$M$2388,MATCH(ROWS($P$2:P2016),$P$2:$P$2388,0)),"")</f>
        <v/>
      </c>
    </row>
    <row r="2017" spans="1:17" ht="15" x14ac:dyDescent="0.25">
      <c r="A2017" s="10">
        <v>748</v>
      </c>
      <c r="B2017" s="10" t="s">
        <v>2990</v>
      </c>
      <c r="C2017" s="880">
        <f t="shared" si="156"/>
        <v>-0.87729999999999997</v>
      </c>
      <c r="D2017" s="880">
        <f t="shared" si="157"/>
        <v>41.655999999999999</v>
      </c>
      <c r="E2017" s="10">
        <v>-0.87734000000000001</v>
      </c>
      <c r="F2017" s="10">
        <v>41.656063000000003</v>
      </c>
      <c r="G2017" s="10">
        <v>1</v>
      </c>
      <c r="H2017" s="10" t="s">
        <v>1873</v>
      </c>
      <c r="I2017" s="10" t="s">
        <v>6201</v>
      </c>
      <c r="J2017" s="10" t="s">
        <v>6202</v>
      </c>
      <c r="K2017" s="10" t="s">
        <v>2939</v>
      </c>
      <c r="L2017" s="65" t="str">
        <f t="shared" si="158"/>
        <v>Zaragoza|Spain|-0,877340|41,656063|-5:00 America</v>
      </c>
      <c r="M2017" s="10" t="s">
        <v>6259</v>
      </c>
      <c r="N2017" s="10">
        <f t="shared" si="155"/>
        <v>0</v>
      </c>
      <c r="O2017" t="str">
        <f t="shared" si="159"/>
        <v/>
      </c>
      <c r="P2017" t="str">
        <f>IF(O2017=1,COUNTIF($O$2:O2017,1),"")</f>
        <v/>
      </c>
      <c r="Q2017" t="str">
        <f>IFERROR(INDEX($M$2:$M$2388,MATCH(ROWS($P$2:P2017),$P$2:$P$2388,0)),"")</f>
        <v/>
      </c>
    </row>
    <row r="2018" spans="1:17" ht="15" x14ac:dyDescent="0.25">
      <c r="A2018" s="10">
        <v>733</v>
      </c>
      <c r="B2018" s="10" t="s">
        <v>6260</v>
      </c>
      <c r="C2018" s="880">
        <f t="shared" si="156"/>
        <v>-3.5832999999999999</v>
      </c>
      <c r="D2018" s="880">
        <f t="shared" si="157"/>
        <v>37.116599999999998</v>
      </c>
      <c r="E2018" s="10">
        <v>-3.5833330000000001</v>
      </c>
      <c r="F2018" s="10">
        <v>37.116664999999998</v>
      </c>
      <c r="G2018" s="10">
        <v>1</v>
      </c>
      <c r="H2018" s="10" t="s">
        <v>1670</v>
      </c>
      <c r="I2018" s="10" t="s">
        <v>6201</v>
      </c>
      <c r="J2018" s="10" t="s">
        <v>6202</v>
      </c>
      <c r="K2018" s="10" t="s">
        <v>6222</v>
      </c>
      <c r="L2018" s="65" t="str">
        <f t="shared" si="158"/>
        <v>Zubia|Spain|-3,583333|37,116665|+1:00 Africa</v>
      </c>
      <c r="M2018" s="10" t="s">
        <v>6261</v>
      </c>
      <c r="N2018" s="10">
        <f t="shared" si="155"/>
        <v>0</v>
      </c>
      <c r="O2018" t="str">
        <f t="shared" si="159"/>
        <v/>
      </c>
      <c r="P2018" t="str">
        <f>IF(O2018=1,COUNTIF($O$2:O2018,1),"")</f>
        <v/>
      </c>
      <c r="Q2018" t="str">
        <f>IFERROR(INDEX($M$2:$M$2388,MATCH(ROWS($P$2:P2018),$P$2:$P$2388,0)),"")</f>
        <v/>
      </c>
    </row>
    <row r="2019" spans="1:17" ht="15" x14ac:dyDescent="0.25">
      <c r="A2019" s="10">
        <v>1434</v>
      </c>
      <c r="B2019" s="10" t="s">
        <v>2100</v>
      </c>
      <c r="C2019" s="880">
        <f t="shared" si="156"/>
        <v>79.847700000000003</v>
      </c>
      <c r="D2019" s="880">
        <f t="shared" si="157"/>
        <v>6.9318999999999997</v>
      </c>
      <c r="E2019" s="10">
        <v>79.847778000000005</v>
      </c>
      <c r="F2019" s="10">
        <v>6.9319439999999997</v>
      </c>
      <c r="G2019" s="10">
        <v>5.5</v>
      </c>
      <c r="H2019" s="10" t="s">
        <v>1739</v>
      </c>
      <c r="I2019" s="10" t="s">
        <v>6262</v>
      </c>
      <c r="J2019" s="10" t="s">
        <v>6263</v>
      </c>
      <c r="K2019" s="10" t="s">
        <v>2054</v>
      </c>
      <c r="L2019" s="65" t="str">
        <f t="shared" si="158"/>
        <v>Colombo|Sri Lanka|79,847778|6,931944|-3:00 America</v>
      </c>
      <c r="M2019" s="10" t="s">
        <v>6264</v>
      </c>
      <c r="N2019" s="10">
        <f t="shared" si="155"/>
        <v>0</v>
      </c>
      <c r="O2019" t="str">
        <f t="shared" si="159"/>
        <v/>
      </c>
      <c r="P2019" t="str">
        <f>IF(O2019=1,COUNTIF($O$2:O2019,1),"")</f>
        <v/>
      </c>
      <c r="Q2019" t="str">
        <f>IFERROR(INDEX($M$2:$M$2388,MATCH(ROWS($P$2:P2019),$P$2:$P$2388,0)),"")</f>
        <v/>
      </c>
    </row>
    <row r="2020" spans="1:17" ht="15" x14ac:dyDescent="0.25">
      <c r="A2020" s="10">
        <v>1433</v>
      </c>
      <c r="B2020" s="10" t="s">
        <v>6265</v>
      </c>
      <c r="C2020" s="880">
        <f t="shared" si="156"/>
        <v>79.866600000000005</v>
      </c>
      <c r="D2020" s="880">
        <f t="shared" si="157"/>
        <v>6.8333000000000004</v>
      </c>
      <c r="E2020" s="10">
        <v>79.866669000000002</v>
      </c>
      <c r="F2020" s="10">
        <v>6.8333329999999997</v>
      </c>
      <c r="G2020" s="10">
        <v>5.5</v>
      </c>
      <c r="H2020" s="10" t="s">
        <v>3657</v>
      </c>
      <c r="I2020" s="10" t="s">
        <v>6262</v>
      </c>
      <c r="J2020" s="10" t="s">
        <v>6263</v>
      </c>
      <c r="K2020" s="10" t="s">
        <v>6266</v>
      </c>
      <c r="L2020" s="65" t="str">
        <f t="shared" si="158"/>
        <v>Galkissa|Sri Lanka|79,866669|6,833333|+5:30 Asia</v>
      </c>
      <c r="M2020" s="10" t="s">
        <v>6267</v>
      </c>
      <c r="N2020" s="10">
        <f t="shared" si="155"/>
        <v>0</v>
      </c>
      <c r="O2020" t="str">
        <f t="shared" si="159"/>
        <v/>
      </c>
      <c r="P2020" t="str">
        <f>IF(O2020=1,COUNTIF($O$2:O2020,1),"")</f>
        <v/>
      </c>
      <c r="Q2020" t="str">
        <f>IFERROR(INDEX($M$2:$M$2388,MATCH(ROWS($P$2:P2020),$P$2:$P$2388,0)),"")</f>
        <v/>
      </c>
    </row>
    <row r="2021" spans="1:17" ht="15" x14ac:dyDescent="0.25">
      <c r="A2021" s="10">
        <v>1432</v>
      </c>
      <c r="B2021" s="10" t="s">
        <v>6268</v>
      </c>
      <c r="C2021" s="880">
        <f t="shared" si="156"/>
        <v>81.5</v>
      </c>
      <c r="D2021" s="880">
        <f t="shared" si="157"/>
        <v>6.8</v>
      </c>
      <c r="E2021" s="10">
        <v>81.5</v>
      </c>
      <c r="F2021" s="10">
        <v>6.8</v>
      </c>
      <c r="G2021" s="10">
        <v>5.5</v>
      </c>
      <c r="H2021" s="10" t="s">
        <v>3657</v>
      </c>
      <c r="I2021" s="10" t="s">
        <v>6262</v>
      </c>
      <c r="J2021" s="10" t="s">
        <v>6263</v>
      </c>
      <c r="K2021" s="10" t="s">
        <v>6266</v>
      </c>
      <c r="L2021" s="65" t="str">
        <f t="shared" si="158"/>
        <v>Wattegama|Sri Lanka|81,500000|6,800000|+5:30 Asia</v>
      </c>
      <c r="M2021" s="10" t="s">
        <v>6269</v>
      </c>
      <c r="N2021" s="10">
        <f t="shared" si="155"/>
        <v>0</v>
      </c>
      <c r="O2021" t="str">
        <f t="shared" si="159"/>
        <v/>
      </c>
      <c r="P2021" t="str">
        <f>IF(O2021=1,COUNTIF($O$2:O2021,1),"")</f>
        <v/>
      </c>
      <c r="Q2021" t="str">
        <f>IFERROR(INDEX($M$2:$M$2388,MATCH(ROWS($P$2:P2021),$P$2:$P$2388,0)),"")</f>
        <v/>
      </c>
    </row>
    <row r="2022" spans="1:17" ht="15" x14ac:dyDescent="0.25">
      <c r="A2022" s="10">
        <v>1431</v>
      </c>
      <c r="B2022" s="10" t="s">
        <v>6270</v>
      </c>
      <c r="C2022" s="880">
        <f t="shared" si="156"/>
        <v>80.416600000000003</v>
      </c>
      <c r="D2022" s="880">
        <f t="shared" si="157"/>
        <v>5.9665999999999997</v>
      </c>
      <c r="E2022" s="10">
        <v>80.416663999999997</v>
      </c>
      <c r="F2022" s="10">
        <v>5.9666670000000002</v>
      </c>
      <c r="G2022" s="10">
        <v>5.5</v>
      </c>
      <c r="H2022" s="10" t="s">
        <v>3657</v>
      </c>
      <c r="I2022" s="10" t="s">
        <v>6262</v>
      </c>
      <c r="J2022" s="10" t="s">
        <v>6263</v>
      </c>
      <c r="K2022" s="10" t="s">
        <v>6266</v>
      </c>
      <c r="L2022" s="65" t="str">
        <f t="shared" si="158"/>
        <v>Weligama|Sri Lanka|80,416664|5,966667|+5:30 Asia</v>
      </c>
      <c r="M2022" s="10" t="s">
        <v>6271</v>
      </c>
      <c r="N2022" s="10">
        <f t="shared" si="155"/>
        <v>0</v>
      </c>
      <c r="O2022" t="str">
        <f t="shared" si="159"/>
        <v/>
      </c>
      <c r="P2022" t="str">
        <f>IF(O2022=1,COUNTIF($O$2:O2022,1),"")</f>
        <v/>
      </c>
      <c r="Q2022" t="str">
        <f>IFERROR(INDEX($M$2:$M$2388,MATCH(ROWS($P$2:P2022),$P$2:$P$2388,0)),"")</f>
        <v/>
      </c>
    </row>
    <row r="2023" spans="1:17" ht="15" x14ac:dyDescent="0.25">
      <c r="A2023" s="10">
        <v>1430</v>
      </c>
      <c r="B2023" s="10" t="s">
        <v>6272</v>
      </c>
      <c r="C2023" s="880">
        <f t="shared" si="156"/>
        <v>79.900000000000006</v>
      </c>
      <c r="D2023" s="880">
        <f t="shared" si="157"/>
        <v>7.0332999999999997</v>
      </c>
      <c r="E2023" s="10">
        <v>79.900002000000001</v>
      </c>
      <c r="F2023" s="10">
        <v>7.0333329999999998</v>
      </c>
      <c r="G2023" s="10">
        <v>5.5</v>
      </c>
      <c r="H2023" s="10" t="s">
        <v>3657</v>
      </c>
      <c r="I2023" s="10" t="s">
        <v>6262</v>
      </c>
      <c r="J2023" s="10" t="s">
        <v>6263</v>
      </c>
      <c r="K2023" s="10" t="s">
        <v>6266</v>
      </c>
      <c r="L2023" s="65" t="str">
        <f t="shared" si="158"/>
        <v>Welisara|Sri Lanka|79,900002|7,033333|+5:30 Asia</v>
      </c>
      <c r="M2023" s="10" t="s">
        <v>6273</v>
      </c>
      <c r="N2023" s="10">
        <f t="shared" si="155"/>
        <v>0</v>
      </c>
      <c r="O2023" t="str">
        <f t="shared" si="159"/>
        <v/>
      </c>
      <c r="P2023" t="str">
        <f>IF(O2023=1,COUNTIF($O$2:O2023,1),"")</f>
        <v/>
      </c>
      <c r="Q2023" t="str">
        <f>IFERROR(INDEX($M$2:$M$2388,MATCH(ROWS($P$2:P2023),$P$2:$P$2388,0)),"")</f>
        <v/>
      </c>
    </row>
    <row r="2024" spans="1:17" ht="15" x14ac:dyDescent="0.25">
      <c r="A2024" s="10">
        <v>1997</v>
      </c>
      <c r="B2024" s="10" t="s">
        <v>6274</v>
      </c>
      <c r="C2024" s="880">
        <f t="shared" si="156"/>
        <v>25.35</v>
      </c>
      <c r="D2024" s="880">
        <f t="shared" si="157"/>
        <v>13.6333</v>
      </c>
      <c r="E2024" s="10">
        <v>25.35</v>
      </c>
      <c r="F2024" s="10">
        <v>13.633333</v>
      </c>
      <c r="G2024" s="10">
        <v>3</v>
      </c>
      <c r="H2024" s="10" t="s">
        <v>1883</v>
      </c>
      <c r="I2024" s="10" t="s">
        <v>6275</v>
      </c>
      <c r="J2024" s="10" t="s">
        <v>6276</v>
      </c>
      <c r="K2024" s="10" t="s">
        <v>6277</v>
      </c>
      <c r="L2024" s="65" t="str">
        <f t="shared" si="158"/>
        <v>Al Fashir|Sudan|25,350000|13,633333|+3:00 Africa</v>
      </c>
      <c r="M2024" s="10" t="s">
        <v>6278</v>
      </c>
      <c r="N2024" s="10">
        <f t="shared" si="155"/>
        <v>0</v>
      </c>
      <c r="O2024" t="str">
        <f t="shared" si="159"/>
        <v/>
      </c>
      <c r="P2024" t="str">
        <f>IF(O2024=1,COUNTIF($O$2:O2024,1),"")</f>
        <v/>
      </c>
      <c r="Q2024" t="str">
        <f>IFERROR(INDEX($M$2:$M$2388,MATCH(ROWS($P$2:P2024),$P$2:$P$2388,0)),"")</f>
        <v/>
      </c>
    </row>
    <row r="2025" spans="1:17" ht="15" x14ac:dyDescent="0.25">
      <c r="A2025" s="10">
        <v>1995</v>
      </c>
      <c r="B2025" s="10" t="s">
        <v>6279</v>
      </c>
      <c r="C2025" s="880">
        <f t="shared" si="156"/>
        <v>30.2166</v>
      </c>
      <c r="D2025" s="880">
        <f t="shared" si="157"/>
        <v>13.183299999999999</v>
      </c>
      <c r="E2025" s="10">
        <v>30.216667000000001</v>
      </c>
      <c r="F2025" s="10">
        <v>13.183332999999999</v>
      </c>
      <c r="G2025" s="10">
        <v>3</v>
      </c>
      <c r="H2025" s="10" t="s">
        <v>1883</v>
      </c>
      <c r="I2025" s="10" t="s">
        <v>6275</v>
      </c>
      <c r="J2025" s="10" t="s">
        <v>6276</v>
      </c>
      <c r="K2025" s="10" t="s">
        <v>6277</v>
      </c>
      <c r="L2025" s="65" t="str">
        <f t="shared" si="158"/>
        <v>Al Ubayyid|Sudan|30,216667|13,183333|+3:00 Africa</v>
      </c>
      <c r="M2025" s="10" t="s">
        <v>6280</v>
      </c>
      <c r="N2025" s="10">
        <f t="shared" si="155"/>
        <v>0</v>
      </c>
      <c r="O2025" t="str">
        <f t="shared" si="159"/>
        <v/>
      </c>
      <c r="P2025" t="str">
        <f>IF(O2025=1,COUNTIF($O$2:O2025,1),"")</f>
        <v/>
      </c>
      <c r="Q2025" t="str">
        <f>IFERROR(INDEX($M$2:$M$2388,MATCH(ROWS($P$2:P2025),$P$2:$P$2388,0)),"")</f>
        <v/>
      </c>
    </row>
    <row r="2026" spans="1:17" ht="15" x14ac:dyDescent="0.25">
      <c r="A2026" s="10">
        <v>1994</v>
      </c>
      <c r="B2026" s="10" t="s">
        <v>6281</v>
      </c>
      <c r="C2026" s="880">
        <f t="shared" si="156"/>
        <v>36.398800000000001</v>
      </c>
      <c r="D2026" s="880">
        <f t="shared" si="157"/>
        <v>15.4558</v>
      </c>
      <c r="E2026" s="10">
        <v>36.398887999999999</v>
      </c>
      <c r="F2026" s="10">
        <v>15.455833</v>
      </c>
      <c r="G2026" s="10">
        <v>3</v>
      </c>
      <c r="H2026" s="10" t="s">
        <v>1883</v>
      </c>
      <c r="I2026" s="10" t="s">
        <v>6275</v>
      </c>
      <c r="J2026" s="10" t="s">
        <v>6276</v>
      </c>
      <c r="K2026" s="10" t="s">
        <v>6277</v>
      </c>
      <c r="L2026" s="65" t="str">
        <f t="shared" si="158"/>
        <v>Kassala|Sudan|36,398888|15,455833|+3:00 Africa</v>
      </c>
      <c r="M2026" s="10" t="s">
        <v>6282</v>
      </c>
      <c r="N2026" s="10">
        <f t="shared" si="155"/>
        <v>0</v>
      </c>
      <c r="O2026" t="str">
        <f t="shared" si="159"/>
        <v/>
      </c>
      <c r="P2026" t="str">
        <f>IF(O2026=1,COUNTIF($O$2:O2026,1),"")</f>
        <v/>
      </c>
      <c r="Q2026" t="str">
        <f>IFERROR(INDEX($M$2:$M$2388,MATCH(ROWS($P$2:P2026),$P$2:$P$2388,0)),"")</f>
        <v/>
      </c>
    </row>
    <row r="2027" spans="1:17" ht="15" x14ac:dyDescent="0.25">
      <c r="A2027" s="10">
        <v>1996</v>
      </c>
      <c r="B2027" s="10" t="s">
        <v>6283</v>
      </c>
      <c r="C2027" s="880">
        <f t="shared" si="156"/>
        <v>32.534100000000002</v>
      </c>
      <c r="D2027" s="880">
        <f t="shared" si="157"/>
        <v>15.587999999999999</v>
      </c>
      <c r="E2027" s="10">
        <v>32.534168000000001</v>
      </c>
      <c r="F2027" s="10">
        <v>15.588056</v>
      </c>
      <c r="G2027" s="10">
        <v>3</v>
      </c>
      <c r="H2027" s="10" t="s">
        <v>1883</v>
      </c>
      <c r="I2027" s="10" t="s">
        <v>6275</v>
      </c>
      <c r="J2027" s="10" t="s">
        <v>6276</v>
      </c>
      <c r="K2027" s="10" t="s">
        <v>6277</v>
      </c>
      <c r="L2027" s="65" t="str">
        <f t="shared" si="158"/>
        <v>Khartoum|Sudan|32,534168|15,588056|+3:00 Africa</v>
      </c>
      <c r="M2027" s="10" t="s">
        <v>6284</v>
      </c>
      <c r="N2027" s="10">
        <f t="shared" si="155"/>
        <v>0</v>
      </c>
      <c r="O2027" t="str">
        <f t="shared" si="159"/>
        <v/>
      </c>
      <c r="P2027" t="str">
        <f>IF(O2027=1,COUNTIF($O$2:O2027,1),"")</f>
        <v/>
      </c>
      <c r="Q2027" t="str">
        <f>IFERROR(INDEX($M$2:$M$2388,MATCH(ROWS($P$2:P2027),$P$2:$P$2388,0)),"")</f>
        <v/>
      </c>
    </row>
    <row r="2028" spans="1:17" ht="15" x14ac:dyDescent="0.25">
      <c r="A2028" s="10">
        <v>1993</v>
      </c>
      <c r="B2028" s="10" t="s">
        <v>6285</v>
      </c>
      <c r="C2028" s="880">
        <f t="shared" si="156"/>
        <v>32.666600000000003</v>
      </c>
      <c r="D2028" s="880">
        <f t="shared" si="157"/>
        <v>13.166600000000001</v>
      </c>
      <c r="E2028" s="10">
        <v>32.666668000000001</v>
      </c>
      <c r="F2028" s="10">
        <v>13.166667</v>
      </c>
      <c r="G2028" s="10">
        <v>3</v>
      </c>
      <c r="H2028" s="10" t="s">
        <v>1883</v>
      </c>
      <c r="I2028" s="10" t="s">
        <v>6275</v>
      </c>
      <c r="J2028" s="10" t="s">
        <v>6276</v>
      </c>
      <c r="K2028" s="10" t="s">
        <v>6277</v>
      </c>
      <c r="L2028" s="65" t="str">
        <f t="shared" si="158"/>
        <v>Kusti|Sudan|32,666668|13,166667|+3:00 Africa</v>
      </c>
      <c r="M2028" s="10" t="s">
        <v>6286</v>
      </c>
      <c r="N2028" s="10">
        <f t="shared" si="155"/>
        <v>0</v>
      </c>
      <c r="O2028" t="str">
        <f t="shared" si="159"/>
        <v/>
      </c>
      <c r="P2028" t="str">
        <f>IF(O2028=1,COUNTIF($O$2:O2028,1),"")</f>
        <v/>
      </c>
      <c r="Q2028" t="str">
        <f>IFERROR(INDEX($M$2:$M$2388,MATCH(ROWS($P$2:P2028),$P$2:$P$2388,0)),"")</f>
        <v/>
      </c>
    </row>
    <row r="2029" spans="1:17" ht="15" x14ac:dyDescent="0.25">
      <c r="A2029" s="10">
        <v>1992</v>
      </c>
      <c r="B2029" s="10" t="s">
        <v>6287</v>
      </c>
      <c r="C2029" s="880">
        <f t="shared" si="156"/>
        <v>32.437199999999997</v>
      </c>
      <c r="D2029" s="880">
        <f t="shared" si="157"/>
        <v>15.636100000000001</v>
      </c>
      <c r="E2029" s="10">
        <v>32.437221999999998</v>
      </c>
      <c r="F2029" s="10">
        <v>15.636111</v>
      </c>
      <c r="G2029" s="10">
        <v>3</v>
      </c>
      <c r="H2029" s="10" t="s">
        <v>1883</v>
      </c>
      <c r="I2029" s="10" t="s">
        <v>6275</v>
      </c>
      <c r="J2029" s="10" t="s">
        <v>6276</v>
      </c>
      <c r="K2029" s="10" t="s">
        <v>6277</v>
      </c>
      <c r="L2029" s="65" t="str">
        <f t="shared" si="158"/>
        <v>Omdurman|Sudan|32,437222|15,636111|+3:00 Africa</v>
      </c>
      <c r="M2029" s="10" t="s">
        <v>6288</v>
      </c>
      <c r="N2029" s="10">
        <f t="shared" si="155"/>
        <v>0</v>
      </c>
      <c r="O2029" t="str">
        <f t="shared" si="159"/>
        <v/>
      </c>
      <c r="P2029" t="str">
        <f>IF(O2029=1,COUNTIF($O$2:O2029,1),"")</f>
        <v/>
      </c>
      <c r="Q2029" t="str">
        <f>IFERROR(INDEX($M$2:$M$2388,MATCH(ROWS($P$2:P2029),$P$2:$P$2388,0)),"")</f>
        <v/>
      </c>
    </row>
    <row r="2030" spans="1:17" ht="15" x14ac:dyDescent="0.25">
      <c r="A2030" s="10">
        <v>1991</v>
      </c>
      <c r="B2030" s="10" t="s">
        <v>6289</v>
      </c>
      <c r="C2030" s="880">
        <f t="shared" si="156"/>
        <v>33.533299999999997</v>
      </c>
      <c r="D2030" s="880">
        <f t="shared" si="157"/>
        <v>14.4</v>
      </c>
      <c r="E2030" s="10">
        <v>33.533332999999999</v>
      </c>
      <c r="F2030" s="10">
        <v>14.4</v>
      </c>
      <c r="G2030" s="10">
        <v>3</v>
      </c>
      <c r="H2030" s="10" t="s">
        <v>1883</v>
      </c>
      <c r="I2030" s="10" t="s">
        <v>6275</v>
      </c>
      <c r="J2030" s="10" t="s">
        <v>6276</v>
      </c>
      <c r="K2030" s="10" t="s">
        <v>6277</v>
      </c>
      <c r="L2030" s="65" t="str">
        <f t="shared" si="158"/>
        <v>Wad Madani|Sudan|33,533333|14,400000|+3:00 Africa</v>
      </c>
      <c r="M2030" s="10" t="s">
        <v>6290</v>
      </c>
      <c r="N2030" s="10">
        <f t="shared" si="155"/>
        <v>0</v>
      </c>
      <c r="O2030" t="str">
        <f t="shared" si="159"/>
        <v/>
      </c>
      <c r="P2030" t="str">
        <f>IF(O2030=1,COUNTIF($O$2:O2030,1),"")</f>
        <v/>
      </c>
      <c r="Q2030" t="str">
        <f>IFERROR(INDEX($M$2:$M$2388,MATCH(ROWS($P$2:P2030),$P$2:$P$2388,0)),"")</f>
        <v/>
      </c>
    </row>
    <row r="2031" spans="1:17" ht="15" x14ac:dyDescent="0.25">
      <c r="A2031" s="10">
        <v>1990</v>
      </c>
      <c r="B2031" s="10" t="s">
        <v>6291</v>
      </c>
      <c r="C2031" s="880">
        <f t="shared" si="156"/>
        <v>28.4163</v>
      </c>
      <c r="D2031" s="880">
        <f t="shared" si="157"/>
        <v>4.5705</v>
      </c>
      <c r="E2031" s="10">
        <v>28.416388999999999</v>
      </c>
      <c r="F2031" s="10">
        <v>4.5705559999999998</v>
      </c>
      <c r="G2031" s="10">
        <v>3</v>
      </c>
      <c r="H2031" s="10" t="s">
        <v>1883</v>
      </c>
      <c r="I2031" s="10" t="s">
        <v>6275</v>
      </c>
      <c r="J2031" s="10" t="s">
        <v>6276</v>
      </c>
      <c r="K2031" s="10" t="s">
        <v>6277</v>
      </c>
      <c r="L2031" s="65" t="str">
        <f t="shared" si="158"/>
        <v>Yambio|Sudan|28,416389|4,570556|+3:00 Africa</v>
      </c>
      <c r="M2031" s="10" t="s">
        <v>6292</v>
      </c>
      <c r="N2031" s="10">
        <f t="shared" si="155"/>
        <v>0</v>
      </c>
      <c r="O2031" t="str">
        <f t="shared" si="159"/>
        <v/>
      </c>
      <c r="P2031" t="str">
        <f>IF(O2031=1,COUNTIF($O$2:O2031,1),"")</f>
        <v/>
      </c>
      <c r="Q2031" t="str">
        <f>IFERROR(INDEX($M$2:$M$2388,MATCH(ROWS($P$2:P2031),$P$2:$P$2388,0)),"")</f>
        <v/>
      </c>
    </row>
    <row r="2032" spans="1:17" ht="15" x14ac:dyDescent="0.25">
      <c r="A2032" s="10">
        <v>1989</v>
      </c>
      <c r="B2032" s="10" t="s">
        <v>6293</v>
      </c>
      <c r="C2032" s="880">
        <f t="shared" si="156"/>
        <v>30.678599999999999</v>
      </c>
      <c r="D2032" s="880">
        <f t="shared" si="157"/>
        <v>4.0913000000000004</v>
      </c>
      <c r="E2032" s="10">
        <v>30.678612000000001</v>
      </c>
      <c r="F2032" s="10">
        <v>4.0913890000000004</v>
      </c>
      <c r="G2032" s="10">
        <v>3</v>
      </c>
      <c r="H2032" s="10" t="s">
        <v>1883</v>
      </c>
      <c r="I2032" s="10" t="s">
        <v>6275</v>
      </c>
      <c r="J2032" s="10" t="s">
        <v>6276</v>
      </c>
      <c r="K2032" s="10" t="s">
        <v>6277</v>
      </c>
      <c r="L2032" s="65" t="str">
        <f t="shared" si="158"/>
        <v>Yei|Sudan|30,678612|4,091389|+3:00 Africa</v>
      </c>
      <c r="M2032" s="10" t="s">
        <v>6294</v>
      </c>
      <c r="N2032" s="10">
        <f t="shared" si="155"/>
        <v>0</v>
      </c>
      <c r="O2032" t="str">
        <f t="shared" si="159"/>
        <v/>
      </c>
      <c r="P2032" t="str">
        <f>IF(O2032=1,COUNTIF($O$2:O2032,1),"")</f>
        <v/>
      </c>
      <c r="Q2032" t="str">
        <f>IFERROR(INDEX($M$2:$M$2388,MATCH(ROWS($P$2:P2032),$P$2:$P$2388,0)),"")</f>
        <v/>
      </c>
    </row>
    <row r="2033" spans="1:17" ht="15" x14ac:dyDescent="0.25">
      <c r="A2033" s="10">
        <v>1988</v>
      </c>
      <c r="B2033" s="10" t="s">
        <v>6295</v>
      </c>
      <c r="C2033" s="880">
        <f t="shared" si="156"/>
        <v>23.4833</v>
      </c>
      <c r="D2033" s="880">
        <f t="shared" si="157"/>
        <v>12.9</v>
      </c>
      <c r="E2033" s="10">
        <v>23.483333999999999</v>
      </c>
      <c r="F2033" s="10">
        <v>12.9</v>
      </c>
      <c r="G2033" s="10">
        <v>3</v>
      </c>
      <c r="H2033" s="10" t="s">
        <v>1883</v>
      </c>
      <c r="I2033" s="10" t="s">
        <v>6275</v>
      </c>
      <c r="J2033" s="10" t="s">
        <v>6276</v>
      </c>
      <c r="K2033" s="10" t="s">
        <v>6277</v>
      </c>
      <c r="L2033" s="65" t="str">
        <f t="shared" si="158"/>
        <v>Zalingei|Sudan|23,483334|12,900000|+3:00 Africa</v>
      </c>
      <c r="M2033" s="10" t="s">
        <v>6296</v>
      </c>
      <c r="N2033" s="10">
        <f t="shared" si="155"/>
        <v>0</v>
      </c>
      <c r="O2033" t="str">
        <f t="shared" si="159"/>
        <v/>
      </c>
      <c r="P2033" t="str">
        <f>IF(O2033=1,COUNTIF($O$2:O2033,1),"")</f>
        <v/>
      </c>
      <c r="Q2033" t="str">
        <f>IFERROR(INDEX($M$2:$M$2388,MATCH(ROWS($P$2:P2033),$P$2:$P$2388,0)),"")</f>
        <v/>
      </c>
    </row>
    <row r="2034" spans="1:17" ht="15" x14ac:dyDescent="0.25">
      <c r="A2034" s="10">
        <v>2035</v>
      </c>
      <c r="B2034" s="10" t="s">
        <v>6297</v>
      </c>
      <c r="C2034" s="880">
        <f t="shared" si="156"/>
        <v>-54.4</v>
      </c>
      <c r="D2034" s="880">
        <f t="shared" si="157"/>
        <v>5.6166</v>
      </c>
      <c r="E2034" s="10">
        <v>-54.400002000000001</v>
      </c>
      <c r="F2034" s="10">
        <v>5.6166669999999996</v>
      </c>
      <c r="G2034" s="10">
        <v>-3</v>
      </c>
      <c r="H2034" s="10" t="s">
        <v>1739</v>
      </c>
      <c r="I2034" s="10" t="s">
        <v>6298</v>
      </c>
      <c r="J2034" s="10" t="s">
        <v>6299</v>
      </c>
      <c r="K2034" s="10" t="s">
        <v>6300</v>
      </c>
      <c r="L2034" s="65" t="str">
        <f t="shared" si="158"/>
        <v>Moengo|Suriname|-54,400002|5,616667|-3:00 America</v>
      </c>
      <c r="M2034" s="10" t="s">
        <v>6301</v>
      </c>
      <c r="N2034" s="10">
        <f t="shared" si="155"/>
        <v>0</v>
      </c>
      <c r="O2034" t="str">
        <f t="shared" si="159"/>
        <v/>
      </c>
      <c r="P2034" t="str">
        <f>IF(O2034=1,COUNTIF($O$2:O2034,1),"")</f>
        <v/>
      </c>
      <c r="Q2034" t="str">
        <f>IFERROR(INDEX($M$2:$M$2388,MATCH(ROWS($P$2:P2034),$P$2:$P$2388,0)),"")</f>
        <v/>
      </c>
    </row>
    <row r="2035" spans="1:17" ht="15" x14ac:dyDescent="0.25">
      <c r="A2035" s="10">
        <v>2034</v>
      </c>
      <c r="B2035" s="10" t="s">
        <v>6302</v>
      </c>
      <c r="C2035" s="880">
        <f t="shared" si="156"/>
        <v>-56.9833</v>
      </c>
      <c r="D2035" s="880">
        <f t="shared" si="157"/>
        <v>5.95</v>
      </c>
      <c r="E2035" s="10">
        <v>-56.983333999999999</v>
      </c>
      <c r="F2035" s="10">
        <v>5.95</v>
      </c>
      <c r="G2035" s="10">
        <v>-3</v>
      </c>
      <c r="H2035" s="10" t="s">
        <v>1739</v>
      </c>
      <c r="I2035" s="10" t="s">
        <v>6298</v>
      </c>
      <c r="J2035" s="10" t="s">
        <v>6299</v>
      </c>
      <c r="K2035" s="10" t="s">
        <v>6300</v>
      </c>
      <c r="L2035" s="65" t="str">
        <f t="shared" si="158"/>
        <v>Nieuw Nickerie|Suriname|-56,983334|5,950000|-3:00 America</v>
      </c>
      <c r="M2035" s="10" t="s">
        <v>6303</v>
      </c>
      <c r="N2035" s="10">
        <f t="shared" si="155"/>
        <v>0</v>
      </c>
      <c r="O2035" t="str">
        <f t="shared" si="159"/>
        <v/>
      </c>
      <c r="P2035" t="str">
        <f>IF(O2035=1,COUNTIF($O$2:O2035,1),"")</f>
        <v/>
      </c>
      <c r="Q2035" t="str">
        <f>IFERROR(INDEX($M$2:$M$2388,MATCH(ROWS($P$2:P2035),$P$2:$P$2388,0)),"")</f>
        <v/>
      </c>
    </row>
    <row r="2036" spans="1:17" ht="15" x14ac:dyDescent="0.25">
      <c r="A2036" s="10">
        <v>2033</v>
      </c>
      <c r="B2036" s="10" t="s">
        <v>6304</v>
      </c>
      <c r="C2036" s="880">
        <f t="shared" si="156"/>
        <v>-55.166600000000003</v>
      </c>
      <c r="D2036" s="880">
        <f t="shared" si="157"/>
        <v>5.8333000000000004</v>
      </c>
      <c r="E2036" s="10">
        <v>-55.166668000000001</v>
      </c>
      <c r="F2036" s="10">
        <v>5.8333329999999997</v>
      </c>
      <c r="G2036" s="10">
        <v>-3</v>
      </c>
      <c r="H2036" s="10" t="s">
        <v>1739</v>
      </c>
      <c r="I2036" s="10" t="s">
        <v>6298</v>
      </c>
      <c r="J2036" s="10" t="s">
        <v>6299</v>
      </c>
      <c r="K2036" s="10" t="s">
        <v>6300</v>
      </c>
      <c r="L2036" s="65" t="str">
        <f t="shared" si="158"/>
        <v>Paramaribo|Suriname|-55,166668|5,833333|-3:00 America</v>
      </c>
      <c r="M2036" s="10" t="s">
        <v>6305</v>
      </c>
      <c r="N2036" s="10">
        <f t="shared" si="155"/>
        <v>0</v>
      </c>
      <c r="O2036" t="str">
        <f t="shared" si="159"/>
        <v/>
      </c>
      <c r="P2036" t="str">
        <f>IF(O2036=1,COUNTIF($O$2:O2036,1),"")</f>
        <v/>
      </c>
      <c r="Q2036" t="str">
        <f>IFERROR(INDEX($M$2:$M$2388,MATCH(ROWS($P$2:P2036),$P$2:$P$2388,0)),"")</f>
        <v/>
      </c>
    </row>
    <row r="2037" spans="1:17" ht="15" x14ac:dyDescent="0.25">
      <c r="A2037" s="10">
        <v>2053</v>
      </c>
      <c r="B2037" s="10" t="s">
        <v>6306</v>
      </c>
      <c r="C2037" s="880">
        <f t="shared" si="156"/>
        <v>31.85</v>
      </c>
      <c r="D2037" s="880">
        <f t="shared" si="157"/>
        <v>-26.033300000000001</v>
      </c>
      <c r="E2037" s="10">
        <v>31.85</v>
      </c>
      <c r="F2037" s="10">
        <v>-26.033332999999999</v>
      </c>
      <c r="G2037" s="10">
        <v>2</v>
      </c>
      <c r="H2037" s="10" t="s">
        <v>1938</v>
      </c>
      <c r="I2037" s="10" t="s">
        <v>6307</v>
      </c>
      <c r="J2037" s="10" t="s">
        <v>6308</v>
      </c>
      <c r="K2037" s="10" t="s">
        <v>6309</v>
      </c>
      <c r="L2037" s="65" t="str">
        <f t="shared" si="158"/>
        <v>Mhlume|Swaziland|31,850000|-26,033333|+2:00 Africa</v>
      </c>
      <c r="M2037" s="10" t="s">
        <v>6310</v>
      </c>
      <c r="N2037" s="10">
        <f t="shared" si="155"/>
        <v>0</v>
      </c>
      <c r="O2037" t="str">
        <f t="shared" si="159"/>
        <v/>
      </c>
      <c r="P2037" t="str">
        <f>IF(O2037=1,COUNTIF($O$2:O2037,1),"")</f>
        <v/>
      </c>
      <c r="Q2037" t="str">
        <f>IFERROR(INDEX($M$2:$M$2388,MATCH(ROWS($P$2:P2037),$P$2:$P$2388,0)),"")</f>
        <v/>
      </c>
    </row>
    <row r="2038" spans="1:17" ht="15" x14ac:dyDescent="0.25">
      <c r="A2038" s="10">
        <v>2052</v>
      </c>
      <c r="B2038" s="10" t="s">
        <v>6311</v>
      </c>
      <c r="C2038" s="880">
        <f t="shared" si="156"/>
        <v>31.25</v>
      </c>
      <c r="D2038" s="880">
        <f t="shared" si="157"/>
        <v>-25.9666</v>
      </c>
      <c r="E2038" s="10">
        <v>31.25</v>
      </c>
      <c r="F2038" s="10">
        <v>-25.966667000000001</v>
      </c>
      <c r="G2038" s="10">
        <v>2</v>
      </c>
      <c r="H2038" s="10" t="s">
        <v>1938</v>
      </c>
      <c r="I2038" s="10" t="s">
        <v>6307</v>
      </c>
      <c r="J2038" s="10" t="s">
        <v>6308</v>
      </c>
      <c r="K2038" s="10" t="s">
        <v>6309</v>
      </c>
      <c r="L2038" s="65" t="str">
        <f t="shared" si="158"/>
        <v>Piggs Peak|Swaziland|31,250000|-25,966667|+2:00 Africa</v>
      </c>
      <c r="M2038" s="10" t="s">
        <v>6312</v>
      </c>
      <c r="N2038" s="10">
        <f t="shared" si="155"/>
        <v>0</v>
      </c>
      <c r="O2038" t="str">
        <f t="shared" si="159"/>
        <v/>
      </c>
      <c r="P2038" t="str">
        <f>IF(O2038=1,COUNTIF($O$2:O2038,1),"")</f>
        <v/>
      </c>
      <c r="Q2038" t="str">
        <f>IFERROR(INDEX($M$2:$M$2388,MATCH(ROWS($P$2:P2038),$P$2:$P$2388,0)),"")</f>
        <v/>
      </c>
    </row>
    <row r="2039" spans="1:17" ht="15" x14ac:dyDescent="0.25">
      <c r="A2039" s="10">
        <v>2051</v>
      </c>
      <c r="B2039" s="10" t="s">
        <v>6313</v>
      </c>
      <c r="C2039" s="880">
        <f t="shared" si="156"/>
        <v>31.95</v>
      </c>
      <c r="D2039" s="880">
        <f t="shared" si="157"/>
        <v>-26.45</v>
      </c>
      <c r="E2039" s="10">
        <v>31.950001</v>
      </c>
      <c r="F2039" s="10">
        <v>-26.450001</v>
      </c>
      <c r="G2039" s="10">
        <v>2</v>
      </c>
      <c r="H2039" s="10" t="s">
        <v>1938</v>
      </c>
      <c r="I2039" s="10" t="s">
        <v>6307</v>
      </c>
      <c r="J2039" s="10" t="s">
        <v>6308</v>
      </c>
      <c r="K2039" s="10" t="s">
        <v>6309</v>
      </c>
      <c r="L2039" s="65" t="str">
        <f t="shared" si="158"/>
        <v>Siteki|Swaziland|31,950001|-26,450001|+2:00 Africa</v>
      </c>
      <c r="M2039" s="10" t="s">
        <v>6314</v>
      </c>
      <c r="N2039" s="10">
        <f t="shared" si="155"/>
        <v>0</v>
      </c>
      <c r="O2039" t="str">
        <f t="shared" si="159"/>
        <v/>
      </c>
      <c r="P2039" t="str">
        <f>IF(O2039=1,COUNTIF($O$2:O2039,1),"")</f>
        <v/>
      </c>
      <c r="Q2039" t="str">
        <f>IFERROR(INDEX($M$2:$M$2388,MATCH(ROWS($P$2:P2039),$P$2:$P$2388,0)),"")</f>
        <v/>
      </c>
    </row>
    <row r="2040" spans="1:17" ht="15" x14ac:dyDescent="0.25">
      <c r="A2040" s="10">
        <v>2003</v>
      </c>
      <c r="B2040" s="10" t="s">
        <v>6315</v>
      </c>
      <c r="C2040" s="880">
        <f t="shared" si="156"/>
        <v>11.9666</v>
      </c>
      <c r="D2040" s="880">
        <f t="shared" si="157"/>
        <v>57.7166</v>
      </c>
      <c r="E2040" s="10">
        <v>11.966666999999999</v>
      </c>
      <c r="F2040" s="10">
        <v>57.716667000000001</v>
      </c>
      <c r="G2040" s="10">
        <v>1</v>
      </c>
      <c r="H2040" s="10" t="s">
        <v>1670</v>
      </c>
      <c r="I2040" s="10" t="s">
        <v>6316</v>
      </c>
      <c r="J2040" s="10" t="s">
        <v>6317</v>
      </c>
      <c r="K2040" s="10" t="s">
        <v>6318</v>
      </c>
      <c r="L2040" s="65" t="str">
        <f t="shared" si="158"/>
        <v>Goteborg|Sweden|11,966667|57,716667|+1:00 Europe</v>
      </c>
      <c r="M2040" s="10" t="s">
        <v>6319</v>
      </c>
      <c r="N2040" s="10">
        <f t="shared" si="155"/>
        <v>0</v>
      </c>
      <c r="O2040" t="str">
        <f t="shared" si="159"/>
        <v/>
      </c>
      <c r="P2040" t="str">
        <f>IF(O2040=1,COUNTIF($O$2:O2040,1),"")</f>
        <v/>
      </c>
      <c r="Q2040" t="str">
        <f>IFERROR(INDEX($M$2:$M$2388,MATCH(ROWS($P$2:P2040),$P$2:$P$2388,0)),"")</f>
        <v/>
      </c>
    </row>
    <row r="2041" spans="1:17" ht="15" x14ac:dyDescent="0.25">
      <c r="A2041" s="10">
        <v>2002</v>
      </c>
      <c r="B2041" s="10" t="s">
        <v>6320</v>
      </c>
      <c r="C2041" s="880">
        <f t="shared" si="156"/>
        <v>13.0007</v>
      </c>
      <c r="D2041" s="880">
        <f t="shared" si="157"/>
        <v>55.605800000000002</v>
      </c>
      <c r="E2041" s="10">
        <v>13.000731</v>
      </c>
      <c r="F2041" s="10">
        <v>55.605868999999998</v>
      </c>
      <c r="G2041" s="10">
        <v>1</v>
      </c>
      <c r="H2041" s="10" t="s">
        <v>1670</v>
      </c>
      <c r="I2041" s="10" t="s">
        <v>6316</v>
      </c>
      <c r="J2041" s="10" t="s">
        <v>6317</v>
      </c>
      <c r="K2041" s="10" t="s">
        <v>6318</v>
      </c>
      <c r="L2041" s="65" t="str">
        <f t="shared" si="158"/>
        <v>Malmoe|Sweden|13,000731|55,605869|+1:00 Europe</v>
      </c>
      <c r="M2041" s="10" t="s">
        <v>6321</v>
      </c>
      <c r="N2041" s="10">
        <f t="shared" si="155"/>
        <v>0</v>
      </c>
      <c r="O2041" t="str">
        <f t="shared" si="159"/>
        <v/>
      </c>
      <c r="P2041" t="str">
        <f>IF(O2041=1,COUNTIF($O$2:O2041,1),"")</f>
        <v/>
      </c>
      <c r="Q2041" t="str">
        <f>IFERROR(INDEX($M$2:$M$2388,MATCH(ROWS($P$2:P2041),$P$2:$P$2388,0)),"")</f>
        <v/>
      </c>
    </row>
    <row r="2042" spans="1:17" ht="15" x14ac:dyDescent="0.25">
      <c r="A2042" s="10">
        <v>2000</v>
      </c>
      <c r="B2042" s="10" t="s">
        <v>6322</v>
      </c>
      <c r="C2042" s="880">
        <f t="shared" si="156"/>
        <v>21.5</v>
      </c>
      <c r="D2042" s="880">
        <f t="shared" si="157"/>
        <v>65.333299999999994</v>
      </c>
      <c r="E2042" s="10">
        <v>21.5</v>
      </c>
      <c r="F2042" s="10">
        <v>65.333336000000003</v>
      </c>
      <c r="G2042" s="10">
        <v>1</v>
      </c>
      <c r="H2042" s="10" t="s">
        <v>1670</v>
      </c>
      <c r="I2042" s="10" t="s">
        <v>6316</v>
      </c>
      <c r="J2042" s="10" t="s">
        <v>6317</v>
      </c>
      <c r="K2042" s="10" t="s">
        <v>6318</v>
      </c>
      <c r="L2042" s="65" t="str">
        <f t="shared" si="158"/>
        <v>Pitea|Sweden|21,500000|65,333336|+1:00 Europe</v>
      </c>
      <c r="M2042" s="10" t="s">
        <v>6323</v>
      </c>
      <c r="N2042" s="10">
        <f t="shared" si="155"/>
        <v>0</v>
      </c>
      <c r="O2042" t="str">
        <f t="shared" si="159"/>
        <v/>
      </c>
      <c r="P2042" t="str">
        <f>IF(O2042=1,COUNTIF($O$2:O2042,1),"")</f>
        <v/>
      </c>
      <c r="Q2042" t="str">
        <f>IFERROR(INDEX($M$2:$M$2388,MATCH(ROWS($P$2:P2042),$P$2:$P$2388,0)),"")</f>
        <v/>
      </c>
    </row>
    <row r="2043" spans="1:17" ht="15" x14ac:dyDescent="0.25">
      <c r="A2043" s="10">
        <v>1999</v>
      </c>
      <c r="B2043" s="10" t="s">
        <v>6324</v>
      </c>
      <c r="C2043" s="880">
        <f t="shared" si="156"/>
        <v>20.95</v>
      </c>
      <c r="D2043" s="880">
        <f t="shared" si="157"/>
        <v>64.766599999999997</v>
      </c>
      <c r="E2043" s="10">
        <v>20.950001</v>
      </c>
      <c r="F2043" s="10">
        <v>64.766670000000005</v>
      </c>
      <c r="G2043" s="10">
        <v>1</v>
      </c>
      <c r="H2043" s="10" t="s">
        <v>1670</v>
      </c>
      <c r="I2043" s="10" t="s">
        <v>6316</v>
      </c>
      <c r="J2043" s="10" t="s">
        <v>6317</v>
      </c>
      <c r="K2043" s="10" t="s">
        <v>6318</v>
      </c>
      <c r="L2043" s="65" t="str">
        <f t="shared" si="158"/>
        <v>Skelleftea|Sweden|20,950001|64,766670|+1:00 Europe</v>
      </c>
      <c r="M2043" s="10" t="s">
        <v>6325</v>
      </c>
      <c r="N2043" s="10">
        <f t="shared" si="155"/>
        <v>0</v>
      </c>
      <c r="O2043" t="str">
        <f t="shared" si="159"/>
        <v/>
      </c>
      <c r="P2043" t="str">
        <f>IF(O2043=1,COUNTIF($O$2:O2043,1),"")</f>
        <v/>
      </c>
      <c r="Q2043" t="str">
        <f>IFERROR(INDEX($M$2:$M$2388,MATCH(ROWS($P$2:P2043),$P$2:$P$2388,0)),"")</f>
        <v/>
      </c>
    </row>
    <row r="2044" spans="1:17" ht="15" x14ac:dyDescent="0.25">
      <c r="A2044" s="10">
        <v>2001</v>
      </c>
      <c r="B2044" s="10" t="s">
        <v>6326</v>
      </c>
      <c r="C2044" s="880">
        <f t="shared" si="156"/>
        <v>18.0626</v>
      </c>
      <c r="D2044" s="880">
        <f t="shared" si="157"/>
        <v>59.3294</v>
      </c>
      <c r="E2044" s="10">
        <v>18.062639000000001</v>
      </c>
      <c r="F2044" s="10">
        <v>59.329467999999999</v>
      </c>
      <c r="G2044" s="10">
        <v>1</v>
      </c>
      <c r="H2044" s="10" t="s">
        <v>1670</v>
      </c>
      <c r="I2044" s="10" t="s">
        <v>6316</v>
      </c>
      <c r="J2044" s="10" t="s">
        <v>6317</v>
      </c>
      <c r="K2044" s="10" t="s">
        <v>6318</v>
      </c>
      <c r="L2044" s="65" t="str">
        <f t="shared" si="158"/>
        <v>Stockholm|Sweden|18,062639|59,329468|+1:00 Europe</v>
      </c>
      <c r="M2044" s="10" t="s">
        <v>6327</v>
      </c>
      <c r="N2044" s="10">
        <f t="shared" si="155"/>
        <v>0</v>
      </c>
      <c r="O2044" t="str">
        <f t="shared" si="159"/>
        <v/>
      </c>
      <c r="P2044" t="str">
        <f>IF(O2044=1,COUNTIF($O$2:O2044,1),"")</f>
        <v/>
      </c>
      <c r="Q2044" t="str">
        <f>IFERROR(INDEX($M$2:$M$2388,MATCH(ROWS($P$2:P2044),$P$2:$P$2388,0)),"")</f>
        <v/>
      </c>
    </row>
    <row r="2045" spans="1:17" ht="15" x14ac:dyDescent="0.25">
      <c r="A2045" s="10">
        <v>1998</v>
      </c>
      <c r="B2045" s="10" t="s">
        <v>6328</v>
      </c>
      <c r="C2045" s="880">
        <f t="shared" si="156"/>
        <v>20.25</v>
      </c>
      <c r="D2045" s="880">
        <f t="shared" si="157"/>
        <v>63.833300000000001</v>
      </c>
      <c r="E2045" s="10">
        <v>20.25</v>
      </c>
      <c r="F2045" s="10">
        <v>63.833331999999999</v>
      </c>
      <c r="G2045" s="10">
        <v>1</v>
      </c>
      <c r="H2045" s="10" t="s">
        <v>1670</v>
      </c>
      <c r="I2045" s="10" t="s">
        <v>6316</v>
      </c>
      <c r="J2045" s="10" t="s">
        <v>6317</v>
      </c>
      <c r="K2045" s="10" t="s">
        <v>6318</v>
      </c>
      <c r="L2045" s="65" t="str">
        <f t="shared" si="158"/>
        <v>Umea|Sweden|20,250000|63,833332|+1:00 Europe</v>
      </c>
      <c r="M2045" s="10" t="s">
        <v>6329</v>
      </c>
      <c r="N2045" s="10">
        <f t="shared" si="155"/>
        <v>0</v>
      </c>
      <c r="O2045" t="str">
        <f t="shared" si="159"/>
        <v/>
      </c>
      <c r="P2045" t="str">
        <f>IF(O2045=1,COUNTIF($O$2:O2045,1),"")</f>
        <v/>
      </c>
      <c r="Q2045" t="str">
        <f>IFERROR(INDEX($M$2:$M$2388,MATCH(ROWS($P$2:P2045),$P$2:$P$2388,0)),"")</f>
        <v/>
      </c>
    </row>
    <row r="2046" spans="1:17" ht="15" x14ac:dyDescent="0.25">
      <c r="A2046" s="10">
        <v>330</v>
      </c>
      <c r="B2046" s="10" t="s">
        <v>6330</v>
      </c>
      <c r="C2046" s="880">
        <f t="shared" si="156"/>
        <v>7.5663999999999998</v>
      </c>
      <c r="D2046" s="880">
        <f t="shared" si="157"/>
        <v>47.201700000000002</v>
      </c>
      <c r="E2046" s="10">
        <v>7.5664899999999999</v>
      </c>
      <c r="F2046" s="10">
        <v>47.201725000000003</v>
      </c>
      <c r="G2046" s="10">
        <v>1</v>
      </c>
      <c r="H2046" s="10" t="s">
        <v>1670</v>
      </c>
      <c r="I2046" s="10" t="s">
        <v>6331</v>
      </c>
      <c r="J2046" s="10" t="s">
        <v>6332</v>
      </c>
      <c r="K2046" s="10" t="s">
        <v>6333</v>
      </c>
      <c r="L2046" s="65" t="str">
        <f t="shared" si="158"/>
        <v>Zuchwil|Switzerland|7,566490|47,201725|+1:00 Europe</v>
      </c>
      <c r="M2046" s="10" t="s">
        <v>6334</v>
      </c>
      <c r="N2046" s="10">
        <f t="shared" si="155"/>
        <v>0</v>
      </c>
      <c r="O2046" t="str">
        <f t="shared" si="159"/>
        <v/>
      </c>
      <c r="P2046" t="str">
        <f>IF(O2046=1,COUNTIF($O$2:O2046,1),"")</f>
        <v/>
      </c>
      <c r="Q2046" t="str">
        <f>IFERROR(INDEX($M$2:$M$2388,MATCH(ROWS($P$2:P2046),$P$2:$P$2388,0)),"")</f>
        <v/>
      </c>
    </row>
    <row r="2047" spans="1:17" ht="15" x14ac:dyDescent="0.25">
      <c r="A2047" s="10">
        <v>329</v>
      </c>
      <c r="B2047" s="10" t="s">
        <v>6335</v>
      </c>
      <c r="C2047" s="880">
        <f t="shared" si="156"/>
        <v>8.5166000000000004</v>
      </c>
      <c r="D2047" s="880">
        <f t="shared" si="157"/>
        <v>47.166600000000003</v>
      </c>
      <c r="E2047" s="10">
        <v>8.5166660000000007</v>
      </c>
      <c r="F2047" s="10">
        <v>47.166668000000001</v>
      </c>
      <c r="G2047" s="10">
        <v>1</v>
      </c>
      <c r="H2047" s="10" t="s">
        <v>1670</v>
      </c>
      <c r="I2047" s="10" t="s">
        <v>6331</v>
      </c>
      <c r="J2047" s="10" t="s">
        <v>6332</v>
      </c>
      <c r="K2047" s="10" t="s">
        <v>6333</v>
      </c>
      <c r="L2047" s="65" t="str">
        <f t="shared" si="158"/>
        <v>Zug|Switzerland|8,516666|47,166668|+1:00 Europe</v>
      </c>
      <c r="M2047" s="10" t="s">
        <v>6336</v>
      </c>
      <c r="N2047" s="10">
        <f t="shared" si="155"/>
        <v>0</v>
      </c>
      <c r="O2047" t="str">
        <f t="shared" si="159"/>
        <v/>
      </c>
      <c r="P2047" t="str">
        <f>IF(O2047=1,COUNTIF($O$2:O2047,1),"")</f>
        <v/>
      </c>
      <c r="Q2047" t="str">
        <f>IFERROR(INDEX($M$2:$M$2388,MATCH(ROWS($P$2:P2047),$P$2:$P$2388,0)),"")</f>
        <v/>
      </c>
    </row>
    <row r="2048" spans="1:17" ht="15" x14ac:dyDescent="0.25">
      <c r="A2048" s="10">
        <v>328</v>
      </c>
      <c r="B2048" s="10" t="s">
        <v>6337</v>
      </c>
      <c r="C2048" s="880">
        <f t="shared" si="156"/>
        <v>8.5500000000000007</v>
      </c>
      <c r="D2048" s="880">
        <f t="shared" si="157"/>
        <v>47.366599999999998</v>
      </c>
      <c r="E2048" s="10">
        <v>8.5500000000000007</v>
      </c>
      <c r="F2048" s="10">
        <v>47.366664999999998</v>
      </c>
      <c r="G2048" s="10">
        <v>1</v>
      </c>
      <c r="H2048" s="10" t="s">
        <v>1670</v>
      </c>
      <c r="I2048" s="10" t="s">
        <v>6331</v>
      </c>
      <c r="J2048" s="10" t="s">
        <v>6332</v>
      </c>
      <c r="K2048" s="10" t="s">
        <v>6333</v>
      </c>
      <c r="L2048" s="65" t="str">
        <f t="shared" si="158"/>
        <v>Zurich|Switzerland|8,550000|47,366665|+1:00 Europe</v>
      </c>
      <c r="M2048" s="10" t="s">
        <v>6338</v>
      </c>
      <c r="N2048" s="10">
        <f t="shared" si="155"/>
        <v>0</v>
      </c>
      <c r="O2048" t="str">
        <f t="shared" si="159"/>
        <v/>
      </c>
      <c r="P2048" t="str">
        <f>IF(O2048=1,COUNTIF($O$2:O2048,1),"")</f>
        <v/>
      </c>
      <c r="Q2048" t="str">
        <f>IFERROR(INDEX($M$2:$M$2388,MATCH(ROWS($P$2:P2048),$P$2:$P$2388,0)),"")</f>
        <v/>
      </c>
    </row>
    <row r="2049" spans="1:17" ht="15" x14ac:dyDescent="0.25">
      <c r="A2049" s="10">
        <v>2047</v>
      </c>
      <c r="B2049" s="10" t="s">
        <v>6339</v>
      </c>
      <c r="C2049" s="880">
        <f t="shared" si="156"/>
        <v>37.1586</v>
      </c>
      <c r="D2049" s="880">
        <f t="shared" si="157"/>
        <v>36.2027</v>
      </c>
      <c r="E2049" s="10">
        <v>37.158611000000001</v>
      </c>
      <c r="F2049" s="10">
        <v>36.202778000000002</v>
      </c>
      <c r="G2049" s="10">
        <v>2</v>
      </c>
      <c r="H2049" s="10" t="s">
        <v>1938</v>
      </c>
      <c r="I2049" s="10" t="s">
        <v>6340</v>
      </c>
      <c r="J2049" s="10" t="s">
        <v>6341</v>
      </c>
      <c r="K2049" s="10" t="s">
        <v>6342</v>
      </c>
      <c r="L2049" s="65" t="str">
        <f t="shared" si="158"/>
        <v>Aleppo|Syria|37,158611|36,202778|+2:00 Asia</v>
      </c>
      <c r="M2049" s="10" t="s">
        <v>6343</v>
      </c>
      <c r="N2049" s="10">
        <f t="shared" si="155"/>
        <v>0</v>
      </c>
      <c r="O2049" t="str">
        <f t="shared" si="159"/>
        <v/>
      </c>
      <c r="P2049" t="str">
        <f>IF(O2049=1,COUNTIF($O$2:O2049,1),"")</f>
        <v/>
      </c>
      <c r="Q2049" t="str">
        <f>IFERROR(INDEX($M$2:$M$2388,MATCH(ROWS($P$2:P2049),$P$2:$P$2388,0)),"")</f>
        <v/>
      </c>
    </row>
    <row r="2050" spans="1:17" ht="15" x14ac:dyDescent="0.25">
      <c r="A2050" s="10">
        <v>2048</v>
      </c>
      <c r="B2050" s="10" t="s">
        <v>6344</v>
      </c>
      <c r="C2050" s="880">
        <f t="shared" si="156"/>
        <v>36.299900000000001</v>
      </c>
      <c r="D2050" s="880">
        <f t="shared" si="157"/>
        <v>33.5</v>
      </c>
      <c r="E2050" s="10">
        <v>36.299999</v>
      </c>
      <c r="F2050" s="10">
        <v>33.5</v>
      </c>
      <c r="G2050" s="10">
        <v>2</v>
      </c>
      <c r="H2050" s="10" t="s">
        <v>1938</v>
      </c>
      <c r="I2050" s="10" t="s">
        <v>6340</v>
      </c>
      <c r="J2050" s="10" t="s">
        <v>6341</v>
      </c>
      <c r="K2050" s="10" t="s">
        <v>6342</v>
      </c>
      <c r="L2050" s="65" t="str">
        <f t="shared" si="158"/>
        <v>Damascus|Syria|36,299999|33,500000|+2:00 Asia</v>
      </c>
      <c r="M2050" s="10" t="s">
        <v>6345</v>
      </c>
      <c r="N2050" s="10">
        <f t="shared" ref="N2050:N2113" si="160">--ISNUMBER(IFERROR(SEARCH($R$2,J2050,1),""))</f>
        <v>0</v>
      </c>
      <c r="O2050" t="str">
        <f t="shared" si="159"/>
        <v/>
      </c>
      <c r="P2050" t="str">
        <f>IF(O2050=1,COUNTIF($O$2:O2050,1),"")</f>
        <v/>
      </c>
      <c r="Q2050" t="str">
        <f>IFERROR(INDEX($M$2:$M$2388,MATCH(ROWS($P$2:P2050),$P$2:$P$2388,0)),"")</f>
        <v/>
      </c>
    </row>
    <row r="2051" spans="1:17" ht="15" x14ac:dyDescent="0.25">
      <c r="A2051" s="10">
        <v>2049</v>
      </c>
      <c r="B2051" s="10" t="s">
        <v>6346</v>
      </c>
      <c r="C2051" s="880">
        <f t="shared" ref="C2051:C2114" si="161">TRUNC(E2051,4)</f>
        <v>40.15</v>
      </c>
      <c r="D2051" s="880">
        <f t="shared" ref="D2051:D2114" si="162">TRUNC(F2051,4)</f>
        <v>35.333300000000001</v>
      </c>
      <c r="E2051" s="10">
        <v>40.150002000000001</v>
      </c>
      <c r="F2051" s="10">
        <v>35.333331999999999</v>
      </c>
      <c r="G2051" s="10">
        <v>2</v>
      </c>
      <c r="H2051" s="10" t="s">
        <v>1938</v>
      </c>
      <c r="I2051" s="10" t="s">
        <v>6340</v>
      </c>
      <c r="J2051" s="10" t="s">
        <v>6341</v>
      </c>
      <c r="K2051" s="10" t="s">
        <v>6342</v>
      </c>
      <c r="L2051" s="65" t="str">
        <f t="shared" ref="L2051:L2114" si="163">MID(M2051,1,LEN(M2051)-(LEN(K2051)-SEARCH("/",K2051)+1))</f>
        <v>Dayr az Zawr|Syria|40,150002|35,333332|+2:00 Asia</v>
      </c>
      <c r="M2051" s="10" t="s">
        <v>6347</v>
      </c>
      <c r="N2051" s="10">
        <f t="shared" si="160"/>
        <v>0</v>
      </c>
      <c r="O2051" t="str">
        <f t="shared" ref="O2051:O2114" si="164">IF(N2051=0,"",--ISNUMBER(IFERROR(SEARCH($U$2,L2051,1),"")))</f>
        <v/>
      </c>
      <c r="P2051" t="str">
        <f>IF(O2051=1,COUNTIF($O$2:O2051,1),"")</f>
        <v/>
      </c>
      <c r="Q2051" t="str">
        <f>IFERROR(INDEX($M$2:$M$2388,MATCH(ROWS($P$2:P2051),$P$2:$P$2388,0)),"")</f>
        <v/>
      </c>
    </row>
    <row r="2052" spans="1:17" ht="15" x14ac:dyDescent="0.25">
      <c r="A2052" s="10">
        <v>2046</v>
      </c>
      <c r="B2052" s="10" t="s">
        <v>6348</v>
      </c>
      <c r="C2052" s="880">
        <f t="shared" si="161"/>
        <v>36.75</v>
      </c>
      <c r="D2052" s="880">
        <f t="shared" si="162"/>
        <v>35.133299999999998</v>
      </c>
      <c r="E2052" s="10">
        <v>36.75</v>
      </c>
      <c r="F2052" s="10">
        <v>35.133335000000002</v>
      </c>
      <c r="G2052" s="10">
        <v>2</v>
      </c>
      <c r="H2052" s="10" t="s">
        <v>1938</v>
      </c>
      <c r="I2052" s="10" t="s">
        <v>6340</v>
      </c>
      <c r="J2052" s="10" t="s">
        <v>6341</v>
      </c>
      <c r="K2052" s="10" t="s">
        <v>6342</v>
      </c>
      <c r="L2052" s="65" t="str">
        <f t="shared" si="163"/>
        <v>Hamah|Syria|36,750000|35,133335|+2:00 Asia</v>
      </c>
      <c r="M2052" s="10" t="s">
        <v>6349</v>
      </c>
      <c r="N2052" s="10">
        <f t="shared" si="160"/>
        <v>0</v>
      </c>
      <c r="O2052" t="str">
        <f t="shared" si="164"/>
        <v/>
      </c>
      <c r="P2052" t="str">
        <f>IF(O2052=1,COUNTIF($O$2:O2052,1),"")</f>
        <v/>
      </c>
      <c r="Q2052" t="str">
        <f>IFERROR(INDEX($M$2:$M$2388,MATCH(ROWS($P$2:P2052),$P$2:$P$2388,0)),"")</f>
        <v/>
      </c>
    </row>
    <row r="2053" spans="1:17" ht="15" x14ac:dyDescent="0.25">
      <c r="A2053" s="10">
        <v>2045</v>
      </c>
      <c r="B2053" s="10" t="s">
        <v>6350</v>
      </c>
      <c r="C2053" s="880">
        <f t="shared" si="161"/>
        <v>36.7166</v>
      </c>
      <c r="D2053" s="880">
        <f t="shared" si="162"/>
        <v>34.7333</v>
      </c>
      <c r="E2053" s="10">
        <v>36.716667000000001</v>
      </c>
      <c r="F2053" s="10">
        <v>34.733333999999999</v>
      </c>
      <c r="G2053" s="10">
        <v>2</v>
      </c>
      <c r="H2053" s="10" t="s">
        <v>1938</v>
      </c>
      <c r="I2053" s="10" t="s">
        <v>6340</v>
      </c>
      <c r="J2053" s="10" t="s">
        <v>6341</v>
      </c>
      <c r="K2053" s="10" t="s">
        <v>6342</v>
      </c>
      <c r="L2053" s="65" t="str">
        <f t="shared" si="163"/>
        <v>Hims|Syria|36,716667|34,733334|+2:00 Asia</v>
      </c>
      <c r="M2053" s="10" t="s">
        <v>6351</v>
      </c>
      <c r="N2053" s="10">
        <f t="shared" si="160"/>
        <v>0</v>
      </c>
      <c r="O2053" t="str">
        <f t="shared" si="164"/>
        <v/>
      </c>
      <c r="P2053" t="str">
        <f>IF(O2053=1,COUNTIF($O$2:O2053,1),"")</f>
        <v/>
      </c>
      <c r="Q2053" t="str">
        <f>IFERROR(INDEX($M$2:$M$2388,MATCH(ROWS($P$2:P2053),$P$2:$P$2388,0)),"")</f>
        <v/>
      </c>
    </row>
    <row r="2054" spans="1:17" ht="15" x14ac:dyDescent="0.25">
      <c r="A2054" s="10">
        <v>2050</v>
      </c>
      <c r="B2054" s="10" t="s">
        <v>6352</v>
      </c>
      <c r="C2054" s="880">
        <f t="shared" si="161"/>
        <v>35.783299999999997</v>
      </c>
      <c r="D2054" s="880">
        <f t="shared" si="162"/>
        <v>35.516599999999997</v>
      </c>
      <c r="E2054" s="10">
        <v>35.783332999999999</v>
      </c>
      <c r="F2054" s="10">
        <v>35.516666000000001</v>
      </c>
      <c r="G2054" s="10">
        <v>2</v>
      </c>
      <c r="H2054" s="10" t="s">
        <v>1938</v>
      </c>
      <c r="I2054" s="10" t="s">
        <v>6340</v>
      </c>
      <c r="J2054" s="10" t="s">
        <v>6341</v>
      </c>
      <c r="K2054" s="10" t="s">
        <v>6342</v>
      </c>
      <c r="L2054" s="65" t="str">
        <f t="shared" si="163"/>
        <v>Latakia|Syria|35,783333|35,516666|+2:00 Asia</v>
      </c>
      <c r="M2054" s="10" t="s">
        <v>6353</v>
      </c>
      <c r="N2054" s="10">
        <f t="shared" si="160"/>
        <v>0</v>
      </c>
      <c r="O2054" t="str">
        <f t="shared" si="164"/>
        <v/>
      </c>
      <c r="P2054" t="str">
        <f>IF(O2054=1,COUNTIF($O$2:O2054,1),"")</f>
        <v/>
      </c>
      <c r="Q2054" t="str">
        <f>IFERROR(INDEX($M$2:$M$2388,MATCH(ROWS($P$2:P2054),$P$2:$P$2388,0)),"")</f>
        <v/>
      </c>
    </row>
    <row r="2055" spans="1:17" ht="15" x14ac:dyDescent="0.25">
      <c r="A2055" s="10">
        <v>2044</v>
      </c>
      <c r="B2055" s="10" t="s">
        <v>6354</v>
      </c>
      <c r="C2055" s="880">
        <f t="shared" si="161"/>
        <v>35.883299999999998</v>
      </c>
      <c r="D2055" s="880">
        <f t="shared" si="162"/>
        <v>34.883299999999998</v>
      </c>
      <c r="E2055" s="10">
        <v>35.883335000000002</v>
      </c>
      <c r="F2055" s="10">
        <v>34.883335000000002</v>
      </c>
      <c r="G2055" s="10">
        <v>2</v>
      </c>
      <c r="H2055" s="10" t="s">
        <v>1938</v>
      </c>
      <c r="I2055" s="10" t="s">
        <v>6340</v>
      </c>
      <c r="J2055" s="10" t="s">
        <v>6341</v>
      </c>
      <c r="K2055" s="10" t="s">
        <v>6342</v>
      </c>
      <c r="L2055" s="65" t="str">
        <f t="shared" si="163"/>
        <v>Tartus|Syria|35,883335|34,883335|+2:00 Asia</v>
      </c>
      <c r="M2055" s="10" t="s">
        <v>6355</v>
      </c>
      <c r="N2055" s="10">
        <f t="shared" si="160"/>
        <v>0</v>
      </c>
      <c r="O2055" t="str">
        <f t="shared" si="164"/>
        <v/>
      </c>
      <c r="P2055" t="str">
        <f>IF(O2055=1,COUNTIF($O$2:O2055,1),"")</f>
        <v/>
      </c>
      <c r="Q2055" t="str">
        <f>IFERROR(INDEX($M$2:$M$2388,MATCH(ROWS($P$2:P2055),$P$2:$P$2388,0)),"")</f>
        <v/>
      </c>
    </row>
    <row r="2056" spans="1:17" ht="15" x14ac:dyDescent="0.25">
      <c r="A2056" s="10">
        <v>2043</v>
      </c>
      <c r="B2056" s="10" t="s">
        <v>6356</v>
      </c>
      <c r="C2056" s="880">
        <f t="shared" si="161"/>
        <v>36.7166</v>
      </c>
      <c r="D2056" s="880">
        <f t="shared" si="162"/>
        <v>35.266599999999997</v>
      </c>
      <c r="E2056" s="10">
        <v>36.716667000000001</v>
      </c>
      <c r="F2056" s="10">
        <v>35.266666000000001</v>
      </c>
      <c r="G2056" s="10">
        <v>2</v>
      </c>
      <c r="H2056" s="10" t="s">
        <v>1938</v>
      </c>
      <c r="I2056" s="10" t="s">
        <v>6340</v>
      </c>
      <c r="J2056" s="10" t="s">
        <v>6341</v>
      </c>
      <c r="K2056" s="10" t="s">
        <v>6342</v>
      </c>
      <c r="L2056" s="65" t="str">
        <f t="shared" si="163"/>
        <v>Tayyibat al Imam|Syria|36,716667|35,266666|+2:00 Asia</v>
      </c>
      <c r="M2056" s="10" t="s">
        <v>6357</v>
      </c>
      <c r="N2056" s="10">
        <f t="shared" si="160"/>
        <v>0</v>
      </c>
      <c r="O2056" t="str">
        <f t="shared" si="164"/>
        <v/>
      </c>
      <c r="P2056" t="str">
        <f>IF(O2056=1,COUNTIF($O$2:O2056,1),"")</f>
        <v/>
      </c>
      <c r="Q2056" t="str">
        <f>IFERROR(INDEX($M$2:$M$2388,MATCH(ROWS($P$2:P2056),$P$2:$P$2388,0)),"")</f>
        <v/>
      </c>
    </row>
    <row r="2057" spans="1:17" ht="15" x14ac:dyDescent="0.25">
      <c r="A2057" s="10">
        <v>2042</v>
      </c>
      <c r="B2057" s="10" t="s">
        <v>6358</v>
      </c>
      <c r="C2057" s="880">
        <f t="shared" si="161"/>
        <v>36.666600000000003</v>
      </c>
      <c r="D2057" s="880">
        <f t="shared" si="162"/>
        <v>33.9666</v>
      </c>
      <c r="E2057" s="10">
        <v>36.666668000000001</v>
      </c>
      <c r="F2057" s="10">
        <v>33.966667000000001</v>
      </c>
      <c r="G2057" s="10">
        <v>2</v>
      </c>
      <c r="H2057" s="10" t="s">
        <v>1938</v>
      </c>
      <c r="I2057" s="10" t="s">
        <v>6340</v>
      </c>
      <c r="J2057" s="10" t="s">
        <v>6341</v>
      </c>
      <c r="K2057" s="10" t="s">
        <v>6342</v>
      </c>
      <c r="L2057" s="65" t="str">
        <f t="shared" si="163"/>
        <v>Yabrud|Syria|36,666668|33,966667|+2:00 Asia</v>
      </c>
      <c r="M2057" s="10" t="s">
        <v>6359</v>
      </c>
      <c r="N2057" s="10">
        <f t="shared" si="160"/>
        <v>0</v>
      </c>
      <c r="O2057" t="str">
        <f t="shared" si="164"/>
        <v/>
      </c>
      <c r="P2057" t="str">
        <f>IF(O2057=1,COUNTIF($O$2:O2057,1),"")</f>
        <v/>
      </c>
      <c r="Q2057" t="str">
        <f>IFERROR(INDEX($M$2:$M$2388,MATCH(ROWS($P$2:P2057),$P$2:$P$2388,0)),"")</f>
        <v/>
      </c>
    </row>
    <row r="2058" spans="1:17" ht="15" x14ac:dyDescent="0.25">
      <c r="A2058" s="10">
        <v>1738</v>
      </c>
      <c r="B2058" s="10" t="s">
        <v>6360</v>
      </c>
      <c r="C2058" s="880">
        <f t="shared" si="161"/>
        <v>-149.56659999999999</v>
      </c>
      <c r="D2058" s="880">
        <f t="shared" si="162"/>
        <v>-17.533300000000001</v>
      </c>
      <c r="E2058" s="10">
        <v>-149.566666</v>
      </c>
      <c r="F2058" s="10">
        <v>-17.533332999999999</v>
      </c>
      <c r="G2058" s="10">
        <v>-10</v>
      </c>
      <c r="H2058" s="10" t="s">
        <v>3017</v>
      </c>
      <c r="I2058" s="10" t="s">
        <v>6361</v>
      </c>
      <c r="J2058" s="10" t="s">
        <v>6362</v>
      </c>
      <c r="K2058" s="10" t="s">
        <v>6363</v>
      </c>
      <c r="L2058" s="65" t="str">
        <f t="shared" si="163"/>
        <v>Papeete|Tahiti|-149,566666|-17,533333|-10:00 Pacific</v>
      </c>
      <c r="M2058" s="10" t="s">
        <v>6364</v>
      </c>
      <c r="N2058" s="10">
        <f t="shared" si="160"/>
        <v>0</v>
      </c>
      <c r="O2058" t="str">
        <f t="shared" si="164"/>
        <v/>
      </c>
      <c r="P2058" t="str">
        <f>IF(O2058=1,COUNTIF($O$2:O2058,1),"")</f>
        <v/>
      </c>
      <c r="Q2058" t="str">
        <f>IFERROR(INDEX($M$2:$M$2388,MATCH(ROWS($P$2:P2058),$P$2:$P$2388,0)),"")</f>
        <v/>
      </c>
    </row>
    <row r="2059" spans="1:17" ht="15" x14ac:dyDescent="0.25">
      <c r="A2059" s="10">
        <v>1737</v>
      </c>
      <c r="B2059" s="10" t="s">
        <v>6365</v>
      </c>
      <c r="C2059" s="880">
        <f t="shared" si="161"/>
        <v>-149.5333</v>
      </c>
      <c r="D2059" s="880">
        <f t="shared" si="162"/>
        <v>-17.5166</v>
      </c>
      <c r="E2059" s="10">
        <v>-149.53334000000001</v>
      </c>
      <c r="F2059" s="10">
        <v>-17.516666000000001</v>
      </c>
      <c r="G2059" s="10">
        <v>-10</v>
      </c>
      <c r="H2059" s="10" t="s">
        <v>3017</v>
      </c>
      <c r="I2059" s="10" t="s">
        <v>6361</v>
      </c>
      <c r="J2059" s="10" t="s">
        <v>6362</v>
      </c>
      <c r="K2059" s="10" t="s">
        <v>6363</v>
      </c>
      <c r="L2059" s="65" t="str">
        <f t="shared" si="163"/>
        <v>Pirae|Tahiti|-149,533340|-17,516666|-10:00 Pacific</v>
      </c>
      <c r="M2059" s="10" t="s">
        <v>6366</v>
      </c>
      <c r="N2059" s="10">
        <f t="shared" si="160"/>
        <v>0</v>
      </c>
      <c r="O2059" t="str">
        <f t="shared" si="164"/>
        <v/>
      </c>
      <c r="P2059" t="str">
        <f>IF(O2059=1,COUNTIF($O$2:O2059,1),"")</f>
        <v/>
      </c>
      <c r="Q2059" t="str">
        <f>IFERROR(INDEX($M$2:$M$2388,MATCH(ROWS($P$2:P2059),$P$2:$P$2388,0)),"")</f>
        <v/>
      </c>
    </row>
    <row r="2060" spans="1:17" ht="15" x14ac:dyDescent="0.25">
      <c r="A2060" s="10">
        <v>1736</v>
      </c>
      <c r="B2060" s="10" t="s">
        <v>6367</v>
      </c>
      <c r="C2060" s="880">
        <f t="shared" si="161"/>
        <v>-149.6</v>
      </c>
      <c r="D2060" s="880">
        <f t="shared" si="162"/>
        <v>-17.633299999999998</v>
      </c>
      <c r="E2060" s="10">
        <v>-149.60000600000001</v>
      </c>
      <c r="F2060" s="10">
        <v>-17.633333</v>
      </c>
      <c r="G2060" s="10">
        <v>-10</v>
      </c>
      <c r="H2060" s="10" t="s">
        <v>3017</v>
      </c>
      <c r="I2060" s="10" t="s">
        <v>6361</v>
      </c>
      <c r="J2060" s="10" t="s">
        <v>6362</v>
      </c>
      <c r="K2060" s="10" t="s">
        <v>6363</v>
      </c>
      <c r="L2060" s="65" t="str">
        <f t="shared" si="163"/>
        <v>Punaauia|Tahiti|-149,600006|-17,633333|-10:00 Pacific</v>
      </c>
      <c r="M2060" s="10" t="s">
        <v>6368</v>
      </c>
      <c r="N2060" s="10">
        <f t="shared" si="160"/>
        <v>0</v>
      </c>
      <c r="O2060" t="str">
        <f t="shared" si="164"/>
        <v/>
      </c>
      <c r="P2060" t="str">
        <f>IF(O2060=1,COUNTIF($O$2:O2060,1),"")</f>
        <v/>
      </c>
      <c r="Q2060" t="str">
        <f>IFERROR(INDEX($M$2:$M$2388,MATCH(ROWS($P$2:P2060),$P$2:$P$2388,0)),"")</f>
        <v/>
      </c>
    </row>
    <row r="2061" spans="1:17" ht="15" x14ac:dyDescent="0.25">
      <c r="A2061" s="10">
        <v>2132</v>
      </c>
      <c r="B2061" s="10" t="s">
        <v>6369</v>
      </c>
      <c r="C2061" s="880">
        <f t="shared" si="161"/>
        <v>121.7375</v>
      </c>
      <c r="D2061" s="880">
        <f t="shared" si="162"/>
        <v>25.1313</v>
      </c>
      <c r="E2061" s="10">
        <v>121.737503</v>
      </c>
      <c r="F2061" s="10">
        <v>25.13139</v>
      </c>
      <c r="G2061" s="10">
        <v>8</v>
      </c>
      <c r="H2061" s="10" t="s">
        <v>1831</v>
      </c>
      <c r="I2061" s="10" t="s">
        <v>6370</v>
      </c>
      <c r="J2061" s="10" t="s">
        <v>6371</v>
      </c>
      <c r="K2061" s="10" t="s">
        <v>6372</v>
      </c>
      <c r="L2061" s="65" t="str">
        <f t="shared" si="163"/>
        <v>Chi-lung|Taiwan|121,737503|25,131390|+8:00 Asia</v>
      </c>
      <c r="M2061" s="10" t="s">
        <v>6373</v>
      </c>
      <c r="N2061" s="10">
        <f t="shared" si="160"/>
        <v>0</v>
      </c>
      <c r="O2061" t="str">
        <f t="shared" si="164"/>
        <v/>
      </c>
      <c r="P2061" t="str">
        <f>IF(O2061=1,COUNTIF($O$2:O2061,1),"")</f>
        <v/>
      </c>
      <c r="Q2061" t="str">
        <f>IFERROR(INDEX($M$2:$M$2388,MATCH(ROWS($P$2:P2061),$P$2:$P$2388,0)),"")</f>
        <v/>
      </c>
    </row>
    <row r="2062" spans="1:17" ht="15" x14ac:dyDescent="0.25">
      <c r="A2062" s="10">
        <v>2131</v>
      </c>
      <c r="B2062" s="10" t="s">
        <v>6374</v>
      </c>
      <c r="C2062" s="880">
        <f t="shared" si="161"/>
        <v>121.6044</v>
      </c>
      <c r="D2062" s="880">
        <f t="shared" si="162"/>
        <v>23.976900000000001</v>
      </c>
      <c r="E2062" s="10">
        <v>121.604446</v>
      </c>
      <c r="F2062" s="10">
        <v>23.976944</v>
      </c>
      <c r="G2062" s="10">
        <v>8</v>
      </c>
      <c r="H2062" s="10" t="s">
        <v>1831</v>
      </c>
      <c r="I2062" s="10" t="s">
        <v>6370</v>
      </c>
      <c r="J2062" s="10" t="s">
        <v>6371</v>
      </c>
      <c r="K2062" s="10" t="s">
        <v>6372</v>
      </c>
      <c r="L2062" s="65" t="str">
        <f t="shared" si="163"/>
        <v>Hualian|Taiwan|121,604446|23,976944|+8:00 Asia</v>
      </c>
      <c r="M2062" s="10" t="s">
        <v>6375</v>
      </c>
      <c r="N2062" s="10">
        <f t="shared" si="160"/>
        <v>0</v>
      </c>
      <c r="O2062" t="str">
        <f t="shared" si="164"/>
        <v/>
      </c>
      <c r="P2062" t="str">
        <f>IF(O2062=1,COUNTIF($O$2:O2062,1),"")</f>
        <v/>
      </c>
      <c r="Q2062" t="str">
        <f>IFERROR(INDEX($M$2:$M$2388,MATCH(ROWS($P$2:P2062),$P$2:$P$2388,0)),"")</f>
        <v/>
      </c>
    </row>
    <row r="2063" spans="1:17" ht="15" x14ac:dyDescent="0.25">
      <c r="A2063" s="10">
        <v>2130</v>
      </c>
      <c r="B2063" s="10" t="s">
        <v>6376</v>
      </c>
      <c r="C2063" s="880">
        <f t="shared" si="161"/>
        <v>120.3013</v>
      </c>
      <c r="D2063" s="880">
        <f t="shared" si="162"/>
        <v>22.617699999999999</v>
      </c>
      <c r="E2063" s="10">
        <v>120.30139200000001</v>
      </c>
      <c r="F2063" s="10">
        <v>22.617777</v>
      </c>
      <c r="G2063" s="10">
        <v>8</v>
      </c>
      <c r="H2063" s="10" t="s">
        <v>1831</v>
      </c>
      <c r="I2063" s="10" t="s">
        <v>6370</v>
      </c>
      <c r="J2063" s="10" t="s">
        <v>6371</v>
      </c>
      <c r="K2063" s="10" t="s">
        <v>6372</v>
      </c>
      <c r="L2063" s="65" t="str">
        <f t="shared" si="163"/>
        <v>Kao-hsiung|Taiwan|120,301392|22,617777|+8:00 Asia</v>
      </c>
      <c r="M2063" s="10" t="s">
        <v>6377</v>
      </c>
      <c r="N2063" s="10">
        <f t="shared" si="160"/>
        <v>0</v>
      </c>
      <c r="O2063" t="str">
        <f t="shared" si="164"/>
        <v/>
      </c>
      <c r="P2063" t="str">
        <f>IF(O2063=1,COUNTIF($O$2:O2063,1),"")</f>
        <v/>
      </c>
      <c r="Q2063" t="str">
        <f>IFERROR(INDEX($M$2:$M$2388,MATCH(ROWS($P$2:P2063),$P$2:$P$2388,0)),"")</f>
        <v/>
      </c>
    </row>
    <row r="2064" spans="1:17" ht="15" x14ac:dyDescent="0.25">
      <c r="A2064" s="10">
        <v>2129</v>
      </c>
      <c r="B2064" s="10" t="s">
        <v>6378</v>
      </c>
      <c r="C2064" s="880">
        <f t="shared" si="161"/>
        <v>120.6866</v>
      </c>
      <c r="D2064" s="880">
        <f t="shared" si="162"/>
        <v>24.148299999999999</v>
      </c>
      <c r="E2064" s="10">
        <v>120.686668</v>
      </c>
      <c r="F2064" s="10">
        <v>24.148333000000001</v>
      </c>
      <c r="G2064" s="10">
        <v>8</v>
      </c>
      <c r="H2064" s="10" t="s">
        <v>1831</v>
      </c>
      <c r="I2064" s="10" t="s">
        <v>6370</v>
      </c>
      <c r="J2064" s="10" t="s">
        <v>6371</v>
      </c>
      <c r="K2064" s="10" t="s">
        <v>6372</v>
      </c>
      <c r="L2064" s="65" t="str">
        <f t="shared" si="163"/>
        <v>T'ai-chung-shih|Taiwan|120,686668|24,148333|+8:00 Asia</v>
      </c>
      <c r="M2064" s="10" t="s">
        <v>6379</v>
      </c>
      <c r="N2064" s="10">
        <f t="shared" si="160"/>
        <v>0</v>
      </c>
      <c r="O2064" t="str">
        <f t="shared" si="164"/>
        <v/>
      </c>
      <c r="P2064" t="str">
        <f>IF(O2064=1,COUNTIF($O$2:O2064,1),"")</f>
        <v/>
      </c>
      <c r="Q2064" t="str">
        <f>IFERROR(INDEX($M$2:$M$2388,MATCH(ROWS($P$2:P2064),$P$2:$P$2388,0)),"")</f>
        <v/>
      </c>
    </row>
    <row r="2065" spans="1:17" ht="15" x14ac:dyDescent="0.25">
      <c r="A2065" s="10">
        <v>2128</v>
      </c>
      <c r="B2065" s="10" t="s">
        <v>6380</v>
      </c>
      <c r="C2065" s="880">
        <f t="shared" si="161"/>
        <v>121.52500000000001</v>
      </c>
      <c r="D2065" s="880">
        <f t="shared" si="162"/>
        <v>25.039100000000001</v>
      </c>
      <c r="E2065" s="10">
        <v>121.525002</v>
      </c>
      <c r="F2065" s="10">
        <v>25.039166999999999</v>
      </c>
      <c r="G2065" s="10">
        <v>8</v>
      </c>
      <c r="H2065" s="10" t="s">
        <v>1831</v>
      </c>
      <c r="I2065" s="10" t="s">
        <v>6370</v>
      </c>
      <c r="J2065" s="10" t="s">
        <v>6371</v>
      </c>
      <c r="K2065" s="10" t="s">
        <v>6372</v>
      </c>
      <c r="L2065" s="65" t="str">
        <f t="shared" si="163"/>
        <v>Taipei|Taiwan|121,525002|25,039167|+8:00 Asia</v>
      </c>
      <c r="M2065" s="10" t="s">
        <v>6381</v>
      </c>
      <c r="N2065" s="10">
        <f t="shared" si="160"/>
        <v>0</v>
      </c>
      <c r="O2065" t="str">
        <f t="shared" si="164"/>
        <v/>
      </c>
      <c r="P2065" t="str">
        <f>IF(O2065=1,COUNTIF($O$2:O2065,1),"")</f>
        <v/>
      </c>
      <c r="Q2065" t="str">
        <f>IFERROR(INDEX($M$2:$M$2388,MATCH(ROWS($P$2:P2065),$P$2:$P$2388,0)),"")</f>
        <v/>
      </c>
    </row>
    <row r="2066" spans="1:17" ht="15" x14ac:dyDescent="0.25">
      <c r="A2066" s="10">
        <v>2127</v>
      </c>
      <c r="B2066" s="10" t="s">
        <v>6382</v>
      </c>
      <c r="C2066" s="880">
        <f t="shared" si="161"/>
        <v>120.54219999999999</v>
      </c>
      <c r="D2066" s="880">
        <f t="shared" si="162"/>
        <v>23.709099999999999</v>
      </c>
      <c r="E2066" s="10">
        <v>120.542221</v>
      </c>
      <c r="F2066" s="10">
        <v>23.709167000000001</v>
      </c>
      <c r="G2066" s="10">
        <v>8</v>
      </c>
      <c r="H2066" s="10" t="s">
        <v>1831</v>
      </c>
      <c r="I2066" s="10" t="s">
        <v>6370</v>
      </c>
      <c r="J2066" s="10" t="s">
        <v>6371</v>
      </c>
      <c r="K2066" s="10" t="s">
        <v>6372</v>
      </c>
      <c r="L2066" s="65" t="str">
        <f t="shared" si="163"/>
        <v>Yun-lin|Taiwan|120,542221|23,709167|+8:00 Asia</v>
      </c>
      <c r="M2066" s="10" t="s">
        <v>6383</v>
      </c>
      <c r="N2066" s="10">
        <f t="shared" si="160"/>
        <v>0</v>
      </c>
      <c r="O2066" t="str">
        <f t="shared" si="164"/>
        <v/>
      </c>
      <c r="P2066" t="str">
        <f>IF(O2066=1,COUNTIF($O$2:O2066,1),"")</f>
        <v/>
      </c>
      <c r="Q2066" t="str">
        <f>IFERROR(INDEX($M$2:$M$2388,MATCH(ROWS($P$2:P2066),$P$2:$P$2388,0)),"")</f>
        <v/>
      </c>
    </row>
    <row r="2067" spans="1:17" ht="15" x14ac:dyDescent="0.25">
      <c r="A2067" s="10">
        <v>2074</v>
      </c>
      <c r="B2067" s="10" t="s">
        <v>6384</v>
      </c>
      <c r="C2067" s="880">
        <f t="shared" si="161"/>
        <v>68.773799999999994</v>
      </c>
      <c r="D2067" s="880">
        <f t="shared" si="162"/>
        <v>38.56</v>
      </c>
      <c r="E2067" s="10">
        <v>68.773887999999999</v>
      </c>
      <c r="F2067" s="10">
        <v>38.560001</v>
      </c>
      <c r="G2067" s="10">
        <v>5</v>
      </c>
      <c r="H2067" s="10" t="s">
        <v>4585</v>
      </c>
      <c r="I2067" s="10" t="s">
        <v>6385</v>
      </c>
      <c r="J2067" s="10" t="s">
        <v>6386</v>
      </c>
      <c r="K2067" s="10" t="s">
        <v>6387</v>
      </c>
      <c r="L2067" s="65" t="str">
        <f t="shared" si="163"/>
        <v>Dushanbe|Tajikistan|68,773888|38,560001|+5:00 Asia</v>
      </c>
      <c r="M2067" s="10" t="s">
        <v>6388</v>
      </c>
      <c r="N2067" s="10">
        <f t="shared" si="160"/>
        <v>0</v>
      </c>
      <c r="O2067" t="str">
        <f t="shared" si="164"/>
        <v/>
      </c>
      <c r="P2067" t="str">
        <f>IF(O2067=1,COUNTIF($O$2:O2067,1),"")</f>
        <v/>
      </c>
      <c r="Q2067" t="str">
        <f>IFERROR(INDEX($M$2:$M$2388,MATCH(ROWS($P$2:P2067),$P$2:$P$2388,0)),"")</f>
        <v/>
      </c>
    </row>
    <row r="2068" spans="1:17" ht="15" x14ac:dyDescent="0.25">
      <c r="A2068" s="10">
        <v>2073</v>
      </c>
      <c r="B2068" s="10" t="s">
        <v>6389</v>
      </c>
      <c r="C2068" s="880">
        <f t="shared" si="161"/>
        <v>68.831100000000006</v>
      </c>
      <c r="D2068" s="880">
        <f t="shared" si="162"/>
        <v>37.710799999999999</v>
      </c>
      <c r="E2068" s="10">
        <v>68.831108</v>
      </c>
      <c r="F2068" s="10">
        <v>37.710835000000003</v>
      </c>
      <c r="G2068" s="10">
        <v>5</v>
      </c>
      <c r="H2068" s="10" t="s">
        <v>4585</v>
      </c>
      <c r="I2068" s="10" t="s">
        <v>6385</v>
      </c>
      <c r="J2068" s="10" t="s">
        <v>6386</v>
      </c>
      <c r="K2068" s="10" t="s">
        <v>6387</v>
      </c>
      <c r="L2068" s="65" t="str">
        <f t="shared" si="163"/>
        <v>Vakhsh|Tajikistan|68,831108|37,710835|+5:00 Asia</v>
      </c>
      <c r="M2068" s="10" t="s">
        <v>6390</v>
      </c>
      <c r="N2068" s="10">
        <f t="shared" si="160"/>
        <v>0</v>
      </c>
      <c r="O2068" t="str">
        <f t="shared" si="164"/>
        <v/>
      </c>
      <c r="P2068" t="str">
        <f>IF(O2068=1,COUNTIF($O$2:O2068,1),"")</f>
        <v/>
      </c>
      <c r="Q2068" t="str">
        <f>IFERROR(INDEX($M$2:$M$2388,MATCH(ROWS($P$2:P2068),$P$2:$P$2388,0)),"")</f>
        <v/>
      </c>
    </row>
    <row r="2069" spans="1:17" ht="15" x14ac:dyDescent="0.25">
      <c r="A2069" s="10">
        <v>2072</v>
      </c>
      <c r="B2069" s="10" t="s">
        <v>6391</v>
      </c>
      <c r="C2069" s="880">
        <f t="shared" si="161"/>
        <v>69.644099999999995</v>
      </c>
      <c r="D2069" s="880">
        <f t="shared" si="162"/>
        <v>37.802500000000002</v>
      </c>
      <c r="E2069" s="10">
        <v>69.644165000000001</v>
      </c>
      <c r="F2069" s="10">
        <v>37.802501999999997</v>
      </c>
      <c r="G2069" s="10">
        <v>5</v>
      </c>
      <c r="H2069" s="10" t="s">
        <v>4585</v>
      </c>
      <c r="I2069" s="10" t="s">
        <v>6385</v>
      </c>
      <c r="J2069" s="10" t="s">
        <v>6386</v>
      </c>
      <c r="K2069" s="10" t="s">
        <v>6387</v>
      </c>
      <c r="L2069" s="65" t="str">
        <f t="shared" si="163"/>
        <v>Vose'|Tajikistan|69,644165|37,802502|+5:00 Asia</v>
      </c>
      <c r="M2069" s="10" t="s">
        <v>6392</v>
      </c>
      <c r="N2069" s="10">
        <f t="shared" si="160"/>
        <v>0</v>
      </c>
      <c r="O2069" t="str">
        <f t="shared" si="164"/>
        <v/>
      </c>
      <c r="P2069" t="str">
        <f>IF(O2069=1,COUNTIF($O$2:O2069,1),"")</f>
        <v/>
      </c>
      <c r="Q2069" t="str">
        <f>IFERROR(INDEX($M$2:$M$2388,MATCH(ROWS($P$2:P2069),$P$2:$P$2388,0)),"")</f>
        <v/>
      </c>
    </row>
    <row r="2070" spans="1:17" ht="15" x14ac:dyDescent="0.25">
      <c r="A2070" s="10">
        <v>2071</v>
      </c>
      <c r="B2070" s="10" t="s">
        <v>6393</v>
      </c>
      <c r="C2070" s="880">
        <f t="shared" si="161"/>
        <v>69.043000000000006</v>
      </c>
      <c r="D2070" s="880">
        <f t="shared" si="162"/>
        <v>38.313000000000002</v>
      </c>
      <c r="E2070" s="10">
        <v>69.043053</v>
      </c>
      <c r="F2070" s="10">
        <v>38.313057000000001</v>
      </c>
      <c r="G2070" s="10">
        <v>5</v>
      </c>
      <c r="H2070" s="10" t="s">
        <v>4585</v>
      </c>
      <c r="I2070" s="10" t="s">
        <v>6385</v>
      </c>
      <c r="J2070" s="10" t="s">
        <v>6386</v>
      </c>
      <c r="K2070" s="10" t="s">
        <v>6387</v>
      </c>
      <c r="L2070" s="65" t="str">
        <f t="shared" si="163"/>
        <v>Yovan|Tajikistan|69,043053|38,313057|+5:00 Asia</v>
      </c>
      <c r="M2070" s="10" t="s">
        <v>6394</v>
      </c>
      <c r="N2070" s="10">
        <f t="shared" si="160"/>
        <v>0</v>
      </c>
      <c r="O2070" t="str">
        <f t="shared" si="164"/>
        <v/>
      </c>
      <c r="P2070" t="str">
        <f>IF(O2070=1,COUNTIF($O$2:O2070,1),"")</f>
        <v/>
      </c>
      <c r="Q2070" t="str">
        <f>IFERROR(INDEX($M$2:$M$2388,MATCH(ROWS($P$2:P2070),$P$2:$P$2388,0)),"")</f>
        <v/>
      </c>
    </row>
    <row r="2071" spans="1:17" ht="15" x14ac:dyDescent="0.25">
      <c r="A2071" s="10">
        <v>2141</v>
      </c>
      <c r="B2071" s="10" t="s">
        <v>6395</v>
      </c>
      <c r="C2071" s="880">
        <f t="shared" si="161"/>
        <v>36.683300000000003</v>
      </c>
      <c r="D2071" s="880">
        <f t="shared" si="162"/>
        <v>-3.3666</v>
      </c>
      <c r="E2071" s="10">
        <v>36.683334000000002</v>
      </c>
      <c r="F2071" s="10">
        <v>-3.3666670000000001</v>
      </c>
      <c r="G2071" s="10">
        <v>3</v>
      </c>
      <c r="H2071" s="10" t="s">
        <v>1883</v>
      </c>
      <c r="I2071" s="10" t="s">
        <v>181</v>
      </c>
      <c r="J2071" s="10" t="s">
        <v>6396</v>
      </c>
      <c r="K2071" s="10" t="s">
        <v>6397</v>
      </c>
      <c r="L2071" s="65" t="str">
        <f t="shared" si="163"/>
        <v>Arusha|Tanzania|36,683334|-3,366667|+3:00 Africa</v>
      </c>
      <c r="M2071" s="10" t="s">
        <v>6398</v>
      </c>
      <c r="N2071" s="10">
        <f t="shared" si="160"/>
        <v>0</v>
      </c>
      <c r="O2071" t="str">
        <f t="shared" si="164"/>
        <v/>
      </c>
      <c r="P2071" t="str">
        <f>IF(O2071=1,COUNTIF($O$2:O2071,1),"")</f>
        <v/>
      </c>
      <c r="Q2071" t="str">
        <f>IFERROR(INDEX($M$2:$M$2388,MATCH(ROWS($P$2:P2071),$P$2:$P$2388,0)),"")</f>
        <v/>
      </c>
    </row>
    <row r="2072" spans="1:17" ht="15" x14ac:dyDescent="0.25">
      <c r="A2072" s="10">
        <v>2140</v>
      </c>
      <c r="B2072" s="10" t="s">
        <v>6399</v>
      </c>
      <c r="C2072" s="880">
        <f t="shared" si="161"/>
        <v>39.283299999999997</v>
      </c>
      <c r="D2072" s="880">
        <f t="shared" si="162"/>
        <v>-6.8</v>
      </c>
      <c r="E2072" s="10">
        <v>39.283332999999999</v>
      </c>
      <c r="F2072" s="10">
        <v>-6.8</v>
      </c>
      <c r="G2072" s="10">
        <v>3</v>
      </c>
      <c r="H2072" s="10" t="s">
        <v>1883</v>
      </c>
      <c r="I2072" s="10" t="s">
        <v>181</v>
      </c>
      <c r="J2072" s="10" t="s">
        <v>6396</v>
      </c>
      <c r="K2072" s="10" t="s">
        <v>6397</v>
      </c>
      <c r="L2072" s="65" t="str">
        <f t="shared" si="163"/>
        <v>Dar es Salaam|Tanzania|39,283333|-6,800000|+3:00 Africa</v>
      </c>
      <c r="M2072" s="10" t="s">
        <v>6400</v>
      </c>
      <c r="N2072" s="10">
        <f t="shared" si="160"/>
        <v>0</v>
      </c>
      <c r="O2072" t="str">
        <f t="shared" si="164"/>
        <v/>
      </c>
      <c r="P2072" t="str">
        <f>IF(O2072=1,COUNTIF($O$2:O2072,1),"")</f>
        <v/>
      </c>
      <c r="Q2072" t="str">
        <f>IFERROR(INDEX($M$2:$M$2388,MATCH(ROWS($P$2:P2072),$P$2:$P$2388,0)),"")</f>
        <v/>
      </c>
    </row>
    <row r="2073" spans="1:17" ht="15" x14ac:dyDescent="0.25">
      <c r="A2073" s="10">
        <v>2139</v>
      </c>
      <c r="B2073" s="10" t="s">
        <v>6401</v>
      </c>
      <c r="C2073" s="880">
        <f t="shared" si="161"/>
        <v>33.450000000000003</v>
      </c>
      <c r="D2073" s="880">
        <f t="shared" si="162"/>
        <v>-8.9</v>
      </c>
      <c r="E2073" s="10">
        <v>33.450001</v>
      </c>
      <c r="F2073" s="10">
        <v>-8.9</v>
      </c>
      <c r="G2073" s="10">
        <v>3</v>
      </c>
      <c r="H2073" s="10" t="s">
        <v>1883</v>
      </c>
      <c r="I2073" s="10" t="s">
        <v>181</v>
      </c>
      <c r="J2073" s="10" t="s">
        <v>6396</v>
      </c>
      <c r="K2073" s="10" t="s">
        <v>6397</v>
      </c>
      <c r="L2073" s="65" t="str">
        <f t="shared" si="163"/>
        <v>Mbeya|Tanzania|33,450001|-8,900000|+3:00 Africa</v>
      </c>
      <c r="M2073" s="10" t="s">
        <v>6402</v>
      </c>
      <c r="N2073" s="10">
        <f t="shared" si="160"/>
        <v>0</v>
      </c>
      <c r="O2073" t="str">
        <f t="shared" si="164"/>
        <v/>
      </c>
      <c r="P2073" t="str">
        <f>IF(O2073=1,COUNTIF($O$2:O2073,1),"")</f>
        <v/>
      </c>
      <c r="Q2073" t="str">
        <f>IFERROR(INDEX($M$2:$M$2388,MATCH(ROWS($P$2:P2073),$P$2:$P$2388,0)),"")</f>
        <v/>
      </c>
    </row>
    <row r="2074" spans="1:17" ht="15" x14ac:dyDescent="0.25">
      <c r="A2074" s="10">
        <v>2138</v>
      </c>
      <c r="B2074" s="10" t="s">
        <v>6403</v>
      </c>
      <c r="C2074" s="880">
        <f t="shared" si="161"/>
        <v>37.666600000000003</v>
      </c>
      <c r="D2074" s="880">
        <f t="shared" si="162"/>
        <v>-6.8166000000000002</v>
      </c>
      <c r="E2074" s="10">
        <v>37.666668000000001</v>
      </c>
      <c r="F2074" s="10">
        <v>-6.8166669999999998</v>
      </c>
      <c r="G2074" s="10">
        <v>3</v>
      </c>
      <c r="H2074" s="10" t="s">
        <v>1883</v>
      </c>
      <c r="I2074" s="10" t="s">
        <v>181</v>
      </c>
      <c r="J2074" s="10" t="s">
        <v>6396</v>
      </c>
      <c r="K2074" s="10" t="s">
        <v>6397</v>
      </c>
      <c r="L2074" s="65" t="str">
        <f t="shared" si="163"/>
        <v>Morogoro|Tanzania|37,666668|-6,816667|+3:00 Africa</v>
      </c>
      <c r="M2074" s="10" t="s">
        <v>6404</v>
      </c>
      <c r="N2074" s="10">
        <f t="shared" si="160"/>
        <v>0</v>
      </c>
      <c r="O2074" t="str">
        <f t="shared" si="164"/>
        <v/>
      </c>
      <c r="P2074" t="str">
        <f>IF(O2074=1,COUNTIF($O$2:O2074,1),"")</f>
        <v/>
      </c>
      <c r="Q2074" t="str">
        <f>IFERROR(INDEX($M$2:$M$2388,MATCH(ROWS($P$2:P2074),$P$2:$P$2388,0)),"")</f>
        <v/>
      </c>
    </row>
    <row r="2075" spans="1:17" ht="15" x14ac:dyDescent="0.25">
      <c r="A2075" s="10">
        <v>2137</v>
      </c>
      <c r="B2075" s="10" t="s">
        <v>6405</v>
      </c>
      <c r="C2075" s="880">
        <f t="shared" si="161"/>
        <v>32.9</v>
      </c>
      <c r="D2075" s="880">
        <f t="shared" si="162"/>
        <v>-2.5165999999999999</v>
      </c>
      <c r="E2075" s="10">
        <v>32.900002000000001</v>
      </c>
      <c r="F2075" s="10">
        <v>-2.516667</v>
      </c>
      <c r="G2075" s="10">
        <v>3</v>
      </c>
      <c r="H2075" s="10" t="s">
        <v>1883</v>
      </c>
      <c r="I2075" s="10" t="s">
        <v>181</v>
      </c>
      <c r="J2075" s="10" t="s">
        <v>6396</v>
      </c>
      <c r="K2075" s="10" t="s">
        <v>6397</v>
      </c>
      <c r="L2075" s="65" t="str">
        <f t="shared" si="163"/>
        <v>Mwanza|Tanzania|32,900002|-2,516667|+3:00 Africa</v>
      </c>
      <c r="M2075" s="10" t="s">
        <v>6406</v>
      </c>
      <c r="N2075" s="10">
        <f t="shared" si="160"/>
        <v>0</v>
      </c>
      <c r="O2075" t="str">
        <f t="shared" si="164"/>
        <v/>
      </c>
      <c r="P2075" t="str">
        <f>IF(O2075=1,COUNTIF($O$2:O2075,1),"")</f>
        <v/>
      </c>
      <c r="Q2075" t="str">
        <f>IFERROR(INDEX($M$2:$M$2388,MATCH(ROWS($P$2:P2075),$P$2:$P$2388,0)),"")</f>
        <v/>
      </c>
    </row>
    <row r="2076" spans="1:17" ht="15" x14ac:dyDescent="0.25">
      <c r="A2076" s="10">
        <v>2136</v>
      </c>
      <c r="B2076" s="10" t="s">
        <v>6407</v>
      </c>
      <c r="C2076" s="880">
        <f t="shared" si="161"/>
        <v>39.099899999999998</v>
      </c>
      <c r="D2076" s="880">
        <f t="shared" si="162"/>
        <v>-5.0666000000000002</v>
      </c>
      <c r="E2076" s="10">
        <v>39.099997999999999</v>
      </c>
      <c r="F2076" s="10">
        <v>-5.0666669999999998</v>
      </c>
      <c r="G2076" s="10">
        <v>3</v>
      </c>
      <c r="H2076" s="10" t="s">
        <v>1883</v>
      </c>
      <c r="I2076" s="10" t="s">
        <v>181</v>
      </c>
      <c r="J2076" s="10" t="s">
        <v>6396</v>
      </c>
      <c r="K2076" s="10" t="s">
        <v>6397</v>
      </c>
      <c r="L2076" s="65" t="str">
        <f t="shared" si="163"/>
        <v>Tanga|Tanzania|39,099998|-5,066667|+3:00 Africa</v>
      </c>
      <c r="M2076" s="10" t="s">
        <v>6408</v>
      </c>
      <c r="N2076" s="10">
        <f t="shared" si="160"/>
        <v>0</v>
      </c>
      <c r="O2076" t="str">
        <f t="shared" si="164"/>
        <v/>
      </c>
      <c r="P2076" t="str">
        <f>IF(O2076=1,COUNTIF($O$2:O2076,1),"")</f>
        <v/>
      </c>
      <c r="Q2076" t="str">
        <f>IFERROR(INDEX($M$2:$M$2388,MATCH(ROWS($P$2:P2076),$P$2:$P$2388,0)),"")</f>
        <v/>
      </c>
    </row>
    <row r="2077" spans="1:17" ht="15" x14ac:dyDescent="0.25">
      <c r="A2077" s="10">
        <v>2135</v>
      </c>
      <c r="B2077" s="10" t="s">
        <v>6409</v>
      </c>
      <c r="C2077" s="880">
        <f t="shared" si="161"/>
        <v>32.933300000000003</v>
      </c>
      <c r="D2077" s="880">
        <f t="shared" si="162"/>
        <v>-9.1166</v>
      </c>
      <c r="E2077" s="10">
        <v>32.933334000000002</v>
      </c>
      <c r="F2077" s="10">
        <v>-9.1166669999999996</v>
      </c>
      <c r="G2077" s="10">
        <v>3</v>
      </c>
      <c r="H2077" s="10" t="s">
        <v>1883</v>
      </c>
      <c r="I2077" s="10" t="s">
        <v>181</v>
      </c>
      <c r="J2077" s="10" t="s">
        <v>6396</v>
      </c>
      <c r="K2077" s="10" t="s">
        <v>6397</v>
      </c>
      <c r="L2077" s="65" t="str">
        <f t="shared" si="163"/>
        <v>Vwawa|Tanzania|32,933334|-9,116667|+3:00 Africa</v>
      </c>
      <c r="M2077" s="10" t="s">
        <v>6410</v>
      </c>
      <c r="N2077" s="10">
        <f t="shared" si="160"/>
        <v>0</v>
      </c>
      <c r="O2077" t="str">
        <f t="shared" si="164"/>
        <v/>
      </c>
      <c r="P2077" t="str">
        <f>IF(O2077=1,COUNTIF($O$2:O2077,1),"")</f>
        <v/>
      </c>
      <c r="Q2077" t="str">
        <f>IFERROR(INDEX($M$2:$M$2388,MATCH(ROWS($P$2:P2077),$P$2:$P$2388,0)),"")</f>
        <v/>
      </c>
    </row>
    <row r="2078" spans="1:17" ht="15" x14ac:dyDescent="0.25">
      <c r="A2078" s="10">
        <v>2134</v>
      </c>
      <c r="B2078" s="10" t="s">
        <v>6411</v>
      </c>
      <c r="C2078" s="880">
        <f t="shared" si="161"/>
        <v>39.7166</v>
      </c>
      <c r="D2078" s="880">
        <f t="shared" si="162"/>
        <v>-5.0666000000000002</v>
      </c>
      <c r="E2078" s="10">
        <v>39.716667000000001</v>
      </c>
      <c r="F2078" s="10">
        <v>-5.0666669999999998</v>
      </c>
      <c r="G2078" s="10">
        <v>3</v>
      </c>
      <c r="H2078" s="10" t="s">
        <v>1883</v>
      </c>
      <c r="I2078" s="10" t="s">
        <v>181</v>
      </c>
      <c r="J2078" s="10" t="s">
        <v>6396</v>
      </c>
      <c r="K2078" s="10" t="s">
        <v>6397</v>
      </c>
      <c r="L2078" s="65" t="str">
        <f t="shared" si="163"/>
        <v>Wete|Tanzania|39,716667|-5,066667|+3:00 Africa</v>
      </c>
      <c r="M2078" s="10" t="s">
        <v>6412</v>
      </c>
      <c r="N2078" s="10">
        <f t="shared" si="160"/>
        <v>0</v>
      </c>
      <c r="O2078" t="str">
        <f t="shared" si="164"/>
        <v/>
      </c>
      <c r="P2078" t="str">
        <f>IF(O2078=1,COUNTIF($O$2:O2078,1),"")</f>
        <v/>
      </c>
      <c r="Q2078" t="str">
        <f>IFERROR(INDEX($M$2:$M$2388,MATCH(ROWS($P$2:P2078),$P$2:$P$2388,0)),"")</f>
        <v/>
      </c>
    </row>
    <row r="2079" spans="1:17" ht="15" x14ac:dyDescent="0.25">
      <c r="A2079" s="10">
        <v>2133</v>
      </c>
      <c r="B2079" s="10" t="s">
        <v>6413</v>
      </c>
      <c r="C2079" s="880">
        <f t="shared" si="161"/>
        <v>39.197899999999997</v>
      </c>
      <c r="D2079" s="880">
        <f t="shared" si="162"/>
        <v>-6.1638999999999999</v>
      </c>
      <c r="E2079" s="10">
        <v>39.197932999999999</v>
      </c>
      <c r="F2079" s="10">
        <v>-6.1639369999999998</v>
      </c>
      <c r="G2079" s="10">
        <v>3</v>
      </c>
      <c r="H2079" s="10" t="s">
        <v>1883</v>
      </c>
      <c r="I2079" s="10" t="s">
        <v>181</v>
      </c>
      <c r="J2079" s="10" t="s">
        <v>6396</v>
      </c>
      <c r="K2079" s="10" t="s">
        <v>6397</v>
      </c>
      <c r="L2079" s="65" t="str">
        <f t="shared" si="163"/>
        <v>Zanzibar|Tanzania|39,197933|-6,163937|+3:00 Africa</v>
      </c>
      <c r="M2079" s="10" t="s">
        <v>6414</v>
      </c>
      <c r="N2079" s="10">
        <f t="shared" si="160"/>
        <v>0</v>
      </c>
      <c r="O2079" t="str">
        <f t="shared" si="164"/>
        <v/>
      </c>
      <c r="P2079" t="str">
        <f>IF(O2079=1,COUNTIF($O$2:O2079,1),"")</f>
        <v/>
      </c>
      <c r="Q2079" t="str">
        <f>IFERROR(INDEX($M$2:$M$2388,MATCH(ROWS($P$2:P2079),$P$2:$P$2388,0)),"")</f>
        <v/>
      </c>
    </row>
    <row r="2080" spans="1:17" ht="15" x14ac:dyDescent="0.25">
      <c r="A2080" s="10">
        <v>2063</v>
      </c>
      <c r="B2080" s="10" t="s">
        <v>6415</v>
      </c>
      <c r="C2080" s="880">
        <f t="shared" si="161"/>
        <v>99.883300000000006</v>
      </c>
      <c r="D2080" s="880">
        <f t="shared" si="162"/>
        <v>12.2</v>
      </c>
      <c r="E2080" s="10">
        <v>99.883330999999998</v>
      </c>
      <c r="F2080" s="10">
        <v>12.2</v>
      </c>
      <c r="G2080" s="10">
        <v>7</v>
      </c>
      <c r="H2080" s="10" t="s">
        <v>2363</v>
      </c>
      <c r="I2080" s="10" t="s">
        <v>6416</v>
      </c>
      <c r="J2080" s="10" t="s">
        <v>6417</v>
      </c>
      <c r="K2080" s="10" t="s">
        <v>6418</v>
      </c>
      <c r="L2080" s="65" t="str">
        <f t="shared" si="163"/>
        <v>Ban Sam Roi Yot|Thailand|99,883331|12,200000|+7:00 Asia</v>
      </c>
      <c r="M2080" s="10" t="s">
        <v>6419</v>
      </c>
      <c r="N2080" s="10">
        <f t="shared" si="160"/>
        <v>0</v>
      </c>
      <c r="O2080" t="str">
        <f t="shared" si="164"/>
        <v/>
      </c>
      <c r="P2080" t="str">
        <f>IF(O2080=1,COUNTIF($O$2:O2080,1),"")</f>
        <v/>
      </c>
      <c r="Q2080" t="str">
        <f>IFERROR(INDEX($M$2:$M$2388,MATCH(ROWS($P$2:P2080),$P$2:$P$2388,0)),"")</f>
        <v/>
      </c>
    </row>
    <row r="2081" spans="1:17" ht="15" x14ac:dyDescent="0.25">
      <c r="A2081" s="10">
        <v>2069</v>
      </c>
      <c r="B2081" s="10" t="s">
        <v>6420</v>
      </c>
      <c r="C2081" s="880">
        <f t="shared" si="161"/>
        <v>100.5166</v>
      </c>
      <c r="D2081" s="880">
        <f t="shared" si="162"/>
        <v>13.75</v>
      </c>
      <c r="E2081" s="10">
        <v>100.51667</v>
      </c>
      <c r="F2081" s="10">
        <v>13.75</v>
      </c>
      <c r="G2081" s="10">
        <v>7</v>
      </c>
      <c r="H2081" s="10" t="s">
        <v>2363</v>
      </c>
      <c r="I2081" s="10" t="s">
        <v>6416</v>
      </c>
      <c r="J2081" s="10" t="s">
        <v>6417</v>
      </c>
      <c r="K2081" s="10" t="s">
        <v>6418</v>
      </c>
      <c r="L2081" s="65" t="str">
        <f t="shared" si="163"/>
        <v>Bangkok|Thailand|100,516670|13,750000|+7:00 Asia</v>
      </c>
      <c r="M2081" s="10" t="s">
        <v>6421</v>
      </c>
      <c r="N2081" s="10">
        <f t="shared" si="160"/>
        <v>0</v>
      </c>
      <c r="O2081" t="str">
        <f t="shared" si="164"/>
        <v/>
      </c>
      <c r="P2081" t="str">
        <f>IF(O2081=1,COUNTIF($O$2:O2081,1),"")</f>
        <v/>
      </c>
      <c r="Q2081" t="str">
        <f>IFERROR(INDEX($M$2:$M$2388,MATCH(ROWS($P$2:P2081),$P$2:$P$2388,0)),"")</f>
        <v/>
      </c>
    </row>
    <row r="2082" spans="1:17" ht="15" x14ac:dyDescent="0.25">
      <c r="A2082" s="10">
        <v>2065</v>
      </c>
      <c r="B2082" s="10" t="s">
        <v>6422</v>
      </c>
      <c r="C2082" s="880">
        <f t="shared" si="161"/>
        <v>98.9816</v>
      </c>
      <c r="D2082" s="880">
        <f t="shared" si="162"/>
        <v>18.790199999999999</v>
      </c>
      <c r="E2082" s="10">
        <v>98.981667000000002</v>
      </c>
      <c r="F2082" s="10">
        <v>18.790277</v>
      </c>
      <c r="G2082" s="10">
        <v>7</v>
      </c>
      <c r="H2082" s="10" t="s">
        <v>2363</v>
      </c>
      <c r="I2082" s="10" t="s">
        <v>6416</v>
      </c>
      <c r="J2082" s="10" t="s">
        <v>6417</v>
      </c>
      <c r="K2082" s="10" t="s">
        <v>6418</v>
      </c>
      <c r="L2082" s="65" t="str">
        <f t="shared" si="163"/>
        <v>Chiang Mai|Thailand|98,981667|18,790277|+7:00 Asia</v>
      </c>
      <c r="M2082" s="10" t="s">
        <v>6423</v>
      </c>
      <c r="N2082" s="10">
        <f t="shared" si="160"/>
        <v>0</v>
      </c>
      <c r="O2082" t="str">
        <f t="shared" si="164"/>
        <v/>
      </c>
      <c r="P2082" t="str">
        <f>IF(O2082=1,COUNTIF($O$2:O2082,1),"")</f>
        <v/>
      </c>
      <c r="Q2082" t="str">
        <f>IFERROR(INDEX($M$2:$M$2388,MATCH(ROWS($P$2:P2082),$P$2:$P$2388,0)),"")</f>
        <v/>
      </c>
    </row>
    <row r="2083" spans="1:17" ht="15" x14ac:dyDescent="0.25">
      <c r="A2083" s="10">
        <v>2070</v>
      </c>
      <c r="B2083" s="10" t="s">
        <v>6424</v>
      </c>
      <c r="C2083" s="880">
        <f t="shared" si="161"/>
        <v>100.9833</v>
      </c>
      <c r="D2083" s="880">
        <f t="shared" si="162"/>
        <v>13.3666</v>
      </c>
      <c r="E2083" s="10">
        <v>100.98333</v>
      </c>
      <c r="F2083" s="10">
        <v>13.366667</v>
      </c>
      <c r="G2083" s="10">
        <v>7</v>
      </c>
      <c r="H2083" s="10" t="s">
        <v>2363</v>
      </c>
      <c r="I2083" s="10" t="s">
        <v>6416</v>
      </c>
      <c r="J2083" s="10" t="s">
        <v>6417</v>
      </c>
      <c r="K2083" s="10" t="s">
        <v>6418</v>
      </c>
      <c r="L2083" s="65" t="str">
        <f t="shared" si="163"/>
        <v>Chon Buri|Thailand|100,983330|13,366667|+7:00 Asia</v>
      </c>
      <c r="M2083" s="10" t="s">
        <v>6425</v>
      </c>
      <c r="N2083" s="10">
        <f t="shared" si="160"/>
        <v>0</v>
      </c>
      <c r="O2083" t="str">
        <f t="shared" si="164"/>
        <v/>
      </c>
      <c r="P2083" t="str">
        <f>IF(O2083=1,COUNTIF($O$2:O2083,1),"")</f>
        <v/>
      </c>
      <c r="Q2083" t="str">
        <f>IFERROR(INDEX($M$2:$M$2388,MATCH(ROWS($P$2:P2083),$P$2:$P$2388,0)),"")</f>
        <v/>
      </c>
    </row>
    <row r="2084" spans="1:17" ht="15" x14ac:dyDescent="0.25">
      <c r="A2084" s="10">
        <v>2062</v>
      </c>
      <c r="B2084" s="10" t="s">
        <v>6426</v>
      </c>
      <c r="C2084" s="880">
        <f t="shared" si="161"/>
        <v>99.683300000000003</v>
      </c>
      <c r="D2084" s="880">
        <f t="shared" si="162"/>
        <v>9.3000000000000007</v>
      </c>
      <c r="E2084" s="10">
        <v>99.683334000000002</v>
      </c>
      <c r="F2084" s="10">
        <v>9.3000000000000007</v>
      </c>
      <c r="G2084" s="10">
        <v>7</v>
      </c>
      <c r="H2084" s="10" t="s">
        <v>2363</v>
      </c>
      <c r="I2084" s="10" t="s">
        <v>6416</v>
      </c>
      <c r="J2084" s="10" t="s">
        <v>6417</v>
      </c>
      <c r="K2084" s="10" t="s">
        <v>6418</v>
      </c>
      <c r="L2084" s="65" t="str">
        <f t="shared" si="163"/>
        <v>Don Sak|Thailand|99,683334|9,300000|+7:00 Asia</v>
      </c>
      <c r="M2084" s="10" t="s">
        <v>6427</v>
      </c>
      <c r="N2084" s="10">
        <f t="shared" si="160"/>
        <v>0</v>
      </c>
      <c r="O2084" t="str">
        <f t="shared" si="164"/>
        <v/>
      </c>
      <c r="P2084" t="str">
        <f>IF(O2084=1,COUNTIF($O$2:O2084,1),"")</f>
        <v/>
      </c>
      <c r="Q2084" t="str">
        <f>IFERROR(INDEX($M$2:$M$2388,MATCH(ROWS($P$2:P2084),$P$2:$P$2388,0)),"")</f>
        <v/>
      </c>
    </row>
    <row r="2085" spans="1:17" ht="15" x14ac:dyDescent="0.25">
      <c r="A2085" s="10">
        <v>2068</v>
      </c>
      <c r="B2085" s="10" t="s">
        <v>6428</v>
      </c>
      <c r="C2085" s="880">
        <f t="shared" si="161"/>
        <v>102.11660000000001</v>
      </c>
      <c r="D2085" s="880">
        <f t="shared" si="162"/>
        <v>14.9666</v>
      </c>
      <c r="E2085" s="10">
        <v>102.116669</v>
      </c>
      <c r="F2085" s="10">
        <v>14.966666999999999</v>
      </c>
      <c r="G2085" s="10">
        <v>7</v>
      </c>
      <c r="H2085" s="10" t="s">
        <v>2363</v>
      </c>
      <c r="I2085" s="10" t="s">
        <v>6416</v>
      </c>
      <c r="J2085" s="10" t="s">
        <v>6417</v>
      </c>
      <c r="K2085" s="10" t="s">
        <v>6418</v>
      </c>
      <c r="L2085" s="65" t="str">
        <f t="shared" si="163"/>
        <v>Nakhon Ratchasima|Thailand|102,116669|14,966667|+7:00 Asia</v>
      </c>
      <c r="M2085" s="10" t="s">
        <v>6429</v>
      </c>
      <c r="N2085" s="10">
        <f t="shared" si="160"/>
        <v>0</v>
      </c>
      <c r="O2085" t="str">
        <f t="shared" si="164"/>
        <v/>
      </c>
      <c r="P2085" t="str">
        <f>IF(O2085=1,COUNTIF($O$2:O2085,1),"")</f>
        <v/>
      </c>
      <c r="Q2085" t="str">
        <f>IFERROR(INDEX($M$2:$M$2388,MATCH(ROWS($P$2:P2085),$P$2:$P$2388,0)),"")</f>
        <v/>
      </c>
    </row>
    <row r="2086" spans="1:17" ht="15" x14ac:dyDescent="0.25">
      <c r="A2086" s="10">
        <v>2064</v>
      </c>
      <c r="B2086" s="10" t="s">
        <v>6430</v>
      </c>
      <c r="C2086" s="880">
        <f t="shared" si="161"/>
        <v>99.9499</v>
      </c>
      <c r="D2086" s="880">
        <f t="shared" si="162"/>
        <v>13.1</v>
      </c>
      <c r="E2086" s="10">
        <v>99.949996999999996</v>
      </c>
      <c r="F2086" s="10">
        <v>13.1</v>
      </c>
      <c r="G2086" s="10">
        <v>7</v>
      </c>
      <c r="H2086" s="10" t="s">
        <v>2363</v>
      </c>
      <c r="I2086" s="10" t="s">
        <v>6416</v>
      </c>
      <c r="J2086" s="10" t="s">
        <v>6417</v>
      </c>
      <c r="K2086" s="10" t="s">
        <v>6418</v>
      </c>
      <c r="L2086" s="65" t="str">
        <f t="shared" si="163"/>
        <v>Phetchaburi|Thailand|99,949997|13,100000|+7:00 Asia</v>
      </c>
      <c r="M2086" s="10" t="s">
        <v>6431</v>
      </c>
      <c r="N2086" s="10">
        <f t="shared" si="160"/>
        <v>0</v>
      </c>
      <c r="O2086" t="str">
        <f t="shared" si="164"/>
        <v/>
      </c>
      <c r="P2086" t="str">
        <f>IF(O2086=1,COUNTIF($O$2:O2086,1),"")</f>
        <v/>
      </c>
      <c r="Q2086" t="str">
        <f>IFERROR(INDEX($M$2:$M$2388,MATCH(ROWS($P$2:P2086),$P$2:$P$2388,0)),"")</f>
        <v/>
      </c>
    </row>
    <row r="2087" spans="1:17" ht="15" x14ac:dyDescent="0.25">
      <c r="A2087" s="10">
        <v>2067</v>
      </c>
      <c r="B2087" s="10" t="s">
        <v>6432</v>
      </c>
      <c r="C2087" s="880">
        <f t="shared" si="161"/>
        <v>100.59990000000001</v>
      </c>
      <c r="D2087" s="880">
        <f t="shared" si="162"/>
        <v>13.6</v>
      </c>
      <c r="E2087" s="10">
        <v>100.599998</v>
      </c>
      <c r="F2087" s="10">
        <v>13.6</v>
      </c>
      <c r="G2087" s="10">
        <v>7</v>
      </c>
      <c r="H2087" s="10" t="s">
        <v>2363</v>
      </c>
      <c r="I2087" s="10" t="s">
        <v>6416</v>
      </c>
      <c r="J2087" s="10" t="s">
        <v>6417</v>
      </c>
      <c r="K2087" s="10" t="s">
        <v>6418</v>
      </c>
      <c r="L2087" s="65" t="str">
        <f t="shared" si="163"/>
        <v>Samut Prakan|Thailand|100,599998|13,600000|+7:00 Asia</v>
      </c>
      <c r="M2087" s="10" t="s">
        <v>6433</v>
      </c>
      <c r="N2087" s="10">
        <f t="shared" si="160"/>
        <v>0</v>
      </c>
      <c r="O2087" t="str">
        <f t="shared" si="164"/>
        <v/>
      </c>
      <c r="P2087" t="str">
        <f>IF(O2087=1,COUNTIF($O$2:O2087,1),"")</f>
        <v/>
      </c>
      <c r="Q2087" t="str">
        <f>IFERROR(INDEX($M$2:$M$2388,MATCH(ROWS($P$2:P2087),$P$2:$P$2388,0)),"")</f>
        <v/>
      </c>
    </row>
    <row r="2088" spans="1:17" ht="15" x14ac:dyDescent="0.25">
      <c r="A2088" s="10">
        <v>2066</v>
      </c>
      <c r="B2088" s="10" t="s">
        <v>6434</v>
      </c>
      <c r="C2088" s="880">
        <f t="shared" si="161"/>
        <v>102.79300000000001</v>
      </c>
      <c r="D2088" s="880">
        <f t="shared" si="162"/>
        <v>17.407399999999999</v>
      </c>
      <c r="E2088" s="10">
        <v>102.793053</v>
      </c>
      <c r="F2088" s="10">
        <v>17.407499000000001</v>
      </c>
      <c r="G2088" s="10">
        <v>7</v>
      </c>
      <c r="H2088" s="10" t="s">
        <v>2363</v>
      </c>
      <c r="I2088" s="10" t="s">
        <v>6416</v>
      </c>
      <c r="J2088" s="10" t="s">
        <v>6417</v>
      </c>
      <c r="K2088" s="10" t="s">
        <v>6418</v>
      </c>
      <c r="L2088" s="65" t="str">
        <f t="shared" si="163"/>
        <v>Udon Thani|Thailand|102,793053|17,407499|+7:00 Asia</v>
      </c>
      <c r="M2088" s="10" t="s">
        <v>6435</v>
      </c>
      <c r="N2088" s="10">
        <f t="shared" si="160"/>
        <v>0</v>
      </c>
      <c r="O2088" t="str">
        <f t="shared" si="164"/>
        <v/>
      </c>
      <c r="P2088" t="str">
        <f>IF(O2088=1,COUNTIF($O$2:O2088,1),"")</f>
        <v/>
      </c>
      <c r="Q2088" t="str">
        <f>IFERROR(INDEX($M$2:$M$2388,MATCH(ROWS($P$2:P2088),$P$2:$P$2388,0)),"")</f>
        <v/>
      </c>
    </row>
    <row r="2089" spans="1:17" ht="15" x14ac:dyDescent="0.25">
      <c r="A2089" s="10">
        <v>2061</v>
      </c>
      <c r="B2089" s="10" t="s">
        <v>6436</v>
      </c>
      <c r="C2089" s="880">
        <f t="shared" si="161"/>
        <v>1.2226999999999999</v>
      </c>
      <c r="D2089" s="880">
        <f t="shared" si="162"/>
        <v>6.1318999999999999</v>
      </c>
      <c r="E2089" s="10">
        <v>1.2227779999999999</v>
      </c>
      <c r="F2089" s="10">
        <v>6.1319439999999998</v>
      </c>
      <c r="G2089" s="10">
        <v>0</v>
      </c>
      <c r="H2089" s="10" t="s">
        <v>2318</v>
      </c>
      <c r="I2089" s="10" t="s">
        <v>6437</v>
      </c>
      <c r="J2089" s="10" t="s">
        <v>6438</v>
      </c>
      <c r="K2089" s="10" t="s">
        <v>6439</v>
      </c>
      <c r="L2089" s="65" t="str">
        <f t="shared" si="163"/>
        <v>Lome|Togo|1,222778|6,131944|+0:00 Africa</v>
      </c>
      <c r="M2089" s="10" t="s">
        <v>6440</v>
      </c>
      <c r="N2089" s="10">
        <f t="shared" si="160"/>
        <v>0</v>
      </c>
      <c r="O2089" t="str">
        <f t="shared" si="164"/>
        <v/>
      </c>
      <c r="P2089" t="str">
        <f>IF(O2089=1,COUNTIF($O$2:O2089,1),"")</f>
        <v/>
      </c>
      <c r="Q2089" t="str">
        <f>IFERROR(INDEX($M$2:$M$2388,MATCH(ROWS($P$2:P2089),$P$2:$P$2388,0)),"")</f>
        <v/>
      </c>
    </row>
    <row r="2090" spans="1:17" ht="15" x14ac:dyDescent="0.25">
      <c r="A2090" s="10">
        <v>2060</v>
      </c>
      <c r="B2090" s="10" t="s">
        <v>6441</v>
      </c>
      <c r="C2090" s="880">
        <f t="shared" si="161"/>
        <v>1.4166000000000001</v>
      </c>
      <c r="D2090" s="880">
        <f t="shared" si="162"/>
        <v>9.0333000000000006</v>
      </c>
      <c r="E2090" s="10">
        <v>1.4166669999999999</v>
      </c>
      <c r="F2090" s="10">
        <v>9.0333330000000007</v>
      </c>
      <c r="G2090" s="10">
        <v>0</v>
      </c>
      <c r="H2090" s="10" t="s">
        <v>2318</v>
      </c>
      <c r="I2090" s="10" t="s">
        <v>6437</v>
      </c>
      <c r="J2090" s="10" t="s">
        <v>6438</v>
      </c>
      <c r="K2090" s="10" t="s">
        <v>6439</v>
      </c>
      <c r="L2090" s="65" t="str">
        <f t="shared" si="163"/>
        <v>Tchamba|Togo|1,416667|9,033333|+0:00 Africa</v>
      </c>
      <c r="M2090" s="10" t="s">
        <v>6442</v>
      </c>
      <c r="N2090" s="10">
        <f t="shared" si="160"/>
        <v>0</v>
      </c>
      <c r="O2090" t="str">
        <f t="shared" si="164"/>
        <v/>
      </c>
      <c r="P2090" t="str">
        <f>IF(O2090=1,COUNTIF($O$2:O2090,1),"")</f>
        <v/>
      </c>
      <c r="Q2090" t="str">
        <f>IFERROR(INDEX($M$2:$M$2388,MATCH(ROWS($P$2:P2090),$P$2:$P$2388,0)),"")</f>
        <v/>
      </c>
    </row>
    <row r="2091" spans="1:17" ht="15" x14ac:dyDescent="0.25">
      <c r="A2091" s="10">
        <v>2059</v>
      </c>
      <c r="B2091" s="10" t="s">
        <v>6443</v>
      </c>
      <c r="C2091" s="880">
        <f t="shared" si="161"/>
        <v>1.2133</v>
      </c>
      <c r="D2091" s="880">
        <f t="shared" si="162"/>
        <v>6.4260999999999999</v>
      </c>
      <c r="E2091" s="10">
        <v>1.213333</v>
      </c>
      <c r="F2091" s="10">
        <v>6.4261109999999997</v>
      </c>
      <c r="G2091" s="10">
        <v>0</v>
      </c>
      <c r="H2091" s="10" t="s">
        <v>2318</v>
      </c>
      <c r="I2091" s="10" t="s">
        <v>6437</v>
      </c>
      <c r="J2091" s="10" t="s">
        <v>6438</v>
      </c>
      <c r="K2091" s="10" t="s">
        <v>6439</v>
      </c>
      <c r="L2091" s="65" t="str">
        <f t="shared" si="163"/>
        <v>Tsevie|Togo|1,213333|6,426111|+0:00 Africa</v>
      </c>
      <c r="M2091" s="10" t="s">
        <v>6444</v>
      </c>
      <c r="N2091" s="10">
        <f t="shared" si="160"/>
        <v>0</v>
      </c>
      <c r="O2091" t="str">
        <f t="shared" si="164"/>
        <v/>
      </c>
      <c r="P2091" t="str">
        <f>IF(O2091=1,COUNTIF($O$2:O2091,1),"")</f>
        <v/>
      </c>
      <c r="Q2091" t="str">
        <f>IFERROR(INDEX($M$2:$M$2388,MATCH(ROWS($P$2:P2091),$P$2:$P$2388,0)),"")</f>
        <v/>
      </c>
    </row>
    <row r="2092" spans="1:17" ht="15" x14ac:dyDescent="0.25">
      <c r="A2092" s="10">
        <v>2058</v>
      </c>
      <c r="B2092" s="10" t="s">
        <v>6445</v>
      </c>
      <c r="C2092" s="880">
        <f t="shared" si="161"/>
        <v>1.5333000000000001</v>
      </c>
      <c r="D2092" s="880">
        <f t="shared" si="162"/>
        <v>6.3333000000000004</v>
      </c>
      <c r="E2092" s="10">
        <v>1.5333330000000001</v>
      </c>
      <c r="F2092" s="10">
        <v>6.3333329999999997</v>
      </c>
      <c r="G2092" s="10">
        <v>0</v>
      </c>
      <c r="H2092" s="10" t="s">
        <v>2318</v>
      </c>
      <c r="I2092" s="10" t="s">
        <v>6437</v>
      </c>
      <c r="J2092" s="10" t="s">
        <v>6438</v>
      </c>
      <c r="K2092" s="10" t="s">
        <v>6439</v>
      </c>
      <c r="L2092" s="65" t="str">
        <f t="shared" si="163"/>
        <v>Vogan|Togo|1,533333|6,333333|+0:00 Africa</v>
      </c>
      <c r="M2092" s="10" t="s">
        <v>6446</v>
      </c>
      <c r="N2092" s="10">
        <f t="shared" si="160"/>
        <v>0</v>
      </c>
      <c r="O2092" t="str">
        <f t="shared" si="164"/>
        <v/>
      </c>
      <c r="P2092" t="str">
        <f>IF(O2092=1,COUNTIF($O$2:O2092,1),"")</f>
        <v/>
      </c>
      <c r="Q2092" t="str">
        <f>IFERROR(INDEX($M$2:$M$2388,MATCH(ROWS($P$2:P2092),$P$2:$P$2388,0)),"")</f>
        <v/>
      </c>
    </row>
    <row r="2093" spans="1:17" ht="15" x14ac:dyDescent="0.25">
      <c r="A2093" s="10">
        <v>2125</v>
      </c>
      <c r="B2093" s="10" t="s">
        <v>6447</v>
      </c>
      <c r="C2093" s="880">
        <f t="shared" si="161"/>
        <v>-61.366700000000002</v>
      </c>
      <c r="D2093" s="880">
        <f t="shared" si="162"/>
        <v>10.6347</v>
      </c>
      <c r="E2093" s="10">
        <v>-61.366711000000002</v>
      </c>
      <c r="F2093" s="10">
        <v>10.634710999999999</v>
      </c>
      <c r="G2093" s="10">
        <v>-4</v>
      </c>
      <c r="H2093" s="10" t="s">
        <v>1733</v>
      </c>
      <c r="I2093" s="10" t="s">
        <v>6448</v>
      </c>
      <c r="J2093" s="10" t="s">
        <v>6449</v>
      </c>
      <c r="K2093" s="10" t="s">
        <v>6450</v>
      </c>
      <c r="L2093" s="65" t="str">
        <f t="shared" si="163"/>
        <v>Paradise|Trinidad and Tobago|-61,366711|10,634711|-4:00 America</v>
      </c>
      <c r="M2093" s="10" t="s">
        <v>6451</v>
      </c>
      <c r="N2093" s="10">
        <f t="shared" si="160"/>
        <v>0</v>
      </c>
      <c r="O2093" t="str">
        <f t="shared" si="164"/>
        <v/>
      </c>
      <c r="P2093" t="str">
        <f>IF(O2093=1,COUNTIF($O$2:O2093,1),"")</f>
        <v/>
      </c>
      <c r="Q2093" t="str">
        <f>IFERROR(INDEX($M$2:$M$2388,MATCH(ROWS($P$2:P2093),$P$2:$P$2388,0)),"")</f>
        <v/>
      </c>
    </row>
    <row r="2094" spans="1:17" ht="15" x14ac:dyDescent="0.25">
      <c r="A2094" s="10">
        <v>2126</v>
      </c>
      <c r="B2094" s="10" t="s">
        <v>6452</v>
      </c>
      <c r="C2094" s="880">
        <f t="shared" si="161"/>
        <v>-61.5</v>
      </c>
      <c r="D2094" s="880">
        <f t="shared" si="162"/>
        <v>10.1333</v>
      </c>
      <c r="E2094" s="10">
        <v>-61.5</v>
      </c>
      <c r="F2094" s="10">
        <v>10.133333</v>
      </c>
      <c r="G2094" s="10">
        <v>-4</v>
      </c>
      <c r="H2094" s="10" t="s">
        <v>1733</v>
      </c>
      <c r="I2094" s="10" t="s">
        <v>6448</v>
      </c>
      <c r="J2094" s="10" t="s">
        <v>6449</v>
      </c>
      <c r="K2094" s="10" t="s">
        <v>6450</v>
      </c>
      <c r="L2094" s="65" t="str">
        <f t="shared" si="163"/>
        <v>Siparia|Trinidad and Tobago|-61,500000|10,133333|-4:00 America</v>
      </c>
      <c r="M2094" s="10" t="s">
        <v>6453</v>
      </c>
      <c r="N2094" s="10">
        <f t="shared" si="160"/>
        <v>0</v>
      </c>
      <c r="O2094" t="str">
        <f t="shared" si="164"/>
        <v/>
      </c>
      <c r="P2094" t="str">
        <f>IF(O2094=1,COUNTIF($O$2:O2094,1),"")</f>
        <v/>
      </c>
      <c r="Q2094" t="str">
        <f>IFERROR(INDEX($M$2:$M$2388,MATCH(ROWS($P$2:P2094),$P$2:$P$2388,0)),"")</f>
        <v/>
      </c>
    </row>
    <row r="2095" spans="1:17" ht="15" x14ac:dyDescent="0.25">
      <c r="A2095" s="10">
        <v>2124</v>
      </c>
      <c r="B2095" s="10" t="s">
        <v>6454</v>
      </c>
      <c r="C2095" s="880">
        <f t="shared" si="161"/>
        <v>-61.383299999999998</v>
      </c>
      <c r="D2095" s="880">
        <f t="shared" si="162"/>
        <v>10.6333</v>
      </c>
      <c r="E2095" s="10">
        <v>-61.383335000000002</v>
      </c>
      <c r="F2095" s="10">
        <v>10.633333</v>
      </c>
      <c r="G2095" s="10">
        <v>-4</v>
      </c>
      <c r="H2095" s="10" t="s">
        <v>1733</v>
      </c>
      <c r="I2095" s="10" t="s">
        <v>6448</v>
      </c>
      <c r="J2095" s="10" t="s">
        <v>6449</v>
      </c>
      <c r="K2095" s="10" t="s">
        <v>6450</v>
      </c>
      <c r="L2095" s="65" t="str">
        <f t="shared" si="163"/>
        <v>Tunapuna|Trinidad and Tobago|-61,383335|10,633333|-4:00 America</v>
      </c>
      <c r="M2095" s="10" t="s">
        <v>6455</v>
      </c>
      <c r="N2095" s="10">
        <f t="shared" si="160"/>
        <v>0</v>
      </c>
      <c r="O2095" t="str">
        <f t="shared" si="164"/>
        <v/>
      </c>
      <c r="P2095" t="str">
        <f>IF(O2095=1,COUNTIF($O$2:O2095,1),"")</f>
        <v/>
      </c>
      <c r="Q2095" t="str">
        <f>IFERROR(INDEX($M$2:$M$2388,MATCH(ROWS($P$2:P2095),$P$2:$P$2388,0)),"")</f>
        <v/>
      </c>
    </row>
    <row r="2096" spans="1:17" ht="15" x14ac:dyDescent="0.25">
      <c r="A2096" s="10">
        <v>2083</v>
      </c>
      <c r="B2096" s="10" t="s">
        <v>6456</v>
      </c>
      <c r="C2096" s="880">
        <f t="shared" si="161"/>
        <v>10.042199999999999</v>
      </c>
      <c r="D2096" s="880">
        <f t="shared" si="162"/>
        <v>36.834099999999999</v>
      </c>
      <c r="E2096" s="10">
        <v>10.042222000000001</v>
      </c>
      <c r="F2096" s="10">
        <v>36.834167000000001</v>
      </c>
      <c r="G2096" s="10">
        <v>1</v>
      </c>
      <c r="H2096" s="10" t="s">
        <v>1670</v>
      </c>
      <c r="I2096" s="10" t="s">
        <v>6457</v>
      </c>
      <c r="J2096" s="10" t="s">
        <v>6458</v>
      </c>
      <c r="K2096" s="10" t="s">
        <v>6459</v>
      </c>
      <c r="L2096" s="65" t="str">
        <f t="shared" si="163"/>
        <v>Oued Lill|Tunis|10,042222|36,834167|+1:00 Africa</v>
      </c>
      <c r="M2096" s="10" t="s">
        <v>6460</v>
      </c>
      <c r="N2096" s="10">
        <f t="shared" si="160"/>
        <v>0</v>
      </c>
      <c r="O2096" t="str">
        <f t="shared" si="164"/>
        <v/>
      </c>
      <c r="P2096" t="str">
        <f>IF(O2096=1,COUNTIF($O$2:O2096,1),"")</f>
        <v/>
      </c>
      <c r="Q2096" t="str">
        <f>IFERROR(INDEX($M$2:$M$2388,MATCH(ROWS($P$2:P2096),$P$2:$P$2388,0)),"")</f>
        <v/>
      </c>
    </row>
    <row r="2097" spans="1:17" ht="15" x14ac:dyDescent="0.25">
      <c r="A2097" s="10">
        <v>2085</v>
      </c>
      <c r="B2097" s="10" t="s">
        <v>6461</v>
      </c>
      <c r="C2097" s="880">
        <f t="shared" si="161"/>
        <v>10.760199999999999</v>
      </c>
      <c r="D2097" s="880">
        <f t="shared" si="162"/>
        <v>34.740499999999997</v>
      </c>
      <c r="E2097" s="10">
        <v>10.760278</v>
      </c>
      <c r="F2097" s="10">
        <v>34.740555000000001</v>
      </c>
      <c r="G2097" s="10">
        <v>1</v>
      </c>
      <c r="H2097" s="10" t="s">
        <v>1670</v>
      </c>
      <c r="I2097" s="10" t="s">
        <v>6457</v>
      </c>
      <c r="J2097" s="10" t="s">
        <v>6458</v>
      </c>
      <c r="K2097" s="10" t="s">
        <v>6459</v>
      </c>
      <c r="L2097" s="65" t="str">
        <f t="shared" si="163"/>
        <v>Sfax|Tunis|10,760278|34,740555|+1:00 Africa</v>
      </c>
      <c r="M2097" s="10" t="s">
        <v>6462</v>
      </c>
      <c r="N2097" s="10">
        <f t="shared" si="160"/>
        <v>0</v>
      </c>
      <c r="O2097" t="str">
        <f t="shared" si="164"/>
        <v/>
      </c>
      <c r="P2097" t="str">
        <f>IF(O2097=1,COUNTIF($O$2:O2097,1),"")</f>
        <v/>
      </c>
      <c r="Q2097" t="str">
        <f>IFERROR(INDEX($M$2:$M$2388,MATCH(ROWS($P$2:P2097),$P$2:$P$2388,0)),"")</f>
        <v/>
      </c>
    </row>
    <row r="2098" spans="1:17" ht="15" x14ac:dyDescent="0.25">
      <c r="A2098" s="10">
        <v>2084</v>
      </c>
      <c r="B2098" s="10" t="s">
        <v>6458</v>
      </c>
      <c r="C2098" s="880">
        <f t="shared" si="161"/>
        <v>10.1797</v>
      </c>
      <c r="D2098" s="880">
        <f t="shared" si="162"/>
        <v>36.802700000000002</v>
      </c>
      <c r="E2098" s="10">
        <v>10.179722</v>
      </c>
      <c r="F2098" s="10">
        <v>36.802776000000001</v>
      </c>
      <c r="G2098" s="10">
        <v>1</v>
      </c>
      <c r="H2098" s="10" t="s">
        <v>1670</v>
      </c>
      <c r="I2098" s="10" t="s">
        <v>6457</v>
      </c>
      <c r="J2098" s="10" t="s">
        <v>6458</v>
      </c>
      <c r="K2098" s="10" t="s">
        <v>6459</v>
      </c>
      <c r="L2098" s="65" t="str">
        <f t="shared" si="163"/>
        <v>Tunis|Tunis|10,179722|36,802776|+1:00 Africa</v>
      </c>
      <c r="M2098" s="10" t="s">
        <v>6463</v>
      </c>
      <c r="N2098" s="10">
        <f t="shared" si="160"/>
        <v>0</v>
      </c>
      <c r="O2098" t="str">
        <f t="shared" si="164"/>
        <v/>
      </c>
      <c r="P2098" t="str">
        <f>IF(O2098=1,COUNTIF($O$2:O2098,1),"")</f>
        <v/>
      </c>
      <c r="Q2098" t="str">
        <f>IFERROR(INDEX($M$2:$M$2388,MATCH(ROWS($P$2:P2098),$P$2:$P$2388,0)),"")</f>
        <v/>
      </c>
    </row>
    <row r="2099" spans="1:17" ht="15" x14ac:dyDescent="0.25">
      <c r="A2099" s="10">
        <v>2082</v>
      </c>
      <c r="B2099" s="10" t="s">
        <v>6464</v>
      </c>
      <c r="C2099" s="880">
        <f t="shared" si="161"/>
        <v>10.15</v>
      </c>
      <c r="D2099" s="880">
        <f t="shared" si="162"/>
        <v>36.4</v>
      </c>
      <c r="E2099" s="10">
        <v>10.15</v>
      </c>
      <c r="F2099" s="10">
        <v>36.400002000000001</v>
      </c>
      <c r="G2099" s="10">
        <v>1</v>
      </c>
      <c r="H2099" s="10" t="s">
        <v>1670</v>
      </c>
      <c r="I2099" s="10" t="s">
        <v>6457</v>
      </c>
      <c r="J2099" s="10" t="s">
        <v>6458</v>
      </c>
      <c r="K2099" s="10" t="s">
        <v>6459</v>
      </c>
      <c r="L2099" s="65" t="str">
        <f t="shared" si="163"/>
        <v>Zaghouan|Tunis|10,150000|36,400002|+1:00 Africa</v>
      </c>
      <c r="M2099" s="10" t="s">
        <v>6465</v>
      </c>
      <c r="N2099" s="10">
        <f t="shared" si="160"/>
        <v>0</v>
      </c>
      <c r="O2099" t="str">
        <f t="shared" si="164"/>
        <v/>
      </c>
      <c r="P2099" t="str">
        <f>IF(O2099=1,COUNTIF($O$2:O2099,1),"")</f>
        <v/>
      </c>
      <c r="Q2099" t="str">
        <f>IFERROR(INDEX($M$2:$M$2388,MATCH(ROWS($P$2:P2099),$P$2:$P$2388,0)),"")</f>
        <v/>
      </c>
    </row>
    <row r="2100" spans="1:17" ht="15" x14ac:dyDescent="0.25">
      <c r="A2100" s="10">
        <v>2081</v>
      </c>
      <c r="B2100" s="10" t="s">
        <v>6466</v>
      </c>
      <c r="C2100" s="880">
        <f t="shared" si="161"/>
        <v>10.583299999999999</v>
      </c>
      <c r="D2100" s="880">
        <f t="shared" si="162"/>
        <v>36.65</v>
      </c>
      <c r="E2100" s="10">
        <v>10.583333</v>
      </c>
      <c r="F2100" s="10">
        <v>36.650002000000001</v>
      </c>
      <c r="G2100" s="10">
        <v>1</v>
      </c>
      <c r="H2100" s="10" t="s">
        <v>1670</v>
      </c>
      <c r="I2100" s="10" t="s">
        <v>6457</v>
      </c>
      <c r="J2100" s="10" t="s">
        <v>6458</v>
      </c>
      <c r="K2100" s="10" t="s">
        <v>6459</v>
      </c>
      <c r="L2100" s="65" t="str">
        <f t="shared" si="163"/>
        <v>Zawiyat al Jadidi|Tunis|10,583333|36,650002|+1:00 Africa</v>
      </c>
      <c r="M2100" s="10" t="s">
        <v>6467</v>
      </c>
      <c r="N2100" s="10">
        <f t="shared" si="160"/>
        <v>0</v>
      </c>
      <c r="O2100" t="str">
        <f t="shared" si="164"/>
        <v/>
      </c>
      <c r="P2100" t="str">
        <f>IF(O2100=1,COUNTIF($O$2:O2100,1),"")</f>
        <v/>
      </c>
      <c r="Q2100" t="str">
        <f>IFERROR(INDEX($M$2:$M$2388,MATCH(ROWS($P$2:P2100),$P$2:$P$2388,0)),"")</f>
        <v/>
      </c>
    </row>
    <row r="2101" spans="1:17" ht="15" x14ac:dyDescent="0.25">
      <c r="A2101" s="10">
        <v>2114</v>
      </c>
      <c r="B2101" s="10" t="s">
        <v>6468</v>
      </c>
      <c r="C2101" s="880">
        <f t="shared" si="161"/>
        <v>35.328800000000001</v>
      </c>
      <c r="D2101" s="880">
        <f t="shared" si="162"/>
        <v>37.001600000000003</v>
      </c>
      <c r="E2101" s="10">
        <v>35.328887999999999</v>
      </c>
      <c r="F2101" s="10">
        <v>37.001666999999998</v>
      </c>
      <c r="G2101" s="10">
        <v>2</v>
      </c>
      <c r="H2101" s="10" t="s">
        <v>1938</v>
      </c>
      <c r="I2101" s="10" t="s">
        <v>6469</v>
      </c>
      <c r="J2101" s="10" t="s">
        <v>6470</v>
      </c>
      <c r="K2101" s="10" t="s">
        <v>6471</v>
      </c>
      <c r="L2101" s="65" t="str">
        <f t="shared" si="163"/>
        <v>Adana|Turkey|35,328888|37,001667|+2:00 Europe</v>
      </c>
      <c r="M2101" s="10" t="s">
        <v>6472</v>
      </c>
      <c r="N2101" s="10">
        <f t="shared" si="160"/>
        <v>0</v>
      </c>
      <c r="O2101" t="str">
        <f t="shared" si="164"/>
        <v/>
      </c>
      <c r="P2101" t="str">
        <f>IF(O2101=1,COUNTIF($O$2:O2101,1),"")</f>
        <v/>
      </c>
      <c r="Q2101" t="str">
        <f>IFERROR(INDEX($M$2:$M$2388,MATCH(ROWS($P$2:P2101),$P$2:$P$2388,0)),"")</f>
        <v/>
      </c>
    </row>
    <row r="2102" spans="1:17" ht="15" x14ac:dyDescent="0.25">
      <c r="A2102" s="10">
        <v>2113</v>
      </c>
      <c r="B2102" s="10" t="s">
        <v>6473</v>
      </c>
      <c r="C2102" s="880">
        <f t="shared" si="161"/>
        <v>38.278300000000002</v>
      </c>
      <c r="D2102" s="880">
        <f t="shared" si="162"/>
        <v>37.759099999999997</v>
      </c>
      <c r="E2102" s="10">
        <v>38.278331999999999</v>
      </c>
      <c r="F2102" s="10">
        <v>37.759166999999998</v>
      </c>
      <c r="G2102" s="10">
        <v>2</v>
      </c>
      <c r="H2102" s="10" t="s">
        <v>1938</v>
      </c>
      <c r="I2102" s="10" t="s">
        <v>6469</v>
      </c>
      <c r="J2102" s="10" t="s">
        <v>6470</v>
      </c>
      <c r="K2102" s="10" t="s">
        <v>6471</v>
      </c>
      <c r="L2102" s="65" t="str">
        <f t="shared" si="163"/>
        <v>Adiyaman|Turkey|38,278332|37,759167|+2:00 Europe</v>
      </c>
      <c r="M2102" s="10" t="s">
        <v>6474</v>
      </c>
      <c r="N2102" s="10">
        <f t="shared" si="160"/>
        <v>0</v>
      </c>
      <c r="O2102" t="str">
        <f t="shared" si="164"/>
        <v/>
      </c>
      <c r="P2102" t="str">
        <f>IF(O2102=1,COUNTIF($O$2:O2102,1),"")</f>
        <v/>
      </c>
      <c r="Q2102" t="str">
        <f>IFERROR(INDEX($M$2:$M$2388,MATCH(ROWS($P$2:P2102),$P$2:$P$2388,0)),"")</f>
        <v/>
      </c>
    </row>
    <row r="2103" spans="1:17" ht="15" x14ac:dyDescent="0.25">
      <c r="A2103" s="10">
        <v>2112</v>
      </c>
      <c r="B2103" s="10" t="s">
        <v>6475</v>
      </c>
      <c r="C2103" s="880">
        <f t="shared" si="161"/>
        <v>32.864400000000003</v>
      </c>
      <c r="D2103" s="880">
        <f t="shared" si="162"/>
        <v>39.927199999999999</v>
      </c>
      <c r="E2103" s="10">
        <v>32.864445000000003</v>
      </c>
      <c r="F2103" s="10">
        <v>39.927222999999998</v>
      </c>
      <c r="G2103" s="10">
        <v>2</v>
      </c>
      <c r="H2103" s="10" t="s">
        <v>1938</v>
      </c>
      <c r="I2103" s="10" t="s">
        <v>6469</v>
      </c>
      <c r="J2103" s="10" t="s">
        <v>6470</v>
      </c>
      <c r="K2103" s="10" t="s">
        <v>6471</v>
      </c>
      <c r="L2103" s="65" t="str">
        <f t="shared" si="163"/>
        <v>Ankara|Turkey|32,864445|39,927223|+2:00 Europe</v>
      </c>
      <c r="M2103" s="10" t="s">
        <v>6476</v>
      </c>
      <c r="N2103" s="10">
        <f t="shared" si="160"/>
        <v>0</v>
      </c>
      <c r="O2103" t="str">
        <f t="shared" si="164"/>
        <v/>
      </c>
      <c r="P2103" t="str">
        <f>IF(O2103=1,COUNTIF($O$2:O2103,1),"")</f>
        <v/>
      </c>
      <c r="Q2103" t="str">
        <f>IFERROR(INDEX($M$2:$M$2388,MATCH(ROWS($P$2:P2103),$P$2:$P$2388,0)),"")</f>
        <v/>
      </c>
    </row>
    <row r="2104" spans="1:17" ht="15" x14ac:dyDescent="0.25">
      <c r="A2104" s="10">
        <v>2111</v>
      </c>
      <c r="B2104" s="10" t="s">
        <v>6477</v>
      </c>
      <c r="C2104" s="880">
        <f t="shared" si="161"/>
        <v>30.689699999999998</v>
      </c>
      <c r="D2104" s="880">
        <f t="shared" si="162"/>
        <v>36.912399999999998</v>
      </c>
      <c r="E2104" s="10">
        <v>30.689722</v>
      </c>
      <c r="F2104" s="10">
        <v>36.912497999999999</v>
      </c>
      <c r="G2104" s="10">
        <v>2</v>
      </c>
      <c r="H2104" s="10" t="s">
        <v>1938</v>
      </c>
      <c r="I2104" s="10" t="s">
        <v>6469</v>
      </c>
      <c r="J2104" s="10" t="s">
        <v>6470</v>
      </c>
      <c r="K2104" s="10" t="s">
        <v>6471</v>
      </c>
      <c r="L2104" s="65" t="str">
        <f t="shared" si="163"/>
        <v>Antalya|Turkey|30,689722|36,912498|+2:00 Europe</v>
      </c>
      <c r="M2104" s="10" t="s">
        <v>6478</v>
      </c>
      <c r="N2104" s="10">
        <f t="shared" si="160"/>
        <v>0</v>
      </c>
      <c r="O2104" t="str">
        <f t="shared" si="164"/>
        <v/>
      </c>
      <c r="P2104" t="str">
        <f>IF(O2104=1,COUNTIF($O$2:O2104,1),"")</f>
        <v/>
      </c>
      <c r="Q2104" t="str">
        <f>IFERROR(INDEX($M$2:$M$2388,MATCH(ROWS($P$2:P2104),$P$2:$P$2388,0)),"")</f>
        <v/>
      </c>
    </row>
    <row r="2105" spans="1:17" ht="15" x14ac:dyDescent="0.25">
      <c r="A2105" s="10">
        <v>2110</v>
      </c>
      <c r="B2105" s="10" t="s">
        <v>6479</v>
      </c>
      <c r="C2105" s="880">
        <f t="shared" si="161"/>
        <v>27.886099999999999</v>
      </c>
      <c r="D2105" s="880">
        <f t="shared" si="162"/>
        <v>39.649099999999997</v>
      </c>
      <c r="E2105" s="10">
        <v>27.886109999999999</v>
      </c>
      <c r="F2105" s="10">
        <v>39.649166000000001</v>
      </c>
      <c r="G2105" s="10">
        <v>2</v>
      </c>
      <c r="H2105" s="10" t="s">
        <v>1938</v>
      </c>
      <c r="I2105" s="10" t="s">
        <v>6469</v>
      </c>
      <c r="J2105" s="10" t="s">
        <v>6470</v>
      </c>
      <c r="K2105" s="10" t="s">
        <v>6471</v>
      </c>
      <c r="L2105" s="65" t="str">
        <f t="shared" si="163"/>
        <v>Balikesir|Turkey|27,886110|39,649166|+2:00 Europe</v>
      </c>
      <c r="M2105" s="10" t="s">
        <v>6480</v>
      </c>
      <c r="N2105" s="10">
        <f t="shared" si="160"/>
        <v>0</v>
      </c>
      <c r="O2105" t="str">
        <f t="shared" si="164"/>
        <v/>
      </c>
      <c r="P2105" t="str">
        <f>IF(O2105=1,COUNTIF($O$2:O2105,1),"")</f>
        <v/>
      </c>
      <c r="Q2105" t="str">
        <f>IFERROR(INDEX($M$2:$M$2388,MATCH(ROWS($P$2:P2105),$P$2:$P$2388,0)),"")</f>
        <v/>
      </c>
    </row>
    <row r="2106" spans="1:17" ht="15" x14ac:dyDescent="0.25">
      <c r="A2106" s="10">
        <v>2115</v>
      </c>
      <c r="B2106" s="10" t="s">
        <v>6481</v>
      </c>
      <c r="C2106" s="880">
        <f t="shared" si="161"/>
        <v>32.730800000000002</v>
      </c>
      <c r="D2106" s="880">
        <f t="shared" si="162"/>
        <v>39.968299999999999</v>
      </c>
      <c r="E2106" s="10">
        <v>32.730834999999999</v>
      </c>
      <c r="F2106" s="10">
        <v>39.968333999999999</v>
      </c>
      <c r="G2106" s="10">
        <v>2</v>
      </c>
      <c r="H2106" s="10" t="s">
        <v>1938</v>
      </c>
      <c r="I2106" s="10" t="s">
        <v>6469</v>
      </c>
      <c r="J2106" s="10" t="s">
        <v>6470</v>
      </c>
      <c r="K2106" s="10" t="s">
        <v>6471</v>
      </c>
      <c r="L2106" s="65" t="str">
        <f t="shared" si="163"/>
        <v>Batikent|Turkey|32,730835|39,968334|+2:00 Europe</v>
      </c>
      <c r="M2106" s="10" t="s">
        <v>6482</v>
      </c>
      <c r="N2106" s="10">
        <f t="shared" si="160"/>
        <v>0</v>
      </c>
      <c r="O2106" t="str">
        <f t="shared" si="164"/>
        <v/>
      </c>
      <c r="P2106" t="str">
        <f>IF(O2106=1,COUNTIF($O$2:O2106,1),"")</f>
        <v/>
      </c>
      <c r="Q2106" t="str">
        <f>IFERROR(INDEX($M$2:$M$2388,MATCH(ROWS($P$2:P2106),$P$2:$P$2388,0)),"")</f>
        <v/>
      </c>
    </row>
    <row r="2107" spans="1:17" ht="15" x14ac:dyDescent="0.25">
      <c r="A2107" s="10">
        <v>2109</v>
      </c>
      <c r="B2107" s="10" t="s">
        <v>6483</v>
      </c>
      <c r="C2107" s="880">
        <f t="shared" si="161"/>
        <v>41.1205</v>
      </c>
      <c r="D2107" s="880">
        <f t="shared" si="162"/>
        <v>37.8827</v>
      </c>
      <c r="E2107" s="10">
        <v>41.120556000000001</v>
      </c>
      <c r="F2107" s="10">
        <v>37.882778000000002</v>
      </c>
      <c r="G2107" s="10">
        <v>2</v>
      </c>
      <c r="H2107" s="10" t="s">
        <v>1938</v>
      </c>
      <c r="I2107" s="10" t="s">
        <v>6469</v>
      </c>
      <c r="J2107" s="10" t="s">
        <v>6470</v>
      </c>
      <c r="K2107" s="10" t="s">
        <v>6471</v>
      </c>
      <c r="L2107" s="65" t="str">
        <f t="shared" si="163"/>
        <v>Batman|Turkey|41,120556|37,882778|+2:00 Europe</v>
      </c>
      <c r="M2107" s="10" t="s">
        <v>6484</v>
      </c>
      <c r="N2107" s="10">
        <f t="shared" si="160"/>
        <v>0</v>
      </c>
      <c r="O2107" t="str">
        <f t="shared" si="164"/>
        <v/>
      </c>
      <c r="P2107" t="str">
        <f>IF(O2107=1,COUNTIF($O$2:O2107,1),"")</f>
        <v/>
      </c>
      <c r="Q2107" t="str">
        <f>IFERROR(INDEX($M$2:$M$2388,MATCH(ROWS($P$2:P2107),$P$2:$P$2388,0)),"")</f>
        <v/>
      </c>
    </row>
    <row r="2108" spans="1:17" ht="15" x14ac:dyDescent="0.25">
      <c r="A2108" s="10">
        <v>2122</v>
      </c>
      <c r="B2108" s="10" t="s">
        <v>6485</v>
      </c>
      <c r="C2108" s="880">
        <f t="shared" si="161"/>
        <v>29.0611</v>
      </c>
      <c r="D2108" s="880">
        <f t="shared" si="162"/>
        <v>40.191600000000001</v>
      </c>
      <c r="E2108" s="10">
        <v>29.061111</v>
      </c>
      <c r="F2108" s="10">
        <v>40.191665999999998</v>
      </c>
      <c r="G2108" s="10">
        <v>2</v>
      </c>
      <c r="H2108" s="10" t="s">
        <v>1938</v>
      </c>
      <c r="I2108" s="10" t="s">
        <v>6469</v>
      </c>
      <c r="J2108" s="10" t="s">
        <v>6470</v>
      </c>
      <c r="K2108" s="10" t="s">
        <v>6471</v>
      </c>
      <c r="L2108" s="65" t="str">
        <f t="shared" si="163"/>
        <v>Bursa|Turkey|29,061111|40,191666|+2:00 Europe</v>
      </c>
      <c r="M2108" s="10" t="s">
        <v>6486</v>
      </c>
      <c r="N2108" s="10">
        <f t="shared" si="160"/>
        <v>0</v>
      </c>
      <c r="O2108" t="str">
        <f t="shared" si="164"/>
        <v/>
      </c>
      <c r="P2108" t="str">
        <f>IF(O2108=1,COUNTIF($O$2:O2108,1),"")</f>
        <v/>
      </c>
      <c r="Q2108" t="str">
        <f>IFERROR(INDEX($M$2:$M$2388,MATCH(ROWS($P$2:P2108),$P$2:$P$2388,0)),"")</f>
        <v/>
      </c>
    </row>
    <row r="2109" spans="1:17" ht="15" x14ac:dyDescent="0.25">
      <c r="A2109" s="10">
        <v>2121</v>
      </c>
      <c r="B2109" s="10" t="s">
        <v>6487</v>
      </c>
      <c r="C2109" s="880">
        <f t="shared" si="161"/>
        <v>27.799900000000001</v>
      </c>
      <c r="D2109" s="880">
        <f t="shared" si="162"/>
        <v>41.159100000000002</v>
      </c>
      <c r="E2109" s="10">
        <v>27.799999</v>
      </c>
      <c r="F2109" s="10">
        <v>41.159168000000001</v>
      </c>
      <c r="G2109" s="10">
        <v>2</v>
      </c>
      <c r="H2109" s="10" t="s">
        <v>1938</v>
      </c>
      <c r="I2109" s="10" t="s">
        <v>6469</v>
      </c>
      <c r="J2109" s="10" t="s">
        <v>6470</v>
      </c>
      <c r="K2109" s="10" t="s">
        <v>6471</v>
      </c>
      <c r="L2109" s="65" t="str">
        <f t="shared" si="163"/>
        <v>Corlu|Turkey|27,799999|41,159168|+2:00 Europe</v>
      </c>
      <c r="M2109" s="10" t="s">
        <v>6488</v>
      </c>
      <c r="N2109" s="10">
        <f t="shared" si="160"/>
        <v>0</v>
      </c>
      <c r="O2109" t="str">
        <f t="shared" si="164"/>
        <v/>
      </c>
      <c r="P2109" t="str">
        <f>IF(O2109=1,COUNTIF($O$2:O2109,1),"")</f>
        <v/>
      </c>
      <c r="Q2109" t="str">
        <f>IFERROR(INDEX($M$2:$M$2388,MATCH(ROWS($P$2:P2109),$P$2:$P$2388,0)),"")</f>
        <v/>
      </c>
    </row>
    <row r="2110" spans="1:17" ht="15" x14ac:dyDescent="0.25">
      <c r="A2110" s="10">
        <v>2108</v>
      </c>
      <c r="B2110" s="10" t="s">
        <v>6489</v>
      </c>
      <c r="C2110" s="880">
        <f t="shared" si="161"/>
        <v>29.087499999999999</v>
      </c>
      <c r="D2110" s="880">
        <f t="shared" si="162"/>
        <v>37.774099999999997</v>
      </c>
      <c r="E2110" s="10">
        <v>29.087499999999999</v>
      </c>
      <c r="F2110" s="10">
        <v>37.774166000000001</v>
      </c>
      <c r="G2110" s="10">
        <v>2</v>
      </c>
      <c r="H2110" s="10" t="s">
        <v>1938</v>
      </c>
      <c r="I2110" s="10" t="s">
        <v>6469</v>
      </c>
      <c r="J2110" s="10" t="s">
        <v>6470</v>
      </c>
      <c r="K2110" s="10" t="s">
        <v>6471</v>
      </c>
      <c r="L2110" s="65" t="str">
        <f t="shared" si="163"/>
        <v>Denizli|Turkey|29,087500|37,774166|+2:00 Europe</v>
      </c>
      <c r="M2110" s="10" t="s">
        <v>6490</v>
      </c>
      <c r="N2110" s="10">
        <f t="shared" si="160"/>
        <v>0</v>
      </c>
      <c r="O2110" t="str">
        <f t="shared" si="164"/>
        <v/>
      </c>
      <c r="P2110" t="str">
        <f>IF(O2110=1,COUNTIF($O$2:O2110,1),"")</f>
        <v/>
      </c>
      <c r="Q2110" t="str">
        <f>IFERROR(INDEX($M$2:$M$2388,MATCH(ROWS($P$2:P2110),$P$2:$P$2388,0)),"")</f>
        <v/>
      </c>
    </row>
    <row r="2111" spans="1:17" ht="15" x14ac:dyDescent="0.25">
      <c r="A2111" s="10">
        <v>2107</v>
      </c>
      <c r="B2111" s="10" t="s">
        <v>6491</v>
      </c>
      <c r="C2111" s="880">
        <f t="shared" si="161"/>
        <v>40.210500000000003</v>
      </c>
      <c r="D2111" s="880">
        <f t="shared" si="162"/>
        <v>37.918799999999997</v>
      </c>
      <c r="E2111" s="10">
        <v>40.210555999999997</v>
      </c>
      <c r="F2111" s="10">
        <v>37.918888000000003</v>
      </c>
      <c r="G2111" s="10">
        <v>2</v>
      </c>
      <c r="H2111" s="10" t="s">
        <v>1938</v>
      </c>
      <c r="I2111" s="10" t="s">
        <v>6469</v>
      </c>
      <c r="J2111" s="10" t="s">
        <v>6470</v>
      </c>
      <c r="K2111" s="10" t="s">
        <v>6471</v>
      </c>
      <c r="L2111" s="65" t="str">
        <f t="shared" si="163"/>
        <v>Diyarbakir|Turkey|40,210556|37,918888|+2:00 Europe</v>
      </c>
      <c r="M2111" s="10" t="s">
        <v>6492</v>
      </c>
      <c r="N2111" s="10">
        <f t="shared" si="160"/>
        <v>0</v>
      </c>
      <c r="O2111" t="str">
        <f t="shared" si="164"/>
        <v/>
      </c>
      <c r="P2111" t="str">
        <f>IF(O2111=1,COUNTIF($O$2:O2111,1),"")</f>
        <v/>
      </c>
      <c r="Q2111" t="str">
        <f>IFERROR(INDEX($M$2:$M$2388,MATCH(ROWS($P$2:P2111),$P$2:$P$2388,0)),"")</f>
        <v/>
      </c>
    </row>
    <row r="2112" spans="1:17" ht="15" x14ac:dyDescent="0.25">
      <c r="A2112" s="10">
        <v>2106</v>
      </c>
      <c r="B2112" s="10" t="s">
        <v>6493</v>
      </c>
      <c r="C2112" s="880">
        <f t="shared" si="161"/>
        <v>39.220500000000001</v>
      </c>
      <c r="D2112" s="880">
        <f t="shared" si="162"/>
        <v>38.675199999999997</v>
      </c>
      <c r="E2112" s="10">
        <v>39.220554</v>
      </c>
      <c r="F2112" s="10">
        <v>38.675277999999999</v>
      </c>
      <c r="G2112" s="10">
        <v>2</v>
      </c>
      <c r="H2112" s="10" t="s">
        <v>1938</v>
      </c>
      <c r="I2112" s="10" t="s">
        <v>6469</v>
      </c>
      <c r="J2112" s="10" t="s">
        <v>6470</v>
      </c>
      <c r="K2112" s="10" t="s">
        <v>6471</v>
      </c>
      <c r="L2112" s="65" t="str">
        <f t="shared" si="163"/>
        <v>Elazig|Turkey|39,220554|38,675278|+2:00 Europe</v>
      </c>
      <c r="M2112" s="10" t="s">
        <v>6494</v>
      </c>
      <c r="N2112" s="10">
        <f t="shared" si="160"/>
        <v>0</v>
      </c>
      <c r="O2112" t="str">
        <f t="shared" si="164"/>
        <v/>
      </c>
      <c r="P2112" t="str">
        <f>IF(O2112=1,COUNTIF($O$2:O2112,1),"")</f>
        <v/>
      </c>
      <c r="Q2112" t="str">
        <f>IFERROR(INDEX($M$2:$M$2388,MATCH(ROWS($P$2:P2112),$P$2:$P$2388,0)),"")</f>
        <v/>
      </c>
    </row>
    <row r="2113" spans="1:17" ht="15" x14ac:dyDescent="0.25">
      <c r="A2113" s="10">
        <v>2105</v>
      </c>
      <c r="B2113" s="10" t="s">
        <v>6495</v>
      </c>
      <c r="C2113" s="880">
        <f t="shared" si="161"/>
        <v>41.276899999999998</v>
      </c>
      <c r="D2113" s="880">
        <f t="shared" si="162"/>
        <v>39.9086</v>
      </c>
      <c r="E2113" s="10">
        <v>41.276943000000003</v>
      </c>
      <c r="F2113" s="10">
        <v>39.908611000000001</v>
      </c>
      <c r="G2113" s="10">
        <v>2</v>
      </c>
      <c r="H2113" s="10" t="s">
        <v>1938</v>
      </c>
      <c r="I2113" s="10" t="s">
        <v>6469</v>
      </c>
      <c r="J2113" s="10" t="s">
        <v>6470</v>
      </c>
      <c r="K2113" s="10" t="s">
        <v>6471</v>
      </c>
      <c r="L2113" s="65" t="str">
        <f t="shared" si="163"/>
        <v>Erzurum|Turkey|41,276943|39,908611|+2:00 Europe</v>
      </c>
      <c r="M2113" s="10" t="s">
        <v>6496</v>
      </c>
      <c r="N2113" s="10">
        <f t="shared" si="160"/>
        <v>0</v>
      </c>
      <c r="O2113" t="str">
        <f t="shared" si="164"/>
        <v/>
      </c>
      <c r="P2113" t="str">
        <f>IF(O2113=1,COUNTIF($O$2:O2113,1),"")</f>
        <v/>
      </c>
      <c r="Q2113" t="str">
        <f>IFERROR(INDEX($M$2:$M$2388,MATCH(ROWS($P$2:P2113),$P$2:$P$2388,0)),"")</f>
        <v/>
      </c>
    </row>
    <row r="2114" spans="1:17" ht="15" x14ac:dyDescent="0.25">
      <c r="A2114" s="10">
        <v>2120</v>
      </c>
      <c r="B2114" s="10" t="s">
        <v>6497</v>
      </c>
      <c r="C2114" s="880">
        <f t="shared" si="161"/>
        <v>28.6752</v>
      </c>
      <c r="D2114" s="880">
        <f t="shared" si="162"/>
        <v>41.033299999999997</v>
      </c>
      <c r="E2114" s="10">
        <v>28.675277999999999</v>
      </c>
      <c r="F2114" s="10">
        <v>41.033332999999999</v>
      </c>
      <c r="G2114" s="10">
        <v>2</v>
      </c>
      <c r="H2114" s="10" t="s">
        <v>1938</v>
      </c>
      <c r="I2114" s="10" t="s">
        <v>6469</v>
      </c>
      <c r="J2114" s="10" t="s">
        <v>6470</v>
      </c>
      <c r="K2114" s="10" t="s">
        <v>6471</v>
      </c>
      <c r="L2114" s="65" t="str">
        <f t="shared" si="163"/>
        <v>Esenyurt|Turkey|28,675278|41,033333|+2:00 Europe</v>
      </c>
      <c r="M2114" s="10" t="s">
        <v>6498</v>
      </c>
      <c r="N2114" s="10">
        <f t="shared" ref="N2114:N2177" si="165">--ISNUMBER(IFERROR(SEARCH($R$2,J2114,1),""))</f>
        <v>0</v>
      </c>
      <c r="O2114" t="str">
        <f t="shared" si="164"/>
        <v/>
      </c>
      <c r="P2114" t="str">
        <f>IF(O2114=1,COUNTIF($O$2:O2114,1),"")</f>
        <v/>
      </c>
      <c r="Q2114" t="str">
        <f>IFERROR(INDEX($M$2:$M$2388,MATCH(ROWS($P$2:P2114),$P$2:$P$2388,0)),"")</f>
        <v/>
      </c>
    </row>
    <row r="2115" spans="1:17" ht="15" x14ac:dyDescent="0.25">
      <c r="A2115" s="10">
        <v>2104</v>
      </c>
      <c r="B2115" s="10" t="s">
        <v>6499</v>
      </c>
      <c r="C2115" s="880">
        <f t="shared" ref="C2115:C2178" si="166">TRUNC(E2115,4)</f>
        <v>30.520499999999998</v>
      </c>
      <c r="D2115" s="880">
        <f t="shared" ref="D2115:D2178" si="167">TRUNC(F2115,4)</f>
        <v>39.776600000000002</v>
      </c>
      <c r="E2115" s="10">
        <v>30.520555000000002</v>
      </c>
      <c r="F2115" s="10">
        <v>39.776668999999998</v>
      </c>
      <c r="G2115" s="10">
        <v>2</v>
      </c>
      <c r="H2115" s="10" t="s">
        <v>1938</v>
      </c>
      <c r="I2115" s="10" t="s">
        <v>6469</v>
      </c>
      <c r="J2115" s="10" t="s">
        <v>6470</v>
      </c>
      <c r="K2115" s="10" t="s">
        <v>6471</v>
      </c>
      <c r="L2115" s="65" t="str">
        <f t="shared" ref="L2115:L2178" si="168">MID(M2115,1,LEN(M2115)-(LEN(K2115)-SEARCH("/",K2115)+1))</f>
        <v>Eskisehir|Turkey|30,520555|39,776669|+2:00 Europe</v>
      </c>
      <c r="M2115" s="10" t="s">
        <v>6500</v>
      </c>
      <c r="N2115" s="10">
        <f t="shared" si="165"/>
        <v>0</v>
      </c>
      <c r="O2115" t="str">
        <f t="shared" ref="O2115:O2178" si="169">IF(N2115=0,"",--ISNUMBER(IFERROR(SEARCH($U$2,L2115,1),"")))</f>
        <v/>
      </c>
      <c r="P2115" t="str">
        <f>IF(O2115=1,COUNTIF($O$2:O2115,1),"")</f>
        <v/>
      </c>
      <c r="Q2115" t="str">
        <f>IFERROR(INDEX($M$2:$M$2388,MATCH(ROWS($P$2:P2115),$P$2:$P$2388,0)),"")</f>
        <v/>
      </c>
    </row>
    <row r="2116" spans="1:17" ht="15" x14ac:dyDescent="0.25">
      <c r="A2116" s="10">
        <v>2103</v>
      </c>
      <c r="B2116" s="10" t="s">
        <v>6501</v>
      </c>
      <c r="C2116" s="880">
        <f t="shared" si="166"/>
        <v>31.166599999999999</v>
      </c>
      <c r="D2116" s="880">
        <f t="shared" si="167"/>
        <v>39.666600000000003</v>
      </c>
      <c r="E2116" s="10">
        <v>31.166665999999999</v>
      </c>
      <c r="F2116" s="10">
        <v>39.666668000000001</v>
      </c>
      <c r="G2116" s="10">
        <v>2</v>
      </c>
      <c r="H2116" s="10" t="s">
        <v>1938</v>
      </c>
      <c r="I2116" s="10" t="s">
        <v>6469</v>
      </c>
      <c r="J2116" s="10" t="s">
        <v>6470</v>
      </c>
      <c r="K2116" s="10" t="s">
        <v>6471</v>
      </c>
      <c r="L2116" s="65" t="str">
        <f t="shared" si="168"/>
        <v>Eskisehir Ili|Turkey|31,166666|39,666668|+2:00 Europe</v>
      </c>
      <c r="M2116" s="10" t="s">
        <v>6502</v>
      </c>
      <c r="N2116" s="10">
        <f t="shared" si="165"/>
        <v>0</v>
      </c>
      <c r="O2116" t="str">
        <f t="shared" si="169"/>
        <v/>
      </c>
      <c r="P2116" t="str">
        <f>IF(O2116=1,COUNTIF($O$2:O2116,1),"")</f>
        <v/>
      </c>
      <c r="Q2116" t="str">
        <f>IFERROR(INDEX($M$2:$M$2388,MATCH(ROWS($P$2:P2116),$P$2:$P$2388,0)),"")</f>
        <v/>
      </c>
    </row>
    <row r="2117" spans="1:17" ht="15" x14ac:dyDescent="0.25">
      <c r="A2117" s="10">
        <v>2102</v>
      </c>
      <c r="B2117" s="10" t="s">
        <v>6503</v>
      </c>
      <c r="C2117" s="880">
        <f t="shared" si="166"/>
        <v>37.3825</v>
      </c>
      <c r="D2117" s="880">
        <f t="shared" si="167"/>
        <v>37.059399999999997</v>
      </c>
      <c r="E2117" s="10">
        <v>37.3825</v>
      </c>
      <c r="F2117" s="10">
        <v>37.059443999999999</v>
      </c>
      <c r="G2117" s="10">
        <v>2</v>
      </c>
      <c r="H2117" s="10" t="s">
        <v>1938</v>
      </c>
      <c r="I2117" s="10" t="s">
        <v>6469</v>
      </c>
      <c r="J2117" s="10" t="s">
        <v>6470</v>
      </c>
      <c r="K2117" s="10" t="s">
        <v>6471</v>
      </c>
      <c r="L2117" s="65" t="str">
        <f t="shared" si="168"/>
        <v>Gaziantep|Turkey|37,382500|37,059444|+2:00 Europe</v>
      </c>
      <c r="M2117" s="10" t="s">
        <v>6504</v>
      </c>
      <c r="N2117" s="10">
        <f t="shared" si="165"/>
        <v>0</v>
      </c>
      <c r="O2117" t="str">
        <f t="shared" si="169"/>
        <v/>
      </c>
      <c r="P2117" t="str">
        <f>IF(O2117=1,COUNTIF($O$2:O2117,1),"")</f>
        <v/>
      </c>
      <c r="Q2117" t="str">
        <f>IFERROR(INDEX($M$2:$M$2388,MATCH(ROWS($P$2:P2117),$P$2:$P$2388,0)),"")</f>
        <v/>
      </c>
    </row>
    <row r="2118" spans="1:17" ht="15" x14ac:dyDescent="0.25">
      <c r="A2118" s="10">
        <v>2119</v>
      </c>
      <c r="B2118" s="10" t="s">
        <v>6505</v>
      </c>
      <c r="C2118" s="880">
        <f t="shared" si="166"/>
        <v>29.430499999999999</v>
      </c>
      <c r="D2118" s="880">
        <f t="shared" si="167"/>
        <v>40.797699999999999</v>
      </c>
      <c r="E2118" s="10">
        <v>29.430554999999998</v>
      </c>
      <c r="F2118" s="10">
        <v>40.797778999999998</v>
      </c>
      <c r="G2118" s="10">
        <v>2</v>
      </c>
      <c r="H2118" s="10" t="s">
        <v>1938</v>
      </c>
      <c r="I2118" s="10" t="s">
        <v>6469</v>
      </c>
      <c r="J2118" s="10" t="s">
        <v>6470</v>
      </c>
      <c r="K2118" s="10" t="s">
        <v>6471</v>
      </c>
      <c r="L2118" s="65" t="str">
        <f t="shared" si="168"/>
        <v>Gebze|Turkey|29,430555|40,797779|+2:00 Europe</v>
      </c>
      <c r="M2118" s="10" t="s">
        <v>6506</v>
      </c>
      <c r="N2118" s="10">
        <f t="shared" si="165"/>
        <v>0</v>
      </c>
      <c r="O2118" t="str">
        <f t="shared" si="169"/>
        <v/>
      </c>
      <c r="P2118" t="str">
        <f>IF(O2118=1,COUNTIF($O$2:O2118,1),"")</f>
        <v/>
      </c>
      <c r="Q2118" t="str">
        <f>IFERROR(INDEX($M$2:$M$2388,MATCH(ROWS($P$2:P2118),$P$2:$P$2388,0)),"")</f>
        <v/>
      </c>
    </row>
    <row r="2119" spans="1:17" ht="15" x14ac:dyDescent="0.25">
      <c r="A2119" s="10">
        <v>2118</v>
      </c>
      <c r="B2119" s="10" t="s">
        <v>6507</v>
      </c>
      <c r="C2119" s="880">
        <f t="shared" si="166"/>
        <v>28.9496</v>
      </c>
      <c r="D2119" s="880">
        <f t="shared" si="167"/>
        <v>41.013800000000003</v>
      </c>
      <c r="E2119" s="10">
        <v>28.949660999999999</v>
      </c>
      <c r="F2119" s="10">
        <v>41.013843999999999</v>
      </c>
      <c r="G2119" s="10">
        <v>2</v>
      </c>
      <c r="H2119" s="10" t="s">
        <v>1938</v>
      </c>
      <c r="I2119" s="10" t="s">
        <v>6469</v>
      </c>
      <c r="J2119" s="10" t="s">
        <v>6470</v>
      </c>
      <c r="K2119" s="10" t="s">
        <v>6471</v>
      </c>
      <c r="L2119" s="65" t="str">
        <f t="shared" si="168"/>
        <v>Istanbul|Turkey|28,949661|41,013844|+2:00 Europe</v>
      </c>
      <c r="M2119" s="10" t="s">
        <v>6508</v>
      </c>
      <c r="N2119" s="10">
        <f t="shared" si="165"/>
        <v>0</v>
      </c>
      <c r="O2119" t="str">
        <f t="shared" si="169"/>
        <v/>
      </c>
      <c r="P2119" t="str">
        <f>IF(O2119=1,COUNTIF($O$2:O2119,1),"")</f>
        <v/>
      </c>
      <c r="Q2119" t="str">
        <f>IFERROR(INDEX($M$2:$M$2388,MATCH(ROWS($P$2:P2119),$P$2:$P$2388,0)),"")</f>
        <v/>
      </c>
    </row>
    <row r="2120" spans="1:17" ht="15" x14ac:dyDescent="0.25">
      <c r="A2120" s="10">
        <v>2101</v>
      </c>
      <c r="B2120" s="10" t="s">
        <v>6509</v>
      </c>
      <c r="C2120" s="880">
        <f t="shared" si="166"/>
        <v>27.150200000000002</v>
      </c>
      <c r="D2120" s="880">
        <f t="shared" si="167"/>
        <v>38.407200000000003</v>
      </c>
      <c r="E2120" s="10">
        <v>27.150278</v>
      </c>
      <c r="F2120" s="10">
        <v>38.407223000000002</v>
      </c>
      <c r="G2120" s="10">
        <v>2</v>
      </c>
      <c r="H2120" s="10" t="s">
        <v>1938</v>
      </c>
      <c r="I2120" s="10" t="s">
        <v>6469</v>
      </c>
      <c r="J2120" s="10" t="s">
        <v>6470</v>
      </c>
      <c r="K2120" s="10" t="s">
        <v>6471</v>
      </c>
      <c r="L2120" s="65" t="str">
        <f t="shared" si="168"/>
        <v>Izmir|Turkey|27,150278|38,407223|+2:00 Europe</v>
      </c>
      <c r="M2120" s="10" t="s">
        <v>6510</v>
      </c>
      <c r="N2120" s="10">
        <f t="shared" si="165"/>
        <v>0</v>
      </c>
      <c r="O2120" t="str">
        <f t="shared" si="169"/>
        <v/>
      </c>
      <c r="P2120" t="str">
        <f>IF(O2120=1,COUNTIF($O$2:O2120,1),"")</f>
        <v/>
      </c>
      <c r="Q2120" t="str">
        <f>IFERROR(INDEX($M$2:$M$2388,MATCH(ROWS($P$2:P2120),$P$2:$P$2388,0)),"")</f>
        <v/>
      </c>
    </row>
    <row r="2121" spans="1:17" ht="15" x14ac:dyDescent="0.25">
      <c r="A2121" s="10">
        <v>2100</v>
      </c>
      <c r="B2121" s="10" t="s">
        <v>6511</v>
      </c>
      <c r="C2121" s="880">
        <f t="shared" si="166"/>
        <v>36.931600000000003</v>
      </c>
      <c r="D2121" s="880">
        <f t="shared" si="167"/>
        <v>37.587499999999999</v>
      </c>
      <c r="E2121" s="10">
        <v>36.931666999999997</v>
      </c>
      <c r="F2121" s="10">
        <v>37.587502000000001</v>
      </c>
      <c r="G2121" s="10">
        <v>2</v>
      </c>
      <c r="H2121" s="10" t="s">
        <v>1938</v>
      </c>
      <c r="I2121" s="10" t="s">
        <v>6469</v>
      </c>
      <c r="J2121" s="10" t="s">
        <v>6470</v>
      </c>
      <c r="K2121" s="10" t="s">
        <v>6471</v>
      </c>
      <c r="L2121" s="65" t="str">
        <f t="shared" si="168"/>
        <v>Kahramanmaras|Turkey|36,931667|37,587502|+2:00 Europe</v>
      </c>
      <c r="M2121" s="10" t="s">
        <v>6512</v>
      </c>
      <c r="N2121" s="10">
        <f t="shared" si="165"/>
        <v>0</v>
      </c>
      <c r="O2121" t="str">
        <f t="shared" si="169"/>
        <v/>
      </c>
      <c r="P2121" t="str">
        <f>IF(O2121=1,COUNTIF($O$2:O2121,1),"")</f>
        <v/>
      </c>
      <c r="Q2121" t="str">
        <f>IFERROR(INDEX($M$2:$M$2388,MATCH(ROWS($P$2:P2121),$P$2:$P$2388,0)),"")</f>
        <v/>
      </c>
    </row>
    <row r="2122" spans="1:17" ht="15" x14ac:dyDescent="0.25">
      <c r="A2122" s="10">
        <v>2086</v>
      </c>
      <c r="B2122" s="10" t="s">
        <v>6513</v>
      </c>
      <c r="C2122" s="880">
        <f t="shared" si="166"/>
        <v>29.984999999999999</v>
      </c>
      <c r="D2122" s="880">
        <f t="shared" si="167"/>
        <v>36.244399999999999</v>
      </c>
      <c r="E2122" s="10">
        <v>29.985001</v>
      </c>
      <c r="F2122" s="10">
        <v>36.244446000000003</v>
      </c>
      <c r="G2122" s="10">
        <v>2</v>
      </c>
      <c r="H2122" s="10" t="s">
        <v>1938</v>
      </c>
      <c r="I2122" s="10" t="s">
        <v>6469</v>
      </c>
      <c r="J2122" s="10" t="s">
        <v>6470</v>
      </c>
      <c r="K2122" s="10" t="s">
        <v>6471</v>
      </c>
      <c r="L2122" s="65" t="str">
        <f t="shared" si="168"/>
        <v>Kale|Turkey|29,985001|36,244446|+2:00 Europe</v>
      </c>
      <c r="M2122" s="10" t="s">
        <v>6514</v>
      </c>
      <c r="N2122" s="10">
        <f t="shared" si="165"/>
        <v>0</v>
      </c>
      <c r="O2122" t="str">
        <f t="shared" si="169"/>
        <v/>
      </c>
      <c r="P2122" t="str">
        <f>IF(O2122=1,COUNTIF($O$2:O2122,1),"")</f>
        <v/>
      </c>
      <c r="Q2122" t="str">
        <f>IFERROR(INDEX($M$2:$M$2388,MATCH(ROWS($P$2:P2122),$P$2:$P$2388,0)),"")</f>
        <v/>
      </c>
    </row>
    <row r="2123" spans="1:17" ht="15" x14ac:dyDescent="0.25">
      <c r="A2123" s="10">
        <v>2099</v>
      </c>
      <c r="B2123" s="10" t="s">
        <v>6515</v>
      </c>
      <c r="C2123" s="880">
        <f t="shared" si="166"/>
        <v>35.485199999999999</v>
      </c>
      <c r="D2123" s="880">
        <f t="shared" si="167"/>
        <v>38.732199999999999</v>
      </c>
      <c r="E2123" s="10">
        <v>35.485278999999998</v>
      </c>
      <c r="F2123" s="10">
        <v>38.732224000000002</v>
      </c>
      <c r="G2123" s="10">
        <v>2</v>
      </c>
      <c r="H2123" s="10" t="s">
        <v>1938</v>
      </c>
      <c r="I2123" s="10" t="s">
        <v>6469</v>
      </c>
      <c r="J2123" s="10" t="s">
        <v>6470</v>
      </c>
      <c r="K2123" s="10" t="s">
        <v>6471</v>
      </c>
      <c r="L2123" s="65" t="str">
        <f t="shared" si="168"/>
        <v>Kayseri|Turkey|35,485279|38,732224|+2:00 Europe</v>
      </c>
      <c r="M2123" s="10" t="s">
        <v>6516</v>
      </c>
      <c r="N2123" s="10">
        <f t="shared" si="165"/>
        <v>0</v>
      </c>
      <c r="O2123" t="str">
        <f t="shared" si="169"/>
        <v/>
      </c>
      <c r="P2123" t="str">
        <f>IF(O2123=1,COUNTIF($O$2:O2123,1),"")</f>
        <v/>
      </c>
      <c r="Q2123" t="str">
        <f>IFERROR(INDEX($M$2:$M$2388,MATCH(ROWS($P$2:P2123),$P$2:$P$2388,0)),"")</f>
        <v/>
      </c>
    </row>
    <row r="2124" spans="1:17" ht="15" x14ac:dyDescent="0.25">
      <c r="A2124" s="10">
        <v>2098</v>
      </c>
      <c r="B2124" s="10" t="s">
        <v>6517</v>
      </c>
      <c r="C2124" s="880">
        <f t="shared" si="166"/>
        <v>33.506300000000003</v>
      </c>
      <c r="D2124" s="880">
        <f t="shared" si="167"/>
        <v>39.845199999999998</v>
      </c>
      <c r="E2124" s="10">
        <v>33.506390000000003</v>
      </c>
      <c r="F2124" s="10">
        <v>39.845280000000002</v>
      </c>
      <c r="G2124" s="10">
        <v>2</v>
      </c>
      <c r="H2124" s="10" t="s">
        <v>1938</v>
      </c>
      <c r="I2124" s="10" t="s">
        <v>6469</v>
      </c>
      <c r="J2124" s="10" t="s">
        <v>6470</v>
      </c>
      <c r="K2124" s="10" t="s">
        <v>6471</v>
      </c>
      <c r="L2124" s="65" t="str">
        <f t="shared" si="168"/>
        <v>Kirikkale|Turkey|33,506390|39,845280|+2:00 Europe</v>
      </c>
      <c r="M2124" s="10" t="s">
        <v>6518</v>
      </c>
      <c r="N2124" s="10">
        <f t="shared" si="165"/>
        <v>0</v>
      </c>
      <c r="O2124" t="str">
        <f t="shared" si="169"/>
        <v/>
      </c>
      <c r="P2124" t="str">
        <f>IF(O2124=1,COUNTIF($O$2:O2124,1),"")</f>
        <v/>
      </c>
      <c r="Q2124" t="str">
        <f>IFERROR(INDEX($M$2:$M$2388,MATCH(ROWS($P$2:P2124),$P$2:$P$2388,0)),"")</f>
        <v/>
      </c>
    </row>
    <row r="2125" spans="1:17" ht="15" x14ac:dyDescent="0.25">
      <c r="A2125" s="10">
        <v>2097</v>
      </c>
      <c r="B2125" s="10" t="s">
        <v>6519</v>
      </c>
      <c r="C2125" s="880">
        <f t="shared" si="166"/>
        <v>32.482399999999998</v>
      </c>
      <c r="D2125" s="880">
        <f t="shared" si="167"/>
        <v>37.865499999999997</v>
      </c>
      <c r="E2125" s="10">
        <v>32.482498</v>
      </c>
      <c r="F2125" s="10">
        <v>37.865555000000001</v>
      </c>
      <c r="G2125" s="10">
        <v>2</v>
      </c>
      <c r="H2125" s="10" t="s">
        <v>1938</v>
      </c>
      <c r="I2125" s="10" t="s">
        <v>6469</v>
      </c>
      <c r="J2125" s="10" t="s">
        <v>6470</v>
      </c>
      <c r="K2125" s="10" t="s">
        <v>6471</v>
      </c>
      <c r="L2125" s="65" t="str">
        <f t="shared" si="168"/>
        <v>Konya|Turkey|32,482498|37,865555|+2:00 Europe</v>
      </c>
      <c r="M2125" s="10" t="s">
        <v>6520</v>
      </c>
      <c r="N2125" s="10">
        <f t="shared" si="165"/>
        <v>0</v>
      </c>
      <c r="O2125" t="str">
        <f t="shared" si="169"/>
        <v/>
      </c>
      <c r="P2125" t="str">
        <f>IF(O2125=1,COUNTIF($O$2:O2125,1),"")</f>
        <v/>
      </c>
      <c r="Q2125" t="str">
        <f>IFERROR(INDEX($M$2:$M$2388,MATCH(ROWS($P$2:P2125),$P$2:$P$2388,0)),"")</f>
        <v/>
      </c>
    </row>
    <row r="2126" spans="1:17" ht="15" x14ac:dyDescent="0.25">
      <c r="A2126" s="10">
        <v>2096</v>
      </c>
      <c r="B2126" s="10" t="s">
        <v>6521</v>
      </c>
      <c r="C2126" s="880">
        <f t="shared" si="166"/>
        <v>38.311900000000001</v>
      </c>
      <c r="D2126" s="880">
        <f t="shared" si="167"/>
        <v>38.353299999999997</v>
      </c>
      <c r="E2126" s="10">
        <v>38.311942999999999</v>
      </c>
      <c r="F2126" s="10">
        <v>38.353332999999999</v>
      </c>
      <c r="G2126" s="10">
        <v>2</v>
      </c>
      <c r="H2126" s="10" t="s">
        <v>1938</v>
      </c>
      <c r="I2126" s="10" t="s">
        <v>6469</v>
      </c>
      <c r="J2126" s="10" t="s">
        <v>6470</v>
      </c>
      <c r="K2126" s="10" t="s">
        <v>6471</v>
      </c>
      <c r="L2126" s="65" t="str">
        <f t="shared" si="168"/>
        <v>Malatya|Turkey|38,311943|38,353333|+2:00 Europe</v>
      </c>
      <c r="M2126" s="10" t="s">
        <v>6522</v>
      </c>
      <c r="N2126" s="10">
        <f t="shared" si="165"/>
        <v>0</v>
      </c>
      <c r="O2126" t="str">
        <f t="shared" si="169"/>
        <v/>
      </c>
      <c r="P2126" t="str">
        <f>IF(O2126=1,COUNTIF($O$2:O2126,1),"")</f>
        <v/>
      </c>
      <c r="Q2126" t="str">
        <f>IFERROR(INDEX($M$2:$M$2388,MATCH(ROWS($P$2:P2126),$P$2:$P$2388,0)),"")</f>
        <v/>
      </c>
    </row>
    <row r="2127" spans="1:17" ht="15" x14ac:dyDescent="0.25">
      <c r="A2127" s="10">
        <v>2095</v>
      </c>
      <c r="B2127" s="10" t="s">
        <v>6523</v>
      </c>
      <c r="C2127" s="880">
        <f t="shared" si="166"/>
        <v>27.426100000000002</v>
      </c>
      <c r="D2127" s="880">
        <f t="shared" si="167"/>
        <v>38.613</v>
      </c>
      <c r="E2127" s="10">
        <v>27.426110999999999</v>
      </c>
      <c r="F2127" s="10">
        <v>38.613056</v>
      </c>
      <c r="G2127" s="10">
        <v>2</v>
      </c>
      <c r="H2127" s="10" t="s">
        <v>1938</v>
      </c>
      <c r="I2127" s="10" t="s">
        <v>6469</v>
      </c>
      <c r="J2127" s="10" t="s">
        <v>6470</v>
      </c>
      <c r="K2127" s="10" t="s">
        <v>6471</v>
      </c>
      <c r="L2127" s="65" t="str">
        <f t="shared" si="168"/>
        <v>Manisa|Turkey|27,426111|38,613056|+2:00 Europe</v>
      </c>
      <c r="M2127" s="10" t="s">
        <v>6524</v>
      </c>
      <c r="N2127" s="10">
        <f t="shared" si="165"/>
        <v>0</v>
      </c>
      <c r="O2127" t="str">
        <f t="shared" si="169"/>
        <v/>
      </c>
      <c r="P2127" t="str">
        <f>IF(O2127=1,COUNTIF($O$2:O2127,1),"")</f>
        <v/>
      </c>
      <c r="Q2127" t="str">
        <f>IFERROR(INDEX($M$2:$M$2388,MATCH(ROWS($P$2:P2127),$P$2:$P$2388,0)),"")</f>
        <v/>
      </c>
    </row>
    <row r="2128" spans="1:17" ht="15" x14ac:dyDescent="0.25">
      <c r="A2128" s="10">
        <v>2094</v>
      </c>
      <c r="B2128" s="10" t="s">
        <v>6525</v>
      </c>
      <c r="C2128" s="880">
        <f t="shared" si="166"/>
        <v>34.617899999999999</v>
      </c>
      <c r="D2128" s="880">
        <f t="shared" si="167"/>
        <v>36.795200000000001</v>
      </c>
      <c r="E2128" s="10">
        <v>34.617919999999998</v>
      </c>
      <c r="F2128" s="10">
        <v>36.795265000000001</v>
      </c>
      <c r="G2128" s="10">
        <v>2</v>
      </c>
      <c r="H2128" s="10" t="s">
        <v>1938</v>
      </c>
      <c r="I2128" s="10" t="s">
        <v>6469</v>
      </c>
      <c r="J2128" s="10" t="s">
        <v>6470</v>
      </c>
      <c r="K2128" s="10" t="s">
        <v>6471</v>
      </c>
      <c r="L2128" s="65" t="str">
        <f t="shared" si="168"/>
        <v>Mercin|Turkey|34,617920|36,795265|+2:00 Europe</v>
      </c>
      <c r="M2128" s="10" t="s">
        <v>6526</v>
      </c>
      <c r="N2128" s="10">
        <f t="shared" si="165"/>
        <v>0</v>
      </c>
      <c r="O2128" t="str">
        <f t="shared" si="169"/>
        <v/>
      </c>
      <c r="P2128" t="str">
        <f>IF(O2128=1,COUNTIF($O$2:O2128,1),"")</f>
        <v/>
      </c>
      <c r="Q2128" t="str">
        <f>IFERROR(INDEX($M$2:$M$2388,MATCH(ROWS($P$2:P2128),$P$2:$P$2388,0)),"")</f>
        <v/>
      </c>
    </row>
    <row r="2129" spans="1:17" ht="15" x14ac:dyDescent="0.25">
      <c r="A2129" s="10">
        <v>2093</v>
      </c>
      <c r="B2129" s="10" t="s">
        <v>6527</v>
      </c>
      <c r="C2129" s="880">
        <f t="shared" si="166"/>
        <v>36.247700000000002</v>
      </c>
      <c r="D2129" s="880">
        <f t="shared" si="167"/>
        <v>37.074100000000001</v>
      </c>
      <c r="E2129" s="10">
        <v>36.247776000000002</v>
      </c>
      <c r="F2129" s="10">
        <v>37.074165000000001</v>
      </c>
      <c r="G2129" s="10">
        <v>2</v>
      </c>
      <c r="H2129" s="10" t="s">
        <v>1938</v>
      </c>
      <c r="I2129" s="10" t="s">
        <v>6469</v>
      </c>
      <c r="J2129" s="10" t="s">
        <v>6470</v>
      </c>
      <c r="K2129" s="10" t="s">
        <v>6471</v>
      </c>
      <c r="L2129" s="65" t="str">
        <f t="shared" si="168"/>
        <v>Osmaniye|Turkey|36,247776|37,074165|+2:00 Europe</v>
      </c>
      <c r="M2129" s="10" t="s">
        <v>6528</v>
      </c>
      <c r="N2129" s="10">
        <f t="shared" si="165"/>
        <v>0</v>
      </c>
      <c r="O2129" t="str">
        <f t="shared" si="169"/>
        <v/>
      </c>
      <c r="P2129" t="str">
        <f>IF(O2129=1,COUNTIF($O$2:O2129,1),"")</f>
        <v/>
      </c>
      <c r="Q2129" t="str">
        <f>IFERROR(INDEX($M$2:$M$2388,MATCH(ROWS($P$2:P2129),$P$2:$P$2388,0)),"")</f>
        <v/>
      </c>
    </row>
    <row r="2130" spans="1:17" ht="15" x14ac:dyDescent="0.25">
      <c r="A2130" s="10">
        <v>2123</v>
      </c>
      <c r="B2130" s="10" t="s">
        <v>6529</v>
      </c>
      <c r="C2130" s="880">
        <f t="shared" si="166"/>
        <v>30.403300000000002</v>
      </c>
      <c r="D2130" s="880">
        <f t="shared" si="167"/>
        <v>40.780500000000004</v>
      </c>
      <c r="E2130" s="10">
        <v>30.403334000000001</v>
      </c>
      <c r="F2130" s="10">
        <v>40.780555999999997</v>
      </c>
      <c r="G2130" s="10">
        <v>2</v>
      </c>
      <c r="H2130" s="10" t="s">
        <v>1938</v>
      </c>
      <c r="I2130" s="10" t="s">
        <v>6469</v>
      </c>
      <c r="J2130" s="10" t="s">
        <v>6470</v>
      </c>
      <c r="K2130" s="10" t="s">
        <v>6471</v>
      </c>
      <c r="L2130" s="65" t="str">
        <f t="shared" si="168"/>
        <v>Sakarya|Turkey|30,403334|40,780556|+2:00 Europe</v>
      </c>
      <c r="M2130" s="10" t="s">
        <v>6530</v>
      </c>
      <c r="N2130" s="10">
        <f t="shared" si="165"/>
        <v>0</v>
      </c>
      <c r="O2130" t="str">
        <f t="shared" si="169"/>
        <v/>
      </c>
      <c r="P2130" t="str">
        <f>IF(O2130=1,COUNTIF($O$2:O2130,1),"")</f>
        <v/>
      </c>
      <c r="Q2130" t="str">
        <f>IFERROR(INDEX($M$2:$M$2388,MATCH(ROWS($P$2:P2130),$P$2:$P$2388,0)),"")</f>
        <v/>
      </c>
    </row>
    <row r="2131" spans="1:17" ht="15" x14ac:dyDescent="0.25">
      <c r="A2131" s="10">
        <v>2117</v>
      </c>
      <c r="B2131" s="10" t="s">
        <v>6531</v>
      </c>
      <c r="C2131" s="880">
        <f t="shared" si="166"/>
        <v>36.33</v>
      </c>
      <c r="D2131" s="880">
        <f t="shared" si="167"/>
        <v>41.2866</v>
      </c>
      <c r="E2131" s="10">
        <v>36.330002</v>
      </c>
      <c r="F2131" s="10">
        <v>41.286667000000001</v>
      </c>
      <c r="G2131" s="10">
        <v>2</v>
      </c>
      <c r="H2131" s="10" t="s">
        <v>1938</v>
      </c>
      <c r="I2131" s="10" t="s">
        <v>6469</v>
      </c>
      <c r="J2131" s="10" t="s">
        <v>6470</v>
      </c>
      <c r="K2131" s="10" t="s">
        <v>6471</v>
      </c>
      <c r="L2131" s="65" t="str">
        <f t="shared" si="168"/>
        <v>Samsun|Turkey|36,330002|41,286667|+2:00 Europe</v>
      </c>
      <c r="M2131" s="10" t="s">
        <v>6532</v>
      </c>
      <c r="N2131" s="10">
        <f t="shared" si="165"/>
        <v>0</v>
      </c>
      <c r="O2131" t="str">
        <f t="shared" si="169"/>
        <v/>
      </c>
      <c r="P2131" t="str">
        <f>IF(O2131=1,COUNTIF($O$2:O2131,1),"")</f>
        <v/>
      </c>
      <c r="Q2131" t="str">
        <f>IFERROR(INDEX($M$2:$M$2388,MATCH(ROWS($P$2:P2131),$P$2:$P$2388,0)),"")</f>
        <v/>
      </c>
    </row>
    <row r="2132" spans="1:17" ht="15" x14ac:dyDescent="0.25">
      <c r="A2132" s="10">
        <v>2090</v>
      </c>
      <c r="B2132" s="10" t="s">
        <v>6533</v>
      </c>
      <c r="C2132" s="880">
        <f t="shared" si="166"/>
        <v>38.792700000000004</v>
      </c>
      <c r="D2132" s="880">
        <f t="shared" si="167"/>
        <v>37.1511</v>
      </c>
      <c r="E2132" s="10">
        <v>38.792777999999998</v>
      </c>
      <c r="F2132" s="10">
        <v>37.151111999999998</v>
      </c>
      <c r="G2132" s="10">
        <v>2</v>
      </c>
      <c r="H2132" s="10" t="s">
        <v>1938</v>
      </c>
      <c r="I2132" s="10" t="s">
        <v>6469</v>
      </c>
      <c r="J2132" s="10" t="s">
        <v>6470</v>
      </c>
      <c r="K2132" s="10" t="s">
        <v>6471</v>
      </c>
      <c r="L2132" s="65" t="str">
        <f t="shared" si="168"/>
        <v>Sanliurfa|Turkey|38,792778|37,151112|+2:00 Europe</v>
      </c>
      <c r="M2132" s="10" t="s">
        <v>6534</v>
      </c>
      <c r="N2132" s="10">
        <f t="shared" si="165"/>
        <v>0</v>
      </c>
      <c r="O2132" t="str">
        <f t="shared" si="169"/>
        <v/>
      </c>
      <c r="P2132" t="str">
        <f>IF(O2132=1,COUNTIF($O$2:O2132,1),"")</f>
        <v/>
      </c>
      <c r="Q2132" t="str">
        <f>IFERROR(INDEX($M$2:$M$2388,MATCH(ROWS($P$2:P2132),$P$2:$P$2388,0)),"")</f>
        <v/>
      </c>
    </row>
    <row r="2133" spans="1:17" ht="15" x14ac:dyDescent="0.25">
      <c r="A2133" s="10">
        <v>2092</v>
      </c>
      <c r="B2133" s="10" t="s">
        <v>6535</v>
      </c>
      <c r="C2133" s="880">
        <f t="shared" si="166"/>
        <v>37.016100000000002</v>
      </c>
      <c r="D2133" s="880">
        <f t="shared" si="167"/>
        <v>39.7483</v>
      </c>
      <c r="E2133" s="10">
        <v>37.016109</v>
      </c>
      <c r="F2133" s="10">
        <v>39.748333000000002</v>
      </c>
      <c r="G2133" s="10">
        <v>2</v>
      </c>
      <c r="H2133" s="10" t="s">
        <v>1938</v>
      </c>
      <c r="I2133" s="10" t="s">
        <v>6469</v>
      </c>
      <c r="J2133" s="10" t="s">
        <v>6470</v>
      </c>
      <c r="K2133" s="10" t="s">
        <v>6471</v>
      </c>
      <c r="L2133" s="65" t="str">
        <f t="shared" si="168"/>
        <v>Sivas|Turkey|37,016109|39,748333|+2:00 Europe</v>
      </c>
      <c r="M2133" s="10" t="s">
        <v>6536</v>
      </c>
      <c r="N2133" s="10">
        <f t="shared" si="165"/>
        <v>0</v>
      </c>
      <c r="O2133" t="str">
        <f t="shared" si="169"/>
        <v/>
      </c>
      <c r="P2133" t="str">
        <f>IF(O2133=1,COUNTIF($O$2:O2133,1),"")</f>
        <v/>
      </c>
      <c r="Q2133" t="str">
        <f>IFERROR(INDEX($M$2:$M$2388,MATCH(ROWS($P$2:P2133),$P$2:$P$2388,0)),"")</f>
        <v/>
      </c>
    </row>
    <row r="2134" spans="1:17" ht="15" x14ac:dyDescent="0.25">
      <c r="A2134" s="10">
        <v>2091</v>
      </c>
      <c r="B2134" s="10" t="s">
        <v>6537</v>
      </c>
      <c r="C2134" s="880">
        <f t="shared" si="166"/>
        <v>34.891599999999997</v>
      </c>
      <c r="D2134" s="880">
        <f t="shared" si="167"/>
        <v>36.917700000000004</v>
      </c>
      <c r="E2134" s="10">
        <v>34.891666000000001</v>
      </c>
      <c r="F2134" s="10">
        <v>36.917777999999998</v>
      </c>
      <c r="G2134" s="10">
        <v>2</v>
      </c>
      <c r="H2134" s="10" t="s">
        <v>1938</v>
      </c>
      <c r="I2134" s="10" t="s">
        <v>6469</v>
      </c>
      <c r="J2134" s="10" t="s">
        <v>6470</v>
      </c>
      <c r="K2134" s="10" t="s">
        <v>6471</v>
      </c>
      <c r="L2134" s="65" t="str">
        <f t="shared" si="168"/>
        <v>Tarsus|Turkey|34,891666|36,917778|+2:00 Europe</v>
      </c>
      <c r="M2134" s="10" t="s">
        <v>6538</v>
      </c>
      <c r="N2134" s="10">
        <f t="shared" si="165"/>
        <v>0</v>
      </c>
      <c r="O2134" t="str">
        <f t="shared" si="169"/>
        <v/>
      </c>
      <c r="P2134" t="str">
        <f>IF(O2134=1,COUNTIF($O$2:O2134,1),"")</f>
        <v/>
      </c>
      <c r="Q2134" t="str">
        <f>IFERROR(INDEX($M$2:$M$2388,MATCH(ROWS($P$2:P2134),$P$2:$P$2388,0)),"")</f>
        <v/>
      </c>
    </row>
    <row r="2135" spans="1:17" ht="15" x14ac:dyDescent="0.25">
      <c r="A2135" s="10">
        <v>2116</v>
      </c>
      <c r="B2135" s="10" t="s">
        <v>6539</v>
      </c>
      <c r="C2135" s="880">
        <f t="shared" si="166"/>
        <v>39.726900000000001</v>
      </c>
      <c r="D2135" s="880">
        <f t="shared" si="167"/>
        <v>41.005000000000003</v>
      </c>
      <c r="E2135" s="10">
        <v>39.726944000000003</v>
      </c>
      <c r="F2135" s="10">
        <v>41.005001</v>
      </c>
      <c r="G2135" s="10">
        <v>2</v>
      </c>
      <c r="H2135" s="10" t="s">
        <v>1938</v>
      </c>
      <c r="I2135" s="10" t="s">
        <v>6469</v>
      </c>
      <c r="J2135" s="10" t="s">
        <v>6470</v>
      </c>
      <c r="K2135" s="10" t="s">
        <v>6471</v>
      </c>
      <c r="L2135" s="65" t="str">
        <f t="shared" si="168"/>
        <v>Trabzon|Turkey|39,726944|41,005001|+2:00 Europe</v>
      </c>
      <c r="M2135" s="10" t="s">
        <v>6540</v>
      </c>
      <c r="N2135" s="10">
        <f t="shared" si="165"/>
        <v>0</v>
      </c>
      <c r="O2135" t="str">
        <f t="shared" si="169"/>
        <v/>
      </c>
      <c r="P2135" t="str">
        <f>IF(O2135=1,COUNTIF($O$2:O2135,1),"")</f>
        <v/>
      </c>
      <c r="Q2135" t="str">
        <f>IFERROR(INDEX($M$2:$M$2388,MATCH(ROWS($P$2:P2135),$P$2:$P$2388,0)),"")</f>
        <v/>
      </c>
    </row>
    <row r="2136" spans="1:17" ht="15" x14ac:dyDescent="0.25">
      <c r="A2136" s="10">
        <v>2089</v>
      </c>
      <c r="B2136" s="10" t="s">
        <v>6541</v>
      </c>
      <c r="C2136" s="880">
        <f t="shared" si="166"/>
        <v>43.38</v>
      </c>
      <c r="D2136" s="880">
        <f t="shared" si="167"/>
        <v>38.494100000000003</v>
      </c>
      <c r="E2136" s="10">
        <v>43.380001</v>
      </c>
      <c r="F2136" s="10">
        <v>38.494166999999997</v>
      </c>
      <c r="G2136" s="10">
        <v>2</v>
      </c>
      <c r="H2136" s="10" t="s">
        <v>1938</v>
      </c>
      <c r="I2136" s="10" t="s">
        <v>6469</v>
      </c>
      <c r="J2136" s="10" t="s">
        <v>6470</v>
      </c>
      <c r="K2136" s="10" t="s">
        <v>6471</v>
      </c>
      <c r="L2136" s="65" t="str">
        <f t="shared" si="168"/>
        <v>Van|Turkey|43,380001|38,494167|+2:00 Europe</v>
      </c>
      <c r="M2136" s="10" t="s">
        <v>6542</v>
      </c>
      <c r="N2136" s="10">
        <f t="shared" si="165"/>
        <v>0</v>
      </c>
      <c r="O2136" t="str">
        <f t="shared" si="169"/>
        <v/>
      </c>
      <c r="P2136" t="str">
        <f>IF(O2136=1,COUNTIF($O$2:O2136,1),"")</f>
        <v/>
      </c>
      <c r="Q2136" t="str">
        <f>IFERROR(INDEX($M$2:$M$2388,MATCH(ROWS($P$2:P2136),$P$2:$P$2388,0)),"")</f>
        <v/>
      </c>
    </row>
    <row r="2137" spans="1:17" ht="15" x14ac:dyDescent="0.25">
      <c r="A2137" s="10">
        <v>2088</v>
      </c>
      <c r="B2137" s="10" t="s">
        <v>6543</v>
      </c>
      <c r="C2137" s="880">
        <f t="shared" si="166"/>
        <v>31.735499999999998</v>
      </c>
      <c r="D2137" s="880">
        <f t="shared" si="167"/>
        <v>38.8172</v>
      </c>
      <c r="E2137" s="10">
        <v>31.735555999999999</v>
      </c>
      <c r="F2137" s="10">
        <v>38.817222999999998</v>
      </c>
      <c r="G2137" s="10">
        <v>2</v>
      </c>
      <c r="H2137" s="10" t="s">
        <v>1938</v>
      </c>
      <c r="I2137" s="10" t="s">
        <v>6469</v>
      </c>
      <c r="J2137" s="10" t="s">
        <v>6470</v>
      </c>
      <c r="K2137" s="10" t="s">
        <v>6471</v>
      </c>
      <c r="L2137" s="65" t="str">
        <f t="shared" si="168"/>
        <v>Yunak|Turkey|31,735556|38,817223|+2:00 Europe</v>
      </c>
      <c r="M2137" s="10" t="s">
        <v>6544</v>
      </c>
      <c r="N2137" s="10">
        <f t="shared" si="165"/>
        <v>0</v>
      </c>
      <c r="O2137" t="str">
        <f t="shared" si="169"/>
        <v/>
      </c>
      <c r="P2137" t="str">
        <f>IF(O2137=1,COUNTIF($O$2:O2137,1),"")</f>
        <v/>
      </c>
      <c r="Q2137" t="str">
        <f>IFERROR(INDEX($M$2:$M$2388,MATCH(ROWS($P$2:P2137),$P$2:$P$2388,0)),"")</f>
        <v/>
      </c>
    </row>
    <row r="2138" spans="1:17" ht="15" x14ac:dyDescent="0.25">
      <c r="A2138" s="10">
        <v>2087</v>
      </c>
      <c r="B2138" s="10" t="s">
        <v>6545</v>
      </c>
      <c r="C2138" s="880">
        <f t="shared" si="166"/>
        <v>37.758299999999998</v>
      </c>
      <c r="D2138" s="880">
        <f t="shared" si="167"/>
        <v>39.8977</v>
      </c>
      <c r="E2138" s="10">
        <v>37.758335000000002</v>
      </c>
      <c r="F2138" s="10">
        <v>39.897778000000002</v>
      </c>
      <c r="G2138" s="10">
        <v>2</v>
      </c>
      <c r="H2138" s="10" t="s">
        <v>1938</v>
      </c>
      <c r="I2138" s="10" t="s">
        <v>6469</v>
      </c>
      <c r="J2138" s="10" t="s">
        <v>6470</v>
      </c>
      <c r="K2138" s="10" t="s">
        <v>6471</v>
      </c>
      <c r="L2138" s="65" t="str">
        <f t="shared" si="168"/>
        <v>Zara|Turkey|37,758335|39,897778|+2:00 Europe</v>
      </c>
      <c r="M2138" s="10" t="s">
        <v>6546</v>
      </c>
      <c r="N2138" s="10">
        <f t="shared" si="165"/>
        <v>0</v>
      </c>
      <c r="O2138" t="str">
        <f t="shared" si="169"/>
        <v/>
      </c>
      <c r="P2138" t="str">
        <f>IF(O2138=1,COUNTIF($O$2:O2138,1),"")</f>
        <v/>
      </c>
      <c r="Q2138" t="str">
        <f>IFERROR(INDEX($M$2:$M$2388,MATCH(ROWS($P$2:P2138),$P$2:$P$2388,0)),"")</f>
        <v/>
      </c>
    </row>
    <row r="2139" spans="1:17" ht="15" x14ac:dyDescent="0.25">
      <c r="A2139" s="10">
        <v>2079</v>
      </c>
      <c r="B2139" s="10" t="s">
        <v>6547</v>
      </c>
      <c r="C2139" s="880">
        <f t="shared" si="166"/>
        <v>58.383299999999998</v>
      </c>
      <c r="D2139" s="880">
        <f t="shared" si="167"/>
        <v>37.950000000000003</v>
      </c>
      <c r="E2139" s="10">
        <v>58.383335000000002</v>
      </c>
      <c r="F2139" s="10">
        <v>37.950001</v>
      </c>
      <c r="G2139" s="10">
        <v>5</v>
      </c>
      <c r="H2139" s="10" t="s">
        <v>4585</v>
      </c>
      <c r="I2139" s="10" t="s">
        <v>6548</v>
      </c>
      <c r="J2139" s="10" t="s">
        <v>6549</v>
      </c>
      <c r="K2139" s="10" t="s">
        <v>6550</v>
      </c>
      <c r="L2139" s="65" t="str">
        <f t="shared" si="168"/>
        <v>Ashgabat|Turkmenistan|58,383335|37,950001|+5:00 Asia</v>
      </c>
      <c r="M2139" s="10" t="s">
        <v>6551</v>
      </c>
      <c r="N2139" s="10">
        <f t="shared" si="165"/>
        <v>0</v>
      </c>
      <c r="O2139" t="str">
        <f t="shared" si="169"/>
        <v/>
      </c>
      <c r="P2139" t="str">
        <f>IF(O2139=1,COUNTIF($O$2:O2139,1),"")</f>
        <v/>
      </c>
      <c r="Q2139" t="str">
        <f>IFERROR(INDEX($M$2:$M$2388,MATCH(ROWS($P$2:P2139),$P$2:$P$2388,0)),"")</f>
        <v/>
      </c>
    </row>
    <row r="2140" spans="1:17" ht="15" x14ac:dyDescent="0.25">
      <c r="A2140" s="10">
        <v>2076</v>
      </c>
      <c r="B2140" s="10" t="s">
        <v>6552</v>
      </c>
      <c r="C2140" s="880">
        <f t="shared" si="166"/>
        <v>54.365000000000002</v>
      </c>
      <c r="D2140" s="880">
        <f t="shared" si="167"/>
        <v>39.511899999999997</v>
      </c>
      <c r="E2140" s="10">
        <v>54.365001999999997</v>
      </c>
      <c r="F2140" s="10">
        <v>39.511944</v>
      </c>
      <c r="G2140" s="10">
        <v>5</v>
      </c>
      <c r="H2140" s="10" t="s">
        <v>4585</v>
      </c>
      <c r="I2140" s="10" t="s">
        <v>6548</v>
      </c>
      <c r="J2140" s="10" t="s">
        <v>6549</v>
      </c>
      <c r="K2140" s="10" t="s">
        <v>6550</v>
      </c>
      <c r="L2140" s="65" t="str">
        <f t="shared" si="168"/>
        <v>Balkanabat|Turkmenistan|54,365002|39,511944|+5:00 Asia</v>
      </c>
      <c r="M2140" s="10" t="s">
        <v>6553</v>
      </c>
      <c r="N2140" s="10">
        <f t="shared" si="165"/>
        <v>0</v>
      </c>
      <c r="O2140" t="str">
        <f t="shared" si="169"/>
        <v/>
      </c>
      <c r="P2140" t="str">
        <f>IF(O2140=1,COUNTIF($O$2:O2140,1),"")</f>
        <v/>
      </c>
      <c r="Q2140" t="str">
        <f>IFERROR(INDEX($M$2:$M$2388,MATCH(ROWS($P$2:P2140),$P$2:$P$2388,0)),"")</f>
        <v/>
      </c>
    </row>
    <row r="2141" spans="1:17" ht="15" x14ac:dyDescent="0.25">
      <c r="A2141" s="10">
        <v>2078</v>
      </c>
      <c r="B2141" s="10" t="s">
        <v>6554</v>
      </c>
      <c r="C2141" s="880">
        <f t="shared" si="166"/>
        <v>54.590499999999999</v>
      </c>
      <c r="D2141" s="880">
        <f t="shared" si="167"/>
        <v>39.206099999999999</v>
      </c>
      <c r="E2141" s="10">
        <v>54.590556999999997</v>
      </c>
      <c r="F2141" s="10">
        <v>39.206111999999997</v>
      </c>
      <c r="G2141" s="10">
        <v>5</v>
      </c>
      <c r="H2141" s="10" t="s">
        <v>4585</v>
      </c>
      <c r="I2141" s="10" t="s">
        <v>6548</v>
      </c>
      <c r="J2141" s="10" t="s">
        <v>6549</v>
      </c>
      <c r="K2141" s="10" t="s">
        <v>6550</v>
      </c>
      <c r="L2141" s="65" t="str">
        <f t="shared" si="168"/>
        <v>Gumdag|Turkmenistan|54,590557|39,206112|+5:00 Asia</v>
      </c>
      <c r="M2141" s="10" t="s">
        <v>6555</v>
      </c>
      <c r="N2141" s="10">
        <f t="shared" si="165"/>
        <v>0</v>
      </c>
      <c r="O2141" t="str">
        <f t="shared" si="169"/>
        <v/>
      </c>
      <c r="P2141" t="str">
        <f>IF(O2141=1,COUNTIF($O$2:O2141,1),"")</f>
        <v/>
      </c>
      <c r="Q2141" t="str">
        <f>IFERROR(INDEX($M$2:$M$2388,MATCH(ROWS($P$2:P2141),$P$2:$P$2388,0)),"")</f>
        <v/>
      </c>
    </row>
    <row r="2142" spans="1:17" ht="15" x14ac:dyDescent="0.25">
      <c r="A2142" s="10">
        <v>2077</v>
      </c>
      <c r="B2142" s="10" t="s">
        <v>6556</v>
      </c>
      <c r="C2142" s="880">
        <f t="shared" si="166"/>
        <v>59.599899999999998</v>
      </c>
      <c r="D2142" s="880">
        <f t="shared" si="167"/>
        <v>37.349899999999998</v>
      </c>
      <c r="E2142" s="10">
        <v>59.599997999999999</v>
      </c>
      <c r="F2142" s="10">
        <v>37.349997999999999</v>
      </c>
      <c r="G2142" s="10">
        <v>5</v>
      </c>
      <c r="H2142" s="10" t="s">
        <v>4585</v>
      </c>
      <c r="I2142" s="10" t="s">
        <v>6548</v>
      </c>
      <c r="J2142" s="10" t="s">
        <v>6549</v>
      </c>
      <c r="K2142" s="10" t="s">
        <v>6550</v>
      </c>
      <c r="L2142" s="65" t="str">
        <f t="shared" si="168"/>
        <v>Kaka|Turkmenistan|59,599998|37,349998|+5:00 Asia</v>
      </c>
      <c r="M2142" s="10" t="s">
        <v>6557</v>
      </c>
      <c r="N2142" s="10">
        <f t="shared" si="165"/>
        <v>0</v>
      </c>
      <c r="O2142" t="str">
        <f t="shared" si="169"/>
        <v/>
      </c>
      <c r="P2142" t="str">
        <f>IF(O2142=1,COUNTIF($O$2:O2142,1),"")</f>
        <v/>
      </c>
      <c r="Q2142" t="str">
        <f>IFERROR(INDEX($M$2:$M$2388,MATCH(ROWS($P$2:P2142),$P$2:$P$2388,0)),"")</f>
        <v/>
      </c>
    </row>
    <row r="2143" spans="1:17" ht="15" x14ac:dyDescent="0.25">
      <c r="A2143" s="10">
        <v>2080</v>
      </c>
      <c r="B2143" s="10" t="s">
        <v>6558</v>
      </c>
      <c r="C2143" s="880">
        <f t="shared" si="166"/>
        <v>63.575000000000003</v>
      </c>
      <c r="D2143" s="880">
        <f t="shared" si="167"/>
        <v>39.101300000000002</v>
      </c>
      <c r="E2143" s="10">
        <v>63.575001</v>
      </c>
      <c r="F2143" s="10">
        <v>39.101387000000003</v>
      </c>
      <c r="G2143" s="10">
        <v>5</v>
      </c>
      <c r="H2143" s="10" t="s">
        <v>4585</v>
      </c>
      <c r="I2143" s="10" t="s">
        <v>6548</v>
      </c>
      <c r="J2143" s="10" t="s">
        <v>6549</v>
      </c>
      <c r="K2143" s="10" t="s">
        <v>6550</v>
      </c>
      <c r="L2143" s="65" t="str">
        <f t="shared" si="168"/>
        <v>Turkmenabat|Turkmenistan|63,575001|39,101387|+5:00 Asia</v>
      </c>
      <c r="M2143" s="10" t="s">
        <v>6559</v>
      </c>
      <c r="N2143" s="10">
        <f t="shared" si="165"/>
        <v>0</v>
      </c>
      <c r="O2143" t="str">
        <f t="shared" si="169"/>
        <v/>
      </c>
      <c r="P2143" t="str">
        <f>IF(O2143=1,COUNTIF($O$2:O2143,1),"")</f>
        <v/>
      </c>
      <c r="Q2143" t="str">
        <f>IFERROR(INDEX($M$2:$M$2388,MATCH(ROWS($P$2:P2143),$P$2:$P$2388,0)),"")</f>
        <v/>
      </c>
    </row>
    <row r="2144" spans="1:17" ht="15" x14ac:dyDescent="0.25">
      <c r="A2144" s="10">
        <v>2177</v>
      </c>
      <c r="B2144" s="10" t="s">
        <v>6560</v>
      </c>
      <c r="C2144" s="880">
        <f t="shared" si="166"/>
        <v>32.5655</v>
      </c>
      <c r="D2144" s="880">
        <f t="shared" si="167"/>
        <v>0.3155</v>
      </c>
      <c r="E2144" s="10">
        <v>32.565556000000001</v>
      </c>
      <c r="F2144" s="10">
        <v>0.315556</v>
      </c>
      <c r="G2144" s="10">
        <v>3</v>
      </c>
      <c r="H2144" s="10" t="s">
        <v>1883</v>
      </c>
      <c r="I2144" s="10" t="s">
        <v>6561</v>
      </c>
      <c r="J2144" s="10" t="s">
        <v>6562</v>
      </c>
      <c r="K2144" s="10" t="s">
        <v>6563</v>
      </c>
      <c r="L2144" s="65" t="str">
        <f t="shared" si="168"/>
        <v>Kampala|Uganda|32,565556|0,315556|+3:00 Africa</v>
      </c>
      <c r="M2144" s="10" t="s">
        <v>6564</v>
      </c>
      <c r="N2144" s="10">
        <f t="shared" si="165"/>
        <v>0</v>
      </c>
      <c r="O2144" t="str">
        <f t="shared" si="169"/>
        <v/>
      </c>
      <c r="P2144" t="str">
        <f>IF(O2144=1,COUNTIF($O$2:O2144,1),"")</f>
        <v/>
      </c>
      <c r="Q2144" t="str">
        <f>IFERROR(INDEX($M$2:$M$2388,MATCH(ROWS($P$2:P2144),$P$2:$P$2388,0)),"")</f>
        <v/>
      </c>
    </row>
    <row r="2145" spans="1:17" ht="15" x14ac:dyDescent="0.25">
      <c r="A2145" s="10">
        <v>2176</v>
      </c>
      <c r="B2145" s="10" t="s">
        <v>6565</v>
      </c>
      <c r="C2145" s="880">
        <f t="shared" si="166"/>
        <v>31.456600000000002</v>
      </c>
      <c r="D2145" s="880">
        <f t="shared" si="167"/>
        <v>-7.7200000000000005E-2</v>
      </c>
      <c r="E2145" s="10">
        <v>31.456666999999999</v>
      </c>
      <c r="F2145" s="10">
        <v>-7.7221999999999999E-2</v>
      </c>
      <c r="G2145" s="10">
        <v>3</v>
      </c>
      <c r="H2145" s="10" t="s">
        <v>1883</v>
      </c>
      <c r="I2145" s="10" t="s">
        <v>6561</v>
      </c>
      <c r="J2145" s="10" t="s">
        <v>6562</v>
      </c>
      <c r="K2145" s="10" t="s">
        <v>6563</v>
      </c>
      <c r="L2145" s="65" t="str">
        <f t="shared" si="168"/>
        <v>Sembabule|Uganda|31,456667|-0,077222|+3:00 Africa</v>
      </c>
      <c r="M2145" s="10" t="s">
        <v>6566</v>
      </c>
      <c r="N2145" s="10">
        <f t="shared" si="165"/>
        <v>0</v>
      </c>
      <c r="O2145" t="str">
        <f t="shared" si="169"/>
        <v/>
      </c>
      <c r="P2145" t="str">
        <f>IF(O2145=1,COUNTIF($O$2:O2145,1),"")</f>
        <v/>
      </c>
      <c r="Q2145" t="str">
        <f>IFERROR(INDEX($M$2:$M$2388,MATCH(ROWS($P$2:P2145),$P$2:$P$2388,0)),"")</f>
        <v/>
      </c>
    </row>
    <row r="2146" spans="1:17" ht="15" x14ac:dyDescent="0.25">
      <c r="A2146" s="10">
        <v>2175</v>
      </c>
      <c r="B2146" s="10" t="s">
        <v>6567</v>
      </c>
      <c r="C2146" s="880">
        <f t="shared" si="166"/>
        <v>32.459400000000002</v>
      </c>
      <c r="D2146" s="880">
        <f t="shared" si="167"/>
        <v>0.40439999999999998</v>
      </c>
      <c r="E2146" s="10">
        <v>32.459446</v>
      </c>
      <c r="F2146" s="10">
        <v>0.40444400000000003</v>
      </c>
      <c r="G2146" s="10">
        <v>3</v>
      </c>
      <c r="H2146" s="10" t="s">
        <v>1883</v>
      </c>
      <c r="I2146" s="10" t="s">
        <v>6561</v>
      </c>
      <c r="J2146" s="10" t="s">
        <v>6562</v>
      </c>
      <c r="K2146" s="10" t="s">
        <v>6563</v>
      </c>
      <c r="L2146" s="65" t="str">
        <f t="shared" si="168"/>
        <v>Wakiso|Uganda|32,459446|0,404444|+3:00 Africa</v>
      </c>
      <c r="M2146" s="10" t="s">
        <v>6568</v>
      </c>
      <c r="N2146" s="10">
        <f t="shared" si="165"/>
        <v>0</v>
      </c>
      <c r="O2146" t="str">
        <f t="shared" si="169"/>
        <v/>
      </c>
      <c r="P2146" t="str">
        <f>IF(O2146=1,COUNTIF($O$2:O2146,1),"")</f>
        <v/>
      </c>
      <c r="Q2146" t="str">
        <f>IFERROR(INDEX($M$2:$M$2388,MATCH(ROWS($P$2:P2146),$P$2:$P$2388,0)),"")</f>
        <v/>
      </c>
    </row>
    <row r="2147" spans="1:17" ht="15" x14ac:dyDescent="0.25">
      <c r="A2147" s="10">
        <v>2174</v>
      </c>
      <c r="B2147" s="10" t="s">
        <v>6569</v>
      </c>
      <c r="C2147" s="880">
        <f t="shared" si="166"/>
        <v>32.5122</v>
      </c>
      <c r="D2147" s="880">
        <f t="shared" si="167"/>
        <v>0.72829999999999995</v>
      </c>
      <c r="E2147" s="10">
        <v>32.512222000000001</v>
      </c>
      <c r="F2147" s="10">
        <v>0.72833300000000001</v>
      </c>
      <c r="G2147" s="10">
        <v>3</v>
      </c>
      <c r="H2147" s="10" t="s">
        <v>1883</v>
      </c>
      <c r="I2147" s="10" t="s">
        <v>6561</v>
      </c>
      <c r="J2147" s="10" t="s">
        <v>6562</v>
      </c>
      <c r="K2147" s="10" t="s">
        <v>6563</v>
      </c>
      <c r="L2147" s="65" t="str">
        <f t="shared" si="168"/>
        <v>Wobulenzi|Uganda|32,512222|0,728333|+3:00 Africa</v>
      </c>
      <c r="M2147" s="10" t="s">
        <v>6570</v>
      </c>
      <c r="N2147" s="10">
        <f t="shared" si="165"/>
        <v>0</v>
      </c>
      <c r="O2147" t="str">
        <f t="shared" si="169"/>
        <v/>
      </c>
      <c r="P2147" t="str">
        <f>IF(O2147=1,COUNTIF($O$2:O2147,1),"")</f>
        <v/>
      </c>
      <c r="Q2147" t="str">
        <f>IFERROR(INDEX($M$2:$M$2388,MATCH(ROWS($P$2:P2147),$P$2:$P$2388,0)),"")</f>
        <v/>
      </c>
    </row>
    <row r="2148" spans="1:17" ht="15" x14ac:dyDescent="0.25">
      <c r="A2148" s="10">
        <v>2173</v>
      </c>
      <c r="B2148" s="10" t="s">
        <v>6571</v>
      </c>
      <c r="C2148" s="880">
        <f t="shared" si="166"/>
        <v>32.066600000000001</v>
      </c>
      <c r="D2148" s="880">
        <f t="shared" si="167"/>
        <v>49.433300000000003</v>
      </c>
      <c r="E2148" s="10">
        <v>32.066665999999998</v>
      </c>
      <c r="F2148" s="10">
        <v>49.433334000000002</v>
      </c>
      <c r="G2148" s="10">
        <v>2</v>
      </c>
      <c r="H2148" s="10" t="s">
        <v>1938</v>
      </c>
      <c r="I2148" s="10" t="s">
        <v>6572</v>
      </c>
      <c r="J2148" s="10" t="s">
        <v>6573</v>
      </c>
      <c r="K2148" s="10" t="s">
        <v>6574</v>
      </c>
      <c r="L2148" s="65" t="str">
        <f t="shared" si="168"/>
        <v>Cherkasy|Ukraine|32,066666|49,433334|+2:00 Europe</v>
      </c>
      <c r="M2148" s="10" t="s">
        <v>6575</v>
      </c>
      <c r="N2148" s="10">
        <f t="shared" si="165"/>
        <v>0</v>
      </c>
      <c r="O2148" t="str">
        <f t="shared" si="169"/>
        <v/>
      </c>
      <c r="P2148" t="str">
        <f>IF(O2148=1,COUNTIF($O$2:O2148,1),"")</f>
        <v/>
      </c>
      <c r="Q2148" t="str">
        <f>IFERROR(INDEX($M$2:$M$2388,MATCH(ROWS($P$2:P2148),$P$2:$P$2388,0)),"")</f>
        <v/>
      </c>
    </row>
    <row r="2149" spans="1:17" ht="15" x14ac:dyDescent="0.25">
      <c r="A2149" s="10">
        <v>2172</v>
      </c>
      <c r="B2149" s="10" t="s">
        <v>6576</v>
      </c>
      <c r="C2149" s="880">
        <f t="shared" si="166"/>
        <v>31.299900000000001</v>
      </c>
      <c r="D2149" s="880">
        <f t="shared" si="167"/>
        <v>51.5</v>
      </c>
      <c r="E2149" s="10">
        <v>31.299999</v>
      </c>
      <c r="F2149" s="10">
        <v>51.5</v>
      </c>
      <c r="G2149" s="10">
        <v>2</v>
      </c>
      <c r="H2149" s="10" t="s">
        <v>1938</v>
      </c>
      <c r="I2149" s="10" t="s">
        <v>6572</v>
      </c>
      <c r="J2149" s="10" t="s">
        <v>6573</v>
      </c>
      <c r="K2149" s="10" t="s">
        <v>6574</v>
      </c>
      <c r="L2149" s="65" t="str">
        <f t="shared" si="168"/>
        <v>Chernihiv|Ukraine|31,299999|51,500000|+2:00 Europe</v>
      </c>
      <c r="M2149" s="10" t="s">
        <v>6577</v>
      </c>
      <c r="N2149" s="10">
        <f t="shared" si="165"/>
        <v>0</v>
      </c>
      <c r="O2149" t="str">
        <f t="shared" si="169"/>
        <v/>
      </c>
      <c r="P2149" t="str">
        <f>IF(O2149=1,COUNTIF($O$2:O2149,1),"")</f>
        <v/>
      </c>
      <c r="Q2149" t="str">
        <f>IFERROR(INDEX($M$2:$M$2388,MATCH(ROWS($P$2:P2149),$P$2:$P$2388,0)),"")</f>
        <v/>
      </c>
    </row>
    <row r="2150" spans="1:17" ht="15" x14ac:dyDescent="0.25">
      <c r="A2150" s="10">
        <v>2171</v>
      </c>
      <c r="B2150" s="10" t="s">
        <v>6578</v>
      </c>
      <c r="C2150" s="880">
        <f t="shared" si="166"/>
        <v>25.933299999999999</v>
      </c>
      <c r="D2150" s="880">
        <f t="shared" si="167"/>
        <v>48.299900000000001</v>
      </c>
      <c r="E2150" s="10">
        <v>25.933332</v>
      </c>
      <c r="F2150" s="10">
        <v>48.299999</v>
      </c>
      <c r="G2150" s="10">
        <v>2</v>
      </c>
      <c r="H2150" s="10" t="s">
        <v>1938</v>
      </c>
      <c r="I2150" s="10" t="s">
        <v>6572</v>
      </c>
      <c r="J2150" s="10" t="s">
        <v>6573</v>
      </c>
      <c r="K2150" s="10" t="s">
        <v>6579</v>
      </c>
      <c r="L2150" s="65" t="str">
        <f t="shared" si="168"/>
        <v>Chernivtsi|Ukraine|25,933332|48,299999|+2:00 Europe</v>
      </c>
      <c r="M2150" s="10" t="s">
        <v>6580</v>
      </c>
      <c r="N2150" s="10">
        <f t="shared" si="165"/>
        <v>0</v>
      </c>
      <c r="O2150" t="str">
        <f t="shared" si="169"/>
        <v/>
      </c>
      <c r="P2150" t="str">
        <f>IF(O2150=1,COUNTIF($O$2:O2150,1),"")</f>
        <v/>
      </c>
      <c r="Q2150" t="str">
        <f>IFERROR(INDEX($M$2:$M$2388,MATCH(ROWS($P$2:P2150),$P$2:$P$2388,0)),"")</f>
        <v/>
      </c>
    </row>
    <row r="2151" spans="1:17" ht="15" x14ac:dyDescent="0.25">
      <c r="A2151" s="10">
        <v>2170</v>
      </c>
      <c r="B2151" s="10" t="s">
        <v>6581</v>
      </c>
      <c r="C2151" s="880">
        <f t="shared" si="166"/>
        <v>34.616599999999998</v>
      </c>
      <c r="D2151" s="880">
        <f t="shared" si="167"/>
        <v>48.5</v>
      </c>
      <c r="E2151" s="10">
        <v>34.616664999999998</v>
      </c>
      <c r="F2151" s="10">
        <v>48.5</v>
      </c>
      <c r="G2151" s="10">
        <v>2</v>
      </c>
      <c r="H2151" s="10" t="s">
        <v>1938</v>
      </c>
      <c r="I2151" s="10" t="s">
        <v>6572</v>
      </c>
      <c r="J2151" s="10" t="s">
        <v>6573</v>
      </c>
      <c r="K2151" s="10" t="s">
        <v>6582</v>
      </c>
      <c r="L2151" s="65" t="str">
        <f t="shared" si="168"/>
        <v>Dniprodzerzhyns'k|Ukraine|34,616665|48,500000|+2:00 Europe</v>
      </c>
      <c r="M2151" s="10" t="s">
        <v>6583</v>
      </c>
      <c r="N2151" s="10">
        <f t="shared" si="165"/>
        <v>0</v>
      </c>
      <c r="O2151" t="str">
        <f t="shared" si="169"/>
        <v/>
      </c>
      <c r="P2151" t="str">
        <f>IF(O2151=1,COUNTIF($O$2:O2151,1),"")</f>
        <v/>
      </c>
      <c r="Q2151" t="str">
        <f>IFERROR(INDEX($M$2:$M$2388,MATCH(ROWS($P$2:P2151),$P$2:$P$2388,0)),"")</f>
        <v/>
      </c>
    </row>
    <row r="2152" spans="1:17" ht="15" x14ac:dyDescent="0.25">
      <c r="A2152" s="10">
        <v>2169</v>
      </c>
      <c r="B2152" s="10" t="s">
        <v>6584</v>
      </c>
      <c r="C2152" s="880">
        <f t="shared" si="166"/>
        <v>34.9833</v>
      </c>
      <c r="D2152" s="880">
        <f t="shared" si="167"/>
        <v>48.45</v>
      </c>
      <c r="E2152" s="10">
        <v>34.983333999999999</v>
      </c>
      <c r="F2152" s="10">
        <v>48.450001</v>
      </c>
      <c r="G2152" s="10">
        <v>2</v>
      </c>
      <c r="H2152" s="10" t="s">
        <v>1938</v>
      </c>
      <c r="I2152" s="10" t="s">
        <v>6572</v>
      </c>
      <c r="J2152" s="10" t="s">
        <v>6573</v>
      </c>
      <c r="K2152" s="10" t="s">
        <v>6582</v>
      </c>
      <c r="L2152" s="65" t="str">
        <f t="shared" si="168"/>
        <v>Dnipropetrovs'k|Ukraine|34,983334|48,450001|+2:00 Europe</v>
      </c>
      <c r="M2152" s="10" t="s">
        <v>6585</v>
      </c>
      <c r="N2152" s="10">
        <f t="shared" si="165"/>
        <v>0</v>
      </c>
      <c r="O2152" t="str">
        <f t="shared" si="169"/>
        <v/>
      </c>
      <c r="P2152" t="str">
        <f>IF(O2152=1,COUNTIF($O$2:O2152,1),"")</f>
        <v/>
      </c>
      <c r="Q2152" t="str">
        <f>IFERROR(INDEX($M$2:$M$2388,MATCH(ROWS($P$2:P2152),$P$2:$P$2388,0)),"")</f>
        <v/>
      </c>
    </row>
    <row r="2153" spans="1:17" ht="15" x14ac:dyDescent="0.25">
      <c r="A2153" s="10">
        <v>2168</v>
      </c>
      <c r="B2153" s="10" t="s">
        <v>6586</v>
      </c>
      <c r="C2153" s="880">
        <f t="shared" si="166"/>
        <v>37.799900000000001</v>
      </c>
      <c r="D2153" s="880">
        <f t="shared" si="167"/>
        <v>48</v>
      </c>
      <c r="E2153" s="10">
        <v>37.799999</v>
      </c>
      <c r="F2153" s="10">
        <v>48</v>
      </c>
      <c r="G2153" s="10">
        <v>2</v>
      </c>
      <c r="H2153" s="10" t="s">
        <v>1938</v>
      </c>
      <c r="I2153" s="10" t="s">
        <v>6572</v>
      </c>
      <c r="J2153" s="10" t="s">
        <v>6573</v>
      </c>
      <c r="K2153" s="10" t="s">
        <v>6582</v>
      </c>
      <c r="L2153" s="65" t="str">
        <f t="shared" si="168"/>
        <v>Donets'k|Ukraine|37,799999|48,000000|+2:00 Europe</v>
      </c>
      <c r="M2153" s="10" t="s">
        <v>6587</v>
      </c>
      <c r="N2153" s="10">
        <f t="shared" si="165"/>
        <v>0</v>
      </c>
      <c r="O2153" t="str">
        <f t="shared" si="169"/>
        <v/>
      </c>
      <c r="P2153" t="str">
        <f>IF(O2153=1,COUNTIF($O$2:O2153,1),"")</f>
        <v/>
      </c>
      <c r="Q2153" t="str">
        <f>IFERROR(INDEX($M$2:$M$2388,MATCH(ROWS($P$2:P2153),$P$2:$P$2388,0)),"")</f>
        <v/>
      </c>
    </row>
    <row r="2154" spans="1:17" ht="15" x14ac:dyDescent="0.25">
      <c r="A2154" s="10">
        <v>2144</v>
      </c>
      <c r="B2154" s="10" t="s">
        <v>6588</v>
      </c>
      <c r="C2154" s="880">
        <f t="shared" si="166"/>
        <v>37.549900000000001</v>
      </c>
      <c r="D2154" s="880">
        <f t="shared" si="167"/>
        <v>48.616599999999998</v>
      </c>
      <c r="E2154" s="10">
        <v>37.549999</v>
      </c>
      <c r="F2154" s="10">
        <v>48.616664999999998</v>
      </c>
      <c r="G2154" s="10">
        <v>2</v>
      </c>
      <c r="H2154" s="10" t="s">
        <v>1938</v>
      </c>
      <c r="I2154" s="10" t="s">
        <v>6572</v>
      </c>
      <c r="J2154" s="10" t="s">
        <v>6573</v>
      </c>
      <c r="K2154" s="10" t="s">
        <v>6582</v>
      </c>
      <c r="L2154" s="65" t="str">
        <f t="shared" si="168"/>
        <v>Druzhkovka|Ukraine|37,549999|48,616665|+2:00 Europe</v>
      </c>
      <c r="M2154" s="10" t="s">
        <v>6589</v>
      </c>
      <c r="N2154" s="10">
        <f t="shared" si="165"/>
        <v>0</v>
      </c>
      <c r="O2154" t="str">
        <f t="shared" si="169"/>
        <v/>
      </c>
      <c r="P2154" t="str">
        <f>IF(O2154=1,COUNTIF($O$2:O2154,1),"")</f>
        <v/>
      </c>
      <c r="Q2154" t="str">
        <f>IFERROR(INDEX($M$2:$M$2388,MATCH(ROWS($P$2:P2154),$P$2:$P$2388,0)),"")</f>
        <v/>
      </c>
    </row>
    <row r="2155" spans="1:17" ht="15" x14ac:dyDescent="0.25">
      <c r="A2155" s="10">
        <v>2167</v>
      </c>
      <c r="B2155" s="10" t="s">
        <v>6590</v>
      </c>
      <c r="C2155" s="880">
        <f t="shared" si="166"/>
        <v>38.049900000000001</v>
      </c>
      <c r="D2155" s="880">
        <f t="shared" si="167"/>
        <v>48.299900000000001</v>
      </c>
      <c r="E2155" s="10">
        <v>38.049999</v>
      </c>
      <c r="F2155" s="10">
        <v>48.299999</v>
      </c>
      <c r="G2155" s="10">
        <v>2</v>
      </c>
      <c r="H2155" s="10" t="s">
        <v>1938</v>
      </c>
      <c r="I2155" s="10" t="s">
        <v>6572</v>
      </c>
      <c r="J2155" s="10" t="s">
        <v>6573</v>
      </c>
      <c r="K2155" s="10" t="s">
        <v>6582</v>
      </c>
      <c r="L2155" s="65" t="str">
        <f t="shared" si="168"/>
        <v>Horlivka|Ukraine|38,049999|48,299999|+2:00 Europe</v>
      </c>
      <c r="M2155" s="10" t="s">
        <v>6591</v>
      </c>
      <c r="N2155" s="10">
        <f t="shared" si="165"/>
        <v>0</v>
      </c>
      <c r="O2155" t="str">
        <f t="shared" si="169"/>
        <v/>
      </c>
      <c r="P2155" t="str">
        <f>IF(O2155=1,COUNTIF($O$2:O2155,1),"")</f>
        <v/>
      </c>
      <c r="Q2155" t="str">
        <f>IFERROR(INDEX($M$2:$M$2388,MATCH(ROWS($P$2:P2155),$P$2:$P$2388,0)),"")</f>
        <v/>
      </c>
    </row>
    <row r="2156" spans="1:17" ht="15" x14ac:dyDescent="0.25">
      <c r="A2156" s="10">
        <v>2166</v>
      </c>
      <c r="B2156" s="10" t="s">
        <v>6592</v>
      </c>
      <c r="C2156" s="880">
        <f t="shared" si="166"/>
        <v>36.25</v>
      </c>
      <c r="D2156" s="880">
        <f t="shared" si="167"/>
        <v>50</v>
      </c>
      <c r="E2156" s="10">
        <v>36.25</v>
      </c>
      <c r="F2156" s="10">
        <v>50</v>
      </c>
      <c r="G2156" s="10">
        <v>2</v>
      </c>
      <c r="H2156" s="10" t="s">
        <v>1938</v>
      </c>
      <c r="I2156" s="10" t="s">
        <v>6572</v>
      </c>
      <c r="J2156" s="10" t="s">
        <v>6573</v>
      </c>
      <c r="K2156" s="10" t="s">
        <v>6582</v>
      </c>
      <c r="L2156" s="65" t="str">
        <f t="shared" si="168"/>
        <v>Kharkiv|Ukraine|36,250000|50,000000|+2:00 Europe</v>
      </c>
      <c r="M2156" s="10" t="s">
        <v>6593</v>
      </c>
      <c r="N2156" s="10">
        <f t="shared" si="165"/>
        <v>0</v>
      </c>
      <c r="O2156" t="str">
        <f t="shared" si="169"/>
        <v/>
      </c>
      <c r="P2156" t="str">
        <f>IF(O2156=1,COUNTIF($O$2:O2156,1),"")</f>
        <v/>
      </c>
      <c r="Q2156" t="str">
        <f>IFERROR(INDEX($M$2:$M$2388,MATCH(ROWS($P$2:P2156),$P$2:$P$2388,0)),"")</f>
        <v/>
      </c>
    </row>
    <row r="2157" spans="1:17" ht="15" x14ac:dyDescent="0.25">
      <c r="A2157" s="10">
        <v>2165</v>
      </c>
      <c r="B2157" s="10" t="s">
        <v>6594</v>
      </c>
      <c r="C2157" s="880">
        <f t="shared" si="166"/>
        <v>32.599899999999998</v>
      </c>
      <c r="D2157" s="880">
        <f t="shared" si="167"/>
        <v>46.633299999999998</v>
      </c>
      <c r="E2157" s="10">
        <v>32.599997999999999</v>
      </c>
      <c r="F2157" s="10">
        <v>46.633335000000002</v>
      </c>
      <c r="G2157" s="10">
        <v>2</v>
      </c>
      <c r="H2157" s="10" t="s">
        <v>1938</v>
      </c>
      <c r="I2157" s="10" t="s">
        <v>6572</v>
      </c>
      <c r="J2157" s="10" t="s">
        <v>6573</v>
      </c>
      <c r="K2157" s="10" t="s">
        <v>6595</v>
      </c>
      <c r="L2157" s="65" t="str">
        <f t="shared" si="168"/>
        <v>Kherson|Ukraine|32,599998|46,633335|+2:00 Europe</v>
      </c>
      <c r="M2157" s="10" t="s">
        <v>6596</v>
      </c>
      <c r="N2157" s="10">
        <f t="shared" si="165"/>
        <v>0</v>
      </c>
      <c r="O2157" t="str">
        <f t="shared" si="169"/>
        <v/>
      </c>
      <c r="P2157" t="str">
        <f>IF(O2157=1,COUNTIF($O$2:O2157,1),"")</f>
        <v/>
      </c>
      <c r="Q2157" t="str">
        <f>IFERROR(INDEX($M$2:$M$2388,MATCH(ROWS($P$2:P2157),$P$2:$P$2388,0)),"")</f>
        <v/>
      </c>
    </row>
    <row r="2158" spans="1:17" ht="15" x14ac:dyDescent="0.25">
      <c r="A2158" s="10">
        <v>2161</v>
      </c>
      <c r="B2158" s="10" t="s">
        <v>6597</v>
      </c>
      <c r="C2158" s="880">
        <f t="shared" si="166"/>
        <v>30.5166</v>
      </c>
      <c r="D2158" s="880">
        <f t="shared" si="167"/>
        <v>50.433300000000003</v>
      </c>
      <c r="E2158" s="10">
        <v>30.516666000000001</v>
      </c>
      <c r="F2158" s="10">
        <v>50.433334000000002</v>
      </c>
      <c r="G2158" s="10">
        <v>2</v>
      </c>
      <c r="H2158" s="10" t="s">
        <v>1938</v>
      </c>
      <c r="I2158" s="10" t="s">
        <v>6572</v>
      </c>
      <c r="J2158" s="10" t="s">
        <v>6573</v>
      </c>
      <c r="K2158" s="10" t="s">
        <v>6574</v>
      </c>
      <c r="L2158" s="65" t="str">
        <f t="shared" si="168"/>
        <v>Kiev|Ukraine|30,516666|50,433334|+2:00 Europe</v>
      </c>
      <c r="M2158" s="10" t="s">
        <v>6598</v>
      </c>
      <c r="N2158" s="10">
        <f t="shared" si="165"/>
        <v>0</v>
      </c>
      <c r="O2158" t="str">
        <f t="shared" si="169"/>
        <v/>
      </c>
      <c r="P2158" t="str">
        <f>IF(O2158=1,COUNTIF($O$2:O2158,1),"")</f>
        <v/>
      </c>
      <c r="Q2158" t="str">
        <f>IFERROR(INDEX($M$2:$M$2388,MATCH(ROWS($P$2:P2158),$P$2:$P$2388,0)),"")</f>
        <v/>
      </c>
    </row>
    <row r="2159" spans="1:17" ht="15" x14ac:dyDescent="0.25">
      <c r="A2159" s="10">
        <v>2164</v>
      </c>
      <c r="B2159" s="10" t="s">
        <v>6599</v>
      </c>
      <c r="C2159" s="880">
        <f t="shared" si="166"/>
        <v>32.262999999999998</v>
      </c>
      <c r="D2159" s="880">
        <f t="shared" si="167"/>
        <v>48.504100000000001</v>
      </c>
      <c r="E2159" s="10">
        <v>32.263053999999997</v>
      </c>
      <c r="F2159" s="10">
        <v>48.504165999999998</v>
      </c>
      <c r="G2159" s="10">
        <v>2</v>
      </c>
      <c r="H2159" s="10" t="s">
        <v>1938</v>
      </c>
      <c r="I2159" s="10" t="s">
        <v>6572</v>
      </c>
      <c r="J2159" s="10" t="s">
        <v>6573</v>
      </c>
      <c r="K2159" s="10" t="s">
        <v>6582</v>
      </c>
      <c r="L2159" s="65" t="str">
        <f t="shared" si="168"/>
        <v>Kirovohrad|Ukraine|32,263054|48,504166|+2:00 Europe</v>
      </c>
      <c r="M2159" s="10" t="s">
        <v>6600</v>
      </c>
      <c r="N2159" s="10">
        <f t="shared" si="165"/>
        <v>0</v>
      </c>
      <c r="O2159" t="str">
        <f t="shared" si="169"/>
        <v/>
      </c>
      <c r="P2159" t="str">
        <f>IF(O2159=1,COUNTIF($O$2:O2159,1),"")</f>
        <v/>
      </c>
      <c r="Q2159" t="str">
        <f>IFERROR(INDEX($M$2:$M$2388,MATCH(ROWS($P$2:P2159),$P$2:$P$2388,0)),"")</f>
        <v/>
      </c>
    </row>
    <row r="2160" spans="1:17" ht="15" x14ac:dyDescent="0.25">
      <c r="A2160" s="10">
        <v>2163</v>
      </c>
      <c r="B2160" s="10" t="s">
        <v>6601</v>
      </c>
      <c r="C2160" s="880">
        <f t="shared" si="166"/>
        <v>33.416600000000003</v>
      </c>
      <c r="D2160" s="880">
        <f t="shared" si="167"/>
        <v>49.066600000000001</v>
      </c>
      <c r="E2160" s="10">
        <v>33.416668000000001</v>
      </c>
      <c r="F2160" s="10">
        <v>49.066665999999998</v>
      </c>
      <c r="G2160" s="10">
        <v>2</v>
      </c>
      <c r="H2160" s="10" t="s">
        <v>1938</v>
      </c>
      <c r="I2160" s="10" t="s">
        <v>6572</v>
      </c>
      <c r="J2160" s="10" t="s">
        <v>6573</v>
      </c>
      <c r="K2160" s="10" t="s">
        <v>6582</v>
      </c>
      <c r="L2160" s="65" t="str">
        <f t="shared" si="168"/>
        <v>Kremenchuk|Ukraine|33,416668|49,066666|+2:00 Europe</v>
      </c>
      <c r="M2160" s="10" t="s">
        <v>6602</v>
      </c>
      <c r="N2160" s="10">
        <f t="shared" si="165"/>
        <v>0</v>
      </c>
      <c r="O2160" t="str">
        <f t="shared" si="169"/>
        <v/>
      </c>
      <c r="P2160" t="str">
        <f>IF(O2160=1,COUNTIF($O$2:O2160,1),"")</f>
        <v/>
      </c>
      <c r="Q2160" t="str">
        <f>IFERROR(INDEX($M$2:$M$2388,MATCH(ROWS($P$2:P2160),$P$2:$P$2388,0)),"")</f>
        <v/>
      </c>
    </row>
    <row r="2161" spans="1:17" ht="15" x14ac:dyDescent="0.25">
      <c r="A2161" s="10">
        <v>2162</v>
      </c>
      <c r="B2161" s="10" t="s">
        <v>6603</v>
      </c>
      <c r="C2161" s="880">
        <f t="shared" si="166"/>
        <v>33.349899999999998</v>
      </c>
      <c r="D2161" s="880">
        <f t="shared" si="167"/>
        <v>47.916600000000003</v>
      </c>
      <c r="E2161" s="10">
        <v>33.349997999999999</v>
      </c>
      <c r="F2161" s="10">
        <v>47.916668000000001</v>
      </c>
      <c r="G2161" s="10">
        <v>2</v>
      </c>
      <c r="H2161" s="10" t="s">
        <v>1938</v>
      </c>
      <c r="I2161" s="10" t="s">
        <v>6572</v>
      </c>
      <c r="J2161" s="10" t="s">
        <v>6573</v>
      </c>
      <c r="K2161" s="10" t="s">
        <v>6582</v>
      </c>
      <c r="L2161" s="65" t="str">
        <f t="shared" si="168"/>
        <v>Kryvyy Rih|Ukraine|33,349998|47,916668|+2:00 Europe</v>
      </c>
      <c r="M2161" s="10" t="s">
        <v>6604</v>
      </c>
      <c r="N2161" s="10">
        <f t="shared" si="165"/>
        <v>0</v>
      </c>
      <c r="O2161" t="str">
        <f t="shared" si="169"/>
        <v/>
      </c>
      <c r="P2161" t="str">
        <f>IF(O2161=1,COUNTIF($O$2:O2161,1),"")</f>
        <v/>
      </c>
      <c r="Q2161" t="str">
        <f>IFERROR(INDEX($M$2:$M$2388,MATCH(ROWS($P$2:P2161),$P$2:$P$2388,0)),"")</f>
        <v/>
      </c>
    </row>
    <row r="2162" spans="1:17" ht="15" x14ac:dyDescent="0.25">
      <c r="A2162" s="10">
        <v>2142</v>
      </c>
      <c r="B2162" s="10" t="s">
        <v>6605</v>
      </c>
      <c r="C2162" s="880">
        <f t="shared" si="166"/>
        <v>34.480200000000004</v>
      </c>
      <c r="D2162" s="880">
        <f t="shared" si="167"/>
        <v>50.588000000000001</v>
      </c>
      <c r="E2162" s="10">
        <v>34.480277999999998</v>
      </c>
      <c r="F2162" s="10">
        <v>50.588054999999997</v>
      </c>
      <c r="G2162" s="10">
        <v>2</v>
      </c>
      <c r="H2162" s="10" t="s">
        <v>1938</v>
      </c>
      <c r="I2162" s="10" t="s">
        <v>6572</v>
      </c>
      <c r="J2162" s="10" t="s">
        <v>6573</v>
      </c>
      <c r="K2162" s="10" t="s">
        <v>6574</v>
      </c>
      <c r="L2162" s="65" t="str">
        <f t="shared" si="168"/>
        <v>Lebedyn|Ukraine|34,480278|50,588055|+2:00 Europe</v>
      </c>
      <c r="M2162" s="10" t="s">
        <v>6606</v>
      </c>
      <c r="N2162" s="10">
        <f t="shared" si="165"/>
        <v>0</v>
      </c>
      <c r="O2162" t="str">
        <f t="shared" si="169"/>
        <v/>
      </c>
      <c r="P2162" t="str">
        <f>IF(O2162=1,COUNTIF($O$2:O2162,1),"")</f>
        <v/>
      </c>
      <c r="Q2162" t="str">
        <f>IFERROR(INDEX($M$2:$M$2388,MATCH(ROWS($P$2:P2162),$P$2:$P$2388,0)),"")</f>
        <v/>
      </c>
    </row>
    <row r="2163" spans="1:17" ht="15" x14ac:dyDescent="0.25">
      <c r="A2163" s="10">
        <v>2160</v>
      </c>
      <c r="B2163" s="10" t="s">
        <v>6607</v>
      </c>
      <c r="C2163" s="880">
        <f t="shared" si="166"/>
        <v>39.333300000000001</v>
      </c>
      <c r="D2163" s="880">
        <f t="shared" si="167"/>
        <v>48.566600000000001</v>
      </c>
      <c r="E2163" s="10">
        <v>39.333331999999999</v>
      </c>
      <c r="F2163" s="10">
        <v>48.566665999999998</v>
      </c>
      <c r="G2163" s="10">
        <v>2</v>
      </c>
      <c r="H2163" s="10" t="s">
        <v>1938</v>
      </c>
      <c r="I2163" s="10" t="s">
        <v>6572</v>
      </c>
      <c r="J2163" s="10" t="s">
        <v>6573</v>
      </c>
      <c r="K2163" s="10" t="s">
        <v>6582</v>
      </c>
      <c r="L2163" s="65" t="str">
        <f t="shared" si="168"/>
        <v>Luhans'k|Ukraine|39,333332|48,566666|+2:00 Europe</v>
      </c>
      <c r="M2163" s="10" t="s">
        <v>6608</v>
      </c>
      <c r="N2163" s="10">
        <f t="shared" si="165"/>
        <v>0</v>
      </c>
      <c r="O2163" t="str">
        <f t="shared" si="169"/>
        <v/>
      </c>
      <c r="P2163" t="str">
        <f>IF(O2163=1,COUNTIF($O$2:O2163,1),"")</f>
        <v/>
      </c>
      <c r="Q2163" t="str">
        <f>IFERROR(INDEX($M$2:$M$2388,MATCH(ROWS($P$2:P2163),$P$2:$P$2388,0)),"")</f>
        <v/>
      </c>
    </row>
    <row r="2164" spans="1:17" ht="15" x14ac:dyDescent="0.25">
      <c r="A2164" s="10">
        <v>2159</v>
      </c>
      <c r="B2164" s="10" t="s">
        <v>6609</v>
      </c>
      <c r="C2164" s="880">
        <f t="shared" si="166"/>
        <v>25.333300000000001</v>
      </c>
      <c r="D2164" s="880">
        <f t="shared" si="167"/>
        <v>50.75</v>
      </c>
      <c r="E2164" s="10">
        <v>25.333334000000001</v>
      </c>
      <c r="F2164" s="10">
        <v>50.75</v>
      </c>
      <c r="G2164" s="10">
        <v>2</v>
      </c>
      <c r="H2164" s="10" t="s">
        <v>1938</v>
      </c>
      <c r="I2164" s="10" t="s">
        <v>6572</v>
      </c>
      <c r="J2164" s="10" t="s">
        <v>6573</v>
      </c>
      <c r="K2164" s="10" t="s">
        <v>6579</v>
      </c>
      <c r="L2164" s="65" t="str">
        <f t="shared" si="168"/>
        <v>Luts'k|Ukraine|25,333334|50,750000|+2:00 Europe</v>
      </c>
      <c r="M2164" s="10" t="s">
        <v>6610</v>
      </c>
      <c r="N2164" s="10">
        <f t="shared" si="165"/>
        <v>0</v>
      </c>
      <c r="O2164" t="str">
        <f t="shared" si="169"/>
        <v/>
      </c>
      <c r="P2164" t="str">
        <f>IF(O2164=1,COUNTIF($O$2:O2164,1),"")</f>
        <v/>
      </c>
      <c r="Q2164" t="str">
        <f>IFERROR(INDEX($M$2:$M$2388,MATCH(ROWS($P$2:P2164),$P$2:$P$2388,0)),"")</f>
        <v/>
      </c>
    </row>
    <row r="2165" spans="1:17" ht="15" x14ac:dyDescent="0.25">
      <c r="A2165" s="10">
        <v>2158</v>
      </c>
      <c r="B2165" s="10" t="s">
        <v>6611</v>
      </c>
      <c r="C2165" s="880">
        <f t="shared" si="166"/>
        <v>24.023199999999999</v>
      </c>
      <c r="D2165" s="880">
        <f t="shared" si="167"/>
        <v>49.838200000000001</v>
      </c>
      <c r="E2165" s="10">
        <v>24.023237000000002</v>
      </c>
      <c r="F2165" s="10">
        <v>49.838261000000003</v>
      </c>
      <c r="G2165" s="10">
        <v>2</v>
      </c>
      <c r="H2165" s="10" t="s">
        <v>1938</v>
      </c>
      <c r="I2165" s="10" t="s">
        <v>6572</v>
      </c>
      <c r="J2165" s="10" t="s">
        <v>6573</v>
      </c>
      <c r="K2165" s="10" t="s">
        <v>6579</v>
      </c>
      <c r="L2165" s="65" t="str">
        <f t="shared" si="168"/>
        <v>L'viv|Ukraine|24,023237|49,838261|+2:00 Europe</v>
      </c>
      <c r="M2165" s="10" t="s">
        <v>6612</v>
      </c>
      <c r="N2165" s="10">
        <f t="shared" si="165"/>
        <v>0</v>
      </c>
      <c r="O2165" t="str">
        <f t="shared" si="169"/>
        <v/>
      </c>
      <c r="P2165" t="str">
        <f>IF(O2165=1,COUNTIF($O$2:O2165,1),"")</f>
        <v/>
      </c>
      <c r="Q2165" t="str">
        <f>IFERROR(INDEX($M$2:$M$2388,MATCH(ROWS($P$2:P2165),$P$2:$P$2388,0)),"")</f>
        <v/>
      </c>
    </row>
    <row r="2166" spans="1:17" ht="15" x14ac:dyDescent="0.25">
      <c r="A2166" s="10">
        <v>2157</v>
      </c>
      <c r="B2166" s="10" t="s">
        <v>6613</v>
      </c>
      <c r="C2166" s="880">
        <f t="shared" si="166"/>
        <v>37.9666</v>
      </c>
      <c r="D2166" s="880">
        <f t="shared" si="167"/>
        <v>48.033299999999997</v>
      </c>
      <c r="E2166" s="10">
        <v>37.966667000000001</v>
      </c>
      <c r="F2166" s="10">
        <v>48.033332999999999</v>
      </c>
      <c r="G2166" s="10">
        <v>2</v>
      </c>
      <c r="H2166" s="10" t="s">
        <v>1938</v>
      </c>
      <c r="I2166" s="10" t="s">
        <v>6572</v>
      </c>
      <c r="J2166" s="10" t="s">
        <v>6573</v>
      </c>
      <c r="K2166" s="10" t="s">
        <v>6582</v>
      </c>
      <c r="L2166" s="65" t="str">
        <f t="shared" si="168"/>
        <v>Makiyivka|Ukraine|37,966667|48,033333|+2:00 Europe</v>
      </c>
      <c r="M2166" s="10" t="s">
        <v>6614</v>
      </c>
      <c r="N2166" s="10">
        <f t="shared" si="165"/>
        <v>0</v>
      </c>
      <c r="O2166" t="str">
        <f t="shared" si="169"/>
        <v/>
      </c>
      <c r="P2166" t="str">
        <f>IF(O2166=1,COUNTIF($O$2:O2166,1),"")</f>
        <v/>
      </c>
      <c r="Q2166" t="str">
        <f>IFERROR(INDEX($M$2:$M$2388,MATCH(ROWS($P$2:P2166),$P$2:$P$2388,0)),"")</f>
        <v/>
      </c>
    </row>
    <row r="2167" spans="1:17" ht="15" x14ac:dyDescent="0.25">
      <c r="A2167" s="10">
        <v>2156</v>
      </c>
      <c r="B2167" s="10" t="s">
        <v>6615</v>
      </c>
      <c r="C2167" s="880">
        <f t="shared" si="166"/>
        <v>37.5</v>
      </c>
      <c r="D2167" s="880">
        <f t="shared" si="167"/>
        <v>47.066600000000001</v>
      </c>
      <c r="E2167" s="10">
        <v>37.5</v>
      </c>
      <c r="F2167" s="10">
        <v>47.066665999999998</v>
      </c>
      <c r="G2167" s="10">
        <v>2</v>
      </c>
      <c r="H2167" s="10" t="s">
        <v>1938</v>
      </c>
      <c r="I2167" s="10" t="s">
        <v>6572</v>
      </c>
      <c r="J2167" s="10" t="s">
        <v>6573</v>
      </c>
      <c r="K2167" s="10" t="s">
        <v>6582</v>
      </c>
      <c r="L2167" s="65" t="str">
        <f t="shared" si="168"/>
        <v>Mariupol'|Ukraine|37,500000|47,066666|+2:00 Europe</v>
      </c>
      <c r="M2167" s="10" t="s">
        <v>6616</v>
      </c>
      <c r="N2167" s="10">
        <f t="shared" si="165"/>
        <v>0</v>
      </c>
      <c r="O2167" t="str">
        <f t="shared" si="169"/>
        <v/>
      </c>
      <c r="P2167" t="str">
        <f>IF(O2167=1,COUNTIF($O$2:O2167,1),"")</f>
        <v/>
      </c>
      <c r="Q2167" t="str">
        <f>IFERROR(INDEX($M$2:$M$2388,MATCH(ROWS($P$2:P2167),$P$2:$P$2388,0)),"")</f>
        <v/>
      </c>
    </row>
    <row r="2168" spans="1:17" ht="15" x14ac:dyDescent="0.25">
      <c r="A2168" s="10">
        <v>2155</v>
      </c>
      <c r="B2168" s="10" t="s">
        <v>6617</v>
      </c>
      <c r="C2168" s="880">
        <f t="shared" si="166"/>
        <v>32</v>
      </c>
      <c r="D2168" s="880">
        <f t="shared" si="167"/>
        <v>46.9666</v>
      </c>
      <c r="E2168" s="10">
        <v>32</v>
      </c>
      <c r="F2168" s="10">
        <v>46.966667000000001</v>
      </c>
      <c r="G2168" s="10">
        <v>2</v>
      </c>
      <c r="H2168" s="10" t="s">
        <v>1938</v>
      </c>
      <c r="I2168" s="10" t="s">
        <v>6572</v>
      </c>
      <c r="J2168" s="10" t="s">
        <v>6573</v>
      </c>
      <c r="K2168" s="10" t="s">
        <v>6582</v>
      </c>
      <c r="L2168" s="65" t="str">
        <f t="shared" si="168"/>
        <v>Mykolayiv|Ukraine|32,000000|46,966667|+2:00 Europe</v>
      </c>
      <c r="M2168" s="10" t="s">
        <v>6618</v>
      </c>
      <c r="N2168" s="10">
        <f t="shared" si="165"/>
        <v>0</v>
      </c>
      <c r="O2168" t="str">
        <f t="shared" si="169"/>
        <v/>
      </c>
      <c r="P2168" t="str">
        <f>IF(O2168=1,COUNTIF($O$2:O2168,1),"")</f>
        <v/>
      </c>
      <c r="Q2168" t="str">
        <f>IFERROR(INDEX($M$2:$M$2388,MATCH(ROWS($P$2:P2168),$P$2:$P$2388,0)),"")</f>
        <v/>
      </c>
    </row>
    <row r="2169" spans="1:17" ht="15" x14ac:dyDescent="0.25">
      <c r="A2169" s="10">
        <v>2154</v>
      </c>
      <c r="B2169" s="10" t="s">
        <v>6619</v>
      </c>
      <c r="C2169" s="880">
        <f t="shared" si="166"/>
        <v>30.7333</v>
      </c>
      <c r="D2169" s="880">
        <f t="shared" si="167"/>
        <v>46.4666</v>
      </c>
      <c r="E2169" s="10">
        <v>30.733333999999999</v>
      </c>
      <c r="F2169" s="10">
        <v>46.466667000000001</v>
      </c>
      <c r="G2169" s="10">
        <v>2</v>
      </c>
      <c r="H2169" s="10" t="s">
        <v>1938</v>
      </c>
      <c r="I2169" s="10" t="s">
        <v>6572</v>
      </c>
      <c r="J2169" s="10" t="s">
        <v>6573</v>
      </c>
      <c r="K2169" s="10" t="s">
        <v>6595</v>
      </c>
      <c r="L2169" s="65" t="str">
        <f t="shared" si="168"/>
        <v>Odesa|Ukraine|30,733334|46,466667|+2:00 Europe</v>
      </c>
      <c r="M2169" s="10" t="s">
        <v>6620</v>
      </c>
      <c r="N2169" s="10">
        <f t="shared" si="165"/>
        <v>0</v>
      </c>
      <c r="O2169" t="str">
        <f t="shared" si="169"/>
        <v/>
      </c>
      <c r="P2169" t="str">
        <f>IF(O2169=1,COUNTIF($O$2:O2169,1),"")</f>
        <v/>
      </c>
      <c r="Q2169" t="str">
        <f>IFERROR(INDEX($M$2:$M$2388,MATCH(ROWS($P$2:P2169),$P$2:$P$2388,0)),"")</f>
        <v/>
      </c>
    </row>
    <row r="2170" spans="1:17" ht="15" x14ac:dyDescent="0.25">
      <c r="A2170" s="10">
        <v>2153</v>
      </c>
      <c r="B2170" s="10" t="s">
        <v>6621</v>
      </c>
      <c r="C2170" s="880">
        <f t="shared" si="166"/>
        <v>34.566600000000001</v>
      </c>
      <c r="D2170" s="880">
        <f t="shared" si="167"/>
        <v>49.583300000000001</v>
      </c>
      <c r="E2170" s="10">
        <v>34.566665999999998</v>
      </c>
      <c r="F2170" s="10">
        <v>49.583331999999999</v>
      </c>
      <c r="G2170" s="10">
        <v>2</v>
      </c>
      <c r="H2170" s="10" t="s">
        <v>1938</v>
      </c>
      <c r="I2170" s="10" t="s">
        <v>6572</v>
      </c>
      <c r="J2170" s="10" t="s">
        <v>6573</v>
      </c>
      <c r="K2170" s="10" t="s">
        <v>6582</v>
      </c>
      <c r="L2170" s="65" t="str">
        <f t="shared" si="168"/>
        <v>Poltava|Ukraine|34,566666|49,583332|+2:00 Europe</v>
      </c>
      <c r="M2170" s="10" t="s">
        <v>6622</v>
      </c>
      <c r="N2170" s="10">
        <f t="shared" si="165"/>
        <v>0</v>
      </c>
      <c r="O2170" t="str">
        <f t="shared" si="169"/>
        <v/>
      </c>
      <c r="P2170" t="str">
        <f>IF(O2170=1,COUNTIF($O$2:O2170,1),"")</f>
        <v/>
      </c>
      <c r="Q2170" t="str">
        <f>IFERROR(INDEX($M$2:$M$2388,MATCH(ROWS($P$2:P2170),$P$2:$P$2388,0)),"")</f>
        <v/>
      </c>
    </row>
    <row r="2171" spans="1:17" ht="15" x14ac:dyDescent="0.25">
      <c r="A2171" s="10">
        <v>2152</v>
      </c>
      <c r="B2171" s="10" t="s">
        <v>6623</v>
      </c>
      <c r="C2171" s="880">
        <f t="shared" si="166"/>
        <v>26.25</v>
      </c>
      <c r="D2171" s="880">
        <f t="shared" si="167"/>
        <v>50.616599999999998</v>
      </c>
      <c r="E2171" s="10">
        <v>26.25</v>
      </c>
      <c r="F2171" s="10">
        <v>50.616664999999998</v>
      </c>
      <c r="G2171" s="10">
        <v>2</v>
      </c>
      <c r="H2171" s="10" t="s">
        <v>1938</v>
      </c>
      <c r="I2171" s="10" t="s">
        <v>6572</v>
      </c>
      <c r="J2171" s="10" t="s">
        <v>6573</v>
      </c>
      <c r="K2171" s="10" t="s">
        <v>6574</v>
      </c>
      <c r="L2171" s="65" t="str">
        <f t="shared" si="168"/>
        <v>Rivne|Ukraine|26,250000|50,616665|+2:00 Europe</v>
      </c>
      <c r="M2171" s="10" t="s">
        <v>6624</v>
      </c>
      <c r="N2171" s="10">
        <f t="shared" si="165"/>
        <v>0</v>
      </c>
      <c r="O2171" t="str">
        <f t="shared" si="169"/>
        <v/>
      </c>
      <c r="P2171" t="str">
        <f>IF(O2171=1,COUNTIF($O$2:O2171,1),"")</f>
        <v/>
      </c>
      <c r="Q2171" t="str">
        <f>IFERROR(INDEX($M$2:$M$2388,MATCH(ROWS($P$2:P2171),$P$2:$P$2388,0)),"")</f>
        <v/>
      </c>
    </row>
    <row r="2172" spans="1:17" ht="15" x14ac:dyDescent="0.25">
      <c r="A2172" s="10">
        <v>2151</v>
      </c>
      <c r="B2172" s="10" t="s">
        <v>6625</v>
      </c>
      <c r="C2172" s="880">
        <f t="shared" si="166"/>
        <v>33.533299999999997</v>
      </c>
      <c r="D2172" s="880">
        <f t="shared" si="167"/>
        <v>44.599899999999998</v>
      </c>
      <c r="E2172" s="10">
        <v>33.533332999999999</v>
      </c>
      <c r="F2172" s="10">
        <v>44.599997999999999</v>
      </c>
      <c r="G2172" s="10">
        <v>2</v>
      </c>
      <c r="H2172" s="10" t="s">
        <v>1938</v>
      </c>
      <c r="I2172" s="10" t="s">
        <v>6572</v>
      </c>
      <c r="J2172" s="10" t="s">
        <v>6573</v>
      </c>
      <c r="K2172" s="10" t="s">
        <v>6595</v>
      </c>
      <c r="L2172" s="65" t="str">
        <f t="shared" si="168"/>
        <v>Sevastopol'|Ukraine|33,533333|44,599998|+2:00 Europe</v>
      </c>
      <c r="M2172" s="10" t="s">
        <v>6626</v>
      </c>
      <c r="N2172" s="10">
        <f t="shared" si="165"/>
        <v>0</v>
      </c>
      <c r="O2172" t="str">
        <f t="shared" si="169"/>
        <v/>
      </c>
      <c r="P2172" t="str">
        <f>IF(O2172=1,COUNTIF($O$2:O2172,1),"")</f>
        <v/>
      </c>
      <c r="Q2172" t="str">
        <f>IFERROR(INDEX($M$2:$M$2388,MATCH(ROWS($P$2:P2172),$P$2:$P$2388,0)),"")</f>
        <v/>
      </c>
    </row>
    <row r="2173" spans="1:17" ht="15" x14ac:dyDescent="0.25">
      <c r="A2173" s="10">
        <v>2150</v>
      </c>
      <c r="B2173" s="10" t="s">
        <v>6627</v>
      </c>
      <c r="C2173" s="880">
        <f t="shared" si="166"/>
        <v>34.099899999999998</v>
      </c>
      <c r="D2173" s="880">
        <f t="shared" si="167"/>
        <v>44.95</v>
      </c>
      <c r="E2173" s="10">
        <v>34.099997999999999</v>
      </c>
      <c r="F2173" s="10">
        <v>44.950001</v>
      </c>
      <c r="G2173" s="10">
        <v>2</v>
      </c>
      <c r="H2173" s="10" t="s">
        <v>1938</v>
      </c>
      <c r="I2173" s="10" t="s">
        <v>6572</v>
      </c>
      <c r="J2173" s="10" t="s">
        <v>6573</v>
      </c>
      <c r="K2173" s="10" t="s">
        <v>6595</v>
      </c>
      <c r="L2173" s="65" t="str">
        <f t="shared" si="168"/>
        <v>Simferopol'|Ukraine|34,099998|44,950001|+2:00 Europe</v>
      </c>
      <c r="M2173" s="10" t="s">
        <v>6628</v>
      </c>
      <c r="N2173" s="10">
        <f t="shared" si="165"/>
        <v>0</v>
      </c>
      <c r="O2173" t="str">
        <f t="shared" si="169"/>
        <v/>
      </c>
      <c r="P2173" t="str">
        <f>IF(O2173=1,COUNTIF($O$2:O2173,1),"")</f>
        <v/>
      </c>
      <c r="Q2173" t="str">
        <f>IFERROR(INDEX($M$2:$M$2388,MATCH(ROWS($P$2:P2173),$P$2:$P$2388,0)),"")</f>
        <v/>
      </c>
    </row>
    <row r="2174" spans="1:17" ht="15" x14ac:dyDescent="0.25">
      <c r="A2174" s="10">
        <v>2143</v>
      </c>
      <c r="B2174" s="10" t="s">
        <v>6629</v>
      </c>
      <c r="C2174" s="880">
        <f t="shared" si="166"/>
        <v>24.35</v>
      </c>
      <c r="D2174" s="880">
        <f t="shared" si="167"/>
        <v>50.25</v>
      </c>
      <c r="E2174" s="10">
        <v>24.35</v>
      </c>
      <c r="F2174" s="10">
        <v>50.25</v>
      </c>
      <c r="G2174" s="10">
        <v>2</v>
      </c>
      <c r="H2174" s="10" t="s">
        <v>1938</v>
      </c>
      <c r="I2174" s="10" t="s">
        <v>6572</v>
      </c>
      <c r="J2174" s="10" t="s">
        <v>6573</v>
      </c>
      <c r="K2174" s="10" t="s">
        <v>6579</v>
      </c>
      <c r="L2174" s="65" t="str">
        <f t="shared" si="168"/>
        <v>Staryy Dobrotvor|Ukraine|24,350000|50,250000|+2:00 Europe</v>
      </c>
      <c r="M2174" s="10" t="s">
        <v>6630</v>
      </c>
      <c r="N2174" s="10">
        <f t="shared" si="165"/>
        <v>0</v>
      </c>
      <c r="O2174" t="str">
        <f t="shared" si="169"/>
        <v/>
      </c>
      <c r="P2174" t="str">
        <f>IF(O2174=1,COUNTIF($O$2:O2174,1),"")</f>
        <v/>
      </c>
      <c r="Q2174" t="str">
        <f>IFERROR(INDEX($M$2:$M$2388,MATCH(ROWS($P$2:P2174),$P$2:$P$2388,0)),"")</f>
        <v/>
      </c>
    </row>
    <row r="2175" spans="1:17" ht="15" x14ac:dyDescent="0.25">
      <c r="A2175" s="10">
        <v>2149</v>
      </c>
      <c r="B2175" s="10" t="s">
        <v>6631</v>
      </c>
      <c r="C2175" s="880">
        <f t="shared" si="166"/>
        <v>34.7819</v>
      </c>
      <c r="D2175" s="880">
        <f t="shared" si="167"/>
        <v>50.919699999999999</v>
      </c>
      <c r="E2175" s="10">
        <v>34.781944000000003</v>
      </c>
      <c r="F2175" s="10">
        <v>50.919724000000002</v>
      </c>
      <c r="G2175" s="10">
        <v>2</v>
      </c>
      <c r="H2175" s="10" t="s">
        <v>1938</v>
      </c>
      <c r="I2175" s="10" t="s">
        <v>6572</v>
      </c>
      <c r="J2175" s="10" t="s">
        <v>6573</v>
      </c>
      <c r="K2175" s="10" t="s">
        <v>6574</v>
      </c>
      <c r="L2175" s="65" t="str">
        <f t="shared" si="168"/>
        <v>Sumy|Ukraine|34,781944|50,919724|+2:00 Europe</v>
      </c>
      <c r="M2175" s="10" t="s">
        <v>6632</v>
      </c>
      <c r="N2175" s="10">
        <f t="shared" si="165"/>
        <v>0</v>
      </c>
      <c r="O2175" t="str">
        <f t="shared" si="169"/>
        <v/>
      </c>
      <c r="P2175" t="str">
        <f>IF(O2175=1,COUNTIF($O$2:O2175,1),"")</f>
        <v/>
      </c>
      <c r="Q2175" t="str">
        <f>IFERROR(INDEX($M$2:$M$2388,MATCH(ROWS($P$2:P2175),$P$2:$P$2388,0)),"")</f>
        <v/>
      </c>
    </row>
    <row r="2176" spans="1:17" ht="15" x14ac:dyDescent="0.25">
      <c r="A2176" s="10">
        <v>2148</v>
      </c>
      <c r="B2176" s="10" t="s">
        <v>6633</v>
      </c>
      <c r="C2176" s="880">
        <f t="shared" si="166"/>
        <v>25.583300000000001</v>
      </c>
      <c r="D2176" s="880">
        <f t="shared" si="167"/>
        <v>49.549900000000001</v>
      </c>
      <c r="E2176" s="10">
        <v>25.583334000000001</v>
      </c>
      <c r="F2176" s="10">
        <v>49.549999</v>
      </c>
      <c r="G2176" s="10">
        <v>2</v>
      </c>
      <c r="H2176" s="10" t="s">
        <v>1938</v>
      </c>
      <c r="I2176" s="10" t="s">
        <v>6572</v>
      </c>
      <c r="J2176" s="10" t="s">
        <v>6573</v>
      </c>
      <c r="K2176" s="10" t="s">
        <v>6579</v>
      </c>
      <c r="L2176" s="65" t="str">
        <f t="shared" si="168"/>
        <v>Ternopil'|Ukraine|25,583334|49,549999|+2:00 Europe</v>
      </c>
      <c r="M2176" s="10" t="s">
        <v>6634</v>
      </c>
      <c r="N2176" s="10">
        <f t="shared" si="165"/>
        <v>0</v>
      </c>
      <c r="O2176" t="str">
        <f t="shared" si="169"/>
        <v/>
      </c>
      <c r="P2176" t="str">
        <f>IF(O2176=1,COUNTIF($O$2:O2176,1),"")</f>
        <v/>
      </c>
      <c r="Q2176" t="str">
        <f>IFERROR(INDEX($M$2:$M$2388,MATCH(ROWS($P$2:P2176),$P$2:$P$2388,0)),"")</f>
        <v/>
      </c>
    </row>
    <row r="2177" spans="1:17" ht="15" x14ac:dyDescent="0.25">
      <c r="A2177" s="10">
        <v>2147</v>
      </c>
      <c r="B2177" s="10" t="s">
        <v>6635</v>
      </c>
      <c r="C2177" s="880">
        <f t="shared" si="166"/>
        <v>28.4833</v>
      </c>
      <c r="D2177" s="880">
        <f t="shared" si="167"/>
        <v>49.2333</v>
      </c>
      <c r="E2177" s="10">
        <v>28.483333999999999</v>
      </c>
      <c r="F2177" s="10">
        <v>49.233333999999999</v>
      </c>
      <c r="G2177" s="10">
        <v>2</v>
      </c>
      <c r="H2177" s="10" t="s">
        <v>1938</v>
      </c>
      <c r="I2177" s="10" t="s">
        <v>6572</v>
      </c>
      <c r="J2177" s="10" t="s">
        <v>6573</v>
      </c>
      <c r="K2177" s="10" t="s">
        <v>6574</v>
      </c>
      <c r="L2177" s="65" t="str">
        <f t="shared" si="168"/>
        <v>Vinnytsya|Ukraine|28,483334|49,233334|+2:00 Europe</v>
      </c>
      <c r="M2177" s="10" t="s">
        <v>6636</v>
      </c>
      <c r="N2177" s="10">
        <f t="shared" si="165"/>
        <v>0</v>
      </c>
      <c r="O2177" t="str">
        <f t="shared" si="169"/>
        <v/>
      </c>
      <c r="P2177" t="str">
        <f>IF(O2177=1,COUNTIF($O$2:O2177,1),"")</f>
        <v/>
      </c>
      <c r="Q2177" t="str">
        <f>IFERROR(INDEX($M$2:$M$2388,MATCH(ROWS($P$2:P2177),$P$2:$P$2388,0)),"")</f>
        <v/>
      </c>
    </row>
    <row r="2178" spans="1:17" ht="15" x14ac:dyDescent="0.25">
      <c r="A2178" s="10">
        <v>2146</v>
      </c>
      <c r="B2178" s="10" t="s">
        <v>6637</v>
      </c>
      <c r="C2178" s="880">
        <f t="shared" si="166"/>
        <v>35.183300000000003</v>
      </c>
      <c r="D2178" s="880">
        <f t="shared" si="167"/>
        <v>47.816600000000001</v>
      </c>
      <c r="E2178" s="10">
        <v>35.183334000000002</v>
      </c>
      <c r="F2178" s="10">
        <v>47.816665999999998</v>
      </c>
      <c r="G2178" s="10">
        <v>2</v>
      </c>
      <c r="H2178" s="10" t="s">
        <v>1938</v>
      </c>
      <c r="I2178" s="10" t="s">
        <v>6572</v>
      </c>
      <c r="J2178" s="10" t="s">
        <v>6573</v>
      </c>
      <c r="K2178" s="10" t="s">
        <v>6582</v>
      </c>
      <c r="L2178" s="65" t="str">
        <f t="shared" si="168"/>
        <v>Zaporizhzhya|Ukraine|35,183334|47,816666|+2:00 Europe</v>
      </c>
      <c r="M2178" s="10" t="s">
        <v>6638</v>
      </c>
      <c r="N2178" s="10">
        <f t="shared" ref="N2178:N2241" si="170">--ISNUMBER(IFERROR(SEARCH($R$2,J2178,1),""))</f>
        <v>0</v>
      </c>
      <c r="O2178" t="str">
        <f t="shared" si="169"/>
        <v/>
      </c>
      <c r="P2178" t="str">
        <f>IF(O2178=1,COUNTIF($O$2:O2178,1),"")</f>
        <v/>
      </c>
      <c r="Q2178" t="str">
        <f>IFERROR(INDEX($M$2:$M$2388,MATCH(ROWS($P$2:P2178),$P$2:$P$2388,0)),"")</f>
        <v/>
      </c>
    </row>
    <row r="2179" spans="1:17" ht="15" x14ac:dyDescent="0.25">
      <c r="A2179" s="10">
        <v>2145</v>
      </c>
      <c r="B2179" s="10" t="s">
        <v>6639</v>
      </c>
      <c r="C2179" s="880">
        <f t="shared" ref="C2179:C2242" si="171">TRUNC(E2179,4)</f>
        <v>28.666599999999999</v>
      </c>
      <c r="D2179" s="880">
        <f t="shared" ref="D2179:D2242" si="172">TRUNC(F2179,4)</f>
        <v>50.25</v>
      </c>
      <c r="E2179" s="10">
        <v>28.666665999999999</v>
      </c>
      <c r="F2179" s="10">
        <v>50.25</v>
      </c>
      <c r="G2179" s="10">
        <v>2</v>
      </c>
      <c r="H2179" s="10" t="s">
        <v>1938</v>
      </c>
      <c r="I2179" s="10" t="s">
        <v>6572</v>
      </c>
      <c r="J2179" s="10" t="s">
        <v>6573</v>
      </c>
      <c r="K2179" s="10" t="s">
        <v>6574</v>
      </c>
      <c r="L2179" s="65" t="str">
        <f t="shared" ref="L2179:L2242" si="173">MID(M2179,1,LEN(M2179)-(LEN(K2179)-SEARCH("/",K2179)+1))</f>
        <v>Zhytomyr|Ukraine|28,666666|50,250000|+2:00 Europe</v>
      </c>
      <c r="M2179" s="10" t="s">
        <v>6640</v>
      </c>
      <c r="N2179" s="10">
        <f t="shared" si="170"/>
        <v>0</v>
      </c>
      <c r="O2179" t="str">
        <f t="shared" ref="O2179:O2242" si="174">IF(N2179=0,"",--ISNUMBER(IFERROR(SEARCH($U$2,L2179,1),"")))</f>
        <v/>
      </c>
      <c r="P2179" t="str">
        <f>IF(O2179=1,COUNTIF($O$2:O2179,1),"")</f>
        <v/>
      </c>
      <c r="Q2179" t="str">
        <f>IFERROR(INDEX($M$2:$M$2388,MATCH(ROWS($P$2:P2179),$P$2:$P$2388,0)),"")</f>
        <v/>
      </c>
    </row>
    <row r="2180" spans="1:17" ht="15" x14ac:dyDescent="0.25">
      <c r="A2180" s="10">
        <v>11</v>
      </c>
      <c r="B2180" s="10" t="s">
        <v>6641</v>
      </c>
      <c r="C2180" s="880">
        <f t="shared" si="171"/>
        <v>54.366599999999998</v>
      </c>
      <c r="D2180" s="880">
        <f t="shared" si="172"/>
        <v>24.4666</v>
      </c>
      <c r="E2180" s="10">
        <v>54.366664999999998</v>
      </c>
      <c r="F2180" s="10">
        <v>24.466667000000001</v>
      </c>
      <c r="G2180" s="10">
        <v>4</v>
      </c>
      <c r="H2180" s="10" t="s">
        <v>1794</v>
      </c>
      <c r="I2180" s="10" t="s">
        <v>6642</v>
      </c>
      <c r="J2180" s="10" t="s">
        <v>6643</v>
      </c>
      <c r="K2180" s="10" t="s">
        <v>6644</v>
      </c>
      <c r="L2180" s="65" t="str">
        <f t="shared" si="173"/>
        <v>Abu Dhabi|United Arab Emirates|54,366665|24,466667|+4:00 Asia</v>
      </c>
      <c r="M2180" s="10" t="s">
        <v>6645</v>
      </c>
      <c r="N2180" s="10">
        <f t="shared" si="170"/>
        <v>0</v>
      </c>
      <c r="O2180" t="str">
        <f t="shared" si="174"/>
        <v/>
      </c>
      <c r="P2180" t="str">
        <f>IF(O2180=1,COUNTIF($O$2:O2180,1),"")</f>
        <v/>
      </c>
      <c r="Q2180" t="str">
        <f>IFERROR(INDEX($M$2:$M$2388,MATCH(ROWS($P$2:P2180),$P$2:$P$2388,0)),"")</f>
        <v/>
      </c>
    </row>
    <row r="2181" spans="1:17" ht="15" x14ac:dyDescent="0.25">
      <c r="A2181" s="10">
        <v>10</v>
      </c>
      <c r="B2181" s="10" t="s">
        <v>6646</v>
      </c>
      <c r="C2181" s="880">
        <f t="shared" si="171"/>
        <v>55.435000000000002</v>
      </c>
      <c r="D2181" s="880">
        <f t="shared" si="172"/>
        <v>25.411100000000001</v>
      </c>
      <c r="E2181" s="10">
        <v>55.435035999999997</v>
      </c>
      <c r="F2181" s="10">
        <v>25.411106</v>
      </c>
      <c r="G2181" s="10">
        <v>4</v>
      </c>
      <c r="H2181" s="10" t="s">
        <v>1794</v>
      </c>
      <c r="I2181" s="10" t="s">
        <v>6642</v>
      </c>
      <c r="J2181" s="10" t="s">
        <v>6643</v>
      </c>
      <c r="K2181" s="10" t="s">
        <v>6644</v>
      </c>
      <c r="L2181" s="65" t="str">
        <f t="shared" si="173"/>
        <v>Ajman|United Arab Emirates|55,435036|25,411106|+4:00 Asia</v>
      </c>
      <c r="M2181" s="10" t="s">
        <v>6647</v>
      </c>
      <c r="N2181" s="10">
        <f t="shared" si="170"/>
        <v>0</v>
      </c>
      <c r="O2181" t="str">
        <f t="shared" si="174"/>
        <v/>
      </c>
      <c r="P2181" t="str">
        <f>IF(O2181=1,COUNTIF($O$2:O2181,1),"")</f>
        <v/>
      </c>
      <c r="Q2181" t="str">
        <f>IFERROR(INDEX($M$2:$M$2388,MATCH(ROWS($P$2:P2181),$P$2:$P$2388,0)),"")</f>
        <v/>
      </c>
    </row>
    <row r="2182" spans="1:17" ht="15" x14ac:dyDescent="0.25">
      <c r="A2182" s="10">
        <v>9</v>
      </c>
      <c r="B2182" s="10" t="s">
        <v>6648</v>
      </c>
      <c r="C2182" s="880">
        <f t="shared" si="171"/>
        <v>55.7605</v>
      </c>
      <c r="D2182" s="880">
        <f t="shared" si="172"/>
        <v>24.191600000000001</v>
      </c>
      <c r="E2182" s="10">
        <v>55.760554999999997</v>
      </c>
      <c r="F2182" s="10">
        <v>24.191668</v>
      </c>
      <c r="G2182" s="10">
        <v>4</v>
      </c>
      <c r="H2182" s="10" t="s">
        <v>1794</v>
      </c>
      <c r="I2182" s="10" t="s">
        <v>6642</v>
      </c>
      <c r="J2182" s="10" t="s">
        <v>6643</v>
      </c>
      <c r="K2182" s="10" t="s">
        <v>6644</v>
      </c>
      <c r="L2182" s="65" t="str">
        <f t="shared" si="173"/>
        <v>Al `Ayn|United Arab Emirates|55,760555|24,191668|+4:00 Asia</v>
      </c>
      <c r="M2182" s="10" t="s">
        <v>6649</v>
      </c>
      <c r="N2182" s="10">
        <f t="shared" si="170"/>
        <v>0</v>
      </c>
      <c r="O2182" t="str">
        <f t="shared" si="174"/>
        <v/>
      </c>
      <c r="P2182" t="str">
        <f>IF(O2182=1,COUNTIF($O$2:O2182,1),"")</f>
        <v/>
      </c>
      <c r="Q2182" t="str">
        <f>IFERROR(INDEX($M$2:$M$2388,MATCH(ROWS($P$2:P2182),$P$2:$P$2388,0)),"")</f>
        <v/>
      </c>
    </row>
    <row r="2183" spans="1:17" ht="15" x14ac:dyDescent="0.25">
      <c r="A2183" s="10">
        <v>7</v>
      </c>
      <c r="B2183" s="10" t="s">
        <v>6650</v>
      </c>
      <c r="C2183" s="880">
        <f t="shared" si="171"/>
        <v>55.279899999999998</v>
      </c>
      <c r="D2183" s="880">
        <f t="shared" si="172"/>
        <v>25.252199999999998</v>
      </c>
      <c r="E2183" s="10">
        <v>55.279998999999997</v>
      </c>
      <c r="F2183" s="10">
        <v>25.252222</v>
      </c>
      <c r="G2183" s="10">
        <v>4</v>
      </c>
      <c r="H2183" s="10" t="s">
        <v>1794</v>
      </c>
      <c r="I2183" s="10" t="s">
        <v>6642</v>
      </c>
      <c r="J2183" s="10" t="s">
        <v>6643</v>
      </c>
      <c r="K2183" s="10" t="s">
        <v>6644</v>
      </c>
      <c r="L2183" s="65" t="str">
        <f t="shared" si="173"/>
        <v>Dubai|United Arab Emirates|55,279999|25,252222|+4:00 Asia</v>
      </c>
      <c r="M2183" s="10" t="s">
        <v>6651</v>
      </c>
      <c r="N2183" s="10">
        <f t="shared" si="170"/>
        <v>0</v>
      </c>
      <c r="O2183" t="str">
        <f t="shared" si="174"/>
        <v/>
      </c>
      <c r="P2183" t="str">
        <f>IF(O2183=1,COUNTIF($O$2:O2183,1),"")</f>
        <v/>
      </c>
      <c r="Q2183" t="str">
        <f>IFERROR(INDEX($M$2:$M$2388,MATCH(ROWS($P$2:P2183),$P$2:$P$2388,0)),"")</f>
        <v/>
      </c>
    </row>
    <row r="2184" spans="1:17" ht="15" x14ac:dyDescent="0.25">
      <c r="A2184" s="10">
        <v>6</v>
      </c>
      <c r="B2184" s="10" t="s">
        <v>6652</v>
      </c>
      <c r="C2184" s="880">
        <f t="shared" si="171"/>
        <v>56.356099999999998</v>
      </c>
      <c r="D2184" s="880">
        <f t="shared" si="172"/>
        <v>25.339099999999998</v>
      </c>
      <c r="E2184" s="10">
        <v>56.356110000000001</v>
      </c>
      <c r="F2184" s="10">
        <v>25.339167</v>
      </c>
      <c r="G2184" s="10">
        <v>4</v>
      </c>
      <c r="H2184" s="10" t="s">
        <v>1794</v>
      </c>
      <c r="I2184" s="10" t="s">
        <v>6642</v>
      </c>
      <c r="J2184" s="10" t="s">
        <v>6643</v>
      </c>
      <c r="K2184" s="10" t="s">
        <v>6644</v>
      </c>
      <c r="L2184" s="65" t="str">
        <f t="shared" si="173"/>
        <v>Khawr Fakkan|United Arab Emirates|56,356110|25,339167|+4:00 Asia</v>
      </c>
      <c r="M2184" s="10" t="s">
        <v>6653</v>
      </c>
      <c r="N2184" s="10">
        <f t="shared" si="170"/>
        <v>0</v>
      </c>
      <c r="O2184" t="str">
        <f t="shared" si="174"/>
        <v/>
      </c>
      <c r="P2184" t="str">
        <f>IF(O2184=1,COUNTIF($O$2:O2184,1),"")</f>
        <v/>
      </c>
      <c r="Q2184" t="str">
        <f>IFERROR(INDEX($M$2:$M$2388,MATCH(ROWS($P$2:P2184),$P$2:$P$2388,0)),"")</f>
        <v/>
      </c>
    </row>
    <row r="2185" spans="1:17" ht="15" x14ac:dyDescent="0.25">
      <c r="A2185" s="10">
        <v>5</v>
      </c>
      <c r="B2185" s="10" t="s">
        <v>6654</v>
      </c>
      <c r="C2185" s="880">
        <f t="shared" si="171"/>
        <v>55.942700000000002</v>
      </c>
      <c r="D2185" s="880">
        <f t="shared" si="172"/>
        <v>25.7911</v>
      </c>
      <c r="E2185" s="10">
        <v>55.942779999999999</v>
      </c>
      <c r="F2185" s="10">
        <v>25.791111000000001</v>
      </c>
      <c r="G2185" s="10">
        <v>4</v>
      </c>
      <c r="H2185" s="10" t="s">
        <v>1794</v>
      </c>
      <c r="I2185" s="10" t="s">
        <v>6642</v>
      </c>
      <c r="J2185" s="10" t="s">
        <v>6643</v>
      </c>
      <c r="K2185" s="10" t="s">
        <v>6644</v>
      </c>
      <c r="L2185" s="65" t="str">
        <f t="shared" si="173"/>
        <v>Ra's al Khaymah|United Arab Emirates|55,942780|25,791111|+4:00 Asia</v>
      </c>
      <c r="M2185" s="10" t="s">
        <v>6655</v>
      </c>
      <c r="N2185" s="10">
        <f t="shared" si="170"/>
        <v>0</v>
      </c>
      <c r="O2185" t="str">
        <f t="shared" si="174"/>
        <v/>
      </c>
      <c r="P2185" t="str">
        <f>IF(O2185=1,COUNTIF($O$2:O2185,1),"")</f>
        <v/>
      </c>
      <c r="Q2185" t="str">
        <f>IFERROR(INDEX($M$2:$M$2388,MATCH(ROWS($P$2:P2185),$P$2:$P$2388,0)),"")</f>
        <v/>
      </c>
    </row>
    <row r="2186" spans="1:17" ht="15" x14ac:dyDescent="0.25">
      <c r="A2186" s="10">
        <v>8</v>
      </c>
      <c r="B2186" s="10" t="s">
        <v>6656</v>
      </c>
      <c r="C2186" s="880">
        <f t="shared" si="171"/>
        <v>55.391100000000002</v>
      </c>
      <c r="D2186" s="880">
        <f t="shared" si="172"/>
        <v>25.362200000000001</v>
      </c>
      <c r="E2186" s="10">
        <v>55.391109</v>
      </c>
      <c r="F2186" s="10">
        <v>25.362223</v>
      </c>
      <c r="G2186" s="10">
        <v>4</v>
      </c>
      <c r="H2186" s="10" t="s">
        <v>1794</v>
      </c>
      <c r="I2186" s="10" t="s">
        <v>6642</v>
      </c>
      <c r="J2186" s="10" t="s">
        <v>6643</v>
      </c>
      <c r="K2186" s="10" t="s">
        <v>6644</v>
      </c>
      <c r="L2186" s="65" t="str">
        <f t="shared" si="173"/>
        <v>Sharjah|United Arab Emirates|55,391109|25,362223|+4:00 Asia</v>
      </c>
      <c r="M2186" s="10" t="s">
        <v>6657</v>
      </c>
      <c r="N2186" s="10">
        <f t="shared" si="170"/>
        <v>0</v>
      </c>
      <c r="O2186" t="str">
        <f t="shared" si="174"/>
        <v/>
      </c>
      <c r="P2186" t="str">
        <f>IF(O2186=1,COUNTIF($O$2:O2186,1),"")</f>
        <v/>
      </c>
      <c r="Q2186" t="str">
        <f>IFERROR(INDEX($M$2:$M$2388,MATCH(ROWS($P$2:P2186),$P$2:$P$2388,0)),"")</f>
        <v/>
      </c>
    </row>
    <row r="2187" spans="1:17" ht="15" x14ac:dyDescent="0.25">
      <c r="A2187" s="10">
        <v>4</v>
      </c>
      <c r="B2187" s="10" t="s">
        <v>6658</v>
      </c>
      <c r="C2187" s="880">
        <f t="shared" si="171"/>
        <v>55.5533</v>
      </c>
      <c r="D2187" s="880">
        <f t="shared" si="172"/>
        <v>25.565200000000001</v>
      </c>
      <c r="E2187" s="10">
        <v>55.553333000000002</v>
      </c>
      <c r="F2187" s="10">
        <v>25.565276999999998</v>
      </c>
      <c r="G2187" s="10">
        <v>4</v>
      </c>
      <c r="H2187" s="10" t="s">
        <v>1794</v>
      </c>
      <c r="I2187" s="10" t="s">
        <v>6642</v>
      </c>
      <c r="J2187" s="10" t="s">
        <v>6643</v>
      </c>
      <c r="K2187" s="10" t="s">
        <v>6644</v>
      </c>
      <c r="L2187" s="65" t="str">
        <f t="shared" si="173"/>
        <v>Umm al Qaywayn|United Arab Emirates|55,553333|25,565277|+4:00 Asia</v>
      </c>
      <c r="M2187" s="10" t="s">
        <v>6659</v>
      </c>
      <c r="N2187" s="10">
        <f t="shared" si="170"/>
        <v>0</v>
      </c>
      <c r="O2187" t="str">
        <f t="shared" si="174"/>
        <v/>
      </c>
      <c r="P2187" t="str">
        <f>IF(O2187=1,COUNTIF($O$2:O2187,1),"")</f>
        <v/>
      </c>
      <c r="Q2187" t="str">
        <f>IFERROR(INDEX($M$2:$M$2388,MATCH(ROWS($P$2:P2187),$P$2:$P$2388,0)),"")</f>
        <v/>
      </c>
    </row>
    <row r="2188" spans="1:17" ht="15" x14ac:dyDescent="0.25">
      <c r="A2188" s="10">
        <v>822</v>
      </c>
      <c r="B2188" s="10" t="s">
        <v>6660</v>
      </c>
      <c r="C2188" s="880">
        <f t="shared" si="171"/>
        <v>-5.9333</v>
      </c>
      <c r="D2188" s="880">
        <f t="shared" si="172"/>
        <v>54.583300000000001</v>
      </c>
      <c r="E2188" s="10">
        <v>-5.9333330000000002</v>
      </c>
      <c r="F2188" s="10">
        <v>54.583331999999999</v>
      </c>
      <c r="G2188" s="10">
        <v>0</v>
      </c>
      <c r="H2188" s="10" t="s">
        <v>2318</v>
      </c>
      <c r="I2188" s="10" t="s">
        <v>6661</v>
      </c>
      <c r="J2188" s="10" t="s">
        <v>6662</v>
      </c>
      <c r="K2188" s="10" t="s">
        <v>6663</v>
      </c>
      <c r="L2188" s="65" t="str">
        <f t="shared" si="173"/>
        <v>Belfast|United Kingdom|-5,933333|54,583332|+0:00 Europe</v>
      </c>
      <c r="M2188" s="10" t="s">
        <v>6664</v>
      </c>
      <c r="N2188" s="10">
        <f t="shared" si="170"/>
        <v>0</v>
      </c>
      <c r="O2188" t="str">
        <f t="shared" si="174"/>
        <v/>
      </c>
      <c r="P2188" t="str">
        <f>IF(O2188=1,COUNTIF($O$2:O2188,1),"")</f>
        <v/>
      </c>
      <c r="Q2188" t="str">
        <f>IFERROR(INDEX($M$2:$M$2388,MATCH(ROWS($P$2:P2188),$P$2:$P$2388,0)),"")</f>
        <v/>
      </c>
    </row>
    <row r="2189" spans="1:17" ht="15" x14ac:dyDescent="0.25">
      <c r="A2189" s="10">
        <v>821</v>
      </c>
      <c r="B2189" s="10" t="s">
        <v>6665</v>
      </c>
      <c r="C2189" s="880">
        <f t="shared" si="171"/>
        <v>-1.9166000000000001</v>
      </c>
      <c r="D2189" s="880">
        <f t="shared" si="172"/>
        <v>52.4666</v>
      </c>
      <c r="E2189" s="10">
        <v>-1.9166669999999999</v>
      </c>
      <c r="F2189" s="10">
        <v>52.466667000000001</v>
      </c>
      <c r="G2189" s="10">
        <v>0</v>
      </c>
      <c r="H2189" s="10" t="s">
        <v>2318</v>
      </c>
      <c r="I2189" s="10" t="s">
        <v>6661</v>
      </c>
      <c r="J2189" s="10" t="s">
        <v>6662</v>
      </c>
      <c r="K2189" s="10" t="s">
        <v>6663</v>
      </c>
      <c r="L2189" s="65" t="str">
        <f t="shared" si="173"/>
        <v>Birmingham|United Kingdom|-1,916667|52,466667|+0:00 Europe</v>
      </c>
      <c r="M2189" s="10" t="s">
        <v>6666</v>
      </c>
      <c r="N2189" s="10">
        <f t="shared" si="170"/>
        <v>0</v>
      </c>
      <c r="O2189" t="str">
        <f t="shared" si="174"/>
        <v/>
      </c>
      <c r="P2189" t="str">
        <f>IF(O2189=1,COUNTIF($O$2:O2189,1),"")</f>
        <v/>
      </c>
      <c r="Q2189" t="str">
        <f>IFERROR(INDEX($M$2:$M$2388,MATCH(ROWS($P$2:P2189),$P$2:$P$2388,0)),"")</f>
        <v/>
      </c>
    </row>
    <row r="2190" spans="1:17" ht="15" x14ac:dyDescent="0.25">
      <c r="A2190" s="10">
        <v>820</v>
      </c>
      <c r="B2190" s="10" t="s">
        <v>6667</v>
      </c>
      <c r="C2190" s="880">
        <f t="shared" si="171"/>
        <v>-1.75</v>
      </c>
      <c r="D2190" s="880">
        <f t="shared" si="172"/>
        <v>53.783299999999997</v>
      </c>
      <c r="E2190" s="10">
        <v>-1.75</v>
      </c>
      <c r="F2190" s="10">
        <v>53.783332999999999</v>
      </c>
      <c r="G2190" s="10">
        <v>0</v>
      </c>
      <c r="H2190" s="10" t="s">
        <v>2318</v>
      </c>
      <c r="I2190" s="10" t="s">
        <v>6661</v>
      </c>
      <c r="J2190" s="10" t="s">
        <v>6662</v>
      </c>
      <c r="K2190" s="10" t="s">
        <v>6663</v>
      </c>
      <c r="L2190" s="65" t="str">
        <f t="shared" si="173"/>
        <v>Bradford|United Kingdom|-1,750000|53,783333|+0:00 Europe</v>
      </c>
      <c r="M2190" s="10" t="s">
        <v>6668</v>
      </c>
      <c r="N2190" s="10">
        <f t="shared" si="170"/>
        <v>0</v>
      </c>
      <c r="O2190" t="str">
        <f t="shared" si="174"/>
        <v/>
      </c>
      <c r="P2190" t="str">
        <f>IF(O2190=1,COUNTIF($O$2:O2190,1),"")</f>
        <v/>
      </c>
      <c r="Q2190" t="str">
        <f>IFERROR(INDEX($M$2:$M$2388,MATCH(ROWS($P$2:P2190),$P$2:$P$2388,0)),"")</f>
        <v/>
      </c>
    </row>
    <row r="2191" spans="1:17" ht="15" x14ac:dyDescent="0.25">
      <c r="A2191" s="10">
        <v>819</v>
      </c>
      <c r="B2191" s="10" t="s">
        <v>6669</v>
      </c>
      <c r="C2191" s="880">
        <f t="shared" si="171"/>
        <v>-2.5832999999999999</v>
      </c>
      <c r="D2191" s="880">
        <f t="shared" si="172"/>
        <v>51.45</v>
      </c>
      <c r="E2191" s="10">
        <v>-2.5833330000000001</v>
      </c>
      <c r="F2191" s="10">
        <v>51.450001</v>
      </c>
      <c r="G2191" s="10">
        <v>0</v>
      </c>
      <c r="H2191" s="10" t="s">
        <v>2318</v>
      </c>
      <c r="I2191" s="10" t="s">
        <v>6661</v>
      </c>
      <c r="J2191" s="10" t="s">
        <v>6662</v>
      </c>
      <c r="K2191" s="10" t="s">
        <v>6663</v>
      </c>
      <c r="L2191" s="65" t="str">
        <f t="shared" si="173"/>
        <v>Bristol|United Kingdom|-2,583333|51,450001|+0:00 Europe</v>
      </c>
      <c r="M2191" s="10" t="s">
        <v>6670</v>
      </c>
      <c r="N2191" s="10">
        <f t="shared" si="170"/>
        <v>0</v>
      </c>
      <c r="O2191" t="str">
        <f t="shared" si="174"/>
        <v/>
      </c>
      <c r="P2191" t="str">
        <f>IF(O2191=1,COUNTIF($O$2:O2191,1),"")</f>
        <v/>
      </c>
      <c r="Q2191" t="str">
        <f>IFERROR(INDEX($M$2:$M$2388,MATCH(ROWS($P$2:P2191),$P$2:$P$2388,0)),"")</f>
        <v/>
      </c>
    </row>
    <row r="2192" spans="1:17" ht="15" x14ac:dyDescent="0.25">
      <c r="A2192" s="10">
        <v>818</v>
      </c>
      <c r="B2192" s="10" t="s">
        <v>6671</v>
      </c>
      <c r="C2192" s="880">
        <f t="shared" si="171"/>
        <v>-3.2</v>
      </c>
      <c r="D2192" s="880">
        <f t="shared" si="172"/>
        <v>51.5</v>
      </c>
      <c r="E2192" s="10">
        <v>-3.2</v>
      </c>
      <c r="F2192" s="10">
        <v>51.5</v>
      </c>
      <c r="G2192" s="10">
        <v>0</v>
      </c>
      <c r="H2192" s="10" t="s">
        <v>2318</v>
      </c>
      <c r="I2192" s="10" t="s">
        <v>6661</v>
      </c>
      <c r="J2192" s="10" t="s">
        <v>6662</v>
      </c>
      <c r="K2192" s="10" t="s">
        <v>6663</v>
      </c>
      <c r="L2192" s="65" t="str">
        <f t="shared" si="173"/>
        <v>Caerdydd|United Kingdom|-3,200000|51,500000|+0:00 Europe</v>
      </c>
      <c r="M2192" s="10" t="s">
        <v>6672</v>
      </c>
      <c r="N2192" s="10">
        <f t="shared" si="170"/>
        <v>0</v>
      </c>
      <c r="O2192" t="str">
        <f t="shared" si="174"/>
        <v/>
      </c>
      <c r="P2192" t="str">
        <f>IF(O2192=1,COUNTIF($O$2:O2192,1),"")</f>
        <v/>
      </c>
      <c r="Q2192" t="str">
        <f>IFERROR(INDEX($M$2:$M$2388,MATCH(ROWS($P$2:P2192),$P$2:$P$2388,0)),"")</f>
        <v/>
      </c>
    </row>
    <row r="2193" spans="1:17" ht="15" x14ac:dyDescent="0.25">
      <c r="A2193" s="10">
        <v>817</v>
      </c>
      <c r="B2193" s="10" t="s">
        <v>6673</v>
      </c>
      <c r="C2193" s="880">
        <f t="shared" si="171"/>
        <v>-1.55</v>
      </c>
      <c r="D2193" s="880">
        <f t="shared" si="172"/>
        <v>52.416600000000003</v>
      </c>
      <c r="E2193" s="10">
        <v>-1.55</v>
      </c>
      <c r="F2193" s="10">
        <v>52.416668000000001</v>
      </c>
      <c r="G2193" s="10">
        <v>0</v>
      </c>
      <c r="H2193" s="10" t="s">
        <v>2318</v>
      </c>
      <c r="I2193" s="10" t="s">
        <v>6661</v>
      </c>
      <c r="J2193" s="10" t="s">
        <v>6662</v>
      </c>
      <c r="K2193" s="10" t="s">
        <v>6663</v>
      </c>
      <c r="L2193" s="65" t="str">
        <f t="shared" si="173"/>
        <v>Coventry|United Kingdom|-1,550000|52,416668|+0:00 Europe</v>
      </c>
      <c r="M2193" s="10" t="s">
        <v>6674</v>
      </c>
      <c r="N2193" s="10">
        <f t="shared" si="170"/>
        <v>0</v>
      </c>
      <c r="O2193" t="str">
        <f t="shared" si="174"/>
        <v/>
      </c>
      <c r="P2193" t="str">
        <f>IF(O2193=1,COUNTIF($O$2:O2193,1),"")</f>
        <v/>
      </c>
      <c r="Q2193" t="str">
        <f>IFERROR(INDEX($M$2:$M$2388,MATCH(ROWS($P$2:P2193),$P$2:$P$2388,0)),"")</f>
        <v/>
      </c>
    </row>
    <row r="2194" spans="1:17" ht="15" x14ac:dyDescent="0.25">
      <c r="A2194" s="10">
        <v>816</v>
      </c>
      <c r="B2194" s="10" t="s">
        <v>6675</v>
      </c>
      <c r="C2194" s="880">
        <f t="shared" si="171"/>
        <v>-1.5</v>
      </c>
      <c r="D2194" s="880">
        <f t="shared" si="172"/>
        <v>52.933300000000003</v>
      </c>
      <c r="E2194" s="10">
        <v>-1.5</v>
      </c>
      <c r="F2194" s="10">
        <v>52.933334000000002</v>
      </c>
      <c r="G2194" s="10">
        <v>0</v>
      </c>
      <c r="H2194" s="10" t="s">
        <v>2318</v>
      </c>
      <c r="I2194" s="10" t="s">
        <v>6661</v>
      </c>
      <c r="J2194" s="10" t="s">
        <v>6662</v>
      </c>
      <c r="K2194" s="10" t="s">
        <v>6663</v>
      </c>
      <c r="L2194" s="65" t="str">
        <f t="shared" si="173"/>
        <v>Derby|United Kingdom|-1,500000|52,933334|+0:00 Europe</v>
      </c>
      <c r="M2194" s="10" t="s">
        <v>6676</v>
      </c>
      <c r="N2194" s="10">
        <f t="shared" si="170"/>
        <v>0</v>
      </c>
      <c r="O2194" t="str">
        <f t="shared" si="174"/>
        <v/>
      </c>
      <c r="P2194" t="str">
        <f>IF(O2194=1,COUNTIF($O$2:O2194,1),"")</f>
        <v/>
      </c>
      <c r="Q2194" t="str">
        <f>IFERROR(INDEX($M$2:$M$2388,MATCH(ROWS($P$2:P2194),$P$2:$P$2388,0)),"")</f>
        <v/>
      </c>
    </row>
    <row r="2195" spans="1:17" ht="15" x14ac:dyDescent="0.25">
      <c r="A2195" s="10">
        <v>815</v>
      </c>
      <c r="B2195" s="10" t="s">
        <v>6677</v>
      </c>
      <c r="C2195" s="880">
        <f t="shared" si="171"/>
        <v>-3.2</v>
      </c>
      <c r="D2195" s="880">
        <f t="shared" si="172"/>
        <v>55.95</v>
      </c>
      <c r="E2195" s="10">
        <v>-3.2</v>
      </c>
      <c r="F2195" s="10">
        <v>55.950001</v>
      </c>
      <c r="G2195" s="10">
        <v>0</v>
      </c>
      <c r="H2195" s="10" t="s">
        <v>2318</v>
      </c>
      <c r="I2195" s="10" t="s">
        <v>6661</v>
      </c>
      <c r="J2195" s="10" t="s">
        <v>6662</v>
      </c>
      <c r="K2195" s="10" t="s">
        <v>6663</v>
      </c>
      <c r="L2195" s="65" t="str">
        <f t="shared" si="173"/>
        <v>Edinburgh|United Kingdom|-3,200000|55,950001|+0:00 Europe</v>
      </c>
      <c r="M2195" s="10" t="s">
        <v>6678</v>
      </c>
      <c r="N2195" s="10">
        <f t="shared" si="170"/>
        <v>0</v>
      </c>
      <c r="O2195" t="str">
        <f t="shared" si="174"/>
        <v/>
      </c>
      <c r="P2195" t="str">
        <f>IF(O2195=1,COUNTIF($O$2:O2195,1),"")</f>
        <v/>
      </c>
      <c r="Q2195" t="str">
        <f>IFERROR(INDEX($M$2:$M$2388,MATCH(ROWS($P$2:P2195),$P$2:$P$2388,0)),"")</f>
        <v/>
      </c>
    </row>
    <row r="2196" spans="1:17" ht="15" x14ac:dyDescent="0.25">
      <c r="A2196" s="10">
        <v>814</v>
      </c>
      <c r="B2196" s="10" t="s">
        <v>6679</v>
      </c>
      <c r="C2196" s="880">
        <f t="shared" si="171"/>
        <v>-4.25</v>
      </c>
      <c r="D2196" s="880">
        <f t="shared" si="172"/>
        <v>55.833300000000001</v>
      </c>
      <c r="E2196" s="10">
        <v>-4.25</v>
      </c>
      <c r="F2196" s="10">
        <v>55.833331999999999</v>
      </c>
      <c r="G2196" s="10">
        <v>0</v>
      </c>
      <c r="H2196" s="10" t="s">
        <v>2318</v>
      </c>
      <c r="I2196" s="10" t="s">
        <v>6661</v>
      </c>
      <c r="J2196" s="10" t="s">
        <v>6662</v>
      </c>
      <c r="K2196" s="10" t="s">
        <v>6663</v>
      </c>
      <c r="L2196" s="65" t="str">
        <f t="shared" si="173"/>
        <v>Glasgow|United Kingdom|-4,250000|55,833332|+0:00 Europe</v>
      </c>
      <c r="M2196" s="10" t="s">
        <v>6680</v>
      </c>
      <c r="N2196" s="10">
        <f t="shared" si="170"/>
        <v>0</v>
      </c>
      <c r="O2196" t="str">
        <f t="shared" si="174"/>
        <v/>
      </c>
      <c r="P2196" t="str">
        <f>IF(O2196=1,COUNTIF($O$2:O2196,1),"")</f>
        <v/>
      </c>
      <c r="Q2196" t="str">
        <f>IFERROR(INDEX($M$2:$M$2388,MATCH(ROWS($P$2:P2196),$P$2:$P$2388,0)),"")</f>
        <v/>
      </c>
    </row>
    <row r="2197" spans="1:17" ht="15" x14ac:dyDescent="0.25">
      <c r="A2197" s="10">
        <v>813</v>
      </c>
      <c r="B2197" s="10" t="s">
        <v>6681</v>
      </c>
      <c r="C2197" s="880">
        <f t="shared" si="171"/>
        <v>-0.3261</v>
      </c>
      <c r="D2197" s="880">
        <f t="shared" si="172"/>
        <v>53.740299999999998</v>
      </c>
      <c r="E2197" s="10">
        <v>-0.32615699999999997</v>
      </c>
      <c r="F2197" s="10">
        <v>53.740386999999998</v>
      </c>
      <c r="G2197" s="10">
        <v>0</v>
      </c>
      <c r="H2197" s="10" t="s">
        <v>2318</v>
      </c>
      <c r="I2197" s="10" t="s">
        <v>6661</v>
      </c>
      <c r="J2197" s="10" t="s">
        <v>6662</v>
      </c>
      <c r="K2197" s="10" t="s">
        <v>6663</v>
      </c>
      <c r="L2197" s="65" t="str">
        <f t="shared" si="173"/>
        <v>Kingston upon Hull|United Kingdom|-0,326157|53,740387|+0:00 Europe</v>
      </c>
      <c r="M2197" s="10" t="s">
        <v>6682</v>
      </c>
      <c r="N2197" s="10">
        <f t="shared" si="170"/>
        <v>0</v>
      </c>
      <c r="O2197" t="str">
        <f t="shared" si="174"/>
        <v/>
      </c>
      <c r="P2197" t="str">
        <f>IF(O2197=1,COUNTIF($O$2:O2197,1),"")</f>
        <v/>
      </c>
      <c r="Q2197" t="str">
        <f>IFERROR(INDEX($M$2:$M$2388,MATCH(ROWS($P$2:P2197),$P$2:$P$2388,0)),"")</f>
        <v/>
      </c>
    </row>
    <row r="2198" spans="1:17" ht="15" x14ac:dyDescent="0.25">
      <c r="A2198" s="10">
        <v>812</v>
      </c>
      <c r="B2198" s="10" t="s">
        <v>6683</v>
      </c>
      <c r="C2198" s="880">
        <f t="shared" si="171"/>
        <v>-1.5530999999999999</v>
      </c>
      <c r="D2198" s="880">
        <f t="shared" si="172"/>
        <v>53.7941</v>
      </c>
      <c r="E2198" s="10">
        <v>-1.5531919999999999</v>
      </c>
      <c r="F2198" s="10">
        <v>53.794162999999998</v>
      </c>
      <c r="G2198" s="10">
        <v>0</v>
      </c>
      <c r="H2198" s="10" t="s">
        <v>2318</v>
      </c>
      <c r="I2198" s="10" t="s">
        <v>6661</v>
      </c>
      <c r="J2198" s="10" t="s">
        <v>6662</v>
      </c>
      <c r="K2198" s="10" t="s">
        <v>6663</v>
      </c>
      <c r="L2198" s="65" t="str">
        <f t="shared" si="173"/>
        <v>Leeds|United Kingdom|-1,553192|53,794163|+0:00 Europe</v>
      </c>
      <c r="M2198" s="10" t="s">
        <v>6684</v>
      </c>
      <c r="N2198" s="10">
        <f t="shared" si="170"/>
        <v>0</v>
      </c>
      <c r="O2198" t="str">
        <f t="shared" si="174"/>
        <v/>
      </c>
      <c r="P2198" t="str">
        <f>IF(O2198=1,COUNTIF($O$2:O2198,1),"")</f>
        <v/>
      </c>
      <c r="Q2198" t="str">
        <f>IFERROR(INDEX($M$2:$M$2388,MATCH(ROWS($P$2:P2198),$P$2:$P$2388,0)),"")</f>
        <v/>
      </c>
    </row>
    <row r="2199" spans="1:17" ht="15" x14ac:dyDescent="0.25">
      <c r="A2199" s="10">
        <v>811</v>
      </c>
      <c r="B2199" s="10" t="s">
        <v>6685</v>
      </c>
      <c r="C2199" s="880">
        <f t="shared" si="171"/>
        <v>-1.1333</v>
      </c>
      <c r="D2199" s="880">
        <f t="shared" si="172"/>
        <v>52.633299999999998</v>
      </c>
      <c r="E2199" s="10">
        <v>-1.1333329999999999</v>
      </c>
      <c r="F2199" s="10">
        <v>52.633335000000002</v>
      </c>
      <c r="G2199" s="10">
        <v>0</v>
      </c>
      <c r="H2199" s="10" t="s">
        <v>2318</v>
      </c>
      <c r="I2199" s="10" t="s">
        <v>6661</v>
      </c>
      <c r="J2199" s="10" t="s">
        <v>6662</v>
      </c>
      <c r="K2199" s="10" t="s">
        <v>6663</v>
      </c>
      <c r="L2199" s="65" t="str">
        <f t="shared" si="173"/>
        <v>Leicester|United Kingdom|-1,133333|52,633335|+0:00 Europe</v>
      </c>
      <c r="M2199" s="10" t="s">
        <v>6686</v>
      </c>
      <c r="N2199" s="10">
        <f t="shared" si="170"/>
        <v>0</v>
      </c>
      <c r="O2199" t="str">
        <f t="shared" si="174"/>
        <v/>
      </c>
      <c r="P2199" t="str">
        <f>IF(O2199=1,COUNTIF($O$2:O2199,1),"")</f>
        <v/>
      </c>
      <c r="Q2199" t="str">
        <f>IFERROR(INDEX($M$2:$M$2388,MATCH(ROWS($P$2:P2199),$P$2:$P$2388,0)),"")</f>
        <v/>
      </c>
    </row>
    <row r="2200" spans="1:17" ht="15" x14ac:dyDescent="0.25">
      <c r="A2200" s="10">
        <v>810</v>
      </c>
      <c r="B2200" s="10" t="s">
        <v>6687</v>
      </c>
      <c r="C2200" s="880">
        <f t="shared" si="171"/>
        <v>-3</v>
      </c>
      <c r="D2200" s="880">
        <f t="shared" si="172"/>
        <v>53.416600000000003</v>
      </c>
      <c r="E2200" s="10">
        <v>-3</v>
      </c>
      <c r="F2200" s="10">
        <v>53.416668000000001</v>
      </c>
      <c r="G2200" s="10">
        <v>0</v>
      </c>
      <c r="H2200" s="10" t="s">
        <v>2318</v>
      </c>
      <c r="I2200" s="10" t="s">
        <v>6661</v>
      </c>
      <c r="J2200" s="10" t="s">
        <v>6662</v>
      </c>
      <c r="K2200" s="10" t="s">
        <v>6663</v>
      </c>
      <c r="L2200" s="65" t="str">
        <f t="shared" si="173"/>
        <v>Liverpool|United Kingdom|-3,000000|53,416668|+0:00 Europe</v>
      </c>
      <c r="M2200" s="10" t="s">
        <v>6688</v>
      </c>
      <c r="N2200" s="10">
        <f t="shared" si="170"/>
        <v>0</v>
      </c>
      <c r="O2200" t="str">
        <f t="shared" si="174"/>
        <v/>
      </c>
      <c r="P2200" t="str">
        <f>IF(O2200=1,COUNTIF($O$2:O2200,1),"")</f>
        <v/>
      </c>
      <c r="Q2200" t="str">
        <f>IFERROR(INDEX($M$2:$M$2388,MATCH(ROWS($P$2:P2200),$P$2:$P$2388,0)),"")</f>
        <v/>
      </c>
    </row>
    <row r="2201" spans="1:17" ht="15" x14ac:dyDescent="0.25">
      <c r="A2201" s="10">
        <v>809</v>
      </c>
      <c r="B2201" s="10" t="s">
        <v>2426</v>
      </c>
      <c r="C2201" s="880">
        <f t="shared" si="171"/>
        <v>-0.1255</v>
      </c>
      <c r="D2201" s="880">
        <f t="shared" si="172"/>
        <v>51.508400000000002</v>
      </c>
      <c r="E2201" s="10">
        <v>-0.12553300000000001</v>
      </c>
      <c r="F2201" s="10">
        <v>51.508414999999999</v>
      </c>
      <c r="G2201" s="10">
        <v>0</v>
      </c>
      <c r="H2201" s="10" t="s">
        <v>1873</v>
      </c>
      <c r="I2201" s="10" t="s">
        <v>6661</v>
      </c>
      <c r="J2201" s="10" t="s">
        <v>6662</v>
      </c>
      <c r="K2201" s="10" t="s">
        <v>2422</v>
      </c>
      <c r="L2201" s="65" t="str">
        <f t="shared" si="173"/>
        <v>London|United Kingdom|-0,125533|51,508415|-5:00 America</v>
      </c>
      <c r="M2201" s="10" t="s">
        <v>6689</v>
      </c>
      <c r="N2201" s="10">
        <f t="shared" si="170"/>
        <v>0</v>
      </c>
      <c r="O2201" t="str">
        <f t="shared" si="174"/>
        <v/>
      </c>
      <c r="P2201" t="str">
        <f>IF(O2201=1,COUNTIF($O$2:O2201,1),"")</f>
        <v/>
      </c>
      <c r="Q2201" t="str">
        <f>IFERROR(INDEX($M$2:$M$2388,MATCH(ROWS($P$2:P2201),$P$2:$P$2388,0)),"")</f>
        <v/>
      </c>
    </row>
    <row r="2202" spans="1:17" ht="15" x14ac:dyDescent="0.25">
      <c r="A2202" s="10">
        <v>808</v>
      </c>
      <c r="B2202" s="10" t="s">
        <v>6690</v>
      </c>
      <c r="C2202" s="880">
        <f t="shared" si="171"/>
        <v>-2.2374000000000001</v>
      </c>
      <c r="D2202" s="880">
        <f t="shared" si="172"/>
        <v>53.480899999999998</v>
      </c>
      <c r="E2202" s="10">
        <v>-2.2374339999999999</v>
      </c>
      <c r="F2202" s="10">
        <v>53.480946000000003</v>
      </c>
      <c r="G2202" s="10">
        <v>0</v>
      </c>
      <c r="H2202" s="10" t="s">
        <v>2318</v>
      </c>
      <c r="I2202" s="10" t="s">
        <v>6661</v>
      </c>
      <c r="J2202" s="10" t="s">
        <v>6662</v>
      </c>
      <c r="K2202" s="10" t="s">
        <v>6663</v>
      </c>
      <c r="L2202" s="65" t="str">
        <f t="shared" si="173"/>
        <v>Manchester|United Kingdom|-2,237434|53,480946|+0:00 Europe</v>
      </c>
      <c r="M2202" s="10" t="s">
        <v>6691</v>
      </c>
      <c r="N2202" s="10">
        <f t="shared" si="170"/>
        <v>0</v>
      </c>
      <c r="O2202" t="str">
        <f t="shared" si="174"/>
        <v/>
      </c>
      <c r="P2202" t="str">
        <f>IF(O2202=1,COUNTIF($O$2:O2202,1),"")</f>
        <v/>
      </c>
      <c r="Q2202" t="str">
        <f>IFERROR(INDEX($M$2:$M$2388,MATCH(ROWS($P$2:P2202),$P$2:$P$2388,0)),"")</f>
        <v/>
      </c>
    </row>
    <row r="2203" spans="1:17" ht="15" x14ac:dyDescent="0.25">
      <c r="A2203" s="10">
        <v>807</v>
      </c>
      <c r="B2203" s="10" t="s">
        <v>6692</v>
      </c>
      <c r="C2203" s="880">
        <f t="shared" si="171"/>
        <v>-1.1666000000000001</v>
      </c>
      <c r="D2203" s="880">
        <f t="shared" si="172"/>
        <v>52.9666</v>
      </c>
      <c r="E2203" s="10">
        <v>-1.1666669999999999</v>
      </c>
      <c r="F2203" s="10">
        <v>52.966667000000001</v>
      </c>
      <c r="G2203" s="10">
        <v>0</v>
      </c>
      <c r="H2203" s="10" t="s">
        <v>2318</v>
      </c>
      <c r="I2203" s="10" t="s">
        <v>6661</v>
      </c>
      <c r="J2203" s="10" t="s">
        <v>6662</v>
      </c>
      <c r="K2203" s="10" t="s">
        <v>6663</v>
      </c>
      <c r="L2203" s="65" t="str">
        <f t="shared" si="173"/>
        <v>Nottingham|United Kingdom|-1,166667|52,966667|+0:00 Europe</v>
      </c>
      <c r="M2203" s="10" t="s">
        <v>6693</v>
      </c>
      <c r="N2203" s="10">
        <f t="shared" si="170"/>
        <v>0</v>
      </c>
      <c r="O2203" t="str">
        <f t="shared" si="174"/>
        <v/>
      </c>
      <c r="P2203" t="str">
        <f>IF(O2203=1,COUNTIF($O$2:O2203,1),"")</f>
        <v/>
      </c>
      <c r="Q2203" t="str">
        <f>IFERROR(INDEX($M$2:$M$2388,MATCH(ROWS($P$2:P2203),$P$2:$P$2388,0)),"")</f>
        <v/>
      </c>
    </row>
    <row r="2204" spans="1:17" ht="15" x14ac:dyDescent="0.25">
      <c r="A2204" s="10">
        <v>806</v>
      </c>
      <c r="B2204" s="10" t="s">
        <v>6694</v>
      </c>
      <c r="C2204" s="880">
        <f t="shared" si="171"/>
        <v>-4.1399999999999997</v>
      </c>
      <c r="D2204" s="880">
        <f t="shared" si="172"/>
        <v>50.369900000000001</v>
      </c>
      <c r="E2204" s="10">
        <v>-4.1399999999999997</v>
      </c>
      <c r="F2204" s="10">
        <v>50.369999</v>
      </c>
      <c r="G2204" s="10">
        <v>0</v>
      </c>
      <c r="H2204" s="10" t="s">
        <v>2318</v>
      </c>
      <c r="I2204" s="10" t="s">
        <v>6661</v>
      </c>
      <c r="J2204" s="10" t="s">
        <v>6662</v>
      </c>
      <c r="K2204" s="10" t="s">
        <v>6663</v>
      </c>
      <c r="L2204" s="65" t="str">
        <f t="shared" si="173"/>
        <v>Plymouth|United Kingdom|-4,140000|50,369999|+0:00 Europe</v>
      </c>
      <c r="M2204" s="10" t="s">
        <v>6695</v>
      </c>
      <c r="N2204" s="10">
        <f t="shared" si="170"/>
        <v>0</v>
      </c>
      <c r="O2204" t="str">
        <f t="shared" si="174"/>
        <v/>
      </c>
      <c r="P2204" t="str">
        <f>IF(O2204=1,COUNTIF($O$2:O2204,1),"")</f>
        <v/>
      </c>
      <c r="Q2204" t="str">
        <f>IFERROR(INDEX($M$2:$M$2388,MATCH(ROWS($P$2:P2204),$P$2:$P$2388,0)),"")</f>
        <v/>
      </c>
    </row>
    <row r="2205" spans="1:17" ht="15" x14ac:dyDescent="0.25">
      <c r="A2205" s="10">
        <v>805</v>
      </c>
      <c r="B2205" s="10" t="s">
        <v>6696</v>
      </c>
      <c r="C2205" s="880">
        <f t="shared" si="171"/>
        <v>-1</v>
      </c>
      <c r="D2205" s="880">
        <f t="shared" si="172"/>
        <v>51.433300000000003</v>
      </c>
      <c r="E2205" s="10">
        <v>-1</v>
      </c>
      <c r="F2205" s="10">
        <v>51.433334000000002</v>
      </c>
      <c r="G2205" s="10">
        <v>0</v>
      </c>
      <c r="H2205" s="10" t="s">
        <v>2318</v>
      </c>
      <c r="I2205" s="10" t="s">
        <v>6661</v>
      </c>
      <c r="J2205" s="10" t="s">
        <v>6662</v>
      </c>
      <c r="K2205" s="10" t="s">
        <v>6663</v>
      </c>
      <c r="L2205" s="65" t="str">
        <f t="shared" si="173"/>
        <v>Reading|United Kingdom|-1,000000|51,433334|+0:00 Europe</v>
      </c>
      <c r="M2205" s="10" t="s">
        <v>6697</v>
      </c>
      <c r="N2205" s="10">
        <f t="shared" si="170"/>
        <v>0</v>
      </c>
      <c r="O2205" t="str">
        <f t="shared" si="174"/>
        <v/>
      </c>
      <c r="P2205" t="str">
        <f>IF(O2205=1,COUNTIF($O$2:O2205,1),"")</f>
        <v/>
      </c>
      <c r="Q2205" t="str">
        <f>IFERROR(INDEX($M$2:$M$2388,MATCH(ROWS($P$2:P2205),$P$2:$P$2388,0)),"")</f>
        <v/>
      </c>
    </row>
    <row r="2206" spans="1:17" ht="15" x14ac:dyDescent="0.25">
      <c r="A2206" s="10">
        <v>804</v>
      </c>
      <c r="B2206" s="10" t="s">
        <v>6698</v>
      </c>
      <c r="C2206" s="880">
        <f t="shared" si="171"/>
        <v>-1.4659</v>
      </c>
      <c r="D2206" s="880">
        <f t="shared" si="172"/>
        <v>53.382899999999999</v>
      </c>
      <c r="E2206" s="10">
        <v>-1.465902</v>
      </c>
      <c r="F2206" s="10">
        <v>53.382969000000003</v>
      </c>
      <c r="G2206" s="10">
        <v>0</v>
      </c>
      <c r="H2206" s="10" t="s">
        <v>2318</v>
      </c>
      <c r="I2206" s="10" t="s">
        <v>6661</v>
      </c>
      <c r="J2206" s="10" t="s">
        <v>6662</v>
      </c>
      <c r="K2206" s="10" t="s">
        <v>6663</v>
      </c>
      <c r="L2206" s="65" t="str">
        <f t="shared" si="173"/>
        <v>Sheffield|United Kingdom|-1,465902|53,382969|+0:00 Europe</v>
      </c>
      <c r="M2206" s="10" t="s">
        <v>6699</v>
      </c>
      <c r="N2206" s="10">
        <f t="shared" si="170"/>
        <v>0</v>
      </c>
      <c r="O2206" t="str">
        <f t="shared" si="174"/>
        <v/>
      </c>
      <c r="P2206" t="str">
        <f>IF(O2206=1,COUNTIF($O$2:O2206,1),"")</f>
        <v/>
      </c>
      <c r="Q2206" t="str">
        <f>IFERROR(INDEX($M$2:$M$2388,MATCH(ROWS($P$2:P2206),$P$2:$P$2388,0)),"")</f>
        <v/>
      </c>
    </row>
    <row r="2207" spans="1:17" ht="15" x14ac:dyDescent="0.25">
      <c r="A2207" s="10">
        <v>803</v>
      </c>
      <c r="B2207" s="10" t="s">
        <v>6700</v>
      </c>
      <c r="C2207" s="880">
        <f t="shared" si="171"/>
        <v>-1.4</v>
      </c>
      <c r="D2207" s="880">
        <f t="shared" si="172"/>
        <v>50.9</v>
      </c>
      <c r="E2207" s="10">
        <v>-1.4</v>
      </c>
      <c r="F2207" s="10">
        <v>50.900002000000001</v>
      </c>
      <c r="G2207" s="10">
        <v>0</v>
      </c>
      <c r="H2207" s="10" t="s">
        <v>2318</v>
      </c>
      <c r="I2207" s="10" t="s">
        <v>6661</v>
      </c>
      <c r="J2207" s="10" t="s">
        <v>6662</v>
      </c>
      <c r="K2207" s="10" t="s">
        <v>6663</v>
      </c>
      <c r="L2207" s="65" t="str">
        <f t="shared" si="173"/>
        <v>Southampton|United Kingdom|-1,400000|50,900002|+0:00 Europe</v>
      </c>
      <c r="M2207" s="10" t="s">
        <v>6701</v>
      </c>
      <c r="N2207" s="10">
        <f t="shared" si="170"/>
        <v>0</v>
      </c>
      <c r="O2207" t="str">
        <f t="shared" si="174"/>
        <v/>
      </c>
      <c r="P2207" t="str">
        <f>IF(O2207=1,COUNTIF($O$2:O2207,1),"")</f>
        <v/>
      </c>
      <c r="Q2207" t="str">
        <f>IFERROR(INDEX($M$2:$M$2388,MATCH(ROWS($P$2:P2207),$P$2:$P$2388,0)),"")</f>
        <v/>
      </c>
    </row>
    <row r="2208" spans="1:17" ht="15" x14ac:dyDescent="0.25">
      <c r="A2208" s="10">
        <v>802</v>
      </c>
      <c r="B2208" s="10" t="s">
        <v>6702</v>
      </c>
      <c r="C2208" s="880">
        <f t="shared" si="171"/>
        <v>-2.1833</v>
      </c>
      <c r="D2208" s="880">
        <f t="shared" si="172"/>
        <v>53</v>
      </c>
      <c r="E2208" s="10">
        <v>-2.1833330000000002</v>
      </c>
      <c r="F2208" s="10">
        <v>53</v>
      </c>
      <c r="G2208" s="10">
        <v>0</v>
      </c>
      <c r="H2208" s="10" t="s">
        <v>2318</v>
      </c>
      <c r="I2208" s="10" t="s">
        <v>6661</v>
      </c>
      <c r="J2208" s="10" t="s">
        <v>6662</v>
      </c>
      <c r="K2208" s="10" t="s">
        <v>6663</v>
      </c>
      <c r="L2208" s="65" t="str">
        <f t="shared" si="173"/>
        <v>Stoke-on-Trent|United Kingdom|-2,183333|53,000000|+0:00 Europe</v>
      </c>
      <c r="M2208" s="10" t="s">
        <v>6703</v>
      </c>
      <c r="N2208" s="10">
        <f t="shared" si="170"/>
        <v>0</v>
      </c>
      <c r="O2208" t="str">
        <f t="shared" si="174"/>
        <v/>
      </c>
      <c r="P2208" t="str">
        <f>IF(O2208=1,COUNTIF($O$2:O2208,1),"")</f>
        <v/>
      </c>
      <c r="Q2208" t="str">
        <f>IFERROR(INDEX($M$2:$M$2388,MATCH(ROWS($P$2:P2208),$P$2:$P$2388,0)),"")</f>
        <v/>
      </c>
    </row>
    <row r="2209" spans="1:17" ht="15" x14ac:dyDescent="0.25">
      <c r="A2209" s="10">
        <v>801</v>
      </c>
      <c r="B2209" s="10" t="s">
        <v>6704</v>
      </c>
      <c r="C2209" s="880">
        <f t="shared" si="171"/>
        <v>-2.1333000000000002</v>
      </c>
      <c r="D2209" s="880">
        <f t="shared" si="172"/>
        <v>52.583300000000001</v>
      </c>
      <c r="E2209" s="10">
        <v>-2.1333329999999999</v>
      </c>
      <c r="F2209" s="10">
        <v>52.583331999999999</v>
      </c>
      <c r="G2209" s="10">
        <v>0</v>
      </c>
      <c r="H2209" s="10" t="s">
        <v>2318</v>
      </c>
      <c r="I2209" s="10" t="s">
        <v>6661</v>
      </c>
      <c r="J2209" s="10" t="s">
        <v>6662</v>
      </c>
      <c r="K2209" s="10" t="s">
        <v>6663</v>
      </c>
      <c r="L2209" s="65" t="str">
        <f t="shared" si="173"/>
        <v>Wolverhampton|United Kingdom|-2,133333|52,583332|+0:00 Europe</v>
      </c>
      <c r="M2209" s="10" t="s">
        <v>6705</v>
      </c>
      <c r="N2209" s="10">
        <f t="shared" si="170"/>
        <v>0</v>
      </c>
      <c r="O2209" t="str">
        <f t="shared" si="174"/>
        <v/>
      </c>
      <c r="P2209" t="str">
        <f>IF(O2209=1,COUNTIF($O$2:O2209,1),"")</f>
        <v/>
      </c>
      <c r="Q2209" t="str">
        <f>IFERROR(INDEX($M$2:$M$2388,MATCH(ROWS($P$2:P2209),$P$2:$P$2388,0)),"")</f>
        <v/>
      </c>
    </row>
    <row r="2210" spans="1:17" ht="15" x14ac:dyDescent="0.25">
      <c r="A2210" s="10">
        <v>800</v>
      </c>
      <c r="B2210" s="10" t="s">
        <v>6706</v>
      </c>
      <c r="C2210" s="880">
        <f t="shared" si="171"/>
        <v>-2.6333000000000002</v>
      </c>
      <c r="D2210" s="880">
        <f t="shared" si="172"/>
        <v>50.95</v>
      </c>
      <c r="E2210" s="10">
        <v>-2.6333329999999999</v>
      </c>
      <c r="F2210" s="10">
        <v>50.950001</v>
      </c>
      <c r="G2210" s="10">
        <v>0</v>
      </c>
      <c r="H2210" s="10" t="s">
        <v>2318</v>
      </c>
      <c r="I2210" s="10" t="s">
        <v>6661</v>
      </c>
      <c r="J2210" s="10" t="s">
        <v>6662</v>
      </c>
      <c r="K2210" s="10" t="s">
        <v>6663</v>
      </c>
      <c r="L2210" s="65" t="str">
        <f t="shared" si="173"/>
        <v>Yeovil|United Kingdom|-2,633333|50,950001|+0:00 Europe</v>
      </c>
      <c r="M2210" s="10" t="s">
        <v>6707</v>
      </c>
      <c r="N2210" s="10">
        <f t="shared" si="170"/>
        <v>0</v>
      </c>
      <c r="O2210" t="str">
        <f t="shared" si="174"/>
        <v/>
      </c>
      <c r="P2210" t="str">
        <f>IF(O2210=1,COUNTIF($O$2:O2210,1),"")</f>
        <v/>
      </c>
      <c r="Q2210" t="str">
        <f>IFERROR(INDEX($M$2:$M$2388,MATCH(ROWS($P$2:P2210),$P$2:$P$2388,0)),"")</f>
        <v/>
      </c>
    </row>
    <row r="2211" spans="1:17" ht="15" x14ac:dyDescent="0.25">
      <c r="A2211" s="10">
        <v>799</v>
      </c>
      <c r="B2211" s="10" t="s">
        <v>6708</v>
      </c>
      <c r="C2211" s="880">
        <f t="shared" si="171"/>
        <v>-1.0832999999999999</v>
      </c>
      <c r="D2211" s="880">
        <f t="shared" si="172"/>
        <v>53.9666</v>
      </c>
      <c r="E2211" s="10">
        <v>-1.0833330000000001</v>
      </c>
      <c r="F2211" s="10">
        <v>53.966667000000001</v>
      </c>
      <c r="G2211" s="10">
        <v>0</v>
      </c>
      <c r="H2211" s="10" t="s">
        <v>2318</v>
      </c>
      <c r="I2211" s="10" t="s">
        <v>6661</v>
      </c>
      <c r="J2211" s="10" t="s">
        <v>6662</v>
      </c>
      <c r="K2211" s="10" t="s">
        <v>6663</v>
      </c>
      <c r="L2211" s="65" t="str">
        <f t="shared" si="173"/>
        <v>York|United Kingdom|-1,083333|53,966667|+0:00 Europe</v>
      </c>
      <c r="M2211" s="10" t="s">
        <v>6709</v>
      </c>
      <c r="N2211" s="10">
        <f t="shared" si="170"/>
        <v>0</v>
      </c>
      <c r="O2211" t="str">
        <f t="shared" si="174"/>
        <v/>
      </c>
      <c r="P2211" t="str">
        <f>IF(O2211=1,COUNTIF($O$2:O2211,1),"")</f>
        <v/>
      </c>
      <c r="Q2211" t="str">
        <f>IFERROR(INDEX($M$2:$M$2388,MATCH(ROWS($P$2:P2211),$P$2:$P$2388,0)),"")</f>
        <v/>
      </c>
    </row>
    <row r="2212" spans="1:17" ht="15" x14ac:dyDescent="0.25">
      <c r="A2212" s="10">
        <v>798</v>
      </c>
      <c r="B2212" s="10" t="s">
        <v>6710</v>
      </c>
      <c r="C2212" s="880">
        <f t="shared" si="171"/>
        <v>-3.7833000000000001</v>
      </c>
      <c r="D2212" s="880">
        <f t="shared" si="172"/>
        <v>51.75</v>
      </c>
      <c r="E2212" s="10">
        <v>-3.7833329999999998</v>
      </c>
      <c r="F2212" s="10">
        <v>51.75</v>
      </c>
      <c r="G2212" s="10">
        <v>0</v>
      </c>
      <c r="H2212" s="10" t="s">
        <v>2318</v>
      </c>
      <c r="I2212" s="10" t="s">
        <v>6661</v>
      </c>
      <c r="J2212" s="10" t="s">
        <v>6662</v>
      </c>
      <c r="K2212" s="10" t="s">
        <v>6663</v>
      </c>
      <c r="L2212" s="65" t="str">
        <f t="shared" si="173"/>
        <v>Ystalyfera|United Kingdom|-3,783333|51,750000|+0:00 Europe</v>
      </c>
      <c r="M2212" s="10" t="s">
        <v>6711</v>
      </c>
      <c r="N2212" s="10">
        <f t="shared" si="170"/>
        <v>0</v>
      </c>
      <c r="O2212" t="str">
        <f t="shared" si="174"/>
        <v/>
      </c>
      <c r="P2212" t="str">
        <f>IF(O2212=1,COUNTIF($O$2:O2212,1),"")</f>
        <v/>
      </c>
      <c r="Q2212" t="str">
        <f>IFERROR(INDEX($M$2:$M$2388,MATCH(ROWS($P$2:P2212),$P$2:$P$2388,0)),"")</f>
        <v/>
      </c>
    </row>
    <row r="2213" spans="1:17" ht="15" x14ac:dyDescent="0.25">
      <c r="A2213" s="10">
        <v>2241</v>
      </c>
      <c r="B2213" s="10" t="s">
        <v>6712</v>
      </c>
      <c r="C2213" s="880">
        <f t="shared" si="171"/>
        <v>-81.519000000000005</v>
      </c>
      <c r="D2213" s="880">
        <f t="shared" si="172"/>
        <v>41.081400000000002</v>
      </c>
      <c r="E2213" s="10">
        <v>-81.519005000000007</v>
      </c>
      <c r="F2213" s="10">
        <v>41.081443999999998</v>
      </c>
      <c r="G2213" s="10">
        <v>-5</v>
      </c>
      <c r="H2213" s="10" t="s">
        <v>1873</v>
      </c>
      <c r="I2213" s="10" t="s">
        <v>6713</v>
      </c>
      <c r="J2213" s="10" t="s">
        <v>6714</v>
      </c>
      <c r="K2213" s="10" t="s">
        <v>6715</v>
      </c>
      <c r="L2213" s="65" t="str">
        <f t="shared" si="173"/>
        <v>Akron|United States of America|-81,519005|41,081444|-5:00 America</v>
      </c>
      <c r="M2213" s="10" t="s">
        <v>6716</v>
      </c>
      <c r="N2213" s="10">
        <f t="shared" si="170"/>
        <v>0</v>
      </c>
      <c r="O2213" t="str">
        <f t="shared" si="174"/>
        <v/>
      </c>
      <c r="P2213" t="str">
        <f>IF(O2213=1,COUNTIF($O$2:O2213,1),"")</f>
        <v/>
      </c>
      <c r="Q2213" t="str">
        <f>IFERROR(INDEX($M$2:$M$2388,MATCH(ROWS($P$2:P2213),$P$2:$P$2388,0)),"")</f>
        <v/>
      </c>
    </row>
    <row r="2214" spans="1:17" ht="15" x14ac:dyDescent="0.25">
      <c r="A2214" s="10">
        <v>2275</v>
      </c>
      <c r="B2214" s="10" t="s">
        <v>6717</v>
      </c>
      <c r="C2214" s="880">
        <f t="shared" si="171"/>
        <v>-106.6511</v>
      </c>
      <c r="D2214" s="880">
        <f t="shared" si="172"/>
        <v>35.084400000000002</v>
      </c>
      <c r="E2214" s="10">
        <v>-106.651138</v>
      </c>
      <c r="F2214" s="10">
        <v>35.084491999999997</v>
      </c>
      <c r="G2214" s="10">
        <v>-7</v>
      </c>
      <c r="H2214" s="10" t="s">
        <v>2411</v>
      </c>
      <c r="I2214" s="10" t="s">
        <v>6713</v>
      </c>
      <c r="J2214" s="10" t="s">
        <v>6714</v>
      </c>
      <c r="K2214" s="10" t="s">
        <v>6718</v>
      </c>
      <c r="L2214" s="65" t="str">
        <f t="shared" si="173"/>
        <v>Albuquerque|United States of America|-106,651138|35,084492|-7:00 America</v>
      </c>
      <c r="M2214" s="10" t="s">
        <v>6719</v>
      </c>
      <c r="N2214" s="10">
        <f t="shared" si="170"/>
        <v>0</v>
      </c>
      <c r="O2214" t="str">
        <f t="shared" si="174"/>
        <v/>
      </c>
      <c r="P2214" t="str">
        <f>IF(O2214=1,COUNTIF($O$2:O2214,1),"")</f>
        <v/>
      </c>
      <c r="Q2214" t="str">
        <f>IFERROR(INDEX($M$2:$M$2388,MATCH(ROWS($P$2:P2214),$P$2:$P$2388,0)),"")</f>
        <v/>
      </c>
    </row>
    <row r="2215" spans="1:17" ht="15" x14ac:dyDescent="0.25">
      <c r="A2215" s="10">
        <v>2254</v>
      </c>
      <c r="B2215" s="10" t="s">
        <v>6720</v>
      </c>
      <c r="C2215" s="880">
        <f t="shared" si="171"/>
        <v>-117.9145</v>
      </c>
      <c r="D2215" s="880">
        <f t="shared" si="172"/>
        <v>33.8352</v>
      </c>
      <c r="E2215" s="10">
        <v>-117.91450500000001</v>
      </c>
      <c r="F2215" s="10">
        <v>33.835293</v>
      </c>
      <c r="G2215" s="10">
        <v>-8</v>
      </c>
      <c r="H2215" s="10" t="s">
        <v>2402</v>
      </c>
      <c r="I2215" s="10" t="s">
        <v>6713</v>
      </c>
      <c r="J2215" s="10" t="s">
        <v>6714</v>
      </c>
      <c r="K2215" s="10" t="s">
        <v>6721</v>
      </c>
      <c r="L2215" s="65" t="str">
        <f t="shared" si="173"/>
        <v>Anaheim|United States of America|-117,914505|33,835293|-8:00 America</v>
      </c>
      <c r="M2215" s="10" t="s">
        <v>6722</v>
      </c>
      <c r="N2215" s="10">
        <f t="shared" si="170"/>
        <v>0</v>
      </c>
      <c r="O2215" t="str">
        <f t="shared" si="174"/>
        <v/>
      </c>
      <c r="P2215" t="str">
        <f>IF(O2215=1,COUNTIF($O$2:O2215,1),"")</f>
        <v/>
      </c>
      <c r="Q2215" t="str">
        <f>IFERROR(INDEX($M$2:$M$2388,MATCH(ROWS($P$2:P2215),$P$2:$P$2388,0)),"")</f>
        <v/>
      </c>
    </row>
    <row r="2216" spans="1:17" ht="15" x14ac:dyDescent="0.25">
      <c r="A2216" s="10">
        <v>2285</v>
      </c>
      <c r="B2216" s="10" t="s">
        <v>6723</v>
      </c>
      <c r="C2216" s="880">
        <f t="shared" si="171"/>
        <v>-149.90020000000001</v>
      </c>
      <c r="D2216" s="880">
        <f t="shared" si="172"/>
        <v>61.218000000000004</v>
      </c>
      <c r="E2216" s="10">
        <v>-149.900284</v>
      </c>
      <c r="F2216" s="10">
        <v>61.218055999999997</v>
      </c>
      <c r="G2216" s="10">
        <v>-9</v>
      </c>
      <c r="H2216" s="10" t="s">
        <v>6724</v>
      </c>
      <c r="I2216" s="10" t="s">
        <v>6713</v>
      </c>
      <c r="J2216" s="10" t="s">
        <v>6714</v>
      </c>
      <c r="K2216" s="10" t="s">
        <v>6725</v>
      </c>
      <c r="L2216" s="65" t="str">
        <f t="shared" si="173"/>
        <v>Anchorage|United States of America|-149,900284|61,218056|-9:00 America</v>
      </c>
      <c r="M2216" s="10" t="s">
        <v>6726</v>
      </c>
      <c r="N2216" s="10">
        <f t="shared" si="170"/>
        <v>0</v>
      </c>
      <c r="O2216" t="str">
        <f t="shared" si="174"/>
        <v/>
      </c>
      <c r="P2216" t="str">
        <f>IF(O2216=1,COUNTIF($O$2:O2216,1),"")</f>
        <v/>
      </c>
      <c r="Q2216" t="str">
        <f>IFERROR(INDEX($M$2:$M$2388,MATCH(ROWS($P$2:P2216),$P$2:$P$2388,0)),"")</f>
        <v/>
      </c>
    </row>
    <row r="2217" spans="1:17" ht="15" x14ac:dyDescent="0.25">
      <c r="A2217" s="10">
        <v>2215</v>
      </c>
      <c r="B2217" s="10" t="s">
        <v>6727</v>
      </c>
      <c r="C2217" s="880">
        <f t="shared" si="171"/>
        <v>-97.108000000000004</v>
      </c>
      <c r="D2217" s="880">
        <f t="shared" si="172"/>
        <v>32.735599999999998</v>
      </c>
      <c r="E2217" s="10">
        <v>-97.108063000000001</v>
      </c>
      <c r="F2217" s="10">
        <v>32.735686999999999</v>
      </c>
      <c r="G2217" s="10">
        <v>-6</v>
      </c>
      <c r="H2217" s="10" t="s">
        <v>1975</v>
      </c>
      <c r="I2217" s="10" t="s">
        <v>6713</v>
      </c>
      <c r="J2217" s="10" t="s">
        <v>6714</v>
      </c>
      <c r="K2217" s="10" t="s">
        <v>6728</v>
      </c>
      <c r="L2217" s="65" t="str">
        <f t="shared" si="173"/>
        <v>Arlington|United States of America|-97,108063|32,735687|-6:00 America</v>
      </c>
      <c r="M2217" s="10" t="s">
        <v>6729</v>
      </c>
      <c r="N2217" s="10">
        <f t="shared" si="170"/>
        <v>0</v>
      </c>
      <c r="O2217" t="str">
        <f t="shared" si="174"/>
        <v/>
      </c>
      <c r="P2217" t="str">
        <f>IF(O2217=1,COUNTIF($O$2:O2217,1),"")</f>
        <v/>
      </c>
      <c r="Q2217" t="str">
        <f>IFERROR(INDEX($M$2:$M$2388,MATCH(ROWS($P$2:P2217),$P$2:$P$2388,0)),"")</f>
        <v/>
      </c>
    </row>
    <row r="2218" spans="1:17" ht="15" x14ac:dyDescent="0.25">
      <c r="A2218" s="10">
        <v>2189</v>
      </c>
      <c r="B2218" s="10" t="s">
        <v>6730</v>
      </c>
      <c r="C2218" s="880">
        <f t="shared" si="171"/>
        <v>-84.387900000000002</v>
      </c>
      <c r="D2218" s="880">
        <f t="shared" si="172"/>
        <v>33.748899999999999</v>
      </c>
      <c r="E2218" s="10">
        <v>-84.387985</v>
      </c>
      <c r="F2218" s="10">
        <v>33.748997000000003</v>
      </c>
      <c r="G2218" s="10">
        <v>-5</v>
      </c>
      <c r="H2218" s="10" t="s">
        <v>1873</v>
      </c>
      <c r="I2218" s="10" t="s">
        <v>6713</v>
      </c>
      <c r="J2218" s="10" t="s">
        <v>6714</v>
      </c>
      <c r="K2218" s="10" t="s">
        <v>6731</v>
      </c>
      <c r="L2218" s="65" t="str">
        <f t="shared" si="173"/>
        <v>Atlanta|United States of America|-84,387985|33,748997|-5:00 America</v>
      </c>
      <c r="M2218" s="10" t="s">
        <v>6732</v>
      </c>
      <c r="N2218" s="10">
        <f t="shared" si="170"/>
        <v>0</v>
      </c>
      <c r="O2218" t="str">
        <f t="shared" si="174"/>
        <v/>
      </c>
      <c r="P2218" t="str">
        <f>IF(O2218=1,COUNTIF($O$2:O2218,1),"")</f>
        <v/>
      </c>
      <c r="Q2218" t="str">
        <f>IFERROR(INDEX($M$2:$M$2388,MATCH(ROWS($P$2:P2218),$P$2:$P$2388,0)),"")</f>
        <v/>
      </c>
    </row>
    <row r="2219" spans="1:17" ht="15" x14ac:dyDescent="0.25">
      <c r="A2219" s="10">
        <v>2272</v>
      </c>
      <c r="B2219" s="10" t="s">
        <v>6733</v>
      </c>
      <c r="C2219" s="880">
        <f t="shared" si="171"/>
        <v>-104.8319</v>
      </c>
      <c r="D2219" s="880">
        <f t="shared" si="172"/>
        <v>39.729399999999998</v>
      </c>
      <c r="E2219" s="10">
        <v>-104.831917</v>
      </c>
      <c r="F2219" s="10">
        <v>39.729430999999998</v>
      </c>
      <c r="G2219" s="10">
        <v>-7</v>
      </c>
      <c r="H2219" s="10" t="s">
        <v>2411</v>
      </c>
      <c r="I2219" s="10" t="s">
        <v>6713</v>
      </c>
      <c r="J2219" s="10" t="s">
        <v>6714</v>
      </c>
      <c r="K2219" s="10" t="s">
        <v>6734</v>
      </c>
      <c r="L2219" s="65" t="str">
        <f t="shared" si="173"/>
        <v>Aurora|United States of America|-104,831917|39,729431|-7:00 America</v>
      </c>
      <c r="M2219" s="10" t="s">
        <v>6735</v>
      </c>
      <c r="N2219" s="10">
        <f t="shared" si="170"/>
        <v>0</v>
      </c>
      <c r="O2219" t="str">
        <f t="shared" si="174"/>
        <v/>
      </c>
      <c r="P2219" t="str">
        <f>IF(O2219=1,COUNTIF($O$2:O2219,1),"")</f>
        <v/>
      </c>
      <c r="Q2219" t="str">
        <f>IFERROR(INDEX($M$2:$M$2388,MATCH(ROWS($P$2:P2219),$P$2:$P$2388,0)),"")</f>
        <v/>
      </c>
    </row>
    <row r="2220" spans="1:17" ht="15" x14ac:dyDescent="0.25">
      <c r="A2220" s="10">
        <v>2216</v>
      </c>
      <c r="B2220" s="10" t="s">
        <v>6736</v>
      </c>
      <c r="C2220" s="880">
        <f t="shared" si="171"/>
        <v>-97.742999999999995</v>
      </c>
      <c r="D2220" s="880">
        <f t="shared" si="172"/>
        <v>30.267099999999999</v>
      </c>
      <c r="E2220" s="10">
        <v>-97.743056999999993</v>
      </c>
      <c r="F2220" s="10">
        <v>30.267153</v>
      </c>
      <c r="G2220" s="10">
        <v>-6</v>
      </c>
      <c r="H2220" s="10" t="s">
        <v>1975</v>
      </c>
      <c r="I2220" s="10" t="s">
        <v>6713</v>
      </c>
      <c r="J2220" s="10" t="s">
        <v>6714</v>
      </c>
      <c r="K2220" s="10" t="s">
        <v>6728</v>
      </c>
      <c r="L2220" s="65" t="str">
        <f t="shared" si="173"/>
        <v>Austin|United States of America|-97,743057|30,267153|-6:00 America</v>
      </c>
      <c r="M2220" s="10" t="s">
        <v>6737</v>
      </c>
      <c r="N2220" s="10">
        <f t="shared" si="170"/>
        <v>0</v>
      </c>
      <c r="O2220" t="str">
        <f t="shared" si="174"/>
        <v/>
      </c>
      <c r="P2220" t="str">
        <f>IF(O2220=1,COUNTIF($O$2:O2220,1),"")</f>
        <v/>
      </c>
      <c r="Q2220" t="str">
        <f>IFERROR(INDEX($M$2:$M$2388,MATCH(ROWS($P$2:P2220),$P$2:$P$2388,0)),"")</f>
        <v/>
      </c>
    </row>
    <row r="2221" spans="1:17" ht="15" x14ac:dyDescent="0.25">
      <c r="A2221" s="10">
        <v>2255</v>
      </c>
      <c r="B2221" s="10" t="s">
        <v>6738</v>
      </c>
      <c r="C2221" s="880">
        <f t="shared" si="171"/>
        <v>-119.0187</v>
      </c>
      <c r="D2221" s="880">
        <f t="shared" si="172"/>
        <v>35.373199999999997</v>
      </c>
      <c r="E2221" s="10">
        <v>-119.018715</v>
      </c>
      <c r="F2221" s="10">
        <v>35.373291000000002</v>
      </c>
      <c r="G2221" s="10">
        <v>-8</v>
      </c>
      <c r="H2221" s="10" t="s">
        <v>2402</v>
      </c>
      <c r="I2221" s="10" t="s">
        <v>6713</v>
      </c>
      <c r="J2221" s="10" t="s">
        <v>6714</v>
      </c>
      <c r="K2221" s="10" t="s">
        <v>6721</v>
      </c>
      <c r="L2221" s="65" t="str">
        <f t="shared" si="173"/>
        <v>Bakersfield|United States of America|-119,018715|35,373291|-8:00 America</v>
      </c>
      <c r="M2221" s="10" t="s">
        <v>6739</v>
      </c>
      <c r="N2221" s="10">
        <f t="shared" si="170"/>
        <v>0</v>
      </c>
      <c r="O2221" t="str">
        <f t="shared" si="174"/>
        <v/>
      </c>
      <c r="P2221" t="str">
        <f>IF(O2221=1,COUNTIF($O$2:O2221,1),"")</f>
        <v/>
      </c>
      <c r="Q2221" t="str">
        <f>IFERROR(INDEX($M$2:$M$2388,MATCH(ROWS($P$2:P2221),$P$2:$P$2388,0)),"")</f>
        <v/>
      </c>
    </row>
    <row r="2222" spans="1:17" ht="15" x14ac:dyDescent="0.25">
      <c r="A2222" s="10">
        <v>2198</v>
      </c>
      <c r="B2222" s="10" t="s">
        <v>6740</v>
      </c>
      <c r="C2222" s="880">
        <f t="shared" si="171"/>
        <v>-76.612099999999998</v>
      </c>
      <c r="D2222" s="880">
        <f t="shared" si="172"/>
        <v>39.290300000000002</v>
      </c>
      <c r="E2222" s="10">
        <v>-76.612189999999998</v>
      </c>
      <c r="F2222" s="10">
        <v>39.290385999999998</v>
      </c>
      <c r="G2222" s="10">
        <v>-5</v>
      </c>
      <c r="H2222" s="10" t="s">
        <v>1873</v>
      </c>
      <c r="I2222" s="10" t="s">
        <v>6713</v>
      </c>
      <c r="J2222" s="10" t="s">
        <v>6714</v>
      </c>
      <c r="K2222" s="10" t="s">
        <v>6741</v>
      </c>
      <c r="L2222" s="65" t="str">
        <f t="shared" si="173"/>
        <v>Baltimore|United States of America|-76,612190|39,290386|-5:00 America</v>
      </c>
      <c r="M2222" s="10" t="s">
        <v>6742</v>
      </c>
      <c r="N2222" s="10">
        <f t="shared" si="170"/>
        <v>0</v>
      </c>
      <c r="O2222" t="str">
        <f t="shared" si="174"/>
        <v/>
      </c>
      <c r="P2222" t="str">
        <f>IF(O2222=1,COUNTIF($O$2:O2222,1),"")</f>
        <v/>
      </c>
      <c r="Q2222" t="str">
        <f>IFERROR(INDEX($M$2:$M$2388,MATCH(ROWS($P$2:P2222),$P$2:$P$2388,0)),"")</f>
        <v/>
      </c>
    </row>
    <row r="2223" spans="1:17" ht="15" x14ac:dyDescent="0.25">
      <c r="A2223" s="10">
        <v>2195</v>
      </c>
      <c r="B2223" s="10" t="s">
        <v>6743</v>
      </c>
      <c r="C2223" s="880">
        <f t="shared" si="171"/>
        <v>-91.154499999999999</v>
      </c>
      <c r="D2223" s="880">
        <f t="shared" si="172"/>
        <v>30.450700000000001</v>
      </c>
      <c r="E2223" s="10">
        <v>-91.154549000000003</v>
      </c>
      <c r="F2223" s="10">
        <v>30.450747</v>
      </c>
      <c r="G2223" s="10">
        <v>-6</v>
      </c>
      <c r="H2223" s="10" t="s">
        <v>1975</v>
      </c>
      <c r="I2223" s="10" t="s">
        <v>6713</v>
      </c>
      <c r="J2223" s="10" t="s">
        <v>6714</v>
      </c>
      <c r="K2223" s="10" t="s">
        <v>6744</v>
      </c>
      <c r="L2223" s="65" t="str">
        <f t="shared" si="173"/>
        <v>Baton Rouge|United States of America|-91,154549|30,450747|-6:00 America</v>
      </c>
      <c r="M2223" s="10" t="s">
        <v>6745</v>
      </c>
      <c r="N2223" s="10">
        <f t="shared" si="170"/>
        <v>0</v>
      </c>
      <c r="O2223" t="str">
        <f t="shared" si="174"/>
        <v/>
      </c>
      <c r="P2223" t="str">
        <f>IF(O2223=1,COUNTIF($O$2:O2223,1),"")</f>
        <v/>
      </c>
      <c r="Q2223" t="str">
        <f>IFERROR(INDEX($M$2:$M$2388,MATCH(ROWS($P$2:P2223),$P$2:$P$2388,0)),"")</f>
        <v/>
      </c>
    </row>
    <row r="2224" spans="1:17" ht="15" x14ac:dyDescent="0.25">
      <c r="A2224" s="10">
        <v>2178</v>
      </c>
      <c r="B2224" s="10" t="s">
        <v>6746</v>
      </c>
      <c r="C2224" s="880">
        <f t="shared" si="171"/>
        <v>-87.772999999999996</v>
      </c>
      <c r="D2224" s="880">
        <f t="shared" si="172"/>
        <v>30.882899999999999</v>
      </c>
      <c r="E2224" s="10">
        <v>-87.773048000000003</v>
      </c>
      <c r="F2224" s="10">
        <v>30.882963</v>
      </c>
      <c r="G2224" s="10">
        <v>-6</v>
      </c>
      <c r="H2224" s="10" t="s">
        <v>1975</v>
      </c>
      <c r="I2224" s="10" t="s">
        <v>6713</v>
      </c>
      <c r="J2224" s="10" t="s">
        <v>6714</v>
      </c>
      <c r="K2224" s="10" t="s">
        <v>6744</v>
      </c>
      <c r="L2224" s="65" t="str">
        <f t="shared" si="173"/>
        <v>Bay Minette|United States of America|-87,773048|30,882963|-6:00 America</v>
      </c>
      <c r="M2224" s="10" t="s">
        <v>6747</v>
      </c>
      <c r="N2224" s="10">
        <f t="shared" si="170"/>
        <v>0</v>
      </c>
      <c r="O2224" t="str">
        <f t="shared" si="174"/>
        <v/>
      </c>
      <c r="P2224" t="str">
        <f>IF(O2224=1,COUNTIF($O$2:O2224,1),"")</f>
        <v/>
      </c>
      <c r="Q2224" t="str">
        <f>IFERROR(INDEX($M$2:$M$2388,MATCH(ROWS($P$2:P2224),$P$2:$P$2388,0)),"")</f>
        <v/>
      </c>
    </row>
    <row r="2225" spans="1:17" ht="15" x14ac:dyDescent="0.25">
      <c r="A2225" s="10">
        <v>2181</v>
      </c>
      <c r="B2225" s="10" t="s">
        <v>6665</v>
      </c>
      <c r="C2225" s="880">
        <f t="shared" si="171"/>
        <v>-86.802400000000006</v>
      </c>
      <c r="D2225" s="880">
        <f t="shared" si="172"/>
        <v>33.520600000000002</v>
      </c>
      <c r="E2225" s="10">
        <v>-86.802490000000006</v>
      </c>
      <c r="F2225" s="10">
        <v>33.520659999999999</v>
      </c>
      <c r="G2225" s="10">
        <v>-6</v>
      </c>
      <c r="H2225" s="10" t="s">
        <v>2318</v>
      </c>
      <c r="I2225" s="10" t="s">
        <v>6713</v>
      </c>
      <c r="J2225" s="10" t="s">
        <v>6714</v>
      </c>
      <c r="K2225" s="10" t="s">
        <v>6663</v>
      </c>
      <c r="L2225" s="65" t="str">
        <f t="shared" si="173"/>
        <v>Birmingham|United States of America|-86,802490|33,520660|+0:00 Europe</v>
      </c>
      <c r="M2225" s="10" t="s">
        <v>6748</v>
      </c>
      <c r="N2225" s="10">
        <f t="shared" si="170"/>
        <v>0</v>
      </c>
      <c r="O2225" t="str">
        <f t="shared" si="174"/>
        <v/>
      </c>
      <c r="P2225" t="str">
        <f>IF(O2225=1,COUNTIF($O$2:O2225,1),"")</f>
        <v/>
      </c>
      <c r="Q2225" t="str">
        <f>IFERROR(INDEX($M$2:$M$2388,MATCH(ROWS($P$2:P2225),$P$2:$P$2388,0)),"")</f>
        <v/>
      </c>
    </row>
    <row r="2226" spans="1:17" ht="15" x14ac:dyDescent="0.25">
      <c r="A2226" s="10">
        <v>2229</v>
      </c>
      <c r="B2226" s="10" t="s">
        <v>6749</v>
      </c>
      <c r="C2226" s="880">
        <f t="shared" si="171"/>
        <v>-71.059700000000007</v>
      </c>
      <c r="D2226" s="880">
        <f t="shared" si="172"/>
        <v>42.358400000000003</v>
      </c>
      <c r="E2226" s="10">
        <v>-71.059775999999999</v>
      </c>
      <c r="F2226" s="10">
        <v>42.358429000000001</v>
      </c>
      <c r="G2226" s="10">
        <v>-5</v>
      </c>
      <c r="H2226" s="10" t="s">
        <v>1873</v>
      </c>
      <c r="I2226" s="10" t="s">
        <v>6713</v>
      </c>
      <c r="J2226" s="10" t="s">
        <v>6714</v>
      </c>
      <c r="K2226" s="10" t="s">
        <v>6741</v>
      </c>
      <c r="L2226" s="65" t="str">
        <f t="shared" si="173"/>
        <v>Boston|United States of America|-71,059776|42,358429|-5:00 America</v>
      </c>
      <c r="M2226" s="10" t="s">
        <v>6750</v>
      </c>
      <c r="N2226" s="10">
        <f t="shared" si="170"/>
        <v>0</v>
      </c>
      <c r="O2226" t="str">
        <f t="shared" si="174"/>
        <v/>
      </c>
      <c r="P2226" t="str">
        <f>IF(O2226=1,COUNTIF($O$2:O2226,1),"")</f>
        <v/>
      </c>
      <c r="Q2226" t="str">
        <f>IFERROR(INDEX($M$2:$M$2388,MATCH(ROWS($P$2:P2226),$P$2:$P$2388,0)),"")</f>
        <v/>
      </c>
    </row>
    <row r="2227" spans="1:17" ht="15" x14ac:dyDescent="0.25">
      <c r="A2227" s="10">
        <v>2238</v>
      </c>
      <c r="B2227" s="10" t="s">
        <v>6751</v>
      </c>
      <c r="C2227" s="880">
        <f t="shared" si="171"/>
        <v>-78.878299999999996</v>
      </c>
      <c r="D2227" s="880">
        <f t="shared" si="172"/>
        <v>42.886400000000002</v>
      </c>
      <c r="E2227" s="10">
        <v>-78.878371999999999</v>
      </c>
      <c r="F2227" s="10">
        <v>42.886448000000001</v>
      </c>
      <c r="G2227" s="10">
        <v>-5</v>
      </c>
      <c r="H2227" s="10" t="s">
        <v>1873</v>
      </c>
      <c r="I2227" s="10" t="s">
        <v>6713</v>
      </c>
      <c r="J2227" s="10" t="s">
        <v>6714</v>
      </c>
      <c r="K2227" s="10" t="s">
        <v>6715</v>
      </c>
      <c r="L2227" s="65" t="str">
        <f t="shared" si="173"/>
        <v>Buffalo|United States of America|-78,878372|42,886448|-5:00 America</v>
      </c>
      <c r="M2227" s="10" t="s">
        <v>6752</v>
      </c>
      <c r="N2227" s="10">
        <f t="shared" si="170"/>
        <v>0</v>
      </c>
      <c r="O2227" t="str">
        <f t="shared" si="174"/>
        <v/>
      </c>
      <c r="P2227" t="str">
        <f>IF(O2227=1,COUNTIF($O$2:O2227,1),"")</f>
        <v/>
      </c>
      <c r="Q2227" t="str">
        <f>IFERROR(INDEX($M$2:$M$2388,MATCH(ROWS($P$2:P2227),$P$2:$P$2388,0)),"")</f>
        <v/>
      </c>
    </row>
    <row r="2228" spans="1:17" ht="15" x14ac:dyDescent="0.25">
      <c r="A2228" s="10">
        <v>2247</v>
      </c>
      <c r="B2228" s="10" t="s">
        <v>6753</v>
      </c>
      <c r="C2228" s="880">
        <f t="shared" si="171"/>
        <v>-111.8412</v>
      </c>
      <c r="D2228" s="880">
        <f t="shared" si="172"/>
        <v>33.306100000000001</v>
      </c>
      <c r="E2228" s="10">
        <v>-111.84124799999999</v>
      </c>
      <c r="F2228" s="10">
        <v>33.306159999999998</v>
      </c>
      <c r="G2228" s="10">
        <v>-7</v>
      </c>
      <c r="H2228" s="10" t="s">
        <v>2411</v>
      </c>
      <c r="I2228" s="10" t="s">
        <v>6713</v>
      </c>
      <c r="J2228" s="10" t="s">
        <v>6714</v>
      </c>
      <c r="K2228" s="10" t="s">
        <v>6754</v>
      </c>
      <c r="L2228" s="65" t="str">
        <f t="shared" si="173"/>
        <v>Chandler|United States of America|-111,841248|33,306160|-7:00 America</v>
      </c>
      <c r="M2228" s="10" t="s">
        <v>6755</v>
      </c>
      <c r="N2228" s="10">
        <f t="shared" si="170"/>
        <v>0</v>
      </c>
      <c r="O2228" t="str">
        <f t="shared" si="174"/>
        <v/>
      </c>
      <c r="P2228" t="str">
        <f>IF(O2228=1,COUNTIF($O$2:O2228,1),"")</f>
        <v/>
      </c>
      <c r="Q2228" t="str">
        <f>IFERROR(INDEX($M$2:$M$2388,MATCH(ROWS($P$2:P2228),$P$2:$P$2388,0)),"")</f>
        <v/>
      </c>
    </row>
    <row r="2229" spans="1:17" ht="15" x14ac:dyDescent="0.25">
      <c r="A2229" s="10">
        <v>2202</v>
      </c>
      <c r="B2229" s="10" t="s">
        <v>6756</v>
      </c>
      <c r="C2229" s="880">
        <f t="shared" si="171"/>
        <v>-80.843100000000007</v>
      </c>
      <c r="D2229" s="880">
        <f t="shared" si="172"/>
        <v>35.226999999999997</v>
      </c>
      <c r="E2229" s="10">
        <v>-80.843124000000003</v>
      </c>
      <c r="F2229" s="10">
        <v>35.227085000000002</v>
      </c>
      <c r="G2229" s="10">
        <v>-5</v>
      </c>
      <c r="H2229" s="10" t="s">
        <v>1873</v>
      </c>
      <c r="I2229" s="10" t="s">
        <v>6713</v>
      </c>
      <c r="J2229" s="10" t="s">
        <v>6714</v>
      </c>
      <c r="K2229" s="10" t="s">
        <v>6731</v>
      </c>
      <c r="L2229" s="65" t="str">
        <f t="shared" si="173"/>
        <v>Charlotte|United States of America|-80,843124|35,227085|-5:00 America</v>
      </c>
      <c r="M2229" s="10" t="s">
        <v>6757</v>
      </c>
      <c r="N2229" s="10">
        <f t="shared" si="170"/>
        <v>0</v>
      </c>
      <c r="O2229" t="str">
        <f t="shared" si="174"/>
        <v/>
      </c>
      <c r="P2229" t="str">
        <f>IF(O2229=1,COUNTIF($O$2:O2229,1),"")</f>
        <v/>
      </c>
      <c r="Q2229" t="str">
        <f>IFERROR(INDEX($M$2:$M$2388,MATCH(ROWS($P$2:P2229),$P$2:$P$2388,0)),"")</f>
        <v/>
      </c>
    </row>
    <row r="2230" spans="1:17" ht="15" x14ac:dyDescent="0.25">
      <c r="A2230" s="10">
        <v>2227</v>
      </c>
      <c r="B2230" s="10" t="s">
        <v>6758</v>
      </c>
      <c r="C2230" s="880">
        <f t="shared" si="171"/>
        <v>-87.65</v>
      </c>
      <c r="D2230" s="880">
        <f t="shared" si="172"/>
        <v>41.85</v>
      </c>
      <c r="E2230" s="10">
        <v>-87.650054999999995</v>
      </c>
      <c r="F2230" s="10">
        <v>41.850033000000003</v>
      </c>
      <c r="G2230" s="10">
        <v>-6</v>
      </c>
      <c r="H2230" s="10" t="s">
        <v>1975</v>
      </c>
      <c r="I2230" s="10" t="s">
        <v>6713</v>
      </c>
      <c r="J2230" s="10" t="s">
        <v>6714</v>
      </c>
      <c r="K2230" s="10" t="s">
        <v>6728</v>
      </c>
      <c r="L2230" s="65" t="str">
        <f t="shared" si="173"/>
        <v>Chicago|United States of America|-87,650055|41,850033|-6:00 America</v>
      </c>
      <c r="M2230" s="10" t="s">
        <v>6759</v>
      </c>
      <c r="N2230" s="10">
        <f t="shared" si="170"/>
        <v>0</v>
      </c>
      <c r="O2230" t="str">
        <f t="shared" si="174"/>
        <v/>
      </c>
      <c r="P2230" t="str">
        <f>IF(O2230=1,COUNTIF($O$2:O2230,1),"")</f>
        <v/>
      </c>
      <c r="Q2230" t="str">
        <f>IFERROR(INDEX($M$2:$M$2388,MATCH(ROWS($P$2:P2230),$P$2:$P$2388,0)),"")</f>
        <v/>
      </c>
    </row>
    <row r="2231" spans="1:17" ht="15" x14ac:dyDescent="0.25">
      <c r="A2231" s="10">
        <v>2256</v>
      </c>
      <c r="B2231" s="10" t="s">
        <v>6760</v>
      </c>
      <c r="C2231" s="880">
        <f t="shared" si="171"/>
        <v>-117.08410000000001</v>
      </c>
      <c r="D2231" s="880">
        <f t="shared" si="172"/>
        <v>32.64</v>
      </c>
      <c r="E2231" s="10">
        <v>-117.084198</v>
      </c>
      <c r="F2231" s="10">
        <v>32.640053000000002</v>
      </c>
      <c r="G2231" s="10">
        <v>-8</v>
      </c>
      <c r="H2231" s="10" t="s">
        <v>2402</v>
      </c>
      <c r="I2231" s="10" t="s">
        <v>6713</v>
      </c>
      <c r="J2231" s="10" t="s">
        <v>6714</v>
      </c>
      <c r="K2231" s="10" t="s">
        <v>6721</v>
      </c>
      <c r="L2231" s="65" t="str">
        <f t="shared" si="173"/>
        <v>Chula Vista|United States of America|-117,084198|32,640053|-8:00 America</v>
      </c>
      <c r="M2231" s="10" t="s">
        <v>6761</v>
      </c>
      <c r="N2231" s="10">
        <f t="shared" si="170"/>
        <v>0</v>
      </c>
      <c r="O2231" t="str">
        <f t="shared" si="174"/>
        <v/>
      </c>
      <c r="P2231" t="str">
        <f>IF(O2231=1,COUNTIF($O$2:O2231,1),"")</f>
        <v/>
      </c>
      <c r="Q2231" t="str">
        <f>IFERROR(INDEX($M$2:$M$2388,MATCH(ROWS($P$2:P2231),$P$2:$P$2388,0)),"")</f>
        <v/>
      </c>
    </row>
    <row r="2232" spans="1:17" ht="15" x14ac:dyDescent="0.25">
      <c r="A2232" s="10">
        <v>2207</v>
      </c>
      <c r="B2232" s="10" t="s">
        <v>6762</v>
      </c>
      <c r="C2232" s="880">
        <f t="shared" si="171"/>
        <v>-84.456800000000001</v>
      </c>
      <c r="D2232" s="880">
        <f t="shared" si="172"/>
        <v>39.161999999999999</v>
      </c>
      <c r="E2232" s="10">
        <v>-84.456885999999997</v>
      </c>
      <c r="F2232" s="10">
        <v>39.162002999999999</v>
      </c>
      <c r="G2232" s="10">
        <v>-5</v>
      </c>
      <c r="H2232" s="10" t="s">
        <v>1873</v>
      </c>
      <c r="I2232" s="10" t="s">
        <v>6713</v>
      </c>
      <c r="J2232" s="10" t="s">
        <v>6714</v>
      </c>
      <c r="K2232" s="10" t="s">
        <v>6763</v>
      </c>
      <c r="L2232" s="65" t="str">
        <f t="shared" si="173"/>
        <v>Cincinnati|United States of America|-84,456886|39,162003|-5:00 America</v>
      </c>
      <c r="M2232" s="10" t="s">
        <v>6764</v>
      </c>
      <c r="N2232" s="10">
        <f t="shared" si="170"/>
        <v>0</v>
      </c>
      <c r="O2232" t="str">
        <f t="shared" si="174"/>
        <v/>
      </c>
      <c r="P2232" t="str">
        <f>IF(O2232=1,COUNTIF($O$2:O2232,1),"")</f>
        <v/>
      </c>
      <c r="Q2232" t="str">
        <f>IFERROR(INDEX($M$2:$M$2388,MATCH(ROWS($P$2:P2232),$P$2:$P$2388,0)),"")</f>
        <v/>
      </c>
    </row>
    <row r="2233" spans="1:17" ht="15" x14ac:dyDescent="0.25">
      <c r="A2233" s="10">
        <v>2242</v>
      </c>
      <c r="B2233" s="10" t="s">
        <v>6765</v>
      </c>
      <c r="C2233" s="880">
        <f t="shared" si="171"/>
        <v>-81.695400000000006</v>
      </c>
      <c r="D2233" s="880">
        <f t="shared" si="172"/>
        <v>41.499400000000001</v>
      </c>
      <c r="E2233" s="10">
        <v>-81.695412000000005</v>
      </c>
      <c r="F2233" s="10">
        <v>41.499496000000001</v>
      </c>
      <c r="G2233" s="10">
        <v>-5</v>
      </c>
      <c r="H2233" s="10" t="s">
        <v>1873</v>
      </c>
      <c r="I2233" s="10" t="s">
        <v>6713</v>
      </c>
      <c r="J2233" s="10" t="s">
        <v>6714</v>
      </c>
      <c r="K2233" s="10" t="s">
        <v>6715</v>
      </c>
      <c r="L2233" s="65" t="str">
        <f t="shared" si="173"/>
        <v>Cleveland|United States of America|-81,695412|41,499496|-5:00 America</v>
      </c>
      <c r="M2233" s="10" t="s">
        <v>6766</v>
      </c>
      <c r="N2233" s="10">
        <f t="shared" si="170"/>
        <v>0</v>
      </c>
      <c r="O2233" t="str">
        <f t="shared" si="174"/>
        <v/>
      </c>
      <c r="P2233" t="str">
        <f>IF(O2233=1,COUNTIF($O$2:O2233,1),"")</f>
        <v/>
      </c>
      <c r="Q2233" t="str">
        <f>IFERROR(INDEX($M$2:$M$2388,MATCH(ROWS($P$2:P2233),$P$2:$P$2388,0)),"")</f>
        <v/>
      </c>
    </row>
    <row r="2234" spans="1:17" ht="15" x14ac:dyDescent="0.25">
      <c r="A2234" s="10">
        <v>2273</v>
      </c>
      <c r="B2234" s="10" t="s">
        <v>6767</v>
      </c>
      <c r="C2234" s="880">
        <f t="shared" si="171"/>
        <v>-104.82129999999999</v>
      </c>
      <c r="D2234" s="880">
        <f t="shared" si="172"/>
        <v>38.833799999999997</v>
      </c>
      <c r="E2234" s="10">
        <v>-104.821365</v>
      </c>
      <c r="F2234" s="10">
        <v>38.833880999999998</v>
      </c>
      <c r="G2234" s="10">
        <v>-7</v>
      </c>
      <c r="H2234" s="10" t="s">
        <v>2411</v>
      </c>
      <c r="I2234" s="10" t="s">
        <v>6713</v>
      </c>
      <c r="J2234" s="10" t="s">
        <v>6714</v>
      </c>
      <c r="K2234" s="10" t="s">
        <v>6734</v>
      </c>
      <c r="L2234" s="65" t="str">
        <f t="shared" si="173"/>
        <v>Colorado Springs|United States of America|-104,821365|38,833881|-7:00 America</v>
      </c>
      <c r="M2234" s="10" t="s">
        <v>6768</v>
      </c>
      <c r="N2234" s="10">
        <f t="shared" si="170"/>
        <v>0</v>
      </c>
      <c r="O2234" t="str">
        <f t="shared" si="174"/>
        <v/>
      </c>
      <c r="P2234" t="str">
        <f>IF(O2234=1,COUNTIF($O$2:O2234,1),"")</f>
        <v/>
      </c>
      <c r="Q2234" t="str">
        <f>IFERROR(INDEX($M$2:$M$2388,MATCH(ROWS($P$2:P2234),$P$2:$P$2388,0)),"")</f>
        <v/>
      </c>
    </row>
    <row r="2235" spans="1:17" ht="15" x14ac:dyDescent="0.25">
      <c r="A2235" s="10">
        <v>2208</v>
      </c>
      <c r="B2235" s="10" t="s">
        <v>6769</v>
      </c>
      <c r="C2235" s="880">
        <f t="shared" si="171"/>
        <v>-82.998699999999999</v>
      </c>
      <c r="D2235" s="880">
        <f t="shared" si="172"/>
        <v>39.961100000000002</v>
      </c>
      <c r="E2235" s="10">
        <v>-82.998795000000001</v>
      </c>
      <c r="F2235" s="10">
        <v>39.961174</v>
      </c>
      <c r="G2235" s="10">
        <v>-5</v>
      </c>
      <c r="H2235" s="10" t="s">
        <v>1873</v>
      </c>
      <c r="I2235" s="10" t="s">
        <v>6713</v>
      </c>
      <c r="J2235" s="10" t="s">
        <v>6714</v>
      </c>
      <c r="K2235" s="10" t="s">
        <v>6763</v>
      </c>
      <c r="L2235" s="65" t="str">
        <f t="shared" si="173"/>
        <v>Columbus|United States of America|-82,998795|39,961174|-5:00 America</v>
      </c>
      <c r="M2235" s="10" t="s">
        <v>6770</v>
      </c>
      <c r="N2235" s="10">
        <f t="shared" si="170"/>
        <v>0</v>
      </c>
      <c r="O2235" t="str">
        <f t="shared" si="174"/>
        <v/>
      </c>
      <c r="P2235" t="str">
        <f>IF(O2235=1,COUNTIF($O$2:O2235,1),"")</f>
        <v/>
      </c>
      <c r="Q2235" t="str">
        <f>IFERROR(INDEX($M$2:$M$2388,MATCH(ROWS($P$2:P2235),$P$2:$P$2388,0)),"")</f>
        <v/>
      </c>
    </row>
    <row r="2236" spans="1:17" ht="15" x14ac:dyDescent="0.25">
      <c r="A2236" s="10">
        <v>2217</v>
      </c>
      <c r="B2236" s="10" t="s">
        <v>1321</v>
      </c>
      <c r="C2236" s="880">
        <f t="shared" si="171"/>
        <v>-97.396299999999997</v>
      </c>
      <c r="D2236" s="880">
        <f t="shared" si="172"/>
        <v>27.8005</v>
      </c>
      <c r="E2236" s="10">
        <v>-97.396377999999999</v>
      </c>
      <c r="F2236" s="10">
        <v>27.800583</v>
      </c>
      <c r="G2236" s="10">
        <v>-6</v>
      </c>
      <c r="H2236" s="10" t="s">
        <v>1975</v>
      </c>
      <c r="I2236" s="10" t="s">
        <v>6713</v>
      </c>
      <c r="J2236" s="10" t="s">
        <v>6714</v>
      </c>
      <c r="K2236" s="10" t="s">
        <v>6744</v>
      </c>
      <c r="L2236" s="65" t="str">
        <f t="shared" si="173"/>
        <v>Corpus Christi|United States of America|-97,396378|27,800583|-6:00 America</v>
      </c>
      <c r="M2236" s="10" t="s">
        <v>6771</v>
      </c>
      <c r="N2236" s="10">
        <f t="shared" si="170"/>
        <v>0</v>
      </c>
      <c r="O2236" t="str">
        <f t="shared" si="174"/>
        <v/>
      </c>
      <c r="P2236" t="str">
        <f>IF(O2236=1,COUNTIF($O$2:O2236,1),"")</f>
        <v/>
      </c>
      <c r="Q2236" t="str">
        <f>IFERROR(INDEX($M$2:$M$2388,MATCH(ROWS($P$2:P2236),$P$2:$P$2388,0)),"")</f>
        <v/>
      </c>
    </row>
    <row r="2237" spans="1:17" ht="15" x14ac:dyDescent="0.25">
      <c r="A2237" s="10">
        <v>2218</v>
      </c>
      <c r="B2237" s="10" t="s">
        <v>6772</v>
      </c>
      <c r="C2237" s="880">
        <f t="shared" si="171"/>
        <v>-96.806600000000003</v>
      </c>
      <c r="D2237" s="880">
        <f t="shared" si="172"/>
        <v>32.783000000000001</v>
      </c>
      <c r="E2237" s="10">
        <v>-96.806663999999998</v>
      </c>
      <c r="F2237" s="10">
        <v>32.783054</v>
      </c>
      <c r="G2237" s="10">
        <v>-6</v>
      </c>
      <c r="H2237" s="10" t="s">
        <v>1975</v>
      </c>
      <c r="I2237" s="10" t="s">
        <v>6713</v>
      </c>
      <c r="J2237" s="10" t="s">
        <v>6714</v>
      </c>
      <c r="K2237" s="10" t="s">
        <v>6728</v>
      </c>
      <c r="L2237" s="65" t="str">
        <f t="shared" si="173"/>
        <v>Dallas|United States of America|-96,806664|32,783054|-6:00 America</v>
      </c>
      <c r="M2237" s="10" t="s">
        <v>6773</v>
      </c>
      <c r="N2237" s="10">
        <f t="shared" si="170"/>
        <v>0</v>
      </c>
      <c r="O2237" t="str">
        <f t="shared" si="174"/>
        <v/>
      </c>
      <c r="P2237" t="str">
        <f>IF(O2237=1,COUNTIF($O$2:O2237,1),"")</f>
        <v/>
      </c>
      <c r="Q2237" t="str">
        <f>IFERROR(INDEX($M$2:$M$2388,MATCH(ROWS($P$2:P2237),$P$2:$P$2388,0)),"")</f>
        <v/>
      </c>
    </row>
    <row r="2238" spans="1:17" ht="15" x14ac:dyDescent="0.25">
      <c r="A2238" s="10">
        <v>2274</v>
      </c>
      <c r="B2238" s="10" t="s">
        <v>6774</v>
      </c>
      <c r="C2238" s="880">
        <f t="shared" si="171"/>
        <v>-104.9847</v>
      </c>
      <c r="D2238" s="880">
        <f t="shared" si="172"/>
        <v>39.739100000000001</v>
      </c>
      <c r="E2238" s="10">
        <v>-104.984703</v>
      </c>
      <c r="F2238" s="10">
        <v>39.739154999999997</v>
      </c>
      <c r="G2238" s="10">
        <v>-7</v>
      </c>
      <c r="H2238" s="10" t="s">
        <v>2411</v>
      </c>
      <c r="I2238" s="10" t="s">
        <v>6713</v>
      </c>
      <c r="J2238" s="10" t="s">
        <v>6714</v>
      </c>
      <c r="K2238" s="10" t="s">
        <v>6734</v>
      </c>
      <c r="L2238" s="65" t="str">
        <f t="shared" si="173"/>
        <v>Denver|United States of America|-104,984703|39,739155|-7:00 America</v>
      </c>
      <c r="M2238" s="10" t="s">
        <v>6775</v>
      </c>
      <c r="N2238" s="10">
        <f t="shared" si="170"/>
        <v>0</v>
      </c>
      <c r="O2238" t="str">
        <f t="shared" si="174"/>
        <v/>
      </c>
      <c r="P2238" t="str">
        <f>IF(O2238=1,COUNTIF($O$2:O2238,1),"")</f>
        <v/>
      </c>
      <c r="Q2238" t="str">
        <f>IFERROR(INDEX($M$2:$M$2388,MATCH(ROWS($P$2:P2238),$P$2:$P$2388,0)),"")</f>
        <v/>
      </c>
    </row>
    <row r="2239" spans="1:17" ht="15" x14ac:dyDescent="0.25">
      <c r="A2239" s="10">
        <v>2231</v>
      </c>
      <c r="B2239" s="10" t="s">
        <v>6776</v>
      </c>
      <c r="C2239" s="880">
        <f t="shared" si="171"/>
        <v>-83.045699999999997</v>
      </c>
      <c r="D2239" s="880">
        <f t="shared" si="172"/>
        <v>42.331400000000002</v>
      </c>
      <c r="E2239" s="10">
        <v>-83.045753000000005</v>
      </c>
      <c r="F2239" s="10">
        <v>42.331429</v>
      </c>
      <c r="G2239" s="10">
        <v>-5</v>
      </c>
      <c r="H2239" s="10" t="s">
        <v>1873</v>
      </c>
      <c r="I2239" s="10" t="s">
        <v>6713</v>
      </c>
      <c r="J2239" s="10" t="s">
        <v>6714</v>
      </c>
      <c r="K2239" s="10" t="s">
        <v>6715</v>
      </c>
      <c r="L2239" s="65" t="str">
        <f t="shared" si="173"/>
        <v>Detroit|United States of America|-83,045753|42,331429|-5:00 America</v>
      </c>
      <c r="M2239" s="10" t="s">
        <v>6777</v>
      </c>
      <c r="N2239" s="10">
        <f t="shared" si="170"/>
        <v>0</v>
      </c>
      <c r="O2239" t="str">
        <f t="shared" si="174"/>
        <v/>
      </c>
      <c r="P2239" t="str">
        <f>IF(O2239=1,COUNTIF($O$2:O2239,1),"")</f>
        <v/>
      </c>
      <c r="Q2239" t="str">
        <f>IFERROR(INDEX($M$2:$M$2388,MATCH(ROWS($P$2:P2239),$P$2:$P$2388,0)),"")</f>
        <v/>
      </c>
    </row>
    <row r="2240" spans="1:17" ht="15" x14ac:dyDescent="0.25">
      <c r="A2240" s="10">
        <v>2203</v>
      </c>
      <c r="B2240" s="10" t="s">
        <v>6778</v>
      </c>
      <c r="C2240" s="880">
        <f t="shared" si="171"/>
        <v>-78.898600000000002</v>
      </c>
      <c r="D2240" s="880">
        <f t="shared" si="172"/>
        <v>35.994</v>
      </c>
      <c r="E2240" s="10">
        <v>-78.898621000000006</v>
      </c>
      <c r="F2240" s="10">
        <v>35.994033999999999</v>
      </c>
      <c r="G2240" s="10">
        <v>-5</v>
      </c>
      <c r="H2240" s="10" t="s">
        <v>1873</v>
      </c>
      <c r="I2240" s="10" t="s">
        <v>6713</v>
      </c>
      <c r="J2240" s="10" t="s">
        <v>6714</v>
      </c>
      <c r="K2240" s="10" t="s">
        <v>6731</v>
      </c>
      <c r="L2240" s="65" t="str">
        <f t="shared" si="173"/>
        <v>Durham|United States of America|-78,898621|35,994034|-5:00 America</v>
      </c>
      <c r="M2240" s="10" t="s">
        <v>6779</v>
      </c>
      <c r="N2240" s="10">
        <f t="shared" si="170"/>
        <v>0</v>
      </c>
      <c r="O2240" t="str">
        <f t="shared" si="174"/>
        <v/>
      </c>
      <c r="P2240" t="str">
        <f>IF(O2240=1,COUNTIF($O$2:O2240,1),"")</f>
        <v/>
      </c>
      <c r="Q2240" t="str">
        <f>IFERROR(INDEX($M$2:$M$2388,MATCH(ROWS($P$2:P2240),$P$2:$P$2388,0)),"")</f>
        <v/>
      </c>
    </row>
    <row r="2241" spans="1:17" ht="15" x14ac:dyDescent="0.25">
      <c r="A2241" s="10">
        <v>2179</v>
      </c>
      <c r="B2241" s="10" t="s">
        <v>6780</v>
      </c>
      <c r="C2241" s="880">
        <f t="shared" si="171"/>
        <v>-96.646000000000001</v>
      </c>
      <c r="D2241" s="880">
        <f t="shared" si="172"/>
        <v>28.9785</v>
      </c>
      <c r="E2241" s="10">
        <v>-96.646088000000006</v>
      </c>
      <c r="F2241" s="10">
        <v>28.978594000000001</v>
      </c>
      <c r="G2241" s="10">
        <v>-6</v>
      </c>
      <c r="H2241" s="10" t="s">
        <v>1975</v>
      </c>
      <c r="I2241" s="10" t="s">
        <v>6713</v>
      </c>
      <c r="J2241" s="10" t="s">
        <v>6714</v>
      </c>
      <c r="K2241" s="10" t="s">
        <v>6744</v>
      </c>
      <c r="L2241" s="65" t="str">
        <f t="shared" si="173"/>
        <v>Edna|United States of America|-96,646088|28,978594|-6:00 America</v>
      </c>
      <c r="M2241" s="10" t="s">
        <v>6781</v>
      </c>
      <c r="N2241" s="10">
        <f t="shared" si="170"/>
        <v>0</v>
      </c>
      <c r="O2241" t="str">
        <f t="shared" si="174"/>
        <v/>
      </c>
      <c r="P2241" t="str">
        <f>IF(O2241=1,COUNTIF($O$2:O2241,1),"")</f>
        <v/>
      </c>
      <c r="Q2241" t="str">
        <f>IFERROR(INDEX($M$2:$M$2388,MATCH(ROWS($P$2:P2241),$P$2:$P$2388,0)),"")</f>
        <v/>
      </c>
    </row>
    <row r="2242" spans="1:17" ht="15" x14ac:dyDescent="0.25">
      <c r="A2242" s="10">
        <v>2280</v>
      </c>
      <c r="B2242" s="10" t="s">
        <v>6782</v>
      </c>
      <c r="C2242" s="880">
        <f t="shared" si="171"/>
        <v>-106.48690000000001</v>
      </c>
      <c r="D2242" s="880">
        <f t="shared" si="172"/>
        <v>31.758700000000001</v>
      </c>
      <c r="E2242" s="10">
        <v>-106.486931</v>
      </c>
      <c r="F2242" s="10">
        <v>31.75872</v>
      </c>
      <c r="G2242" s="10">
        <v>-7</v>
      </c>
      <c r="H2242" s="10" t="s">
        <v>2411</v>
      </c>
      <c r="I2242" s="10" t="s">
        <v>6713</v>
      </c>
      <c r="J2242" s="10" t="s">
        <v>6714</v>
      </c>
      <c r="K2242" s="10" t="s">
        <v>6754</v>
      </c>
      <c r="L2242" s="65" t="str">
        <f t="shared" si="173"/>
        <v>El Paso|United States of America|-106,486931|31,758720|-7:00 America</v>
      </c>
      <c r="M2242" s="10" t="s">
        <v>6783</v>
      </c>
      <c r="N2242" s="10">
        <f t="shared" ref="N2242:N2305" si="175">--ISNUMBER(IFERROR(SEARCH($R$2,J2242,1),""))</f>
        <v>0</v>
      </c>
      <c r="O2242" t="str">
        <f t="shared" si="174"/>
        <v/>
      </c>
      <c r="P2242" t="str">
        <f>IF(O2242=1,COUNTIF($O$2:O2242,1),"")</f>
        <v/>
      </c>
      <c r="Q2242" t="str">
        <f>IFERROR(INDEX($M$2:$M$2388,MATCH(ROWS($P$2:P2242),$P$2:$P$2388,0)),"")</f>
        <v/>
      </c>
    </row>
    <row r="2243" spans="1:17" ht="15" x14ac:dyDescent="0.25">
      <c r="A2243" s="10">
        <v>2228</v>
      </c>
      <c r="B2243" s="10" t="s">
        <v>6784</v>
      </c>
      <c r="C2243" s="880">
        <f t="shared" ref="C2243:C2306" si="176">TRUNC(E2243,4)</f>
        <v>-85.128799999999998</v>
      </c>
      <c r="D2243" s="880">
        <f t="shared" ref="D2243:D2306" si="177">TRUNC(F2243,4)</f>
        <v>41.130600000000001</v>
      </c>
      <c r="E2243" s="10">
        <v>-85.128860000000003</v>
      </c>
      <c r="F2243" s="10">
        <v>41.130603999999998</v>
      </c>
      <c r="G2243" s="10">
        <v>-5</v>
      </c>
      <c r="H2243" s="10" t="s">
        <v>1873</v>
      </c>
      <c r="I2243" s="10" t="s">
        <v>6713</v>
      </c>
      <c r="J2243" s="10" t="s">
        <v>6714</v>
      </c>
      <c r="K2243" s="10" t="s">
        <v>6785</v>
      </c>
      <c r="L2243" s="65" t="str">
        <f t="shared" ref="L2243:L2306" si="178">MID(M2243,1,LEN(M2243)-(LEN(K2243)-SEARCH("/",K2243)+1))</f>
        <v>Fort Wayne|United States of America|-85,128860|41,130604|-5:00 America</v>
      </c>
      <c r="M2243" s="10" t="s">
        <v>6786</v>
      </c>
      <c r="N2243" s="10">
        <f t="shared" si="175"/>
        <v>0</v>
      </c>
      <c r="O2243" t="str">
        <f t="shared" ref="O2243:O2306" si="179">IF(N2243=0,"",--ISNUMBER(IFERROR(SEARCH($U$2,L2243,1),"")))</f>
        <v/>
      </c>
      <c r="P2243" t="str">
        <f>IF(O2243=1,COUNTIF($O$2:O2243,1),"")</f>
        <v/>
      </c>
      <c r="Q2243" t="str">
        <f>IFERROR(INDEX($M$2:$M$2388,MATCH(ROWS($P$2:P2243),$P$2:$P$2388,0)),"")</f>
        <v/>
      </c>
    </row>
    <row r="2244" spans="1:17" ht="15" x14ac:dyDescent="0.25">
      <c r="A2244" s="10">
        <v>2219</v>
      </c>
      <c r="B2244" s="10" t="s">
        <v>6787</v>
      </c>
      <c r="C2244" s="880">
        <f t="shared" si="176"/>
        <v>-97.320800000000006</v>
      </c>
      <c r="D2244" s="880">
        <f t="shared" si="177"/>
        <v>32.7254</v>
      </c>
      <c r="E2244" s="10">
        <v>-97.320847000000001</v>
      </c>
      <c r="F2244" s="10">
        <v>32.725409999999997</v>
      </c>
      <c r="G2244" s="10">
        <v>-6</v>
      </c>
      <c r="H2244" s="10" t="s">
        <v>1975</v>
      </c>
      <c r="I2244" s="10" t="s">
        <v>6713</v>
      </c>
      <c r="J2244" s="10" t="s">
        <v>6714</v>
      </c>
      <c r="K2244" s="10" t="s">
        <v>6728</v>
      </c>
      <c r="L2244" s="65" t="str">
        <f t="shared" si="178"/>
        <v>Fort Worth|United States of America|-97,320847|32,725410|-6:00 America</v>
      </c>
      <c r="M2244" s="10" t="s">
        <v>6788</v>
      </c>
      <c r="N2244" s="10">
        <f t="shared" si="175"/>
        <v>0</v>
      </c>
      <c r="O2244" t="str">
        <f t="shared" si="179"/>
        <v/>
      </c>
      <c r="P2244" t="str">
        <f>IF(O2244=1,COUNTIF($O$2:O2244,1),"")</f>
        <v/>
      </c>
      <c r="Q2244" t="str">
        <f>IFERROR(INDEX($M$2:$M$2388,MATCH(ROWS($P$2:P2244),$P$2:$P$2388,0)),"")</f>
        <v/>
      </c>
    </row>
    <row r="2245" spans="1:17" ht="15" x14ac:dyDescent="0.25">
      <c r="A2245" s="10">
        <v>2257</v>
      </c>
      <c r="B2245" s="10" t="s">
        <v>6789</v>
      </c>
      <c r="C2245" s="880">
        <f t="shared" si="176"/>
        <v>-121.9885</v>
      </c>
      <c r="D2245" s="880">
        <f t="shared" si="177"/>
        <v>37.548200000000001</v>
      </c>
      <c r="E2245" s="10">
        <v>-121.98857099999999</v>
      </c>
      <c r="F2245" s="10">
        <v>37.548271</v>
      </c>
      <c r="G2245" s="10">
        <v>-8</v>
      </c>
      <c r="H2245" s="10" t="s">
        <v>2402</v>
      </c>
      <c r="I2245" s="10" t="s">
        <v>6713</v>
      </c>
      <c r="J2245" s="10" t="s">
        <v>6714</v>
      </c>
      <c r="K2245" s="10" t="s">
        <v>6721</v>
      </c>
      <c r="L2245" s="65" t="str">
        <f t="shared" si="178"/>
        <v>Fremont|United States of America|-121,988571|37,548271|-8:00 America</v>
      </c>
      <c r="M2245" s="10" t="s">
        <v>6790</v>
      </c>
      <c r="N2245" s="10">
        <f t="shared" si="175"/>
        <v>0</v>
      </c>
      <c r="O2245" t="str">
        <f t="shared" si="179"/>
        <v/>
      </c>
      <c r="P2245" t="str">
        <f>IF(O2245=1,COUNTIF($O$2:O2245,1),"")</f>
        <v/>
      </c>
      <c r="Q2245" t="str">
        <f>IFERROR(INDEX($M$2:$M$2388,MATCH(ROWS($P$2:P2245),$P$2:$P$2388,0)),"")</f>
        <v/>
      </c>
    </row>
    <row r="2246" spans="1:17" ht="15" x14ac:dyDescent="0.25">
      <c r="A2246" s="10">
        <v>2258</v>
      </c>
      <c r="B2246" s="10" t="s">
        <v>6791</v>
      </c>
      <c r="C2246" s="880">
        <f t="shared" si="176"/>
        <v>-119.7723</v>
      </c>
      <c r="D2246" s="880">
        <f t="shared" si="177"/>
        <v>36.747700000000002</v>
      </c>
      <c r="E2246" s="10">
        <v>-119.772369</v>
      </c>
      <c r="F2246" s="10">
        <v>36.747726</v>
      </c>
      <c r="G2246" s="10">
        <v>-8</v>
      </c>
      <c r="H2246" s="10" t="s">
        <v>2402</v>
      </c>
      <c r="I2246" s="10" t="s">
        <v>6713</v>
      </c>
      <c r="J2246" s="10" t="s">
        <v>6714</v>
      </c>
      <c r="K2246" s="10" t="s">
        <v>6721</v>
      </c>
      <c r="L2246" s="65" t="str">
        <f t="shared" si="178"/>
        <v>Fresno|United States of America|-119,772369|36,747726|-8:00 America</v>
      </c>
      <c r="M2246" s="10" t="s">
        <v>6792</v>
      </c>
      <c r="N2246" s="10">
        <f t="shared" si="175"/>
        <v>0</v>
      </c>
      <c r="O2246" t="str">
        <f t="shared" si="179"/>
        <v/>
      </c>
      <c r="P2246" t="str">
        <f>IF(O2246=1,COUNTIF($O$2:O2246,1),"")</f>
        <v/>
      </c>
      <c r="Q2246" t="str">
        <f>IFERROR(INDEX($M$2:$M$2388,MATCH(ROWS($P$2:P2246),$P$2:$P$2388,0)),"")</f>
        <v/>
      </c>
    </row>
    <row r="2247" spans="1:17" ht="15" x14ac:dyDescent="0.25">
      <c r="A2247" s="10">
        <v>2220</v>
      </c>
      <c r="B2247" s="10" t="s">
        <v>6793</v>
      </c>
      <c r="C2247" s="880">
        <f t="shared" si="176"/>
        <v>-96.638800000000003</v>
      </c>
      <c r="D2247" s="880">
        <f t="shared" si="177"/>
        <v>32.912599999999998</v>
      </c>
      <c r="E2247" s="10">
        <v>-96.638885000000002</v>
      </c>
      <c r="F2247" s="10">
        <v>32.912624000000001</v>
      </c>
      <c r="G2247" s="10">
        <v>-6</v>
      </c>
      <c r="H2247" s="10" t="s">
        <v>1975</v>
      </c>
      <c r="I2247" s="10" t="s">
        <v>6713</v>
      </c>
      <c r="J2247" s="10" t="s">
        <v>6714</v>
      </c>
      <c r="K2247" s="10" t="s">
        <v>6728</v>
      </c>
      <c r="L2247" s="65" t="str">
        <f t="shared" si="178"/>
        <v>Garland|United States of America|-96,638885|32,912624|-6:00 America</v>
      </c>
      <c r="M2247" s="10" t="s">
        <v>6794</v>
      </c>
      <c r="N2247" s="10">
        <f t="shared" si="175"/>
        <v>0</v>
      </c>
      <c r="O2247" t="str">
        <f t="shared" si="179"/>
        <v/>
      </c>
      <c r="P2247" t="str">
        <f>IF(O2247=1,COUNTIF($O$2:O2247,1),"")</f>
        <v/>
      </c>
      <c r="Q2247" t="str">
        <f>IFERROR(INDEX($M$2:$M$2388,MATCH(ROWS($P$2:P2247),$P$2:$P$2388,0)),"")</f>
        <v/>
      </c>
    </row>
    <row r="2248" spans="1:17" ht="15" x14ac:dyDescent="0.25">
      <c r="A2248" s="10">
        <v>2248</v>
      </c>
      <c r="B2248" s="10" t="s">
        <v>6795</v>
      </c>
      <c r="C2248" s="880">
        <f t="shared" si="176"/>
        <v>-112.1859</v>
      </c>
      <c r="D2248" s="880">
        <f t="shared" si="177"/>
        <v>33.538600000000002</v>
      </c>
      <c r="E2248" s="10">
        <v>-112.18598900000001</v>
      </c>
      <c r="F2248" s="10">
        <v>33.538651000000002</v>
      </c>
      <c r="G2248" s="10">
        <v>-7</v>
      </c>
      <c r="H2248" s="10" t="s">
        <v>2411</v>
      </c>
      <c r="I2248" s="10" t="s">
        <v>6713</v>
      </c>
      <c r="J2248" s="10" t="s">
        <v>6714</v>
      </c>
      <c r="K2248" s="10" t="s">
        <v>6754</v>
      </c>
      <c r="L2248" s="65" t="str">
        <f t="shared" si="178"/>
        <v>Glendale|United States of America|-112,185989|33,538651|-7:00 America</v>
      </c>
      <c r="M2248" s="10" t="s">
        <v>6796</v>
      </c>
      <c r="N2248" s="10">
        <f t="shared" si="175"/>
        <v>0</v>
      </c>
      <c r="O2248" t="str">
        <f t="shared" si="179"/>
        <v/>
      </c>
      <c r="P2248" t="str">
        <f>IF(O2248=1,COUNTIF($O$2:O2248,1),"")</f>
        <v/>
      </c>
      <c r="Q2248" t="str">
        <f>IFERROR(INDEX($M$2:$M$2388,MATCH(ROWS($P$2:P2248),$P$2:$P$2388,0)),"")</f>
        <v/>
      </c>
    </row>
    <row r="2249" spans="1:17" ht="15" x14ac:dyDescent="0.25">
      <c r="A2249" s="10">
        <v>2204</v>
      </c>
      <c r="B2249" s="10" t="s">
        <v>6797</v>
      </c>
      <c r="C2249" s="880">
        <f t="shared" si="176"/>
        <v>-79.791899999999998</v>
      </c>
      <c r="D2249" s="880">
        <f t="shared" si="177"/>
        <v>36.072600000000001</v>
      </c>
      <c r="E2249" s="10">
        <v>-79.791977000000003</v>
      </c>
      <c r="F2249" s="10">
        <v>36.072636000000003</v>
      </c>
      <c r="G2249" s="10">
        <v>-5</v>
      </c>
      <c r="H2249" s="10" t="s">
        <v>1873</v>
      </c>
      <c r="I2249" s="10" t="s">
        <v>6713</v>
      </c>
      <c r="J2249" s="10" t="s">
        <v>6714</v>
      </c>
      <c r="K2249" s="10" t="s">
        <v>6731</v>
      </c>
      <c r="L2249" s="65" t="str">
        <f t="shared" si="178"/>
        <v>Greensboro|United States of America|-79,791977|36,072636|-5:00 America</v>
      </c>
      <c r="M2249" s="10" t="s">
        <v>6798</v>
      </c>
      <c r="N2249" s="10">
        <f t="shared" si="175"/>
        <v>0</v>
      </c>
      <c r="O2249" t="str">
        <f t="shared" si="179"/>
        <v/>
      </c>
      <c r="P2249" t="str">
        <f>IF(O2249=1,COUNTIF($O$2:O2249,1),"")</f>
        <v/>
      </c>
      <c r="Q2249" t="str">
        <f>IFERROR(INDEX($M$2:$M$2388,MATCH(ROWS($P$2:P2249),$P$2:$P$2388,0)),"")</f>
        <v/>
      </c>
    </row>
    <row r="2250" spans="1:17" ht="15" x14ac:dyDescent="0.25">
      <c r="A2250" s="10">
        <v>2180</v>
      </c>
      <c r="B2250" s="10" t="s">
        <v>6799</v>
      </c>
      <c r="C2250" s="880">
        <f t="shared" si="176"/>
        <v>-94.799300000000002</v>
      </c>
      <c r="D2250" s="880">
        <f t="shared" si="177"/>
        <v>32.153199999999998</v>
      </c>
      <c r="E2250" s="10">
        <v>-94.799377000000007</v>
      </c>
      <c r="F2250" s="10">
        <v>32.153216999999998</v>
      </c>
      <c r="G2250" s="10">
        <v>-6</v>
      </c>
      <c r="H2250" s="10" t="s">
        <v>2402</v>
      </c>
      <c r="I2250" s="10" t="s">
        <v>6713</v>
      </c>
      <c r="J2250" s="10" t="s">
        <v>6714</v>
      </c>
      <c r="K2250" s="10" t="s">
        <v>6721</v>
      </c>
      <c r="L2250" s="65" t="str">
        <f t="shared" si="178"/>
        <v>Henderson|United States of America|-94,799377|32,153217|-8:00 America</v>
      </c>
      <c r="M2250" s="10" t="s">
        <v>6800</v>
      </c>
      <c r="N2250" s="10">
        <f t="shared" si="175"/>
        <v>0</v>
      </c>
      <c r="O2250" t="str">
        <f t="shared" si="179"/>
        <v/>
      </c>
      <c r="P2250" t="str">
        <f>IF(O2250=1,COUNTIF($O$2:O2250,1),"")</f>
        <v/>
      </c>
      <c r="Q2250" t="str">
        <f>IFERROR(INDEX($M$2:$M$2388,MATCH(ROWS($P$2:P2250),$P$2:$P$2388,0)),"")</f>
        <v/>
      </c>
    </row>
    <row r="2251" spans="1:17" ht="15" x14ac:dyDescent="0.25">
      <c r="A2251" s="10">
        <v>2276</v>
      </c>
      <c r="B2251" s="10" t="s">
        <v>6799</v>
      </c>
      <c r="C2251" s="880">
        <f t="shared" si="176"/>
        <v>-114.9819</v>
      </c>
      <c r="D2251" s="880">
        <f t="shared" si="177"/>
        <v>36.039700000000003</v>
      </c>
      <c r="E2251" s="10">
        <v>-114.981934</v>
      </c>
      <c r="F2251" s="10">
        <v>36.039700000000003</v>
      </c>
      <c r="G2251" s="10">
        <v>-8</v>
      </c>
      <c r="H2251" s="10" t="s">
        <v>2402</v>
      </c>
      <c r="I2251" s="10" t="s">
        <v>6713</v>
      </c>
      <c r="J2251" s="10" t="s">
        <v>6714</v>
      </c>
      <c r="K2251" s="10" t="s">
        <v>6721</v>
      </c>
      <c r="L2251" s="65" t="str">
        <f t="shared" si="178"/>
        <v>Henderson|United States of America|-114,981934|36,039700|-8:00 America</v>
      </c>
      <c r="M2251" s="10" t="s">
        <v>6801</v>
      </c>
      <c r="N2251" s="10">
        <f t="shared" si="175"/>
        <v>0</v>
      </c>
      <c r="O2251" t="str">
        <f t="shared" si="179"/>
        <v/>
      </c>
      <c r="P2251" t="str">
        <f>IF(O2251=1,COUNTIF($O$2:O2251,1),"")</f>
        <v/>
      </c>
      <c r="Q2251" t="str">
        <f>IFERROR(INDEX($M$2:$M$2388,MATCH(ROWS($P$2:P2251),$P$2:$P$2388,0)),"")</f>
        <v/>
      </c>
    </row>
    <row r="2252" spans="1:17" ht="15" x14ac:dyDescent="0.25">
      <c r="A2252" s="10">
        <v>2183</v>
      </c>
      <c r="B2252" s="10" t="s">
        <v>6802</v>
      </c>
      <c r="C2252" s="880">
        <f t="shared" si="176"/>
        <v>-80.278099999999995</v>
      </c>
      <c r="D2252" s="880">
        <f t="shared" si="177"/>
        <v>25.857500000000002</v>
      </c>
      <c r="E2252" s="10">
        <v>-80.278107000000006</v>
      </c>
      <c r="F2252" s="10">
        <v>25.857595</v>
      </c>
      <c r="G2252" s="10">
        <v>-5</v>
      </c>
      <c r="H2252" s="10" t="s">
        <v>1873</v>
      </c>
      <c r="I2252" s="10" t="s">
        <v>6713</v>
      </c>
      <c r="J2252" s="10" t="s">
        <v>6714</v>
      </c>
      <c r="K2252" s="10" t="s">
        <v>6731</v>
      </c>
      <c r="L2252" s="65" t="str">
        <f t="shared" si="178"/>
        <v>Hialeah|United States of America|-80,278107|25,857595|-5:00 America</v>
      </c>
      <c r="M2252" s="10" t="s">
        <v>6803</v>
      </c>
      <c r="N2252" s="10">
        <f t="shared" si="175"/>
        <v>0</v>
      </c>
      <c r="O2252" t="str">
        <f t="shared" si="179"/>
        <v/>
      </c>
      <c r="P2252" t="str">
        <f>IF(O2252=1,COUNTIF($O$2:O2252,1),"")</f>
        <v/>
      </c>
      <c r="Q2252" t="str">
        <f>IFERROR(INDEX($M$2:$M$2388,MATCH(ROWS($P$2:P2252),$P$2:$P$2388,0)),"")</f>
        <v/>
      </c>
    </row>
    <row r="2253" spans="1:17" ht="15" x14ac:dyDescent="0.25">
      <c r="A2253" s="10">
        <v>2284</v>
      </c>
      <c r="B2253" s="10" t="s">
        <v>6804</v>
      </c>
      <c r="C2253" s="880">
        <f t="shared" si="176"/>
        <v>-157.85830000000001</v>
      </c>
      <c r="D2253" s="880">
        <f t="shared" si="177"/>
        <v>21.306899999999999</v>
      </c>
      <c r="E2253" s="10">
        <v>-157.85833700000001</v>
      </c>
      <c r="F2253" s="10">
        <v>21.306944000000001</v>
      </c>
      <c r="G2253" s="10">
        <v>-10</v>
      </c>
      <c r="H2253" s="10" t="s">
        <v>3017</v>
      </c>
      <c r="I2253" s="10" t="s">
        <v>6713</v>
      </c>
      <c r="J2253" s="10" t="s">
        <v>6714</v>
      </c>
      <c r="K2253" s="10" t="s">
        <v>6805</v>
      </c>
      <c r="L2253" s="65" t="str">
        <f t="shared" si="178"/>
        <v>Honolulu|United States of America|-157,858337|21,306944|-10:00 Pacific</v>
      </c>
      <c r="M2253" s="10" t="s">
        <v>6806</v>
      </c>
      <c r="N2253" s="10">
        <f t="shared" si="175"/>
        <v>0</v>
      </c>
      <c r="O2253" t="str">
        <f t="shared" si="179"/>
        <v/>
      </c>
      <c r="P2253" t="str">
        <f>IF(O2253=1,COUNTIF($O$2:O2253,1),"")</f>
        <v/>
      </c>
      <c r="Q2253" t="str">
        <f>IFERROR(INDEX($M$2:$M$2388,MATCH(ROWS($P$2:P2253),$P$2:$P$2388,0)),"")</f>
        <v/>
      </c>
    </row>
    <row r="2254" spans="1:17" ht="15" x14ac:dyDescent="0.25">
      <c r="A2254" s="10">
        <v>2221</v>
      </c>
      <c r="B2254" s="10" t="s">
        <v>6807</v>
      </c>
      <c r="C2254" s="880">
        <f t="shared" si="176"/>
        <v>-95.363200000000006</v>
      </c>
      <c r="D2254" s="880">
        <f t="shared" si="177"/>
        <v>29.763200000000001</v>
      </c>
      <c r="E2254" s="10">
        <v>-95.363274000000004</v>
      </c>
      <c r="F2254" s="10">
        <v>29.763283000000001</v>
      </c>
      <c r="G2254" s="10">
        <v>-6</v>
      </c>
      <c r="H2254" s="10" t="s">
        <v>1975</v>
      </c>
      <c r="I2254" s="10" t="s">
        <v>6713</v>
      </c>
      <c r="J2254" s="10" t="s">
        <v>6714</v>
      </c>
      <c r="K2254" s="10" t="s">
        <v>6744</v>
      </c>
      <c r="L2254" s="65" t="str">
        <f t="shared" si="178"/>
        <v>Houston|United States of America|-95,363274|29,763283|-6:00 America</v>
      </c>
      <c r="M2254" s="10" t="s">
        <v>6808</v>
      </c>
      <c r="N2254" s="10">
        <f t="shared" si="175"/>
        <v>0</v>
      </c>
      <c r="O2254" t="str">
        <f t="shared" si="179"/>
        <v/>
      </c>
      <c r="P2254" t="str">
        <f>IF(O2254=1,COUNTIF($O$2:O2254,1),"")</f>
        <v/>
      </c>
      <c r="Q2254" t="str">
        <f>IFERROR(INDEX($M$2:$M$2388,MATCH(ROWS($P$2:P2254),$P$2:$P$2388,0)),"")</f>
        <v/>
      </c>
    </row>
    <row r="2255" spans="1:17" ht="15" x14ac:dyDescent="0.25">
      <c r="A2255" s="10">
        <v>2190</v>
      </c>
      <c r="B2255" s="10" t="s">
        <v>6809</v>
      </c>
      <c r="C2255" s="880">
        <f t="shared" si="176"/>
        <v>-86.158000000000001</v>
      </c>
      <c r="D2255" s="880">
        <f t="shared" si="177"/>
        <v>39.768300000000004</v>
      </c>
      <c r="E2255" s="10">
        <v>-86.158043000000006</v>
      </c>
      <c r="F2255" s="10">
        <v>39.768374999999999</v>
      </c>
      <c r="G2255" s="10">
        <v>-5</v>
      </c>
      <c r="H2255" s="10" t="s">
        <v>1873</v>
      </c>
      <c r="I2255" s="10" t="s">
        <v>6713</v>
      </c>
      <c r="J2255" s="10" t="s">
        <v>6714</v>
      </c>
      <c r="K2255" s="10" t="s">
        <v>6785</v>
      </c>
      <c r="L2255" s="65" t="str">
        <f t="shared" si="178"/>
        <v>Indianapolis|United States of America|-86,158043|39,768375|-5:00 America</v>
      </c>
      <c r="M2255" s="10" t="s">
        <v>6810</v>
      </c>
      <c r="N2255" s="10">
        <f t="shared" si="175"/>
        <v>0</v>
      </c>
      <c r="O2255" t="str">
        <f t="shared" si="179"/>
        <v/>
      </c>
      <c r="P2255" t="str">
        <f>IF(O2255=1,COUNTIF($O$2:O2255,1),"")</f>
        <v/>
      </c>
      <c r="Q2255" t="str">
        <f>IFERROR(INDEX($M$2:$M$2388,MATCH(ROWS($P$2:P2255),$P$2:$P$2388,0)),"")</f>
        <v/>
      </c>
    </row>
    <row r="2256" spans="1:17" ht="15" x14ac:dyDescent="0.25">
      <c r="A2256" s="10">
        <v>2184</v>
      </c>
      <c r="B2256" s="10" t="s">
        <v>6811</v>
      </c>
      <c r="C2256" s="880">
        <f t="shared" si="176"/>
        <v>-81.655600000000007</v>
      </c>
      <c r="D2256" s="880">
        <f t="shared" si="177"/>
        <v>30.332100000000001</v>
      </c>
      <c r="E2256" s="10">
        <v>-81.655647000000002</v>
      </c>
      <c r="F2256" s="10">
        <v>30.332184000000002</v>
      </c>
      <c r="G2256" s="10">
        <v>-5</v>
      </c>
      <c r="H2256" s="10" t="s">
        <v>1873</v>
      </c>
      <c r="I2256" s="10" t="s">
        <v>6713</v>
      </c>
      <c r="J2256" s="10" t="s">
        <v>6714</v>
      </c>
      <c r="K2256" s="10" t="s">
        <v>6731</v>
      </c>
      <c r="L2256" s="65" t="str">
        <f t="shared" si="178"/>
        <v>Jacksonville|United States of America|-81,655647|30,332184|-5:00 America</v>
      </c>
      <c r="M2256" s="10" t="s">
        <v>6812</v>
      </c>
      <c r="N2256" s="10">
        <f t="shared" si="175"/>
        <v>0</v>
      </c>
      <c r="O2256" t="str">
        <f t="shared" si="179"/>
        <v/>
      </c>
      <c r="P2256" t="str">
        <f>IF(O2256=1,COUNTIF($O$2:O2256,1),"")</f>
        <v/>
      </c>
      <c r="Q2256" t="str">
        <f>IFERROR(INDEX($M$2:$M$2388,MATCH(ROWS($P$2:P2256),$P$2:$P$2388,0)),"")</f>
        <v/>
      </c>
    </row>
    <row r="2257" spans="1:17" ht="15" x14ac:dyDescent="0.25">
      <c r="A2257" s="10">
        <v>2236</v>
      </c>
      <c r="B2257" s="10" t="s">
        <v>6813</v>
      </c>
      <c r="C2257" s="880">
        <f t="shared" si="176"/>
        <v>-74.077600000000004</v>
      </c>
      <c r="D2257" s="880">
        <f t="shared" si="177"/>
        <v>40.728099999999998</v>
      </c>
      <c r="E2257" s="10">
        <v>-74.077644000000006</v>
      </c>
      <c r="F2257" s="10">
        <v>40.728157000000003</v>
      </c>
      <c r="G2257" s="10">
        <v>-5</v>
      </c>
      <c r="H2257" s="10" t="s">
        <v>1873</v>
      </c>
      <c r="I2257" s="10" t="s">
        <v>6713</v>
      </c>
      <c r="J2257" s="10" t="s">
        <v>6714</v>
      </c>
      <c r="K2257" s="10" t="s">
        <v>6741</v>
      </c>
      <c r="L2257" s="65" t="str">
        <f t="shared" si="178"/>
        <v>Jersey City|United States of America|-74,077644|40,728157|-5:00 America</v>
      </c>
      <c r="M2257" s="10" t="s">
        <v>6814</v>
      </c>
      <c r="N2257" s="10">
        <f t="shared" si="175"/>
        <v>0</v>
      </c>
      <c r="O2257" t="str">
        <f t="shared" si="179"/>
        <v/>
      </c>
      <c r="P2257" t="str">
        <f>IF(O2257=1,COUNTIF($O$2:O2257,1),"")</f>
        <v/>
      </c>
      <c r="Q2257" t="str">
        <f>IFERROR(INDEX($M$2:$M$2388,MATCH(ROWS($P$2:P2257),$P$2:$P$2388,0)),"")</f>
        <v/>
      </c>
    </row>
    <row r="2258" spans="1:17" ht="15" x14ac:dyDescent="0.25">
      <c r="A2258" s="10">
        <v>2199</v>
      </c>
      <c r="B2258" s="10" t="s">
        <v>6815</v>
      </c>
      <c r="C2258" s="880">
        <f t="shared" si="176"/>
        <v>-94.578500000000005</v>
      </c>
      <c r="D2258" s="880">
        <f t="shared" si="177"/>
        <v>39.099699999999999</v>
      </c>
      <c r="E2258" s="10">
        <v>-94.578568000000004</v>
      </c>
      <c r="F2258" s="10">
        <v>39.099727999999999</v>
      </c>
      <c r="G2258" s="10">
        <v>-6</v>
      </c>
      <c r="H2258" s="10" t="s">
        <v>1975</v>
      </c>
      <c r="I2258" s="10" t="s">
        <v>6713</v>
      </c>
      <c r="J2258" s="10" t="s">
        <v>6714</v>
      </c>
      <c r="K2258" s="10" t="s">
        <v>6728</v>
      </c>
      <c r="L2258" s="65" t="str">
        <f t="shared" si="178"/>
        <v>Kansas City|United States of America|-94,578568|39,099728|-6:00 America</v>
      </c>
      <c r="M2258" s="10" t="s">
        <v>6816</v>
      </c>
      <c r="N2258" s="10">
        <f t="shared" si="175"/>
        <v>0</v>
      </c>
      <c r="O2258" t="str">
        <f t="shared" si="179"/>
        <v/>
      </c>
      <c r="P2258" t="str">
        <f>IF(O2258=1,COUNTIF($O$2:O2258,1),"")</f>
        <v/>
      </c>
      <c r="Q2258" t="str">
        <f>IFERROR(INDEX($M$2:$M$2388,MATCH(ROWS($P$2:P2258),$P$2:$P$2388,0)),"")</f>
        <v/>
      </c>
    </row>
    <row r="2259" spans="1:17" ht="15" x14ac:dyDescent="0.25">
      <c r="A2259" s="10">
        <v>2222</v>
      </c>
      <c r="B2259" s="10" t="s">
        <v>6817</v>
      </c>
      <c r="C2259" s="880">
        <f t="shared" si="176"/>
        <v>-99.507499999999993</v>
      </c>
      <c r="D2259" s="880">
        <f t="shared" si="177"/>
        <v>27.506399999999999</v>
      </c>
      <c r="E2259" s="10">
        <v>-99.507544999999993</v>
      </c>
      <c r="F2259" s="10">
        <v>27.506406999999999</v>
      </c>
      <c r="G2259" s="10">
        <v>-6</v>
      </c>
      <c r="H2259" s="10" t="s">
        <v>1975</v>
      </c>
      <c r="I2259" s="10" t="s">
        <v>6713</v>
      </c>
      <c r="J2259" s="10" t="s">
        <v>6714</v>
      </c>
      <c r="K2259" s="10" t="s">
        <v>6728</v>
      </c>
      <c r="L2259" s="65" t="str">
        <f t="shared" si="178"/>
        <v>Laredo|United States of America|-99,507545|27,506407|-6:00 America</v>
      </c>
      <c r="M2259" s="10" t="s">
        <v>6818</v>
      </c>
      <c r="N2259" s="10">
        <f t="shared" si="175"/>
        <v>0</v>
      </c>
      <c r="O2259" t="str">
        <f t="shared" si="179"/>
        <v/>
      </c>
      <c r="P2259" t="str">
        <f>IF(O2259=1,COUNTIF($O$2:O2259,1),"")</f>
        <v/>
      </c>
      <c r="Q2259" t="str">
        <f>IFERROR(INDEX($M$2:$M$2388,MATCH(ROWS($P$2:P2259),$P$2:$P$2388,0)),"")</f>
        <v/>
      </c>
    </row>
    <row r="2260" spans="1:17" ht="15" x14ac:dyDescent="0.25">
      <c r="A2260" s="10">
        <v>2277</v>
      </c>
      <c r="B2260" s="10" t="s">
        <v>6819</v>
      </c>
      <c r="C2260" s="880">
        <f t="shared" si="176"/>
        <v>-115.13720000000001</v>
      </c>
      <c r="D2260" s="880">
        <f t="shared" si="177"/>
        <v>36.174900000000001</v>
      </c>
      <c r="E2260" s="10">
        <v>-115.13722199999999</v>
      </c>
      <c r="F2260" s="10">
        <v>36.174968999999997</v>
      </c>
      <c r="G2260" s="10">
        <v>-8</v>
      </c>
      <c r="H2260" s="10" t="s">
        <v>2402</v>
      </c>
      <c r="I2260" s="10" t="s">
        <v>6713</v>
      </c>
      <c r="J2260" s="10" t="s">
        <v>6714</v>
      </c>
      <c r="K2260" s="10" t="s">
        <v>6721</v>
      </c>
      <c r="L2260" s="65" t="str">
        <f t="shared" si="178"/>
        <v>Las Vegas|United States of America|-115,137222|36,174969|-8:00 America</v>
      </c>
      <c r="M2260" s="10" t="s">
        <v>6820</v>
      </c>
      <c r="N2260" s="10">
        <f t="shared" si="175"/>
        <v>0</v>
      </c>
      <c r="O2260" t="str">
        <f t="shared" si="179"/>
        <v/>
      </c>
      <c r="P2260" t="str">
        <f>IF(O2260=1,COUNTIF($O$2:O2260,1),"")</f>
        <v/>
      </c>
      <c r="Q2260" t="str">
        <f>IFERROR(INDEX($M$2:$M$2388,MATCH(ROWS($P$2:P2260),$P$2:$P$2388,0)),"")</f>
        <v/>
      </c>
    </row>
    <row r="2261" spans="1:17" ht="15" x14ac:dyDescent="0.25">
      <c r="A2261" s="10">
        <v>2192</v>
      </c>
      <c r="B2261" s="10" t="s">
        <v>6821</v>
      </c>
      <c r="C2261" s="880">
        <f t="shared" si="176"/>
        <v>-84.477699999999999</v>
      </c>
      <c r="D2261" s="880">
        <f t="shared" si="177"/>
        <v>37.988599999999998</v>
      </c>
      <c r="E2261" s="10">
        <v>-84.477715000000003</v>
      </c>
      <c r="F2261" s="10">
        <v>37.988689000000001</v>
      </c>
      <c r="G2261" s="10">
        <v>-5</v>
      </c>
      <c r="H2261" s="10" t="s">
        <v>1873</v>
      </c>
      <c r="I2261" s="10" t="s">
        <v>6713</v>
      </c>
      <c r="J2261" s="10" t="s">
        <v>6714</v>
      </c>
      <c r="K2261" s="10" t="s">
        <v>6763</v>
      </c>
      <c r="L2261" s="65" t="str">
        <f t="shared" si="178"/>
        <v>Lexington|United States of America|-84,477715|37,988689|-5:00 America</v>
      </c>
      <c r="M2261" s="10" t="s">
        <v>6822</v>
      </c>
      <c r="N2261" s="10">
        <f t="shared" si="175"/>
        <v>0</v>
      </c>
      <c r="O2261" t="str">
        <f t="shared" si="179"/>
        <v/>
      </c>
      <c r="P2261" t="str">
        <f>IF(O2261=1,COUNTIF($O$2:O2261,1),"")</f>
        <v/>
      </c>
      <c r="Q2261" t="str">
        <f>IFERROR(INDEX($M$2:$M$2388,MATCH(ROWS($P$2:P2261),$P$2:$P$2388,0)),"")</f>
        <v/>
      </c>
    </row>
    <row r="2262" spans="1:17" ht="15" x14ac:dyDescent="0.25">
      <c r="A2262" s="10">
        <v>2193</v>
      </c>
      <c r="B2262" s="10" t="s">
        <v>6823</v>
      </c>
      <c r="C2262" s="880">
        <f t="shared" si="176"/>
        <v>-84.458500000000001</v>
      </c>
      <c r="D2262" s="880">
        <f t="shared" si="177"/>
        <v>38.049799999999998</v>
      </c>
      <c r="E2262" s="10">
        <v>-84.458549000000005</v>
      </c>
      <c r="F2262" s="10">
        <v>38.049801000000002</v>
      </c>
      <c r="G2262" s="10">
        <v>-5</v>
      </c>
      <c r="H2262" s="10" t="s">
        <v>1873</v>
      </c>
      <c r="I2262" s="10" t="s">
        <v>6713</v>
      </c>
      <c r="J2262" s="10" t="s">
        <v>6714</v>
      </c>
      <c r="K2262" s="10" t="s">
        <v>6763</v>
      </c>
      <c r="L2262" s="65" t="str">
        <f t="shared" si="178"/>
        <v>Lexington-Fayette|United States of America|-84,458549|38,049801|-5:00 America</v>
      </c>
      <c r="M2262" s="10" t="s">
        <v>6824</v>
      </c>
      <c r="N2262" s="10">
        <f t="shared" si="175"/>
        <v>0</v>
      </c>
      <c r="O2262" t="str">
        <f t="shared" si="179"/>
        <v/>
      </c>
      <c r="P2262" t="str">
        <f>IF(O2262=1,COUNTIF($O$2:O2262,1),"")</f>
        <v/>
      </c>
      <c r="Q2262" t="str">
        <f>IFERROR(INDEX($M$2:$M$2388,MATCH(ROWS($P$2:P2262),$P$2:$P$2388,0)),"")</f>
        <v/>
      </c>
    </row>
    <row r="2263" spans="1:17" ht="15" x14ac:dyDescent="0.25">
      <c r="A2263" s="10">
        <v>2234</v>
      </c>
      <c r="B2263" s="10" t="s">
        <v>6825</v>
      </c>
      <c r="C2263" s="880">
        <f t="shared" si="176"/>
        <v>-96.666899999999998</v>
      </c>
      <c r="D2263" s="880">
        <f t="shared" si="177"/>
        <v>40.799900000000001</v>
      </c>
      <c r="E2263" s="10">
        <v>-96.666961999999998</v>
      </c>
      <c r="F2263" s="10">
        <v>40.799999</v>
      </c>
      <c r="G2263" s="10">
        <v>-6</v>
      </c>
      <c r="H2263" s="10" t="s">
        <v>1975</v>
      </c>
      <c r="I2263" s="10" t="s">
        <v>6713</v>
      </c>
      <c r="J2263" s="10" t="s">
        <v>6714</v>
      </c>
      <c r="K2263" s="10" t="s">
        <v>6728</v>
      </c>
      <c r="L2263" s="65" t="str">
        <f t="shared" si="178"/>
        <v>Lincoln|United States of America|-96,666962|40,799999|-6:00 America</v>
      </c>
      <c r="M2263" s="10" t="s">
        <v>6826</v>
      </c>
      <c r="N2263" s="10">
        <f t="shared" si="175"/>
        <v>0</v>
      </c>
      <c r="O2263" t="str">
        <f t="shared" si="179"/>
        <v/>
      </c>
      <c r="P2263" t="str">
        <f>IF(O2263=1,COUNTIF($O$2:O2263,1),"")</f>
        <v/>
      </c>
      <c r="Q2263" t="str">
        <f>IFERROR(INDEX($M$2:$M$2388,MATCH(ROWS($P$2:P2263),$P$2:$P$2388,0)),"")</f>
        <v/>
      </c>
    </row>
    <row r="2264" spans="1:17" ht="15" x14ac:dyDescent="0.25">
      <c r="A2264" s="10">
        <v>2259</v>
      </c>
      <c r="B2264" s="10" t="s">
        <v>6827</v>
      </c>
      <c r="C2264" s="880">
        <f t="shared" si="176"/>
        <v>-118.1892</v>
      </c>
      <c r="D2264" s="880">
        <f t="shared" si="177"/>
        <v>33.7669</v>
      </c>
      <c r="E2264" s="10">
        <v>-118.189232</v>
      </c>
      <c r="F2264" s="10">
        <v>33.766964000000002</v>
      </c>
      <c r="G2264" s="10">
        <v>-8</v>
      </c>
      <c r="H2264" s="10" t="s">
        <v>2402</v>
      </c>
      <c r="I2264" s="10" t="s">
        <v>6713</v>
      </c>
      <c r="J2264" s="10" t="s">
        <v>6714</v>
      </c>
      <c r="K2264" s="10" t="s">
        <v>6721</v>
      </c>
      <c r="L2264" s="65" t="str">
        <f t="shared" si="178"/>
        <v>Long Beach|United States of America|-118,189232|33,766964|-8:00 America</v>
      </c>
      <c r="M2264" s="10" t="s">
        <v>6828</v>
      </c>
      <c r="N2264" s="10">
        <f t="shared" si="175"/>
        <v>0</v>
      </c>
      <c r="O2264" t="str">
        <f t="shared" si="179"/>
        <v/>
      </c>
      <c r="P2264" t="str">
        <f>IF(O2264=1,COUNTIF($O$2:O2264,1),"")</f>
        <v/>
      </c>
      <c r="Q2264" t="str">
        <f>IFERROR(INDEX($M$2:$M$2388,MATCH(ROWS($P$2:P2264),$P$2:$P$2388,0)),"")</f>
        <v/>
      </c>
    </row>
    <row r="2265" spans="1:17" ht="15" x14ac:dyDescent="0.25">
      <c r="A2265" s="10">
        <v>2260</v>
      </c>
      <c r="B2265" s="10" t="s">
        <v>6829</v>
      </c>
      <c r="C2265" s="880">
        <f t="shared" si="176"/>
        <v>-118.2436</v>
      </c>
      <c r="D2265" s="880">
        <f t="shared" si="177"/>
        <v>34.052199999999999</v>
      </c>
      <c r="E2265" s="10">
        <v>-118.243683</v>
      </c>
      <c r="F2265" s="10">
        <v>34.052235000000003</v>
      </c>
      <c r="G2265" s="10">
        <v>-8</v>
      </c>
      <c r="H2265" s="10" t="s">
        <v>2402</v>
      </c>
      <c r="I2265" s="10" t="s">
        <v>6713</v>
      </c>
      <c r="J2265" s="10" t="s">
        <v>6714</v>
      </c>
      <c r="K2265" s="10" t="s">
        <v>6721</v>
      </c>
      <c r="L2265" s="65" t="str">
        <f t="shared" si="178"/>
        <v>Los Angeles|United States of America|-118,243683|34,052235|-8:00 America</v>
      </c>
      <c r="M2265" s="10" t="s">
        <v>6830</v>
      </c>
      <c r="N2265" s="10">
        <f t="shared" si="175"/>
        <v>0</v>
      </c>
      <c r="O2265" t="str">
        <f t="shared" si="179"/>
        <v/>
      </c>
      <c r="P2265" t="str">
        <f>IF(O2265=1,COUNTIF($O$2:O2265,1),"")</f>
        <v/>
      </c>
      <c r="Q2265" t="str">
        <f>IFERROR(INDEX($M$2:$M$2388,MATCH(ROWS($P$2:P2265),$P$2:$P$2388,0)),"")</f>
        <v/>
      </c>
    </row>
    <row r="2266" spans="1:17" ht="15" x14ac:dyDescent="0.25">
      <c r="A2266" s="10">
        <v>2194</v>
      </c>
      <c r="B2266" s="10" t="s">
        <v>6831</v>
      </c>
      <c r="C2266" s="880">
        <f t="shared" si="176"/>
        <v>-85.759399999999999</v>
      </c>
      <c r="D2266" s="880">
        <f t="shared" si="177"/>
        <v>38.254199999999997</v>
      </c>
      <c r="E2266" s="10">
        <v>-85.759406999999996</v>
      </c>
      <c r="F2266" s="10">
        <v>38.254238000000001</v>
      </c>
      <c r="G2266" s="10">
        <v>-5</v>
      </c>
      <c r="H2266" s="10" t="s">
        <v>1873</v>
      </c>
      <c r="I2266" s="10" t="s">
        <v>6713</v>
      </c>
      <c r="J2266" s="10" t="s">
        <v>6714</v>
      </c>
      <c r="K2266" s="10" t="s">
        <v>6832</v>
      </c>
      <c r="L2266" s="65" t="str">
        <f t="shared" si="178"/>
        <v>Louisville|United States of America|-85,759407|38,254238|-5:00 America</v>
      </c>
      <c r="M2266" s="10" t="s">
        <v>6833</v>
      </c>
      <c r="N2266" s="10">
        <f t="shared" si="175"/>
        <v>0</v>
      </c>
      <c r="O2266" t="str">
        <f t="shared" si="179"/>
        <v/>
      </c>
      <c r="P2266" t="str">
        <f>IF(O2266=1,COUNTIF($O$2:O2266,1),"")</f>
        <v/>
      </c>
      <c r="Q2266" t="str">
        <f>IFERROR(INDEX($M$2:$M$2388,MATCH(ROWS($P$2:P2266),$P$2:$P$2388,0)),"")</f>
        <v/>
      </c>
    </row>
    <row r="2267" spans="1:17" ht="15" x14ac:dyDescent="0.25">
      <c r="A2267" s="10">
        <v>2281</v>
      </c>
      <c r="B2267" s="10" t="s">
        <v>6834</v>
      </c>
      <c r="C2267" s="880">
        <f t="shared" si="176"/>
        <v>-101.85509999999999</v>
      </c>
      <c r="D2267" s="880">
        <f t="shared" si="177"/>
        <v>33.577800000000003</v>
      </c>
      <c r="E2267" s="10">
        <v>-101.855164</v>
      </c>
      <c r="F2267" s="10">
        <v>33.577862000000003</v>
      </c>
      <c r="G2267" s="10">
        <v>-6</v>
      </c>
      <c r="H2267" s="10" t="s">
        <v>1975</v>
      </c>
      <c r="I2267" s="10" t="s">
        <v>6713</v>
      </c>
      <c r="J2267" s="10" t="s">
        <v>6714</v>
      </c>
      <c r="K2267" s="10" t="s">
        <v>6835</v>
      </c>
      <c r="L2267" s="65" t="str">
        <f t="shared" si="178"/>
        <v>Lubbock|United States of America|-101,855164|33,577862|-6:00 America</v>
      </c>
      <c r="M2267" s="10" t="s">
        <v>6836</v>
      </c>
      <c r="N2267" s="10">
        <f t="shared" si="175"/>
        <v>0</v>
      </c>
      <c r="O2267" t="str">
        <f t="shared" si="179"/>
        <v/>
      </c>
      <c r="P2267" t="str">
        <f>IF(O2267=1,COUNTIF($O$2:O2267,1),"")</f>
        <v/>
      </c>
      <c r="Q2267" t="str">
        <f>IFERROR(INDEX($M$2:$M$2388,MATCH(ROWS($P$2:P2267),$P$2:$P$2388,0)),"")</f>
        <v/>
      </c>
    </row>
    <row r="2268" spans="1:17" ht="15" x14ac:dyDescent="0.25">
      <c r="A2268" s="10">
        <v>2245</v>
      </c>
      <c r="B2268" s="10" t="s">
        <v>6837</v>
      </c>
      <c r="C2268" s="880">
        <f t="shared" si="176"/>
        <v>-89.401200000000003</v>
      </c>
      <c r="D2268" s="880">
        <f t="shared" si="177"/>
        <v>43.073</v>
      </c>
      <c r="E2268" s="10">
        <v>-89.401229999999998</v>
      </c>
      <c r="F2268" s="10">
        <v>43.073051</v>
      </c>
      <c r="G2268" s="10">
        <v>-6</v>
      </c>
      <c r="H2268" s="10" t="s">
        <v>1975</v>
      </c>
      <c r="I2268" s="10" t="s">
        <v>6713</v>
      </c>
      <c r="J2268" s="10" t="s">
        <v>6714</v>
      </c>
      <c r="K2268" s="10" t="s">
        <v>6728</v>
      </c>
      <c r="L2268" s="65" t="str">
        <f t="shared" si="178"/>
        <v>Madison|United States of America|-89,401230|43,073051|-6:00 America</v>
      </c>
      <c r="M2268" s="10" t="s">
        <v>6838</v>
      </c>
      <c r="N2268" s="10">
        <f t="shared" si="175"/>
        <v>0</v>
      </c>
      <c r="O2268" t="str">
        <f t="shared" si="179"/>
        <v/>
      </c>
      <c r="P2268" t="str">
        <f>IF(O2268=1,COUNTIF($O$2:O2268,1),"")</f>
        <v/>
      </c>
      <c r="Q2268" t="str">
        <f>IFERROR(INDEX($M$2:$M$2388,MATCH(ROWS($P$2:P2268),$P$2:$P$2388,0)),"")</f>
        <v/>
      </c>
    </row>
    <row r="2269" spans="1:17" ht="15" x14ac:dyDescent="0.25">
      <c r="A2269" s="10">
        <v>2212</v>
      </c>
      <c r="B2269" s="10" t="s">
        <v>6839</v>
      </c>
      <c r="C2269" s="880">
        <f t="shared" si="176"/>
        <v>-90.048900000000003</v>
      </c>
      <c r="D2269" s="880">
        <f t="shared" si="177"/>
        <v>35.149500000000003</v>
      </c>
      <c r="E2269" s="10">
        <v>-90.048980999999998</v>
      </c>
      <c r="F2269" s="10">
        <v>35.149535999999998</v>
      </c>
      <c r="G2269" s="10">
        <v>-6</v>
      </c>
      <c r="H2269" s="10" t="s">
        <v>1975</v>
      </c>
      <c r="I2269" s="10" t="s">
        <v>6713</v>
      </c>
      <c r="J2269" s="10" t="s">
        <v>6714</v>
      </c>
      <c r="K2269" s="10" t="s">
        <v>6744</v>
      </c>
      <c r="L2269" s="65" t="str">
        <f t="shared" si="178"/>
        <v>Memphis|United States of America|-90,048981|35,149536|-6:00 America</v>
      </c>
      <c r="M2269" s="10" t="s">
        <v>6840</v>
      </c>
      <c r="N2269" s="10">
        <f t="shared" si="175"/>
        <v>0</v>
      </c>
      <c r="O2269" t="str">
        <f t="shared" si="179"/>
        <v/>
      </c>
      <c r="P2269" t="str">
        <f>IF(O2269=1,COUNTIF($O$2:O2269,1),"")</f>
        <v/>
      </c>
      <c r="Q2269" t="str">
        <f>IFERROR(INDEX($M$2:$M$2388,MATCH(ROWS($P$2:P2269),$P$2:$P$2388,0)),"")</f>
        <v/>
      </c>
    </row>
    <row r="2270" spans="1:17" ht="15" x14ac:dyDescent="0.25">
      <c r="A2270" s="10">
        <v>2249</v>
      </c>
      <c r="B2270" s="10" t="s">
        <v>77</v>
      </c>
      <c r="C2270" s="880">
        <f t="shared" si="176"/>
        <v>-111.82259999999999</v>
      </c>
      <c r="D2270" s="880">
        <f t="shared" si="177"/>
        <v>33.422199999999997</v>
      </c>
      <c r="E2270" s="10">
        <v>-111.822639</v>
      </c>
      <c r="F2270" s="10">
        <v>33.422268000000003</v>
      </c>
      <c r="G2270" s="10">
        <v>-7</v>
      </c>
      <c r="H2270" s="10" t="s">
        <v>2411</v>
      </c>
      <c r="I2270" s="10" t="s">
        <v>6713</v>
      </c>
      <c r="J2270" s="10" t="s">
        <v>6714</v>
      </c>
      <c r="K2270" s="10" t="s">
        <v>6754</v>
      </c>
      <c r="L2270" s="65" t="str">
        <f t="shared" si="178"/>
        <v>Mesa|United States of America|-111,822639|33,422268|-7:00 America</v>
      </c>
      <c r="M2270" s="10" t="s">
        <v>6841</v>
      </c>
      <c r="N2270" s="10">
        <f t="shared" si="175"/>
        <v>0</v>
      </c>
      <c r="O2270" t="str">
        <f t="shared" si="179"/>
        <v/>
      </c>
      <c r="P2270" t="str">
        <f>IF(O2270=1,COUNTIF($O$2:O2270,1),"")</f>
        <v/>
      </c>
      <c r="Q2270" t="str">
        <f>IFERROR(INDEX($M$2:$M$2388,MATCH(ROWS($P$2:P2270),$P$2:$P$2388,0)),"")</f>
        <v/>
      </c>
    </row>
    <row r="2271" spans="1:17" ht="15" x14ac:dyDescent="0.25">
      <c r="A2271" s="10">
        <v>2252</v>
      </c>
      <c r="B2271" s="10" t="s">
        <v>77</v>
      </c>
      <c r="C2271" s="880">
        <f t="shared" si="176"/>
        <v>-111.7495</v>
      </c>
      <c r="D2271" s="880">
        <f t="shared" si="177"/>
        <v>33.401699999999998</v>
      </c>
      <c r="E2271" s="10">
        <v>-111.74957999999999</v>
      </c>
      <c r="F2271" s="10">
        <v>33.401713999999998</v>
      </c>
      <c r="G2271" s="10">
        <v>-7</v>
      </c>
      <c r="H2271" s="10" t="s">
        <v>2411</v>
      </c>
      <c r="I2271" s="10" t="s">
        <v>6713</v>
      </c>
      <c r="J2271" s="10" t="s">
        <v>6714</v>
      </c>
      <c r="K2271" s="10" t="s">
        <v>6754</v>
      </c>
      <c r="L2271" s="65" t="str">
        <f t="shared" si="178"/>
        <v>Mesa|United States of America|-111,749580|33,401714|-7:00 America</v>
      </c>
      <c r="M2271" s="10" t="s">
        <v>6842</v>
      </c>
      <c r="N2271" s="10">
        <f t="shared" si="175"/>
        <v>0</v>
      </c>
      <c r="O2271" t="str">
        <f t="shared" si="179"/>
        <v/>
      </c>
      <c r="P2271" t="str">
        <f>IF(O2271=1,COUNTIF($O$2:O2271,1),"")</f>
        <v/>
      </c>
      <c r="Q2271" t="str">
        <f>IFERROR(INDEX($M$2:$M$2388,MATCH(ROWS($P$2:P2271),$P$2:$P$2388,0)),"")</f>
        <v/>
      </c>
    </row>
    <row r="2272" spans="1:17" ht="15" x14ac:dyDescent="0.25">
      <c r="A2272" s="10">
        <v>2185</v>
      </c>
      <c r="B2272" s="10" t="s">
        <v>6843</v>
      </c>
      <c r="C2272" s="880">
        <f t="shared" si="176"/>
        <v>-80.193600000000004</v>
      </c>
      <c r="D2272" s="880">
        <f t="shared" si="177"/>
        <v>25.7742</v>
      </c>
      <c r="E2272" s="10">
        <v>-80.193657000000002</v>
      </c>
      <c r="F2272" s="10">
        <v>25.774265</v>
      </c>
      <c r="G2272" s="10">
        <v>-5</v>
      </c>
      <c r="H2272" s="10" t="s">
        <v>1873</v>
      </c>
      <c r="I2272" s="10" t="s">
        <v>6713</v>
      </c>
      <c r="J2272" s="10" t="s">
        <v>6714</v>
      </c>
      <c r="K2272" s="10" t="s">
        <v>6731</v>
      </c>
      <c r="L2272" s="65" t="str">
        <f t="shared" si="178"/>
        <v>Miami|United States of America|-80,193657|25,774265|-5:00 America</v>
      </c>
      <c r="M2272" s="10" t="s">
        <v>6844</v>
      </c>
      <c r="N2272" s="10">
        <f t="shared" si="175"/>
        <v>0</v>
      </c>
      <c r="O2272" t="str">
        <f t="shared" si="179"/>
        <v/>
      </c>
      <c r="P2272" t="str">
        <f>IF(O2272=1,COUNTIF($O$2:O2272,1),"")</f>
        <v/>
      </c>
      <c r="Q2272" t="str">
        <f>IFERROR(INDEX($M$2:$M$2388,MATCH(ROWS($P$2:P2272),$P$2:$P$2388,0)),"")</f>
        <v/>
      </c>
    </row>
    <row r="2273" spans="1:17" ht="15" x14ac:dyDescent="0.25">
      <c r="A2273" s="10">
        <v>2246</v>
      </c>
      <c r="B2273" s="10" t="s">
        <v>6845</v>
      </c>
      <c r="C2273" s="880">
        <f t="shared" si="176"/>
        <v>-87.906400000000005</v>
      </c>
      <c r="D2273" s="880">
        <f t="shared" si="177"/>
        <v>43.038899999999998</v>
      </c>
      <c r="E2273" s="10">
        <v>-87.906470999999996</v>
      </c>
      <c r="F2273" s="10">
        <v>43.038902</v>
      </c>
      <c r="G2273" s="10">
        <v>-6</v>
      </c>
      <c r="H2273" s="10" t="s">
        <v>1975</v>
      </c>
      <c r="I2273" s="10" t="s">
        <v>6713</v>
      </c>
      <c r="J2273" s="10" t="s">
        <v>6714</v>
      </c>
      <c r="K2273" s="10" t="s">
        <v>6728</v>
      </c>
      <c r="L2273" s="65" t="str">
        <f t="shared" si="178"/>
        <v>Milwaukee|United States of America|-87,906471|43,038902|-6:00 America</v>
      </c>
      <c r="M2273" s="10" t="s">
        <v>6846</v>
      </c>
      <c r="N2273" s="10">
        <f t="shared" si="175"/>
        <v>0</v>
      </c>
      <c r="O2273" t="str">
        <f t="shared" si="179"/>
        <v/>
      </c>
      <c r="P2273" t="str">
        <f>IF(O2273=1,COUNTIF($O$2:O2273,1),"")</f>
        <v/>
      </c>
      <c r="Q2273" t="str">
        <f>IFERROR(INDEX($M$2:$M$2388,MATCH(ROWS($P$2:P2273),$P$2:$P$2388,0)),"")</f>
        <v/>
      </c>
    </row>
    <row r="2274" spans="1:17" ht="15" x14ac:dyDescent="0.25">
      <c r="A2274" s="10">
        <v>2232</v>
      </c>
      <c r="B2274" s="10" t="s">
        <v>6847</v>
      </c>
      <c r="C2274" s="880">
        <f t="shared" si="176"/>
        <v>-93.263800000000003</v>
      </c>
      <c r="D2274" s="880">
        <f t="shared" si="177"/>
        <v>44.979900000000001</v>
      </c>
      <c r="E2274" s="10">
        <v>-93.263840000000002</v>
      </c>
      <c r="F2274" s="10">
        <v>44.979965</v>
      </c>
      <c r="G2274" s="10">
        <v>-6</v>
      </c>
      <c r="H2274" s="10" t="s">
        <v>1975</v>
      </c>
      <c r="I2274" s="10" t="s">
        <v>6713</v>
      </c>
      <c r="J2274" s="10" t="s">
        <v>6714</v>
      </c>
      <c r="K2274" s="10" t="s">
        <v>6848</v>
      </c>
      <c r="L2274" s="65" t="str">
        <f t="shared" si="178"/>
        <v>Minneapolis|United States of America|-93,263840|44,979965|-6:00 America</v>
      </c>
      <c r="M2274" s="10" t="s">
        <v>6849</v>
      </c>
      <c r="N2274" s="10">
        <f t="shared" si="175"/>
        <v>0</v>
      </c>
      <c r="O2274" t="str">
        <f t="shared" si="179"/>
        <v/>
      </c>
      <c r="P2274" t="str">
        <f>IF(O2274=1,COUNTIF($O$2:O2274,1),"")</f>
        <v/>
      </c>
      <c r="Q2274" t="str">
        <f>IFERROR(INDEX($M$2:$M$2388,MATCH(ROWS($P$2:P2274),$P$2:$P$2388,0)),"")</f>
        <v/>
      </c>
    </row>
    <row r="2275" spans="1:17" ht="15" x14ac:dyDescent="0.25">
      <c r="A2275" s="10">
        <v>2261</v>
      </c>
      <c r="B2275" s="10" t="s">
        <v>6850</v>
      </c>
      <c r="C2275" s="880">
        <f t="shared" si="176"/>
        <v>-120.99679999999999</v>
      </c>
      <c r="D2275" s="880">
        <f t="shared" si="177"/>
        <v>37.639000000000003</v>
      </c>
      <c r="E2275" s="10">
        <v>-120.99688</v>
      </c>
      <c r="F2275" s="10">
        <v>37.639094999999998</v>
      </c>
      <c r="G2275" s="10">
        <v>-8</v>
      </c>
      <c r="H2275" s="10" t="s">
        <v>2402</v>
      </c>
      <c r="I2275" s="10" t="s">
        <v>6713</v>
      </c>
      <c r="J2275" s="10" t="s">
        <v>6714</v>
      </c>
      <c r="K2275" s="10" t="s">
        <v>6721</v>
      </c>
      <c r="L2275" s="65" t="str">
        <f t="shared" si="178"/>
        <v>Modesto|United States of America|-120,996880|37,639095|-8:00 America</v>
      </c>
      <c r="M2275" s="10" t="s">
        <v>6851</v>
      </c>
      <c r="N2275" s="10">
        <f t="shared" si="175"/>
        <v>0</v>
      </c>
      <c r="O2275" t="str">
        <f t="shared" si="179"/>
        <v/>
      </c>
      <c r="P2275" t="str">
        <f>IF(O2275=1,COUNTIF($O$2:O2275,1),"")</f>
        <v/>
      </c>
      <c r="Q2275" t="str">
        <f>IFERROR(INDEX($M$2:$M$2388,MATCH(ROWS($P$2:P2275),$P$2:$P$2388,0)),"")</f>
        <v/>
      </c>
    </row>
    <row r="2276" spans="1:17" ht="15" x14ac:dyDescent="0.25">
      <c r="A2276" s="10">
        <v>2213</v>
      </c>
      <c r="B2276" s="10" t="s">
        <v>6852</v>
      </c>
      <c r="C2276" s="880">
        <f t="shared" si="176"/>
        <v>-86.784400000000005</v>
      </c>
      <c r="D2276" s="880">
        <f t="shared" si="177"/>
        <v>36.165799999999997</v>
      </c>
      <c r="E2276" s="10">
        <v>-86.784447</v>
      </c>
      <c r="F2276" s="10">
        <v>36.165889999999997</v>
      </c>
      <c r="G2276" s="10">
        <v>-6</v>
      </c>
      <c r="H2276" s="10" t="s">
        <v>1975</v>
      </c>
      <c r="I2276" s="10" t="s">
        <v>6713</v>
      </c>
      <c r="J2276" s="10" t="s">
        <v>6714</v>
      </c>
      <c r="K2276" s="10" t="s">
        <v>6744</v>
      </c>
      <c r="L2276" s="65" t="str">
        <f t="shared" si="178"/>
        <v>Nashville|United States of America|-86,784447|36,165890|-6:00 America</v>
      </c>
      <c r="M2276" s="10" t="s">
        <v>6853</v>
      </c>
      <c r="N2276" s="10">
        <f t="shared" si="175"/>
        <v>0</v>
      </c>
      <c r="O2276" t="str">
        <f t="shared" si="179"/>
        <v/>
      </c>
      <c r="P2276" t="str">
        <f>IF(O2276=1,COUNTIF($O$2:O2276,1),"")</f>
        <v/>
      </c>
      <c r="Q2276" t="str">
        <f>IFERROR(INDEX($M$2:$M$2388,MATCH(ROWS($P$2:P2276),$P$2:$P$2388,0)),"")</f>
        <v/>
      </c>
    </row>
    <row r="2277" spans="1:17" ht="15" x14ac:dyDescent="0.25">
      <c r="A2277" s="10">
        <v>2196</v>
      </c>
      <c r="B2277" s="10" t="s">
        <v>6854</v>
      </c>
      <c r="C2277" s="880">
        <f t="shared" si="176"/>
        <v>-90.075000000000003</v>
      </c>
      <c r="D2277" s="880">
        <f t="shared" si="177"/>
        <v>29.954599999999999</v>
      </c>
      <c r="E2277" s="10">
        <v>-90.075073000000003</v>
      </c>
      <c r="F2277" s="10">
        <v>29.954649</v>
      </c>
      <c r="G2277" s="10">
        <v>-6</v>
      </c>
      <c r="H2277" s="10" t="s">
        <v>1975</v>
      </c>
      <c r="I2277" s="10" t="s">
        <v>6713</v>
      </c>
      <c r="J2277" s="10" t="s">
        <v>6714</v>
      </c>
      <c r="K2277" s="10" t="s">
        <v>6744</v>
      </c>
      <c r="L2277" s="65" t="str">
        <f t="shared" si="178"/>
        <v>New Orleans|United States of America|-90,075073|29,954649|-6:00 America</v>
      </c>
      <c r="M2277" s="10" t="s">
        <v>6855</v>
      </c>
      <c r="N2277" s="10">
        <f t="shared" si="175"/>
        <v>0</v>
      </c>
      <c r="O2277" t="str">
        <f t="shared" si="179"/>
        <v/>
      </c>
      <c r="P2277" t="str">
        <f>IF(O2277=1,COUNTIF($O$2:O2277,1),"")</f>
        <v/>
      </c>
      <c r="Q2277" t="str">
        <f>IFERROR(INDEX($M$2:$M$2388,MATCH(ROWS($P$2:P2277),$P$2:$P$2388,0)),"")</f>
        <v/>
      </c>
    </row>
    <row r="2278" spans="1:17" ht="15" x14ac:dyDescent="0.25">
      <c r="A2278" s="10">
        <v>2214</v>
      </c>
      <c r="B2278" s="10" t="s">
        <v>6856</v>
      </c>
      <c r="C2278" s="880">
        <f t="shared" si="176"/>
        <v>-90.056700000000006</v>
      </c>
      <c r="D2278" s="880">
        <f t="shared" si="177"/>
        <v>35.0867</v>
      </c>
      <c r="E2278" s="10">
        <v>-90.056754999999995</v>
      </c>
      <c r="F2278" s="10">
        <v>35.086758000000003</v>
      </c>
      <c r="G2278" s="10">
        <v>-6</v>
      </c>
      <c r="H2278" s="10" t="s">
        <v>1975</v>
      </c>
      <c r="I2278" s="10" t="s">
        <v>6713</v>
      </c>
      <c r="J2278" s="10" t="s">
        <v>6714</v>
      </c>
      <c r="K2278" s="10" t="s">
        <v>6744</v>
      </c>
      <c r="L2278" s="65" t="str">
        <f t="shared" si="178"/>
        <v>New South Memphis|United States of America|-90,056755|35,086758|-6:00 America</v>
      </c>
      <c r="M2278" s="10" t="s">
        <v>6857</v>
      </c>
      <c r="N2278" s="10">
        <f t="shared" si="175"/>
        <v>0</v>
      </c>
      <c r="O2278" t="str">
        <f t="shared" si="179"/>
        <v/>
      </c>
      <c r="P2278" t="str">
        <f>IF(O2278=1,COUNTIF($O$2:O2278,1),"")</f>
        <v/>
      </c>
      <c r="Q2278" t="str">
        <f>IFERROR(INDEX($M$2:$M$2388,MATCH(ROWS($P$2:P2278),$P$2:$P$2388,0)),"")</f>
        <v/>
      </c>
    </row>
    <row r="2279" spans="1:17" ht="15" x14ac:dyDescent="0.25">
      <c r="A2279" s="10">
        <v>2239</v>
      </c>
      <c r="B2279" s="10" t="s">
        <v>6858</v>
      </c>
      <c r="C2279" s="880">
        <f t="shared" si="176"/>
        <v>-74.005899999999997</v>
      </c>
      <c r="D2279" s="880">
        <f t="shared" si="177"/>
        <v>40.714199999999998</v>
      </c>
      <c r="E2279" s="10">
        <v>-74.005973999999995</v>
      </c>
      <c r="F2279" s="10">
        <v>40.714267999999997</v>
      </c>
      <c r="G2279" s="10">
        <v>-5</v>
      </c>
      <c r="H2279" s="10" t="s">
        <v>1873</v>
      </c>
      <c r="I2279" s="10" t="s">
        <v>6713</v>
      </c>
      <c r="J2279" s="10" t="s">
        <v>6714</v>
      </c>
      <c r="K2279" s="10" t="s">
        <v>6741</v>
      </c>
      <c r="L2279" s="65" t="str">
        <f t="shared" si="178"/>
        <v>New York City|United States of America|-74,005974|40,714268|-5:00 America</v>
      </c>
      <c r="M2279" s="10" t="s">
        <v>6859</v>
      </c>
      <c r="N2279" s="10">
        <f t="shared" si="175"/>
        <v>0</v>
      </c>
      <c r="O2279" t="str">
        <f t="shared" si="179"/>
        <v/>
      </c>
      <c r="P2279" t="str">
        <f>IF(O2279=1,COUNTIF($O$2:O2279,1),"")</f>
        <v/>
      </c>
      <c r="Q2279" t="str">
        <f>IFERROR(INDEX($M$2:$M$2388,MATCH(ROWS($P$2:P2279),$P$2:$P$2388,0)),"")</f>
        <v/>
      </c>
    </row>
    <row r="2280" spans="1:17" ht="15" x14ac:dyDescent="0.25">
      <c r="A2280" s="10">
        <v>2237</v>
      </c>
      <c r="B2280" s="10" t="s">
        <v>6860</v>
      </c>
      <c r="C2280" s="880">
        <f t="shared" si="176"/>
        <v>-74.172300000000007</v>
      </c>
      <c r="D2280" s="880">
        <f t="shared" si="177"/>
        <v>40.735599999999998</v>
      </c>
      <c r="E2280" s="10">
        <v>-74.172363000000004</v>
      </c>
      <c r="F2280" s="10">
        <v>40.735657000000003</v>
      </c>
      <c r="G2280" s="10">
        <v>-5</v>
      </c>
      <c r="H2280" s="10" t="s">
        <v>1873</v>
      </c>
      <c r="I2280" s="10" t="s">
        <v>6713</v>
      </c>
      <c r="J2280" s="10" t="s">
        <v>6714</v>
      </c>
      <c r="K2280" s="10" t="s">
        <v>6741</v>
      </c>
      <c r="L2280" s="65" t="str">
        <f t="shared" si="178"/>
        <v>Newark|United States of America|-74,172363|40,735657|-5:00 America</v>
      </c>
      <c r="M2280" s="10" t="s">
        <v>6861</v>
      </c>
      <c r="N2280" s="10">
        <f t="shared" si="175"/>
        <v>0</v>
      </c>
      <c r="O2280" t="str">
        <f t="shared" si="179"/>
        <v/>
      </c>
      <c r="P2280" t="str">
        <f>IF(O2280=1,COUNTIF($O$2:O2280,1),"")</f>
        <v/>
      </c>
      <c r="Q2280" t="str">
        <f>IFERROR(INDEX($M$2:$M$2388,MATCH(ROWS($P$2:P2280),$P$2:$P$2388,0)),"")</f>
        <v/>
      </c>
    </row>
    <row r="2281" spans="1:17" ht="15" x14ac:dyDescent="0.25">
      <c r="A2281" s="10">
        <v>2225</v>
      </c>
      <c r="B2281" s="10" t="s">
        <v>6862</v>
      </c>
      <c r="C2281" s="880">
        <f t="shared" si="176"/>
        <v>-76.285200000000003</v>
      </c>
      <c r="D2281" s="880">
        <f t="shared" si="177"/>
        <v>36.846800000000002</v>
      </c>
      <c r="E2281" s="10">
        <v>-76.285217000000003</v>
      </c>
      <c r="F2281" s="10">
        <v>36.846812999999997</v>
      </c>
      <c r="G2281" s="10">
        <v>-5</v>
      </c>
      <c r="H2281" s="10" t="s">
        <v>1873</v>
      </c>
      <c r="I2281" s="10" t="s">
        <v>6713</v>
      </c>
      <c r="J2281" s="10" t="s">
        <v>6714</v>
      </c>
      <c r="K2281" s="10" t="s">
        <v>6741</v>
      </c>
      <c r="L2281" s="65" t="str">
        <f t="shared" si="178"/>
        <v>Norfolk|United States of America|-76,285217|36,846813|-5:00 America</v>
      </c>
      <c r="M2281" s="10" t="s">
        <v>6863</v>
      </c>
      <c r="N2281" s="10">
        <f t="shared" si="175"/>
        <v>0</v>
      </c>
      <c r="O2281" t="str">
        <f t="shared" si="179"/>
        <v/>
      </c>
      <c r="P2281" t="str">
        <f>IF(O2281=1,COUNTIF($O$2:O2281,1),"")</f>
        <v/>
      </c>
      <c r="Q2281" t="str">
        <f>IFERROR(INDEX($M$2:$M$2388,MATCH(ROWS($P$2:P2281),$P$2:$P$2388,0)),"")</f>
        <v/>
      </c>
    </row>
    <row r="2282" spans="1:17" ht="15" x14ac:dyDescent="0.25">
      <c r="A2282" s="10">
        <v>2262</v>
      </c>
      <c r="B2282" s="10" t="s">
        <v>6864</v>
      </c>
      <c r="C2282" s="880">
        <f t="shared" si="176"/>
        <v>-118.2645</v>
      </c>
      <c r="D2282" s="880">
        <f t="shared" si="177"/>
        <v>34.160499999999999</v>
      </c>
      <c r="E2282" s="10">
        <v>-118.26451900000001</v>
      </c>
      <c r="F2282" s="10">
        <v>34.160564000000001</v>
      </c>
      <c r="G2282" s="10">
        <v>-8</v>
      </c>
      <c r="H2282" s="10" t="s">
        <v>2402</v>
      </c>
      <c r="I2282" s="10" t="s">
        <v>6713</v>
      </c>
      <c r="J2282" s="10" t="s">
        <v>6714</v>
      </c>
      <c r="K2282" s="10" t="s">
        <v>6721</v>
      </c>
      <c r="L2282" s="65" t="str">
        <f t="shared" si="178"/>
        <v>North Glendale|United States of America|-118,264519|34,160564|-8:00 America</v>
      </c>
      <c r="M2282" s="10" t="s">
        <v>6865</v>
      </c>
      <c r="N2282" s="10">
        <f t="shared" si="175"/>
        <v>0</v>
      </c>
      <c r="O2282" t="str">
        <f t="shared" si="179"/>
        <v/>
      </c>
      <c r="P2282" t="str">
        <f>IF(O2282=1,COUNTIF($O$2:O2282,1),"")</f>
        <v/>
      </c>
      <c r="Q2282" t="str">
        <f>IFERROR(INDEX($M$2:$M$2388,MATCH(ROWS($P$2:P2282),$P$2:$P$2388,0)),"")</f>
        <v/>
      </c>
    </row>
    <row r="2283" spans="1:17" ht="15" x14ac:dyDescent="0.25">
      <c r="A2283" s="10">
        <v>2200</v>
      </c>
      <c r="B2283" s="10" t="s">
        <v>6866</v>
      </c>
      <c r="C2283" s="880">
        <f t="shared" si="176"/>
        <v>-94.562100000000001</v>
      </c>
      <c r="D2283" s="880">
        <f t="shared" si="177"/>
        <v>39.130000000000003</v>
      </c>
      <c r="E2283" s="10">
        <v>-94.562179999999998</v>
      </c>
      <c r="F2283" s="10">
        <v>39.130004999999997</v>
      </c>
      <c r="G2283" s="10">
        <v>-6</v>
      </c>
      <c r="H2283" s="10" t="s">
        <v>1975</v>
      </c>
      <c r="I2283" s="10" t="s">
        <v>6713</v>
      </c>
      <c r="J2283" s="10" t="s">
        <v>6714</v>
      </c>
      <c r="K2283" s="10" t="s">
        <v>6728</v>
      </c>
      <c r="L2283" s="65" t="str">
        <f t="shared" si="178"/>
        <v>North Kansas City|United States of America|-94,562180|39,130005|-6:00 America</v>
      </c>
      <c r="M2283" s="10" t="s">
        <v>6867</v>
      </c>
      <c r="N2283" s="10">
        <f t="shared" si="175"/>
        <v>0</v>
      </c>
      <c r="O2283" t="str">
        <f t="shared" si="179"/>
        <v/>
      </c>
      <c r="P2283" t="str">
        <f>IF(O2283=1,COUNTIF($O$2:O2283,1),"")</f>
        <v/>
      </c>
      <c r="Q2283" t="str">
        <f>IFERROR(INDEX($M$2:$M$2388,MATCH(ROWS($P$2:P2283),$P$2:$P$2388,0)),"")</f>
        <v/>
      </c>
    </row>
    <row r="2284" spans="1:17" ht="15" x14ac:dyDescent="0.25">
      <c r="A2284" s="10">
        <v>2263</v>
      </c>
      <c r="B2284" s="10" t="s">
        <v>6868</v>
      </c>
      <c r="C2284" s="880">
        <f t="shared" si="176"/>
        <v>-122.27079999999999</v>
      </c>
      <c r="D2284" s="880">
        <f t="shared" si="177"/>
        <v>37.804299999999998</v>
      </c>
      <c r="E2284" s="10">
        <v>-122.270805</v>
      </c>
      <c r="F2284" s="10">
        <v>37.804371000000003</v>
      </c>
      <c r="G2284" s="10">
        <v>-8</v>
      </c>
      <c r="H2284" s="10" t="s">
        <v>2402</v>
      </c>
      <c r="I2284" s="10" t="s">
        <v>6713</v>
      </c>
      <c r="J2284" s="10" t="s">
        <v>6714</v>
      </c>
      <c r="K2284" s="10" t="s">
        <v>6721</v>
      </c>
      <c r="L2284" s="65" t="str">
        <f t="shared" si="178"/>
        <v>Oakland|United States of America|-122,270805|37,804371|-8:00 America</v>
      </c>
      <c r="M2284" s="10" t="s">
        <v>6869</v>
      </c>
      <c r="N2284" s="10">
        <f t="shared" si="175"/>
        <v>0</v>
      </c>
      <c r="O2284" t="str">
        <f t="shared" si="179"/>
        <v/>
      </c>
      <c r="P2284" t="str">
        <f>IF(O2284=1,COUNTIF($O$2:O2284,1),"")</f>
        <v/>
      </c>
      <c r="Q2284" t="str">
        <f>IFERROR(INDEX($M$2:$M$2388,MATCH(ROWS($P$2:P2284),$P$2:$P$2388,0)),"")</f>
        <v/>
      </c>
    </row>
    <row r="2285" spans="1:17" ht="15" x14ac:dyDescent="0.25">
      <c r="A2285" s="10">
        <v>2209</v>
      </c>
      <c r="B2285" s="10" t="s">
        <v>6870</v>
      </c>
      <c r="C2285" s="880">
        <f t="shared" si="176"/>
        <v>-97.516400000000004</v>
      </c>
      <c r="D2285" s="880">
        <f t="shared" si="177"/>
        <v>35.467500000000001</v>
      </c>
      <c r="E2285" s="10">
        <v>-97.516425999999996</v>
      </c>
      <c r="F2285" s="10">
        <v>35.467559999999999</v>
      </c>
      <c r="G2285" s="10">
        <v>-6</v>
      </c>
      <c r="H2285" s="10" t="s">
        <v>1975</v>
      </c>
      <c r="I2285" s="10" t="s">
        <v>6713</v>
      </c>
      <c r="J2285" s="10" t="s">
        <v>6714</v>
      </c>
      <c r="K2285" s="10" t="s">
        <v>6728</v>
      </c>
      <c r="L2285" s="65" t="str">
        <f t="shared" si="178"/>
        <v>Oklahoma City|United States of America|-97,516426|35,467560|-6:00 America</v>
      </c>
      <c r="M2285" s="10" t="s">
        <v>6871</v>
      </c>
      <c r="N2285" s="10">
        <f t="shared" si="175"/>
        <v>0</v>
      </c>
      <c r="O2285" t="str">
        <f t="shared" si="179"/>
        <v/>
      </c>
      <c r="P2285" t="str">
        <f>IF(O2285=1,COUNTIF($O$2:O2285,1),"")</f>
        <v/>
      </c>
      <c r="Q2285" t="str">
        <f>IFERROR(INDEX($M$2:$M$2388,MATCH(ROWS($P$2:P2285),$P$2:$P$2388,0)),"")</f>
        <v/>
      </c>
    </row>
    <row r="2286" spans="1:17" ht="15" x14ac:dyDescent="0.25">
      <c r="A2286" s="10">
        <v>2235</v>
      </c>
      <c r="B2286" s="10" t="s">
        <v>6872</v>
      </c>
      <c r="C2286" s="880">
        <f t="shared" si="176"/>
        <v>-95.937700000000007</v>
      </c>
      <c r="D2286" s="880">
        <f t="shared" si="177"/>
        <v>41.258600000000001</v>
      </c>
      <c r="E2286" s="10">
        <v>-95.937790000000007</v>
      </c>
      <c r="F2286" s="10">
        <v>41.258609999999997</v>
      </c>
      <c r="G2286" s="10">
        <v>-6</v>
      </c>
      <c r="H2286" s="10" t="s">
        <v>1975</v>
      </c>
      <c r="I2286" s="10" t="s">
        <v>6713</v>
      </c>
      <c r="J2286" s="10" t="s">
        <v>6714</v>
      </c>
      <c r="K2286" s="10" t="s">
        <v>6728</v>
      </c>
      <c r="L2286" s="65" t="str">
        <f t="shared" si="178"/>
        <v>Omaha|United States of America|-95,937790|41,258610|-6:00 America</v>
      </c>
      <c r="M2286" s="10" t="s">
        <v>6873</v>
      </c>
      <c r="N2286" s="10">
        <f t="shared" si="175"/>
        <v>0</v>
      </c>
      <c r="O2286" t="str">
        <f t="shared" si="179"/>
        <v/>
      </c>
      <c r="P2286" t="str">
        <f>IF(O2286=1,COUNTIF($O$2:O2286,1),"")</f>
        <v/>
      </c>
      <c r="Q2286" t="str">
        <f>IFERROR(INDEX($M$2:$M$2388,MATCH(ROWS($P$2:P2286),$P$2:$P$2388,0)),"")</f>
        <v/>
      </c>
    </row>
    <row r="2287" spans="1:17" ht="15" x14ac:dyDescent="0.25">
      <c r="A2287" s="10">
        <v>2186</v>
      </c>
      <c r="B2287" s="10" t="s">
        <v>6874</v>
      </c>
      <c r="C2287" s="880">
        <f t="shared" si="176"/>
        <v>-81.379199999999997</v>
      </c>
      <c r="D2287" s="880">
        <f t="shared" si="177"/>
        <v>28.5383</v>
      </c>
      <c r="E2287" s="10">
        <v>-81.379233999999997</v>
      </c>
      <c r="F2287" s="10">
        <v>28.538336000000001</v>
      </c>
      <c r="G2287" s="10">
        <v>-5</v>
      </c>
      <c r="H2287" s="10" t="s">
        <v>1873</v>
      </c>
      <c r="I2287" s="10" t="s">
        <v>6713</v>
      </c>
      <c r="J2287" s="10" t="s">
        <v>6714</v>
      </c>
      <c r="K2287" s="10" t="s">
        <v>6731</v>
      </c>
      <c r="L2287" s="65" t="str">
        <f t="shared" si="178"/>
        <v>Orlando|United States of America|-81,379234|28,538336|-5:00 America</v>
      </c>
      <c r="M2287" s="10" t="s">
        <v>6875</v>
      </c>
      <c r="N2287" s="10">
        <f t="shared" si="175"/>
        <v>0</v>
      </c>
      <c r="O2287" t="str">
        <f t="shared" si="179"/>
        <v/>
      </c>
      <c r="P2287" t="str">
        <f>IF(O2287=1,COUNTIF($O$2:O2287,1),"")</f>
        <v/>
      </c>
      <c r="Q2287" t="str">
        <f>IFERROR(INDEX($M$2:$M$2388,MATCH(ROWS($P$2:P2287),$P$2:$P$2388,0)),"")</f>
        <v/>
      </c>
    </row>
    <row r="2288" spans="1:17" ht="15" x14ac:dyDescent="0.25">
      <c r="A2288" s="10">
        <v>2278</v>
      </c>
      <c r="B2288" s="10" t="s">
        <v>6447</v>
      </c>
      <c r="C2288" s="880">
        <f t="shared" si="176"/>
        <v>-115.14660000000001</v>
      </c>
      <c r="D2288" s="880">
        <f t="shared" si="177"/>
        <v>36.097099999999998</v>
      </c>
      <c r="E2288" s="10">
        <v>-115.14666699999999</v>
      </c>
      <c r="F2288" s="10">
        <v>36.097194999999999</v>
      </c>
      <c r="G2288" s="10">
        <v>-8</v>
      </c>
      <c r="H2288" s="10" t="s">
        <v>1733</v>
      </c>
      <c r="I2288" s="10" t="s">
        <v>6713</v>
      </c>
      <c r="J2288" s="10" t="s">
        <v>6714</v>
      </c>
      <c r="K2288" s="10" t="s">
        <v>6450</v>
      </c>
      <c r="L2288" s="65" t="str">
        <f t="shared" si="178"/>
        <v>Paradise|United States of America|-115,146667|36,097195|-4:00 America</v>
      </c>
      <c r="M2288" s="10" t="s">
        <v>6876</v>
      </c>
      <c r="N2288" s="10">
        <f t="shared" si="175"/>
        <v>0</v>
      </c>
      <c r="O2288" t="str">
        <f t="shared" si="179"/>
        <v/>
      </c>
      <c r="P2288" t="str">
        <f>IF(O2288=1,COUNTIF($O$2:O2288,1),"")</f>
        <v/>
      </c>
      <c r="Q2288" t="str">
        <f>IFERROR(INDEX($M$2:$M$2388,MATCH(ROWS($P$2:P2288),$P$2:$P$2388,0)),"")</f>
        <v/>
      </c>
    </row>
    <row r="2289" spans="1:17" ht="15" x14ac:dyDescent="0.25">
      <c r="A2289" s="10">
        <v>2211</v>
      </c>
      <c r="B2289" s="10" t="s">
        <v>6877</v>
      </c>
      <c r="C2289" s="880">
        <f t="shared" si="176"/>
        <v>-75.163700000000006</v>
      </c>
      <c r="D2289" s="880">
        <f t="shared" si="177"/>
        <v>39.952300000000001</v>
      </c>
      <c r="E2289" s="10">
        <v>-75.163787999999997</v>
      </c>
      <c r="F2289" s="10">
        <v>39.952334999999998</v>
      </c>
      <c r="G2289" s="10">
        <v>-5</v>
      </c>
      <c r="H2289" s="10" t="s">
        <v>1873</v>
      </c>
      <c r="I2289" s="10" t="s">
        <v>6713</v>
      </c>
      <c r="J2289" s="10" t="s">
        <v>6714</v>
      </c>
      <c r="K2289" s="10" t="s">
        <v>6741</v>
      </c>
      <c r="L2289" s="65" t="str">
        <f t="shared" si="178"/>
        <v>Philadelphia|United States of America|-75,163788|39,952335|-5:00 America</v>
      </c>
      <c r="M2289" s="10" t="s">
        <v>6878</v>
      </c>
      <c r="N2289" s="10">
        <f t="shared" si="175"/>
        <v>0</v>
      </c>
      <c r="O2289" t="str">
        <f t="shared" si="179"/>
        <v/>
      </c>
      <c r="P2289" t="str">
        <f>IF(O2289=1,COUNTIF($O$2:O2289,1),"")</f>
        <v/>
      </c>
      <c r="Q2289" t="str">
        <f>IFERROR(INDEX($M$2:$M$2388,MATCH(ROWS($P$2:P2289),$P$2:$P$2388,0)),"")</f>
        <v/>
      </c>
    </row>
    <row r="2290" spans="1:17" ht="15" x14ac:dyDescent="0.25">
      <c r="A2290" s="10">
        <v>2250</v>
      </c>
      <c r="B2290" s="10" t="s">
        <v>6879</v>
      </c>
      <c r="C2290" s="880">
        <f t="shared" si="176"/>
        <v>-112.074</v>
      </c>
      <c r="D2290" s="880">
        <f t="shared" si="177"/>
        <v>33.448300000000003</v>
      </c>
      <c r="E2290" s="10">
        <v>-112.07403600000001</v>
      </c>
      <c r="F2290" s="10">
        <v>33.448376000000003</v>
      </c>
      <c r="G2290" s="10">
        <v>-7</v>
      </c>
      <c r="H2290" s="10" t="s">
        <v>2411</v>
      </c>
      <c r="I2290" s="10" t="s">
        <v>6713</v>
      </c>
      <c r="J2290" s="10" t="s">
        <v>6714</v>
      </c>
      <c r="K2290" s="10" t="s">
        <v>6754</v>
      </c>
      <c r="L2290" s="65" t="str">
        <f t="shared" si="178"/>
        <v>Phoenix|United States of America|-112,074036|33,448376|-7:00 America</v>
      </c>
      <c r="M2290" s="10" t="s">
        <v>6880</v>
      </c>
      <c r="N2290" s="10">
        <f t="shared" si="175"/>
        <v>0</v>
      </c>
      <c r="O2290" t="str">
        <f t="shared" si="179"/>
        <v/>
      </c>
      <c r="P2290" t="str">
        <f>IF(O2290=1,COUNTIF($O$2:O2290,1),"")</f>
        <v/>
      </c>
      <c r="Q2290" t="str">
        <f>IFERROR(INDEX($M$2:$M$2388,MATCH(ROWS($P$2:P2290),$P$2:$P$2388,0)),"")</f>
        <v/>
      </c>
    </row>
    <row r="2291" spans="1:17" ht="15" x14ac:dyDescent="0.25">
      <c r="A2291" s="10">
        <v>2244</v>
      </c>
      <c r="B2291" s="10" t="s">
        <v>6881</v>
      </c>
      <c r="C2291" s="880">
        <f t="shared" si="176"/>
        <v>-79.995800000000003</v>
      </c>
      <c r="D2291" s="880">
        <f t="shared" si="177"/>
        <v>40.440600000000003</v>
      </c>
      <c r="E2291" s="10">
        <v>-79.995887999999994</v>
      </c>
      <c r="F2291" s="10">
        <v>40.440624</v>
      </c>
      <c r="G2291" s="10">
        <v>-5</v>
      </c>
      <c r="H2291" s="10" t="s">
        <v>1873</v>
      </c>
      <c r="I2291" s="10" t="s">
        <v>6713</v>
      </c>
      <c r="J2291" s="10" t="s">
        <v>6714</v>
      </c>
      <c r="K2291" s="10" t="s">
        <v>6715</v>
      </c>
      <c r="L2291" s="65" t="str">
        <f t="shared" si="178"/>
        <v>Pittsburgh|United States of America|-79,995888|40,440624|-5:00 America</v>
      </c>
      <c r="M2291" s="10" t="s">
        <v>6882</v>
      </c>
      <c r="N2291" s="10">
        <f t="shared" si="175"/>
        <v>0</v>
      </c>
      <c r="O2291" t="str">
        <f t="shared" si="179"/>
        <v/>
      </c>
      <c r="P2291" t="str">
        <f>IF(O2291=1,COUNTIF($O$2:O2291,1),"")</f>
        <v/>
      </c>
      <c r="Q2291" t="str">
        <f>IFERROR(INDEX($M$2:$M$2388,MATCH(ROWS($P$2:P2291),$P$2:$P$2388,0)),"")</f>
        <v/>
      </c>
    </row>
    <row r="2292" spans="1:17" ht="15" x14ac:dyDescent="0.25">
      <c r="A2292" s="10">
        <v>2223</v>
      </c>
      <c r="B2292" s="10" t="s">
        <v>6883</v>
      </c>
      <c r="C2292" s="880">
        <f t="shared" si="176"/>
        <v>-96.698800000000006</v>
      </c>
      <c r="D2292" s="880">
        <f t="shared" si="177"/>
        <v>33.019799999999996</v>
      </c>
      <c r="E2292" s="10">
        <v>-96.698882999999995</v>
      </c>
      <c r="F2292" s="10">
        <v>33.019843999999999</v>
      </c>
      <c r="G2292" s="10">
        <v>-6</v>
      </c>
      <c r="H2292" s="10" t="s">
        <v>1975</v>
      </c>
      <c r="I2292" s="10" t="s">
        <v>6713</v>
      </c>
      <c r="J2292" s="10" t="s">
        <v>6714</v>
      </c>
      <c r="K2292" s="10" t="s">
        <v>6728</v>
      </c>
      <c r="L2292" s="65" t="str">
        <f t="shared" si="178"/>
        <v>Plano|United States of America|-96,698883|33,019844|-6:00 America</v>
      </c>
      <c r="M2292" s="10" t="s">
        <v>6884</v>
      </c>
      <c r="N2292" s="10">
        <f t="shared" si="175"/>
        <v>0</v>
      </c>
      <c r="O2292" t="str">
        <f t="shared" si="179"/>
        <v/>
      </c>
      <c r="P2292" t="str">
        <f>IF(O2292=1,COUNTIF($O$2:O2292,1),"")</f>
        <v/>
      </c>
      <c r="Q2292" t="str">
        <f>IFERROR(INDEX($M$2:$M$2388,MATCH(ROWS($P$2:P2292),$P$2:$P$2388,0)),"")</f>
        <v/>
      </c>
    </row>
    <row r="2293" spans="1:17" ht="15" x14ac:dyDescent="0.25">
      <c r="A2293" s="10">
        <v>2282</v>
      </c>
      <c r="B2293" s="10" t="s">
        <v>6885</v>
      </c>
      <c r="C2293" s="880">
        <f t="shared" si="176"/>
        <v>-122.67619999999999</v>
      </c>
      <c r="D2293" s="880">
        <f t="shared" si="177"/>
        <v>45.523400000000002</v>
      </c>
      <c r="E2293" s="10">
        <v>-122.676208</v>
      </c>
      <c r="F2293" s="10">
        <v>45.523453000000003</v>
      </c>
      <c r="G2293" s="10">
        <v>-8</v>
      </c>
      <c r="H2293" s="10" t="s">
        <v>2402</v>
      </c>
      <c r="I2293" s="10" t="s">
        <v>6713</v>
      </c>
      <c r="J2293" s="10" t="s">
        <v>6714</v>
      </c>
      <c r="K2293" s="10" t="s">
        <v>6721</v>
      </c>
      <c r="L2293" s="65" t="str">
        <f t="shared" si="178"/>
        <v>Portland|United States of America|-122,676208|45,523453|-8:00 America</v>
      </c>
      <c r="M2293" s="10" t="s">
        <v>6886</v>
      </c>
      <c r="N2293" s="10">
        <f t="shared" si="175"/>
        <v>0</v>
      </c>
      <c r="O2293" t="str">
        <f t="shared" si="179"/>
        <v/>
      </c>
      <c r="P2293" t="str">
        <f>IF(O2293=1,COUNTIF($O$2:O2293,1),"")</f>
        <v/>
      </c>
      <c r="Q2293" t="str">
        <f>IFERROR(INDEX($M$2:$M$2388,MATCH(ROWS($P$2:P2293),$P$2:$P$2388,0)),"")</f>
        <v/>
      </c>
    </row>
    <row r="2294" spans="1:17" ht="15" x14ac:dyDescent="0.25">
      <c r="A2294" s="10">
        <v>2205</v>
      </c>
      <c r="B2294" s="10" t="s">
        <v>6887</v>
      </c>
      <c r="C2294" s="880">
        <f t="shared" si="176"/>
        <v>-78.638599999999997</v>
      </c>
      <c r="D2294" s="880">
        <f t="shared" si="177"/>
        <v>35.771999999999998</v>
      </c>
      <c r="E2294" s="10">
        <v>-78.638610999999997</v>
      </c>
      <c r="F2294" s="10">
        <v>35.772095</v>
      </c>
      <c r="G2294" s="10">
        <v>-5</v>
      </c>
      <c r="H2294" s="10" t="s">
        <v>1873</v>
      </c>
      <c r="I2294" s="10" t="s">
        <v>6713</v>
      </c>
      <c r="J2294" s="10" t="s">
        <v>6714</v>
      </c>
      <c r="K2294" s="10" t="s">
        <v>6731</v>
      </c>
      <c r="L2294" s="65" t="str">
        <f t="shared" si="178"/>
        <v>Raleigh|United States of America|-78,638611|35,772095|-5:00 America</v>
      </c>
      <c r="M2294" s="10" t="s">
        <v>6888</v>
      </c>
      <c r="N2294" s="10">
        <f t="shared" si="175"/>
        <v>0</v>
      </c>
      <c r="O2294" t="str">
        <f t="shared" si="179"/>
        <v/>
      </c>
      <c r="P2294" t="str">
        <f>IF(O2294=1,COUNTIF($O$2:O2294,1),"")</f>
        <v/>
      </c>
      <c r="Q2294" t="str">
        <f>IFERROR(INDEX($M$2:$M$2388,MATCH(ROWS($P$2:P2294),$P$2:$P$2388,0)),"")</f>
        <v/>
      </c>
    </row>
    <row r="2295" spans="1:17" ht="15" x14ac:dyDescent="0.25">
      <c r="A2295" s="10">
        <v>2279</v>
      </c>
      <c r="B2295" s="10" t="s">
        <v>6889</v>
      </c>
      <c r="C2295" s="880">
        <f t="shared" si="176"/>
        <v>-119.8138</v>
      </c>
      <c r="D2295" s="880">
        <f t="shared" si="177"/>
        <v>39.529600000000002</v>
      </c>
      <c r="E2295" s="10">
        <v>-119.813805</v>
      </c>
      <c r="F2295" s="10">
        <v>39.529632999999997</v>
      </c>
      <c r="G2295" s="10">
        <v>-8</v>
      </c>
      <c r="H2295" s="10" t="s">
        <v>2402</v>
      </c>
      <c r="I2295" s="10" t="s">
        <v>6713</v>
      </c>
      <c r="J2295" s="10" t="s">
        <v>6714</v>
      </c>
      <c r="K2295" s="10" t="s">
        <v>6721</v>
      </c>
      <c r="L2295" s="65" t="str">
        <f t="shared" si="178"/>
        <v>Reno|United States of America|-119,813805|39,529633|-8:00 America</v>
      </c>
      <c r="M2295" s="10" t="s">
        <v>6890</v>
      </c>
      <c r="N2295" s="10">
        <f t="shared" si="175"/>
        <v>0</v>
      </c>
      <c r="O2295" t="str">
        <f t="shared" si="179"/>
        <v/>
      </c>
      <c r="P2295" t="str">
        <f>IF(O2295=1,COUNTIF($O$2:O2295,1),"")</f>
        <v/>
      </c>
      <c r="Q2295" t="str">
        <f>IFERROR(INDEX($M$2:$M$2388,MATCH(ROWS($P$2:P2295),$P$2:$P$2388,0)),"")</f>
        <v/>
      </c>
    </row>
    <row r="2296" spans="1:17" ht="15" x14ac:dyDescent="0.25">
      <c r="A2296" s="10">
        <v>2264</v>
      </c>
      <c r="B2296" s="10" t="s">
        <v>6891</v>
      </c>
      <c r="C2296" s="880">
        <f t="shared" si="176"/>
        <v>-117.3961</v>
      </c>
      <c r="D2296" s="880">
        <f t="shared" si="177"/>
        <v>33.953299999999999</v>
      </c>
      <c r="E2296" s="10">
        <v>-117.396156</v>
      </c>
      <c r="F2296" s="10">
        <v>33.95335</v>
      </c>
      <c r="G2296" s="10">
        <v>-8</v>
      </c>
      <c r="H2296" s="10" t="s">
        <v>2402</v>
      </c>
      <c r="I2296" s="10" t="s">
        <v>6713</v>
      </c>
      <c r="J2296" s="10" t="s">
        <v>6714</v>
      </c>
      <c r="K2296" s="10" t="s">
        <v>6721</v>
      </c>
      <c r="L2296" s="65" t="str">
        <f t="shared" si="178"/>
        <v>Riverside|United States of America|-117,396156|33,953350|-8:00 America</v>
      </c>
      <c r="M2296" s="10" t="s">
        <v>6892</v>
      </c>
      <c r="N2296" s="10">
        <f t="shared" si="175"/>
        <v>0</v>
      </c>
      <c r="O2296" t="str">
        <f t="shared" si="179"/>
        <v/>
      </c>
      <c r="P2296" t="str">
        <f>IF(O2296=1,COUNTIF($O$2:O2296,1),"")</f>
        <v/>
      </c>
      <c r="Q2296" t="str">
        <f>IFERROR(INDEX($M$2:$M$2388,MATCH(ROWS($P$2:P2296),$P$2:$P$2388,0)),"")</f>
        <v/>
      </c>
    </row>
    <row r="2297" spans="1:17" ht="15" x14ac:dyDescent="0.25">
      <c r="A2297" s="10">
        <v>2240</v>
      </c>
      <c r="B2297" s="10" t="s">
        <v>6893</v>
      </c>
      <c r="C2297" s="880">
        <f t="shared" si="176"/>
        <v>-77.615499999999997</v>
      </c>
      <c r="D2297" s="880">
        <f t="shared" si="177"/>
        <v>43.154699999999998</v>
      </c>
      <c r="E2297" s="10">
        <v>-77.615555000000001</v>
      </c>
      <c r="F2297" s="10">
        <v>43.154784999999997</v>
      </c>
      <c r="G2297" s="10">
        <v>-5</v>
      </c>
      <c r="H2297" s="10" t="s">
        <v>1873</v>
      </c>
      <c r="I2297" s="10" t="s">
        <v>6713</v>
      </c>
      <c r="J2297" s="10" t="s">
        <v>6714</v>
      </c>
      <c r="K2297" s="10" t="s">
        <v>6741</v>
      </c>
      <c r="L2297" s="65" t="str">
        <f t="shared" si="178"/>
        <v>Rochester|United States of America|-77,615555|43,154785|-5:00 America</v>
      </c>
      <c r="M2297" s="10" t="s">
        <v>6894</v>
      </c>
      <c r="N2297" s="10">
        <f t="shared" si="175"/>
        <v>0</v>
      </c>
      <c r="O2297" t="str">
        <f t="shared" si="179"/>
        <v/>
      </c>
      <c r="P2297" t="str">
        <f>IF(O2297=1,COUNTIF($O$2:O2297,1),"")</f>
        <v/>
      </c>
      <c r="Q2297" t="str">
        <f>IFERROR(INDEX($M$2:$M$2388,MATCH(ROWS($P$2:P2297),$P$2:$P$2388,0)),"")</f>
        <v/>
      </c>
    </row>
    <row r="2298" spans="1:17" ht="15" x14ac:dyDescent="0.25">
      <c r="A2298" s="10">
        <v>2265</v>
      </c>
      <c r="B2298" s="10" t="s">
        <v>6895</v>
      </c>
      <c r="C2298" s="880">
        <f t="shared" si="176"/>
        <v>-121.4944</v>
      </c>
      <c r="D2298" s="880">
        <f t="shared" si="177"/>
        <v>38.581499999999998</v>
      </c>
      <c r="E2298" s="10">
        <v>-121.4944</v>
      </c>
      <c r="F2298" s="10">
        <v>38.581572999999999</v>
      </c>
      <c r="G2298" s="10">
        <v>-8</v>
      </c>
      <c r="H2298" s="10" t="s">
        <v>2402</v>
      </c>
      <c r="I2298" s="10" t="s">
        <v>6713</v>
      </c>
      <c r="J2298" s="10" t="s">
        <v>6714</v>
      </c>
      <c r="K2298" s="10" t="s">
        <v>6721</v>
      </c>
      <c r="L2298" s="65" t="str">
        <f t="shared" si="178"/>
        <v>Sacramento|United States of America|-121,494400|38,581573|-8:00 America</v>
      </c>
      <c r="M2298" s="10" t="s">
        <v>6896</v>
      </c>
      <c r="N2298" s="10">
        <f t="shared" si="175"/>
        <v>0</v>
      </c>
      <c r="O2298" t="str">
        <f t="shared" si="179"/>
        <v/>
      </c>
      <c r="P2298" t="str">
        <f>IF(O2298=1,COUNTIF($O$2:O2298,1),"")</f>
        <v/>
      </c>
      <c r="Q2298" t="str">
        <f>IFERROR(INDEX($M$2:$M$2388,MATCH(ROWS($P$2:P2298),$P$2:$P$2388,0)),"")</f>
        <v/>
      </c>
    </row>
    <row r="2299" spans="1:17" ht="15" x14ac:dyDescent="0.25">
      <c r="A2299" s="10">
        <v>2201</v>
      </c>
      <c r="B2299" s="10" t="s">
        <v>6897</v>
      </c>
      <c r="C2299" s="880">
        <f t="shared" si="176"/>
        <v>-90.197800000000001</v>
      </c>
      <c r="D2299" s="880">
        <f t="shared" si="177"/>
        <v>38.627200000000002</v>
      </c>
      <c r="E2299" s="10">
        <v>-90.197890999999998</v>
      </c>
      <c r="F2299" s="10">
        <v>38.627274</v>
      </c>
      <c r="G2299" s="10">
        <v>-6</v>
      </c>
      <c r="H2299" s="10" t="s">
        <v>1975</v>
      </c>
      <c r="I2299" s="10" t="s">
        <v>6713</v>
      </c>
      <c r="J2299" s="10" t="s">
        <v>6714</v>
      </c>
      <c r="K2299" s="10" t="s">
        <v>6728</v>
      </c>
      <c r="L2299" s="65" t="str">
        <f t="shared" si="178"/>
        <v>Saint Louis|United States of America|-90,197891|38,627274|-6:00 America</v>
      </c>
      <c r="M2299" s="10" t="s">
        <v>6898</v>
      </c>
      <c r="N2299" s="10">
        <f t="shared" si="175"/>
        <v>0</v>
      </c>
      <c r="O2299" t="str">
        <f t="shared" si="179"/>
        <v/>
      </c>
      <c r="P2299" t="str">
        <f>IF(O2299=1,COUNTIF($O$2:O2299,1),"")</f>
        <v/>
      </c>
      <c r="Q2299" t="str">
        <f>IFERROR(INDEX($M$2:$M$2388,MATCH(ROWS($P$2:P2299),$P$2:$P$2388,0)),"")</f>
        <v/>
      </c>
    </row>
    <row r="2300" spans="1:17" ht="15" x14ac:dyDescent="0.25">
      <c r="A2300" s="10">
        <v>2233</v>
      </c>
      <c r="B2300" s="10" t="s">
        <v>6899</v>
      </c>
      <c r="C2300" s="880">
        <f t="shared" si="176"/>
        <v>-93.093199999999996</v>
      </c>
      <c r="D2300" s="880">
        <f t="shared" si="177"/>
        <v>44.944400000000002</v>
      </c>
      <c r="E2300" s="10">
        <v>-93.093277</v>
      </c>
      <c r="F2300" s="10">
        <v>44.944408000000003</v>
      </c>
      <c r="G2300" s="10">
        <v>-6</v>
      </c>
      <c r="H2300" s="10" t="s">
        <v>1975</v>
      </c>
      <c r="I2300" s="10" t="s">
        <v>6713</v>
      </c>
      <c r="J2300" s="10" t="s">
        <v>6714</v>
      </c>
      <c r="K2300" s="10" t="s">
        <v>6848</v>
      </c>
      <c r="L2300" s="65" t="str">
        <f t="shared" si="178"/>
        <v>Saint Paul|United States of America|-93,093277|44,944408|-6:00 America</v>
      </c>
      <c r="M2300" s="10" t="s">
        <v>6900</v>
      </c>
      <c r="N2300" s="10">
        <f t="shared" si="175"/>
        <v>0</v>
      </c>
      <c r="O2300" t="str">
        <f t="shared" si="179"/>
        <v/>
      </c>
      <c r="P2300" t="str">
        <f>IF(O2300=1,COUNTIF($O$2:O2300,1),"")</f>
        <v/>
      </c>
      <c r="Q2300" t="str">
        <f>IFERROR(INDEX($M$2:$M$2388,MATCH(ROWS($P$2:P2300),$P$2:$P$2388,0)),"")</f>
        <v/>
      </c>
    </row>
    <row r="2301" spans="1:17" ht="15" x14ac:dyDescent="0.25">
      <c r="A2301" s="10">
        <v>2187</v>
      </c>
      <c r="B2301" s="10" t="s">
        <v>5841</v>
      </c>
      <c r="C2301" s="880">
        <f t="shared" si="176"/>
        <v>-82.679199999999994</v>
      </c>
      <c r="D2301" s="880">
        <f t="shared" si="177"/>
        <v>27.770800000000001</v>
      </c>
      <c r="E2301" s="10">
        <v>-82.679267999999993</v>
      </c>
      <c r="F2301" s="10">
        <v>27.770861</v>
      </c>
      <c r="G2301" s="10">
        <v>-5</v>
      </c>
      <c r="H2301" s="10" t="s">
        <v>1883</v>
      </c>
      <c r="I2301" s="10" t="s">
        <v>6713</v>
      </c>
      <c r="J2301" s="10" t="s">
        <v>6714</v>
      </c>
      <c r="K2301" s="10" t="s">
        <v>5725</v>
      </c>
      <c r="L2301" s="65" t="str">
        <f t="shared" si="178"/>
        <v>Saint Petersburg|United States of America|-82,679268|27,770861|+3:00 Europe</v>
      </c>
      <c r="M2301" s="10" t="s">
        <v>6901</v>
      </c>
      <c r="N2301" s="10">
        <f t="shared" si="175"/>
        <v>0</v>
      </c>
      <c r="O2301" t="str">
        <f t="shared" si="179"/>
        <v/>
      </c>
      <c r="P2301" t="str">
        <f>IF(O2301=1,COUNTIF($O$2:O2301,1),"")</f>
        <v/>
      </c>
      <c r="Q2301" t="str">
        <f>IFERROR(INDEX($M$2:$M$2388,MATCH(ROWS($P$2:P2301),$P$2:$P$2388,0)),"")</f>
        <v/>
      </c>
    </row>
    <row r="2302" spans="1:17" ht="15" x14ac:dyDescent="0.25">
      <c r="A2302" s="10">
        <v>2224</v>
      </c>
      <c r="B2302" s="10" t="s">
        <v>5360</v>
      </c>
      <c r="C2302" s="880">
        <f t="shared" si="176"/>
        <v>-98.493600000000001</v>
      </c>
      <c r="D2302" s="880">
        <f t="shared" si="177"/>
        <v>29.424099999999999</v>
      </c>
      <c r="E2302" s="10">
        <v>-98.493628999999999</v>
      </c>
      <c r="F2302" s="10">
        <v>29.424122000000001</v>
      </c>
      <c r="G2302" s="10">
        <v>-6</v>
      </c>
      <c r="H2302" s="10" t="s">
        <v>1817</v>
      </c>
      <c r="I2302" s="10" t="s">
        <v>6713</v>
      </c>
      <c r="J2302" s="10" t="s">
        <v>6714</v>
      </c>
      <c r="K2302" s="10" t="s">
        <v>5363</v>
      </c>
      <c r="L2302" s="65" t="str">
        <f t="shared" si="178"/>
        <v>San Antonio|United States of America|-98,493629|29,424122|+10:00 Pacific</v>
      </c>
      <c r="M2302" s="10" t="s">
        <v>6902</v>
      </c>
      <c r="N2302" s="10">
        <f t="shared" si="175"/>
        <v>0</v>
      </c>
      <c r="O2302" t="str">
        <f t="shared" si="179"/>
        <v/>
      </c>
      <c r="P2302" t="str">
        <f>IF(O2302=1,COUNTIF($O$2:O2302,1),"")</f>
        <v/>
      </c>
      <c r="Q2302" t="str">
        <f>IFERROR(INDEX($M$2:$M$2388,MATCH(ROWS($P$2:P2302),$P$2:$P$2388,0)),"")</f>
        <v/>
      </c>
    </row>
    <row r="2303" spans="1:17" ht="15" x14ac:dyDescent="0.25">
      <c r="A2303" s="10">
        <v>2266</v>
      </c>
      <c r="B2303" s="10" t="s">
        <v>6903</v>
      </c>
      <c r="C2303" s="880">
        <f t="shared" si="176"/>
        <v>-117.2897</v>
      </c>
      <c r="D2303" s="880">
        <f t="shared" si="177"/>
        <v>34.1083</v>
      </c>
      <c r="E2303" s="10">
        <v>-117.28976400000001</v>
      </c>
      <c r="F2303" s="10">
        <v>34.108345</v>
      </c>
      <c r="G2303" s="10">
        <v>-8</v>
      </c>
      <c r="H2303" s="10" t="s">
        <v>2402</v>
      </c>
      <c r="I2303" s="10" t="s">
        <v>6713</v>
      </c>
      <c r="J2303" s="10" t="s">
        <v>6714</v>
      </c>
      <c r="K2303" s="10" t="s">
        <v>6721</v>
      </c>
      <c r="L2303" s="65" t="str">
        <f t="shared" si="178"/>
        <v>San Bernardino|United States of America|-117,289764|34,108345|-8:00 America</v>
      </c>
      <c r="M2303" s="10" t="s">
        <v>6904</v>
      </c>
      <c r="N2303" s="10">
        <f t="shared" si="175"/>
        <v>0</v>
      </c>
      <c r="O2303" t="str">
        <f t="shared" si="179"/>
        <v/>
      </c>
      <c r="P2303" t="str">
        <f>IF(O2303=1,COUNTIF($O$2:O2303,1),"")</f>
        <v/>
      </c>
      <c r="Q2303" t="str">
        <f>IFERROR(INDEX($M$2:$M$2388,MATCH(ROWS($P$2:P2303),$P$2:$P$2388,0)),"")</f>
        <v/>
      </c>
    </row>
    <row r="2304" spans="1:17" ht="15" x14ac:dyDescent="0.25">
      <c r="A2304" s="10">
        <v>2267</v>
      </c>
      <c r="B2304" s="10" t="s">
        <v>6905</v>
      </c>
      <c r="C2304" s="880">
        <f t="shared" si="176"/>
        <v>-117.1572</v>
      </c>
      <c r="D2304" s="880">
        <f t="shared" si="177"/>
        <v>32.715299999999999</v>
      </c>
      <c r="E2304" s="10">
        <v>-117.157257</v>
      </c>
      <c r="F2304" s="10">
        <v>32.715328</v>
      </c>
      <c r="G2304" s="10">
        <v>-8</v>
      </c>
      <c r="H2304" s="10" t="s">
        <v>2402</v>
      </c>
      <c r="I2304" s="10" t="s">
        <v>6713</v>
      </c>
      <c r="J2304" s="10" t="s">
        <v>6714</v>
      </c>
      <c r="K2304" s="10" t="s">
        <v>6721</v>
      </c>
      <c r="L2304" s="65" t="str">
        <f t="shared" si="178"/>
        <v>San Diego|United States of America|-117,157257|32,715328|-8:00 America</v>
      </c>
      <c r="M2304" s="10" t="s">
        <v>6906</v>
      </c>
      <c r="N2304" s="10">
        <f t="shared" si="175"/>
        <v>0</v>
      </c>
      <c r="O2304" t="str">
        <f t="shared" si="179"/>
        <v/>
      </c>
      <c r="P2304" t="str">
        <f>IF(O2304=1,COUNTIF($O$2:O2304,1),"")</f>
        <v/>
      </c>
      <c r="Q2304" t="str">
        <f>IFERROR(INDEX($M$2:$M$2388,MATCH(ROWS($P$2:P2304),$P$2:$P$2388,0)),"")</f>
        <v/>
      </c>
    </row>
    <row r="2305" spans="1:17" ht="15" x14ac:dyDescent="0.25">
      <c r="A2305" s="10">
        <v>2268</v>
      </c>
      <c r="B2305" s="10" t="s">
        <v>6907</v>
      </c>
      <c r="C2305" s="880">
        <f t="shared" si="176"/>
        <v>-122.4194</v>
      </c>
      <c r="D2305" s="880">
        <f t="shared" si="177"/>
        <v>37.774900000000002</v>
      </c>
      <c r="E2305" s="10">
        <v>-122.41941799999999</v>
      </c>
      <c r="F2305" s="10">
        <v>37.774929</v>
      </c>
      <c r="G2305" s="10">
        <v>-8</v>
      </c>
      <c r="H2305" s="10" t="s">
        <v>2402</v>
      </c>
      <c r="I2305" s="10" t="s">
        <v>6713</v>
      </c>
      <c r="J2305" s="10" t="s">
        <v>6714</v>
      </c>
      <c r="K2305" s="10" t="s">
        <v>6721</v>
      </c>
      <c r="L2305" s="65" t="str">
        <f t="shared" si="178"/>
        <v>San Francisco|United States of America|-122,419418|37,774929|-8:00 America</v>
      </c>
      <c r="M2305" s="10" t="s">
        <v>6908</v>
      </c>
      <c r="N2305" s="10">
        <f t="shared" si="175"/>
        <v>0</v>
      </c>
      <c r="O2305" t="str">
        <f t="shared" si="179"/>
        <v/>
      </c>
      <c r="P2305" t="str">
        <f>IF(O2305=1,COUNTIF($O$2:O2305,1),"")</f>
        <v/>
      </c>
      <c r="Q2305" t="str">
        <f>IFERROR(INDEX($M$2:$M$2388,MATCH(ROWS($P$2:P2305),$P$2:$P$2388,0)),"")</f>
        <v/>
      </c>
    </row>
    <row r="2306" spans="1:17" ht="15" x14ac:dyDescent="0.25">
      <c r="A2306" s="10">
        <v>2269</v>
      </c>
      <c r="B2306" s="10" t="s">
        <v>3022</v>
      </c>
      <c r="C2306" s="880">
        <f t="shared" si="176"/>
        <v>-121.89490000000001</v>
      </c>
      <c r="D2306" s="880">
        <f t="shared" si="177"/>
        <v>37.339300000000001</v>
      </c>
      <c r="E2306" s="10">
        <v>-121.894958</v>
      </c>
      <c r="F2306" s="10">
        <v>37.339385999999998</v>
      </c>
      <c r="G2306" s="10">
        <v>-8</v>
      </c>
      <c r="H2306" s="10" t="s">
        <v>1975</v>
      </c>
      <c r="I2306" s="10" t="s">
        <v>6713</v>
      </c>
      <c r="J2306" s="10" t="s">
        <v>6714</v>
      </c>
      <c r="K2306" s="10" t="s">
        <v>3025</v>
      </c>
      <c r="L2306" s="65" t="str">
        <f t="shared" si="178"/>
        <v>San Jose|United States of America|-121,894958|37,339386|-6:00 America</v>
      </c>
      <c r="M2306" s="10" t="s">
        <v>6909</v>
      </c>
      <c r="N2306" s="10">
        <f t="shared" ref="N2306:N2369" si="180">--ISNUMBER(IFERROR(SEARCH($R$2,J2306,1),""))</f>
        <v>0</v>
      </c>
      <c r="O2306" t="str">
        <f t="shared" si="179"/>
        <v/>
      </c>
      <c r="P2306" t="str">
        <f>IF(O2306=1,COUNTIF($O$2:O2306,1),"")</f>
        <v/>
      </c>
      <c r="Q2306" t="str">
        <f>IFERROR(INDEX($M$2:$M$2388,MATCH(ROWS($P$2:P2306),$P$2:$P$2388,0)),"")</f>
        <v/>
      </c>
    </row>
    <row r="2307" spans="1:17" ht="15" x14ac:dyDescent="0.25">
      <c r="A2307" s="10">
        <v>2270</v>
      </c>
      <c r="B2307" s="10" t="s">
        <v>6910</v>
      </c>
      <c r="C2307" s="880">
        <f t="shared" ref="C2307:C2370" si="181">TRUNC(E2307,4)</f>
        <v>-117.8678</v>
      </c>
      <c r="D2307" s="880">
        <f t="shared" ref="D2307:D2370" si="182">TRUNC(F2307,4)</f>
        <v>33.7455</v>
      </c>
      <c r="E2307" s="10">
        <v>-117.867836</v>
      </c>
      <c r="F2307" s="10">
        <v>33.745575000000002</v>
      </c>
      <c r="G2307" s="10">
        <v>-8</v>
      </c>
      <c r="H2307" s="10" t="s">
        <v>2402</v>
      </c>
      <c r="I2307" s="10" t="s">
        <v>6713</v>
      </c>
      <c r="J2307" s="10" t="s">
        <v>6714</v>
      </c>
      <c r="K2307" s="10" t="s">
        <v>6721</v>
      </c>
      <c r="L2307" s="65" t="str">
        <f t="shared" ref="L2307:L2370" si="183">MID(M2307,1,LEN(M2307)-(LEN(K2307)-SEARCH("/",K2307)+1))</f>
        <v>Santa Ana|United States of America|-117,867836|33,745575|-8:00 America</v>
      </c>
      <c r="M2307" s="10" t="s">
        <v>6911</v>
      </c>
      <c r="N2307" s="10">
        <f t="shared" si="180"/>
        <v>0</v>
      </c>
      <c r="O2307" t="str">
        <f t="shared" ref="O2307:O2370" si="184">IF(N2307=0,"",--ISNUMBER(IFERROR(SEARCH($U$2,L2307,1),"")))</f>
        <v/>
      </c>
      <c r="P2307" t="str">
        <f>IF(O2307=1,COUNTIF($O$2:O2307,1),"")</f>
        <v/>
      </c>
      <c r="Q2307" t="str">
        <f>IFERROR(INDEX($M$2:$M$2388,MATCH(ROWS($P$2:P2307),$P$2:$P$2388,0)),"")</f>
        <v/>
      </c>
    </row>
    <row r="2308" spans="1:17" ht="15" x14ac:dyDescent="0.25">
      <c r="A2308" s="10">
        <v>2251</v>
      </c>
      <c r="B2308" s="10" t="s">
        <v>6912</v>
      </c>
      <c r="C2308" s="880">
        <f t="shared" si="181"/>
        <v>-111.899</v>
      </c>
      <c r="D2308" s="880">
        <f t="shared" si="182"/>
        <v>33.5092</v>
      </c>
      <c r="E2308" s="10">
        <v>-111.899033</v>
      </c>
      <c r="F2308" s="10">
        <v>33.509208999999998</v>
      </c>
      <c r="G2308" s="10">
        <v>-7</v>
      </c>
      <c r="H2308" s="10" t="s">
        <v>2411</v>
      </c>
      <c r="I2308" s="10" t="s">
        <v>6713</v>
      </c>
      <c r="J2308" s="10" t="s">
        <v>6714</v>
      </c>
      <c r="K2308" s="10" t="s">
        <v>6754</v>
      </c>
      <c r="L2308" s="65" t="str">
        <f t="shared" si="183"/>
        <v>Scottsdale|United States of America|-111,899033|33,509209|-7:00 America</v>
      </c>
      <c r="M2308" s="10" t="s">
        <v>6913</v>
      </c>
      <c r="N2308" s="10">
        <f t="shared" si="180"/>
        <v>0</v>
      </c>
      <c r="O2308" t="str">
        <f t="shared" si="184"/>
        <v/>
      </c>
      <c r="P2308" t="str">
        <f>IF(O2308=1,COUNTIF($O$2:O2308,1),"")</f>
        <v/>
      </c>
      <c r="Q2308" t="str">
        <f>IFERROR(INDEX($M$2:$M$2388,MATCH(ROWS($P$2:P2308),$P$2:$P$2388,0)),"")</f>
        <v/>
      </c>
    </row>
    <row r="2309" spans="1:17" ht="15" x14ac:dyDescent="0.25">
      <c r="A2309" s="10">
        <v>2283</v>
      </c>
      <c r="B2309" s="10" t="s">
        <v>6914</v>
      </c>
      <c r="C2309" s="880">
        <f t="shared" si="181"/>
        <v>-122.33199999999999</v>
      </c>
      <c r="D2309" s="880">
        <f t="shared" si="182"/>
        <v>47.606200000000001</v>
      </c>
      <c r="E2309" s="10">
        <v>-122.332069</v>
      </c>
      <c r="F2309" s="10">
        <v>47.606209</v>
      </c>
      <c r="G2309" s="10">
        <v>-8</v>
      </c>
      <c r="H2309" s="10" t="s">
        <v>2402</v>
      </c>
      <c r="I2309" s="10" t="s">
        <v>6713</v>
      </c>
      <c r="J2309" s="10" t="s">
        <v>6714</v>
      </c>
      <c r="K2309" s="10" t="s">
        <v>6721</v>
      </c>
      <c r="L2309" s="65" t="str">
        <f t="shared" si="183"/>
        <v>Seattle|United States of America|-122,332069|47,606209|-8:00 America</v>
      </c>
      <c r="M2309" s="10" t="s">
        <v>6915</v>
      </c>
      <c r="N2309" s="10">
        <f t="shared" si="180"/>
        <v>0</v>
      </c>
      <c r="O2309" t="str">
        <f t="shared" si="184"/>
        <v/>
      </c>
      <c r="P2309" t="str">
        <f>IF(O2309=1,COUNTIF($O$2:O2309,1),"")</f>
        <v/>
      </c>
      <c r="Q2309" t="str">
        <f>IFERROR(INDEX($M$2:$M$2388,MATCH(ROWS($P$2:P2309),$P$2:$P$2388,0)),"")</f>
        <v/>
      </c>
    </row>
    <row r="2310" spans="1:17" ht="15" x14ac:dyDescent="0.25">
      <c r="A2310" s="10">
        <v>2197</v>
      </c>
      <c r="B2310" s="10" t="s">
        <v>6916</v>
      </c>
      <c r="C2310" s="880">
        <f t="shared" si="181"/>
        <v>-93.750100000000003</v>
      </c>
      <c r="D2310" s="880">
        <f t="shared" si="182"/>
        <v>32.525100000000002</v>
      </c>
      <c r="E2310" s="10">
        <v>-93.750174999999999</v>
      </c>
      <c r="F2310" s="10">
        <v>32.525149999999996</v>
      </c>
      <c r="G2310" s="10">
        <v>-6</v>
      </c>
      <c r="H2310" s="10" t="s">
        <v>1975</v>
      </c>
      <c r="I2310" s="10" t="s">
        <v>6713</v>
      </c>
      <c r="J2310" s="10" t="s">
        <v>6714</v>
      </c>
      <c r="K2310" s="10" t="s">
        <v>6744</v>
      </c>
      <c r="L2310" s="65" t="str">
        <f t="shared" si="183"/>
        <v>Shreveport|United States of America|-93,750175|32,525150|-6:00 America</v>
      </c>
      <c r="M2310" s="10" t="s">
        <v>6917</v>
      </c>
      <c r="N2310" s="10">
        <f t="shared" si="180"/>
        <v>0</v>
      </c>
      <c r="O2310" t="str">
        <f t="shared" si="184"/>
        <v/>
      </c>
      <c r="P2310" t="str">
        <f>IF(O2310=1,COUNTIF($O$2:O2310,1),"")</f>
        <v/>
      </c>
      <c r="Q2310" t="str">
        <f>IFERROR(INDEX($M$2:$M$2388,MATCH(ROWS($P$2:P2310),$P$2:$P$2388,0)),"")</f>
        <v/>
      </c>
    </row>
    <row r="2311" spans="1:17" ht="15" x14ac:dyDescent="0.25">
      <c r="A2311" s="10">
        <v>2230</v>
      </c>
      <c r="B2311" s="10" t="s">
        <v>6918</v>
      </c>
      <c r="C2311" s="880">
        <f t="shared" si="181"/>
        <v>-71.049400000000006</v>
      </c>
      <c r="D2311" s="880">
        <f t="shared" si="182"/>
        <v>42.333399999999997</v>
      </c>
      <c r="E2311" s="10">
        <v>-71.049492000000001</v>
      </c>
      <c r="F2311" s="10">
        <v>42.333430999999997</v>
      </c>
      <c r="G2311" s="10">
        <v>-5</v>
      </c>
      <c r="H2311" s="10" t="s">
        <v>1873</v>
      </c>
      <c r="I2311" s="10" t="s">
        <v>6713</v>
      </c>
      <c r="J2311" s="10" t="s">
        <v>6714</v>
      </c>
      <c r="K2311" s="10" t="s">
        <v>6741</v>
      </c>
      <c r="L2311" s="65" t="str">
        <f t="shared" si="183"/>
        <v>South Boston|United States of America|-71,049492|42,333431|-5:00 America</v>
      </c>
      <c r="M2311" s="10" t="s">
        <v>6919</v>
      </c>
      <c r="N2311" s="10">
        <f t="shared" si="180"/>
        <v>0</v>
      </c>
      <c r="O2311" t="str">
        <f t="shared" si="184"/>
        <v/>
      </c>
      <c r="P2311" t="str">
        <f>IF(O2311=1,COUNTIF($O$2:O2311,1),"")</f>
        <v/>
      </c>
      <c r="Q2311" t="str">
        <f>IFERROR(INDEX($M$2:$M$2388,MATCH(ROWS($P$2:P2311),$P$2:$P$2388,0)),"")</f>
        <v/>
      </c>
    </row>
    <row r="2312" spans="1:17" ht="15" x14ac:dyDescent="0.25">
      <c r="A2312" s="10">
        <v>2271</v>
      </c>
      <c r="B2312" s="10" t="s">
        <v>6920</v>
      </c>
      <c r="C2312" s="880">
        <f t="shared" si="181"/>
        <v>-121.2907</v>
      </c>
      <c r="D2312" s="880">
        <f t="shared" si="182"/>
        <v>37.957700000000003</v>
      </c>
      <c r="E2312" s="10">
        <v>-121.290779</v>
      </c>
      <c r="F2312" s="10">
        <v>37.957703000000002</v>
      </c>
      <c r="G2312" s="10">
        <v>-8</v>
      </c>
      <c r="H2312" s="10" t="s">
        <v>2402</v>
      </c>
      <c r="I2312" s="10" t="s">
        <v>6713</v>
      </c>
      <c r="J2312" s="10" t="s">
        <v>6714</v>
      </c>
      <c r="K2312" s="10" t="s">
        <v>6721</v>
      </c>
      <c r="L2312" s="65" t="str">
        <f t="shared" si="183"/>
        <v>Stockton|United States of America|-121,290779|37,957703|-8:00 America</v>
      </c>
      <c r="M2312" s="10" t="s">
        <v>6921</v>
      </c>
      <c r="N2312" s="10">
        <f t="shared" si="180"/>
        <v>0</v>
      </c>
      <c r="O2312" t="str">
        <f t="shared" si="184"/>
        <v/>
      </c>
      <c r="P2312" t="str">
        <f>IF(O2312=1,COUNTIF($O$2:O2312,1),"")</f>
        <v/>
      </c>
      <c r="Q2312" t="str">
        <f>IFERROR(INDEX($M$2:$M$2388,MATCH(ROWS($P$2:P2312),$P$2:$P$2388,0)),"")</f>
        <v/>
      </c>
    </row>
    <row r="2313" spans="1:17" ht="15" x14ac:dyDescent="0.25">
      <c r="A2313" s="10">
        <v>2188</v>
      </c>
      <c r="B2313" s="10" t="s">
        <v>6922</v>
      </c>
      <c r="C2313" s="880">
        <f t="shared" si="181"/>
        <v>-82.458399999999997</v>
      </c>
      <c r="D2313" s="880">
        <f t="shared" si="182"/>
        <v>27.947500000000002</v>
      </c>
      <c r="E2313" s="10">
        <v>-82.458427</v>
      </c>
      <c r="F2313" s="10">
        <v>27.947520999999998</v>
      </c>
      <c r="G2313" s="10">
        <v>-5</v>
      </c>
      <c r="H2313" s="10" t="s">
        <v>1873</v>
      </c>
      <c r="I2313" s="10" t="s">
        <v>6713</v>
      </c>
      <c r="J2313" s="10" t="s">
        <v>6714</v>
      </c>
      <c r="K2313" s="10" t="s">
        <v>6731</v>
      </c>
      <c r="L2313" s="65" t="str">
        <f t="shared" si="183"/>
        <v>Tampa|United States of America|-82,458427|27,947521|-5:00 America</v>
      </c>
      <c r="M2313" s="10" t="s">
        <v>6923</v>
      </c>
      <c r="N2313" s="10">
        <f t="shared" si="180"/>
        <v>0</v>
      </c>
      <c r="O2313" t="str">
        <f t="shared" si="184"/>
        <v/>
      </c>
      <c r="P2313" t="str">
        <f>IF(O2313=1,COUNTIF($O$2:O2313,1),"")</f>
        <v/>
      </c>
      <c r="Q2313" t="str">
        <f>IFERROR(INDEX($M$2:$M$2388,MATCH(ROWS($P$2:P2313),$P$2:$P$2388,0)),"")</f>
        <v/>
      </c>
    </row>
    <row r="2314" spans="1:17" ht="15" x14ac:dyDescent="0.25">
      <c r="A2314" s="10">
        <v>2243</v>
      </c>
      <c r="B2314" s="10" t="s">
        <v>6924</v>
      </c>
      <c r="C2314" s="880">
        <f t="shared" si="181"/>
        <v>-83.555199999999999</v>
      </c>
      <c r="D2314" s="880">
        <f t="shared" si="182"/>
        <v>41.663899999999998</v>
      </c>
      <c r="E2314" s="10">
        <v>-83.555214000000007</v>
      </c>
      <c r="F2314" s="10">
        <v>41.663936999999997</v>
      </c>
      <c r="G2314" s="10">
        <v>-5</v>
      </c>
      <c r="H2314" s="10" t="s">
        <v>1873</v>
      </c>
      <c r="I2314" s="10" t="s">
        <v>6713</v>
      </c>
      <c r="J2314" s="10" t="s">
        <v>6714</v>
      </c>
      <c r="K2314" s="10" t="s">
        <v>6715</v>
      </c>
      <c r="L2314" s="65" t="str">
        <f t="shared" si="183"/>
        <v>Toledo|United States of America|-83,555214|41,663937|-5:00 America</v>
      </c>
      <c r="M2314" s="10" t="s">
        <v>6925</v>
      </c>
      <c r="N2314" s="10">
        <f t="shared" si="180"/>
        <v>0</v>
      </c>
      <c r="O2314" t="str">
        <f t="shared" si="184"/>
        <v/>
      </c>
      <c r="P2314" t="str">
        <f>IF(O2314=1,COUNTIF($O$2:O2314,1),"")</f>
        <v/>
      </c>
      <c r="Q2314" t="str">
        <f>IFERROR(INDEX($M$2:$M$2388,MATCH(ROWS($P$2:P2314),$P$2:$P$2388,0)),"")</f>
        <v/>
      </c>
    </row>
    <row r="2315" spans="1:17" ht="15" x14ac:dyDescent="0.25">
      <c r="A2315" s="10">
        <v>2253</v>
      </c>
      <c r="B2315" s="10" t="s">
        <v>6926</v>
      </c>
      <c r="C2315" s="880">
        <f t="shared" si="181"/>
        <v>-110.9264</v>
      </c>
      <c r="D2315" s="880">
        <f t="shared" si="182"/>
        <v>32.221699999999998</v>
      </c>
      <c r="E2315" s="10">
        <v>-110.92647599999999</v>
      </c>
      <c r="F2315" s="10">
        <v>32.221744999999999</v>
      </c>
      <c r="G2315" s="10">
        <v>-7</v>
      </c>
      <c r="H2315" s="10" t="s">
        <v>2411</v>
      </c>
      <c r="I2315" s="10" t="s">
        <v>6713</v>
      </c>
      <c r="J2315" s="10" t="s">
        <v>6714</v>
      </c>
      <c r="K2315" s="10" t="s">
        <v>6754</v>
      </c>
      <c r="L2315" s="65" t="str">
        <f t="shared" si="183"/>
        <v>Tucson|United States of America|-110,926476|32,221745|-7:00 America</v>
      </c>
      <c r="M2315" s="10" t="s">
        <v>6927</v>
      </c>
      <c r="N2315" s="10">
        <f t="shared" si="180"/>
        <v>0</v>
      </c>
      <c r="O2315" t="str">
        <f t="shared" si="184"/>
        <v/>
      </c>
      <c r="P2315" t="str">
        <f>IF(O2315=1,COUNTIF($O$2:O2315,1),"")</f>
        <v/>
      </c>
      <c r="Q2315" t="str">
        <f>IFERROR(INDEX($M$2:$M$2388,MATCH(ROWS($P$2:P2315),$P$2:$P$2388,0)),"")</f>
        <v/>
      </c>
    </row>
    <row r="2316" spans="1:17" ht="15" x14ac:dyDescent="0.25">
      <c r="A2316" s="10">
        <v>2210</v>
      </c>
      <c r="B2316" s="10" t="s">
        <v>6928</v>
      </c>
      <c r="C2316" s="880">
        <f t="shared" si="181"/>
        <v>-95.992699999999999</v>
      </c>
      <c r="D2316" s="880">
        <f t="shared" si="182"/>
        <v>36.1539</v>
      </c>
      <c r="E2316" s="10">
        <v>-95.992774999999995</v>
      </c>
      <c r="F2316" s="10">
        <v>36.153979999999997</v>
      </c>
      <c r="G2316" s="10">
        <v>-6</v>
      </c>
      <c r="H2316" s="10" t="s">
        <v>1975</v>
      </c>
      <c r="I2316" s="10" t="s">
        <v>6713</v>
      </c>
      <c r="J2316" s="10" t="s">
        <v>6714</v>
      </c>
      <c r="K2316" s="10" t="s">
        <v>6728</v>
      </c>
      <c r="L2316" s="65" t="str">
        <f t="shared" si="183"/>
        <v>Tulsa|United States of America|-95,992775|36,153980|-6:00 America</v>
      </c>
      <c r="M2316" s="10" t="s">
        <v>6929</v>
      </c>
      <c r="N2316" s="10">
        <f t="shared" si="180"/>
        <v>0</v>
      </c>
      <c r="O2316" t="str">
        <f t="shared" si="184"/>
        <v/>
      </c>
      <c r="P2316" t="str">
        <f>IF(O2316=1,COUNTIF($O$2:O2316,1),"")</f>
        <v/>
      </c>
      <c r="Q2316" t="str">
        <f>IFERROR(INDEX($M$2:$M$2388,MATCH(ROWS($P$2:P2316),$P$2:$P$2388,0)),"")</f>
        <v/>
      </c>
    </row>
    <row r="2317" spans="1:17" ht="15" x14ac:dyDescent="0.25">
      <c r="A2317" s="10">
        <v>2226</v>
      </c>
      <c r="B2317" s="10" t="s">
        <v>6930</v>
      </c>
      <c r="C2317" s="880">
        <f t="shared" si="181"/>
        <v>-75.977900000000005</v>
      </c>
      <c r="D2317" s="880">
        <f t="shared" si="182"/>
        <v>36.852899999999998</v>
      </c>
      <c r="E2317" s="10">
        <v>-75.977981999999997</v>
      </c>
      <c r="F2317" s="10">
        <v>36.852927999999999</v>
      </c>
      <c r="G2317" s="10">
        <v>-5</v>
      </c>
      <c r="H2317" s="10" t="s">
        <v>1873</v>
      </c>
      <c r="I2317" s="10" t="s">
        <v>6713</v>
      </c>
      <c r="J2317" s="10" t="s">
        <v>6714</v>
      </c>
      <c r="K2317" s="10" t="s">
        <v>6741</v>
      </c>
      <c r="L2317" s="65" t="str">
        <f t="shared" si="183"/>
        <v>Virginia Beach|United States of America|-75,977982|36,852928|-5:00 America</v>
      </c>
      <c r="M2317" s="10" t="s">
        <v>6931</v>
      </c>
      <c r="N2317" s="10">
        <f t="shared" si="180"/>
        <v>0</v>
      </c>
      <c r="O2317" t="str">
        <f t="shared" si="184"/>
        <v/>
      </c>
      <c r="P2317" t="str">
        <f>IF(O2317=1,COUNTIF($O$2:O2317,1),"")</f>
        <v/>
      </c>
      <c r="Q2317" t="str">
        <f>IFERROR(INDEX($M$2:$M$2388,MATCH(ROWS($P$2:P2317),$P$2:$P$2388,0)),"")</f>
        <v/>
      </c>
    </row>
    <row r="2318" spans="1:17" ht="15" x14ac:dyDescent="0.25">
      <c r="A2318" s="10">
        <v>2182</v>
      </c>
      <c r="B2318" s="10" t="s">
        <v>6932</v>
      </c>
      <c r="C2318" s="880">
        <f t="shared" si="181"/>
        <v>-77.036299999999997</v>
      </c>
      <c r="D2318" s="880">
        <f t="shared" si="182"/>
        <v>38.895099999999999</v>
      </c>
      <c r="E2318" s="10">
        <v>-77.036368999999993</v>
      </c>
      <c r="F2318" s="10">
        <v>38.895111</v>
      </c>
      <c r="G2318" s="10">
        <v>-5</v>
      </c>
      <c r="H2318" s="10" t="s">
        <v>1873</v>
      </c>
      <c r="I2318" s="10" t="s">
        <v>6713</v>
      </c>
      <c r="J2318" s="10" t="s">
        <v>6714</v>
      </c>
      <c r="K2318" s="10" t="s">
        <v>6741</v>
      </c>
      <c r="L2318" s="65" t="str">
        <f t="shared" si="183"/>
        <v>Washington|United States of America|-77,036369|38,895111|-5:00 America</v>
      </c>
      <c r="M2318" s="10" t="s">
        <v>6933</v>
      </c>
      <c r="N2318" s="10">
        <f t="shared" si="180"/>
        <v>0</v>
      </c>
      <c r="O2318" t="str">
        <f t="shared" si="184"/>
        <v/>
      </c>
      <c r="P2318" t="str">
        <f>IF(O2318=1,COUNTIF($O$2:O2318,1),"")</f>
        <v/>
      </c>
      <c r="Q2318" t="str">
        <f>IFERROR(INDEX($M$2:$M$2388,MATCH(ROWS($P$2:P2318),$P$2:$P$2388,0)),"")</f>
        <v/>
      </c>
    </row>
    <row r="2319" spans="1:17" ht="15" x14ac:dyDescent="0.25">
      <c r="A2319" s="10">
        <v>2206</v>
      </c>
      <c r="B2319" s="10" t="s">
        <v>6934</v>
      </c>
      <c r="C2319" s="880">
        <f t="shared" si="181"/>
        <v>-78.663799999999995</v>
      </c>
      <c r="D2319" s="880">
        <f t="shared" si="182"/>
        <v>35.786799999999999</v>
      </c>
      <c r="E2319" s="10">
        <v>-78.663894999999997</v>
      </c>
      <c r="F2319" s="10">
        <v>35.786819000000001</v>
      </c>
      <c r="G2319" s="10">
        <v>-5</v>
      </c>
      <c r="H2319" s="10" t="s">
        <v>1873</v>
      </c>
      <c r="I2319" s="10" t="s">
        <v>6713</v>
      </c>
      <c r="J2319" s="10" t="s">
        <v>6714</v>
      </c>
      <c r="K2319" s="10" t="s">
        <v>6731</v>
      </c>
      <c r="L2319" s="65" t="str">
        <f t="shared" si="183"/>
        <v>West Raleigh|United States of America|-78,663895|35,786819|-5:00 America</v>
      </c>
      <c r="M2319" s="10" t="s">
        <v>6935</v>
      </c>
      <c r="N2319" s="10">
        <f t="shared" si="180"/>
        <v>0</v>
      </c>
      <c r="O2319" t="str">
        <f t="shared" si="184"/>
        <v/>
      </c>
      <c r="P2319" t="str">
        <f>IF(O2319=1,COUNTIF($O$2:O2319,1),"")</f>
        <v/>
      </c>
      <c r="Q2319" t="str">
        <f>IFERROR(INDEX($M$2:$M$2388,MATCH(ROWS($P$2:P2319),$P$2:$P$2388,0)),"")</f>
        <v/>
      </c>
    </row>
    <row r="2320" spans="1:17" ht="15" x14ac:dyDescent="0.25">
      <c r="A2320" s="10">
        <v>2191</v>
      </c>
      <c r="B2320" s="10" t="s">
        <v>6936</v>
      </c>
      <c r="C2320" s="880">
        <f t="shared" si="181"/>
        <v>-97.337500000000006</v>
      </c>
      <c r="D2320" s="880">
        <f t="shared" si="182"/>
        <v>37.6922</v>
      </c>
      <c r="E2320" s="10">
        <v>-97.337547000000001</v>
      </c>
      <c r="F2320" s="10">
        <v>37.692238000000003</v>
      </c>
      <c r="G2320" s="10">
        <v>-6</v>
      </c>
      <c r="H2320" s="10" t="s">
        <v>1975</v>
      </c>
      <c r="I2320" s="10" t="s">
        <v>6713</v>
      </c>
      <c r="J2320" s="10" t="s">
        <v>6714</v>
      </c>
      <c r="K2320" s="10" t="s">
        <v>6728</v>
      </c>
      <c r="L2320" s="65" t="str">
        <f t="shared" si="183"/>
        <v>Wichita|United States of America|-97,337547|37,692238|-6:00 America</v>
      </c>
      <c r="M2320" s="10" t="s">
        <v>6937</v>
      </c>
      <c r="N2320" s="10">
        <f t="shared" si="180"/>
        <v>0</v>
      </c>
      <c r="O2320" t="str">
        <f t="shared" si="184"/>
        <v/>
      </c>
      <c r="P2320" t="str">
        <f>IF(O2320=1,COUNTIF($O$2:O2320,1),"")</f>
        <v/>
      </c>
      <c r="Q2320" t="str">
        <f>IFERROR(INDEX($M$2:$M$2388,MATCH(ROWS($P$2:P2320),$P$2:$P$2388,0)),"")</f>
        <v/>
      </c>
    </row>
    <row r="2321" spans="1:17" ht="15" x14ac:dyDescent="0.25">
      <c r="A2321" s="10">
        <v>2289</v>
      </c>
      <c r="B2321" s="10" t="s">
        <v>6938</v>
      </c>
      <c r="C2321" s="880">
        <f t="shared" si="181"/>
        <v>-56.1708</v>
      </c>
      <c r="D2321" s="880">
        <f t="shared" si="182"/>
        <v>-34.857999999999997</v>
      </c>
      <c r="E2321" s="10">
        <v>-56.170833999999999</v>
      </c>
      <c r="F2321" s="10">
        <v>-34.858055</v>
      </c>
      <c r="G2321" s="10">
        <v>-3</v>
      </c>
      <c r="H2321" s="10" t="s">
        <v>1739</v>
      </c>
      <c r="I2321" s="10" t="s">
        <v>6939</v>
      </c>
      <c r="J2321" s="10" t="s">
        <v>6940</v>
      </c>
      <c r="K2321" s="10" t="s">
        <v>6941</v>
      </c>
      <c r="L2321" s="65" t="str">
        <f t="shared" si="183"/>
        <v>Montevideo|Uruguay|-56,170834|-34,858055|-3:00 America</v>
      </c>
      <c r="M2321" s="10" t="s">
        <v>6942</v>
      </c>
      <c r="N2321" s="10">
        <f t="shared" si="180"/>
        <v>0</v>
      </c>
      <c r="O2321" t="str">
        <f t="shared" si="184"/>
        <v/>
      </c>
      <c r="P2321" t="str">
        <f>IF(O2321=1,COUNTIF($O$2:O2321,1),"")</f>
        <v/>
      </c>
      <c r="Q2321" t="str">
        <f>IFERROR(INDEX($M$2:$M$2388,MATCH(ROWS($P$2:P2321),$P$2:$P$2388,0)),"")</f>
        <v/>
      </c>
    </row>
    <row r="2322" spans="1:17" ht="15" x14ac:dyDescent="0.25">
      <c r="A2322" s="10">
        <v>2288</v>
      </c>
      <c r="B2322" s="10" t="s">
        <v>6943</v>
      </c>
      <c r="C2322" s="880">
        <f t="shared" si="181"/>
        <v>-54.383299999999998</v>
      </c>
      <c r="D2322" s="880">
        <f t="shared" si="182"/>
        <v>-33.2333</v>
      </c>
      <c r="E2322" s="10">
        <v>-54.383335000000002</v>
      </c>
      <c r="F2322" s="10">
        <v>-33.233333999999999</v>
      </c>
      <c r="G2322" s="10">
        <v>-3</v>
      </c>
      <c r="H2322" s="10" t="s">
        <v>1739</v>
      </c>
      <c r="I2322" s="10" t="s">
        <v>6939</v>
      </c>
      <c r="J2322" s="10" t="s">
        <v>6940</v>
      </c>
      <c r="K2322" s="10" t="s">
        <v>6941</v>
      </c>
      <c r="L2322" s="65" t="str">
        <f t="shared" si="183"/>
        <v>Treinta y Tres|Uruguay|-54,383335|-33,233334|-3:00 America</v>
      </c>
      <c r="M2322" s="10" t="s">
        <v>6944</v>
      </c>
      <c r="N2322" s="10">
        <f t="shared" si="180"/>
        <v>0</v>
      </c>
      <c r="O2322" t="str">
        <f t="shared" si="184"/>
        <v/>
      </c>
      <c r="P2322" t="str">
        <f>IF(O2322=1,COUNTIF($O$2:O2322,1),"")</f>
        <v/>
      </c>
      <c r="Q2322" t="str">
        <f>IFERROR(INDEX($M$2:$M$2388,MATCH(ROWS($P$2:P2322),$P$2:$P$2388,0)),"")</f>
        <v/>
      </c>
    </row>
    <row r="2323" spans="1:17" ht="15" x14ac:dyDescent="0.25">
      <c r="A2323" s="10">
        <v>2287</v>
      </c>
      <c r="B2323" s="10" t="s">
        <v>6945</v>
      </c>
      <c r="C2323" s="880">
        <f t="shared" si="181"/>
        <v>-56.888599999999997</v>
      </c>
      <c r="D2323" s="880">
        <f t="shared" si="182"/>
        <v>-33.538800000000002</v>
      </c>
      <c r="E2323" s="10">
        <v>-56.888610999999997</v>
      </c>
      <c r="F2323" s="10">
        <v>-33.538887000000003</v>
      </c>
      <c r="G2323" s="10">
        <v>-3</v>
      </c>
      <c r="H2323" s="10" t="s">
        <v>1739</v>
      </c>
      <c r="I2323" s="10" t="s">
        <v>6939</v>
      </c>
      <c r="J2323" s="10" t="s">
        <v>6940</v>
      </c>
      <c r="K2323" s="10" t="s">
        <v>6941</v>
      </c>
      <c r="L2323" s="65" t="str">
        <f t="shared" si="183"/>
        <v>Trinidad|Uruguay|-56,888611|-33,538887|-3:00 America</v>
      </c>
      <c r="M2323" s="10" t="s">
        <v>6946</v>
      </c>
      <c r="N2323" s="10">
        <f t="shared" si="180"/>
        <v>0</v>
      </c>
      <c r="O2323" t="str">
        <f t="shared" si="184"/>
        <v/>
      </c>
      <c r="P2323" t="str">
        <f>IF(O2323=1,COUNTIF($O$2:O2323,1),"")</f>
        <v/>
      </c>
      <c r="Q2323" t="str">
        <f>IFERROR(INDEX($M$2:$M$2388,MATCH(ROWS($P$2:P2323),$P$2:$P$2388,0)),"")</f>
        <v/>
      </c>
    </row>
    <row r="2324" spans="1:17" ht="15" x14ac:dyDescent="0.25">
      <c r="A2324" s="10">
        <v>2286</v>
      </c>
      <c r="B2324" s="10" t="s">
        <v>6947</v>
      </c>
      <c r="C2324" s="880">
        <f t="shared" si="181"/>
        <v>-57.633299999999998</v>
      </c>
      <c r="D2324" s="880">
        <f t="shared" si="182"/>
        <v>-32.683300000000003</v>
      </c>
      <c r="E2324" s="10">
        <v>-57.633335000000002</v>
      </c>
      <c r="F2324" s="10">
        <v>-32.683334000000002</v>
      </c>
      <c r="G2324" s="10">
        <v>-3</v>
      </c>
      <c r="H2324" s="10" t="s">
        <v>1739</v>
      </c>
      <c r="I2324" s="10" t="s">
        <v>6939</v>
      </c>
      <c r="J2324" s="10" t="s">
        <v>6940</v>
      </c>
      <c r="K2324" s="10" t="s">
        <v>6941</v>
      </c>
      <c r="L2324" s="65" t="str">
        <f t="shared" si="183"/>
        <v>Young|Uruguay|-57,633335|-32,683334|-3:00 America</v>
      </c>
      <c r="M2324" s="10" t="s">
        <v>6948</v>
      </c>
      <c r="N2324" s="10">
        <f t="shared" si="180"/>
        <v>0</v>
      </c>
      <c r="O2324" t="str">
        <f t="shared" si="184"/>
        <v/>
      </c>
      <c r="P2324" t="str">
        <f>IF(O2324=1,COUNTIF($O$2:O2324,1),"")</f>
        <v/>
      </c>
      <c r="Q2324" t="str">
        <f>IFERROR(INDEX($M$2:$M$2388,MATCH(ROWS($P$2:P2324),$P$2:$P$2388,0)),"")</f>
        <v/>
      </c>
    </row>
    <row r="2325" spans="1:17" ht="15" x14ac:dyDescent="0.25">
      <c r="A2325" s="10">
        <v>2298</v>
      </c>
      <c r="B2325" s="10" t="s">
        <v>6949</v>
      </c>
      <c r="C2325" s="880">
        <f t="shared" si="181"/>
        <v>72.343800000000002</v>
      </c>
      <c r="D2325" s="880">
        <f t="shared" si="182"/>
        <v>40.783000000000001</v>
      </c>
      <c r="E2325" s="10">
        <v>72.343886999999995</v>
      </c>
      <c r="F2325" s="10">
        <v>40.783054</v>
      </c>
      <c r="G2325" s="10">
        <v>5</v>
      </c>
      <c r="H2325" s="10" t="s">
        <v>4585</v>
      </c>
      <c r="I2325" s="10" t="s">
        <v>6950</v>
      </c>
      <c r="J2325" s="10" t="s">
        <v>6951</v>
      </c>
      <c r="K2325" s="10" t="s">
        <v>6952</v>
      </c>
      <c r="L2325" s="65" t="str">
        <f t="shared" si="183"/>
        <v>Andijon|Uzbekistan|72,343887|40,783054|+5:00 Asia</v>
      </c>
      <c r="M2325" s="10" t="s">
        <v>6953</v>
      </c>
      <c r="N2325" s="10">
        <f t="shared" si="180"/>
        <v>0</v>
      </c>
      <c r="O2325" t="str">
        <f t="shared" si="184"/>
        <v/>
      </c>
      <c r="P2325" t="str">
        <f>IF(O2325=1,COUNTIF($O$2:O2325,1),"")</f>
        <v/>
      </c>
      <c r="Q2325" t="str">
        <f>IFERROR(INDEX($M$2:$M$2388,MATCH(ROWS($P$2:P2325),$P$2:$P$2388,0)),"")</f>
        <v/>
      </c>
    </row>
    <row r="2326" spans="1:17" ht="15" x14ac:dyDescent="0.25">
      <c r="A2326" s="10">
        <v>2295</v>
      </c>
      <c r="B2326" s="10" t="s">
        <v>6954</v>
      </c>
      <c r="C2326" s="880">
        <f t="shared" si="181"/>
        <v>64.428600000000003</v>
      </c>
      <c r="D2326" s="880">
        <f t="shared" si="182"/>
        <v>39.774700000000003</v>
      </c>
      <c r="E2326" s="10">
        <v>64.428612000000001</v>
      </c>
      <c r="F2326" s="10">
        <v>39.774723000000002</v>
      </c>
      <c r="G2326" s="10">
        <v>5</v>
      </c>
      <c r="H2326" s="10" t="s">
        <v>4585</v>
      </c>
      <c r="I2326" s="10" t="s">
        <v>6950</v>
      </c>
      <c r="J2326" s="10" t="s">
        <v>6951</v>
      </c>
      <c r="K2326" s="10" t="s">
        <v>6955</v>
      </c>
      <c r="L2326" s="65" t="str">
        <f t="shared" si="183"/>
        <v>Buxoro|Uzbekistan|64,428612|39,774723|+5:00 Asia</v>
      </c>
      <c r="M2326" s="10" t="s">
        <v>6956</v>
      </c>
      <c r="N2326" s="10">
        <f t="shared" si="180"/>
        <v>0</v>
      </c>
      <c r="O2326" t="str">
        <f t="shared" si="184"/>
        <v/>
      </c>
      <c r="P2326" t="str">
        <f>IF(O2326=1,COUNTIF($O$2:O2326,1),"")</f>
        <v/>
      </c>
      <c r="Q2326" t="str">
        <f>IFERROR(INDEX($M$2:$M$2388,MATCH(ROWS($P$2:P2326),$P$2:$P$2388,0)),"")</f>
        <v/>
      </c>
    </row>
    <row r="2327" spans="1:17" ht="15" x14ac:dyDescent="0.25">
      <c r="A2327" s="10">
        <v>2292</v>
      </c>
      <c r="B2327" s="10" t="s">
        <v>6957</v>
      </c>
      <c r="C2327" s="880">
        <f t="shared" si="181"/>
        <v>59.775199999999998</v>
      </c>
      <c r="D2327" s="880">
        <f t="shared" si="182"/>
        <v>42.9358</v>
      </c>
      <c r="E2327" s="10">
        <v>59.775275999999998</v>
      </c>
      <c r="F2327" s="10">
        <v>42.935833000000002</v>
      </c>
      <c r="G2327" s="10">
        <v>5</v>
      </c>
      <c r="H2327" s="10" t="s">
        <v>4585</v>
      </c>
      <c r="I2327" s="10" t="s">
        <v>6950</v>
      </c>
      <c r="J2327" s="10" t="s">
        <v>6951</v>
      </c>
      <c r="K2327" s="10" t="s">
        <v>6955</v>
      </c>
      <c r="L2327" s="65" t="str">
        <f t="shared" si="183"/>
        <v>Chimboy|Uzbekistan|59,775276|42,935833|+5:00 Asia</v>
      </c>
      <c r="M2327" s="10" t="s">
        <v>6958</v>
      </c>
      <c r="N2327" s="10">
        <f t="shared" si="180"/>
        <v>0</v>
      </c>
      <c r="O2327" t="str">
        <f t="shared" si="184"/>
        <v/>
      </c>
      <c r="P2327" t="str">
        <f>IF(O2327=1,COUNTIF($O$2:O2327,1),"")</f>
        <v/>
      </c>
      <c r="Q2327" t="str">
        <f>IFERROR(INDEX($M$2:$M$2388,MATCH(ROWS($P$2:P2327),$P$2:$P$2388,0)),"")</f>
        <v/>
      </c>
    </row>
    <row r="2328" spans="1:17" ht="15" x14ac:dyDescent="0.25">
      <c r="A2328" s="10">
        <v>2291</v>
      </c>
      <c r="B2328" s="10" t="s">
        <v>6959</v>
      </c>
      <c r="C2328" s="880">
        <f t="shared" si="181"/>
        <v>59.607700000000001</v>
      </c>
      <c r="D2328" s="880">
        <f t="shared" si="182"/>
        <v>42.776600000000002</v>
      </c>
      <c r="E2328" s="10">
        <v>59.607776999999999</v>
      </c>
      <c r="F2328" s="10">
        <v>42.776668999999998</v>
      </c>
      <c r="G2328" s="10">
        <v>5</v>
      </c>
      <c r="H2328" s="10" t="s">
        <v>4585</v>
      </c>
      <c r="I2328" s="10" t="s">
        <v>6950</v>
      </c>
      <c r="J2328" s="10" t="s">
        <v>6951</v>
      </c>
      <c r="K2328" s="10" t="s">
        <v>6955</v>
      </c>
      <c r="L2328" s="65" t="str">
        <f t="shared" si="183"/>
        <v>Kegayli|Uzbekistan|59,607777|42,776669|+5:00 Asia</v>
      </c>
      <c r="M2328" s="10" t="s">
        <v>6960</v>
      </c>
      <c r="N2328" s="10">
        <f t="shared" si="180"/>
        <v>0</v>
      </c>
      <c r="O2328" t="str">
        <f t="shared" si="184"/>
        <v/>
      </c>
      <c r="P2328" t="str">
        <f>IF(O2328=1,COUNTIF($O$2:O2328,1),"")</f>
        <v/>
      </c>
      <c r="Q2328" t="str">
        <f>IFERROR(INDEX($M$2:$M$2388,MATCH(ROWS($P$2:P2328),$P$2:$P$2388,0)),"")</f>
        <v/>
      </c>
    </row>
    <row r="2329" spans="1:17" ht="15" x14ac:dyDescent="0.25">
      <c r="A2329" s="10">
        <v>2297</v>
      </c>
      <c r="B2329" s="10" t="s">
        <v>6961</v>
      </c>
      <c r="C2329" s="880">
        <f t="shared" si="181"/>
        <v>71.672499999999999</v>
      </c>
      <c r="D2329" s="880">
        <f t="shared" si="182"/>
        <v>40.998199999999997</v>
      </c>
      <c r="E2329" s="10">
        <v>71.672568999999996</v>
      </c>
      <c r="F2329" s="10">
        <v>40.998299000000003</v>
      </c>
      <c r="G2329" s="10">
        <v>5</v>
      </c>
      <c r="H2329" s="10" t="s">
        <v>4585</v>
      </c>
      <c r="I2329" s="10" t="s">
        <v>6950</v>
      </c>
      <c r="J2329" s="10" t="s">
        <v>6951</v>
      </c>
      <c r="K2329" s="10" t="s">
        <v>6952</v>
      </c>
      <c r="L2329" s="65" t="str">
        <f t="shared" si="183"/>
        <v>Namangan|Uzbekistan|71,672569|40,998299|+5:00 Asia</v>
      </c>
      <c r="M2329" s="10" t="s">
        <v>6962</v>
      </c>
      <c r="N2329" s="10">
        <f t="shared" si="180"/>
        <v>0</v>
      </c>
      <c r="O2329" t="str">
        <f t="shared" si="184"/>
        <v/>
      </c>
      <c r="P2329" t="str">
        <f>IF(O2329=1,COUNTIF($O$2:O2329,1),"")</f>
        <v/>
      </c>
      <c r="Q2329" t="str">
        <f>IFERROR(INDEX($M$2:$M$2388,MATCH(ROWS($P$2:P2329),$P$2:$P$2388,0)),"")</f>
        <v/>
      </c>
    </row>
    <row r="2330" spans="1:17" ht="15" x14ac:dyDescent="0.25">
      <c r="A2330" s="10">
        <v>2290</v>
      </c>
      <c r="B2330" s="10" t="s">
        <v>6963</v>
      </c>
      <c r="C2330" s="880">
        <f t="shared" si="181"/>
        <v>59.610199999999999</v>
      </c>
      <c r="D2330" s="880">
        <f t="shared" si="182"/>
        <v>42.453000000000003</v>
      </c>
      <c r="E2330" s="10">
        <v>59.610278999999998</v>
      </c>
      <c r="F2330" s="10">
        <v>42.453055999999997</v>
      </c>
      <c r="G2330" s="10">
        <v>5</v>
      </c>
      <c r="H2330" s="10" t="s">
        <v>4585</v>
      </c>
      <c r="I2330" s="10" t="s">
        <v>6950</v>
      </c>
      <c r="J2330" s="10" t="s">
        <v>6951</v>
      </c>
      <c r="K2330" s="10" t="s">
        <v>6955</v>
      </c>
      <c r="L2330" s="65" t="str">
        <f t="shared" si="183"/>
        <v>Nukus|Uzbekistan|59,610279|42,453056|+5:00 Asia</v>
      </c>
      <c r="M2330" s="10" t="s">
        <v>6964</v>
      </c>
      <c r="N2330" s="10">
        <f t="shared" si="180"/>
        <v>0</v>
      </c>
      <c r="O2330" t="str">
        <f t="shared" si="184"/>
        <v/>
      </c>
      <c r="P2330" t="str">
        <f>IF(O2330=1,COUNTIF($O$2:O2330,1),"")</f>
        <v/>
      </c>
      <c r="Q2330" t="str">
        <f>IFERROR(INDEX($M$2:$M$2388,MATCH(ROWS($P$2:P2330),$P$2:$P$2388,0)),"")</f>
        <v/>
      </c>
    </row>
    <row r="2331" spans="1:17" ht="15" x14ac:dyDescent="0.25">
      <c r="A2331" s="10">
        <v>2294</v>
      </c>
      <c r="B2331" s="10" t="s">
        <v>6965</v>
      </c>
      <c r="C2331" s="880">
        <f t="shared" si="181"/>
        <v>65.797700000000006</v>
      </c>
      <c r="D2331" s="880">
        <f t="shared" si="182"/>
        <v>38.863300000000002</v>
      </c>
      <c r="E2331" s="10">
        <v>65.797775000000001</v>
      </c>
      <c r="F2331" s="10">
        <v>38.863334999999999</v>
      </c>
      <c r="G2331" s="10">
        <v>5</v>
      </c>
      <c r="H2331" s="10" t="s">
        <v>4585</v>
      </c>
      <c r="I2331" s="10" t="s">
        <v>6950</v>
      </c>
      <c r="J2331" s="10" t="s">
        <v>6951</v>
      </c>
      <c r="K2331" s="10" t="s">
        <v>6955</v>
      </c>
      <c r="L2331" s="65" t="str">
        <f t="shared" si="183"/>
        <v>Qarshi|Uzbekistan|65,797775|38,863335|+5:00 Asia</v>
      </c>
      <c r="M2331" s="10" t="s">
        <v>6966</v>
      </c>
      <c r="N2331" s="10">
        <f t="shared" si="180"/>
        <v>0</v>
      </c>
      <c r="O2331" t="str">
        <f t="shared" si="184"/>
        <v/>
      </c>
      <c r="P2331" t="str">
        <f>IF(O2331=1,COUNTIF($O$2:O2331,1),"")</f>
        <v/>
      </c>
      <c r="Q2331" t="str">
        <f>IFERROR(INDEX($M$2:$M$2388,MATCH(ROWS($P$2:P2331),$P$2:$P$2388,0)),"")</f>
        <v/>
      </c>
    </row>
    <row r="2332" spans="1:17" ht="15" x14ac:dyDescent="0.25">
      <c r="A2332" s="10">
        <v>2293</v>
      </c>
      <c r="B2332" s="10" t="s">
        <v>6967</v>
      </c>
      <c r="C2332" s="880">
        <f t="shared" si="181"/>
        <v>66.959699999999998</v>
      </c>
      <c r="D2332" s="880">
        <f t="shared" si="182"/>
        <v>39.6541</v>
      </c>
      <c r="E2332" s="10">
        <v>66.959723999999994</v>
      </c>
      <c r="F2332" s="10">
        <v>39.654167000000001</v>
      </c>
      <c r="G2332" s="10">
        <v>5</v>
      </c>
      <c r="H2332" s="10" t="s">
        <v>4585</v>
      </c>
      <c r="I2332" s="10" t="s">
        <v>6950</v>
      </c>
      <c r="J2332" s="10" t="s">
        <v>6951</v>
      </c>
      <c r="K2332" s="10" t="s">
        <v>6955</v>
      </c>
      <c r="L2332" s="65" t="str">
        <f t="shared" si="183"/>
        <v>Samarqand|Uzbekistan|66,959724|39,654167|+5:00 Asia</v>
      </c>
      <c r="M2332" s="10" t="s">
        <v>6968</v>
      </c>
      <c r="N2332" s="10">
        <f t="shared" si="180"/>
        <v>0</v>
      </c>
      <c r="O2332" t="str">
        <f t="shared" si="184"/>
        <v/>
      </c>
      <c r="P2332" t="str">
        <f>IF(O2332=1,COUNTIF($O$2:O2332,1),"")</f>
        <v/>
      </c>
      <c r="Q2332" t="str">
        <f>IFERROR(INDEX($M$2:$M$2388,MATCH(ROWS($P$2:P2332),$P$2:$P$2388,0)),"")</f>
        <v/>
      </c>
    </row>
    <row r="2333" spans="1:17" ht="15" x14ac:dyDescent="0.25">
      <c r="A2333" s="10">
        <v>2296</v>
      </c>
      <c r="B2333" s="10" t="s">
        <v>6969</v>
      </c>
      <c r="C2333" s="880">
        <f t="shared" si="181"/>
        <v>69.25</v>
      </c>
      <c r="D2333" s="880">
        <f t="shared" si="182"/>
        <v>41.316600000000001</v>
      </c>
      <c r="E2333" s="10">
        <v>69.25</v>
      </c>
      <c r="F2333" s="10">
        <v>41.316665999999998</v>
      </c>
      <c r="G2333" s="10">
        <v>5</v>
      </c>
      <c r="H2333" s="10" t="s">
        <v>4585</v>
      </c>
      <c r="I2333" s="10" t="s">
        <v>6950</v>
      </c>
      <c r="J2333" s="10" t="s">
        <v>6951</v>
      </c>
      <c r="K2333" s="10" t="s">
        <v>6952</v>
      </c>
      <c r="L2333" s="65" t="str">
        <f t="shared" si="183"/>
        <v>Tashkent|Uzbekistan|69,250000|41,316666|+5:00 Asia</v>
      </c>
      <c r="M2333" s="10" t="s">
        <v>6970</v>
      </c>
      <c r="N2333" s="10">
        <f t="shared" si="180"/>
        <v>0</v>
      </c>
      <c r="O2333" t="str">
        <f t="shared" si="184"/>
        <v/>
      </c>
      <c r="P2333" t="str">
        <f>IF(O2333=1,COUNTIF($O$2:O2333,1),"")</f>
        <v/>
      </c>
      <c r="Q2333" t="str">
        <f>IFERROR(INDEX($M$2:$M$2388,MATCH(ROWS($P$2:P2333),$P$2:$P$2388,0)),"")</f>
        <v/>
      </c>
    </row>
    <row r="2334" spans="1:17" ht="15" x14ac:dyDescent="0.25">
      <c r="A2334" s="10">
        <v>2333</v>
      </c>
      <c r="B2334" s="10" t="s">
        <v>6971</v>
      </c>
      <c r="C2334" s="880">
        <f t="shared" si="181"/>
        <v>167.16659999999999</v>
      </c>
      <c r="D2334" s="880">
        <f t="shared" si="182"/>
        <v>-15.533300000000001</v>
      </c>
      <c r="E2334" s="10">
        <v>167.16667200000001</v>
      </c>
      <c r="F2334" s="10">
        <v>-15.533333000000001</v>
      </c>
      <c r="G2334" s="10">
        <v>11</v>
      </c>
      <c r="H2334" s="10" t="s">
        <v>5195</v>
      </c>
      <c r="I2334" s="10" t="s">
        <v>6972</v>
      </c>
      <c r="J2334" s="10" t="s">
        <v>6973</v>
      </c>
      <c r="K2334" s="10" t="s">
        <v>6974</v>
      </c>
      <c r="L2334" s="65" t="str">
        <f t="shared" si="183"/>
        <v>Luganville|Vanuatu|167,166672|-15,533333|+11:00 Pacific</v>
      </c>
      <c r="M2334" s="10" t="s">
        <v>6975</v>
      </c>
      <c r="N2334" s="10">
        <f t="shared" si="180"/>
        <v>0</v>
      </c>
      <c r="O2334" t="str">
        <f t="shared" si="184"/>
        <v/>
      </c>
      <c r="P2334" t="str">
        <f>IF(O2334=1,COUNTIF($O$2:O2334,1),"")</f>
        <v/>
      </c>
      <c r="Q2334" t="str">
        <f>IFERROR(INDEX($M$2:$M$2388,MATCH(ROWS($P$2:P2334),$P$2:$P$2388,0)),"")</f>
        <v/>
      </c>
    </row>
    <row r="2335" spans="1:17" ht="15" x14ac:dyDescent="0.25">
      <c r="A2335" s="10">
        <v>2332</v>
      </c>
      <c r="B2335" s="10" t="s">
        <v>6976</v>
      </c>
      <c r="C2335" s="880">
        <f t="shared" si="181"/>
        <v>168.31659999999999</v>
      </c>
      <c r="D2335" s="880">
        <f t="shared" si="182"/>
        <v>-17.7333</v>
      </c>
      <c r="E2335" s="10">
        <v>168.316666</v>
      </c>
      <c r="F2335" s="10">
        <v>-17.733333999999999</v>
      </c>
      <c r="G2335" s="10">
        <v>11</v>
      </c>
      <c r="H2335" s="10" t="s">
        <v>5195</v>
      </c>
      <c r="I2335" s="10" t="s">
        <v>6972</v>
      </c>
      <c r="J2335" s="10" t="s">
        <v>6973</v>
      </c>
      <c r="K2335" s="10" t="s">
        <v>6974</v>
      </c>
      <c r="L2335" s="65" t="str">
        <f t="shared" si="183"/>
        <v>Port-Vila|Vanuatu|168,316666|-17,733334|+11:00 Pacific</v>
      </c>
      <c r="M2335" s="10" t="s">
        <v>6977</v>
      </c>
      <c r="N2335" s="10">
        <f t="shared" si="180"/>
        <v>0</v>
      </c>
      <c r="O2335" t="str">
        <f t="shared" si="184"/>
        <v/>
      </c>
      <c r="P2335" t="str">
        <f>IF(O2335=1,COUNTIF($O$2:O2335,1),"")</f>
        <v/>
      </c>
      <c r="Q2335" t="str">
        <f>IFERROR(INDEX($M$2:$M$2388,MATCH(ROWS($P$2:P2335),$P$2:$P$2388,0)),"")</f>
        <v/>
      </c>
    </row>
    <row r="2336" spans="1:17" ht="15" x14ac:dyDescent="0.25">
      <c r="A2336" s="10">
        <v>2302</v>
      </c>
      <c r="B2336" s="10" t="s">
        <v>6978</v>
      </c>
      <c r="C2336" s="880">
        <f t="shared" si="181"/>
        <v>-70.222200000000001</v>
      </c>
      <c r="D2336" s="880">
        <f t="shared" si="182"/>
        <v>8.5944000000000003</v>
      </c>
      <c r="E2336" s="10">
        <v>-70.222221000000005</v>
      </c>
      <c r="F2336" s="10">
        <v>8.5944439999999993</v>
      </c>
      <c r="G2336" s="10">
        <v>-4</v>
      </c>
      <c r="H2336" s="10" t="s">
        <v>1733</v>
      </c>
      <c r="I2336" s="10" t="s">
        <v>6979</v>
      </c>
      <c r="J2336" s="10" t="s">
        <v>6980</v>
      </c>
      <c r="K2336" s="10" t="s">
        <v>6981</v>
      </c>
      <c r="L2336" s="65" t="str">
        <f t="shared" si="183"/>
        <v>Alto Barinas|Venezuela|-70,222221|8,594444|-4:00 America</v>
      </c>
      <c r="M2336" s="10" t="s">
        <v>6982</v>
      </c>
      <c r="N2336" s="10">
        <f t="shared" si="180"/>
        <v>0</v>
      </c>
      <c r="O2336" t="str">
        <f t="shared" si="184"/>
        <v/>
      </c>
      <c r="P2336" t="str">
        <f>IF(O2336=1,COUNTIF($O$2:O2336,1),"")</f>
        <v/>
      </c>
      <c r="Q2336" t="str">
        <f>IFERROR(INDEX($M$2:$M$2388,MATCH(ROWS($P$2:P2336),$P$2:$P$2388,0)),"")</f>
        <v/>
      </c>
    </row>
    <row r="2337" spans="1:17" ht="15" x14ac:dyDescent="0.25">
      <c r="A2337" s="10">
        <v>2301</v>
      </c>
      <c r="B2337" s="10" t="s">
        <v>6983</v>
      </c>
      <c r="C2337" s="880">
        <f t="shared" si="181"/>
        <v>-64.472700000000003</v>
      </c>
      <c r="D2337" s="880">
        <f t="shared" si="182"/>
        <v>9.4388000000000005</v>
      </c>
      <c r="E2337" s="10">
        <v>-64.472778000000005</v>
      </c>
      <c r="F2337" s="10">
        <v>9.4388889999999996</v>
      </c>
      <c r="G2337" s="10">
        <v>-4</v>
      </c>
      <c r="H2337" s="10" t="s">
        <v>1733</v>
      </c>
      <c r="I2337" s="10" t="s">
        <v>6979</v>
      </c>
      <c r="J2337" s="10" t="s">
        <v>6980</v>
      </c>
      <c r="K2337" s="10" t="s">
        <v>6981</v>
      </c>
      <c r="L2337" s="65" t="str">
        <f t="shared" si="183"/>
        <v>Anaco|Venezuela|-64,472778|9,438889|-4:00 America</v>
      </c>
      <c r="M2337" s="10" t="s">
        <v>6984</v>
      </c>
      <c r="N2337" s="10">
        <f t="shared" si="180"/>
        <v>0</v>
      </c>
      <c r="O2337" t="str">
        <f t="shared" si="184"/>
        <v/>
      </c>
      <c r="P2337" t="str">
        <f>IF(O2337=1,COUNTIF($O$2:O2337,1),"")</f>
        <v/>
      </c>
      <c r="Q2337" t="str">
        <f>IFERROR(INDEX($M$2:$M$2388,MATCH(ROWS($P$2:P2337),$P$2:$P$2388,0)),"")</f>
        <v/>
      </c>
    </row>
    <row r="2338" spans="1:17" ht="15" x14ac:dyDescent="0.25">
      <c r="A2338" s="10">
        <v>2316</v>
      </c>
      <c r="B2338" s="10" t="s">
        <v>6209</v>
      </c>
      <c r="C2338" s="880">
        <f t="shared" si="181"/>
        <v>-64.6999</v>
      </c>
      <c r="D2338" s="880">
        <f t="shared" si="182"/>
        <v>10.1333</v>
      </c>
      <c r="E2338" s="10">
        <v>-64.699996999999996</v>
      </c>
      <c r="F2338" s="10">
        <v>10.133333</v>
      </c>
      <c r="G2338" s="10">
        <v>-4</v>
      </c>
      <c r="H2338" s="10" t="s">
        <v>1670</v>
      </c>
      <c r="I2338" s="10" t="s">
        <v>6979</v>
      </c>
      <c r="J2338" s="10" t="s">
        <v>6980</v>
      </c>
      <c r="K2338" s="10" t="s">
        <v>6203</v>
      </c>
      <c r="L2338" s="65" t="str">
        <f t="shared" si="183"/>
        <v>Barcelona|Venezuela|-64,699997|10,133333|+1:00 Europe</v>
      </c>
      <c r="M2338" s="10" t="s">
        <v>6985</v>
      </c>
      <c r="N2338" s="10">
        <f t="shared" si="180"/>
        <v>0</v>
      </c>
      <c r="O2338" t="str">
        <f t="shared" si="184"/>
        <v/>
      </c>
      <c r="P2338" t="str">
        <f>IF(O2338=1,COUNTIF($O$2:O2338,1),"")</f>
        <v/>
      </c>
      <c r="Q2338" t="str">
        <f>IFERROR(INDEX($M$2:$M$2388,MATCH(ROWS($P$2:P2338),$P$2:$P$2388,0)),"")</f>
        <v/>
      </c>
    </row>
    <row r="2339" spans="1:17" ht="15" x14ac:dyDescent="0.25">
      <c r="A2339" s="10">
        <v>2315</v>
      </c>
      <c r="B2339" s="10" t="s">
        <v>6986</v>
      </c>
      <c r="C2339" s="880">
        <f t="shared" si="181"/>
        <v>-69.322699999999998</v>
      </c>
      <c r="D2339" s="880">
        <f t="shared" si="182"/>
        <v>10.0738</v>
      </c>
      <c r="E2339" s="10">
        <v>-69.322777000000002</v>
      </c>
      <c r="F2339" s="10">
        <v>10.073888999999999</v>
      </c>
      <c r="G2339" s="10">
        <v>-4</v>
      </c>
      <c r="H2339" s="10" t="s">
        <v>1733</v>
      </c>
      <c r="I2339" s="10" t="s">
        <v>6979</v>
      </c>
      <c r="J2339" s="10" t="s">
        <v>6980</v>
      </c>
      <c r="K2339" s="10" t="s">
        <v>6981</v>
      </c>
      <c r="L2339" s="65" t="str">
        <f t="shared" si="183"/>
        <v>Barquisimeto|Venezuela|-69,322777|10,073889|-4:00 America</v>
      </c>
      <c r="M2339" s="10" t="s">
        <v>6987</v>
      </c>
      <c r="N2339" s="10">
        <f t="shared" si="180"/>
        <v>0</v>
      </c>
      <c r="O2339" t="str">
        <f t="shared" si="184"/>
        <v/>
      </c>
      <c r="P2339" t="str">
        <f>IF(O2339=1,COUNTIF($O$2:O2339,1),"")</f>
        <v/>
      </c>
      <c r="Q2339" t="str">
        <f>IFERROR(INDEX($M$2:$M$2388,MATCH(ROWS($P$2:P2339),$P$2:$P$2388,0)),"")</f>
        <v/>
      </c>
    </row>
    <row r="2340" spans="1:17" ht="15" x14ac:dyDescent="0.25">
      <c r="A2340" s="10">
        <v>2314</v>
      </c>
      <c r="B2340" s="10" t="s">
        <v>6988</v>
      </c>
      <c r="C2340" s="880">
        <f t="shared" si="181"/>
        <v>-66.883300000000006</v>
      </c>
      <c r="D2340" s="880">
        <f t="shared" si="182"/>
        <v>10.433299999999999</v>
      </c>
      <c r="E2340" s="10">
        <v>-66.883330999999998</v>
      </c>
      <c r="F2340" s="10">
        <v>10.433332999999999</v>
      </c>
      <c r="G2340" s="10">
        <v>-4</v>
      </c>
      <c r="H2340" s="10" t="s">
        <v>1733</v>
      </c>
      <c r="I2340" s="10" t="s">
        <v>6979</v>
      </c>
      <c r="J2340" s="10" t="s">
        <v>6980</v>
      </c>
      <c r="K2340" s="10" t="s">
        <v>6981</v>
      </c>
      <c r="L2340" s="65" t="str">
        <f t="shared" si="183"/>
        <v>Baruta|Venezuela|-66,883331|10,433333|-4:00 America</v>
      </c>
      <c r="M2340" s="10" t="s">
        <v>6989</v>
      </c>
      <c r="N2340" s="10">
        <f t="shared" si="180"/>
        <v>0</v>
      </c>
      <c r="O2340" t="str">
        <f t="shared" si="184"/>
        <v/>
      </c>
      <c r="P2340" t="str">
        <f>IF(O2340=1,COUNTIF($O$2:O2340,1),"")</f>
        <v/>
      </c>
      <c r="Q2340" t="str">
        <f>IFERROR(INDEX($M$2:$M$2388,MATCH(ROWS($P$2:P2340),$P$2:$P$2388,0)),"")</f>
        <v/>
      </c>
    </row>
    <row r="2341" spans="1:17" ht="15" x14ac:dyDescent="0.25">
      <c r="A2341" s="10">
        <v>2313</v>
      </c>
      <c r="B2341" s="10" t="s">
        <v>6990</v>
      </c>
      <c r="C2341" s="880">
        <f t="shared" si="181"/>
        <v>-71.446100000000001</v>
      </c>
      <c r="D2341" s="880">
        <f t="shared" si="182"/>
        <v>10.401899999999999</v>
      </c>
      <c r="E2341" s="10">
        <v>-71.446113999999994</v>
      </c>
      <c r="F2341" s="10">
        <v>10.401944</v>
      </c>
      <c r="G2341" s="10">
        <v>-4</v>
      </c>
      <c r="H2341" s="10" t="s">
        <v>1733</v>
      </c>
      <c r="I2341" s="10" t="s">
        <v>6979</v>
      </c>
      <c r="J2341" s="10" t="s">
        <v>6980</v>
      </c>
      <c r="K2341" s="10" t="s">
        <v>6981</v>
      </c>
      <c r="L2341" s="65" t="str">
        <f t="shared" si="183"/>
        <v>Cabimas|Venezuela|-71,446114|10,401944|-4:00 America</v>
      </c>
      <c r="M2341" s="10" t="s">
        <v>6991</v>
      </c>
      <c r="N2341" s="10">
        <f t="shared" si="180"/>
        <v>0</v>
      </c>
      <c r="O2341" t="str">
        <f t="shared" si="184"/>
        <v/>
      </c>
      <c r="P2341" t="str">
        <f>IF(O2341=1,COUNTIF($O$2:O2341,1),"")</f>
        <v/>
      </c>
      <c r="Q2341" t="str">
        <f>IFERROR(INDEX($M$2:$M$2388,MATCH(ROWS($P$2:P2341),$P$2:$P$2388,0)),"")</f>
        <v/>
      </c>
    </row>
    <row r="2342" spans="1:17" ht="15" x14ac:dyDescent="0.25">
      <c r="A2342" s="10">
        <v>2312</v>
      </c>
      <c r="B2342" s="10" t="s">
        <v>6992</v>
      </c>
      <c r="C2342" s="880">
        <f t="shared" si="181"/>
        <v>-66.916600000000003</v>
      </c>
      <c r="D2342" s="880">
        <f t="shared" si="182"/>
        <v>10.5</v>
      </c>
      <c r="E2342" s="10">
        <v>-66.916663999999997</v>
      </c>
      <c r="F2342" s="10">
        <v>10.5</v>
      </c>
      <c r="G2342" s="10">
        <v>-4</v>
      </c>
      <c r="H2342" s="10" t="s">
        <v>1733</v>
      </c>
      <c r="I2342" s="10" t="s">
        <v>6979</v>
      </c>
      <c r="J2342" s="10" t="s">
        <v>6980</v>
      </c>
      <c r="K2342" s="10" t="s">
        <v>6981</v>
      </c>
      <c r="L2342" s="65" t="str">
        <f t="shared" si="183"/>
        <v>Caracas|Venezuela|-66,916664|10,500000|-4:00 America</v>
      </c>
      <c r="M2342" s="10" t="s">
        <v>6993</v>
      </c>
      <c r="N2342" s="10">
        <f t="shared" si="180"/>
        <v>0</v>
      </c>
      <c r="O2342" t="str">
        <f t="shared" si="184"/>
        <v/>
      </c>
      <c r="P2342" t="str">
        <f>IF(O2342=1,COUNTIF($O$2:O2342,1),"")</f>
        <v/>
      </c>
      <c r="Q2342" t="str">
        <f>IFERROR(INDEX($M$2:$M$2388,MATCH(ROWS($P$2:P2342),$P$2:$P$2388,0)),"")</f>
        <v/>
      </c>
    </row>
    <row r="2343" spans="1:17" ht="15" x14ac:dyDescent="0.25">
      <c r="A2343" s="10">
        <v>2311</v>
      </c>
      <c r="B2343" s="10" t="s">
        <v>6994</v>
      </c>
      <c r="C2343" s="880">
        <f t="shared" si="181"/>
        <v>-62.652700000000003</v>
      </c>
      <c r="D2343" s="880">
        <f t="shared" si="182"/>
        <v>8.3533000000000008</v>
      </c>
      <c r="E2343" s="10">
        <v>-62.652779000000002</v>
      </c>
      <c r="F2343" s="10">
        <v>8.3533329999999992</v>
      </c>
      <c r="G2343" s="10">
        <v>-4</v>
      </c>
      <c r="H2343" s="10" t="s">
        <v>1733</v>
      </c>
      <c r="I2343" s="10" t="s">
        <v>6979</v>
      </c>
      <c r="J2343" s="10" t="s">
        <v>6980</v>
      </c>
      <c r="K2343" s="10" t="s">
        <v>6981</v>
      </c>
      <c r="L2343" s="65" t="str">
        <f t="shared" si="183"/>
        <v>Ciudad Guayana|Venezuela|-62,652779|8,353333|-4:00 America</v>
      </c>
      <c r="M2343" s="10" t="s">
        <v>6995</v>
      </c>
      <c r="N2343" s="10">
        <f t="shared" si="180"/>
        <v>0</v>
      </c>
      <c r="O2343" t="str">
        <f t="shared" si="184"/>
        <v/>
      </c>
      <c r="P2343" t="str">
        <f>IF(O2343=1,COUNTIF($O$2:O2343,1),"")</f>
        <v/>
      </c>
      <c r="Q2343" t="str">
        <f>IFERROR(INDEX($M$2:$M$2388,MATCH(ROWS($P$2:P2343),$P$2:$P$2388,0)),"")</f>
        <v/>
      </c>
    </row>
    <row r="2344" spans="1:17" ht="15" x14ac:dyDescent="0.25">
      <c r="A2344" s="10">
        <v>2310</v>
      </c>
      <c r="B2344" s="10" t="s">
        <v>6996</v>
      </c>
      <c r="C2344" s="880">
        <f t="shared" si="181"/>
        <v>-64.166600000000003</v>
      </c>
      <c r="D2344" s="880">
        <f t="shared" si="182"/>
        <v>10.4666</v>
      </c>
      <c r="E2344" s="10">
        <v>-64.166663999999997</v>
      </c>
      <c r="F2344" s="10">
        <v>10.466666999999999</v>
      </c>
      <c r="G2344" s="10">
        <v>-4</v>
      </c>
      <c r="H2344" s="10" t="s">
        <v>1733</v>
      </c>
      <c r="I2344" s="10" t="s">
        <v>6979</v>
      </c>
      <c r="J2344" s="10" t="s">
        <v>6980</v>
      </c>
      <c r="K2344" s="10" t="s">
        <v>6981</v>
      </c>
      <c r="L2344" s="65" t="str">
        <f t="shared" si="183"/>
        <v>Cumana|Venezuela|-64,166664|10,466667|-4:00 America</v>
      </c>
      <c r="M2344" s="10" t="s">
        <v>6997</v>
      </c>
      <c r="N2344" s="10">
        <f t="shared" si="180"/>
        <v>0</v>
      </c>
      <c r="O2344" t="str">
        <f t="shared" si="184"/>
        <v/>
      </c>
      <c r="P2344" t="str">
        <f>IF(O2344=1,COUNTIF($O$2:O2344,1),"")</f>
        <v/>
      </c>
      <c r="Q2344" t="str">
        <f>IFERROR(INDEX($M$2:$M$2388,MATCH(ROWS($P$2:P2344),$P$2:$P$2388,0)),"")</f>
        <v/>
      </c>
    </row>
    <row r="2345" spans="1:17" ht="15" x14ac:dyDescent="0.25">
      <c r="A2345" s="10">
        <v>2300</v>
      </c>
      <c r="B2345" s="10" t="s">
        <v>6998</v>
      </c>
      <c r="C2345" s="880">
        <f t="shared" si="181"/>
        <v>-63.862699999999997</v>
      </c>
      <c r="D2345" s="880">
        <f t="shared" si="182"/>
        <v>11.033300000000001</v>
      </c>
      <c r="E2345" s="10">
        <v>-63.862777999999999</v>
      </c>
      <c r="F2345" s="10">
        <v>11.033333000000001</v>
      </c>
      <c r="G2345" s="10">
        <v>-4</v>
      </c>
      <c r="H2345" s="10" t="s">
        <v>1733</v>
      </c>
      <c r="I2345" s="10" t="s">
        <v>6979</v>
      </c>
      <c r="J2345" s="10" t="s">
        <v>6980</v>
      </c>
      <c r="K2345" s="10" t="s">
        <v>6981</v>
      </c>
      <c r="L2345" s="65" t="str">
        <f t="shared" si="183"/>
        <v>La Asuncion|Venezuela|-63,862778|11,033333|-4:00 America</v>
      </c>
      <c r="M2345" s="10" t="s">
        <v>6999</v>
      </c>
      <c r="N2345" s="10">
        <f t="shared" si="180"/>
        <v>0</v>
      </c>
      <c r="O2345" t="str">
        <f t="shared" si="184"/>
        <v/>
      </c>
      <c r="P2345" t="str">
        <f>IF(O2345=1,COUNTIF($O$2:O2345,1),"")</f>
        <v/>
      </c>
      <c r="Q2345" t="str">
        <f>IFERROR(INDEX($M$2:$M$2388,MATCH(ROWS($P$2:P2345),$P$2:$P$2388,0)),"")</f>
        <v/>
      </c>
    </row>
    <row r="2346" spans="1:17" ht="15" x14ac:dyDescent="0.25">
      <c r="A2346" s="10">
        <v>2309</v>
      </c>
      <c r="B2346" s="10" t="s">
        <v>7000</v>
      </c>
      <c r="C2346" s="880">
        <f t="shared" si="181"/>
        <v>-71.640500000000003</v>
      </c>
      <c r="D2346" s="880">
        <f t="shared" si="182"/>
        <v>10.631600000000001</v>
      </c>
      <c r="E2346" s="10">
        <v>-71.640556000000004</v>
      </c>
      <c r="F2346" s="10">
        <v>10.631667</v>
      </c>
      <c r="G2346" s="10">
        <v>-4</v>
      </c>
      <c r="H2346" s="10" t="s">
        <v>1733</v>
      </c>
      <c r="I2346" s="10" t="s">
        <v>6979</v>
      </c>
      <c r="J2346" s="10" t="s">
        <v>6980</v>
      </c>
      <c r="K2346" s="10" t="s">
        <v>6981</v>
      </c>
      <c r="L2346" s="65" t="str">
        <f t="shared" si="183"/>
        <v>Maracaibo|Venezuela|-71,640556|10,631667|-4:00 America</v>
      </c>
      <c r="M2346" s="10" t="s">
        <v>7001</v>
      </c>
      <c r="N2346" s="10">
        <f t="shared" si="180"/>
        <v>0</v>
      </c>
      <c r="O2346" t="str">
        <f t="shared" si="184"/>
        <v/>
      </c>
      <c r="P2346" t="str">
        <f>IF(O2346=1,COUNTIF($O$2:O2346,1),"")</f>
        <v/>
      </c>
      <c r="Q2346" t="str">
        <f>IFERROR(INDEX($M$2:$M$2388,MATCH(ROWS($P$2:P2346),$P$2:$P$2388,0)),"")</f>
        <v/>
      </c>
    </row>
    <row r="2347" spans="1:17" ht="15" x14ac:dyDescent="0.25">
      <c r="A2347" s="10">
        <v>2317</v>
      </c>
      <c r="B2347" s="10" t="s">
        <v>7002</v>
      </c>
      <c r="C2347" s="880">
        <f t="shared" si="181"/>
        <v>-63.176600000000001</v>
      </c>
      <c r="D2347" s="880">
        <f t="shared" si="182"/>
        <v>9.75</v>
      </c>
      <c r="E2347" s="10">
        <v>-63.176665999999997</v>
      </c>
      <c r="F2347" s="10">
        <v>9.75</v>
      </c>
      <c r="G2347" s="10">
        <v>-4</v>
      </c>
      <c r="H2347" s="10" t="s">
        <v>1733</v>
      </c>
      <c r="I2347" s="10" t="s">
        <v>6979</v>
      </c>
      <c r="J2347" s="10" t="s">
        <v>6980</v>
      </c>
      <c r="K2347" s="10" t="s">
        <v>6981</v>
      </c>
      <c r="L2347" s="65" t="str">
        <f t="shared" si="183"/>
        <v>Maturin|Venezuela|-63,176666|9,750000|-4:00 America</v>
      </c>
      <c r="M2347" s="10" t="s">
        <v>7003</v>
      </c>
      <c r="N2347" s="10">
        <f t="shared" si="180"/>
        <v>0</v>
      </c>
      <c r="O2347" t="str">
        <f t="shared" si="184"/>
        <v/>
      </c>
      <c r="P2347" t="str">
        <f>IF(O2347=1,COUNTIF($O$2:O2347,1),"")</f>
        <v/>
      </c>
      <c r="Q2347" t="str">
        <f>IFERROR(INDEX($M$2:$M$2388,MATCH(ROWS($P$2:P2347),$P$2:$P$2388,0)),"")</f>
        <v/>
      </c>
    </row>
    <row r="2348" spans="1:17" ht="15" x14ac:dyDescent="0.25">
      <c r="A2348" s="10">
        <v>2308</v>
      </c>
      <c r="B2348" s="10" t="s">
        <v>7004</v>
      </c>
      <c r="C2348" s="880">
        <f t="shared" si="181"/>
        <v>-71.133300000000006</v>
      </c>
      <c r="D2348" s="880">
        <f t="shared" si="182"/>
        <v>8.4166000000000007</v>
      </c>
      <c r="E2348" s="10">
        <v>-71.133330999999998</v>
      </c>
      <c r="F2348" s="10">
        <v>8.4166670000000003</v>
      </c>
      <c r="G2348" s="10">
        <v>-4</v>
      </c>
      <c r="H2348" s="10" t="s">
        <v>1733</v>
      </c>
      <c r="I2348" s="10" t="s">
        <v>6979</v>
      </c>
      <c r="J2348" s="10" t="s">
        <v>6980</v>
      </c>
      <c r="K2348" s="10" t="s">
        <v>6981</v>
      </c>
      <c r="L2348" s="65" t="str">
        <f t="shared" si="183"/>
        <v>Mucumpiz|Venezuela|-71,133331|8,416667|-4:00 America</v>
      </c>
      <c r="M2348" s="10" t="s">
        <v>7005</v>
      </c>
      <c r="N2348" s="10">
        <f t="shared" si="180"/>
        <v>0</v>
      </c>
      <c r="O2348" t="str">
        <f t="shared" si="184"/>
        <v/>
      </c>
      <c r="P2348" t="str">
        <f>IF(O2348=1,COUNTIF($O$2:O2348,1),"")</f>
        <v/>
      </c>
      <c r="Q2348" t="str">
        <f>IFERROR(INDEX($M$2:$M$2388,MATCH(ROWS($P$2:P2348),$P$2:$P$2388,0)),"")</f>
        <v/>
      </c>
    </row>
    <row r="2349" spans="1:17" ht="15" x14ac:dyDescent="0.25">
      <c r="A2349" s="10">
        <v>2307</v>
      </c>
      <c r="B2349" s="10" t="s">
        <v>7006</v>
      </c>
      <c r="C2349" s="880">
        <f t="shared" si="181"/>
        <v>-66.816599999999994</v>
      </c>
      <c r="D2349" s="880">
        <f t="shared" si="182"/>
        <v>10.4833</v>
      </c>
      <c r="E2349" s="10">
        <v>-66.816665999999998</v>
      </c>
      <c r="F2349" s="10">
        <v>10.483333999999999</v>
      </c>
      <c r="G2349" s="10">
        <v>-4</v>
      </c>
      <c r="H2349" s="10" t="s">
        <v>1733</v>
      </c>
      <c r="I2349" s="10" t="s">
        <v>6979</v>
      </c>
      <c r="J2349" s="10" t="s">
        <v>6980</v>
      </c>
      <c r="K2349" s="10" t="s">
        <v>6981</v>
      </c>
      <c r="L2349" s="65" t="str">
        <f t="shared" si="183"/>
        <v>Petare|Venezuela|-66,816666|10,483334|-4:00 America</v>
      </c>
      <c r="M2349" s="10" t="s">
        <v>7007</v>
      </c>
      <c r="N2349" s="10">
        <f t="shared" si="180"/>
        <v>0</v>
      </c>
      <c r="O2349" t="str">
        <f t="shared" si="184"/>
        <v/>
      </c>
      <c r="P2349" t="str">
        <f>IF(O2349=1,COUNTIF($O$2:O2349,1),"")</f>
        <v/>
      </c>
      <c r="Q2349" t="str">
        <f>IFERROR(INDEX($M$2:$M$2388,MATCH(ROWS($P$2:P2349),$P$2:$P$2388,0)),"")</f>
        <v/>
      </c>
    </row>
    <row r="2350" spans="1:17" ht="15" x14ac:dyDescent="0.25">
      <c r="A2350" s="10">
        <v>2306</v>
      </c>
      <c r="B2350" s="10" t="s">
        <v>7008</v>
      </c>
      <c r="C2350" s="880">
        <f t="shared" si="181"/>
        <v>-72.224900000000005</v>
      </c>
      <c r="D2350" s="880">
        <f t="shared" si="182"/>
        <v>7.7668999999999997</v>
      </c>
      <c r="E2350" s="10">
        <v>-72.224997999999999</v>
      </c>
      <c r="F2350" s="10">
        <v>7.7669439999999996</v>
      </c>
      <c r="G2350" s="10">
        <v>-4</v>
      </c>
      <c r="H2350" s="10" t="s">
        <v>1733</v>
      </c>
      <c r="I2350" s="10" t="s">
        <v>6979</v>
      </c>
      <c r="J2350" s="10" t="s">
        <v>6980</v>
      </c>
      <c r="K2350" s="10" t="s">
        <v>6981</v>
      </c>
      <c r="L2350" s="65" t="str">
        <f t="shared" si="183"/>
        <v>San Cristobal|Venezuela|-72,224998|7,766944|-4:00 America</v>
      </c>
      <c r="M2350" s="10" t="s">
        <v>7009</v>
      </c>
      <c r="N2350" s="10">
        <f t="shared" si="180"/>
        <v>0</v>
      </c>
      <c r="O2350" t="str">
        <f t="shared" si="184"/>
        <v/>
      </c>
      <c r="P2350" t="str">
        <f>IF(O2350=1,COUNTIF($O$2:O2350,1),"")</f>
        <v/>
      </c>
      <c r="Q2350" t="str">
        <f>IFERROR(INDEX($M$2:$M$2388,MATCH(ROWS($P$2:P2350),$P$2:$P$2388,0)),"")</f>
        <v/>
      </c>
    </row>
    <row r="2351" spans="1:17" ht="15" x14ac:dyDescent="0.25">
      <c r="A2351" s="10">
        <v>2305</v>
      </c>
      <c r="B2351" s="10" t="s">
        <v>7010</v>
      </c>
      <c r="C2351" s="880">
        <f t="shared" si="181"/>
        <v>-66.663600000000002</v>
      </c>
      <c r="D2351" s="880">
        <f t="shared" si="182"/>
        <v>10.231299999999999</v>
      </c>
      <c r="E2351" s="10">
        <v>-66.663612000000001</v>
      </c>
      <c r="F2351" s="10">
        <v>10.231389</v>
      </c>
      <c r="G2351" s="10">
        <v>-4</v>
      </c>
      <c r="H2351" s="10" t="s">
        <v>1733</v>
      </c>
      <c r="I2351" s="10" t="s">
        <v>6979</v>
      </c>
      <c r="J2351" s="10" t="s">
        <v>6980</v>
      </c>
      <c r="K2351" s="10" t="s">
        <v>6981</v>
      </c>
      <c r="L2351" s="65" t="str">
        <f t="shared" si="183"/>
        <v>Santa Teresa|Venezuela|-66,663612|10,231389|-4:00 America</v>
      </c>
      <c r="M2351" s="10" t="s">
        <v>7011</v>
      </c>
      <c r="N2351" s="10">
        <f t="shared" si="180"/>
        <v>0</v>
      </c>
      <c r="O2351" t="str">
        <f t="shared" si="184"/>
        <v/>
      </c>
      <c r="P2351" t="str">
        <f>IF(O2351=1,COUNTIF($O$2:O2351,1),"")</f>
        <v/>
      </c>
      <c r="Q2351" t="str">
        <f>IFERROR(INDEX($M$2:$M$2388,MATCH(ROWS($P$2:P2351),$P$2:$P$2388,0)),"")</f>
        <v/>
      </c>
    </row>
    <row r="2352" spans="1:17" ht="15" x14ac:dyDescent="0.25">
      <c r="A2352" s="10">
        <v>2304</v>
      </c>
      <c r="B2352" s="10" t="s">
        <v>7012</v>
      </c>
      <c r="C2352" s="880">
        <f t="shared" si="181"/>
        <v>-67.4833</v>
      </c>
      <c r="D2352" s="880">
        <f t="shared" si="182"/>
        <v>10.2333</v>
      </c>
      <c r="E2352" s="10">
        <v>-67.483329999999995</v>
      </c>
      <c r="F2352" s="10">
        <v>10.233333999999999</v>
      </c>
      <c r="G2352" s="10">
        <v>-4</v>
      </c>
      <c r="H2352" s="10" t="s">
        <v>1733</v>
      </c>
      <c r="I2352" s="10" t="s">
        <v>6979</v>
      </c>
      <c r="J2352" s="10" t="s">
        <v>6980</v>
      </c>
      <c r="K2352" s="10" t="s">
        <v>6981</v>
      </c>
      <c r="L2352" s="65" t="str">
        <f t="shared" si="183"/>
        <v>Turmero|Venezuela|-67,483330|10,233334|-4:00 America</v>
      </c>
      <c r="M2352" s="10" t="s">
        <v>7013</v>
      </c>
      <c r="N2352" s="10">
        <f t="shared" si="180"/>
        <v>0</v>
      </c>
      <c r="O2352" t="str">
        <f t="shared" si="184"/>
        <v/>
      </c>
      <c r="P2352" t="str">
        <f>IF(O2352=1,COUNTIF($O$2:O2352,1),"")</f>
        <v/>
      </c>
      <c r="Q2352" t="str">
        <f>IFERROR(INDEX($M$2:$M$2388,MATCH(ROWS($P$2:P2352),$P$2:$P$2388,0)),"")</f>
        <v/>
      </c>
    </row>
    <row r="2353" spans="1:17" ht="15" x14ac:dyDescent="0.25">
      <c r="A2353" s="10">
        <v>2303</v>
      </c>
      <c r="B2353" s="10" t="s">
        <v>6247</v>
      </c>
      <c r="C2353" s="880">
        <f t="shared" si="181"/>
        <v>-68.003799999999998</v>
      </c>
      <c r="D2353" s="880">
        <f t="shared" si="182"/>
        <v>10.1805</v>
      </c>
      <c r="E2353" s="10">
        <v>-68.003890999999996</v>
      </c>
      <c r="F2353" s="10">
        <v>10.180555</v>
      </c>
      <c r="G2353" s="10">
        <v>-4</v>
      </c>
      <c r="H2353" s="10" t="s">
        <v>1670</v>
      </c>
      <c r="I2353" s="10" t="s">
        <v>6979</v>
      </c>
      <c r="J2353" s="10" t="s">
        <v>6980</v>
      </c>
      <c r="K2353" s="10" t="s">
        <v>6203</v>
      </c>
      <c r="L2353" s="65" t="str">
        <f t="shared" si="183"/>
        <v>Valencia|Venezuela|-68,003891|10,180555|+1:00 Europe</v>
      </c>
      <c r="M2353" s="10" t="s">
        <v>7014</v>
      </c>
      <c r="N2353" s="10">
        <f t="shared" si="180"/>
        <v>0</v>
      </c>
      <c r="O2353" t="str">
        <f t="shared" si="184"/>
        <v/>
      </c>
      <c r="P2353" t="str">
        <f>IF(O2353=1,COUNTIF($O$2:O2353,1),"")</f>
        <v/>
      </c>
      <c r="Q2353" t="str">
        <f>IFERROR(INDEX($M$2:$M$2388,MATCH(ROWS($P$2:P2353),$P$2:$P$2388,0)),"")</f>
        <v/>
      </c>
    </row>
    <row r="2354" spans="1:17" ht="15" x14ac:dyDescent="0.25">
      <c r="A2354" s="10">
        <v>2331</v>
      </c>
      <c r="B2354" s="10" t="s">
        <v>7015</v>
      </c>
      <c r="C2354" s="880">
        <f t="shared" si="181"/>
        <v>106.81659999999999</v>
      </c>
      <c r="D2354" s="880">
        <f t="shared" si="182"/>
        <v>10.95</v>
      </c>
      <c r="E2354" s="10">
        <v>106.816666</v>
      </c>
      <c r="F2354" s="10">
        <v>10.95</v>
      </c>
      <c r="G2354" s="10">
        <v>7</v>
      </c>
      <c r="H2354" s="10" t="s">
        <v>2363</v>
      </c>
      <c r="I2354" s="10" t="s">
        <v>7016</v>
      </c>
      <c r="J2354" s="10" t="s">
        <v>7017</v>
      </c>
      <c r="K2354" s="10" t="s">
        <v>7018</v>
      </c>
      <c r="L2354" s="65" t="str">
        <f t="shared" si="183"/>
        <v>Bien Hoa|Vietnam|106,816666|10,950000|+7:00 Asia</v>
      </c>
      <c r="M2354" s="10" t="s">
        <v>7019</v>
      </c>
      <c r="N2354" s="10">
        <f t="shared" si="180"/>
        <v>0</v>
      </c>
      <c r="O2354" t="str">
        <f t="shared" si="184"/>
        <v/>
      </c>
      <c r="P2354" t="str">
        <f>IF(O2354=1,COUNTIF($O$2:O2354,1),"")</f>
        <v/>
      </c>
      <c r="Q2354" t="str">
        <f>IFERROR(INDEX($M$2:$M$2388,MATCH(ROWS($P$2:P2354),$P$2:$P$2388,0)),"")</f>
        <v/>
      </c>
    </row>
    <row r="2355" spans="1:17" ht="15" x14ac:dyDescent="0.25">
      <c r="A2355" s="10">
        <v>2330</v>
      </c>
      <c r="B2355" s="10" t="s">
        <v>7020</v>
      </c>
      <c r="C2355" s="880">
        <f t="shared" si="181"/>
        <v>105.7833</v>
      </c>
      <c r="D2355" s="880">
        <f t="shared" si="182"/>
        <v>10.033300000000001</v>
      </c>
      <c r="E2355" s="10">
        <v>105.783333</v>
      </c>
      <c r="F2355" s="10">
        <v>10.033333000000001</v>
      </c>
      <c r="G2355" s="10">
        <v>7</v>
      </c>
      <c r="H2355" s="10" t="s">
        <v>2363</v>
      </c>
      <c r="I2355" s="10" t="s">
        <v>7016</v>
      </c>
      <c r="J2355" s="10" t="s">
        <v>7017</v>
      </c>
      <c r="K2355" s="10" t="s">
        <v>7018</v>
      </c>
      <c r="L2355" s="65" t="str">
        <f t="shared" si="183"/>
        <v>Can Tho|Vietnam|105,783333|10,033333|+7:00 Asia</v>
      </c>
      <c r="M2355" s="10" t="s">
        <v>7021</v>
      </c>
      <c r="N2355" s="10">
        <f t="shared" si="180"/>
        <v>0</v>
      </c>
      <c r="O2355" t="str">
        <f t="shared" si="184"/>
        <v/>
      </c>
      <c r="P2355" t="str">
        <f>IF(O2355=1,COUNTIF($O$2:O2355,1),"")</f>
        <v/>
      </c>
      <c r="Q2355" t="str">
        <f>IFERROR(INDEX($M$2:$M$2388,MATCH(ROWS($P$2:P2355),$P$2:$P$2388,0)),"")</f>
        <v/>
      </c>
    </row>
    <row r="2356" spans="1:17" ht="15" x14ac:dyDescent="0.25">
      <c r="A2356" s="10">
        <v>2329</v>
      </c>
      <c r="B2356" s="10" t="s">
        <v>7022</v>
      </c>
      <c r="C2356" s="880">
        <f t="shared" si="181"/>
        <v>108.2208</v>
      </c>
      <c r="D2356" s="880">
        <f t="shared" si="182"/>
        <v>16.067699999999999</v>
      </c>
      <c r="E2356" s="10">
        <v>108.220833</v>
      </c>
      <c r="F2356" s="10">
        <v>16.067778000000001</v>
      </c>
      <c r="G2356" s="10">
        <v>7</v>
      </c>
      <c r="H2356" s="10" t="s">
        <v>2363</v>
      </c>
      <c r="I2356" s="10" t="s">
        <v>7016</v>
      </c>
      <c r="J2356" s="10" t="s">
        <v>7017</v>
      </c>
      <c r="K2356" s="10" t="s">
        <v>7018</v>
      </c>
      <c r="L2356" s="65" t="str">
        <f t="shared" si="183"/>
        <v>Da Nang|Vietnam|108,220833|16,067778|+7:00 Asia</v>
      </c>
      <c r="M2356" s="10" t="s">
        <v>7023</v>
      </c>
      <c r="N2356" s="10">
        <f t="shared" si="180"/>
        <v>0</v>
      </c>
      <c r="O2356" t="str">
        <f t="shared" si="184"/>
        <v/>
      </c>
      <c r="P2356" t="str">
        <f>IF(O2356=1,COUNTIF($O$2:O2356,1),"")</f>
        <v/>
      </c>
      <c r="Q2356" t="str">
        <f>IFERROR(INDEX($M$2:$M$2388,MATCH(ROWS($P$2:P2356),$P$2:$P$2388,0)),"")</f>
        <v/>
      </c>
    </row>
    <row r="2357" spans="1:17" ht="15" x14ac:dyDescent="0.25">
      <c r="A2357" s="10">
        <v>2328</v>
      </c>
      <c r="B2357" s="10" t="s">
        <v>7024</v>
      </c>
      <c r="C2357" s="880">
        <f t="shared" si="181"/>
        <v>106.68219999999999</v>
      </c>
      <c r="D2357" s="880">
        <f t="shared" si="182"/>
        <v>20.856100000000001</v>
      </c>
      <c r="E2357" s="10">
        <v>106.68222</v>
      </c>
      <c r="F2357" s="10">
        <v>20.856112</v>
      </c>
      <c r="G2357" s="10">
        <v>7</v>
      </c>
      <c r="H2357" s="10" t="s">
        <v>2363</v>
      </c>
      <c r="I2357" s="10" t="s">
        <v>7016</v>
      </c>
      <c r="J2357" s="10" t="s">
        <v>7017</v>
      </c>
      <c r="K2357" s="10" t="s">
        <v>7018</v>
      </c>
      <c r="L2357" s="65" t="str">
        <f t="shared" si="183"/>
        <v>Haiphong|Vietnam|106,682220|20,856112|+7:00 Asia</v>
      </c>
      <c r="M2357" s="10" t="s">
        <v>7025</v>
      </c>
      <c r="N2357" s="10">
        <f t="shared" si="180"/>
        <v>0</v>
      </c>
      <c r="O2357" t="str">
        <f t="shared" si="184"/>
        <v/>
      </c>
      <c r="P2357" t="str">
        <f>IF(O2357=1,COUNTIF($O$2:O2357,1),"")</f>
        <v/>
      </c>
      <c r="Q2357" t="str">
        <f>IFERROR(INDEX($M$2:$M$2388,MATCH(ROWS($P$2:P2357),$P$2:$P$2388,0)),"")</f>
        <v/>
      </c>
    </row>
    <row r="2358" spans="1:17" ht="15" x14ac:dyDescent="0.25">
      <c r="A2358" s="10">
        <v>2327</v>
      </c>
      <c r="B2358" s="10" t="s">
        <v>7026</v>
      </c>
      <c r="C2358" s="880">
        <f t="shared" si="181"/>
        <v>105.84990000000001</v>
      </c>
      <c r="D2358" s="880">
        <f t="shared" si="182"/>
        <v>21.033300000000001</v>
      </c>
      <c r="E2358" s="10">
        <v>105.849998</v>
      </c>
      <c r="F2358" s="10">
        <v>21.033332999999999</v>
      </c>
      <c r="G2358" s="10">
        <v>7</v>
      </c>
      <c r="H2358" s="10" t="s">
        <v>2363</v>
      </c>
      <c r="I2358" s="10" t="s">
        <v>7016</v>
      </c>
      <c r="J2358" s="10" t="s">
        <v>7017</v>
      </c>
      <c r="K2358" s="10" t="s">
        <v>7018</v>
      </c>
      <c r="L2358" s="65" t="str">
        <f t="shared" si="183"/>
        <v>Hanoi|Vietnam|105,849998|21,033333|+7:00 Asia</v>
      </c>
      <c r="M2358" s="10" t="s">
        <v>7027</v>
      </c>
      <c r="N2358" s="10">
        <f t="shared" si="180"/>
        <v>0</v>
      </c>
      <c r="O2358" t="str">
        <f t="shared" si="184"/>
        <v/>
      </c>
      <c r="P2358" t="str">
        <f>IF(O2358=1,COUNTIF($O$2:O2358,1),"")</f>
        <v/>
      </c>
      <c r="Q2358" t="str">
        <f>IFERROR(INDEX($M$2:$M$2388,MATCH(ROWS($P$2:P2358),$P$2:$P$2388,0)),"")</f>
        <v/>
      </c>
    </row>
    <row r="2359" spans="1:17" ht="15" x14ac:dyDescent="0.25">
      <c r="A2359" s="10">
        <v>2322</v>
      </c>
      <c r="B2359" s="10" t="s">
        <v>7028</v>
      </c>
      <c r="C2359" s="880">
        <f t="shared" si="181"/>
        <v>106.6666</v>
      </c>
      <c r="D2359" s="880">
        <f t="shared" si="182"/>
        <v>10.75</v>
      </c>
      <c r="E2359" s="10">
        <v>106.666664</v>
      </c>
      <c r="F2359" s="10">
        <v>10.75</v>
      </c>
      <c r="G2359" s="10">
        <v>7</v>
      </c>
      <c r="H2359" s="10" t="s">
        <v>2363</v>
      </c>
      <c r="I2359" s="10" t="s">
        <v>7016</v>
      </c>
      <c r="J2359" s="10" t="s">
        <v>7017</v>
      </c>
      <c r="K2359" s="10" t="s">
        <v>7018</v>
      </c>
      <c r="L2359" s="65" t="str">
        <f t="shared" si="183"/>
        <v>Ho Chi Minh City|Vietnam|106,666664|10,750000|+7:00 Asia</v>
      </c>
      <c r="M2359" s="10" t="s">
        <v>7029</v>
      </c>
      <c r="N2359" s="10">
        <f t="shared" si="180"/>
        <v>0</v>
      </c>
      <c r="O2359" t="str">
        <f t="shared" si="184"/>
        <v/>
      </c>
      <c r="P2359" t="str">
        <f>IF(O2359=1,COUNTIF($O$2:O2359,1),"")</f>
        <v/>
      </c>
      <c r="Q2359" t="str">
        <f>IFERROR(INDEX($M$2:$M$2388,MATCH(ROWS($P$2:P2359),$P$2:$P$2388,0)),"")</f>
        <v/>
      </c>
    </row>
    <row r="2360" spans="1:17" ht="15" x14ac:dyDescent="0.25">
      <c r="A2360" s="10">
        <v>2326</v>
      </c>
      <c r="B2360" s="10" t="s">
        <v>7030</v>
      </c>
      <c r="C2360" s="880">
        <f t="shared" si="181"/>
        <v>107.59990000000001</v>
      </c>
      <c r="D2360" s="880">
        <f t="shared" si="182"/>
        <v>16.4666</v>
      </c>
      <c r="E2360" s="10">
        <v>107.599998</v>
      </c>
      <c r="F2360" s="10">
        <v>16.466667000000001</v>
      </c>
      <c r="G2360" s="10">
        <v>7</v>
      </c>
      <c r="H2360" s="10" t="s">
        <v>2363</v>
      </c>
      <c r="I2360" s="10" t="s">
        <v>7016</v>
      </c>
      <c r="J2360" s="10" t="s">
        <v>7017</v>
      </c>
      <c r="K2360" s="10" t="s">
        <v>7018</v>
      </c>
      <c r="L2360" s="65" t="str">
        <f t="shared" si="183"/>
        <v>Hue|Vietnam|107,599998|16,466667|+7:00 Asia</v>
      </c>
      <c r="M2360" s="10" t="s">
        <v>7031</v>
      </c>
      <c r="N2360" s="10">
        <f t="shared" si="180"/>
        <v>0</v>
      </c>
      <c r="O2360" t="str">
        <f t="shared" si="184"/>
        <v/>
      </c>
      <c r="P2360" t="str">
        <f>IF(O2360=1,COUNTIF($O$2:O2360,1),"")</f>
        <v/>
      </c>
      <c r="Q2360" t="str">
        <f>IFERROR(INDEX($M$2:$M$2388,MATCH(ROWS($P$2:P2360),$P$2:$P$2388,0)),"")</f>
        <v/>
      </c>
    </row>
    <row r="2361" spans="1:17" ht="15" x14ac:dyDescent="0.25">
      <c r="A2361" s="10">
        <v>2325</v>
      </c>
      <c r="B2361" s="10" t="s">
        <v>7032</v>
      </c>
      <c r="C2361" s="880">
        <f t="shared" si="181"/>
        <v>109.1833</v>
      </c>
      <c r="D2361" s="880">
        <f t="shared" si="182"/>
        <v>12.25</v>
      </c>
      <c r="E2361" s="10">
        <v>109.183334</v>
      </c>
      <c r="F2361" s="10">
        <v>12.25</v>
      </c>
      <c r="G2361" s="10">
        <v>7</v>
      </c>
      <c r="H2361" s="10" t="s">
        <v>2363</v>
      </c>
      <c r="I2361" s="10" t="s">
        <v>7016</v>
      </c>
      <c r="J2361" s="10" t="s">
        <v>7017</v>
      </c>
      <c r="K2361" s="10" t="s">
        <v>7018</v>
      </c>
      <c r="L2361" s="65" t="str">
        <f t="shared" si="183"/>
        <v>Nha Trang|Vietnam|109,183334|12,250000|+7:00 Asia</v>
      </c>
      <c r="M2361" s="10" t="s">
        <v>7033</v>
      </c>
      <c r="N2361" s="10">
        <f t="shared" si="180"/>
        <v>0</v>
      </c>
      <c r="O2361" t="str">
        <f t="shared" si="184"/>
        <v/>
      </c>
      <c r="P2361" t="str">
        <f>IF(O2361=1,COUNTIF($O$2:O2361,1),"")</f>
        <v/>
      </c>
      <c r="Q2361" t="str">
        <f>IFERROR(INDEX($M$2:$M$2388,MATCH(ROWS($P$2:P2361),$P$2:$P$2388,0)),"")</f>
        <v/>
      </c>
    </row>
    <row r="2362" spans="1:17" ht="15" x14ac:dyDescent="0.25">
      <c r="A2362" s="10">
        <v>2324</v>
      </c>
      <c r="B2362" s="10" t="s">
        <v>7034</v>
      </c>
      <c r="C2362" s="880">
        <f t="shared" si="181"/>
        <v>109.2333</v>
      </c>
      <c r="D2362" s="880">
        <f t="shared" si="182"/>
        <v>13.7666</v>
      </c>
      <c r="E2362" s="10">
        <v>109.23333</v>
      </c>
      <c r="F2362" s="10">
        <v>13.766666000000001</v>
      </c>
      <c r="G2362" s="10">
        <v>7</v>
      </c>
      <c r="H2362" s="10" t="s">
        <v>2363</v>
      </c>
      <c r="I2362" s="10" t="s">
        <v>7016</v>
      </c>
      <c r="J2362" s="10" t="s">
        <v>7017</v>
      </c>
      <c r="K2362" s="10" t="s">
        <v>7018</v>
      </c>
      <c r="L2362" s="65" t="str">
        <f t="shared" si="183"/>
        <v>Quy Nhon|Vietnam|109,233330|13,766666|+7:00 Asia</v>
      </c>
      <c r="M2362" s="10" t="s">
        <v>7035</v>
      </c>
      <c r="N2362" s="10">
        <f t="shared" si="180"/>
        <v>0</v>
      </c>
      <c r="O2362" t="str">
        <f t="shared" si="184"/>
        <v/>
      </c>
      <c r="P2362" t="str">
        <f>IF(O2362=1,COUNTIF($O$2:O2362,1),"")</f>
        <v/>
      </c>
      <c r="Q2362" t="str">
        <f>IFERROR(INDEX($M$2:$M$2388,MATCH(ROWS($P$2:P2362),$P$2:$P$2388,0)),"")</f>
        <v/>
      </c>
    </row>
    <row r="2363" spans="1:17" ht="15" x14ac:dyDescent="0.25">
      <c r="A2363" s="10">
        <v>2323</v>
      </c>
      <c r="B2363" s="10" t="s">
        <v>7036</v>
      </c>
      <c r="C2363" s="880">
        <f t="shared" si="181"/>
        <v>105.08329999999999</v>
      </c>
      <c r="D2363" s="880">
        <f t="shared" si="182"/>
        <v>10.0166</v>
      </c>
      <c r="E2363" s="10">
        <v>105.083336</v>
      </c>
      <c r="F2363" s="10">
        <v>10.016666000000001</v>
      </c>
      <c r="G2363" s="10">
        <v>7</v>
      </c>
      <c r="H2363" s="10" t="s">
        <v>2363</v>
      </c>
      <c r="I2363" s="10" t="s">
        <v>7016</v>
      </c>
      <c r="J2363" s="10" t="s">
        <v>7017</v>
      </c>
      <c r="K2363" s="10" t="s">
        <v>7018</v>
      </c>
      <c r="L2363" s="65" t="str">
        <f t="shared" si="183"/>
        <v>Rach Gia|Vietnam|105,083336|10,016666|+7:00 Asia</v>
      </c>
      <c r="M2363" s="10" t="s">
        <v>7037</v>
      </c>
      <c r="N2363" s="10">
        <f t="shared" si="180"/>
        <v>0</v>
      </c>
      <c r="O2363" t="str">
        <f t="shared" si="184"/>
        <v/>
      </c>
      <c r="P2363" t="str">
        <f>IF(O2363=1,COUNTIF($O$2:O2363,1),"")</f>
        <v/>
      </c>
      <c r="Q2363" t="str">
        <f>IFERROR(INDEX($M$2:$M$2388,MATCH(ROWS($P$2:P2363),$P$2:$P$2388,0)),"")</f>
        <v/>
      </c>
    </row>
    <row r="2364" spans="1:17" ht="15" x14ac:dyDescent="0.25">
      <c r="A2364" s="10">
        <v>2321</v>
      </c>
      <c r="B2364" s="10" t="s">
        <v>7038</v>
      </c>
      <c r="C2364" s="880">
        <f t="shared" si="181"/>
        <v>107.06659999999999</v>
      </c>
      <c r="D2364" s="880">
        <f t="shared" si="182"/>
        <v>10.35</v>
      </c>
      <c r="E2364" s="10">
        <v>107.066666</v>
      </c>
      <c r="F2364" s="10">
        <v>10.35</v>
      </c>
      <c r="G2364" s="10">
        <v>7</v>
      </c>
      <c r="H2364" s="10" t="s">
        <v>2363</v>
      </c>
      <c r="I2364" s="10" t="s">
        <v>7016</v>
      </c>
      <c r="J2364" s="10" t="s">
        <v>7017</v>
      </c>
      <c r="K2364" s="10" t="s">
        <v>7018</v>
      </c>
      <c r="L2364" s="65" t="str">
        <f t="shared" si="183"/>
        <v>Vung Tau|Vietnam|107,066666|10,350000|+7:00 Asia</v>
      </c>
      <c r="M2364" s="10" t="s">
        <v>7039</v>
      </c>
      <c r="N2364" s="10">
        <f t="shared" si="180"/>
        <v>0</v>
      </c>
      <c r="O2364" t="str">
        <f t="shared" si="184"/>
        <v/>
      </c>
      <c r="P2364" t="str">
        <f>IF(O2364=1,COUNTIF($O$2:O2364,1),"")</f>
        <v/>
      </c>
      <c r="Q2364" t="str">
        <f>IFERROR(INDEX($M$2:$M$2388,MATCH(ROWS($P$2:P2364),$P$2:$P$2388,0)),"")</f>
        <v/>
      </c>
    </row>
    <row r="2365" spans="1:17" ht="15" x14ac:dyDescent="0.25">
      <c r="A2365" s="10">
        <v>2320</v>
      </c>
      <c r="B2365" s="10" t="s">
        <v>7040</v>
      </c>
      <c r="C2365" s="880">
        <f t="shared" si="181"/>
        <v>104.86660000000001</v>
      </c>
      <c r="D2365" s="880">
        <f t="shared" si="182"/>
        <v>21.7</v>
      </c>
      <c r="E2365" s="10">
        <v>104.866669</v>
      </c>
      <c r="F2365" s="10">
        <v>21.700001</v>
      </c>
      <c r="G2365" s="10">
        <v>7</v>
      </c>
      <c r="H2365" s="10" t="s">
        <v>2363</v>
      </c>
      <c r="I2365" s="10" t="s">
        <v>7016</v>
      </c>
      <c r="J2365" s="10" t="s">
        <v>7017</v>
      </c>
      <c r="K2365" s="10" t="s">
        <v>7018</v>
      </c>
      <c r="L2365" s="65" t="str">
        <f t="shared" si="183"/>
        <v>Yen Bai|Vietnam|104,866669|21,700001|+7:00 Asia</v>
      </c>
      <c r="M2365" s="10" t="s">
        <v>7041</v>
      </c>
      <c r="N2365" s="10">
        <f t="shared" si="180"/>
        <v>0</v>
      </c>
      <c r="O2365" t="str">
        <f t="shared" si="184"/>
        <v/>
      </c>
      <c r="P2365" t="str">
        <f>IF(O2365=1,COUNTIF($O$2:O2365,1),"")</f>
        <v/>
      </c>
      <c r="Q2365" t="str">
        <f>IFERROR(INDEX($M$2:$M$2388,MATCH(ROWS($P$2:P2365),$P$2:$P$2388,0)),"")</f>
        <v/>
      </c>
    </row>
    <row r="2366" spans="1:17" ht="15" x14ac:dyDescent="0.25">
      <c r="A2366" s="10">
        <v>2319</v>
      </c>
      <c r="B2366" s="10" t="s">
        <v>7042</v>
      </c>
      <c r="C2366" s="880">
        <f t="shared" si="181"/>
        <v>105.6666</v>
      </c>
      <c r="D2366" s="880">
        <f t="shared" si="182"/>
        <v>18.666599999999999</v>
      </c>
      <c r="E2366" s="10">
        <v>105.666664</v>
      </c>
      <c r="F2366" s="10">
        <v>18.666665999999999</v>
      </c>
      <c r="G2366" s="10">
        <v>7</v>
      </c>
      <c r="H2366" s="10" t="s">
        <v>2363</v>
      </c>
      <c r="I2366" s="10" t="s">
        <v>7016</v>
      </c>
      <c r="J2366" s="10" t="s">
        <v>7017</v>
      </c>
      <c r="K2366" s="10" t="s">
        <v>7018</v>
      </c>
      <c r="L2366" s="65" t="str">
        <f t="shared" si="183"/>
        <v>Yen Vinh|Vietnam|105,666664|18,666666|+7:00 Asia</v>
      </c>
      <c r="M2366" s="10" t="s">
        <v>7043</v>
      </c>
      <c r="N2366" s="10">
        <f t="shared" si="180"/>
        <v>0</v>
      </c>
      <c r="O2366" t="str">
        <f t="shared" si="184"/>
        <v/>
      </c>
      <c r="P2366" t="str">
        <f>IF(O2366=1,COUNTIF($O$2:O2366,1),"")</f>
        <v/>
      </c>
      <c r="Q2366" t="str">
        <f>IFERROR(INDEX($M$2:$M$2388,MATCH(ROWS($P$2:P2366),$P$2:$P$2388,0)),"")</f>
        <v/>
      </c>
    </row>
    <row r="2367" spans="1:17" ht="15" x14ac:dyDescent="0.25">
      <c r="A2367" s="10">
        <v>2318</v>
      </c>
      <c r="B2367" s="10" t="s">
        <v>7044</v>
      </c>
      <c r="C2367" s="880">
        <f t="shared" si="181"/>
        <v>-64.616600000000005</v>
      </c>
      <c r="D2367" s="880">
        <f t="shared" si="182"/>
        <v>18.416599999999999</v>
      </c>
      <c r="E2367" s="10">
        <v>-64.616669000000002</v>
      </c>
      <c r="F2367" s="10">
        <v>18.416665999999999</v>
      </c>
      <c r="G2367" s="10">
        <v>-4</v>
      </c>
      <c r="H2367" s="10" t="s">
        <v>1733</v>
      </c>
      <c r="I2367" s="10" t="s">
        <v>7045</v>
      </c>
      <c r="J2367" s="10" t="s">
        <v>7046</v>
      </c>
      <c r="K2367" s="10" t="s">
        <v>7047</v>
      </c>
      <c r="L2367" s="65" t="str">
        <f t="shared" si="183"/>
        <v>Road Town|Virgin Islands|-64,616669|18,416666|-4:00 America</v>
      </c>
      <c r="M2367" s="10" t="s">
        <v>7048</v>
      </c>
      <c r="N2367" s="10">
        <f t="shared" si="180"/>
        <v>0</v>
      </c>
      <c r="O2367" t="str">
        <f t="shared" si="184"/>
        <v/>
      </c>
      <c r="P2367" t="str">
        <f>IF(O2367=1,COUNTIF($O$2:O2367,1),"")</f>
        <v/>
      </c>
      <c r="Q2367" t="str">
        <f>IFERROR(INDEX($M$2:$M$2388,MATCH(ROWS($P$2:P2367),$P$2:$P$2388,0)),"")</f>
        <v/>
      </c>
    </row>
    <row r="2368" spans="1:17" ht="15" x14ac:dyDescent="0.25">
      <c r="A2368" s="10">
        <v>728</v>
      </c>
      <c r="B2368" s="10" t="s">
        <v>7049</v>
      </c>
      <c r="C2368" s="880">
        <f t="shared" si="181"/>
        <v>-13.1625</v>
      </c>
      <c r="D2368" s="880">
        <f t="shared" si="182"/>
        <v>27.135000000000002</v>
      </c>
      <c r="E2368" s="10">
        <v>-13.1625</v>
      </c>
      <c r="F2368" s="10">
        <v>27.135000000000002</v>
      </c>
      <c r="G2368" s="10">
        <v>0</v>
      </c>
      <c r="H2368" s="10" t="s">
        <v>2318</v>
      </c>
      <c r="I2368" s="10" t="s">
        <v>7050</v>
      </c>
      <c r="J2368" s="10" t="s">
        <v>7051</v>
      </c>
      <c r="K2368" s="10" t="s">
        <v>7052</v>
      </c>
      <c r="L2368" s="65" t="str">
        <f t="shared" si="183"/>
        <v>Ejbei Uad el Aabd|Western Sahara|-13,162500|27,135000|+0:00 Africa</v>
      </c>
      <c r="M2368" s="10" t="s">
        <v>7053</v>
      </c>
      <c r="N2368" s="10">
        <f t="shared" si="180"/>
        <v>0</v>
      </c>
      <c r="O2368" t="str">
        <f t="shared" si="184"/>
        <v/>
      </c>
      <c r="P2368" t="str">
        <f>IF(O2368=1,COUNTIF($O$2:O2368,1),"")</f>
        <v/>
      </c>
      <c r="Q2368" t="str">
        <f>IFERROR(INDEX($M$2:$M$2388,MATCH(ROWS($P$2:P2368),$P$2:$P$2388,0)),"")</f>
        <v/>
      </c>
    </row>
    <row r="2369" spans="1:17" ht="15" x14ac:dyDescent="0.25">
      <c r="A2369" s="10">
        <v>2343</v>
      </c>
      <c r="B2369" s="10" t="s">
        <v>7054</v>
      </c>
      <c r="C2369" s="880">
        <f t="shared" si="181"/>
        <v>45.0366</v>
      </c>
      <c r="D2369" s="880">
        <f t="shared" si="182"/>
        <v>12.779400000000001</v>
      </c>
      <c r="E2369" s="10">
        <v>45.036667000000001</v>
      </c>
      <c r="F2369" s="10">
        <v>12.779445000000001</v>
      </c>
      <c r="G2369" s="10">
        <v>3</v>
      </c>
      <c r="H2369" s="10" t="s">
        <v>1883</v>
      </c>
      <c r="I2369" s="10" t="s">
        <v>7055</v>
      </c>
      <c r="J2369" s="10" t="s">
        <v>7056</v>
      </c>
      <c r="K2369" s="10" t="s">
        <v>7057</v>
      </c>
      <c r="L2369" s="65" t="str">
        <f t="shared" si="183"/>
        <v>Aden|Yemen|45,036667|12,779445|+3:00 Asia</v>
      </c>
      <c r="M2369" s="10" t="s">
        <v>7058</v>
      </c>
      <c r="N2369" s="10">
        <f t="shared" si="180"/>
        <v>0</v>
      </c>
      <c r="O2369" t="str">
        <f t="shared" si="184"/>
        <v/>
      </c>
      <c r="P2369" t="str">
        <f>IF(O2369=1,COUNTIF($O$2:O2369,1),"")</f>
        <v/>
      </c>
      <c r="Q2369" t="str">
        <f>IFERROR(INDEX($M$2:$M$2388,MATCH(ROWS($P$2:P2369),$P$2:$P$2388,0)),"")</f>
        <v/>
      </c>
    </row>
    <row r="2370" spans="1:17" ht="15" x14ac:dyDescent="0.25">
      <c r="A2370" s="10">
        <v>2342</v>
      </c>
      <c r="B2370" s="10" t="s">
        <v>7059</v>
      </c>
      <c r="C2370" s="880">
        <f t="shared" si="181"/>
        <v>42.952199999999998</v>
      </c>
      <c r="D2370" s="880">
        <f t="shared" si="182"/>
        <v>14.797700000000001</v>
      </c>
      <c r="E2370" s="10">
        <v>42.952221000000002</v>
      </c>
      <c r="F2370" s="10">
        <v>14.797777999999999</v>
      </c>
      <c r="G2370" s="10">
        <v>3</v>
      </c>
      <c r="H2370" s="10" t="s">
        <v>1883</v>
      </c>
      <c r="I2370" s="10" t="s">
        <v>7055</v>
      </c>
      <c r="J2370" s="10" t="s">
        <v>7056</v>
      </c>
      <c r="K2370" s="10" t="s">
        <v>7057</v>
      </c>
      <c r="L2370" s="65" t="str">
        <f t="shared" si="183"/>
        <v>Al Hudaydah|Yemen|42,952221|14,797778|+3:00 Asia</v>
      </c>
      <c r="M2370" s="10" t="s">
        <v>7060</v>
      </c>
      <c r="N2370" s="10">
        <f t="shared" ref="N2370:N2388" si="185">--ISNUMBER(IFERROR(SEARCH($R$2,J2370,1),""))</f>
        <v>0</v>
      </c>
      <c r="O2370" t="str">
        <f t="shared" si="184"/>
        <v/>
      </c>
      <c r="P2370" t="str">
        <f>IF(O2370=1,COUNTIF($O$2:O2370,1),"")</f>
        <v/>
      </c>
      <c r="Q2370" t="str">
        <f>IFERROR(INDEX($M$2:$M$2388,MATCH(ROWS($P$2:P2370),$P$2:$P$2388,0)),"")</f>
        <v/>
      </c>
    </row>
    <row r="2371" spans="1:17" ht="15" x14ac:dyDescent="0.25">
      <c r="A2371" s="10">
        <v>2341</v>
      </c>
      <c r="B2371" s="10" t="s">
        <v>7061</v>
      </c>
      <c r="C2371" s="880">
        <f t="shared" ref="C2371:C2388" si="186">TRUNC(E2371,4)</f>
        <v>49.131300000000003</v>
      </c>
      <c r="D2371" s="880">
        <f t="shared" ref="D2371:D2388" si="187">TRUNC(F2371,4)</f>
        <v>14.53</v>
      </c>
      <c r="E2371" s="10">
        <v>49.131390000000003</v>
      </c>
      <c r="F2371" s="10">
        <v>14.53</v>
      </c>
      <c r="G2371" s="10">
        <v>3</v>
      </c>
      <c r="H2371" s="10" t="s">
        <v>1883</v>
      </c>
      <c r="I2371" s="10" t="s">
        <v>7055</v>
      </c>
      <c r="J2371" s="10" t="s">
        <v>7056</v>
      </c>
      <c r="K2371" s="10" t="s">
        <v>7057</v>
      </c>
      <c r="L2371" s="65" t="str">
        <f t="shared" ref="L2371:L2388" si="188">MID(M2371,1,LEN(M2371)-(LEN(K2371)-SEARCH("/",K2371)+1))</f>
        <v>Al Mukalla|Yemen|49,131390|14,530000|+3:00 Asia</v>
      </c>
      <c r="M2371" s="10" t="s">
        <v>7062</v>
      </c>
      <c r="N2371" s="10">
        <f t="shared" si="185"/>
        <v>0</v>
      </c>
      <c r="O2371" t="str">
        <f t="shared" ref="O2371:O2388" si="189">IF(N2371=0,"",--ISNUMBER(IFERROR(SEARCH($U$2,L2371,1),"")))</f>
        <v/>
      </c>
      <c r="P2371" t="str">
        <f>IF(O2371=1,COUNTIF($O$2:O2371,1),"")</f>
        <v/>
      </c>
      <c r="Q2371" t="str">
        <f>IFERROR(INDEX($M$2:$M$2388,MATCH(ROWS($P$2:P2371),$P$2:$P$2388,0)),"")</f>
        <v/>
      </c>
    </row>
    <row r="2372" spans="1:17" ht="15" x14ac:dyDescent="0.25">
      <c r="A2372" s="10">
        <v>2340</v>
      </c>
      <c r="B2372" s="10" t="s">
        <v>7063</v>
      </c>
      <c r="C2372" s="880">
        <f t="shared" si="186"/>
        <v>44.183300000000003</v>
      </c>
      <c r="D2372" s="880">
        <f t="shared" si="187"/>
        <v>13.9666</v>
      </c>
      <c r="E2372" s="10">
        <v>44.183334000000002</v>
      </c>
      <c r="F2372" s="10">
        <v>13.966666999999999</v>
      </c>
      <c r="G2372" s="10">
        <v>3</v>
      </c>
      <c r="H2372" s="10" t="s">
        <v>1883</v>
      </c>
      <c r="I2372" s="10" t="s">
        <v>7055</v>
      </c>
      <c r="J2372" s="10" t="s">
        <v>7056</v>
      </c>
      <c r="K2372" s="10" t="s">
        <v>7057</v>
      </c>
      <c r="L2372" s="65" t="str">
        <f t="shared" si="188"/>
        <v>Ibb|Yemen|44,183334|13,966667|+3:00 Asia</v>
      </c>
      <c r="M2372" s="10" t="s">
        <v>7064</v>
      </c>
      <c r="N2372" s="10">
        <f t="shared" si="185"/>
        <v>0</v>
      </c>
      <c r="O2372" t="str">
        <f t="shared" si="189"/>
        <v/>
      </c>
      <c r="P2372" t="str">
        <f>IF(O2372=1,COUNTIF($O$2:O2372,1),"")</f>
        <v/>
      </c>
      <c r="Q2372" t="str">
        <f>IFERROR(INDEX($M$2:$M$2388,MATCH(ROWS($P$2:P2372),$P$2:$P$2388,0)),"")</f>
        <v/>
      </c>
    </row>
    <row r="2373" spans="1:17" ht="15" x14ac:dyDescent="0.25">
      <c r="A2373" s="10">
        <v>2339</v>
      </c>
      <c r="B2373" s="10" t="s">
        <v>7065</v>
      </c>
      <c r="C2373" s="880">
        <f t="shared" si="186"/>
        <v>44.206600000000002</v>
      </c>
      <c r="D2373" s="880">
        <f t="shared" si="187"/>
        <v>15.354699999999999</v>
      </c>
      <c r="E2373" s="10">
        <v>44.206665000000001</v>
      </c>
      <c r="F2373" s="10">
        <v>15.354722000000001</v>
      </c>
      <c r="G2373" s="10">
        <v>3</v>
      </c>
      <c r="H2373" s="10" t="s">
        <v>1883</v>
      </c>
      <c r="I2373" s="10" t="s">
        <v>7055</v>
      </c>
      <c r="J2373" s="10" t="s">
        <v>7056</v>
      </c>
      <c r="K2373" s="10" t="s">
        <v>7057</v>
      </c>
      <c r="L2373" s="65" t="str">
        <f t="shared" si="188"/>
        <v>Sanaa|Yemen|44,206665|15,354722|+3:00 Asia</v>
      </c>
      <c r="M2373" s="10" t="s">
        <v>7066</v>
      </c>
      <c r="N2373" s="10">
        <f t="shared" si="185"/>
        <v>0</v>
      </c>
      <c r="O2373" t="str">
        <f t="shared" si="189"/>
        <v/>
      </c>
      <c r="P2373" t="str">
        <f>IF(O2373=1,COUNTIF($O$2:O2373,1),"")</f>
        <v/>
      </c>
      <c r="Q2373" t="str">
        <f>IFERROR(INDEX($M$2:$M$2388,MATCH(ROWS($P$2:P2373),$P$2:$P$2388,0)),"")</f>
        <v/>
      </c>
    </row>
    <row r="2374" spans="1:17" ht="15" x14ac:dyDescent="0.25">
      <c r="A2374" s="10">
        <v>2338</v>
      </c>
      <c r="B2374" s="10" t="s">
        <v>7067</v>
      </c>
      <c r="C2374" s="880">
        <f t="shared" si="186"/>
        <v>44.033299999999997</v>
      </c>
      <c r="D2374" s="880">
        <f t="shared" si="187"/>
        <v>13.566599999999999</v>
      </c>
      <c r="E2374" s="10">
        <v>44.033332999999999</v>
      </c>
      <c r="F2374" s="10">
        <v>13.566667000000001</v>
      </c>
      <c r="G2374" s="10">
        <v>3</v>
      </c>
      <c r="H2374" s="10" t="s">
        <v>1883</v>
      </c>
      <c r="I2374" s="10" t="s">
        <v>7055</v>
      </c>
      <c r="J2374" s="10" t="s">
        <v>7056</v>
      </c>
      <c r="K2374" s="10" t="s">
        <v>7057</v>
      </c>
      <c r="L2374" s="65" t="str">
        <f t="shared" si="188"/>
        <v>Ta`izz|Yemen|44,033333|13,566667|+3:00 Asia</v>
      </c>
      <c r="M2374" s="10" t="s">
        <v>7068</v>
      </c>
      <c r="N2374" s="10">
        <f t="shared" si="185"/>
        <v>0</v>
      </c>
      <c r="O2374" t="str">
        <f t="shared" si="189"/>
        <v/>
      </c>
      <c r="P2374" t="str">
        <f>IF(O2374=1,COUNTIF($O$2:O2374,1),"")</f>
        <v/>
      </c>
      <c r="Q2374" t="str">
        <f>IFERROR(INDEX($M$2:$M$2388,MATCH(ROWS($P$2:P2374),$P$2:$P$2388,0)),"")</f>
        <v/>
      </c>
    </row>
    <row r="2375" spans="1:17" ht="15" x14ac:dyDescent="0.25">
      <c r="A2375" s="10">
        <v>2337</v>
      </c>
      <c r="B2375" s="10" t="s">
        <v>7069</v>
      </c>
      <c r="C2375" s="880">
        <f t="shared" si="186"/>
        <v>44.380200000000002</v>
      </c>
      <c r="D2375" s="880">
        <f t="shared" si="187"/>
        <v>14.2972</v>
      </c>
      <c r="E2375" s="10">
        <v>44.380279999999999</v>
      </c>
      <c r="F2375" s="10">
        <v>14.297222</v>
      </c>
      <c r="G2375" s="10">
        <v>3</v>
      </c>
      <c r="H2375" s="10" t="s">
        <v>1883</v>
      </c>
      <c r="I2375" s="10" t="s">
        <v>7055</v>
      </c>
      <c r="J2375" s="10" t="s">
        <v>7056</v>
      </c>
      <c r="K2375" s="10" t="s">
        <v>7057</v>
      </c>
      <c r="L2375" s="65" t="str">
        <f t="shared" si="188"/>
        <v>Yarim|Yemen|44,380280|14,297222|+3:00 Asia</v>
      </c>
      <c r="M2375" s="10" t="s">
        <v>7070</v>
      </c>
      <c r="N2375" s="10">
        <f t="shared" si="185"/>
        <v>0</v>
      </c>
      <c r="O2375" t="str">
        <f t="shared" si="189"/>
        <v/>
      </c>
      <c r="P2375" t="str">
        <f>IF(O2375=1,COUNTIF($O$2:O2375,1),"")</f>
        <v/>
      </c>
      <c r="Q2375" t="str">
        <f>IFERROR(INDEX($M$2:$M$2388,MATCH(ROWS($P$2:P2375),$P$2:$P$2388,0)),"")</f>
        <v/>
      </c>
    </row>
    <row r="2376" spans="1:17" ht="15" x14ac:dyDescent="0.25">
      <c r="A2376" s="10">
        <v>2336</v>
      </c>
      <c r="B2376" s="10" t="s">
        <v>7071</v>
      </c>
      <c r="C2376" s="880">
        <f t="shared" si="186"/>
        <v>43.315199999999997</v>
      </c>
      <c r="D2376" s="880">
        <f t="shared" si="187"/>
        <v>14.195</v>
      </c>
      <c r="E2376" s="10">
        <v>43.315277000000002</v>
      </c>
      <c r="F2376" s="10">
        <v>14.195</v>
      </c>
      <c r="G2376" s="10">
        <v>3</v>
      </c>
      <c r="H2376" s="10" t="s">
        <v>1883</v>
      </c>
      <c r="I2376" s="10" t="s">
        <v>7055</v>
      </c>
      <c r="J2376" s="10" t="s">
        <v>7056</v>
      </c>
      <c r="K2376" s="10" t="s">
        <v>7057</v>
      </c>
      <c r="L2376" s="65" t="str">
        <f t="shared" si="188"/>
        <v>Zabid|Yemen|43,315277|14,195000|+3:00 Asia</v>
      </c>
      <c r="M2376" s="10" t="s">
        <v>7072</v>
      </c>
      <c r="N2376" s="10">
        <f t="shared" si="185"/>
        <v>0</v>
      </c>
      <c r="O2376" t="str">
        <f t="shared" si="189"/>
        <v/>
      </c>
      <c r="P2376" t="str">
        <f>IF(O2376=1,COUNTIF($O$2:O2376,1),"")</f>
        <v/>
      </c>
      <c r="Q2376" t="str">
        <f>IFERROR(INDEX($M$2:$M$2388,MATCH(ROWS($P$2:P2376),$P$2:$P$2388,0)),"")</f>
        <v/>
      </c>
    </row>
    <row r="2377" spans="1:17" ht="15" x14ac:dyDescent="0.25">
      <c r="A2377" s="10">
        <v>2377</v>
      </c>
      <c r="B2377" s="10" t="s">
        <v>7073</v>
      </c>
      <c r="C2377" s="880">
        <f t="shared" si="186"/>
        <v>28.2</v>
      </c>
      <c r="D2377" s="880">
        <f t="shared" si="187"/>
        <v>-12.816599999999999</v>
      </c>
      <c r="E2377" s="10">
        <v>28.200001</v>
      </c>
      <c r="F2377" s="10">
        <v>-12.816667000000001</v>
      </c>
      <c r="G2377" s="10">
        <v>2</v>
      </c>
      <c r="H2377" s="10" t="s">
        <v>1938</v>
      </c>
      <c r="I2377" s="10" t="s">
        <v>7074</v>
      </c>
      <c r="J2377" s="10" t="s">
        <v>7075</v>
      </c>
      <c r="K2377" s="10" t="s">
        <v>7076</v>
      </c>
      <c r="L2377" s="65" t="str">
        <f t="shared" si="188"/>
        <v>Kitwe|Zambia|28,200001|-12,816667|+2:00 Africa</v>
      </c>
      <c r="M2377" s="10" t="s">
        <v>7077</v>
      </c>
      <c r="N2377" s="10">
        <f t="shared" si="185"/>
        <v>0</v>
      </c>
      <c r="O2377" t="str">
        <f t="shared" si="189"/>
        <v/>
      </c>
      <c r="P2377" t="str">
        <f>IF(O2377=1,COUNTIF($O$2:O2377,1),"")</f>
        <v/>
      </c>
      <c r="Q2377" t="str">
        <f>IFERROR(INDEX($M$2:$M$2388,MATCH(ROWS($P$2:P2377),$P$2:$P$2388,0)),"")</f>
        <v/>
      </c>
    </row>
    <row r="2378" spans="1:17" ht="15" x14ac:dyDescent="0.25">
      <c r="A2378" s="10">
        <v>2376</v>
      </c>
      <c r="B2378" s="10" t="s">
        <v>7078</v>
      </c>
      <c r="C2378" s="880">
        <f t="shared" si="186"/>
        <v>28.283300000000001</v>
      </c>
      <c r="D2378" s="880">
        <f t="shared" si="187"/>
        <v>-15.416600000000001</v>
      </c>
      <c r="E2378" s="10">
        <v>28.283332999999999</v>
      </c>
      <c r="F2378" s="10">
        <v>-15.416667</v>
      </c>
      <c r="G2378" s="10">
        <v>2</v>
      </c>
      <c r="H2378" s="10" t="s">
        <v>1938</v>
      </c>
      <c r="I2378" s="10" t="s">
        <v>7074</v>
      </c>
      <c r="J2378" s="10" t="s">
        <v>7075</v>
      </c>
      <c r="K2378" s="10" t="s">
        <v>7076</v>
      </c>
      <c r="L2378" s="65" t="str">
        <f t="shared" si="188"/>
        <v>Lusaka|Zambia|28,283333|-15,416667|+2:00 Africa</v>
      </c>
      <c r="M2378" s="10" t="s">
        <v>7079</v>
      </c>
      <c r="N2378" s="10">
        <f t="shared" si="185"/>
        <v>0</v>
      </c>
      <c r="O2378" t="str">
        <f t="shared" si="189"/>
        <v/>
      </c>
      <c r="P2378" t="str">
        <f>IF(O2378=1,COUNTIF($O$2:O2378,1),"")</f>
        <v/>
      </c>
      <c r="Q2378" t="str">
        <f>IFERROR(INDEX($M$2:$M$2388,MATCH(ROWS($P$2:P2378),$P$2:$P$2388,0)),"")</f>
        <v/>
      </c>
    </row>
    <row r="2379" spans="1:17" ht="15" x14ac:dyDescent="0.25">
      <c r="A2379" s="10">
        <v>2374</v>
      </c>
      <c r="B2379" s="10" t="s">
        <v>7080</v>
      </c>
      <c r="C2379" s="880">
        <f t="shared" si="186"/>
        <v>31.133299999999998</v>
      </c>
      <c r="D2379" s="880">
        <f t="shared" si="187"/>
        <v>-8.7666000000000004</v>
      </c>
      <c r="E2379" s="10">
        <v>31.133333</v>
      </c>
      <c r="F2379" s="10">
        <v>-8.7666660000000007</v>
      </c>
      <c r="G2379" s="10">
        <v>2</v>
      </c>
      <c r="H2379" s="10" t="s">
        <v>1938</v>
      </c>
      <c r="I2379" s="10" t="s">
        <v>7074</v>
      </c>
      <c r="J2379" s="10" t="s">
        <v>7075</v>
      </c>
      <c r="K2379" s="10" t="s">
        <v>7076</v>
      </c>
      <c r="L2379" s="65" t="str">
        <f t="shared" si="188"/>
        <v>Mpulungu|Zambia|31,133333|-8,766666|+2:00 Africa</v>
      </c>
      <c r="M2379" s="10" t="s">
        <v>7081</v>
      </c>
      <c r="N2379" s="10">
        <f t="shared" si="185"/>
        <v>0</v>
      </c>
      <c r="O2379" t="str">
        <f t="shared" si="189"/>
        <v/>
      </c>
      <c r="P2379" t="str">
        <f>IF(O2379=1,COUNTIF($O$2:O2379,1),"")</f>
        <v/>
      </c>
      <c r="Q2379" t="str">
        <f>IFERROR(INDEX($M$2:$M$2388,MATCH(ROWS($P$2:P2379),$P$2:$P$2388,0)),"")</f>
        <v/>
      </c>
    </row>
    <row r="2380" spans="1:17" ht="15" x14ac:dyDescent="0.25">
      <c r="A2380" s="10">
        <v>2373</v>
      </c>
      <c r="B2380" s="10" t="s">
        <v>7082</v>
      </c>
      <c r="C2380" s="880">
        <f t="shared" si="186"/>
        <v>32.766599999999997</v>
      </c>
      <c r="D2380" s="880">
        <f t="shared" si="187"/>
        <v>-9.3332999999999995</v>
      </c>
      <c r="E2380" s="10">
        <v>32.766666000000001</v>
      </c>
      <c r="F2380" s="10">
        <v>-9.3333329999999997</v>
      </c>
      <c r="G2380" s="10">
        <v>2</v>
      </c>
      <c r="H2380" s="10" t="s">
        <v>1938</v>
      </c>
      <c r="I2380" s="10" t="s">
        <v>7074</v>
      </c>
      <c r="J2380" s="10" t="s">
        <v>7075</v>
      </c>
      <c r="K2380" s="10" t="s">
        <v>7076</v>
      </c>
      <c r="L2380" s="65" t="str">
        <f t="shared" si="188"/>
        <v>Nakonde|Zambia|32,766666|-9,333333|+2:00 Africa</v>
      </c>
      <c r="M2380" s="10" t="s">
        <v>7083</v>
      </c>
      <c r="N2380" s="10">
        <f t="shared" si="185"/>
        <v>0</v>
      </c>
      <c r="O2380" t="str">
        <f t="shared" si="189"/>
        <v/>
      </c>
      <c r="P2380" t="str">
        <f>IF(O2380=1,COUNTIF($O$2:O2380,1),"")</f>
        <v/>
      </c>
      <c r="Q2380" t="str">
        <f>IFERROR(INDEX($M$2:$M$2388,MATCH(ROWS($P$2:P2380),$P$2:$P$2388,0)),"")</f>
        <v/>
      </c>
    </row>
    <row r="2381" spans="1:17" ht="15" x14ac:dyDescent="0.25">
      <c r="A2381" s="10">
        <v>2372</v>
      </c>
      <c r="B2381" s="10" t="s">
        <v>7084</v>
      </c>
      <c r="C2381" s="880">
        <f t="shared" si="186"/>
        <v>28.7333</v>
      </c>
      <c r="D2381" s="880">
        <f t="shared" si="187"/>
        <v>-9.35</v>
      </c>
      <c r="E2381" s="10">
        <v>28.733333999999999</v>
      </c>
      <c r="F2381" s="10">
        <v>-9.35</v>
      </c>
      <c r="G2381" s="10">
        <v>2</v>
      </c>
      <c r="H2381" s="10" t="s">
        <v>1938</v>
      </c>
      <c r="I2381" s="10" t="s">
        <v>7074</v>
      </c>
      <c r="J2381" s="10" t="s">
        <v>7075</v>
      </c>
      <c r="K2381" s="10" t="s">
        <v>7076</v>
      </c>
      <c r="L2381" s="65" t="str">
        <f t="shared" si="188"/>
        <v>Nchelenge|Zambia|28,733334|-9,350000|+2:00 Africa</v>
      </c>
      <c r="M2381" s="10" t="s">
        <v>7085</v>
      </c>
      <c r="N2381" s="10">
        <f t="shared" si="185"/>
        <v>0</v>
      </c>
      <c r="O2381" t="str">
        <f t="shared" si="189"/>
        <v/>
      </c>
      <c r="P2381" t="str">
        <f>IF(O2381=1,COUNTIF($O$2:O2381,1),"")</f>
        <v/>
      </c>
      <c r="Q2381" t="str">
        <f>IFERROR(INDEX($M$2:$M$2388,MATCH(ROWS($P$2:P2381),$P$2:$P$2388,0)),"")</f>
        <v/>
      </c>
    </row>
    <row r="2382" spans="1:17" ht="15" x14ac:dyDescent="0.25">
      <c r="A2382" s="10">
        <v>2375</v>
      </c>
      <c r="B2382" s="10" t="s">
        <v>7086</v>
      </c>
      <c r="C2382" s="880">
        <f t="shared" si="186"/>
        <v>28.633299999999998</v>
      </c>
      <c r="D2382" s="880">
        <f t="shared" si="187"/>
        <v>-12.9666</v>
      </c>
      <c r="E2382" s="10">
        <v>28.633333</v>
      </c>
      <c r="F2382" s="10">
        <v>-12.966666999999999</v>
      </c>
      <c r="G2382" s="10">
        <v>2</v>
      </c>
      <c r="H2382" s="10" t="s">
        <v>1938</v>
      </c>
      <c r="I2382" s="10" t="s">
        <v>7074</v>
      </c>
      <c r="J2382" s="10" t="s">
        <v>7075</v>
      </c>
      <c r="K2382" s="10" t="s">
        <v>7076</v>
      </c>
      <c r="L2382" s="65" t="str">
        <f t="shared" si="188"/>
        <v>Ndola|Zambia|28,633333|-12,966667|+2:00 Africa</v>
      </c>
      <c r="M2382" s="10" t="s">
        <v>7087</v>
      </c>
      <c r="N2382" s="10">
        <f t="shared" si="185"/>
        <v>0</v>
      </c>
      <c r="O2382" t="str">
        <f t="shared" si="189"/>
        <v/>
      </c>
      <c r="P2382" t="str">
        <f>IF(O2382=1,COUNTIF($O$2:O2382,1),"")</f>
        <v/>
      </c>
      <c r="Q2382" t="str">
        <f>IFERROR(INDEX($M$2:$M$2388,MATCH(ROWS($P$2:P2382),$P$2:$P$2388,0)),"")</f>
        <v/>
      </c>
    </row>
    <row r="2383" spans="1:17" ht="15" x14ac:dyDescent="0.25">
      <c r="A2383" s="10">
        <v>2382</v>
      </c>
      <c r="B2383" s="10" t="s">
        <v>7088</v>
      </c>
      <c r="C2383" s="880">
        <f t="shared" si="186"/>
        <v>28.583300000000001</v>
      </c>
      <c r="D2383" s="880">
        <f t="shared" si="187"/>
        <v>-20.149999999999999</v>
      </c>
      <c r="E2383" s="10">
        <v>28.583334000000001</v>
      </c>
      <c r="F2383" s="10">
        <v>-20.149999999999999</v>
      </c>
      <c r="G2383" s="10">
        <v>2</v>
      </c>
      <c r="H2383" s="10" t="s">
        <v>1938</v>
      </c>
      <c r="I2383" s="10" t="s">
        <v>7089</v>
      </c>
      <c r="J2383" s="10" t="s">
        <v>7090</v>
      </c>
      <c r="K2383" s="10" t="s">
        <v>7091</v>
      </c>
      <c r="L2383" s="65" t="str">
        <f t="shared" si="188"/>
        <v>Bulawayo|Zimbabwe|28,583334|-20,150000|+2:00 Africa</v>
      </c>
      <c r="M2383" s="10" t="s">
        <v>7092</v>
      </c>
      <c r="N2383" s="10">
        <f t="shared" si="185"/>
        <v>0</v>
      </c>
      <c r="O2383" t="str">
        <f t="shared" si="189"/>
        <v/>
      </c>
      <c r="P2383" t="str">
        <f>IF(O2383=1,COUNTIF($O$2:O2383,1),"")</f>
        <v/>
      </c>
      <c r="Q2383" t="str">
        <f>IFERROR(INDEX($M$2:$M$2388,MATCH(ROWS($P$2:P2383),$P$2:$P$2388,0)),"")</f>
        <v/>
      </c>
    </row>
    <row r="2384" spans="1:17" ht="15" x14ac:dyDescent="0.25">
      <c r="A2384" s="10">
        <v>2383</v>
      </c>
      <c r="B2384" s="10" t="s">
        <v>7093</v>
      </c>
      <c r="C2384" s="880">
        <f t="shared" si="186"/>
        <v>31.047999999999998</v>
      </c>
      <c r="D2384" s="880">
        <f t="shared" si="187"/>
        <v>-17.9938</v>
      </c>
      <c r="E2384" s="10">
        <v>31.048055999999999</v>
      </c>
      <c r="F2384" s="10">
        <v>-17.993888999999999</v>
      </c>
      <c r="G2384" s="10">
        <v>2</v>
      </c>
      <c r="H2384" s="10" t="s">
        <v>1938</v>
      </c>
      <c r="I2384" s="10" t="s">
        <v>7089</v>
      </c>
      <c r="J2384" s="10" t="s">
        <v>7090</v>
      </c>
      <c r="K2384" s="10" t="s">
        <v>7091</v>
      </c>
      <c r="L2384" s="65" t="str">
        <f t="shared" si="188"/>
        <v>Chitungwiza|Zimbabwe|31,048056|-17,993889|+2:00 Africa</v>
      </c>
      <c r="M2384" s="10" t="s">
        <v>7094</v>
      </c>
      <c r="N2384" s="10">
        <f t="shared" si="185"/>
        <v>0</v>
      </c>
      <c r="O2384" t="str">
        <f t="shared" si="189"/>
        <v/>
      </c>
      <c r="P2384" t="str">
        <f>IF(O2384=1,COUNTIF($O$2:O2384,1),"")</f>
        <v/>
      </c>
      <c r="Q2384" t="str">
        <f>IFERROR(INDEX($M$2:$M$2388,MATCH(ROWS($P$2:P2384),$P$2:$P$2388,0)),"")</f>
        <v/>
      </c>
    </row>
    <row r="2385" spans="1:17" ht="15" x14ac:dyDescent="0.25">
      <c r="A2385" s="10">
        <v>2381</v>
      </c>
      <c r="B2385" s="10" t="s">
        <v>7095</v>
      </c>
      <c r="C2385" s="880">
        <f t="shared" si="186"/>
        <v>31.044699999999999</v>
      </c>
      <c r="D2385" s="880">
        <f t="shared" si="187"/>
        <v>-17.817699999999999</v>
      </c>
      <c r="E2385" s="10">
        <v>31.044722</v>
      </c>
      <c r="F2385" s="10">
        <v>-17.817778000000001</v>
      </c>
      <c r="G2385" s="10">
        <v>2</v>
      </c>
      <c r="H2385" s="10" t="s">
        <v>1938</v>
      </c>
      <c r="I2385" s="10" t="s">
        <v>7089</v>
      </c>
      <c r="J2385" s="10" t="s">
        <v>7090</v>
      </c>
      <c r="K2385" s="10" t="s">
        <v>7091</v>
      </c>
      <c r="L2385" s="65" t="str">
        <f t="shared" si="188"/>
        <v>Harare|Zimbabwe|31,044722|-17,817778|+2:00 Africa</v>
      </c>
      <c r="M2385" s="10" t="s">
        <v>7096</v>
      </c>
      <c r="N2385" s="10">
        <f t="shared" si="185"/>
        <v>0</v>
      </c>
      <c r="O2385" t="str">
        <f t="shared" si="189"/>
        <v/>
      </c>
      <c r="P2385" t="str">
        <f>IF(O2385=1,COUNTIF($O$2:O2385,1),"")</f>
        <v/>
      </c>
      <c r="Q2385" t="str">
        <f>IFERROR(INDEX($M$2:$M$2388,MATCH(ROWS($P$2:P2385),$P$2:$P$2388,0)),"")</f>
        <v/>
      </c>
    </row>
    <row r="2386" spans="1:17" ht="15" x14ac:dyDescent="0.25">
      <c r="A2386" s="10">
        <v>2380</v>
      </c>
      <c r="B2386" s="10" t="s">
        <v>7097</v>
      </c>
      <c r="C2386" s="880">
        <f t="shared" si="186"/>
        <v>25.833300000000001</v>
      </c>
      <c r="D2386" s="880">
        <f t="shared" si="187"/>
        <v>-17.933299999999999</v>
      </c>
      <c r="E2386" s="10">
        <v>25.833334000000001</v>
      </c>
      <c r="F2386" s="10">
        <v>-17.933332</v>
      </c>
      <c r="G2386" s="10">
        <v>2</v>
      </c>
      <c r="H2386" s="10" t="s">
        <v>1938</v>
      </c>
      <c r="I2386" s="10" t="s">
        <v>7089</v>
      </c>
      <c r="J2386" s="10" t="s">
        <v>7090</v>
      </c>
      <c r="K2386" s="10" t="s">
        <v>7091</v>
      </c>
      <c r="L2386" s="65" t="str">
        <f t="shared" si="188"/>
        <v>Victoria Falls|Zimbabwe|25,833334|-17,933332|+2:00 Africa</v>
      </c>
      <c r="M2386" s="10" t="s">
        <v>7098</v>
      </c>
      <c r="N2386" s="10">
        <f t="shared" si="185"/>
        <v>0</v>
      </c>
      <c r="O2386" t="str">
        <f t="shared" si="189"/>
        <v/>
      </c>
      <c r="P2386" t="str">
        <f>IF(O2386=1,COUNTIF($O$2:O2386,1),"")</f>
        <v/>
      </c>
      <c r="Q2386" t="str">
        <f>IFERROR(INDEX($M$2:$M$2388,MATCH(ROWS($P$2:P2386),$P$2:$P$2388,0)),"")</f>
        <v/>
      </c>
    </row>
    <row r="2387" spans="1:17" ht="15" x14ac:dyDescent="0.25">
      <c r="A2387" s="10">
        <v>2379</v>
      </c>
      <c r="B2387" s="10" t="s">
        <v>7099</v>
      </c>
      <c r="C2387" s="880">
        <f t="shared" si="186"/>
        <v>30.033300000000001</v>
      </c>
      <c r="D2387" s="880">
        <f t="shared" si="187"/>
        <v>-20.333300000000001</v>
      </c>
      <c r="E2387" s="10">
        <v>30.033332999999999</v>
      </c>
      <c r="F2387" s="10">
        <v>-20.333334000000001</v>
      </c>
      <c r="G2387" s="10">
        <v>2</v>
      </c>
      <c r="H2387" s="10" t="s">
        <v>1938</v>
      </c>
      <c r="I2387" s="10" t="s">
        <v>7089</v>
      </c>
      <c r="J2387" s="10" t="s">
        <v>7090</v>
      </c>
      <c r="K2387" s="10" t="s">
        <v>7091</v>
      </c>
      <c r="L2387" s="65" t="str">
        <f t="shared" si="188"/>
        <v>Zvishavane|Zimbabwe|30,033333|-20,333334|+2:00 Africa</v>
      </c>
      <c r="M2387" s="10" t="s">
        <v>7100</v>
      </c>
      <c r="N2387" s="10">
        <f t="shared" si="185"/>
        <v>0</v>
      </c>
      <c r="O2387" t="str">
        <f t="shared" si="189"/>
        <v/>
      </c>
      <c r="P2387" t="str">
        <f>IF(O2387=1,COUNTIF($O$2:O2387,1),"")</f>
        <v/>
      </c>
      <c r="Q2387" t="str">
        <f>IFERROR(INDEX($M$2:$M$2388,MATCH(ROWS($P$2:P2387),$P$2:$P$2388,0)),"")</f>
        <v/>
      </c>
    </row>
    <row r="2388" spans="1:17" ht="15" x14ac:dyDescent="0.25">
      <c r="A2388" s="10">
        <v>2378</v>
      </c>
      <c r="B2388" s="10" t="s">
        <v>7101</v>
      </c>
      <c r="C2388" s="880">
        <f t="shared" si="186"/>
        <v>30.083300000000001</v>
      </c>
      <c r="D2388" s="880">
        <f t="shared" si="187"/>
        <v>-20.25</v>
      </c>
      <c r="E2388" s="10">
        <v>30.083334000000001</v>
      </c>
      <c r="F2388" s="10">
        <v>-20.25</v>
      </c>
      <c r="G2388" s="10">
        <v>2</v>
      </c>
      <c r="H2388" s="10" t="s">
        <v>1938</v>
      </c>
      <c r="I2388" s="10" t="s">
        <v>7089</v>
      </c>
      <c r="J2388" s="10" t="s">
        <v>7090</v>
      </c>
      <c r="K2388" s="10" t="s">
        <v>7091</v>
      </c>
      <c r="L2388" s="65" t="str">
        <f t="shared" si="188"/>
        <v>Zvishavane District|Zimbabwe|30,083334|-20,250000|+2:00 Africa</v>
      </c>
      <c r="M2388" s="10" t="s">
        <v>7102</v>
      </c>
      <c r="N2388" s="10">
        <f t="shared" si="185"/>
        <v>0</v>
      </c>
      <c r="O2388" t="str">
        <f t="shared" si="189"/>
        <v/>
      </c>
      <c r="P2388" t="str">
        <f>IF(O2388=1,COUNTIF($O$2:O2388,1),"")</f>
        <v/>
      </c>
      <c r="Q2388" t="str">
        <f>IFERROR(INDEX($M$2:$M$2388,MATCH(ROWS($P$2:P2388),$P$2:$P$2388,0)),"")</f>
        <v/>
      </c>
    </row>
  </sheetData>
  <pageMargins left="0.511811024" right="0.511811024" top="0.78740157499999996" bottom="0.78740157499999996" header="0.31496062000000002" footer="0.3149606200000000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wksMoonCalendar"/>
  <dimension ref="B1:L65"/>
  <sheetViews>
    <sheetView workbookViewId="0">
      <pane ySplit="1" topLeftCell="A2" activePane="bottomLeft" state="frozen"/>
      <selection pane="bottomLeft"/>
    </sheetView>
  </sheetViews>
  <sheetFormatPr defaultRowHeight="15" x14ac:dyDescent="0.25"/>
  <cols>
    <col min="1" max="1" width="2.85546875" customWidth="1"/>
    <col min="2" max="2" width="13.42578125" bestFit="1" customWidth="1"/>
    <col min="3" max="3" width="10.7109375" bestFit="1" customWidth="1"/>
    <col min="4" max="4" width="9.5703125" bestFit="1" customWidth="1"/>
    <col min="5" max="5" width="18.5703125" bestFit="1" customWidth="1"/>
    <col min="6" max="6" width="10.7109375" bestFit="1" customWidth="1"/>
    <col min="7" max="7" width="7.85546875" bestFit="1" customWidth="1"/>
    <col min="8" max="8" width="4.28515625" bestFit="1" customWidth="1"/>
    <col min="9" max="9" width="5.85546875" bestFit="1" customWidth="1"/>
    <col min="10" max="10" width="8.5703125" customWidth="1"/>
    <col min="11" max="11" width="7.140625" customWidth="1"/>
    <col min="12" max="12" width="4.28515625" customWidth="1"/>
  </cols>
  <sheetData>
    <row r="1" spans="2:12" x14ac:dyDescent="0.25">
      <c r="D1" s="288" t="s">
        <v>7527</v>
      </c>
      <c r="E1" s="288" t="s">
        <v>7528</v>
      </c>
      <c r="F1" s="288" t="s">
        <v>1240</v>
      </c>
      <c r="G1" s="288" t="s">
        <v>1236</v>
      </c>
      <c r="H1" s="288" t="s">
        <v>7526</v>
      </c>
      <c r="I1" s="288" t="s">
        <v>7535</v>
      </c>
      <c r="J1" s="288" t="s">
        <v>7482</v>
      </c>
      <c r="K1" s="288" t="s">
        <v>7483</v>
      </c>
      <c r="L1" s="288" t="s">
        <v>7635</v>
      </c>
    </row>
    <row r="2" spans="2:12" x14ac:dyDescent="0.25">
      <c r="B2" s="2" t="s">
        <v>7636</v>
      </c>
      <c r="C2" s="265">
        <f>C3-5</f>
        <v>43461</v>
      </c>
      <c r="D2" s="290">
        <v>0</v>
      </c>
      <c r="E2" s="289">
        <f>MONDPHASE($C$2, D2, Parameters!$E$11)</f>
        <v>43441.180787037039</v>
      </c>
      <c r="F2" s="265">
        <f t="shared" ref="F2:F7" si="0">TRUNC(E2,0)</f>
        <v>43441</v>
      </c>
      <c r="G2" s="293">
        <f t="shared" ref="G2:G7" si="1">DATE(YEAR(F2),MONTH(F2),1)</f>
        <v>43435</v>
      </c>
      <c r="H2">
        <f t="shared" ref="H2:H7" si="2">IF(G2&lt;&gt;G1,1,H1+1)</f>
        <v>1</v>
      </c>
      <c r="I2" t="str">
        <f t="shared" ref="I2:I33" si="3">IF(OR(G2&lt;C$3,G2&gt;C$4),"",TEXT(MONTH(G2),"00") &amp; "." &amp; H2)</f>
        <v/>
      </c>
      <c r="J2" t="str">
        <f t="shared" ref="J2:J65" si="4">CHOOSE($D2+1,"NM","FQ","FM","LQ")</f>
        <v>NM</v>
      </c>
      <c r="K2" t="str">
        <f>CHOOSE($D2+1,": :",IF(Parameters!$C$10&lt;0,"(",")"),"O",IF(Parameters!$C$10&lt;0,")","("))</f>
        <v>: :</v>
      </c>
      <c r="L2" s="614" t="str">
        <f ca="1">INDEX('GCal-Translations'!$C$234:$C$237,MATCH(K2,'GCal-Translations'!$B$234:$B$237,0))</f>
        <v></v>
      </c>
    </row>
    <row r="3" spans="2:12" x14ac:dyDescent="0.25">
      <c r="B3" s="2" t="s">
        <v>7529</v>
      </c>
      <c r="C3" s="265">
        <f>DATE(Parameters!$C$19,1,1)</f>
        <v>43466</v>
      </c>
      <c r="D3">
        <f t="shared" ref="D3:D65" si="5">IF(D2+1&gt;3,0,D2+1)</f>
        <v>1</v>
      </c>
      <c r="E3" s="287">
        <f>MONDPHASE(E2+5, D3, Parameters!$E$11)</f>
        <v>43449.367465277777</v>
      </c>
      <c r="F3" s="265">
        <f t="shared" si="0"/>
        <v>43449</v>
      </c>
      <c r="G3" s="293">
        <f t="shared" si="1"/>
        <v>43435</v>
      </c>
      <c r="H3">
        <f t="shared" si="2"/>
        <v>2</v>
      </c>
      <c r="I3" t="str">
        <f t="shared" si="3"/>
        <v/>
      </c>
      <c r="J3" t="str">
        <f t="shared" si="4"/>
        <v>FQ</v>
      </c>
      <c r="K3" t="str">
        <f>CHOOSE($D3+1,": :",IF(Parameters!$C$10&lt;0,"(",")"),"O",IF(Parameters!$C$10&lt;0,")","("))</f>
        <v>(</v>
      </c>
      <c r="L3" s="614" t="str">
        <f ca="1">INDEX('GCal-Translations'!$C$234:$C$237,MATCH(K3,'GCal-Translations'!$B$234:$B$237,0))</f>
        <v></v>
      </c>
    </row>
    <row r="4" spans="2:12" x14ac:dyDescent="0.25">
      <c r="B4" s="2" t="s">
        <v>7530</v>
      </c>
      <c r="C4" s="265">
        <f>DATE(YEAR(C3),12,31)</f>
        <v>43830</v>
      </c>
      <c r="D4">
        <f t="shared" si="5"/>
        <v>2</v>
      </c>
      <c r="E4" s="287">
        <f>MONDPHASE(E3+5, D4, Parameters!$E$11)</f>
        <v>43456.617013888892</v>
      </c>
      <c r="F4" s="265">
        <f t="shared" si="0"/>
        <v>43456</v>
      </c>
      <c r="G4" s="293">
        <f t="shared" si="1"/>
        <v>43435</v>
      </c>
      <c r="H4">
        <f t="shared" si="2"/>
        <v>3</v>
      </c>
      <c r="I4" t="str">
        <f t="shared" si="3"/>
        <v/>
      </c>
      <c r="J4" t="str">
        <f t="shared" si="4"/>
        <v>FM</v>
      </c>
      <c r="K4" t="str">
        <f>CHOOSE($D4+1,": :",IF(Parameters!$C$10&lt;0,"(",")"),"O",IF(Parameters!$C$10&lt;0,")","("))</f>
        <v>O</v>
      </c>
      <c r="L4" s="614" t="str">
        <f ca="1">INDEX('GCal-Translations'!$C$234:$C$237,MATCH(K4,'GCal-Translations'!$B$234:$B$237,0))</f>
        <v></v>
      </c>
    </row>
    <row r="5" spans="2:12" x14ac:dyDescent="0.25">
      <c r="B5" s="2" t="s">
        <v>7531</v>
      </c>
      <c r="C5" s="2">
        <v>0</v>
      </c>
      <c r="D5">
        <f t="shared" si="5"/>
        <v>3</v>
      </c>
      <c r="E5" s="287">
        <f>MONDPHASE(E4+5, D5, Parameters!$E$11)</f>
        <v>43463.27380787037</v>
      </c>
      <c r="F5" s="265">
        <f t="shared" si="0"/>
        <v>43463</v>
      </c>
      <c r="G5" s="293">
        <f t="shared" si="1"/>
        <v>43435</v>
      </c>
      <c r="H5">
        <f t="shared" si="2"/>
        <v>4</v>
      </c>
      <c r="I5" t="str">
        <f t="shared" si="3"/>
        <v/>
      </c>
      <c r="J5" t="str">
        <f t="shared" si="4"/>
        <v>LQ</v>
      </c>
      <c r="K5" t="str">
        <f>CHOOSE($D5+1,": :",IF(Parameters!$C$10&lt;0,"(",")"),"O",IF(Parameters!$C$10&lt;0,")","("))</f>
        <v>)</v>
      </c>
      <c r="L5" s="614" t="str">
        <f ca="1">INDEX('GCal-Translations'!$C$234:$C$237,MATCH(K5,'GCal-Translations'!$B$234:$B$237,0))</f>
        <v></v>
      </c>
    </row>
    <row r="6" spans="2:12" x14ac:dyDescent="0.25">
      <c r="B6" s="2" t="s">
        <v>7532</v>
      </c>
      <c r="C6" s="2">
        <v>1</v>
      </c>
      <c r="D6">
        <f t="shared" si="5"/>
        <v>0</v>
      </c>
      <c r="E6" s="287">
        <f>MONDPHASE(E5+5, D6, Parameters!$E$11)</f>
        <v>43470.936238425929</v>
      </c>
      <c r="F6" s="265">
        <f t="shared" si="0"/>
        <v>43470</v>
      </c>
      <c r="G6" s="293">
        <f t="shared" si="1"/>
        <v>43466</v>
      </c>
      <c r="H6">
        <f t="shared" si="2"/>
        <v>1</v>
      </c>
      <c r="I6" t="str">
        <f t="shared" si="3"/>
        <v>01.1</v>
      </c>
      <c r="J6" t="str">
        <f t="shared" si="4"/>
        <v>NM</v>
      </c>
      <c r="K6" t="str">
        <f>CHOOSE($D6+1,": :",IF(Parameters!$C$10&lt;0,"(",")"),"O",IF(Parameters!$C$10&lt;0,")","("))</f>
        <v>: :</v>
      </c>
      <c r="L6" s="614" t="str">
        <f ca="1">INDEX('GCal-Translations'!$C$234:$C$237,MATCH(K6,'GCal-Translations'!$B$234:$B$237,0))</f>
        <v></v>
      </c>
    </row>
    <row r="7" spans="2:12" x14ac:dyDescent="0.25">
      <c r="B7" s="2" t="s">
        <v>7533</v>
      </c>
      <c r="C7" s="2">
        <v>2</v>
      </c>
      <c r="D7">
        <f t="shared" si="5"/>
        <v>1</v>
      </c>
      <c r="E7" s="287">
        <f>MONDPHASE(E6+5, D7, Parameters!$E$11)</f>
        <v>43479.156469907408</v>
      </c>
      <c r="F7" s="265">
        <f t="shared" si="0"/>
        <v>43479</v>
      </c>
      <c r="G7" s="293">
        <f t="shared" si="1"/>
        <v>43466</v>
      </c>
      <c r="H7">
        <f t="shared" si="2"/>
        <v>2</v>
      </c>
      <c r="I7" t="str">
        <f t="shared" si="3"/>
        <v>01.2</v>
      </c>
      <c r="J7" t="str">
        <f t="shared" si="4"/>
        <v>FQ</v>
      </c>
      <c r="K7" t="str">
        <f>CHOOSE($D7+1,": :",IF(Parameters!$C$10&lt;0,"(",")"),"O",IF(Parameters!$C$10&lt;0,")","("))</f>
        <v>(</v>
      </c>
      <c r="L7" s="614" t="str">
        <f ca="1">INDEX('GCal-Translations'!$C$234:$C$237,MATCH(K7,'GCal-Translations'!$B$234:$B$237,0))</f>
        <v></v>
      </c>
    </row>
    <row r="8" spans="2:12" x14ac:dyDescent="0.25">
      <c r="B8" s="2" t="s">
        <v>7534</v>
      </c>
      <c r="C8" s="2">
        <v>3</v>
      </c>
      <c r="D8">
        <f t="shared" si="5"/>
        <v>2</v>
      </c>
      <c r="E8" s="287">
        <f>MONDPHASE(E7+5, D8, Parameters!$E$11)</f>
        <v>43486.094351851854</v>
      </c>
      <c r="F8" s="265">
        <f t="shared" ref="F8:F65" si="6">TRUNC(E8,0)</f>
        <v>43486</v>
      </c>
      <c r="G8" s="293">
        <f t="shared" ref="G8:G65" si="7">DATE(YEAR(F8),MONTH(F8),1)</f>
        <v>43466</v>
      </c>
      <c r="H8">
        <f t="shared" ref="H8:H65" si="8">IF(G8&lt;&gt;G7,1,H7+1)</f>
        <v>3</v>
      </c>
      <c r="I8" t="str">
        <f t="shared" si="3"/>
        <v>01.3</v>
      </c>
      <c r="J8" t="str">
        <f t="shared" si="4"/>
        <v>FM</v>
      </c>
      <c r="K8" t="str">
        <f>CHOOSE($D8+1,": :",IF(Parameters!$C$10&lt;0,"(",")"),"O",IF(Parameters!$C$10&lt;0,")","("))</f>
        <v>O</v>
      </c>
      <c r="L8" s="614" t="str">
        <f ca="1">INDEX('GCal-Translations'!$C$234:$C$237,MATCH(K8,'GCal-Translations'!$B$234:$B$237,0))</f>
        <v></v>
      </c>
    </row>
    <row r="9" spans="2:12" x14ac:dyDescent="0.25">
      <c r="D9">
        <f t="shared" si="5"/>
        <v>3</v>
      </c>
      <c r="E9" s="287">
        <f>MONDPHASE(E8+5, D9, Parameters!$E$11)</f>
        <v>43492.757175925923</v>
      </c>
      <c r="F9" s="265">
        <f t="shared" si="6"/>
        <v>43492</v>
      </c>
      <c r="G9" s="293">
        <f t="shared" si="7"/>
        <v>43466</v>
      </c>
      <c r="H9">
        <f t="shared" si="8"/>
        <v>4</v>
      </c>
      <c r="I9" t="str">
        <f t="shared" si="3"/>
        <v>01.4</v>
      </c>
      <c r="J9" t="str">
        <f t="shared" si="4"/>
        <v>LQ</v>
      </c>
      <c r="K9" t="str">
        <f>CHOOSE($D9+1,": :",IF(Parameters!$C$10&lt;0,"(",")"),"O",IF(Parameters!$C$10&lt;0,")","("))</f>
        <v>)</v>
      </c>
      <c r="L9" s="614" t="str">
        <f ca="1">INDEX('GCal-Translations'!$C$234:$C$237,MATCH(K9,'GCal-Translations'!$B$234:$B$237,0))</f>
        <v></v>
      </c>
    </row>
    <row r="10" spans="2:12" x14ac:dyDescent="0.25">
      <c r="D10">
        <f t="shared" si="5"/>
        <v>0</v>
      </c>
      <c r="E10" s="287">
        <f>MONDPHASE(E9+5, D10, Parameters!$E$11)</f>
        <v>43500.75236111111</v>
      </c>
      <c r="F10" s="265">
        <f t="shared" si="6"/>
        <v>43500</v>
      </c>
      <c r="G10" s="293">
        <f t="shared" si="7"/>
        <v>43497</v>
      </c>
      <c r="H10">
        <f t="shared" si="8"/>
        <v>1</v>
      </c>
      <c r="I10" t="str">
        <f t="shared" si="3"/>
        <v>02.1</v>
      </c>
      <c r="J10" t="str">
        <f t="shared" si="4"/>
        <v>NM</v>
      </c>
      <c r="K10" t="str">
        <f>CHOOSE($D10+1,": :",IF(Parameters!$C$10&lt;0,"(",")"),"O",IF(Parameters!$C$10&lt;0,")","("))</f>
        <v>: :</v>
      </c>
      <c r="L10" s="614" t="str">
        <f ca="1">INDEX('GCal-Translations'!$C$234:$C$237,MATCH(K10,'GCal-Translations'!$B$234:$B$237,0))</f>
        <v></v>
      </c>
    </row>
    <row r="11" spans="2:12" x14ac:dyDescent="0.25">
      <c r="D11">
        <f t="shared" si="5"/>
        <v>1</v>
      </c>
      <c r="E11" s="287">
        <f>MONDPHASE(E10+5, D11, Parameters!$E$11)</f>
        <v>43508.809699074074</v>
      </c>
      <c r="F11" s="265">
        <f t="shared" si="6"/>
        <v>43508</v>
      </c>
      <c r="G11" s="293">
        <f t="shared" si="7"/>
        <v>43497</v>
      </c>
      <c r="H11">
        <f t="shared" si="8"/>
        <v>2</v>
      </c>
      <c r="I11" t="str">
        <f t="shared" si="3"/>
        <v>02.2</v>
      </c>
      <c r="J11" t="str">
        <f t="shared" si="4"/>
        <v>FQ</v>
      </c>
      <c r="K11" t="str">
        <f>CHOOSE($D11+1,": :",IF(Parameters!$C$10&lt;0,"(",")"),"O",IF(Parameters!$C$10&lt;0,")","("))</f>
        <v>(</v>
      </c>
      <c r="L11" s="614" t="str">
        <f ca="1">INDEX('GCal-Translations'!$C$234:$C$237,MATCH(K11,'GCal-Translations'!$B$234:$B$237,0))</f>
        <v></v>
      </c>
    </row>
    <row r="12" spans="2:12" x14ac:dyDescent="0.25">
      <c r="D12">
        <f t="shared" si="5"/>
        <v>2</v>
      </c>
      <c r="E12" s="287">
        <f>MONDPHASE(E11+5, D12, Parameters!$E$11)</f>
        <v>43515.53702546296</v>
      </c>
      <c r="F12" s="265">
        <f t="shared" si="6"/>
        <v>43515</v>
      </c>
      <c r="G12" s="293">
        <f t="shared" si="7"/>
        <v>43497</v>
      </c>
      <c r="H12">
        <f t="shared" si="8"/>
        <v>3</v>
      </c>
      <c r="I12" t="str">
        <f t="shared" si="3"/>
        <v>02.3</v>
      </c>
      <c r="J12" t="str">
        <f t="shared" si="4"/>
        <v>FM</v>
      </c>
      <c r="K12" t="str">
        <f>CHOOSE($D12+1,": :",IF(Parameters!$C$10&lt;0,"(",")"),"O",IF(Parameters!$C$10&lt;0,")","("))</f>
        <v>O</v>
      </c>
      <c r="L12" s="614" t="str">
        <f ca="1">INDEX('GCal-Translations'!$C$234:$C$237,MATCH(K12,'GCal-Translations'!$B$234:$B$237,0))</f>
        <v></v>
      </c>
    </row>
    <row r="13" spans="2:12" x14ac:dyDescent="0.25">
      <c r="D13">
        <f t="shared" si="5"/>
        <v>3</v>
      </c>
      <c r="E13" s="287">
        <f>MONDPHASE(E12+5, D13, Parameters!$E$11)</f>
        <v>43522.352511574078</v>
      </c>
      <c r="F13" s="265">
        <f t="shared" si="6"/>
        <v>43522</v>
      </c>
      <c r="G13" s="293">
        <f t="shared" si="7"/>
        <v>43497</v>
      </c>
      <c r="H13">
        <f t="shared" si="8"/>
        <v>4</v>
      </c>
      <c r="I13" t="str">
        <f t="shared" si="3"/>
        <v>02.4</v>
      </c>
      <c r="J13" t="str">
        <f t="shared" si="4"/>
        <v>LQ</v>
      </c>
      <c r="K13" t="str">
        <f>CHOOSE($D13+1,": :",IF(Parameters!$C$10&lt;0,"(",")"),"O",IF(Parameters!$C$10&lt;0,")","("))</f>
        <v>)</v>
      </c>
      <c r="L13" s="614" t="str">
        <f ca="1">INDEX('GCal-Translations'!$C$234:$C$237,MATCH(K13,'GCal-Translations'!$B$234:$B$237,0))</f>
        <v></v>
      </c>
    </row>
    <row r="14" spans="2:12" x14ac:dyDescent="0.25">
      <c r="D14">
        <f t="shared" si="5"/>
        <v>0</v>
      </c>
      <c r="E14" s="287">
        <f>MONDPHASE(E13+5, D14, Parameters!$E$11)</f>
        <v>43530.544317129628</v>
      </c>
      <c r="F14" s="265">
        <f t="shared" si="6"/>
        <v>43530</v>
      </c>
      <c r="G14" s="293">
        <f t="shared" si="7"/>
        <v>43525</v>
      </c>
      <c r="H14">
        <f t="shared" si="8"/>
        <v>1</v>
      </c>
      <c r="I14" t="str">
        <f t="shared" si="3"/>
        <v>03.1</v>
      </c>
      <c r="J14" t="str">
        <f t="shared" si="4"/>
        <v>NM</v>
      </c>
      <c r="K14" t="str">
        <f>CHOOSE($D14+1,": :",IF(Parameters!$C$10&lt;0,"(",")"),"O",IF(Parameters!$C$10&lt;0,")","("))</f>
        <v>: :</v>
      </c>
      <c r="L14" s="614" t="str">
        <f ca="1">INDEX('GCal-Translations'!$C$234:$C$237,MATCH(K14,'GCal-Translations'!$B$234:$B$237,0))</f>
        <v></v>
      </c>
    </row>
    <row r="15" spans="2:12" x14ac:dyDescent="0.25">
      <c r="D15">
        <f t="shared" si="5"/>
        <v>1</v>
      </c>
      <c r="E15" s="287">
        <f>MONDPHASE(E14+5, D15, Parameters!$E$11)</f>
        <v>43538.310277777775</v>
      </c>
      <c r="F15" s="265">
        <f t="shared" si="6"/>
        <v>43538</v>
      </c>
      <c r="G15" s="293">
        <f t="shared" si="7"/>
        <v>43525</v>
      </c>
      <c r="H15">
        <f t="shared" si="8"/>
        <v>2</v>
      </c>
      <c r="I15" t="str">
        <f t="shared" si="3"/>
        <v>03.2</v>
      </c>
      <c r="J15" t="str">
        <f t="shared" si="4"/>
        <v>FQ</v>
      </c>
      <c r="K15" t="str">
        <f>CHOOSE($D15+1,": :",IF(Parameters!$C$10&lt;0,"(",")"),"O",IF(Parameters!$C$10&lt;0,")","("))</f>
        <v>(</v>
      </c>
      <c r="L15" s="614" t="str">
        <f ca="1">INDEX('GCal-Translations'!$C$234:$C$237,MATCH(K15,'GCal-Translations'!$B$234:$B$237,0))</f>
        <v></v>
      </c>
    </row>
    <row r="16" spans="2:12" x14ac:dyDescent="0.25">
      <c r="D16">
        <f t="shared" si="5"/>
        <v>2</v>
      </c>
      <c r="E16" s="287">
        <f>MONDPHASE(E15+5, D16, Parameters!$E$11)</f>
        <v>43544.946296296293</v>
      </c>
      <c r="F16" s="265">
        <f t="shared" si="6"/>
        <v>43544</v>
      </c>
      <c r="G16" s="293">
        <f t="shared" si="7"/>
        <v>43525</v>
      </c>
      <c r="H16">
        <f t="shared" si="8"/>
        <v>3</v>
      </c>
      <c r="I16" t="str">
        <f t="shared" si="3"/>
        <v>03.3</v>
      </c>
      <c r="J16" t="str">
        <f t="shared" si="4"/>
        <v>FM</v>
      </c>
      <c r="K16" t="str">
        <f>CHOOSE($D16+1,": :",IF(Parameters!$C$10&lt;0,"(",")"),"O",IF(Parameters!$C$10&lt;0,")","("))</f>
        <v>O</v>
      </c>
      <c r="L16" s="614" t="str">
        <f ca="1">INDEX('GCal-Translations'!$C$234:$C$237,MATCH(K16,'GCal-Translations'!$B$234:$B$237,0))</f>
        <v></v>
      </c>
    </row>
    <row r="17" spans="4:12" x14ac:dyDescent="0.25">
      <c r="D17">
        <f t="shared" si="5"/>
        <v>3</v>
      </c>
      <c r="E17" s="287">
        <f>MONDPHASE(E16+5, D17, Parameters!$E$11)</f>
        <v>43552.04828703704</v>
      </c>
      <c r="F17" s="265">
        <f t="shared" si="6"/>
        <v>43552</v>
      </c>
      <c r="G17" s="293">
        <f t="shared" si="7"/>
        <v>43525</v>
      </c>
      <c r="H17">
        <f t="shared" si="8"/>
        <v>4</v>
      </c>
      <c r="I17" t="str">
        <f t="shared" si="3"/>
        <v>03.4</v>
      </c>
      <c r="J17" t="str">
        <f t="shared" si="4"/>
        <v>LQ</v>
      </c>
      <c r="K17" t="str">
        <f>CHOOSE($D17+1,": :",IF(Parameters!$C$10&lt;0,"(",")"),"O",IF(Parameters!$C$10&lt;0,")","("))</f>
        <v>)</v>
      </c>
      <c r="L17" s="614" t="str">
        <f ca="1">INDEX('GCal-Translations'!$C$234:$C$237,MATCH(K17,'GCal-Translations'!$B$234:$B$237,0))</f>
        <v></v>
      </c>
    </row>
    <row r="18" spans="4:12" x14ac:dyDescent="0.25">
      <c r="D18">
        <f t="shared" si="5"/>
        <v>0</v>
      </c>
      <c r="E18" s="287">
        <f>MONDPHASE(E17+5, D18, Parameters!$E$11)</f>
        <v>43560.243275462963</v>
      </c>
      <c r="F18" s="265">
        <f t="shared" si="6"/>
        <v>43560</v>
      </c>
      <c r="G18" s="293">
        <f t="shared" si="7"/>
        <v>43556</v>
      </c>
      <c r="H18">
        <f t="shared" si="8"/>
        <v>1</v>
      </c>
      <c r="I18" t="str">
        <f t="shared" si="3"/>
        <v>04.1</v>
      </c>
      <c r="J18" t="str">
        <f t="shared" si="4"/>
        <v>NM</v>
      </c>
      <c r="K18" t="str">
        <f>CHOOSE($D18+1,": :",IF(Parameters!$C$10&lt;0,"(",")"),"O",IF(Parameters!$C$10&lt;0,")","("))</f>
        <v>: :</v>
      </c>
      <c r="L18" s="614" t="str">
        <f ca="1">INDEX('GCal-Translations'!$C$234:$C$237,MATCH(K18,'GCal-Translations'!$B$234:$B$237,0))</f>
        <v></v>
      </c>
    </row>
    <row r="19" spans="4:12" x14ac:dyDescent="0.25">
      <c r="D19">
        <f t="shared" si="5"/>
        <v>1</v>
      </c>
      <c r="E19" s="287">
        <f>MONDPHASE(E18+5, D19, Parameters!$E$11)</f>
        <v>43567.670590277776</v>
      </c>
      <c r="F19" s="265">
        <f t="shared" si="6"/>
        <v>43567</v>
      </c>
      <c r="G19" s="293">
        <f t="shared" si="7"/>
        <v>43556</v>
      </c>
      <c r="H19">
        <f t="shared" si="8"/>
        <v>2</v>
      </c>
      <c r="I19" t="str">
        <f t="shared" si="3"/>
        <v>04.2</v>
      </c>
      <c r="J19" t="str">
        <f t="shared" si="4"/>
        <v>FQ</v>
      </c>
      <c r="K19" t="str">
        <f>CHOOSE($D19+1,": :",IF(Parameters!$C$10&lt;0,"(",")"),"O",IF(Parameters!$C$10&lt;0,")","("))</f>
        <v>(</v>
      </c>
      <c r="L19" s="614" t="str">
        <f ca="1">INDEX('GCal-Translations'!$C$234:$C$237,MATCH(K19,'GCal-Translations'!$B$234:$B$237,0))</f>
        <v></v>
      </c>
    </row>
    <row r="20" spans="4:12" x14ac:dyDescent="0.25">
      <c r="D20">
        <f t="shared" si="5"/>
        <v>2</v>
      </c>
      <c r="E20" s="287">
        <f>MONDPHASE(E19+5, D20, Parameters!$E$11)</f>
        <v>43574.341608796298</v>
      </c>
      <c r="F20" s="265">
        <f t="shared" si="6"/>
        <v>43574</v>
      </c>
      <c r="G20" s="293">
        <f t="shared" si="7"/>
        <v>43556</v>
      </c>
      <c r="H20">
        <f t="shared" si="8"/>
        <v>3</v>
      </c>
      <c r="I20" t="str">
        <f t="shared" si="3"/>
        <v>04.3</v>
      </c>
      <c r="J20" t="str">
        <f t="shared" si="4"/>
        <v>FM</v>
      </c>
      <c r="K20" t="str">
        <f>CHOOSE($D20+1,": :",IF(Parameters!$C$10&lt;0,"(",")"),"O",IF(Parameters!$C$10&lt;0,")","("))</f>
        <v>O</v>
      </c>
      <c r="L20" s="614" t="str">
        <f ca="1">INDEX('GCal-Translations'!$C$234:$C$237,MATCH(K20,'GCal-Translations'!$B$234:$B$237,0))</f>
        <v></v>
      </c>
    </row>
    <row r="21" spans="4:12" x14ac:dyDescent="0.25">
      <c r="D21">
        <f t="shared" si="5"/>
        <v>3</v>
      </c>
      <c r="E21" s="287">
        <f>MONDPHASE(E20+5, D21, Parameters!$E$11)</f>
        <v>43581.804247685184</v>
      </c>
      <c r="F21" s="265">
        <f t="shared" si="6"/>
        <v>43581</v>
      </c>
      <c r="G21" s="293">
        <f t="shared" si="7"/>
        <v>43556</v>
      </c>
      <c r="H21">
        <f t="shared" si="8"/>
        <v>4</v>
      </c>
      <c r="I21" t="str">
        <f t="shared" si="3"/>
        <v>04.4</v>
      </c>
      <c r="J21" t="str">
        <f t="shared" si="4"/>
        <v>LQ</v>
      </c>
      <c r="K21" t="str">
        <f>CHOOSE($D21+1,": :",IF(Parameters!$C$10&lt;0,"(",")"),"O",IF(Parameters!$C$10&lt;0,")","("))</f>
        <v>)</v>
      </c>
      <c r="L21" s="614" t="str">
        <f ca="1">INDEX('GCal-Translations'!$C$234:$C$237,MATCH(K21,'GCal-Translations'!$B$234:$B$237,0))</f>
        <v></v>
      </c>
    </row>
    <row r="22" spans="4:12" x14ac:dyDescent="0.25">
      <c r="D22">
        <f t="shared" si="5"/>
        <v>0</v>
      </c>
      <c r="E22" s="287">
        <f>MONDPHASE(E21+5, D22, Parameters!$E$11)</f>
        <v>43589.823067129626</v>
      </c>
      <c r="F22" s="265">
        <f t="shared" si="6"/>
        <v>43589</v>
      </c>
      <c r="G22" s="293">
        <f t="shared" si="7"/>
        <v>43586</v>
      </c>
      <c r="H22">
        <f t="shared" si="8"/>
        <v>1</v>
      </c>
      <c r="I22" t="str">
        <f t="shared" si="3"/>
        <v>05.1</v>
      </c>
      <c r="J22" t="str">
        <f t="shared" si="4"/>
        <v>NM</v>
      </c>
      <c r="K22" t="str">
        <f>CHOOSE($D22+1,": :",IF(Parameters!$C$10&lt;0,"(",")"),"O",IF(Parameters!$C$10&lt;0,")","("))</f>
        <v>: :</v>
      </c>
      <c r="L22" s="614" t="str">
        <f ca="1">INDEX('GCal-Translations'!$C$234:$C$237,MATCH(K22,'GCal-Translations'!$B$234:$B$237,0))</f>
        <v></v>
      </c>
    </row>
    <row r="23" spans="4:12" x14ac:dyDescent="0.25">
      <c r="D23">
        <f t="shared" si="5"/>
        <v>1</v>
      </c>
      <c r="E23" s="287">
        <f>MONDPHASE(E22+5, D23, Parameters!$E$11)</f>
        <v>43596.925046296295</v>
      </c>
      <c r="F23" s="265">
        <f t="shared" si="6"/>
        <v>43596</v>
      </c>
      <c r="G23" s="293">
        <f t="shared" si="7"/>
        <v>43586</v>
      </c>
      <c r="H23">
        <f t="shared" si="8"/>
        <v>2</v>
      </c>
      <c r="I23" t="str">
        <f t="shared" si="3"/>
        <v>05.2</v>
      </c>
      <c r="J23" t="str">
        <f t="shared" si="4"/>
        <v>FQ</v>
      </c>
      <c r="K23" t="str">
        <f>CHOOSE($D23+1,": :",IF(Parameters!$C$10&lt;0,"(",")"),"O",IF(Parameters!$C$10&lt;0,")","("))</f>
        <v>(</v>
      </c>
      <c r="L23" s="614" t="str">
        <f ca="1">INDEX('GCal-Translations'!$C$234:$C$237,MATCH(K23,'GCal-Translations'!$B$234:$B$237,0))</f>
        <v></v>
      </c>
    </row>
    <row r="24" spans="4:12" x14ac:dyDescent="0.25">
      <c r="D24">
        <f t="shared" si="5"/>
        <v>2</v>
      </c>
      <c r="E24" s="287">
        <f>MONDPHASE(E23+5, D24, Parameters!$E$11)</f>
        <v>43603.757708333331</v>
      </c>
      <c r="F24" s="265">
        <f t="shared" si="6"/>
        <v>43603</v>
      </c>
      <c r="G24" s="293">
        <f t="shared" si="7"/>
        <v>43586</v>
      </c>
      <c r="H24">
        <f t="shared" si="8"/>
        <v>3</v>
      </c>
      <c r="I24" t="str">
        <f t="shared" si="3"/>
        <v>05.3</v>
      </c>
      <c r="J24" t="str">
        <f t="shared" si="4"/>
        <v>FM</v>
      </c>
      <c r="K24" t="str">
        <f>CHOOSE($D24+1,": :",IF(Parameters!$C$10&lt;0,"(",")"),"O",IF(Parameters!$C$10&lt;0,")","("))</f>
        <v>O</v>
      </c>
      <c r="L24" s="614" t="str">
        <f ca="1">INDEX('GCal-Translations'!$C$234:$C$237,MATCH(K24,'GCal-Translations'!$B$234:$B$237,0))</f>
        <v></v>
      </c>
    </row>
    <row r="25" spans="4:12" x14ac:dyDescent="0.25">
      <c r="D25">
        <f t="shared" si="5"/>
        <v>3</v>
      </c>
      <c r="E25" s="287">
        <f>MONDPHASE(E24+5, D25, Parameters!$E$11)</f>
        <v>43611.564803240741</v>
      </c>
      <c r="F25" s="265">
        <f t="shared" si="6"/>
        <v>43611</v>
      </c>
      <c r="G25" s="293">
        <f t="shared" si="7"/>
        <v>43586</v>
      </c>
      <c r="H25">
        <f t="shared" si="8"/>
        <v>4</v>
      </c>
      <c r="I25" t="str">
        <f t="shared" si="3"/>
        <v>05.4</v>
      </c>
      <c r="J25" t="str">
        <f t="shared" si="4"/>
        <v>LQ</v>
      </c>
      <c r="K25" t="str">
        <f>CHOOSE($D25+1,": :",IF(Parameters!$C$10&lt;0,"(",")"),"O",IF(Parameters!$C$10&lt;0,")","("))</f>
        <v>)</v>
      </c>
      <c r="L25" s="614" t="str">
        <f ca="1">INDEX('GCal-Translations'!$C$234:$C$237,MATCH(K25,'GCal-Translations'!$B$234:$B$237,0))</f>
        <v></v>
      </c>
    </row>
    <row r="26" spans="4:12" x14ac:dyDescent="0.25">
      <c r="D26">
        <f t="shared" si="5"/>
        <v>0</v>
      </c>
      <c r="E26" s="287">
        <f>MONDPHASE(E25+5, D26, Parameters!$E$11)</f>
        <v>43619.292870370373</v>
      </c>
      <c r="F26" s="265">
        <f t="shared" si="6"/>
        <v>43619</v>
      </c>
      <c r="G26" s="293">
        <f t="shared" si="7"/>
        <v>43617</v>
      </c>
      <c r="H26">
        <f t="shared" si="8"/>
        <v>1</v>
      </c>
      <c r="I26" t="str">
        <f t="shared" si="3"/>
        <v>06.1</v>
      </c>
      <c r="J26" t="str">
        <f t="shared" si="4"/>
        <v>NM</v>
      </c>
      <c r="K26" t="str">
        <f>CHOOSE($D26+1,": :",IF(Parameters!$C$10&lt;0,"(",")"),"O",IF(Parameters!$C$10&lt;0,")","("))</f>
        <v>: :</v>
      </c>
      <c r="L26" s="614" t="str">
        <f ca="1">INDEX('GCal-Translations'!$C$234:$C$237,MATCH(K26,'GCal-Translations'!$B$234:$B$237,0))</f>
        <v></v>
      </c>
    </row>
    <row r="27" spans="4:12" x14ac:dyDescent="0.25">
      <c r="D27">
        <f t="shared" si="5"/>
        <v>1</v>
      </c>
      <c r="E27" s="287">
        <f>MONDPHASE(E26+5, D27, Parameters!$E$11)</f>
        <v>43626.124398148146</v>
      </c>
      <c r="F27" s="265">
        <f t="shared" si="6"/>
        <v>43626</v>
      </c>
      <c r="G27" s="293">
        <f t="shared" si="7"/>
        <v>43617</v>
      </c>
      <c r="H27">
        <f t="shared" si="8"/>
        <v>2</v>
      </c>
      <c r="I27" t="str">
        <f t="shared" si="3"/>
        <v>06.2</v>
      </c>
      <c r="J27" t="str">
        <f t="shared" si="4"/>
        <v>FQ</v>
      </c>
      <c r="K27" t="str">
        <f>CHOOSE($D27+1,": :",IF(Parameters!$C$10&lt;0,"(",")"),"O",IF(Parameters!$C$10&lt;0,")","("))</f>
        <v>(</v>
      </c>
      <c r="L27" s="614" t="str">
        <f ca="1">INDEX('GCal-Translations'!$C$234:$C$237,MATCH(K27,'GCal-Translations'!$B$234:$B$237,0))</f>
        <v></v>
      </c>
    </row>
    <row r="28" spans="4:12" x14ac:dyDescent="0.25">
      <c r="D28">
        <f t="shared" si="5"/>
        <v>2</v>
      </c>
      <c r="E28" s="287">
        <f>MONDPHASE(E27+5, D28, Parameters!$E$11)</f>
        <v>43633.229548611111</v>
      </c>
      <c r="F28" s="265">
        <f t="shared" si="6"/>
        <v>43633</v>
      </c>
      <c r="G28" s="293">
        <f t="shared" si="7"/>
        <v>43617</v>
      </c>
      <c r="H28">
        <f t="shared" si="8"/>
        <v>3</v>
      </c>
      <c r="I28" t="str">
        <f t="shared" si="3"/>
        <v>06.3</v>
      </c>
      <c r="J28" t="str">
        <f t="shared" si="4"/>
        <v>FM</v>
      </c>
      <c r="K28" t="str">
        <f>CHOOSE($D28+1,": :",IF(Parameters!$C$10&lt;0,"(",")"),"O",IF(Parameters!$C$10&lt;0,")","("))</f>
        <v>O</v>
      </c>
      <c r="L28" s="614" t="str">
        <f ca="1">INDEX('GCal-Translations'!$C$234:$C$237,MATCH(K28,'GCal-Translations'!$B$234:$B$237,0))</f>
        <v></v>
      </c>
    </row>
    <row r="29" spans="4:12" x14ac:dyDescent="0.25">
      <c r="D29">
        <f t="shared" si="5"/>
        <v>3</v>
      </c>
      <c r="E29" s="287">
        <f>MONDPHASE(E28+5, D29, Parameters!$E$11)</f>
        <v>43641.282025462962</v>
      </c>
      <c r="F29" s="265">
        <f t="shared" si="6"/>
        <v>43641</v>
      </c>
      <c r="G29" s="293">
        <f t="shared" si="7"/>
        <v>43617</v>
      </c>
      <c r="H29">
        <f t="shared" si="8"/>
        <v>4</v>
      </c>
      <c r="I29" t="str">
        <f t="shared" si="3"/>
        <v>06.4</v>
      </c>
      <c r="J29" t="str">
        <f t="shared" si="4"/>
        <v>LQ</v>
      </c>
      <c r="K29" t="str">
        <f>CHOOSE($D29+1,": :",IF(Parameters!$C$10&lt;0,"(",")"),"O",IF(Parameters!$C$10&lt;0,")","("))</f>
        <v>)</v>
      </c>
      <c r="L29" s="614" t="str">
        <f ca="1">INDEX('GCal-Translations'!$C$234:$C$237,MATCH(K29,'GCal-Translations'!$B$234:$B$237,0))</f>
        <v></v>
      </c>
    </row>
    <row r="30" spans="4:12" x14ac:dyDescent="0.25">
      <c r="D30">
        <f t="shared" si="5"/>
        <v>0</v>
      </c>
      <c r="E30" s="287">
        <f>MONDPHASE(E29+5, D30, Parameters!$E$11)</f>
        <v>43648.677777777775</v>
      </c>
      <c r="F30" s="265">
        <f t="shared" si="6"/>
        <v>43648</v>
      </c>
      <c r="G30" s="293">
        <f t="shared" si="7"/>
        <v>43647</v>
      </c>
      <c r="H30">
        <f t="shared" si="8"/>
        <v>1</v>
      </c>
      <c r="I30" t="str">
        <f t="shared" si="3"/>
        <v>07.1</v>
      </c>
      <c r="J30" t="str">
        <f t="shared" si="4"/>
        <v>NM</v>
      </c>
      <c r="K30" t="str">
        <f>CHOOSE($D30+1,": :",IF(Parameters!$C$10&lt;0,"(",")"),"O",IF(Parameters!$C$10&lt;0,")","("))</f>
        <v>: :</v>
      </c>
      <c r="L30" s="614" t="str">
        <f ca="1">INDEX('GCal-Translations'!$C$234:$C$237,MATCH(K30,'GCal-Translations'!$B$234:$B$237,0))</f>
        <v></v>
      </c>
    </row>
    <row r="31" spans="4:12" x14ac:dyDescent="0.25">
      <c r="D31">
        <f t="shared" si="5"/>
        <v>1</v>
      </c>
      <c r="E31" s="287">
        <f>MONDPHASE(E30+5, D31, Parameters!$E$11)</f>
        <v>43655.329618055555</v>
      </c>
      <c r="F31" s="265">
        <f t="shared" si="6"/>
        <v>43655</v>
      </c>
      <c r="G31" s="293">
        <f t="shared" si="7"/>
        <v>43647</v>
      </c>
      <c r="H31">
        <f t="shared" si="8"/>
        <v>2</v>
      </c>
      <c r="I31" t="str">
        <f t="shared" si="3"/>
        <v>07.2</v>
      </c>
      <c r="J31" t="str">
        <f t="shared" si="4"/>
        <v>FQ</v>
      </c>
      <c r="K31" t="str">
        <f>CHOOSE($D31+1,": :",IF(Parameters!$C$10&lt;0,"(",")"),"O",IF(Parameters!$C$10&lt;0,")","("))</f>
        <v>(</v>
      </c>
      <c r="L31" s="614" t="str">
        <f ca="1">INDEX('GCal-Translations'!$C$234:$C$237,MATCH(K31,'GCal-Translations'!$B$234:$B$237,0))</f>
        <v></v>
      </c>
    </row>
    <row r="32" spans="4:12" x14ac:dyDescent="0.25">
      <c r="D32">
        <f t="shared" si="5"/>
        <v>2</v>
      </c>
      <c r="E32" s="287">
        <f>MONDPHASE(E31+5, D32, Parameters!$E$11)</f>
        <v>43662.776469907411</v>
      </c>
      <c r="F32" s="265">
        <f t="shared" si="6"/>
        <v>43662</v>
      </c>
      <c r="G32" s="293">
        <f t="shared" si="7"/>
        <v>43647</v>
      </c>
      <c r="H32">
        <f t="shared" si="8"/>
        <v>3</v>
      </c>
      <c r="I32" t="str">
        <f t="shared" si="3"/>
        <v>07.3</v>
      </c>
      <c r="J32" t="str">
        <f t="shared" si="4"/>
        <v>FM</v>
      </c>
      <c r="K32" t="str">
        <f>CHOOSE($D32+1,": :",IF(Parameters!$C$10&lt;0,"(",")"),"O",IF(Parameters!$C$10&lt;0,")","("))</f>
        <v>O</v>
      </c>
      <c r="L32" s="614" t="str">
        <f ca="1">INDEX('GCal-Translations'!$C$234:$C$237,MATCH(K32,'GCal-Translations'!$B$234:$B$237,0))</f>
        <v></v>
      </c>
    </row>
    <row r="33" spans="4:12" x14ac:dyDescent="0.25">
      <c r="D33">
        <f t="shared" si="5"/>
        <v>3</v>
      </c>
      <c r="E33" s="287">
        <f>MONDPHASE(E32+5, D33, Parameters!$E$11)</f>
        <v>43670.929062499999</v>
      </c>
      <c r="F33" s="265">
        <f t="shared" si="6"/>
        <v>43670</v>
      </c>
      <c r="G33" s="293">
        <f t="shared" si="7"/>
        <v>43647</v>
      </c>
      <c r="H33">
        <f t="shared" si="8"/>
        <v>4</v>
      </c>
      <c r="I33" t="str">
        <f t="shared" si="3"/>
        <v>07.4</v>
      </c>
      <c r="J33" t="str">
        <f t="shared" si="4"/>
        <v>LQ</v>
      </c>
      <c r="K33" t="str">
        <f>CHOOSE($D33+1,": :",IF(Parameters!$C$10&lt;0,"(",")"),"O",IF(Parameters!$C$10&lt;0,")","("))</f>
        <v>)</v>
      </c>
      <c r="L33" s="614" t="str">
        <f ca="1">INDEX('GCal-Translations'!$C$234:$C$237,MATCH(K33,'GCal-Translations'!$B$234:$B$237,0))</f>
        <v></v>
      </c>
    </row>
    <row r="34" spans="4:12" x14ac:dyDescent="0.25">
      <c r="D34">
        <f t="shared" si="5"/>
        <v>0</v>
      </c>
      <c r="E34" s="287">
        <f>MONDPHASE(E33+5, D34, Parameters!$E$11)</f>
        <v>43678.008043981485</v>
      </c>
      <c r="F34" s="265">
        <f t="shared" si="6"/>
        <v>43678</v>
      </c>
      <c r="G34" s="293">
        <f t="shared" si="7"/>
        <v>43678</v>
      </c>
      <c r="H34">
        <f t="shared" si="8"/>
        <v>1</v>
      </c>
      <c r="I34" t="str">
        <f t="shared" ref="I34:I65" si="9">IF(OR(G34&lt;C$3,G34&gt;C$4),"",TEXT(MONTH(G34),"00") &amp; "." &amp; H34)</f>
        <v>08.1</v>
      </c>
      <c r="J34" t="str">
        <f t="shared" si="4"/>
        <v>NM</v>
      </c>
      <c r="K34" t="str">
        <f>CHOOSE($D34+1,": :",IF(Parameters!$C$10&lt;0,"(",")"),"O",IF(Parameters!$C$10&lt;0,")","("))</f>
        <v>: :</v>
      </c>
      <c r="L34" s="614" t="str">
        <f ca="1">INDEX('GCal-Translations'!$C$234:$C$237,MATCH(K34,'GCal-Translations'!$B$234:$B$237,0))</f>
        <v></v>
      </c>
    </row>
    <row r="35" spans="4:12" x14ac:dyDescent="0.25">
      <c r="D35">
        <f t="shared" si="5"/>
        <v>1</v>
      </c>
      <c r="E35" s="287">
        <f>MONDPHASE(E34+5, D35, Parameters!$E$11)</f>
        <v>43684.604733796295</v>
      </c>
      <c r="F35" s="265">
        <f t="shared" si="6"/>
        <v>43684</v>
      </c>
      <c r="G35" s="293">
        <f t="shared" si="7"/>
        <v>43678</v>
      </c>
      <c r="H35">
        <f t="shared" si="8"/>
        <v>2</v>
      </c>
      <c r="I35" t="str">
        <f t="shared" si="9"/>
        <v>08.2</v>
      </c>
      <c r="J35" t="str">
        <f t="shared" si="4"/>
        <v>FQ</v>
      </c>
      <c r="K35" t="str">
        <f>CHOOSE($D35+1,": :",IF(Parameters!$C$10&lt;0,"(",")"),"O",IF(Parameters!$C$10&lt;0,")","("))</f>
        <v>(</v>
      </c>
      <c r="L35" s="614" t="str">
        <f ca="1">INDEX('GCal-Translations'!$C$234:$C$237,MATCH(K35,'GCal-Translations'!$B$234:$B$237,0))</f>
        <v></v>
      </c>
    </row>
    <row r="36" spans="4:12" x14ac:dyDescent="0.25">
      <c r="D36">
        <f t="shared" si="5"/>
        <v>2</v>
      </c>
      <c r="E36" s="287">
        <f>MONDPHASE(E35+5, D36, Parameters!$E$11)</f>
        <v>43692.395254629628</v>
      </c>
      <c r="F36" s="265">
        <f t="shared" si="6"/>
        <v>43692</v>
      </c>
      <c r="G36" s="293">
        <f t="shared" si="7"/>
        <v>43678</v>
      </c>
      <c r="H36">
        <f t="shared" si="8"/>
        <v>3</v>
      </c>
      <c r="I36" t="str">
        <f t="shared" si="9"/>
        <v>08.3</v>
      </c>
      <c r="J36" t="str">
        <f t="shared" si="4"/>
        <v>FM</v>
      </c>
      <c r="K36" t="str">
        <f>CHOOSE($D36+1,": :",IF(Parameters!$C$10&lt;0,"(",")"),"O",IF(Parameters!$C$10&lt;0,")","("))</f>
        <v>O</v>
      </c>
      <c r="L36" s="614" t="str">
        <f ca="1">INDEX('GCal-Translations'!$C$234:$C$237,MATCH(K36,'GCal-Translations'!$B$234:$B$237,0))</f>
        <v></v>
      </c>
    </row>
    <row r="37" spans="4:12" x14ac:dyDescent="0.25">
      <c r="D37">
        <f t="shared" si="5"/>
        <v>3</v>
      </c>
      <c r="E37" s="287">
        <f>MONDPHASE(E36+5, D37, Parameters!$E$11)</f>
        <v>43700.497233796297</v>
      </c>
      <c r="F37" s="265">
        <f t="shared" si="6"/>
        <v>43700</v>
      </c>
      <c r="G37" s="293">
        <f t="shared" si="7"/>
        <v>43678</v>
      </c>
      <c r="H37">
        <f t="shared" si="8"/>
        <v>4</v>
      </c>
      <c r="I37" t="str">
        <f t="shared" si="9"/>
        <v>08.4</v>
      </c>
      <c r="J37" t="str">
        <f t="shared" si="4"/>
        <v>LQ</v>
      </c>
      <c r="K37" t="str">
        <f>CHOOSE($D37+1,": :",IF(Parameters!$C$10&lt;0,"(",")"),"O",IF(Parameters!$C$10&lt;0,")","("))</f>
        <v>)</v>
      </c>
      <c r="L37" s="614" t="str">
        <f ca="1">INDEX('GCal-Translations'!$C$234:$C$237,MATCH(K37,'GCal-Translations'!$B$234:$B$237,0))</f>
        <v></v>
      </c>
    </row>
    <row r="38" spans="4:12" x14ac:dyDescent="0.25">
      <c r="D38">
        <f t="shared" si="5"/>
        <v>0</v>
      </c>
      <c r="E38" s="287">
        <f>MONDPHASE(E37+5, D38, Parameters!$E$11)</f>
        <v>43707.317245370374</v>
      </c>
      <c r="F38" s="265">
        <f t="shared" si="6"/>
        <v>43707</v>
      </c>
      <c r="G38" s="293">
        <f t="shared" si="7"/>
        <v>43678</v>
      </c>
      <c r="H38">
        <f t="shared" si="8"/>
        <v>5</v>
      </c>
      <c r="I38" t="str">
        <f t="shared" si="9"/>
        <v>08.5</v>
      </c>
      <c r="J38" t="str">
        <f t="shared" si="4"/>
        <v>NM</v>
      </c>
      <c r="K38" t="str">
        <f>CHOOSE($D38+1,": :",IF(Parameters!$C$10&lt;0,"(",")"),"O",IF(Parameters!$C$10&lt;0,")","("))</f>
        <v>: :</v>
      </c>
      <c r="L38" s="614" t="str">
        <f ca="1">INDEX('GCal-Translations'!$C$234:$C$237,MATCH(K38,'GCal-Translations'!$B$234:$B$237,0))</f>
        <v></v>
      </c>
    </row>
    <row r="39" spans="4:12" x14ac:dyDescent="0.25">
      <c r="D39">
        <f t="shared" si="5"/>
        <v>1</v>
      </c>
      <c r="E39" s="287">
        <f>MONDPHASE(E38+5, D39, Parameters!$E$11)</f>
        <v>43714.007152777776</v>
      </c>
      <c r="F39" s="265">
        <f t="shared" si="6"/>
        <v>43714</v>
      </c>
      <c r="G39" s="293">
        <f t="shared" si="7"/>
        <v>43709</v>
      </c>
      <c r="H39">
        <f t="shared" si="8"/>
        <v>1</v>
      </c>
      <c r="I39" t="str">
        <f t="shared" si="9"/>
        <v>09.1</v>
      </c>
      <c r="J39" t="str">
        <f t="shared" si="4"/>
        <v>FQ</v>
      </c>
      <c r="K39" t="str">
        <f>CHOOSE($D39+1,": :",IF(Parameters!$C$10&lt;0,"(",")"),"O",IF(Parameters!$C$10&lt;0,")","("))</f>
        <v>(</v>
      </c>
      <c r="L39" s="614" t="str">
        <f ca="1">INDEX('GCal-Translations'!$C$234:$C$237,MATCH(K39,'GCal-Translations'!$B$234:$B$237,0))</f>
        <v></v>
      </c>
    </row>
    <row r="40" spans="4:12" x14ac:dyDescent="0.25">
      <c r="D40">
        <f t="shared" si="5"/>
        <v>2</v>
      </c>
      <c r="E40" s="287">
        <f>MONDPHASE(E39+5, D40, Parameters!$E$11)</f>
        <v>43722.064432870371</v>
      </c>
      <c r="F40" s="265">
        <f t="shared" si="6"/>
        <v>43722</v>
      </c>
      <c r="G40" s="293">
        <f t="shared" si="7"/>
        <v>43709</v>
      </c>
      <c r="H40">
        <f t="shared" si="8"/>
        <v>2</v>
      </c>
      <c r="I40" t="str">
        <f t="shared" si="9"/>
        <v>09.2</v>
      </c>
      <c r="J40" t="str">
        <f t="shared" si="4"/>
        <v>FM</v>
      </c>
      <c r="K40" t="str">
        <f>CHOOSE($D40+1,": :",IF(Parameters!$C$10&lt;0,"(",")"),"O",IF(Parameters!$C$10&lt;0,")","("))</f>
        <v>O</v>
      </c>
      <c r="L40" s="614" t="str">
        <f ca="1">INDEX('GCal-Translations'!$C$234:$C$237,MATCH(K40,'GCal-Translations'!$B$234:$B$237,0))</f>
        <v></v>
      </c>
    </row>
    <row r="41" spans="4:12" x14ac:dyDescent="0.25">
      <c r="D41">
        <f t="shared" si="5"/>
        <v>3</v>
      </c>
      <c r="E41" s="287">
        <f>MONDPHASE(E40+5, D41, Parameters!$E$11)</f>
        <v>43729.986655092594</v>
      </c>
      <c r="F41" s="265">
        <f t="shared" si="6"/>
        <v>43729</v>
      </c>
      <c r="G41" s="293">
        <f t="shared" si="7"/>
        <v>43709</v>
      </c>
      <c r="H41">
        <f t="shared" si="8"/>
        <v>3</v>
      </c>
      <c r="I41" t="str">
        <f t="shared" si="9"/>
        <v>09.3</v>
      </c>
      <c r="J41" t="str">
        <f t="shared" si="4"/>
        <v>LQ</v>
      </c>
      <c r="K41" t="str">
        <f>CHOOSE($D41+1,": :",IF(Parameters!$C$10&lt;0,"(",")"),"O",IF(Parameters!$C$10&lt;0,")","("))</f>
        <v>)</v>
      </c>
      <c r="L41" s="614" t="str">
        <f ca="1">INDEX('GCal-Translations'!$C$234:$C$237,MATCH(K41,'GCal-Translations'!$B$234:$B$237,0))</f>
        <v></v>
      </c>
    </row>
    <row r="42" spans="4:12" x14ac:dyDescent="0.25">
      <c r="D42">
        <f t="shared" si="5"/>
        <v>0</v>
      </c>
      <c r="E42" s="287">
        <f>MONDPHASE(E41+5, D42, Parameters!$E$11)</f>
        <v>43736.643171296295</v>
      </c>
      <c r="F42" s="265">
        <f t="shared" si="6"/>
        <v>43736</v>
      </c>
      <c r="G42" s="293">
        <f t="shared" si="7"/>
        <v>43709</v>
      </c>
      <c r="H42">
        <f t="shared" si="8"/>
        <v>4</v>
      </c>
      <c r="I42" t="str">
        <f t="shared" si="9"/>
        <v>09.4</v>
      </c>
      <c r="J42" t="str">
        <f t="shared" si="4"/>
        <v>NM</v>
      </c>
      <c r="K42" t="str">
        <f>CHOOSE($D42+1,": :",IF(Parameters!$C$10&lt;0,"(",")"),"O",IF(Parameters!$C$10&lt;0,")","("))</f>
        <v>: :</v>
      </c>
      <c r="L42" s="614" t="str">
        <f ca="1">INDEX('GCal-Translations'!$C$234:$C$237,MATCH(K42,'GCal-Translations'!$B$234:$B$237,0))</f>
        <v></v>
      </c>
    </row>
    <row r="43" spans="4:12" x14ac:dyDescent="0.25">
      <c r="D43">
        <f t="shared" si="5"/>
        <v>1</v>
      </c>
      <c r="E43" s="287">
        <f>MONDPHASE(E42+5, D43, Parameters!$E$11)</f>
        <v>43743.574305555558</v>
      </c>
      <c r="F43" s="265">
        <f t="shared" si="6"/>
        <v>43743</v>
      </c>
      <c r="G43" s="293">
        <f t="shared" si="7"/>
        <v>43739</v>
      </c>
      <c r="H43">
        <f t="shared" si="8"/>
        <v>1</v>
      </c>
      <c r="I43" t="str">
        <f t="shared" si="9"/>
        <v>10.1</v>
      </c>
      <c r="J43" t="str">
        <f t="shared" si="4"/>
        <v>FQ</v>
      </c>
      <c r="K43" t="str">
        <f>CHOOSE($D43+1,": :",IF(Parameters!$C$10&lt;0,"(",")"),"O",IF(Parameters!$C$10&lt;0,")","("))</f>
        <v>(</v>
      </c>
      <c r="L43" s="614" t="str">
        <f ca="1">INDEX('GCal-Translations'!$C$234:$C$237,MATCH(K43,'GCal-Translations'!$B$234:$B$237,0))</f>
        <v></v>
      </c>
    </row>
    <row r="44" spans="4:12" x14ac:dyDescent="0.25">
      <c r="D44">
        <f t="shared" si="5"/>
        <v>2</v>
      </c>
      <c r="E44" s="287">
        <f>MONDPHASE(E43+5, D44, Parameters!$E$11)</f>
        <v>43751.75545138889</v>
      </c>
      <c r="F44" s="265">
        <f t="shared" si="6"/>
        <v>43751</v>
      </c>
      <c r="G44" s="293">
        <f t="shared" si="7"/>
        <v>43739</v>
      </c>
      <c r="H44">
        <f t="shared" si="8"/>
        <v>2</v>
      </c>
      <c r="I44" t="str">
        <f t="shared" si="9"/>
        <v>10.2</v>
      </c>
      <c r="J44" t="str">
        <f t="shared" si="4"/>
        <v>FM</v>
      </c>
      <c r="K44" t="str">
        <f>CHOOSE($D44+1,": :",IF(Parameters!$C$10&lt;0,"(",")"),"O",IF(Parameters!$C$10&lt;0,")","("))</f>
        <v>O</v>
      </c>
      <c r="L44" s="614" t="str">
        <f ca="1">INDEX('GCal-Translations'!$C$234:$C$237,MATCH(K44,'GCal-Translations'!$B$234:$B$237,0))</f>
        <v></v>
      </c>
    </row>
    <row r="45" spans="4:12" x14ac:dyDescent="0.25">
      <c r="D45">
        <f t="shared" si="5"/>
        <v>3</v>
      </c>
      <c r="E45" s="287">
        <f>MONDPHASE(E44+5, D45, Parameters!$E$11)</f>
        <v>43759.402175925927</v>
      </c>
      <c r="F45" s="265">
        <f t="shared" si="6"/>
        <v>43759</v>
      </c>
      <c r="G45" s="293">
        <f t="shared" si="7"/>
        <v>43739</v>
      </c>
      <c r="H45">
        <f t="shared" si="8"/>
        <v>3</v>
      </c>
      <c r="I45" t="str">
        <f t="shared" si="9"/>
        <v>10.3</v>
      </c>
      <c r="J45" t="str">
        <f t="shared" si="4"/>
        <v>LQ</v>
      </c>
      <c r="K45" t="str">
        <f>CHOOSE($D45+1,": :",IF(Parameters!$C$10&lt;0,"(",")"),"O",IF(Parameters!$C$10&lt;0,")","("))</f>
        <v>)</v>
      </c>
      <c r="L45" s="614" t="str">
        <f ca="1">INDEX('GCal-Translations'!$C$234:$C$237,MATCH(K45,'GCal-Translations'!$B$234:$B$237,0))</f>
        <v></v>
      </c>
    </row>
    <row r="46" spans="4:12" x14ac:dyDescent="0.25">
      <c r="D46">
        <f t="shared" si="5"/>
        <v>0</v>
      </c>
      <c r="E46" s="287">
        <f>MONDPHASE(E45+5, D46, Parameters!$E$11)</f>
        <v>43766.026597222219</v>
      </c>
      <c r="F46" s="265">
        <f t="shared" si="6"/>
        <v>43766</v>
      </c>
      <c r="G46" s="293">
        <f t="shared" si="7"/>
        <v>43739</v>
      </c>
      <c r="H46">
        <f t="shared" si="8"/>
        <v>4</v>
      </c>
      <c r="I46" t="str">
        <f t="shared" si="9"/>
        <v>10.4</v>
      </c>
      <c r="J46" t="str">
        <f t="shared" si="4"/>
        <v>NM</v>
      </c>
      <c r="K46" t="str">
        <f>CHOOSE($D46+1,": :",IF(Parameters!$C$10&lt;0,"(",")"),"O",IF(Parameters!$C$10&lt;0,")","("))</f>
        <v>: :</v>
      </c>
      <c r="L46" s="614" t="str">
        <f ca="1">INDEX('GCal-Translations'!$C$234:$C$237,MATCH(K46,'GCal-Translations'!$B$234:$B$237,0))</f>
        <v></v>
      </c>
    </row>
    <row r="47" spans="4:12" x14ac:dyDescent="0.25">
      <c r="D47">
        <f t="shared" si="5"/>
        <v>1</v>
      </c>
      <c r="E47" s="287">
        <f>MONDPHASE(E46+5, D47, Parameters!$E$11)</f>
        <v>43773.307719907411</v>
      </c>
      <c r="F47" s="265">
        <f t="shared" si="6"/>
        <v>43773</v>
      </c>
      <c r="G47" s="293">
        <f t="shared" si="7"/>
        <v>43770</v>
      </c>
      <c r="H47">
        <f t="shared" si="8"/>
        <v>1</v>
      </c>
      <c r="I47" t="str">
        <f t="shared" si="9"/>
        <v>11.1</v>
      </c>
      <c r="J47" t="str">
        <f t="shared" si="4"/>
        <v>FQ</v>
      </c>
      <c r="K47" t="str">
        <f>CHOOSE($D47+1,": :",IF(Parameters!$C$10&lt;0,"(",")"),"O",IF(Parameters!$C$10&lt;0,")","("))</f>
        <v>(</v>
      </c>
      <c r="L47" s="614" t="str">
        <f ca="1">INDEX('GCal-Translations'!$C$234:$C$237,MATCH(K47,'GCal-Translations'!$B$234:$B$237,0))</f>
        <v></v>
      </c>
    </row>
    <row r="48" spans="4:12" x14ac:dyDescent="0.25">
      <c r="D48">
        <f t="shared" si="5"/>
        <v>2</v>
      </c>
      <c r="E48" s="287">
        <f>MONDPHASE(E47+5, D48, Parameters!$E$11)</f>
        <v>43781.440497685187</v>
      </c>
      <c r="F48" s="265">
        <f t="shared" si="6"/>
        <v>43781</v>
      </c>
      <c r="G48" s="293">
        <f t="shared" si="7"/>
        <v>43770</v>
      </c>
      <c r="H48">
        <f t="shared" si="8"/>
        <v>2</v>
      </c>
      <c r="I48" t="str">
        <f t="shared" si="9"/>
        <v>11.2</v>
      </c>
      <c r="J48" t="str">
        <f t="shared" si="4"/>
        <v>FM</v>
      </c>
      <c r="K48" t="str">
        <f>CHOOSE($D48+1,": :",IF(Parameters!$C$10&lt;0,"(",")"),"O",IF(Parameters!$C$10&lt;0,")","("))</f>
        <v>O</v>
      </c>
      <c r="L48" s="614" t="str">
        <f ca="1">INDEX('GCal-Translations'!$C$234:$C$237,MATCH(K48,'GCal-Translations'!$B$234:$B$237,0))</f>
        <v></v>
      </c>
    </row>
    <row r="49" spans="4:12" x14ac:dyDescent="0.25">
      <c r="D49">
        <f t="shared" si="5"/>
        <v>3</v>
      </c>
      <c r="E49" s="287">
        <f>MONDPHASE(E48+5, D49, Parameters!$E$11)</f>
        <v>43788.757453703707</v>
      </c>
      <c r="F49" s="265">
        <f t="shared" si="6"/>
        <v>43788</v>
      </c>
      <c r="G49" s="293">
        <f t="shared" si="7"/>
        <v>43770</v>
      </c>
      <c r="H49">
        <f t="shared" si="8"/>
        <v>3</v>
      </c>
      <c r="I49" t="str">
        <f t="shared" si="9"/>
        <v>11.3</v>
      </c>
      <c r="J49" t="str">
        <f t="shared" si="4"/>
        <v>LQ</v>
      </c>
      <c r="K49" t="str">
        <f>CHOOSE($D49+1,": :",IF(Parameters!$C$10&lt;0,"(",")"),"O",IF(Parameters!$C$10&lt;0,")","("))</f>
        <v>)</v>
      </c>
      <c r="L49" s="614" t="str">
        <f ca="1">INDEX('GCal-Translations'!$C$234:$C$237,MATCH(K49,'GCal-Translations'!$B$234:$B$237,0))</f>
        <v></v>
      </c>
    </row>
    <row r="50" spans="4:12" x14ac:dyDescent="0.25">
      <c r="D50">
        <f t="shared" si="5"/>
        <v>0</v>
      </c>
      <c r="E50" s="287">
        <f>MONDPHASE(E49+5, D50, Parameters!$E$11)</f>
        <v>43795.503819444442</v>
      </c>
      <c r="F50" s="265">
        <f t="shared" si="6"/>
        <v>43795</v>
      </c>
      <c r="G50" s="293">
        <f t="shared" si="7"/>
        <v>43770</v>
      </c>
      <c r="H50">
        <f t="shared" si="8"/>
        <v>4</v>
      </c>
      <c r="I50" t="str">
        <f t="shared" si="9"/>
        <v>11.4</v>
      </c>
      <c r="J50" t="str">
        <f t="shared" si="4"/>
        <v>NM</v>
      </c>
      <c r="K50" t="str">
        <f>CHOOSE($D50+1,": :",IF(Parameters!$C$10&lt;0,"(",")"),"O",IF(Parameters!$C$10&lt;0,")","("))</f>
        <v>: :</v>
      </c>
      <c r="L50" s="614" t="str">
        <f ca="1">INDEX('GCal-Translations'!$C$234:$C$237,MATCH(K50,'GCal-Translations'!$B$234:$B$237,0))</f>
        <v></v>
      </c>
    </row>
    <row r="51" spans="4:12" x14ac:dyDescent="0.25">
      <c r="D51">
        <f t="shared" si="5"/>
        <v>1</v>
      </c>
      <c r="E51" s="287">
        <f>MONDPHASE(E50+5, D51, Parameters!$E$11)</f>
        <v>43803.165462962963</v>
      </c>
      <c r="F51" s="265">
        <f t="shared" si="6"/>
        <v>43803</v>
      </c>
      <c r="G51" s="293">
        <f t="shared" si="7"/>
        <v>43800</v>
      </c>
      <c r="H51">
        <f t="shared" si="8"/>
        <v>1</v>
      </c>
      <c r="I51" t="str">
        <f t="shared" si="9"/>
        <v>12.1</v>
      </c>
      <c r="J51" t="str">
        <f t="shared" si="4"/>
        <v>FQ</v>
      </c>
      <c r="K51" t="str">
        <f>CHOOSE($D51+1,": :",IF(Parameters!$C$10&lt;0,"(",")"),"O",IF(Parameters!$C$10&lt;0,")","("))</f>
        <v>(</v>
      </c>
      <c r="L51" s="614" t="str">
        <f ca="1">INDEX('GCal-Translations'!$C$234:$C$237,MATCH(K51,'GCal-Translations'!$B$234:$B$237,0))</f>
        <v></v>
      </c>
    </row>
    <row r="52" spans="4:12" x14ac:dyDescent="0.25">
      <c r="D52">
        <f t="shared" si="5"/>
        <v>2</v>
      </c>
      <c r="E52" s="287">
        <f>MONDPHASE(E51+5, D52, Parameters!$E$11)</f>
        <v>43811.09175925926</v>
      </c>
      <c r="F52" s="265">
        <f t="shared" si="6"/>
        <v>43811</v>
      </c>
      <c r="G52" s="293">
        <f t="shared" si="7"/>
        <v>43800</v>
      </c>
      <c r="H52">
        <f t="shared" si="8"/>
        <v>2</v>
      </c>
      <c r="I52" t="str">
        <f t="shared" si="9"/>
        <v>12.2</v>
      </c>
      <c r="J52" t="str">
        <f t="shared" si="4"/>
        <v>FM</v>
      </c>
      <c r="K52" t="str">
        <f>CHOOSE($D52+1,": :",IF(Parameters!$C$10&lt;0,"(",")"),"O",IF(Parameters!$C$10&lt;0,")","("))</f>
        <v>O</v>
      </c>
      <c r="L52" s="614" t="str">
        <f ca="1">INDEX('GCal-Translations'!$C$234:$C$237,MATCH(K52,'GCal-Translations'!$B$234:$B$237,0))</f>
        <v></v>
      </c>
    </row>
    <row r="53" spans="4:12" x14ac:dyDescent="0.25">
      <c r="D53">
        <f t="shared" si="5"/>
        <v>3</v>
      </c>
      <c r="E53" s="287">
        <f>MONDPHASE(E52+5, D53, Parameters!$E$11)</f>
        <v>43818.081157407411</v>
      </c>
      <c r="F53" s="265">
        <f t="shared" si="6"/>
        <v>43818</v>
      </c>
      <c r="G53" s="293">
        <f t="shared" si="7"/>
        <v>43800</v>
      </c>
      <c r="H53">
        <f t="shared" si="8"/>
        <v>3</v>
      </c>
      <c r="I53" t="str">
        <f t="shared" si="9"/>
        <v>12.3</v>
      </c>
      <c r="J53" t="str">
        <f t="shared" si="4"/>
        <v>LQ</v>
      </c>
      <c r="K53" t="str">
        <f>CHOOSE($D53+1,": :",IF(Parameters!$C$10&lt;0,"(",")"),"O",IF(Parameters!$C$10&lt;0,")","("))</f>
        <v>)</v>
      </c>
      <c r="L53" s="614" t="str">
        <f ca="1">INDEX('GCal-Translations'!$C$234:$C$237,MATCH(K53,'GCal-Translations'!$B$234:$B$237,0))</f>
        <v></v>
      </c>
    </row>
    <row r="54" spans="4:12" x14ac:dyDescent="0.25">
      <c r="D54">
        <f t="shared" si="5"/>
        <v>0</v>
      </c>
      <c r="E54" s="287">
        <f>MONDPHASE(E53+5, D54, Parameters!$E$11)</f>
        <v>43825.092418981483</v>
      </c>
      <c r="F54" s="265">
        <f t="shared" si="6"/>
        <v>43825</v>
      </c>
      <c r="G54" s="293">
        <f t="shared" si="7"/>
        <v>43800</v>
      </c>
      <c r="H54">
        <f t="shared" si="8"/>
        <v>4</v>
      </c>
      <c r="I54" t="str">
        <f t="shared" si="9"/>
        <v>12.4</v>
      </c>
      <c r="J54" t="str">
        <f t="shared" si="4"/>
        <v>NM</v>
      </c>
      <c r="K54" t="str">
        <f>CHOOSE($D54+1,": :",IF(Parameters!$C$10&lt;0,"(",")"),"O",IF(Parameters!$C$10&lt;0,")","("))</f>
        <v>: :</v>
      </c>
      <c r="L54" s="614" t="str">
        <f ca="1">INDEX('GCal-Translations'!$C$234:$C$237,MATCH(K54,'GCal-Translations'!$B$234:$B$237,0))</f>
        <v></v>
      </c>
    </row>
    <row r="55" spans="4:12" x14ac:dyDescent="0.25">
      <c r="D55">
        <f t="shared" si="5"/>
        <v>1</v>
      </c>
      <c r="E55" s="287">
        <f>MONDPHASE(E54+5, D55, Parameters!$E$11)</f>
        <v>43833.073101851849</v>
      </c>
      <c r="F55" s="265">
        <f t="shared" si="6"/>
        <v>43833</v>
      </c>
      <c r="G55" s="293">
        <f t="shared" si="7"/>
        <v>43831</v>
      </c>
      <c r="H55">
        <f t="shared" si="8"/>
        <v>1</v>
      </c>
      <c r="I55" t="str">
        <f t="shared" si="9"/>
        <v/>
      </c>
      <c r="J55" t="str">
        <f t="shared" si="4"/>
        <v>FQ</v>
      </c>
      <c r="K55" t="str">
        <f>CHOOSE($D55+1,": :",IF(Parameters!$C$10&lt;0,"(",")"),"O",IF(Parameters!$C$10&lt;0,")","("))</f>
        <v>(</v>
      </c>
      <c r="L55" s="614" t="str">
        <f ca="1">INDEX('GCal-Translations'!$C$234:$C$237,MATCH(K55,'GCal-Translations'!$B$234:$B$237,0))</f>
        <v></v>
      </c>
    </row>
    <row r="56" spans="4:12" x14ac:dyDescent="0.25">
      <c r="D56">
        <f t="shared" si="5"/>
        <v>2</v>
      </c>
      <c r="E56" s="287">
        <f>MONDPHASE(E55+5, D56, Parameters!$E$11)</f>
        <v>43840.681296296294</v>
      </c>
      <c r="F56" s="265">
        <f t="shared" si="6"/>
        <v>43840</v>
      </c>
      <c r="G56" s="293">
        <f t="shared" si="7"/>
        <v>43831</v>
      </c>
      <c r="H56">
        <f t="shared" si="8"/>
        <v>2</v>
      </c>
      <c r="I56" t="str">
        <f t="shared" si="9"/>
        <v/>
      </c>
      <c r="J56" t="str">
        <f t="shared" si="4"/>
        <v>FM</v>
      </c>
      <c r="K56" t="str">
        <f>CHOOSE($D56+1,": :",IF(Parameters!$C$10&lt;0,"(",")"),"O",IF(Parameters!$C$10&lt;0,")","("))</f>
        <v>O</v>
      </c>
      <c r="L56" s="614" t="str">
        <f ca="1">INDEX('GCal-Translations'!$C$234:$C$237,MATCH(K56,'GCal-Translations'!$B$234:$B$237,0))</f>
        <v></v>
      </c>
    </row>
    <row r="57" spans="4:12" x14ac:dyDescent="0.25">
      <c r="D57">
        <f t="shared" si="5"/>
        <v>3</v>
      </c>
      <c r="E57" s="287">
        <f>MONDPHASE(E56+5, D57, Parameters!$E$11)</f>
        <v>43847.415439814817</v>
      </c>
      <c r="F57" s="265">
        <f t="shared" si="6"/>
        <v>43847</v>
      </c>
      <c r="G57" s="293">
        <f t="shared" si="7"/>
        <v>43831</v>
      </c>
      <c r="H57">
        <f t="shared" si="8"/>
        <v>3</v>
      </c>
      <c r="I57" t="str">
        <f t="shared" si="9"/>
        <v/>
      </c>
      <c r="J57" t="str">
        <f t="shared" si="4"/>
        <v>LQ</v>
      </c>
      <c r="K57" t="str">
        <f>CHOOSE($D57+1,": :",IF(Parameters!$C$10&lt;0,"(",")"),"O",IF(Parameters!$C$10&lt;0,")","("))</f>
        <v>)</v>
      </c>
      <c r="L57" s="614" t="str">
        <f ca="1">INDEX('GCal-Translations'!$C$234:$C$237,MATCH(K57,'GCal-Translations'!$B$234:$B$237,0))</f>
        <v></v>
      </c>
    </row>
    <row r="58" spans="4:12" x14ac:dyDescent="0.25">
      <c r="D58">
        <f t="shared" si="5"/>
        <v>0</v>
      </c>
      <c r="E58" s="287">
        <f>MONDPHASE(E57+5, D58, Parameters!$E$11)</f>
        <v>43854.779074074075</v>
      </c>
      <c r="F58" s="265">
        <f t="shared" si="6"/>
        <v>43854</v>
      </c>
      <c r="G58" s="293">
        <f t="shared" si="7"/>
        <v>43831</v>
      </c>
      <c r="H58">
        <f t="shared" si="8"/>
        <v>4</v>
      </c>
      <c r="I58" t="str">
        <f t="shared" si="9"/>
        <v/>
      </c>
      <c r="J58" t="str">
        <f t="shared" si="4"/>
        <v>NM</v>
      </c>
      <c r="K58" t="str">
        <f>CHOOSE($D58+1,": :",IF(Parameters!$C$10&lt;0,"(",")"),"O",IF(Parameters!$C$10&lt;0,")","("))</f>
        <v>: :</v>
      </c>
      <c r="L58" s="614" t="str">
        <f ca="1">INDEX('GCal-Translations'!$C$234:$C$237,MATCH(K58,'GCal-Translations'!$B$234:$B$237,0))</f>
        <v></v>
      </c>
    </row>
    <row r="59" spans="4:12" x14ac:dyDescent="0.25">
      <c r="D59">
        <f t="shared" si="5"/>
        <v>1</v>
      </c>
      <c r="E59" s="287">
        <f>MONDPHASE(E58+5, D59, Parameters!$E$11)</f>
        <v>43862.945405092592</v>
      </c>
      <c r="F59" s="265">
        <f t="shared" si="6"/>
        <v>43862</v>
      </c>
      <c r="G59" s="293">
        <f t="shared" si="7"/>
        <v>43862</v>
      </c>
      <c r="H59">
        <f t="shared" si="8"/>
        <v>1</v>
      </c>
      <c r="I59" t="str">
        <f t="shared" si="9"/>
        <v/>
      </c>
      <c r="J59" t="str">
        <f t="shared" si="4"/>
        <v>FQ</v>
      </c>
      <c r="K59" t="str">
        <f>CHOOSE($D59+1,": :",IF(Parameters!$C$10&lt;0,"(",")"),"O",IF(Parameters!$C$10&lt;0,")","("))</f>
        <v>(</v>
      </c>
      <c r="L59" s="614" t="str">
        <f ca="1">INDEX('GCal-Translations'!$C$234:$C$237,MATCH(K59,'GCal-Translations'!$B$234:$B$237,0))</f>
        <v></v>
      </c>
    </row>
    <row r="60" spans="4:12" x14ac:dyDescent="0.25">
      <c r="D60">
        <f t="shared" si="5"/>
        <v>2</v>
      </c>
      <c r="E60" s="287">
        <f>MONDPHASE(E59+5, D60, Parameters!$E$11)</f>
        <v>43870.189571759256</v>
      </c>
      <c r="F60" s="265">
        <f t="shared" si="6"/>
        <v>43870</v>
      </c>
      <c r="G60" s="293">
        <f t="shared" si="7"/>
        <v>43862</v>
      </c>
      <c r="H60">
        <f t="shared" si="8"/>
        <v>2</v>
      </c>
      <c r="I60" t="str">
        <f t="shared" si="9"/>
        <v/>
      </c>
      <c r="J60" t="str">
        <f t="shared" si="4"/>
        <v>FM</v>
      </c>
      <c r="K60" t="str">
        <f>CHOOSE($D60+1,": :",IF(Parameters!$C$10&lt;0,"(",")"),"O",IF(Parameters!$C$10&lt;0,")","("))</f>
        <v>O</v>
      </c>
      <c r="L60" s="614" t="str">
        <f ca="1">INDEX('GCal-Translations'!$C$234:$C$237,MATCH(K60,'GCal-Translations'!$B$234:$B$237,0))</f>
        <v></v>
      </c>
    </row>
    <row r="61" spans="4:12" x14ac:dyDescent="0.25">
      <c r="D61">
        <f t="shared" si="5"/>
        <v>3</v>
      </c>
      <c r="E61" s="287">
        <f>MONDPHASE(E60+5, D61, Parameters!$E$11)</f>
        <v>43876.803541666668</v>
      </c>
      <c r="F61" s="265">
        <f t="shared" si="6"/>
        <v>43876</v>
      </c>
      <c r="G61" s="293">
        <f t="shared" si="7"/>
        <v>43862</v>
      </c>
      <c r="H61">
        <f t="shared" si="8"/>
        <v>3</v>
      </c>
      <c r="I61" t="str">
        <f t="shared" si="9"/>
        <v/>
      </c>
      <c r="J61" t="str">
        <f t="shared" si="4"/>
        <v>LQ</v>
      </c>
      <c r="K61" t="str">
        <f>CHOOSE($D61+1,": :",IF(Parameters!$C$10&lt;0,"(",")"),"O",IF(Parameters!$C$10&lt;0,")","("))</f>
        <v>)</v>
      </c>
      <c r="L61" s="614" t="str">
        <f ca="1">INDEX('GCal-Translations'!$C$234:$C$237,MATCH(K61,'GCal-Translations'!$B$234:$B$237,0))</f>
        <v></v>
      </c>
    </row>
    <row r="62" spans="4:12" x14ac:dyDescent="0.25">
      <c r="D62">
        <f t="shared" si="5"/>
        <v>0</v>
      </c>
      <c r="E62" s="287">
        <f>MONDPHASE(E61+5, D62, Parameters!$E$11)</f>
        <v>43884.522083333337</v>
      </c>
      <c r="F62" s="265">
        <f t="shared" si="6"/>
        <v>43884</v>
      </c>
      <c r="G62" s="293">
        <f t="shared" si="7"/>
        <v>43862</v>
      </c>
      <c r="H62">
        <f t="shared" si="8"/>
        <v>4</v>
      </c>
      <c r="I62" t="str">
        <f t="shared" si="9"/>
        <v/>
      </c>
      <c r="J62" t="str">
        <f t="shared" si="4"/>
        <v>NM</v>
      </c>
      <c r="K62" t="str">
        <f>CHOOSE($D62+1,": :",IF(Parameters!$C$10&lt;0,"(",")"),"O",IF(Parameters!$C$10&lt;0,")","("))</f>
        <v>: :</v>
      </c>
      <c r="L62" s="614" t="str">
        <f ca="1">INDEX('GCal-Translations'!$C$234:$C$237,MATCH(K62,'GCal-Translations'!$B$234:$B$237,0))</f>
        <v></v>
      </c>
    </row>
    <row r="63" spans="4:12" x14ac:dyDescent="0.25">
      <c r="D63">
        <f t="shared" si="5"/>
        <v>1</v>
      </c>
      <c r="E63" s="287">
        <f>MONDPHASE(E62+5, D63, Parameters!$E$11)</f>
        <v>43892.706331018519</v>
      </c>
      <c r="F63" s="265">
        <f t="shared" si="6"/>
        <v>43892</v>
      </c>
      <c r="G63" s="293">
        <f t="shared" si="7"/>
        <v>43891</v>
      </c>
      <c r="H63">
        <f t="shared" si="8"/>
        <v>1</v>
      </c>
      <c r="I63" t="str">
        <f t="shared" si="9"/>
        <v/>
      </c>
      <c r="J63" t="str">
        <f t="shared" si="4"/>
        <v>FQ</v>
      </c>
      <c r="K63" t="str">
        <f>CHOOSE($D63+1,": :",IF(Parameters!$C$10&lt;0,"(",")"),"O",IF(Parameters!$C$10&lt;0,")","("))</f>
        <v>(</v>
      </c>
      <c r="L63" s="614" t="str">
        <f ca="1">INDEX('GCal-Translations'!$C$234:$C$237,MATCH(K63,'GCal-Translations'!$B$234:$B$237,0))</f>
        <v></v>
      </c>
    </row>
    <row r="64" spans="4:12" x14ac:dyDescent="0.25">
      <c r="D64">
        <f t="shared" si="5"/>
        <v>2</v>
      </c>
      <c r="E64" s="287">
        <f>MONDPHASE(E63+5, D64, Parameters!$E$11)</f>
        <v>43899.616284722222</v>
      </c>
      <c r="F64" s="265">
        <f t="shared" si="6"/>
        <v>43899</v>
      </c>
      <c r="G64" s="293">
        <f t="shared" si="7"/>
        <v>43891</v>
      </c>
      <c r="H64">
        <f t="shared" si="8"/>
        <v>2</v>
      </c>
      <c r="I64" t="str">
        <f t="shared" si="9"/>
        <v/>
      </c>
      <c r="J64" t="str">
        <f t="shared" si="4"/>
        <v>FM</v>
      </c>
      <c r="K64" t="str">
        <f>CHOOSE($D64+1,": :",IF(Parameters!$C$10&lt;0,"(",")"),"O",IF(Parameters!$C$10&lt;0,")","("))</f>
        <v>O</v>
      </c>
      <c r="L64" s="614" t="str">
        <f ca="1">INDEX('GCal-Translations'!$C$234:$C$237,MATCH(K64,'GCal-Translations'!$B$234:$B$237,0))</f>
        <v></v>
      </c>
    </row>
    <row r="65" spans="4:12" x14ac:dyDescent="0.25">
      <c r="D65">
        <f t="shared" si="5"/>
        <v>3</v>
      </c>
      <c r="E65" s="287">
        <f>MONDPHASE(E64+5, D65, Parameters!$E$11)</f>
        <v>43906.273634259262</v>
      </c>
      <c r="F65" s="265">
        <f t="shared" si="6"/>
        <v>43906</v>
      </c>
      <c r="G65" s="293">
        <f t="shared" si="7"/>
        <v>43891</v>
      </c>
      <c r="H65">
        <f t="shared" si="8"/>
        <v>3</v>
      </c>
      <c r="I65" t="str">
        <f t="shared" si="9"/>
        <v/>
      </c>
      <c r="J65" t="str">
        <f t="shared" si="4"/>
        <v>LQ</v>
      </c>
      <c r="K65" t="str">
        <f>CHOOSE($D65+1,": :",IF(Parameters!$C$10&lt;0,"(",")"),"O",IF(Parameters!$C$10&lt;0,")","("))</f>
        <v>)</v>
      </c>
      <c r="L65" s="614" t="str">
        <f ca="1">INDEX('GCal-Translations'!$C$234:$C$237,MATCH(K65,'GCal-Translations'!$B$234:$B$237,0))</f>
        <v></v>
      </c>
    </row>
  </sheetData>
  <pageMargins left="0.511811024" right="0.511811024" top="0.78740157499999996" bottom="0.78740157499999996" header="0.31496062000000002" footer="0.3149606200000000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34</vt:i4>
      </vt:variant>
      <vt:variant>
        <vt:lpstr>Intervalos Nomeados</vt:lpstr>
      </vt:variant>
      <vt:variant>
        <vt:i4>53</vt:i4>
      </vt:variant>
    </vt:vector>
  </HeadingPairs>
  <TitlesOfParts>
    <vt:vector size="87" baseType="lpstr">
      <vt:lpstr>Opções</vt:lpstr>
      <vt:lpstr>Cover</vt:lpstr>
      <vt:lpstr>Title</vt:lpstr>
      <vt:lpstr>Purpose 1</vt:lpstr>
      <vt:lpstr>Purpose 2</vt:lpstr>
      <vt:lpstr>GNU FDL License</vt:lpstr>
      <vt:lpstr>Personal Data</vt:lpstr>
      <vt:lpstr>Holidays</vt:lpstr>
      <vt:lpstr>Calendar</vt:lpstr>
      <vt:lpstr>Weekly-Left</vt:lpstr>
      <vt:lpstr>Weekly-Right</vt:lpstr>
      <vt:lpstr>Monthly-Left</vt:lpstr>
      <vt:lpstr>Monthly-Right</vt:lpstr>
      <vt:lpstr>Personalities</vt:lpstr>
      <vt:lpstr>Events</vt:lpstr>
      <vt:lpstr>Reunions</vt:lpstr>
      <vt:lpstr>Notes-Left</vt:lpstr>
      <vt:lpstr>Notes-Right</vt:lpstr>
      <vt:lpstr>Contact-Left</vt:lpstr>
      <vt:lpstr>Contact-Right</vt:lpstr>
      <vt:lpstr>Units</vt:lpstr>
      <vt:lpstr>Parameters</vt:lpstr>
      <vt:lpstr>GCal-XML</vt:lpstr>
      <vt:lpstr>GCal-Year</vt:lpstr>
      <vt:lpstr>GCal-Month</vt:lpstr>
      <vt:lpstr>GCal-Week</vt:lpstr>
      <vt:lpstr>Quotes</vt:lpstr>
      <vt:lpstr>Festivals</vt:lpstr>
      <vt:lpstr>Holidays Calc</vt:lpstr>
      <vt:lpstr>GCal-Translations</vt:lpstr>
      <vt:lpstr>GPlan-Translations</vt:lpstr>
      <vt:lpstr>Countries</vt:lpstr>
      <vt:lpstr>Cities</vt:lpstr>
      <vt:lpstr>Moon Calendar</vt:lpstr>
      <vt:lpstr>Calendar!Area_de_impressao</vt:lpstr>
      <vt:lpstr>'Contact-Left'!Area_de_impressao</vt:lpstr>
      <vt:lpstr>'Contact-Right'!Area_de_impressao</vt:lpstr>
      <vt:lpstr>Cover!Area_de_impressao</vt:lpstr>
      <vt:lpstr>Events!Area_de_impressao</vt:lpstr>
      <vt:lpstr>'GNU FDL License'!Area_de_impressao</vt:lpstr>
      <vt:lpstr>Holidays!Area_de_impressao</vt:lpstr>
      <vt:lpstr>'Monthly-Left'!Area_de_impressao</vt:lpstr>
      <vt:lpstr>'Monthly-Right'!Area_de_impressao</vt:lpstr>
      <vt:lpstr>'Notes-Left'!Area_de_impressao</vt:lpstr>
      <vt:lpstr>'Notes-Right'!Area_de_impressao</vt:lpstr>
      <vt:lpstr>'Personal Data'!Area_de_impressao</vt:lpstr>
      <vt:lpstr>Personalities!Area_de_impressao</vt:lpstr>
      <vt:lpstr>'Purpose 1'!Area_de_impressao</vt:lpstr>
      <vt:lpstr>'Purpose 2'!Area_de_impressao</vt:lpstr>
      <vt:lpstr>Units!Area_de_impressao</vt:lpstr>
      <vt:lpstr>'Weekly-Left'!Area_de_impressao</vt:lpstr>
      <vt:lpstr>'Weekly-Right'!Area_de_impressao</vt:lpstr>
      <vt:lpstr>cbPersonalitiesLabel</vt:lpstr>
      <vt:lpstr>cbReunionsLabel</vt:lpstr>
      <vt:lpstr>cbUnitsConversionLabel</vt:lpstr>
      <vt:lpstr>CityCustomName</vt:lpstr>
      <vt:lpstr>countriesList</vt:lpstr>
      <vt:lpstr>EventsPrintArea</vt:lpstr>
      <vt:lpstr>GCalPathName</vt:lpstr>
      <vt:lpstr>HoursList</vt:lpstr>
      <vt:lpstr>'Monthly-Left'!monthName</vt:lpstr>
      <vt:lpstr>'Monthly-Right'!monthName</vt:lpstr>
      <vt:lpstr>PersonalitiesPrintArea</vt:lpstr>
      <vt:lpstr>'GNU FDL License'!section0</vt:lpstr>
      <vt:lpstr>'GNU FDL License'!section1</vt:lpstr>
      <vt:lpstr>'GNU FDL License'!section10</vt:lpstr>
      <vt:lpstr>'GNU FDL License'!section11</vt:lpstr>
      <vt:lpstr>'GNU FDL License'!section2</vt:lpstr>
      <vt:lpstr>'GNU FDL License'!section3</vt:lpstr>
      <vt:lpstr>'GNU FDL License'!section4</vt:lpstr>
      <vt:lpstr>'GNU FDL License'!section5</vt:lpstr>
      <vt:lpstr>'GNU FDL License'!section6</vt:lpstr>
      <vt:lpstr>'GNU FDL License'!section7</vt:lpstr>
      <vt:lpstr>'GNU FDL License'!section8</vt:lpstr>
      <vt:lpstr>'GNU FDL License'!section9</vt:lpstr>
      <vt:lpstr>selectedContact</vt:lpstr>
      <vt:lpstr>selectedMonth</vt:lpstr>
      <vt:lpstr>selectedPersonalities</vt:lpstr>
      <vt:lpstr>selectedReunions</vt:lpstr>
      <vt:lpstr>selectedUnitsConversion</vt:lpstr>
      <vt:lpstr>selectedWeek</vt:lpstr>
      <vt:lpstr>selectedYear</vt:lpstr>
      <vt:lpstr>ShellCommandLine</vt:lpstr>
      <vt:lpstr>Units!Titulos_de_impressao</vt:lpstr>
      <vt:lpstr>UnitsConversionPrintArea</vt:lpstr>
      <vt:lpstr>Year</vt:lpstr>
      <vt:lpstr>YearsLists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psaraujo</dc:creator>
  <cp:lastModifiedBy>Gopala</cp:lastModifiedBy>
  <cp:lastPrinted>2019-01-11T06:12:06Z</cp:lastPrinted>
  <dcterms:created xsi:type="dcterms:W3CDTF">2018-11-22T20:52:06Z</dcterms:created>
  <dcterms:modified xsi:type="dcterms:W3CDTF">2019-01-13T22:46:18Z</dcterms:modified>
</cp:coreProperties>
</file>